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256" windowHeight="12540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BN2037" i="1" l="1"/>
  <c r="BL2037" i="1"/>
  <c r="BJ2037" i="1"/>
  <c r="BM2037" i="1" s="1"/>
  <c r="BI2037" i="1"/>
  <c r="BF2037" i="1"/>
  <c r="BE2037" i="1"/>
  <c r="BC2037" i="1"/>
  <c r="BB2037" i="1"/>
  <c r="BA2037" i="1"/>
  <c r="AX2037" i="1"/>
  <c r="AY2037" i="1" s="1"/>
  <c r="AW2037" i="1"/>
  <c r="AT2037" i="1"/>
  <c r="AU2037" i="1" s="1"/>
  <c r="AS2037" i="1"/>
  <c r="AP2037" i="1"/>
  <c r="AQ2037" i="1" s="1"/>
  <c r="AO2037" i="1"/>
  <c r="AM2037" i="1"/>
  <c r="AL2037" i="1"/>
  <c r="AK2037" i="1"/>
  <c r="AH2037" i="1"/>
  <c r="AI2037" i="1" s="1"/>
  <c r="AF2037" i="1"/>
  <c r="AG2037" i="1" s="1"/>
  <c r="AD2037" i="1"/>
  <c r="AE2037" i="1" s="1"/>
  <c r="AC2037" i="1"/>
  <c r="AB2037" i="1"/>
  <c r="Z2037" i="1"/>
  <c r="AA2037" i="1" s="1"/>
  <c r="X2037" i="1"/>
  <c r="Y2037" i="1" s="1"/>
  <c r="V2037" i="1"/>
  <c r="W2037" i="1" s="1"/>
  <c r="U2037" i="1"/>
  <c r="T2037" i="1"/>
  <c r="R2037" i="1"/>
  <c r="S2037" i="1" s="1"/>
  <c r="Q2037" i="1"/>
  <c r="N2037" i="1"/>
  <c r="O2037" i="1" s="1"/>
  <c r="M2037" i="1"/>
  <c r="K2037" i="1"/>
  <c r="J2037" i="1"/>
  <c r="I2037" i="1"/>
  <c r="G2037" i="1"/>
  <c r="F2037" i="1"/>
  <c r="E2037" i="1"/>
  <c r="BN2036" i="1"/>
  <c r="BM2036" i="1"/>
  <c r="BL2036" i="1"/>
  <c r="BJ2036" i="1"/>
  <c r="BI2036" i="1"/>
  <c r="BG2036" i="1"/>
  <c r="BF2036" i="1"/>
  <c r="BE2036" i="1"/>
  <c r="BB2036" i="1"/>
  <c r="BC2036" i="1" s="1"/>
  <c r="BA2036" i="1"/>
  <c r="AX2036" i="1"/>
  <c r="AY2036" i="1" s="1"/>
  <c r="AW2036" i="1"/>
  <c r="AT2036" i="1"/>
  <c r="AU2036" i="1" s="1"/>
  <c r="AS2036" i="1"/>
  <c r="AP2036" i="1"/>
  <c r="AQ2036" i="1" s="1"/>
  <c r="AO2036" i="1"/>
  <c r="AL2036" i="1"/>
  <c r="AM2036" i="1" s="1"/>
  <c r="AK2036" i="1"/>
  <c r="AH2036" i="1"/>
  <c r="AI2036" i="1" s="1"/>
  <c r="AF2036" i="1"/>
  <c r="AG2036" i="1" s="1"/>
  <c r="AD2036" i="1"/>
  <c r="AE2036" i="1" s="1"/>
  <c r="AC2036" i="1"/>
  <c r="AB2036" i="1"/>
  <c r="Z2036" i="1"/>
  <c r="AA2036" i="1" s="1"/>
  <c r="X2036" i="1"/>
  <c r="Y2036" i="1" s="1"/>
  <c r="V2036" i="1"/>
  <c r="W2036" i="1" s="1"/>
  <c r="U2036" i="1"/>
  <c r="T2036" i="1"/>
  <c r="R2036" i="1"/>
  <c r="S2036" i="1" s="1"/>
  <c r="Q2036" i="1"/>
  <c r="O2036" i="1"/>
  <c r="N2036" i="1"/>
  <c r="M2036" i="1"/>
  <c r="K2036" i="1"/>
  <c r="J2036" i="1"/>
  <c r="I2036" i="1"/>
  <c r="F2036" i="1"/>
  <c r="G2036" i="1" s="1"/>
  <c r="E2036" i="1"/>
  <c r="BN2035" i="1"/>
  <c r="BM2035" i="1"/>
  <c r="BL2035" i="1"/>
  <c r="BJ2035" i="1"/>
  <c r="BI2035" i="1"/>
  <c r="BF2035" i="1"/>
  <c r="BG2035" i="1" s="1"/>
  <c r="BE2035" i="1"/>
  <c r="BB2035" i="1"/>
  <c r="BC2035" i="1" s="1"/>
  <c r="BA2035" i="1"/>
  <c r="AX2035" i="1"/>
  <c r="AY2035" i="1" s="1"/>
  <c r="AW2035" i="1"/>
  <c r="AT2035" i="1"/>
  <c r="AU2035" i="1" s="1"/>
  <c r="AS2035" i="1"/>
  <c r="AP2035" i="1"/>
  <c r="AM2035" i="1" s="1"/>
  <c r="AO2035" i="1"/>
  <c r="AL2035" i="1"/>
  <c r="AK2035" i="1"/>
  <c r="AI2035" i="1"/>
  <c r="AH2035" i="1"/>
  <c r="AF2035" i="1"/>
  <c r="AG2035" i="1" s="1"/>
  <c r="AD2035" i="1"/>
  <c r="AE2035" i="1" s="1"/>
  <c r="AC2035" i="1"/>
  <c r="AB2035" i="1"/>
  <c r="AA2035" i="1"/>
  <c r="Z2035" i="1"/>
  <c r="X2035" i="1"/>
  <c r="Y2035" i="1" s="1"/>
  <c r="V2035" i="1"/>
  <c r="W2035" i="1" s="1"/>
  <c r="U2035" i="1"/>
  <c r="T2035" i="1"/>
  <c r="S2035" i="1"/>
  <c r="R2035" i="1"/>
  <c r="Q2035" i="1"/>
  <c r="O2035" i="1"/>
  <c r="N2035" i="1"/>
  <c r="M2035" i="1"/>
  <c r="K2035" i="1"/>
  <c r="J2035" i="1"/>
  <c r="I2035" i="1"/>
  <c r="F2035" i="1"/>
  <c r="G2035" i="1" s="1"/>
  <c r="E2035" i="1"/>
  <c r="BN2034" i="1"/>
  <c r="BM2034" i="1"/>
  <c r="BL2034" i="1"/>
  <c r="BJ2034" i="1"/>
  <c r="BI2034" i="1"/>
  <c r="BF2034" i="1"/>
  <c r="BG2034" i="1" s="1"/>
  <c r="BE2034" i="1"/>
  <c r="BB2034" i="1"/>
  <c r="BC2034" i="1" s="1"/>
  <c r="BA2034" i="1"/>
  <c r="AX2034" i="1"/>
  <c r="AY2034" i="1" s="1"/>
  <c r="AW2034" i="1"/>
  <c r="AT2034" i="1"/>
  <c r="AU2034" i="1" s="1"/>
  <c r="AS2034" i="1"/>
  <c r="AP2034" i="1"/>
  <c r="AQ2034" i="1" s="1"/>
  <c r="AO2034" i="1"/>
  <c r="AM2034" i="1"/>
  <c r="AL2034" i="1"/>
  <c r="AK2034" i="1"/>
  <c r="AI2034" i="1"/>
  <c r="AH2034" i="1"/>
  <c r="AG2034" i="1"/>
  <c r="AE2034" i="1"/>
  <c r="AD2034" i="1"/>
  <c r="AC2034" i="1"/>
  <c r="Z2034" i="1"/>
  <c r="AA2034" i="1" s="1"/>
  <c r="Y2034" i="1"/>
  <c r="V2034" i="1"/>
  <c r="W2034" i="1" s="1"/>
  <c r="U2034" i="1"/>
  <c r="R2034" i="1"/>
  <c r="S2034" i="1" s="1"/>
  <c r="Q2034" i="1"/>
  <c r="N2034" i="1"/>
  <c r="O2034" i="1" s="1"/>
  <c r="M2034" i="1"/>
  <c r="J2034" i="1"/>
  <c r="K2034" i="1" s="1"/>
  <c r="I2034" i="1"/>
  <c r="G2034" i="1"/>
  <c r="F2034" i="1"/>
  <c r="E2034" i="1"/>
  <c r="BN2033" i="1"/>
  <c r="BL2033" i="1"/>
  <c r="BJ2033" i="1"/>
  <c r="BM2033" i="1" s="1"/>
  <c r="BI2033" i="1"/>
  <c r="BG2033" i="1"/>
  <c r="BF2033" i="1"/>
  <c r="BE2033" i="1"/>
  <c r="BC2033" i="1"/>
  <c r="BB2033" i="1"/>
  <c r="BA2033" i="1"/>
  <c r="AZ2033" i="1"/>
  <c r="AX2033" i="1"/>
  <c r="AY2033" i="1" s="1"/>
  <c r="AV2033" i="1"/>
  <c r="AW2033" i="1" s="1"/>
  <c r="AU2033" i="1"/>
  <c r="AT2033" i="1"/>
  <c r="AS2033" i="1"/>
  <c r="AR2033" i="1"/>
  <c r="AP2033" i="1"/>
  <c r="AQ2033" i="1" s="1"/>
  <c r="AN2033" i="1"/>
  <c r="AO2033" i="1" s="1"/>
  <c r="AM2033" i="1"/>
  <c r="AL2033" i="1"/>
  <c r="AK2033" i="1"/>
  <c r="AJ2033" i="1"/>
  <c r="AH2033" i="1"/>
  <c r="AI2033" i="1" s="1"/>
  <c r="AF2033" i="1"/>
  <c r="AG2033" i="1" s="1"/>
  <c r="AE2033" i="1"/>
  <c r="AD2033" i="1"/>
  <c r="AC2033" i="1"/>
  <c r="AB2033" i="1"/>
  <c r="Z2033" i="1"/>
  <c r="AA2033" i="1" s="1"/>
  <c r="X2033" i="1"/>
  <c r="Y2033" i="1" s="1"/>
  <c r="W2033" i="1"/>
  <c r="V2033" i="1"/>
  <c r="U2033" i="1"/>
  <c r="T2033" i="1"/>
  <c r="R2033" i="1"/>
  <c r="S2033" i="1" s="1"/>
  <c r="P2033" i="1"/>
  <c r="Q2033" i="1" s="1"/>
  <c r="O2033" i="1"/>
  <c r="N2033" i="1"/>
  <c r="M2033" i="1"/>
  <c r="L2033" i="1"/>
  <c r="J2033" i="1"/>
  <c r="K2033" i="1" s="1"/>
  <c r="H2033" i="1"/>
  <c r="I2033" i="1" s="1"/>
  <c r="G2033" i="1"/>
  <c r="F2033" i="1"/>
  <c r="E2033" i="1"/>
  <c r="D2033" i="1"/>
  <c r="BN2032" i="1"/>
  <c r="BM2032" i="1"/>
  <c r="BL2032" i="1"/>
  <c r="BJ2032" i="1"/>
  <c r="BI2032" i="1"/>
  <c r="BF2032" i="1"/>
  <c r="BG2032" i="1" s="1"/>
  <c r="BE2032" i="1"/>
  <c r="BB2032" i="1"/>
  <c r="BC2032" i="1" s="1"/>
  <c r="AZ2032" i="1"/>
  <c r="BA2032" i="1" s="1"/>
  <c r="AY2032" i="1"/>
  <c r="AX2032" i="1"/>
  <c r="AW2032" i="1"/>
  <c r="AV2032" i="1"/>
  <c r="AT2032" i="1"/>
  <c r="AU2032" i="1" s="1"/>
  <c r="AR2032" i="1"/>
  <c r="AS2032" i="1" s="1"/>
  <c r="AQ2032" i="1"/>
  <c r="AP2032" i="1"/>
  <c r="AO2032" i="1"/>
  <c r="AN2032" i="1"/>
  <c r="AL2032" i="1"/>
  <c r="AM2032" i="1" s="1"/>
  <c r="AJ2032" i="1"/>
  <c r="AK2032" i="1" s="1"/>
  <c r="AI2032" i="1"/>
  <c r="AH2032" i="1"/>
  <c r="AG2032" i="1"/>
  <c r="AF2032" i="1"/>
  <c r="AD2032" i="1"/>
  <c r="AE2032" i="1" s="1"/>
  <c r="AB2032" i="1"/>
  <c r="AC2032" i="1" s="1"/>
  <c r="AA2032" i="1"/>
  <c r="Z2032" i="1"/>
  <c r="Y2032" i="1"/>
  <c r="X2032" i="1"/>
  <c r="V2032" i="1"/>
  <c r="W2032" i="1" s="1"/>
  <c r="T2032" i="1"/>
  <c r="U2032" i="1" s="1"/>
  <c r="S2032" i="1"/>
  <c r="R2032" i="1"/>
  <c r="Q2032" i="1"/>
  <c r="P2032" i="1"/>
  <c r="N2032" i="1"/>
  <c r="O2032" i="1" s="1"/>
  <c r="L2032" i="1"/>
  <c r="M2032" i="1" s="1"/>
  <c r="K2032" i="1"/>
  <c r="J2032" i="1"/>
  <c r="I2032" i="1"/>
  <c r="H2032" i="1"/>
  <c r="F2032" i="1"/>
  <c r="G2032" i="1" s="1"/>
  <c r="D2032" i="1"/>
  <c r="E2032" i="1" s="1"/>
  <c r="BN2031" i="1"/>
  <c r="BL2031" i="1"/>
  <c r="BJ2031" i="1"/>
  <c r="BM2031" i="1" s="1"/>
  <c r="BI2031" i="1"/>
  <c r="BG2031" i="1"/>
  <c r="BF2031" i="1"/>
  <c r="BE2031" i="1"/>
  <c r="BC2031" i="1"/>
  <c r="BB2031" i="1"/>
  <c r="BA2031" i="1"/>
  <c r="AZ2031" i="1"/>
  <c r="AX2031" i="1"/>
  <c r="AY2031" i="1" s="1"/>
  <c r="AV2031" i="1"/>
  <c r="AW2031" i="1" s="1"/>
  <c r="AU2031" i="1"/>
  <c r="AT2031" i="1"/>
  <c r="AS2031" i="1"/>
  <c r="AR2031" i="1"/>
  <c r="AP2031" i="1"/>
  <c r="AQ2031" i="1" s="1"/>
  <c r="AN2031" i="1"/>
  <c r="AO2031" i="1" s="1"/>
  <c r="AM2031" i="1"/>
  <c r="AL2031" i="1"/>
  <c r="AK2031" i="1"/>
  <c r="AJ2031" i="1"/>
  <c r="AH2031" i="1"/>
  <c r="AI2031" i="1" s="1"/>
  <c r="AF2031" i="1"/>
  <c r="AG2031" i="1" s="1"/>
  <c r="AE2031" i="1"/>
  <c r="AD2031" i="1"/>
  <c r="AC2031" i="1"/>
  <c r="AB2031" i="1"/>
  <c r="Z2031" i="1"/>
  <c r="AA2031" i="1" s="1"/>
  <c r="X2031" i="1"/>
  <c r="Y2031" i="1" s="1"/>
  <c r="W2031" i="1"/>
  <c r="V2031" i="1"/>
  <c r="U2031" i="1"/>
  <c r="T2031" i="1"/>
  <c r="R2031" i="1"/>
  <c r="S2031" i="1" s="1"/>
  <c r="P2031" i="1"/>
  <c r="Q2031" i="1" s="1"/>
  <c r="O2031" i="1"/>
  <c r="N2031" i="1"/>
  <c r="M2031" i="1"/>
  <c r="L2031" i="1"/>
  <c r="J2031" i="1"/>
  <c r="K2031" i="1" s="1"/>
  <c r="H2031" i="1"/>
  <c r="I2031" i="1" s="1"/>
  <c r="G2031" i="1"/>
  <c r="F2031" i="1"/>
  <c r="E2031" i="1"/>
  <c r="D2031" i="1"/>
  <c r="BN2030" i="1"/>
  <c r="BM2030" i="1"/>
  <c r="BL2030" i="1"/>
  <c r="BJ2030" i="1"/>
  <c r="BI2030" i="1"/>
  <c r="BF2030" i="1"/>
  <c r="BG2030" i="1" s="1"/>
  <c r="BE2030" i="1"/>
  <c r="BB2030" i="1"/>
  <c r="BC2030" i="1" s="1"/>
  <c r="BA2030" i="1"/>
  <c r="AX2030" i="1"/>
  <c r="AY2030" i="1" s="1"/>
  <c r="AW2030" i="1"/>
  <c r="AU2030" i="1"/>
  <c r="AT2030" i="1"/>
  <c r="AS2030" i="1"/>
  <c r="AQ2030" i="1"/>
  <c r="AP2030" i="1"/>
  <c r="AO2030" i="1"/>
  <c r="AM2030" i="1"/>
  <c r="AL2030" i="1"/>
  <c r="AK2030" i="1"/>
  <c r="AI2030" i="1"/>
  <c r="AH2030" i="1"/>
  <c r="AG2030" i="1"/>
  <c r="AD2030" i="1"/>
  <c r="AE2030" i="1" s="1"/>
  <c r="AC2030" i="1"/>
  <c r="Z2030" i="1"/>
  <c r="AA2030" i="1" s="1"/>
  <c r="Y2030" i="1"/>
  <c r="V2030" i="1"/>
  <c r="W2030" i="1" s="1"/>
  <c r="U2030" i="1"/>
  <c r="R2030" i="1"/>
  <c r="S2030" i="1" s="1"/>
  <c r="Q2030" i="1"/>
  <c r="O2030" i="1"/>
  <c r="N2030" i="1"/>
  <c r="M2030" i="1"/>
  <c r="K2030" i="1"/>
  <c r="J2030" i="1"/>
  <c r="I2030" i="1"/>
  <c r="G2030" i="1"/>
  <c r="F2030" i="1"/>
  <c r="E2030" i="1"/>
  <c r="BN2029" i="1"/>
  <c r="BM2029" i="1" s="1"/>
  <c r="BL2029" i="1"/>
  <c r="BJ2029" i="1"/>
  <c r="BI2029" i="1"/>
  <c r="BG2029" i="1"/>
  <c r="BF2029" i="1"/>
  <c r="BE2029" i="1"/>
  <c r="BC2029" i="1"/>
  <c r="BB2029" i="1"/>
  <c r="BA2029" i="1"/>
  <c r="AX2029" i="1"/>
  <c r="AY2029" i="1" s="1"/>
  <c r="AW2029" i="1"/>
  <c r="AT2029" i="1"/>
  <c r="AU2029" i="1" s="1"/>
  <c r="AS2029" i="1"/>
  <c r="AP2029" i="1"/>
  <c r="AQ2029" i="1" s="1"/>
  <c r="AO2029" i="1"/>
  <c r="AL2029" i="1"/>
  <c r="AM2029" i="1" s="1"/>
  <c r="AK2029" i="1"/>
  <c r="AI2029" i="1"/>
  <c r="AH2029" i="1"/>
  <c r="AG2029" i="1"/>
  <c r="AE2029" i="1"/>
  <c r="AD2029" i="1"/>
  <c r="AC2029" i="1"/>
  <c r="AA2029" i="1"/>
  <c r="Z2029" i="1"/>
  <c r="Y2029" i="1"/>
  <c r="W2029" i="1"/>
  <c r="V2029" i="1"/>
  <c r="U2029" i="1"/>
  <c r="R2029" i="1"/>
  <c r="S2029" i="1" s="1"/>
  <c r="Q2029" i="1"/>
  <c r="N2029" i="1"/>
  <c r="O2029" i="1" s="1"/>
  <c r="M2029" i="1"/>
  <c r="J2029" i="1"/>
  <c r="K2029" i="1" s="1"/>
  <c r="I2029" i="1"/>
  <c r="F2029" i="1"/>
  <c r="G2029" i="1" s="1"/>
  <c r="E2029" i="1"/>
  <c r="BN2028" i="1"/>
  <c r="BL2028" i="1"/>
  <c r="BJ2028" i="1"/>
  <c r="BM2028" i="1" s="1"/>
  <c r="BI2028" i="1"/>
  <c r="BF2028" i="1"/>
  <c r="BG2028" i="1" s="1"/>
  <c r="BE2028" i="1"/>
  <c r="BC2028" i="1"/>
  <c r="BB2028" i="1"/>
  <c r="BA2028" i="1"/>
  <c r="AY2028" i="1"/>
  <c r="AX2028" i="1"/>
  <c r="AW2028" i="1"/>
  <c r="AU2028" i="1"/>
  <c r="AT2028" i="1"/>
  <c r="AS2028" i="1"/>
  <c r="AQ2028" i="1"/>
  <c r="AP2028" i="1"/>
  <c r="AO2028" i="1"/>
  <c r="AL2028" i="1"/>
  <c r="AM2028" i="1" s="1"/>
  <c r="AK2028" i="1"/>
  <c r="AH2028" i="1"/>
  <c r="AI2028" i="1" s="1"/>
  <c r="AG2028" i="1"/>
  <c r="AD2028" i="1"/>
  <c r="AE2028" i="1" s="1"/>
  <c r="AC2028" i="1"/>
  <c r="Z2028" i="1"/>
  <c r="AA2028" i="1" s="1"/>
  <c r="Y2028" i="1"/>
  <c r="W2028" i="1"/>
  <c r="V2028" i="1"/>
  <c r="U2028" i="1"/>
  <c r="S2028" i="1"/>
  <c r="R2028" i="1"/>
  <c r="Q2028" i="1"/>
  <c r="O2028" i="1"/>
  <c r="N2028" i="1"/>
  <c r="M2028" i="1"/>
  <c r="K2028" i="1"/>
  <c r="J2028" i="1"/>
  <c r="I2028" i="1"/>
  <c r="F2028" i="1"/>
  <c r="G2028" i="1" s="1"/>
  <c r="E2028" i="1"/>
  <c r="BN2027" i="1"/>
  <c r="BM2027" i="1"/>
  <c r="BL2027" i="1"/>
  <c r="BJ2027" i="1"/>
  <c r="BI2027" i="1"/>
  <c r="BF2027" i="1"/>
  <c r="BG2027" i="1" s="1"/>
  <c r="BE2027" i="1"/>
  <c r="BB2027" i="1"/>
  <c r="BC2027" i="1" s="1"/>
  <c r="BA2027" i="1"/>
  <c r="AX2027" i="1"/>
  <c r="AY2027" i="1" s="1"/>
  <c r="AW2027" i="1"/>
  <c r="AT2027" i="1"/>
  <c r="AU2027" i="1" s="1"/>
  <c r="AS2027" i="1"/>
  <c r="AQ2027" i="1"/>
  <c r="AP2027" i="1"/>
  <c r="AO2027" i="1"/>
  <c r="AM2027" i="1"/>
  <c r="AL2027" i="1"/>
  <c r="AK2027" i="1"/>
  <c r="AI2027" i="1"/>
  <c r="AH2027" i="1"/>
  <c r="AG2027" i="1"/>
  <c r="AE2027" i="1"/>
  <c r="AD2027" i="1"/>
  <c r="AC2027" i="1"/>
  <c r="Z2027" i="1"/>
  <c r="AA2027" i="1" s="1"/>
  <c r="Y2027" i="1"/>
  <c r="V2027" i="1"/>
  <c r="W2027" i="1" s="1"/>
  <c r="U2027" i="1"/>
  <c r="R2027" i="1"/>
  <c r="S2027" i="1" s="1"/>
  <c r="Q2027" i="1"/>
  <c r="N2027" i="1"/>
  <c r="O2027" i="1" s="1"/>
  <c r="M2027" i="1"/>
  <c r="K2027" i="1"/>
  <c r="J2027" i="1"/>
  <c r="I2027" i="1"/>
  <c r="G2027" i="1"/>
  <c r="F2027" i="1"/>
  <c r="E2027" i="1"/>
  <c r="BN2026" i="1"/>
  <c r="BL2026" i="1"/>
  <c r="BJ2026" i="1"/>
  <c r="BM2026" i="1" s="1"/>
  <c r="BI2026" i="1"/>
  <c r="BG2026" i="1"/>
  <c r="BF2026" i="1"/>
  <c r="BE2026" i="1"/>
  <c r="BC2026" i="1"/>
  <c r="BB2026" i="1"/>
  <c r="BA2026" i="1"/>
  <c r="AY2026" i="1"/>
  <c r="AX2026" i="1"/>
  <c r="AW2026" i="1"/>
  <c r="AT2026" i="1"/>
  <c r="AU2026" i="1" s="1"/>
  <c r="AS2026" i="1"/>
  <c r="AP2026" i="1"/>
  <c r="AQ2026" i="1" s="1"/>
  <c r="AO2026" i="1"/>
  <c r="AL2026" i="1"/>
  <c r="AM2026" i="1" s="1"/>
  <c r="AK2026" i="1"/>
  <c r="AH2026" i="1"/>
  <c r="AI2026" i="1" s="1"/>
  <c r="AG2026" i="1"/>
  <c r="AE2026" i="1"/>
  <c r="AD2026" i="1"/>
  <c r="AC2026" i="1"/>
  <c r="AA2026" i="1"/>
  <c r="Z2026" i="1"/>
  <c r="Y2026" i="1"/>
  <c r="W2026" i="1"/>
  <c r="V2026" i="1"/>
  <c r="U2026" i="1"/>
  <c r="S2026" i="1"/>
  <c r="R2026" i="1"/>
  <c r="Q2026" i="1"/>
  <c r="N2026" i="1"/>
  <c r="O2026" i="1" s="1"/>
  <c r="M2026" i="1"/>
  <c r="J2026" i="1"/>
  <c r="K2026" i="1" s="1"/>
  <c r="I2026" i="1"/>
  <c r="F2026" i="1"/>
  <c r="G2026" i="1" s="1"/>
  <c r="E2026" i="1"/>
  <c r="BN2025" i="1"/>
  <c r="BL2025" i="1"/>
  <c r="BJ2025" i="1"/>
  <c r="BM2025" i="1" s="1"/>
  <c r="BI2025" i="1"/>
  <c r="BF2025" i="1"/>
  <c r="BG2025" i="1" s="1"/>
  <c r="BE2025" i="1"/>
  <c r="BB2025" i="1"/>
  <c r="BC2025" i="1" s="1"/>
  <c r="BA2025" i="1"/>
  <c r="AY2025" i="1"/>
  <c r="AX2025" i="1"/>
  <c r="AW2025" i="1"/>
  <c r="AU2025" i="1"/>
  <c r="AT2025" i="1"/>
  <c r="AS2025" i="1"/>
  <c r="AQ2025" i="1"/>
  <c r="AP2025" i="1"/>
  <c r="AO2025" i="1"/>
  <c r="AM2025" i="1"/>
  <c r="AL2025" i="1"/>
  <c r="AK2025" i="1"/>
  <c r="AH2025" i="1"/>
  <c r="AI2025" i="1" s="1"/>
  <c r="AG2025" i="1"/>
  <c r="AD2025" i="1"/>
  <c r="AE2025" i="1" s="1"/>
  <c r="AC2025" i="1"/>
  <c r="Z2025" i="1"/>
  <c r="AA2025" i="1" s="1"/>
  <c r="Y2025" i="1"/>
  <c r="V2025" i="1"/>
  <c r="W2025" i="1" s="1"/>
  <c r="U2025" i="1"/>
  <c r="S2025" i="1"/>
  <c r="R2025" i="1"/>
  <c r="Q2025" i="1"/>
  <c r="O2025" i="1"/>
  <c r="N2025" i="1"/>
  <c r="M2025" i="1"/>
  <c r="K2025" i="1"/>
  <c r="J2025" i="1"/>
  <c r="I2025" i="1"/>
  <c r="G2025" i="1"/>
  <c r="F2025" i="1"/>
  <c r="E2025" i="1"/>
  <c r="BN2024" i="1"/>
  <c r="BM2024" i="1"/>
  <c r="BL2024" i="1"/>
  <c r="BJ2024" i="1"/>
  <c r="BI2024" i="1"/>
  <c r="BG2024" i="1"/>
  <c r="BF2024" i="1"/>
  <c r="BE2024" i="1"/>
  <c r="BB2024" i="1"/>
  <c r="BC2024" i="1" s="1"/>
  <c r="BA2024" i="1"/>
  <c r="AX2024" i="1"/>
  <c r="AY2024" i="1" s="1"/>
  <c r="AW2024" i="1"/>
  <c r="AT2024" i="1"/>
  <c r="AU2024" i="1" s="1"/>
  <c r="AS2024" i="1"/>
  <c r="AP2024" i="1"/>
  <c r="AQ2024" i="1" s="1"/>
  <c r="AO2024" i="1"/>
  <c r="AM2024" i="1"/>
  <c r="AL2024" i="1"/>
  <c r="AK2024" i="1"/>
  <c r="AI2024" i="1"/>
  <c r="AH2024" i="1"/>
  <c r="AG2024" i="1"/>
  <c r="AE2024" i="1"/>
  <c r="AD2024" i="1"/>
  <c r="AC2024" i="1"/>
  <c r="AA2024" i="1"/>
  <c r="Z2024" i="1"/>
  <c r="Y2024" i="1"/>
  <c r="V2024" i="1"/>
  <c r="W2024" i="1" s="1"/>
  <c r="U2024" i="1"/>
  <c r="R2024" i="1"/>
  <c r="S2024" i="1" s="1"/>
  <c r="Q2024" i="1"/>
  <c r="N2024" i="1"/>
  <c r="O2024" i="1" s="1"/>
  <c r="M2024" i="1"/>
  <c r="J2024" i="1"/>
  <c r="K2024" i="1" s="1"/>
  <c r="I2024" i="1"/>
  <c r="G2024" i="1"/>
  <c r="F2024" i="1"/>
  <c r="E2024" i="1"/>
  <c r="BN2023" i="1"/>
  <c r="BL2023" i="1"/>
  <c r="BJ2023" i="1"/>
  <c r="BM2023" i="1" s="1"/>
  <c r="BI2023" i="1"/>
  <c r="BG2023" i="1"/>
  <c r="BF2023" i="1"/>
  <c r="BE2023" i="1"/>
  <c r="BC2023" i="1"/>
  <c r="BB2023" i="1"/>
  <c r="BA2023" i="1"/>
  <c r="AY2023" i="1"/>
  <c r="AX2023" i="1"/>
  <c r="AW2023" i="1"/>
  <c r="AU2023" i="1"/>
  <c r="AT2023" i="1"/>
  <c r="AS2023" i="1"/>
  <c r="AP2023" i="1"/>
  <c r="AQ2023" i="1" s="1"/>
  <c r="AO2023" i="1"/>
  <c r="AL2023" i="1"/>
  <c r="AM2023" i="1" s="1"/>
  <c r="AK2023" i="1"/>
  <c r="AH2023" i="1"/>
  <c r="AI2023" i="1" s="1"/>
  <c r="AG2023" i="1"/>
  <c r="AD2023" i="1"/>
  <c r="AE2023" i="1" s="1"/>
  <c r="AC2023" i="1"/>
  <c r="AA2023" i="1"/>
  <c r="Z2023" i="1"/>
  <c r="Y2023" i="1"/>
  <c r="W2023" i="1"/>
  <c r="V2023" i="1"/>
  <c r="U2023" i="1"/>
  <c r="S2023" i="1"/>
  <c r="R2023" i="1"/>
  <c r="Q2023" i="1"/>
  <c r="O2023" i="1"/>
  <c r="N2023" i="1"/>
  <c r="M2023" i="1"/>
  <c r="J2023" i="1"/>
  <c r="K2023" i="1" s="1"/>
  <c r="I2023" i="1"/>
  <c r="F2023" i="1"/>
  <c r="G2023" i="1" s="1"/>
  <c r="E2023" i="1"/>
  <c r="BN2022" i="1"/>
  <c r="BM2022" i="1"/>
  <c r="BL2022" i="1"/>
  <c r="BJ2022" i="1"/>
  <c r="BI2022" i="1"/>
  <c r="BF2022" i="1"/>
  <c r="BG2022" i="1" s="1"/>
  <c r="BE2022" i="1"/>
  <c r="BB2022" i="1"/>
  <c r="BC2022" i="1" s="1"/>
  <c r="BA2022" i="1"/>
  <c r="AX2022" i="1"/>
  <c r="AY2022" i="1" s="1"/>
  <c r="AW2022" i="1"/>
  <c r="AU2022" i="1"/>
  <c r="AT2022" i="1"/>
  <c r="AS2022" i="1"/>
  <c r="AQ2022" i="1"/>
  <c r="AP2022" i="1"/>
  <c r="AO2022" i="1"/>
  <c r="AM2022" i="1"/>
  <c r="AL2022" i="1"/>
  <c r="AK2022" i="1"/>
  <c r="AI2022" i="1"/>
  <c r="AH2022" i="1"/>
  <c r="AG2022" i="1"/>
  <c r="AD2022" i="1"/>
  <c r="AE2022" i="1" s="1"/>
  <c r="AC2022" i="1"/>
  <c r="Z2022" i="1"/>
  <c r="AA2022" i="1" s="1"/>
  <c r="Y2022" i="1"/>
  <c r="V2022" i="1"/>
  <c r="W2022" i="1" s="1"/>
  <c r="U2022" i="1"/>
  <c r="R2022" i="1"/>
  <c r="S2022" i="1" s="1"/>
  <c r="Q2022" i="1"/>
  <c r="O2022" i="1"/>
  <c r="N2022" i="1"/>
  <c r="M2022" i="1"/>
  <c r="K2022" i="1"/>
  <c r="J2022" i="1"/>
  <c r="I2022" i="1"/>
  <c r="G2022" i="1"/>
  <c r="F2022" i="1"/>
  <c r="E2022" i="1"/>
  <c r="BN2021" i="1"/>
  <c r="BM2021" i="1" s="1"/>
  <c r="BL2021" i="1"/>
  <c r="BJ2021" i="1"/>
  <c r="BI2021" i="1"/>
  <c r="BG2021" i="1"/>
  <c r="BF2021" i="1"/>
  <c r="BE2021" i="1"/>
  <c r="BC2021" i="1"/>
  <c r="BB2021" i="1"/>
  <c r="BA2021" i="1"/>
  <c r="AX2021" i="1"/>
  <c r="AY2021" i="1" s="1"/>
  <c r="AW2021" i="1"/>
  <c r="AT2021" i="1"/>
  <c r="AU2021" i="1" s="1"/>
  <c r="AS2021" i="1"/>
  <c r="AP2021" i="1"/>
  <c r="AQ2021" i="1" s="1"/>
  <c r="AO2021" i="1"/>
  <c r="AL2021" i="1"/>
  <c r="AM2021" i="1" s="1"/>
  <c r="AK2021" i="1"/>
  <c r="AI2021" i="1"/>
  <c r="AH2021" i="1"/>
  <c r="AG2021" i="1"/>
  <c r="AE2021" i="1"/>
  <c r="AD2021" i="1"/>
  <c r="AC2021" i="1"/>
  <c r="AA2021" i="1"/>
  <c r="Z2021" i="1"/>
  <c r="Y2021" i="1"/>
  <c r="W2021" i="1"/>
  <c r="V2021" i="1"/>
  <c r="U2021" i="1"/>
  <c r="R2021" i="1"/>
  <c r="S2021" i="1" s="1"/>
  <c r="Q2021" i="1"/>
  <c r="N2021" i="1"/>
  <c r="O2021" i="1" s="1"/>
  <c r="M2021" i="1"/>
  <c r="J2021" i="1"/>
  <c r="K2021" i="1" s="1"/>
  <c r="I2021" i="1"/>
  <c r="F2021" i="1"/>
  <c r="G2021" i="1" s="1"/>
  <c r="E2021" i="1"/>
  <c r="BN2020" i="1"/>
  <c r="BL2020" i="1"/>
  <c r="BJ2020" i="1"/>
  <c r="BM2020" i="1" s="1"/>
  <c r="BI2020" i="1"/>
  <c r="BF2020" i="1"/>
  <c r="BG2020" i="1" s="1"/>
  <c r="BE2020" i="1"/>
  <c r="BC2020" i="1"/>
  <c r="BB2020" i="1"/>
  <c r="BA2020" i="1"/>
  <c r="AY2020" i="1"/>
  <c r="AX2020" i="1"/>
  <c r="AW2020" i="1"/>
  <c r="AU2020" i="1"/>
  <c r="AT2020" i="1"/>
  <c r="AS2020" i="1"/>
  <c r="AQ2020" i="1"/>
  <c r="AP2020" i="1"/>
  <c r="AO2020" i="1"/>
  <c r="AL2020" i="1"/>
  <c r="AM2020" i="1" s="1"/>
  <c r="AK2020" i="1"/>
  <c r="AH2020" i="1"/>
  <c r="AI2020" i="1" s="1"/>
  <c r="AG2020" i="1"/>
  <c r="AD2020" i="1"/>
  <c r="AE2020" i="1" s="1"/>
  <c r="AC2020" i="1"/>
  <c r="Z2020" i="1"/>
  <c r="AA2020" i="1" s="1"/>
  <c r="Y2020" i="1"/>
  <c r="W2020" i="1"/>
  <c r="V2020" i="1"/>
  <c r="U2020" i="1"/>
  <c r="S2020" i="1"/>
  <c r="R2020" i="1"/>
  <c r="Q2020" i="1"/>
  <c r="O2020" i="1"/>
  <c r="N2020" i="1"/>
  <c r="M2020" i="1"/>
  <c r="K2020" i="1"/>
  <c r="J2020" i="1"/>
  <c r="I2020" i="1"/>
  <c r="F2020" i="1"/>
  <c r="G2020" i="1" s="1"/>
  <c r="E2020" i="1"/>
  <c r="BN2019" i="1"/>
  <c r="BM2019" i="1"/>
  <c r="BL2019" i="1"/>
  <c r="BJ2019" i="1"/>
  <c r="BI2019" i="1"/>
  <c r="BF2019" i="1"/>
  <c r="BG2019" i="1" s="1"/>
  <c r="BE2019" i="1"/>
  <c r="BB2019" i="1"/>
  <c r="BC2019" i="1" s="1"/>
  <c r="BA2019" i="1"/>
  <c r="AX2019" i="1"/>
  <c r="AY2019" i="1" s="1"/>
  <c r="AW2019" i="1"/>
  <c r="AT2019" i="1"/>
  <c r="AU2019" i="1" s="1"/>
  <c r="AS2019" i="1"/>
  <c r="AQ2019" i="1"/>
  <c r="AP2019" i="1"/>
  <c r="AO2019" i="1"/>
  <c r="AM2019" i="1"/>
  <c r="AL2019" i="1"/>
  <c r="AK2019" i="1"/>
  <c r="AI2019" i="1"/>
  <c r="AH2019" i="1"/>
  <c r="AG2019" i="1"/>
  <c r="AE2019" i="1"/>
  <c r="AD2019" i="1"/>
  <c r="AC2019" i="1"/>
  <c r="Z2019" i="1"/>
  <c r="AA2019" i="1" s="1"/>
  <c r="Y2019" i="1"/>
  <c r="V2019" i="1"/>
  <c r="W2019" i="1" s="1"/>
  <c r="U2019" i="1"/>
  <c r="R2019" i="1"/>
  <c r="S2019" i="1" s="1"/>
  <c r="Q2019" i="1"/>
  <c r="N2019" i="1"/>
  <c r="O2019" i="1" s="1"/>
  <c r="M2019" i="1"/>
  <c r="K2019" i="1"/>
  <c r="J2019" i="1"/>
  <c r="I2019" i="1"/>
  <c r="G2019" i="1"/>
  <c r="F2019" i="1"/>
  <c r="E2019" i="1"/>
  <c r="BN2018" i="1"/>
  <c r="BL2018" i="1"/>
  <c r="BJ2018" i="1"/>
  <c r="BM2018" i="1" s="1"/>
  <c r="BI2018" i="1"/>
  <c r="BG2018" i="1"/>
  <c r="BF2018" i="1"/>
  <c r="BE2018" i="1"/>
  <c r="BC2018" i="1"/>
  <c r="BB2018" i="1"/>
  <c r="BA2018" i="1"/>
  <c r="AY2018" i="1"/>
  <c r="AX2018" i="1"/>
  <c r="AW2018" i="1"/>
  <c r="AT2018" i="1"/>
  <c r="AU2018" i="1" s="1"/>
  <c r="AS2018" i="1"/>
  <c r="AP2018" i="1"/>
  <c r="AQ2018" i="1" s="1"/>
  <c r="AO2018" i="1"/>
  <c r="AL2018" i="1"/>
  <c r="AM2018" i="1" s="1"/>
  <c r="AK2018" i="1"/>
  <c r="AH2018" i="1"/>
  <c r="AI2018" i="1" s="1"/>
  <c r="AG2018" i="1"/>
  <c r="AE2018" i="1"/>
  <c r="AD2018" i="1"/>
  <c r="AC2018" i="1"/>
  <c r="AA2018" i="1"/>
  <c r="Z2018" i="1"/>
  <c r="Y2018" i="1"/>
  <c r="W2018" i="1"/>
  <c r="V2018" i="1"/>
  <c r="U2018" i="1"/>
  <c r="S2018" i="1"/>
  <c r="R2018" i="1"/>
  <c r="Q2018" i="1"/>
  <c r="N2018" i="1"/>
  <c r="O2018" i="1" s="1"/>
  <c r="M2018" i="1"/>
  <c r="J2018" i="1"/>
  <c r="K2018" i="1" s="1"/>
  <c r="I2018" i="1"/>
  <c r="F2018" i="1"/>
  <c r="G2018" i="1" s="1"/>
  <c r="E2018" i="1"/>
  <c r="BN2017" i="1"/>
  <c r="BL2017" i="1"/>
  <c r="BJ2017" i="1"/>
  <c r="BM2017" i="1" s="1"/>
  <c r="BI2017" i="1"/>
  <c r="BF2017" i="1"/>
  <c r="BG2017" i="1" s="1"/>
  <c r="BE2017" i="1"/>
  <c r="BB2017" i="1"/>
  <c r="BC2017" i="1" s="1"/>
  <c r="BA2017" i="1"/>
  <c r="AY2017" i="1"/>
  <c r="AX2017" i="1"/>
  <c r="AW2017" i="1"/>
  <c r="AU2017" i="1"/>
  <c r="AT2017" i="1"/>
  <c r="AS2017" i="1"/>
  <c r="AQ2017" i="1"/>
  <c r="AP2017" i="1"/>
  <c r="AO2017" i="1"/>
  <c r="AM2017" i="1"/>
  <c r="AL2017" i="1"/>
  <c r="AK2017" i="1"/>
  <c r="AH2017" i="1"/>
  <c r="AI2017" i="1" s="1"/>
  <c r="AG2017" i="1"/>
  <c r="AD2017" i="1"/>
  <c r="AE2017" i="1" s="1"/>
  <c r="AC2017" i="1"/>
  <c r="Z2017" i="1"/>
  <c r="AA2017" i="1" s="1"/>
  <c r="Y2017" i="1"/>
  <c r="V2017" i="1"/>
  <c r="W2017" i="1" s="1"/>
  <c r="U2017" i="1"/>
  <c r="S2017" i="1"/>
  <c r="R2017" i="1"/>
  <c r="Q2017" i="1"/>
  <c r="O2017" i="1"/>
  <c r="N2017" i="1"/>
  <c r="M2017" i="1"/>
  <c r="K2017" i="1"/>
  <c r="J2017" i="1"/>
  <c r="I2017" i="1"/>
  <c r="G2017" i="1"/>
  <c r="F2017" i="1"/>
  <c r="E2017" i="1"/>
  <c r="BN2016" i="1"/>
  <c r="BM2016" i="1"/>
  <c r="BL2016" i="1"/>
  <c r="BJ2016" i="1"/>
  <c r="BI2016" i="1"/>
  <c r="BG2016" i="1"/>
  <c r="BF2016" i="1"/>
  <c r="BE2016" i="1"/>
  <c r="BB2016" i="1"/>
  <c r="BC2016" i="1" s="1"/>
  <c r="BA2016" i="1"/>
  <c r="AX2016" i="1"/>
  <c r="AY2016" i="1" s="1"/>
  <c r="AW2016" i="1"/>
  <c r="AT2016" i="1"/>
  <c r="AU2016" i="1" s="1"/>
  <c r="AS2016" i="1"/>
  <c r="AP2016" i="1"/>
  <c r="AQ2016" i="1" s="1"/>
  <c r="AO2016" i="1"/>
  <c r="AM2016" i="1"/>
  <c r="AL2016" i="1"/>
  <c r="AK2016" i="1"/>
  <c r="AI2016" i="1"/>
  <c r="AH2016" i="1"/>
  <c r="AG2016" i="1"/>
  <c r="AE2016" i="1"/>
  <c r="AD2016" i="1"/>
  <c r="AC2016" i="1"/>
  <c r="AA2016" i="1"/>
  <c r="Z2016" i="1"/>
  <c r="Y2016" i="1"/>
  <c r="V2016" i="1"/>
  <c r="W2016" i="1" s="1"/>
  <c r="U2016" i="1"/>
  <c r="R2016" i="1"/>
  <c r="S2016" i="1" s="1"/>
  <c r="Q2016" i="1"/>
  <c r="N2016" i="1"/>
  <c r="O2016" i="1" s="1"/>
  <c r="M2016" i="1"/>
  <c r="J2016" i="1"/>
  <c r="K2016" i="1" s="1"/>
  <c r="I2016" i="1"/>
  <c r="G2016" i="1"/>
  <c r="F2016" i="1"/>
  <c r="E2016" i="1"/>
  <c r="BN2015" i="1"/>
  <c r="BL2015" i="1"/>
  <c r="BJ2015" i="1"/>
  <c r="BM2015" i="1" s="1"/>
  <c r="BI2015" i="1"/>
  <c r="BG2015" i="1"/>
  <c r="BF2015" i="1"/>
  <c r="BE2015" i="1"/>
  <c r="BC2015" i="1"/>
  <c r="BB2015" i="1"/>
  <c r="BA2015" i="1"/>
  <c r="AY2015" i="1"/>
  <c r="AX2015" i="1"/>
  <c r="AW2015" i="1"/>
  <c r="AU2015" i="1"/>
  <c r="AT2015" i="1"/>
  <c r="AS2015" i="1"/>
  <c r="AP2015" i="1"/>
  <c r="AQ2015" i="1" s="1"/>
  <c r="AO2015" i="1"/>
  <c r="AL2015" i="1"/>
  <c r="AM2015" i="1" s="1"/>
  <c r="AK2015" i="1"/>
  <c r="AH2015" i="1"/>
  <c r="AI2015" i="1" s="1"/>
  <c r="AG2015" i="1"/>
  <c r="AD2015" i="1"/>
  <c r="AE2015" i="1" s="1"/>
  <c r="AC2015" i="1"/>
  <c r="AA2015" i="1"/>
  <c r="Z2015" i="1"/>
  <c r="Y2015" i="1"/>
  <c r="W2015" i="1"/>
  <c r="V2015" i="1"/>
  <c r="U2015" i="1"/>
  <c r="S2015" i="1"/>
  <c r="R2015" i="1"/>
  <c r="Q2015" i="1"/>
  <c r="O2015" i="1"/>
  <c r="N2015" i="1"/>
  <c r="M2015" i="1"/>
  <c r="J2015" i="1"/>
  <c r="K2015" i="1" s="1"/>
  <c r="I2015" i="1"/>
  <c r="F2015" i="1"/>
  <c r="G2015" i="1" s="1"/>
  <c r="E2015" i="1"/>
  <c r="BN2014" i="1"/>
  <c r="BM2014" i="1"/>
  <c r="BL2014" i="1"/>
  <c r="BJ2014" i="1"/>
  <c r="BI2014" i="1"/>
  <c r="BF2014" i="1"/>
  <c r="BG2014" i="1" s="1"/>
  <c r="BE2014" i="1"/>
  <c r="BB2014" i="1"/>
  <c r="BC2014" i="1" s="1"/>
  <c r="BA2014" i="1"/>
  <c r="AX2014" i="1"/>
  <c r="AY2014" i="1" s="1"/>
  <c r="AW2014" i="1"/>
  <c r="AU2014" i="1"/>
  <c r="AT2014" i="1"/>
  <c r="AS2014" i="1"/>
  <c r="AQ2014" i="1"/>
  <c r="AP2014" i="1"/>
  <c r="AO2014" i="1"/>
  <c r="AM2014" i="1"/>
  <c r="AL2014" i="1"/>
  <c r="AK2014" i="1"/>
  <c r="AI2014" i="1"/>
  <c r="AH2014" i="1"/>
  <c r="AG2014" i="1"/>
  <c r="AD2014" i="1"/>
  <c r="AE2014" i="1" s="1"/>
  <c r="AC2014" i="1"/>
  <c r="Z2014" i="1"/>
  <c r="AA2014" i="1" s="1"/>
  <c r="Y2014" i="1"/>
  <c r="V2014" i="1"/>
  <c r="W2014" i="1" s="1"/>
  <c r="U2014" i="1"/>
  <c r="R2014" i="1"/>
  <c r="S2014" i="1" s="1"/>
  <c r="Q2014" i="1"/>
  <c r="O2014" i="1"/>
  <c r="N2014" i="1"/>
  <c r="M2014" i="1"/>
  <c r="K2014" i="1"/>
  <c r="J2014" i="1"/>
  <c r="I2014" i="1"/>
  <c r="G2014" i="1"/>
  <c r="F2014" i="1"/>
  <c r="E2014" i="1"/>
  <c r="BN2013" i="1"/>
  <c r="BM2013" i="1" s="1"/>
  <c r="BL2013" i="1"/>
  <c r="BJ2013" i="1"/>
  <c r="BI2013" i="1"/>
  <c r="BG2013" i="1"/>
  <c r="BF2013" i="1"/>
  <c r="BE2013" i="1"/>
  <c r="BC2013" i="1"/>
  <c r="BB2013" i="1"/>
  <c r="BA2013" i="1"/>
  <c r="AX2013" i="1"/>
  <c r="AY2013" i="1" s="1"/>
  <c r="AW2013" i="1"/>
  <c r="AT2013" i="1"/>
  <c r="AU2013" i="1" s="1"/>
  <c r="AS2013" i="1"/>
  <c r="AP2013" i="1"/>
  <c r="AQ2013" i="1" s="1"/>
  <c r="AO2013" i="1"/>
  <c r="AL2013" i="1"/>
  <c r="AK2013" i="1"/>
  <c r="AI2013" i="1"/>
  <c r="AH2013" i="1"/>
  <c r="AG2013" i="1"/>
  <c r="AE2013" i="1"/>
  <c r="AD2013" i="1"/>
  <c r="AC2013" i="1"/>
  <c r="AA2013" i="1"/>
  <c r="Z2013" i="1"/>
  <c r="Y2013" i="1"/>
  <c r="W2013" i="1"/>
  <c r="V2013" i="1"/>
  <c r="U2013" i="1"/>
  <c r="R2013" i="1"/>
  <c r="S2013" i="1" s="1"/>
  <c r="Q2013" i="1"/>
  <c r="N2013" i="1"/>
  <c r="O2013" i="1" s="1"/>
  <c r="M2013" i="1"/>
  <c r="J2013" i="1"/>
  <c r="K2013" i="1" s="1"/>
  <c r="I2013" i="1"/>
  <c r="F2013" i="1"/>
  <c r="E2013" i="1"/>
  <c r="BN2012" i="1"/>
  <c r="BL2012" i="1"/>
  <c r="BJ2012" i="1"/>
  <c r="BI2012" i="1"/>
  <c r="BF2012" i="1"/>
  <c r="BG2012" i="1" s="1"/>
  <c r="BE2012" i="1"/>
  <c r="BB2012" i="1"/>
  <c r="BA2012" i="1"/>
  <c r="AY2012" i="1"/>
  <c r="AX2012" i="1"/>
  <c r="AW2012" i="1"/>
  <c r="AU2012" i="1"/>
  <c r="AT2012" i="1"/>
  <c r="AS2012" i="1"/>
  <c r="AQ2012" i="1"/>
  <c r="AP2012" i="1"/>
  <c r="AO2012" i="1"/>
  <c r="AL2012" i="1"/>
  <c r="AM2012" i="1" s="1"/>
  <c r="AK2012" i="1"/>
  <c r="AH2012" i="1"/>
  <c r="AI2012" i="1" s="1"/>
  <c r="AG2012" i="1"/>
  <c r="AF2012" i="1"/>
  <c r="AE2012" i="1"/>
  <c r="AD2012" i="1"/>
  <c r="AC2012" i="1"/>
  <c r="AA2012" i="1"/>
  <c r="Z2012" i="1"/>
  <c r="Y2012" i="1"/>
  <c r="W2012" i="1"/>
  <c r="V2012" i="1"/>
  <c r="U2012" i="1"/>
  <c r="R2012" i="1"/>
  <c r="S2012" i="1" s="1"/>
  <c r="Q2012" i="1"/>
  <c r="N2012" i="1"/>
  <c r="O2012" i="1" s="1"/>
  <c r="M2012" i="1"/>
  <c r="J2012" i="1"/>
  <c r="K2012" i="1" s="1"/>
  <c r="I2012" i="1"/>
  <c r="F2012" i="1"/>
  <c r="E2012" i="1"/>
  <c r="BN2011" i="1"/>
  <c r="BL2011" i="1"/>
  <c r="BJ2011" i="1"/>
  <c r="BI2011" i="1"/>
  <c r="BF2011" i="1"/>
  <c r="BG2011" i="1" s="1"/>
  <c r="BE2011" i="1"/>
  <c r="BB2011" i="1"/>
  <c r="BA2011" i="1"/>
  <c r="AY2011" i="1"/>
  <c r="AX2011" i="1"/>
  <c r="AW2011" i="1"/>
  <c r="AU2011" i="1"/>
  <c r="AT2011" i="1"/>
  <c r="AS2011" i="1"/>
  <c r="AQ2011" i="1"/>
  <c r="AP2011" i="1"/>
  <c r="AO2011" i="1"/>
  <c r="AL2011" i="1"/>
  <c r="AM2011" i="1" s="1"/>
  <c r="AK2011" i="1"/>
  <c r="AH2011" i="1"/>
  <c r="AI2011" i="1" s="1"/>
  <c r="AG2011" i="1"/>
  <c r="AD2011" i="1"/>
  <c r="AC2011" i="1"/>
  <c r="Z2011" i="1"/>
  <c r="AA2011" i="1" s="1"/>
  <c r="Y2011" i="1"/>
  <c r="V2011" i="1"/>
  <c r="U2011" i="1"/>
  <c r="S2011" i="1"/>
  <c r="R2011" i="1"/>
  <c r="Q2011" i="1"/>
  <c r="O2011" i="1"/>
  <c r="N2011" i="1"/>
  <c r="M2011" i="1"/>
  <c r="K2011" i="1"/>
  <c r="J2011" i="1"/>
  <c r="I2011" i="1"/>
  <c r="F2011" i="1"/>
  <c r="G2011" i="1" s="1"/>
  <c r="E2011" i="1"/>
  <c r="BN2010" i="1"/>
  <c r="BM2010" i="1"/>
  <c r="BL2010" i="1"/>
  <c r="BJ2010" i="1"/>
  <c r="BI2010" i="1"/>
  <c r="BF2010" i="1"/>
  <c r="BG2010" i="1" s="1"/>
  <c r="BE2010" i="1"/>
  <c r="BB2010" i="1"/>
  <c r="BC2010" i="1" s="1"/>
  <c r="BA2010" i="1"/>
  <c r="AX2010" i="1"/>
  <c r="AW2010" i="1"/>
  <c r="AT2010" i="1"/>
  <c r="AU2010" i="1" s="1"/>
  <c r="AS2010" i="1"/>
  <c r="AP2010" i="1"/>
  <c r="AO2010" i="1"/>
  <c r="AM2010" i="1"/>
  <c r="AL2010" i="1"/>
  <c r="AK2010" i="1"/>
  <c r="AI2010" i="1"/>
  <c r="AH2010" i="1"/>
  <c r="AG2010" i="1"/>
  <c r="AE2010" i="1"/>
  <c r="AD2010" i="1"/>
  <c r="AC2010" i="1"/>
  <c r="Z2010" i="1"/>
  <c r="AA2010" i="1" s="1"/>
  <c r="Y2010" i="1"/>
  <c r="V2010" i="1"/>
  <c r="W2010" i="1" s="1"/>
  <c r="U2010" i="1"/>
  <c r="R2010" i="1"/>
  <c r="Q2010" i="1"/>
  <c r="N2010" i="1"/>
  <c r="M2010" i="1"/>
  <c r="J2010" i="1"/>
  <c r="I2010" i="1"/>
  <c r="G2010" i="1"/>
  <c r="F2010" i="1"/>
  <c r="E2010" i="1"/>
  <c r="BN2009" i="1"/>
  <c r="BL2009" i="1"/>
  <c r="BJ2009" i="1"/>
  <c r="BI2009" i="1"/>
  <c r="BG2009" i="1"/>
  <c r="BF2009" i="1"/>
  <c r="BE2009" i="1"/>
  <c r="BC2009" i="1"/>
  <c r="BB2009" i="1"/>
  <c r="BA2009" i="1"/>
  <c r="AY2009" i="1"/>
  <c r="AX2009" i="1"/>
  <c r="AW2009" i="1"/>
  <c r="AT2009" i="1"/>
  <c r="AU2009" i="1" s="1"/>
  <c r="AS2009" i="1"/>
  <c r="AP2009" i="1"/>
  <c r="AQ2009" i="1" s="1"/>
  <c r="AO2009" i="1"/>
  <c r="AL2009" i="1"/>
  <c r="AM2009" i="1" s="1"/>
  <c r="AK2009" i="1"/>
  <c r="AH2009" i="1"/>
  <c r="AF2009" i="1"/>
  <c r="AG2009" i="1" s="1"/>
  <c r="AE2009" i="1"/>
  <c r="AD2009" i="1"/>
  <c r="AC2009" i="1"/>
  <c r="Z2009" i="1"/>
  <c r="AA2009" i="1" s="1"/>
  <c r="Y2009" i="1"/>
  <c r="X2009" i="1"/>
  <c r="V2009" i="1"/>
  <c r="W2009" i="1" s="1"/>
  <c r="T2009" i="1"/>
  <c r="U2009" i="1" s="1"/>
  <c r="R2009" i="1"/>
  <c r="Q2009" i="1"/>
  <c r="P2009" i="1"/>
  <c r="O2009" i="1"/>
  <c r="N2009" i="1"/>
  <c r="M2009" i="1"/>
  <c r="K2009" i="1"/>
  <c r="J2009" i="1"/>
  <c r="I2009" i="1"/>
  <c r="G2009" i="1"/>
  <c r="F2009" i="1"/>
  <c r="E2009" i="1"/>
  <c r="BN2008" i="1"/>
  <c r="BM2008" i="1" s="1"/>
  <c r="BL2008" i="1"/>
  <c r="BJ2008" i="1"/>
  <c r="BI2008" i="1"/>
  <c r="BG2008" i="1"/>
  <c r="BF2008" i="1"/>
  <c r="BE2008" i="1"/>
  <c r="BC2008" i="1"/>
  <c r="BB2008" i="1"/>
  <c r="BA2008" i="1"/>
  <c r="AX2008" i="1"/>
  <c r="AY2008" i="1" s="1"/>
  <c r="AW2008" i="1"/>
  <c r="AT2008" i="1"/>
  <c r="AU2008" i="1" s="1"/>
  <c r="AS2008" i="1"/>
  <c r="AP2008" i="1"/>
  <c r="AQ2008" i="1" s="1"/>
  <c r="AO2008" i="1"/>
  <c r="AL2008" i="1"/>
  <c r="AK2008" i="1"/>
  <c r="AH2008" i="1"/>
  <c r="AI2008" i="1" s="1"/>
  <c r="AF2008" i="1"/>
  <c r="AG2008" i="1" s="1"/>
  <c r="AD2008" i="1"/>
  <c r="AC2008" i="1"/>
  <c r="Z2008" i="1"/>
  <c r="AA2008" i="1" s="1"/>
  <c r="Y2008" i="1"/>
  <c r="X2008" i="1"/>
  <c r="V2008" i="1"/>
  <c r="T2008" i="1"/>
  <c r="U2008" i="1" s="1"/>
  <c r="R2008" i="1"/>
  <c r="S2008" i="1" s="1"/>
  <c r="Q2008" i="1"/>
  <c r="P2008" i="1"/>
  <c r="N2008" i="1"/>
  <c r="M2008" i="1"/>
  <c r="K2008" i="1"/>
  <c r="J2008" i="1"/>
  <c r="I2008" i="1"/>
  <c r="G2008" i="1"/>
  <c r="F2008" i="1"/>
  <c r="E2008" i="1"/>
  <c r="BN2007" i="1"/>
  <c r="BM2007" i="1"/>
  <c r="BL2007" i="1"/>
  <c r="BJ2007" i="1"/>
  <c r="BI2007" i="1"/>
  <c r="BG2007" i="1"/>
  <c r="BF2007" i="1"/>
  <c r="BE2007" i="1"/>
  <c r="BB2007" i="1"/>
  <c r="BC2007" i="1" s="1"/>
  <c r="BA2007" i="1"/>
  <c r="AX2007" i="1"/>
  <c r="AY2007" i="1" s="1"/>
  <c r="AW2007" i="1"/>
  <c r="AT2007" i="1"/>
  <c r="AS2007" i="1"/>
  <c r="AP2007" i="1"/>
  <c r="AQ2007" i="1" s="1"/>
  <c r="AO2007" i="1"/>
  <c r="AL2007" i="1"/>
  <c r="AM2007" i="1" s="1"/>
  <c r="AK2007" i="1"/>
  <c r="AH2007" i="1"/>
  <c r="AF2007" i="1"/>
  <c r="AG2007" i="1" s="1"/>
  <c r="AD2007" i="1"/>
  <c r="AE2007" i="1" s="1"/>
  <c r="AC2007" i="1"/>
  <c r="Z2007" i="1"/>
  <c r="X2007" i="1"/>
  <c r="Y2007" i="1" s="1"/>
  <c r="W2007" i="1"/>
  <c r="V2007" i="1"/>
  <c r="T2007" i="1"/>
  <c r="U2007" i="1" s="1"/>
  <c r="R2007" i="1"/>
  <c r="S2007" i="1" s="1"/>
  <c r="P2007" i="1"/>
  <c r="Q2007" i="1" s="1"/>
  <c r="N2007" i="1"/>
  <c r="M2007" i="1"/>
  <c r="L2007" i="1"/>
  <c r="J2007" i="1"/>
  <c r="K2007" i="1" s="1"/>
  <c r="I2007" i="1"/>
  <c r="F2007" i="1"/>
  <c r="G2007" i="1" s="1"/>
  <c r="E2007" i="1"/>
  <c r="BN2006" i="1"/>
  <c r="BM2006" i="1"/>
  <c r="BL2006" i="1"/>
  <c r="BJ2006" i="1"/>
  <c r="BI2006" i="1"/>
  <c r="BF2006" i="1"/>
  <c r="BE2006" i="1"/>
  <c r="BB2006" i="1"/>
  <c r="BA2006" i="1"/>
  <c r="AY2006" i="1"/>
  <c r="AX2006" i="1"/>
  <c r="AW2006" i="1"/>
  <c r="AU2006" i="1"/>
  <c r="AT2006" i="1"/>
  <c r="AS2006" i="1"/>
  <c r="AQ2006" i="1"/>
  <c r="AP2006" i="1"/>
  <c r="AO2006" i="1"/>
  <c r="AL2006" i="1"/>
  <c r="AM2006" i="1" s="1"/>
  <c r="AK2006" i="1"/>
  <c r="AH2006" i="1"/>
  <c r="AI2006" i="1" s="1"/>
  <c r="AG2006" i="1"/>
  <c r="AD2006" i="1"/>
  <c r="AC2006" i="1"/>
  <c r="Z2006" i="1"/>
  <c r="AA2006" i="1" s="1"/>
  <c r="Y2006" i="1"/>
  <c r="V2006" i="1"/>
  <c r="U2006" i="1"/>
  <c r="R2006" i="1"/>
  <c r="Q2006" i="1"/>
  <c r="O2006" i="1"/>
  <c r="N2006" i="1"/>
  <c r="M2006" i="1"/>
  <c r="K2006" i="1"/>
  <c r="J2006" i="1"/>
  <c r="I2006" i="1"/>
  <c r="F2006" i="1"/>
  <c r="E2006" i="1"/>
  <c r="BN2005" i="1"/>
  <c r="BL2005" i="1"/>
  <c r="BJ2005" i="1"/>
  <c r="BM2005" i="1" s="1"/>
  <c r="BI2005" i="1"/>
  <c r="BF2005" i="1"/>
  <c r="BE2005" i="1"/>
  <c r="BB2005" i="1"/>
  <c r="BC2005" i="1" s="1"/>
  <c r="BA2005" i="1"/>
  <c r="AX2005" i="1"/>
  <c r="AY2005" i="1" s="1"/>
  <c r="AW2005" i="1"/>
  <c r="AU2005" i="1"/>
  <c r="AT2005" i="1"/>
  <c r="AS2005" i="1"/>
  <c r="AP2005" i="1"/>
  <c r="AQ2005" i="1" s="1"/>
  <c r="AO2005" i="1"/>
  <c r="AL2005" i="1"/>
  <c r="AK2005" i="1"/>
  <c r="AI2005" i="1"/>
  <c r="AH2005" i="1"/>
  <c r="AG2005" i="1"/>
  <c r="AE2005" i="1"/>
  <c r="AD2005" i="1"/>
  <c r="AC2005" i="1"/>
  <c r="Z2005" i="1"/>
  <c r="AA2005" i="1" s="1"/>
  <c r="Y2005" i="1"/>
  <c r="V2005" i="1"/>
  <c r="U2005" i="1"/>
  <c r="R2005" i="1"/>
  <c r="S2005" i="1" s="1"/>
  <c r="Q2005" i="1"/>
  <c r="N2005" i="1"/>
  <c r="M2005" i="1"/>
  <c r="J2005" i="1"/>
  <c r="I2005" i="1"/>
  <c r="G2005" i="1"/>
  <c r="F2005" i="1"/>
  <c r="E2005" i="1"/>
  <c r="BN2004" i="1"/>
  <c r="BL2004" i="1"/>
  <c r="BJ2004" i="1"/>
  <c r="BI2004" i="1"/>
  <c r="BG2004" i="1"/>
  <c r="BF2004" i="1"/>
  <c r="BE2004" i="1"/>
  <c r="BC2004" i="1"/>
  <c r="BB2004" i="1"/>
  <c r="BA2004" i="1"/>
  <c r="AY2004" i="1"/>
  <c r="AX2004" i="1"/>
  <c r="AW2004" i="1"/>
  <c r="AT2004" i="1"/>
  <c r="AU2004" i="1" s="1"/>
  <c r="AS2004" i="1"/>
  <c r="AP2004" i="1"/>
  <c r="AO2004" i="1"/>
  <c r="AM2004" i="1"/>
  <c r="AL2004" i="1"/>
  <c r="AK2004" i="1"/>
  <c r="AH2004" i="1"/>
  <c r="AI2004" i="1" s="1"/>
  <c r="AG2004" i="1"/>
  <c r="AD2004" i="1"/>
  <c r="AC2004" i="1"/>
  <c r="Z2004" i="1"/>
  <c r="Y2004" i="1"/>
  <c r="W2004" i="1"/>
  <c r="V2004" i="1"/>
  <c r="U2004" i="1"/>
  <c r="S2004" i="1"/>
  <c r="R2004" i="1"/>
  <c r="Q2004" i="1"/>
  <c r="N2004" i="1"/>
  <c r="M2004" i="1"/>
  <c r="J2004" i="1"/>
  <c r="K2004" i="1" s="1"/>
  <c r="I2004" i="1"/>
  <c r="F2004" i="1"/>
  <c r="G2004" i="1" s="1"/>
  <c r="E2004" i="1"/>
  <c r="BN2003" i="1"/>
  <c r="BL2003" i="1"/>
  <c r="BJ2003" i="1"/>
  <c r="BM2003" i="1" s="1"/>
  <c r="BI2003" i="1"/>
  <c r="BF2003" i="1"/>
  <c r="BE2003" i="1"/>
  <c r="BB2003" i="1"/>
  <c r="BA2003" i="1"/>
  <c r="AY2003" i="1"/>
  <c r="AX2003" i="1"/>
  <c r="AW2003" i="1"/>
  <c r="AU2003" i="1"/>
  <c r="AT2003" i="1"/>
  <c r="AS2003" i="1"/>
  <c r="AQ2003" i="1"/>
  <c r="AP2003" i="1"/>
  <c r="AO2003" i="1"/>
  <c r="AL2003" i="1"/>
  <c r="AM2003" i="1" s="1"/>
  <c r="AK2003" i="1"/>
  <c r="AH2003" i="1"/>
  <c r="AI2003" i="1" s="1"/>
  <c r="AG2003" i="1"/>
  <c r="AD2003" i="1"/>
  <c r="AC2003" i="1"/>
  <c r="AA2003" i="1"/>
  <c r="Z2003" i="1"/>
  <c r="Y2003" i="1"/>
  <c r="W2003" i="1"/>
  <c r="V2003" i="1"/>
  <c r="U2003" i="1"/>
  <c r="R2003" i="1"/>
  <c r="S2003" i="1" s="1"/>
  <c r="Q2003" i="1"/>
  <c r="N2003" i="1"/>
  <c r="M2003" i="1"/>
  <c r="K2003" i="1"/>
  <c r="J2003" i="1"/>
  <c r="I2003" i="1"/>
  <c r="F2003" i="1"/>
  <c r="G2003" i="1" s="1"/>
  <c r="E2003" i="1"/>
  <c r="BN2002" i="1"/>
  <c r="BM2002" i="1"/>
  <c r="BL2002" i="1"/>
  <c r="BJ2002" i="1"/>
  <c r="BI2002" i="1"/>
  <c r="BF2002" i="1"/>
  <c r="BG2002" i="1" s="1"/>
  <c r="BE2002" i="1"/>
  <c r="BB2002" i="1"/>
  <c r="BA2002" i="1"/>
  <c r="AX2002" i="1"/>
  <c r="AY2002" i="1" s="1"/>
  <c r="AW2002" i="1"/>
  <c r="AT2002" i="1"/>
  <c r="AU2002" i="1" s="1"/>
  <c r="AS2002" i="1"/>
  <c r="AP2002" i="1"/>
  <c r="AQ2002" i="1" s="1"/>
  <c r="AO2002" i="1"/>
  <c r="AM2002" i="1"/>
  <c r="AL2002" i="1"/>
  <c r="AK2002" i="1"/>
  <c r="AI2002" i="1"/>
  <c r="AH2002" i="1"/>
  <c r="AG2002" i="1"/>
  <c r="AE2002" i="1"/>
  <c r="AD2002" i="1"/>
  <c r="AC2002" i="1"/>
  <c r="Z2002" i="1"/>
  <c r="AA2002" i="1" s="1"/>
  <c r="Y2002" i="1"/>
  <c r="V2002" i="1"/>
  <c r="W2002" i="1" s="1"/>
  <c r="U2002" i="1"/>
  <c r="R2002" i="1"/>
  <c r="Q2002" i="1"/>
  <c r="O2002" i="1"/>
  <c r="N2002" i="1"/>
  <c r="M2002" i="1"/>
  <c r="J2002" i="1"/>
  <c r="K2002" i="1" s="1"/>
  <c r="I2002" i="1"/>
  <c r="F2002" i="1"/>
  <c r="G2002" i="1" s="1"/>
  <c r="E2002" i="1"/>
  <c r="BN2001" i="1"/>
  <c r="BL2001" i="1"/>
  <c r="BJ2001" i="1"/>
  <c r="BM2001" i="1" s="1"/>
  <c r="BI2001" i="1"/>
  <c r="BF2001" i="1"/>
  <c r="BG2001" i="1" s="1"/>
  <c r="BE2001" i="1"/>
  <c r="BC2001" i="1"/>
  <c r="BB2001" i="1"/>
  <c r="BA2001" i="1"/>
  <c r="AX2001" i="1"/>
  <c r="AY2001" i="1" s="1"/>
  <c r="AW2001" i="1"/>
  <c r="AT2001" i="1"/>
  <c r="AU2001" i="1" s="1"/>
  <c r="AS2001" i="1"/>
  <c r="AP2001" i="1"/>
  <c r="AO2001" i="1"/>
  <c r="AL2001" i="1"/>
  <c r="AM2001" i="1" s="1"/>
  <c r="AK2001" i="1"/>
  <c r="AH2001" i="1"/>
  <c r="AG2001" i="1"/>
  <c r="AF2001" i="1"/>
  <c r="AD2001" i="1"/>
  <c r="AC2001" i="1"/>
  <c r="AA2001" i="1"/>
  <c r="Z2001" i="1"/>
  <c r="Y2001" i="1"/>
  <c r="W2001" i="1"/>
  <c r="V2001" i="1"/>
  <c r="U2001" i="1"/>
  <c r="R2001" i="1"/>
  <c r="S2001" i="1" s="1"/>
  <c r="Q2001" i="1"/>
  <c r="N2001" i="1"/>
  <c r="O2001" i="1" s="1"/>
  <c r="M2001" i="1"/>
  <c r="J2001" i="1"/>
  <c r="K2001" i="1" s="1"/>
  <c r="I2001" i="1"/>
  <c r="G2001" i="1"/>
  <c r="F2001" i="1"/>
  <c r="E2001" i="1"/>
  <c r="BN2000" i="1"/>
  <c r="BM2000" i="1" s="1"/>
  <c r="BL2000" i="1"/>
  <c r="BJ2000" i="1"/>
  <c r="BI2000" i="1"/>
  <c r="BG2000" i="1"/>
  <c r="BF2000" i="1"/>
  <c r="BE2000" i="1"/>
  <c r="BC2000" i="1"/>
  <c r="BB2000" i="1"/>
  <c r="AY2000" i="1" s="1"/>
  <c r="BA2000" i="1"/>
  <c r="AX2000" i="1"/>
  <c r="AW2000" i="1"/>
  <c r="AT2000" i="1"/>
  <c r="AU2000" i="1" s="1"/>
  <c r="AS2000" i="1"/>
  <c r="AQ2000" i="1"/>
  <c r="AP2000" i="1"/>
  <c r="AO2000" i="1"/>
  <c r="AL2000" i="1"/>
  <c r="AM2000" i="1" s="1"/>
  <c r="AK2000" i="1"/>
  <c r="AH2000" i="1"/>
  <c r="AG2000" i="1"/>
  <c r="AF2000" i="1"/>
  <c r="AD2000" i="1"/>
  <c r="AC2000" i="1"/>
  <c r="Z2000" i="1"/>
  <c r="AA2000" i="1" s="1"/>
  <c r="Y2000" i="1"/>
  <c r="W2000" i="1"/>
  <c r="V2000" i="1"/>
  <c r="U2000" i="1"/>
  <c r="R2000" i="1"/>
  <c r="S2000" i="1" s="1"/>
  <c r="Q2000" i="1"/>
  <c r="N2000" i="1"/>
  <c r="O2000" i="1" s="1"/>
  <c r="M2000" i="1"/>
  <c r="J2000" i="1"/>
  <c r="I2000" i="1"/>
  <c r="G2000" i="1"/>
  <c r="F2000" i="1"/>
  <c r="E2000" i="1"/>
  <c r="BN1999" i="1"/>
  <c r="BM1999" i="1" s="1"/>
  <c r="BL1999" i="1"/>
  <c r="BJ1999" i="1"/>
  <c r="BI1999" i="1"/>
  <c r="BG1999" i="1"/>
  <c r="BF1999" i="1"/>
  <c r="BE1999" i="1"/>
  <c r="BC1999" i="1"/>
  <c r="BB1999" i="1"/>
  <c r="AY1999" i="1" s="1"/>
  <c r="BA1999" i="1"/>
  <c r="AX1999" i="1"/>
  <c r="AW1999" i="1"/>
  <c r="AT1999" i="1"/>
  <c r="AU1999" i="1" s="1"/>
  <c r="AS1999" i="1"/>
  <c r="AQ1999" i="1"/>
  <c r="AP1999" i="1"/>
  <c r="AO1999" i="1"/>
  <c r="AL1999" i="1"/>
  <c r="AM1999" i="1" s="1"/>
  <c r="AK1999" i="1"/>
  <c r="AH1999" i="1"/>
  <c r="AG1999" i="1"/>
  <c r="AF1999" i="1"/>
  <c r="AD1999" i="1"/>
  <c r="AC1999" i="1"/>
  <c r="Z1999" i="1"/>
  <c r="AA1999" i="1" s="1"/>
  <c r="Y1999" i="1"/>
  <c r="W1999" i="1"/>
  <c r="V1999" i="1"/>
  <c r="U1999" i="1"/>
  <c r="R1999" i="1"/>
  <c r="S1999" i="1" s="1"/>
  <c r="Q1999" i="1"/>
  <c r="N1999" i="1"/>
  <c r="O1999" i="1" s="1"/>
  <c r="M1999" i="1"/>
  <c r="J1999" i="1"/>
  <c r="K1999" i="1" s="1"/>
  <c r="I1999" i="1"/>
  <c r="G1999" i="1"/>
  <c r="F1999" i="1"/>
  <c r="E1999" i="1"/>
  <c r="BN1998" i="1"/>
  <c r="BM1998" i="1" s="1"/>
  <c r="BL1998" i="1"/>
  <c r="BJ1998" i="1"/>
  <c r="BI1998" i="1"/>
  <c r="BG1998" i="1"/>
  <c r="BF1998" i="1"/>
  <c r="BE1998" i="1"/>
  <c r="BC1998" i="1"/>
  <c r="BB1998" i="1"/>
  <c r="AY1998" i="1" s="1"/>
  <c r="BA1998" i="1"/>
  <c r="AX1998" i="1"/>
  <c r="AW1998" i="1"/>
  <c r="AT1998" i="1"/>
  <c r="AU1998" i="1" s="1"/>
  <c r="AS1998" i="1"/>
  <c r="AQ1998" i="1"/>
  <c r="AP1998" i="1"/>
  <c r="AO1998" i="1"/>
  <c r="AL1998" i="1"/>
  <c r="AM1998" i="1" s="1"/>
  <c r="AK1998" i="1"/>
  <c r="AH1998" i="1"/>
  <c r="AI1998" i="1" s="1"/>
  <c r="AG1998" i="1"/>
  <c r="AD1998" i="1"/>
  <c r="AC1998" i="1"/>
  <c r="AA1998" i="1"/>
  <c r="Z1998" i="1"/>
  <c r="Y1998" i="1"/>
  <c r="W1998" i="1"/>
  <c r="V1998" i="1"/>
  <c r="S1998" i="1" s="1"/>
  <c r="U1998" i="1"/>
  <c r="R1998" i="1"/>
  <c r="Q1998" i="1"/>
  <c r="N1998" i="1"/>
  <c r="O1998" i="1" s="1"/>
  <c r="M1998" i="1"/>
  <c r="K1998" i="1"/>
  <c r="J1998" i="1"/>
  <c r="I1998" i="1"/>
  <c r="F1998" i="1"/>
  <c r="G1998" i="1" s="1"/>
  <c r="E1998" i="1"/>
  <c r="BN1997" i="1"/>
  <c r="BM1997" i="1"/>
  <c r="BL1997" i="1"/>
  <c r="BJ1997" i="1"/>
  <c r="BI1997" i="1"/>
  <c r="BF1997" i="1"/>
  <c r="BG1997" i="1" s="1"/>
  <c r="BE1997" i="1"/>
  <c r="BB1997" i="1"/>
  <c r="BC1997" i="1" s="1"/>
  <c r="BA1997" i="1"/>
  <c r="AX1997" i="1"/>
  <c r="AY1997" i="1" s="1"/>
  <c r="AW1997" i="1"/>
  <c r="AU1997" i="1"/>
  <c r="AT1997" i="1"/>
  <c r="AS1997" i="1"/>
  <c r="AQ1997" i="1"/>
  <c r="AP1997" i="1"/>
  <c r="AM1997" i="1" s="1"/>
  <c r="AO1997" i="1"/>
  <c r="AL1997" i="1"/>
  <c r="AK1997" i="1"/>
  <c r="AI1997" i="1"/>
  <c r="AH1997" i="1"/>
  <c r="AG1997" i="1"/>
  <c r="AE1997" i="1"/>
  <c r="AD1997" i="1"/>
  <c r="AC1997" i="1"/>
  <c r="Z1997" i="1"/>
  <c r="AA1997" i="1" s="1"/>
  <c r="Y1997" i="1"/>
  <c r="V1997" i="1"/>
  <c r="W1997" i="1" s="1"/>
  <c r="U1997" i="1"/>
  <c r="R1997" i="1"/>
  <c r="S1997" i="1" s="1"/>
  <c r="Q1997" i="1"/>
  <c r="O1997" i="1"/>
  <c r="N1997" i="1"/>
  <c r="M1997" i="1"/>
  <c r="K1997" i="1"/>
  <c r="J1997" i="1"/>
  <c r="G1997" i="1" s="1"/>
  <c r="I1997" i="1"/>
  <c r="F1997" i="1"/>
  <c r="E1997" i="1"/>
  <c r="BN1996" i="1"/>
  <c r="BL1996" i="1"/>
  <c r="BJ1996" i="1"/>
  <c r="BG1996" i="1" s="1"/>
  <c r="BI1996" i="1"/>
  <c r="BF1996" i="1"/>
  <c r="BE1996" i="1"/>
  <c r="BC1996" i="1"/>
  <c r="BB1996" i="1"/>
  <c r="BA1996" i="1"/>
  <c r="AY1996" i="1"/>
  <c r="AX1996" i="1"/>
  <c r="AW1996" i="1"/>
  <c r="AT1996" i="1"/>
  <c r="AU1996" i="1" s="1"/>
  <c r="AS1996" i="1"/>
  <c r="AP1996" i="1"/>
  <c r="AQ1996" i="1" s="1"/>
  <c r="AO1996" i="1"/>
  <c r="AL1996" i="1"/>
  <c r="AK1996" i="1"/>
  <c r="AI1996" i="1"/>
  <c r="AH1996" i="1"/>
  <c r="AG1996" i="1"/>
  <c r="AE1996" i="1"/>
  <c r="AD1996" i="1"/>
  <c r="AA1996" i="1" s="1"/>
  <c r="AC1996" i="1"/>
  <c r="Z1996" i="1"/>
  <c r="Y1996" i="1"/>
  <c r="W1996" i="1"/>
  <c r="V1996" i="1"/>
  <c r="U1996" i="1"/>
  <c r="S1996" i="1"/>
  <c r="R1996" i="1"/>
  <c r="Q1996" i="1"/>
  <c r="N1996" i="1"/>
  <c r="O1996" i="1" s="1"/>
  <c r="M1996" i="1"/>
  <c r="J1996" i="1"/>
  <c r="K1996" i="1" s="1"/>
  <c r="I1996" i="1"/>
  <c r="F1996" i="1"/>
  <c r="E1996" i="1"/>
  <c r="BN1995" i="1"/>
  <c r="BL1995" i="1"/>
  <c r="BJ1995" i="1"/>
  <c r="BM1995" i="1" s="1"/>
  <c r="BI1995" i="1"/>
  <c r="BF1995" i="1"/>
  <c r="BG1995" i="1" s="1"/>
  <c r="BE1995" i="1"/>
  <c r="BC1995" i="1"/>
  <c r="BB1995" i="1"/>
  <c r="BA1995" i="1"/>
  <c r="AY1995" i="1"/>
  <c r="AX1995" i="1"/>
  <c r="AU1995" i="1" s="1"/>
  <c r="AW1995" i="1"/>
  <c r="AT1995" i="1"/>
  <c r="AS1995" i="1"/>
  <c r="AQ1995" i="1"/>
  <c r="AP1995" i="1"/>
  <c r="AO1995" i="1"/>
  <c r="AM1995" i="1"/>
  <c r="AL1995" i="1"/>
  <c r="AK1995" i="1"/>
  <c r="AH1995" i="1"/>
  <c r="AI1995" i="1" s="1"/>
  <c r="AG1995" i="1"/>
  <c r="AD1995" i="1"/>
  <c r="AE1995" i="1" s="1"/>
  <c r="AC1995" i="1"/>
  <c r="Z1995" i="1"/>
  <c r="AA1995" i="1" s="1"/>
  <c r="Y1995" i="1"/>
  <c r="W1995" i="1"/>
  <c r="V1995" i="1"/>
  <c r="U1995" i="1"/>
  <c r="S1995" i="1"/>
  <c r="R1995" i="1"/>
  <c r="O1995" i="1" s="1"/>
  <c r="Q1995" i="1"/>
  <c r="N1995" i="1"/>
  <c r="M1995" i="1"/>
  <c r="K1995" i="1"/>
  <c r="J1995" i="1"/>
  <c r="I1995" i="1"/>
  <c r="G1995" i="1"/>
  <c r="F1995" i="1"/>
  <c r="E1995" i="1"/>
  <c r="BN1994" i="1"/>
  <c r="BM1994" i="1"/>
  <c r="BL1994" i="1"/>
  <c r="BJ1994" i="1"/>
  <c r="BI1994" i="1"/>
  <c r="BG1994" i="1"/>
  <c r="BF1994" i="1"/>
  <c r="BE1994" i="1"/>
  <c r="BB1994" i="1"/>
  <c r="BC1994" i="1" s="1"/>
  <c r="BA1994" i="1"/>
  <c r="AX1994" i="1"/>
  <c r="AY1994" i="1" s="1"/>
  <c r="AW1994" i="1"/>
  <c r="AT1994" i="1"/>
  <c r="AU1994" i="1" s="1"/>
  <c r="AS1994" i="1"/>
  <c r="AQ1994" i="1"/>
  <c r="AP1994" i="1"/>
  <c r="AO1994" i="1"/>
  <c r="AM1994" i="1"/>
  <c r="AL1994" i="1"/>
  <c r="AI1994" i="1" s="1"/>
  <c r="AK1994" i="1"/>
  <c r="AH1994" i="1"/>
  <c r="AG1994" i="1"/>
  <c r="AE1994" i="1"/>
  <c r="AD1994" i="1"/>
  <c r="AC1994" i="1"/>
  <c r="AA1994" i="1"/>
  <c r="Z1994" i="1"/>
  <c r="Y1994" i="1"/>
  <c r="V1994" i="1"/>
  <c r="W1994" i="1" s="1"/>
  <c r="U1994" i="1"/>
  <c r="R1994" i="1"/>
  <c r="S1994" i="1" s="1"/>
  <c r="Q1994" i="1"/>
  <c r="N1994" i="1"/>
  <c r="O1994" i="1" s="1"/>
  <c r="M1994" i="1"/>
  <c r="K1994" i="1"/>
  <c r="J1994" i="1"/>
  <c r="I1994" i="1"/>
  <c r="G1994" i="1"/>
  <c r="F1994" i="1"/>
  <c r="E1994" i="1"/>
  <c r="BN1993" i="1"/>
  <c r="BL1993" i="1"/>
  <c r="BJ1993" i="1"/>
  <c r="BM1993" i="1" s="1"/>
  <c r="BI1993" i="1"/>
  <c r="BG1993" i="1"/>
  <c r="BF1993" i="1"/>
  <c r="BC1993" i="1" s="1"/>
  <c r="BE1993" i="1"/>
  <c r="BB1993" i="1"/>
  <c r="BA1993" i="1"/>
  <c r="AY1993" i="1"/>
  <c r="AX1993" i="1"/>
  <c r="AW1993" i="1"/>
  <c r="AU1993" i="1"/>
  <c r="AT1993" i="1"/>
  <c r="AS1993" i="1"/>
  <c r="AP1993" i="1"/>
  <c r="AQ1993" i="1" s="1"/>
  <c r="AO1993" i="1"/>
  <c r="AL1993" i="1"/>
  <c r="AM1993" i="1" s="1"/>
  <c r="AK1993" i="1"/>
  <c r="AH1993" i="1"/>
  <c r="AI1993" i="1" s="1"/>
  <c r="AG1993" i="1"/>
  <c r="AE1993" i="1"/>
  <c r="AD1993" i="1"/>
  <c r="AC1993" i="1"/>
  <c r="AA1993" i="1"/>
  <c r="Z1993" i="1"/>
  <c r="W1993" i="1" s="1"/>
  <c r="Y1993" i="1"/>
  <c r="V1993" i="1"/>
  <c r="U1993" i="1"/>
  <c r="S1993" i="1"/>
  <c r="R1993" i="1"/>
  <c r="Q1993" i="1"/>
  <c r="O1993" i="1"/>
  <c r="N1993" i="1"/>
  <c r="M1993" i="1"/>
  <c r="J1993" i="1"/>
  <c r="K1993" i="1" s="1"/>
  <c r="I1993" i="1"/>
  <c r="F1993" i="1"/>
  <c r="G1993" i="1" s="1"/>
  <c r="E1993" i="1"/>
  <c r="BN1992" i="1"/>
  <c r="BL1992" i="1"/>
  <c r="BJ1992" i="1"/>
  <c r="BM1992" i="1" s="1"/>
  <c r="BI1992" i="1"/>
  <c r="BF1992" i="1"/>
  <c r="BG1992" i="1" s="1"/>
  <c r="BE1992" i="1"/>
  <c r="BB1992" i="1"/>
  <c r="BA1992" i="1"/>
  <c r="AY1992" i="1"/>
  <c r="AX1992" i="1"/>
  <c r="AW1992" i="1"/>
  <c r="AU1992" i="1"/>
  <c r="AT1992" i="1"/>
  <c r="AQ1992" i="1" s="1"/>
  <c r="AS1992" i="1"/>
  <c r="AP1992" i="1"/>
  <c r="AO1992" i="1"/>
  <c r="AM1992" i="1"/>
  <c r="AL1992" i="1"/>
  <c r="AK1992" i="1"/>
  <c r="AI1992" i="1"/>
  <c r="AH1992" i="1"/>
  <c r="AG1992" i="1"/>
  <c r="AD1992" i="1"/>
  <c r="AE1992" i="1" s="1"/>
  <c r="AC1992" i="1"/>
  <c r="Z1992" i="1"/>
  <c r="AA1992" i="1" s="1"/>
  <c r="Y1992" i="1"/>
  <c r="V1992" i="1"/>
  <c r="U1992" i="1"/>
  <c r="S1992" i="1"/>
  <c r="R1992" i="1"/>
  <c r="Q1992" i="1"/>
  <c r="O1992" i="1"/>
  <c r="N1992" i="1"/>
  <c r="K1992" i="1" s="1"/>
  <c r="M1992" i="1"/>
  <c r="J1992" i="1"/>
  <c r="I1992" i="1"/>
  <c r="G1992" i="1"/>
  <c r="F1992" i="1"/>
  <c r="E1992" i="1"/>
  <c r="BN1991" i="1"/>
  <c r="BL1991" i="1"/>
  <c r="BJ1991" i="1"/>
  <c r="BM1991" i="1" s="1"/>
  <c r="BI1991" i="1"/>
  <c r="BG1991" i="1"/>
  <c r="BF1991" i="1"/>
  <c r="BE1991" i="1"/>
  <c r="BC1991" i="1"/>
  <c r="BB1991" i="1"/>
  <c r="BA1991" i="1"/>
  <c r="AX1991" i="1"/>
  <c r="AY1991" i="1" s="1"/>
  <c r="AW1991" i="1"/>
  <c r="AT1991" i="1"/>
  <c r="AU1991" i="1" s="1"/>
  <c r="AS1991" i="1"/>
  <c r="AP1991" i="1"/>
  <c r="AQ1991" i="1" s="1"/>
  <c r="AO1991" i="1"/>
  <c r="AM1991" i="1"/>
  <c r="AL1991" i="1"/>
  <c r="AK1991" i="1"/>
  <c r="AI1991" i="1"/>
  <c r="AH1991" i="1"/>
  <c r="AE1991" i="1" s="1"/>
  <c r="AG1991" i="1"/>
  <c r="AD1991" i="1"/>
  <c r="AC1991" i="1"/>
  <c r="AA1991" i="1"/>
  <c r="Z1991" i="1"/>
  <c r="Y1991" i="1"/>
  <c r="W1991" i="1"/>
  <c r="V1991" i="1"/>
  <c r="U1991" i="1"/>
  <c r="R1991" i="1"/>
  <c r="S1991" i="1" s="1"/>
  <c r="Q1991" i="1"/>
  <c r="N1991" i="1"/>
  <c r="O1991" i="1" s="1"/>
  <c r="M1991" i="1"/>
  <c r="J1991" i="1"/>
  <c r="K1991" i="1" s="1"/>
  <c r="I1991" i="1"/>
  <c r="G1991" i="1"/>
  <c r="F1991" i="1"/>
  <c r="E1991" i="1"/>
  <c r="BN1990" i="1"/>
  <c r="BM1990" i="1" s="1"/>
  <c r="BL1990" i="1"/>
  <c r="BJ1990" i="1"/>
  <c r="BI1990" i="1"/>
  <c r="BG1990" i="1"/>
  <c r="BF1990" i="1"/>
  <c r="BE1990" i="1"/>
  <c r="BC1990" i="1"/>
  <c r="BB1990" i="1"/>
  <c r="AY1990" i="1" s="1"/>
  <c r="BA1990" i="1"/>
  <c r="AX1990" i="1"/>
  <c r="AW1990" i="1"/>
  <c r="AU1990" i="1"/>
  <c r="AT1990" i="1"/>
  <c r="AS1990" i="1"/>
  <c r="AQ1990" i="1"/>
  <c r="AP1990" i="1"/>
  <c r="AO1990" i="1"/>
  <c r="AL1990" i="1"/>
  <c r="AM1990" i="1" s="1"/>
  <c r="AK1990" i="1"/>
  <c r="AH1990" i="1"/>
  <c r="AI1990" i="1" s="1"/>
  <c r="AG1990" i="1"/>
  <c r="AD1990" i="1"/>
  <c r="AE1990" i="1" s="1"/>
  <c r="AC1990" i="1"/>
  <c r="AA1990" i="1"/>
  <c r="Z1990" i="1"/>
  <c r="Y1990" i="1"/>
  <c r="W1990" i="1"/>
  <c r="V1990" i="1"/>
  <c r="S1990" i="1" s="1"/>
  <c r="U1990" i="1"/>
  <c r="R1990" i="1"/>
  <c r="Q1990" i="1"/>
  <c r="O1990" i="1"/>
  <c r="N1990" i="1"/>
  <c r="M1990" i="1"/>
  <c r="K1990" i="1"/>
  <c r="J1990" i="1"/>
  <c r="I1990" i="1"/>
  <c r="F1990" i="1"/>
  <c r="G1990" i="1" s="1"/>
  <c r="E1990" i="1"/>
  <c r="BN1989" i="1"/>
  <c r="BM1989" i="1"/>
  <c r="BL1989" i="1"/>
  <c r="BJ1989" i="1"/>
  <c r="BI1989" i="1"/>
  <c r="BF1989" i="1"/>
  <c r="BG1989" i="1" s="1"/>
  <c r="BE1989" i="1"/>
  <c r="BB1989" i="1"/>
  <c r="BC1989" i="1" s="1"/>
  <c r="BA1989" i="1"/>
  <c r="AX1989" i="1"/>
  <c r="AW1989" i="1"/>
  <c r="AU1989" i="1"/>
  <c r="AT1989" i="1"/>
  <c r="AS1989" i="1"/>
  <c r="AQ1989" i="1"/>
  <c r="AP1989" i="1"/>
  <c r="AM1989" i="1" s="1"/>
  <c r="AO1989" i="1"/>
  <c r="AL1989" i="1"/>
  <c r="AK1989" i="1"/>
  <c r="AI1989" i="1"/>
  <c r="AH1989" i="1"/>
  <c r="AG1989" i="1"/>
  <c r="AE1989" i="1"/>
  <c r="AD1989" i="1"/>
  <c r="AC1989" i="1"/>
  <c r="Z1989" i="1"/>
  <c r="AA1989" i="1" s="1"/>
  <c r="Y1989" i="1"/>
  <c r="V1989" i="1"/>
  <c r="W1989" i="1" s="1"/>
  <c r="U1989" i="1"/>
  <c r="R1989" i="1"/>
  <c r="Q1989" i="1"/>
  <c r="O1989" i="1"/>
  <c r="N1989" i="1"/>
  <c r="M1989" i="1"/>
  <c r="K1989" i="1"/>
  <c r="J1989" i="1"/>
  <c r="G1989" i="1" s="1"/>
  <c r="I1989" i="1"/>
  <c r="F1989" i="1"/>
  <c r="E1989" i="1"/>
  <c r="BN1988" i="1"/>
  <c r="BL1988" i="1"/>
  <c r="BJ1988" i="1"/>
  <c r="BG1988" i="1" s="1"/>
  <c r="BI1988" i="1"/>
  <c r="BF1988" i="1"/>
  <c r="BE1988" i="1"/>
  <c r="BC1988" i="1"/>
  <c r="BB1988" i="1"/>
  <c r="BA1988" i="1"/>
  <c r="AY1988" i="1"/>
  <c r="AX1988" i="1"/>
  <c r="AW1988" i="1"/>
  <c r="AT1988" i="1"/>
  <c r="AU1988" i="1" s="1"/>
  <c r="AS1988" i="1"/>
  <c r="AP1988" i="1"/>
  <c r="AQ1988" i="1" s="1"/>
  <c r="AO1988" i="1"/>
  <c r="AL1988" i="1"/>
  <c r="AM1988" i="1" s="1"/>
  <c r="AK1988" i="1"/>
  <c r="AI1988" i="1"/>
  <c r="AH1988" i="1"/>
  <c r="AG1988" i="1"/>
  <c r="AE1988" i="1"/>
  <c r="AD1988" i="1"/>
  <c r="AA1988" i="1" s="1"/>
  <c r="AC1988" i="1"/>
  <c r="Z1988" i="1"/>
  <c r="Y1988" i="1"/>
  <c r="W1988" i="1"/>
  <c r="V1988" i="1"/>
  <c r="U1988" i="1"/>
  <c r="S1988" i="1"/>
  <c r="R1988" i="1"/>
  <c r="Q1988" i="1"/>
  <c r="N1988" i="1"/>
  <c r="O1988" i="1" s="1"/>
  <c r="M1988" i="1"/>
  <c r="J1988" i="1"/>
  <c r="K1988" i="1" s="1"/>
  <c r="I1988" i="1"/>
  <c r="F1988" i="1"/>
  <c r="G1988" i="1" s="1"/>
  <c r="E1988" i="1"/>
  <c r="BN1987" i="1"/>
  <c r="BL1987" i="1"/>
  <c r="BJ1987" i="1"/>
  <c r="BM1987" i="1" s="1"/>
  <c r="BI1987" i="1"/>
  <c r="BF1987" i="1"/>
  <c r="BE1987" i="1"/>
  <c r="BC1987" i="1"/>
  <c r="BB1987" i="1"/>
  <c r="BA1987" i="1"/>
  <c r="AY1987" i="1"/>
  <c r="AX1987" i="1"/>
  <c r="AU1987" i="1" s="1"/>
  <c r="AW1987" i="1"/>
  <c r="AT1987" i="1"/>
  <c r="AS1987" i="1"/>
  <c r="AQ1987" i="1"/>
  <c r="AP1987" i="1"/>
  <c r="AO1987" i="1"/>
  <c r="AM1987" i="1"/>
  <c r="AL1987" i="1"/>
  <c r="AK1987" i="1"/>
  <c r="AH1987" i="1"/>
  <c r="AI1987" i="1" s="1"/>
  <c r="AG1987" i="1"/>
  <c r="AD1987" i="1"/>
  <c r="AE1987" i="1" s="1"/>
  <c r="AC1987" i="1"/>
  <c r="Z1987" i="1"/>
  <c r="Y1987" i="1"/>
  <c r="W1987" i="1"/>
  <c r="V1987" i="1"/>
  <c r="U1987" i="1"/>
  <c r="S1987" i="1"/>
  <c r="R1987" i="1"/>
  <c r="O1987" i="1" s="1"/>
  <c r="Q1987" i="1"/>
  <c r="N1987" i="1"/>
  <c r="M1987" i="1"/>
  <c r="K1987" i="1"/>
  <c r="J1987" i="1"/>
  <c r="I1987" i="1"/>
  <c r="G1987" i="1"/>
  <c r="F1987" i="1"/>
  <c r="E1987" i="1"/>
  <c r="BN1986" i="1"/>
  <c r="BM1986" i="1"/>
  <c r="BL1986" i="1"/>
  <c r="BJ1986" i="1"/>
  <c r="BI1986" i="1"/>
  <c r="BG1986" i="1"/>
  <c r="BF1986" i="1"/>
  <c r="BE1986" i="1"/>
  <c r="BB1986" i="1"/>
  <c r="BC1986" i="1" s="1"/>
  <c r="BA1986" i="1"/>
  <c r="AX1986" i="1"/>
  <c r="AY1986" i="1" s="1"/>
  <c r="AW1986" i="1"/>
  <c r="AT1986" i="1"/>
  <c r="AS1986" i="1"/>
  <c r="AQ1986" i="1"/>
  <c r="AP1986" i="1"/>
  <c r="AO1986" i="1"/>
  <c r="AM1986" i="1"/>
  <c r="AL1986" i="1"/>
  <c r="AI1986" i="1" s="1"/>
  <c r="AK1986" i="1"/>
  <c r="AH1986" i="1"/>
  <c r="AG1986" i="1"/>
  <c r="AE1986" i="1"/>
  <c r="AD1986" i="1"/>
  <c r="AC1986" i="1"/>
  <c r="AA1986" i="1"/>
  <c r="Z1986" i="1"/>
  <c r="Y1986" i="1"/>
  <c r="V1986" i="1"/>
  <c r="W1986" i="1" s="1"/>
  <c r="U1986" i="1"/>
  <c r="R1986" i="1"/>
  <c r="S1986" i="1" s="1"/>
  <c r="Q1986" i="1"/>
  <c r="N1986" i="1"/>
  <c r="M1986" i="1"/>
  <c r="K1986" i="1"/>
  <c r="J1986" i="1"/>
  <c r="I1986" i="1"/>
  <c r="G1986" i="1"/>
  <c r="F1986" i="1"/>
  <c r="E1986" i="1"/>
  <c r="BN1985" i="1"/>
  <c r="BL1985" i="1"/>
  <c r="BJ1985" i="1"/>
  <c r="BM1985" i="1" s="1"/>
  <c r="BI1985" i="1"/>
  <c r="BG1985" i="1"/>
  <c r="BF1985" i="1"/>
  <c r="BC1985" i="1" s="1"/>
  <c r="BE1985" i="1"/>
  <c r="BB1985" i="1"/>
  <c r="BA1985" i="1"/>
  <c r="AY1985" i="1"/>
  <c r="AX1985" i="1"/>
  <c r="AW1985" i="1"/>
  <c r="AU1985" i="1"/>
  <c r="AT1985" i="1"/>
  <c r="AS1985" i="1"/>
  <c r="AP1985" i="1"/>
  <c r="AQ1985" i="1" s="1"/>
  <c r="AO1985" i="1"/>
  <c r="AL1985" i="1"/>
  <c r="AM1985" i="1" s="1"/>
  <c r="AK1985" i="1"/>
  <c r="AH1985" i="1"/>
  <c r="AG1985" i="1"/>
  <c r="AE1985" i="1"/>
  <c r="AD1985" i="1"/>
  <c r="AC1985" i="1"/>
  <c r="AA1985" i="1"/>
  <c r="Z1985" i="1"/>
  <c r="W1985" i="1" s="1"/>
  <c r="Y1985" i="1"/>
  <c r="V1985" i="1"/>
  <c r="U1985" i="1"/>
  <c r="S1985" i="1"/>
  <c r="R1985" i="1"/>
  <c r="Q1985" i="1"/>
  <c r="O1985" i="1"/>
  <c r="N1985" i="1"/>
  <c r="M1985" i="1"/>
  <c r="J1985" i="1"/>
  <c r="K1985" i="1" s="1"/>
  <c r="I1985" i="1"/>
  <c r="F1985" i="1"/>
  <c r="G1985" i="1" s="1"/>
  <c r="E1985" i="1"/>
  <c r="BN1984" i="1"/>
  <c r="BL1984" i="1"/>
  <c r="BJ1984" i="1"/>
  <c r="BM1984" i="1" s="1"/>
  <c r="BI1984" i="1"/>
  <c r="BF1984" i="1"/>
  <c r="BG1984" i="1" s="1"/>
  <c r="BE1984" i="1"/>
  <c r="BB1984" i="1"/>
  <c r="BC1984" i="1" s="1"/>
  <c r="BA1984" i="1"/>
  <c r="AY1984" i="1"/>
  <c r="AX1984" i="1"/>
  <c r="AW1984" i="1"/>
  <c r="AU1984" i="1"/>
  <c r="AT1984" i="1"/>
  <c r="AQ1984" i="1" s="1"/>
  <c r="AS1984" i="1"/>
  <c r="AP1984" i="1"/>
  <c r="AO1984" i="1"/>
  <c r="AM1984" i="1"/>
  <c r="AL1984" i="1"/>
  <c r="AK1984" i="1"/>
  <c r="AI1984" i="1"/>
  <c r="AH1984" i="1"/>
  <c r="AG1984" i="1"/>
  <c r="AD1984" i="1"/>
  <c r="AE1984" i="1" s="1"/>
  <c r="AC1984" i="1"/>
  <c r="Z1984" i="1"/>
  <c r="AA1984" i="1" s="1"/>
  <c r="Y1984" i="1"/>
  <c r="V1984" i="1"/>
  <c r="W1984" i="1" s="1"/>
  <c r="U1984" i="1"/>
  <c r="S1984" i="1"/>
  <c r="R1984" i="1"/>
  <c r="Q1984" i="1"/>
  <c r="O1984" i="1"/>
  <c r="N1984" i="1"/>
  <c r="K1984" i="1" s="1"/>
  <c r="M1984" i="1"/>
  <c r="J1984" i="1"/>
  <c r="I1984" i="1"/>
  <c r="G1984" i="1"/>
  <c r="F1984" i="1"/>
  <c r="E1984" i="1"/>
  <c r="BN1983" i="1"/>
  <c r="BM1983" i="1" s="1"/>
  <c r="BL1983" i="1"/>
  <c r="BJ1983" i="1"/>
  <c r="BI1983" i="1"/>
  <c r="BG1983" i="1"/>
  <c r="BF1983" i="1"/>
  <c r="BE1983" i="1"/>
  <c r="BC1983" i="1"/>
  <c r="BB1983" i="1"/>
  <c r="BA1983" i="1"/>
  <c r="AX1983" i="1"/>
  <c r="AY1983" i="1" s="1"/>
  <c r="AW1983" i="1"/>
  <c r="AT1983" i="1"/>
  <c r="AU1983" i="1" s="1"/>
  <c r="AS1983" i="1"/>
  <c r="AP1983" i="1"/>
  <c r="AO1983" i="1"/>
  <c r="AM1983" i="1"/>
  <c r="AL1983" i="1"/>
  <c r="AK1983" i="1"/>
  <c r="AI1983" i="1"/>
  <c r="AH1983" i="1"/>
  <c r="AE1983" i="1" s="1"/>
  <c r="AG1983" i="1"/>
  <c r="AD1983" i="1"/>
  <c r="AC1983" i="1"/>
  <c r="AA1983" i="1"/>
  <c r="Z1983" i="1"/>
  <c r="Y1983" i="1"/>
  <c r="W1983" i="1"/>
  <c r="V1983" i="1"/>
  <c r="U1983" i="1"/>
  <c r="R1983" i="1"/>
  <c r="S1983" i="1" s="1"/>
  <c r="Q1983" i="1"/>
  <c r="N1983" i="1"/>
  <c r="O1983" i="1" s="1"/>
  <c r="M1983" i="1"/>
  <c r="J1983" i="1"/>
  <c r="I1983" i="1"/>
  <c r="G1983" i="1"/>
  <c r="F1983" i="1"/>
  <c r="E1983" i="1"/>
  <c r="BN1982" i="1"/>
  <c r="BM1982" i="1" s="1"/>
  <c r="BL1982" i="1"/>
  <c r="BJ1982" i="1"/>
  <c r="BI1982" i="1"/>
  <c r="BG1982" i="1"/>
  <c r="BF1982" i="1"/>
  <c r="BE1982" i="1"/>
  <c r="BC1982" i="1"/>
  <c r="BB1982" i="1"/>
  <c r="AY1982" i="1" s="1"/>
  <c r="BA1982" i="1"/>
  <c r="AX1982" i="1"/>
  <c r="AW1982" i="1"/>
  <c r="AU1982" i="1"/>
  <c r="AT1982" i="1"/>
  <c r="AS1982" i="1"/>
  <c r="AQ1982" i="1"/>
  <c r="AP1982" i="1"/>
  <c r="AO1982" i="1"/>
  <c r="AL1982" i="1"/>
  <c r="AM1982" i="1" s="1"/>
  <c r="AK1982" i="1"/>
  <c r="AH1982" i="1"/>
  <c r="AI1982" i="1" s="1"/>
  <c r="AG1982" i="1"/>
  <c r="AD1982" i="1"/>
  <c r="AC1982" i="1"/>
  <c r="AA1982" i="1"/>
  <c r="Z1982" i="1"/>
  <c r="Y1982" i="1"/>
  <c r="W1982" i="1"/>
  <c r="V1982" i="1"/>
  <c r="S1982" i="1" s="1"/>
  <c r="U1982" i="1"/>
  <c r="R1982" i="1"/>
  <c r="Q1982" i="1"/>
  <c r="O1982" i="1"/>
  <c r="N1982" i="1"/>
  <c r="M1982" i="1"/>
  <c r="K1982" i="1"/>
  <c r="J1982" i="1"/>
  <c r="I1982" i="1"/>
  <c r="F1982" i="1"/>
  <c r="G1982" i="1" s="1"/>
  <c r="E1982" i="1"/>
  <c r="BN1981" i="1"/>
  <c r="BM1981" i="1"/>
  <c r="BL1981" i="1"/>
  <c r="BJ1981" i="1"/>
  <c r="BI1981" i="1"/>
  <c r="BF1981" i="1"/>
  <c r="BG1981" i="1" s="1"/>
  <c r="BE1981" i="1"/>
  <c r="BB1981" i="1"/>
  <c r="BC1981" i="1" s="1"/>
  <c r="BA1981" i="1"/>
  <c r="AX1981" i="1"/>
  <c r="AY1981" i="1" s="1"/>
  <c r="AW1981" i="1"/>
  <c r="AU1981" i="1"/>
  <c r="AT1981" i="1"/>
  <c r="AS1981" i="1"/>
  <c r="AQ1981" i="1"/>
  <c r="AP1981" i="1"/>
  <c r="AM1981" i="1" s="1"/>
  <c r="AO1981" i="1"/>
  <c r="AL1981" i="1"/>
  <c r="AK1981" i="1"/>
  <c r="AI1981" i="1"/>
  <c r="AH1981" i="1"/>
  <c r="AG1981" i="1"/>
  <c r="AE1981" i="1"/>
  <c r="AD1981" i="1"/>
  <c r="AC1981" i="1"/>
  <c r="Z1981" i="1"/>
  <c r="AA1981" i="1" s="1"/>
  <c r="Y1981" i="1"/>
  <c r="V1981" i="1"/>
  <c r="W1981" i="1" s="1"/>
  <c r="U1981" i="1"/>
  <c r="R1981" i="1"/>
  <c r="S1981" i="1" s="1"/>
  <c r="Q1981" i="1"/>
  <c r="O1981" i="1"/>
  <c r="N1981" i="1"/>
  <c r="M1981" i="1"/>
  <c r="K1981" i="1"/>
  <c r="J1981" i="1"/>
  <c r="G1981" i="1" s="1"/>
  <c r="I1981" i="1"/>
  <c r="F1981" i="1"/>
  <c r="E1981" i="1"/>
  <c r="BN1980" i="1"/>
  <c r="BL1980" i="1"/>
  <c r="BJ1980" i="1"/>
  <c r="BG1980" i="1" s="1"/>
  <c r="BI1980" i="1"/>
  <c r="BF1980" i="1"/>
  <c r="BE1980" i="1"/>
  <c r="BC1980" i="1"/>
  <c r="BB1980" i="1"/>
  <c r="BA1980" i="1"/>
  <c r="AY1980" i="1"/>
  <c r="AX1980" i="1"/>
  <c r="AW1980" i="1"/>
  <c r="AT1980" i="1"/>
  <c r="AU1980" i="1" s="1"/>
  <c r="AS1980" i="1"/>
  <c r="AP1980" i="1"/>
  <c r="AQ1980" i="1" s="1"/>
  <c r="AO1980" i="1"/>
  <c r="AL1980" i="1"/>
  <c r="AK1980" i="1"/>
  <c r="AI1980" i="1"/>
  <c r="AH1980" i="1"/>
  <c r="AG1980" i="1"/>
  <c r="AE1980" i="1"/>
  <c r="AD1980" i="1"/>
  <c r="AA1980" i="1" s="1"/>
  <c r="AC1980" i="1"/>
  <c r="Z1980" i="1"/>
  <c r="Y1980" i="1"/>
  <c r="W1980" i="1"/>
  <c r="V1980" i="1"/>
  <c r="U1980" i="1"/>
  <c r="S1980" i="1"/>
  <c r="R1980" i="1"/>
  <c r="Q1980" i="1"/>
  <c r="N1980" i="1"/>
  <c r="O1980" i="1" s="1"/>
  <c r="M1980" i="1"/>
  <c r="J1980" i="1"/>
  <c r="K1980" i="1" s="1"/>
  <c r="I1980" i="1"/>
  <c r="F1980" i="1"/>
  <c r="E1980" i="1"/>
  <c r="BN1979" i="1"/>
  <c r="BL1979" i="1"/>
  <c r="BJ1979" i="1"/>
  <c r="BM1979" i="1" s="1"/>
  <c r="BI1979" i="1"/>
  <c r="BF1979" i="1"/>
  <c r="BG1979" i="1" s="1"/>
  <c r="BE1979" i="1"/>
  <c r="BC1979" i="1"/>
  <c r="BB1979" i="1"/>
  <c r="BA1979" i="1"/>
  <c r="AY1979" i="1"/>
  <c r="AX1979" i="1"/>
  <c r="AU1979" i="1" s="1"/>
  <c r="AW1979" i="1"/>
  <c r="AT1979" i="1"/>
  <c r="AS1979" i="1"/>
  <c r="AQ1979" i="1"/>
  <c r="AP1979" i="1"/>
  <c r="AO1979" i="1"/>
  <c r="AM1979" i="1"/>
  <c r="AL1979" i="1"/>
  <c r="AK1979" i="1"/>
  <c r="AH1979" i="1"/>
  <c r="AI1979" i="1" s="1"/>
  <c r="AG1979" i="1"/>
  <c r="AD1979" i="1"/>
  <c r="AE1979" i="1" s="1"/>
  <c r="AC1979" i="1"/>
  <c r="Z1979" i="1"/>
  <c r="AA1979" i="1" s="1"/>
  <c r="Y1979" i="1"/>
  <c r="W1979" i="1"/>
  <c r="V1979" i="1"/>
  <c r="U1979" i="1"/>
  <c r="S1979" i="1"/>
  <c r="R1979" i="1"/>
  <c r="O1979" i="1" s="1"/>
  <c r="Q1979" i="1"/>
  <c r="N1979" i="1"/>
  <c r="M1979" i="1"/>
  <c r="K1979" i="1"/>
  <c r="J1979" i="1"/>
  <c r="I1979" i="1"/>
  <c r="G1979" i="1"/>
  <c r="F1979" i="1"/>
  <c r="E1979" i="1"/>
  <c r="BN1978" i="1"/>
  <c r="BM1978" i="1"/>
  <c r="BL1978" i="1"/>
  <c r="BJ1978" i="1"/>
  <c r="BI1978" i="1"/>
  <c r="BG1978" i="1"/>
  <c r="BF1978" i="1"/>
  <c r="BE1978" i="1"/>
  <c r="BB1978" i="1"/>
  <c r="BC1978" i="1" s="1"/>
  <c r="BA1978" i="1"/>
  <c r="AX1978" i="1"/>
  <c r="AY1978" i="1" s="1"/>
  <c r="AW1978" i="1"/>
  <c r="AT1978" i="1"/>
  <c r="AU1978" i="1" s="1"/>
  <c r="AS1978" i="1"/>
  <c r="AQ1978" i="1"/>
  <c r="AP1978" i="1"/>
  <c r="AO1978" i="1"/>
  <c r="AM1978" i="1"/>
  <c r="AL1978" i="1"/>
  <c r="AI1978" i="1" s="1"/>
  <c r="AK1978" i="1"/>
  <c r="AH1978" i="1"/>
  <c r="AG1978" i="1"/>
  <c r="AE1978" i="1"/>
  <c r="AD1978" i="1"/>
  <c r="AC1978" i="1"/>
  <c r="AA1978" i="1"/>
  <c r="Z1978" i="1"/>
  <c r="Y1978" i="1"/>
  <c r="V1978" i="1"/>
  <c r="W1978" i="1" s="1"/>
  <c r="U1978" i="1"/>
  <c r="R1978" i="1"/>
  <c r="S1978" i="1" s="1"/>
  <c r="Q1978" i="1"/>
  <c r="N1978" i="1"/>
  <c r="O1978" i="1" s="1"/>
  <c r="M1978" i="1"/>
  <c r="K1978" i="1"/>
  <c r="J1978" i="1"/>
  <c r="I1978" i="1"/>
  <c r="G1978" i="1"/>
  <c r="F1978" i="1"/>
  <c r="E1978" i="1"/>
  <c r="BN1977" i="1"/>
  <c r="BL1977" i="1"/>
  <c r="BJ1977" i="1"/>
  <c r="BM1977" i="1" s="1"/>
  <c r="BI1977" i="1"/>
  <c r="BG1977" i="1"/>
  <c r="BF1977" i="1"/>
  <c r="BC1977" i="1" s="1"/>
  <c r="BE1977" i="1"/>
  <c r="BB1977" i="1"/>
  <c r="BA1977" i="1"/>
  <c r="AY1977" i="1"/>
  <c r="AX1977" i="1"/>
  <c r="AW1977" i="1"/>
  <c r="AU1977" i="1"/>
  <c r="AT1977" i="1"/>
  <c r="AS1977" i="1"/>
  <c r="AP1977" i="1"/>
  <c r="AQ1977" i="1" s="1"/>
  <c r="AO1977" i="1"/>
  <c r="AL1977" i="1"/>
  <c r="AM1977" i="1" s="1"/>
  <c r="AK1977" i="1"/>
  <c r="AH1977" i="1"/>
  <c r="AI1977" i="1" s="1"/>
  <c r="AG1977" i="1"/>
  <c r="AE1977" i="1"/>
  <c r="AD1977" i="1"/>
  <c r="AC1977" i="1"/>
  <c r="AA1977" i="1"/>
  <c r="Z1977" i="1"/>
  <c r="W1977" i="1" s="1"/>
  <c r="Y1977" i="1"/>
  <c r="V1977" i="1"/>
  <c r="U1977" i="1"/>
  <c r="S1977" i="1"/>
  <c r="R1977" i="1"/>
  <c r="Q1977" i="1"/>
  <c r="O1977" i="1"/>
  <c r="N1977" i="1"/>
  <c r="M1977" i="1"/>
  <c r="J1977" i="1"/>
  <c r="K1977" i="1" s="1"/>
  <c r="I1977" i="1"/>
  <c r="F1977" i="1"/>
  <c r="G1977" i="1" s="1"/>
  <c r="E1977" i="1"/>
  <c r="BN1976" i="1"/>
  <c r="BL1976" i="1"/>
  <c r="BJ1976" i="1"/>
  <c r="BM1976" i="1" s="1"/>
  <c r="BI1976" i="1"/>
  <c r="BF1976" i="1"/>
  <c r="BG1976" i="1" s="1"/>
  <c r="BE1976" i="1"/>
  <c r="BB1976" i="1"/>
  <c r="BA1976" i="1"/>
  <c r="AY1976" i="1"/>
  <c r="AX1976" i="1"/>
  <c r="AW1976" i="1"/>
  <c r="AU1976" i="1"/>
  <c r="AT1976" i="1"/>
  <c r="AQ1976" i="1" s="1"/>
  <c r="AS1976" i="1"/>
  <c r="AP1976" i="1"/>
  <c r="AO1976" i="1"/>
  <c r="AM1976" i="1"/>
  <c r="AL1976" i="1"/>
  <c r="AK1976" i="1"/>
  <c r="AI1976" i="1"/>
  <c r="AH1976" i="1"/>
  <c r="AG1976" i="1"/>
  <c r="AD1976" i="1"/>
  <c r="AE1976" i="1" s="1"/>
  <c r="AC1976" i="1"/>
  <c r="Z1976" i="1"/>
  <c r="AA1976" i="1" s="1"/>
  <c r="Y1976" i="1"/>
  <c r="V1976" i="1"/>
  <c r="U1976" i="1"/>
  <c r="S1976" i="1"/>
  <c r="R1976" i="1"/>
  <c r="Q1976" i="1"/>
  <c r="O1976" i="1"/>
  <c r="N1976" i="1"/>
  <c r="K1976" i="1" s="1"/>
  <c r="M1976" i="1"/>
  <c r="J1976" i="1"/>
  <c r="I1976" i="1"/>
  <c r="G1976" i="1"/>
  <c r="F1976" i="1"/>
  <c r="E1976" i="1"/>
  <c r="BN1975" i="1"/>
  <c r="BM1975" i="1" s="1"/>
  <c r="BL1975" i="1"/>
  <c r="BJ1975" i="1"/>
  <c r="BI1975" i="1"/>
  <c r="BG1975" i="1"/>
  <c r="BF1975" i="1"/>
  <c r="BE1975" i="1"/>
  <c r="BC1975" i="1"/>
  <c r="BB1975" i="1"/>
  <c r="BA1975" i="1"/>
  <c r="AX1975" i="1"/>
  <c r="AY1975" i="1" s="1"/>
  <c r="AW1975" i="1"/>
  <c r="AT1975" i="1"/>
  <c r="AU1975" i="1" s="1"/>
  <c r="AS1975" i="1"/>
  <c r="AP1975" i="1"/>
  <c r="AQ1975" i="1" s="1"/>
  <c r="AO1975" i="1"/>
  <c r="AM1975" i="1"/>
  <c r="AL1975" i="1"/>
  <c r="AK1975" i="1"/>
  <c r="AI1975" i="1"/>
  <c r="AH1975" i="1"/>
  <c r="AE1975" i="1" s="1"/>
  <c r="AG1975" i="1"/>
  <c r="AD1975" i="1"/>
  <c r="AC1975" i="1"/>
  <c r="AA1975" i="1"/>
  <c r="Z1975" i="1"/>
  <c r="Y1975" i="1"/>
  <c r="W1975" i="1"/>
  <c r="V1975" i="1"/>
  <c r="U1975" i="1"/>
  <c r="R1975" i="1"/>
  <c r="S1975" i="1" s="1"/>
  <c r="Q1975" i="1"/>
  <c r="N1975" i="1"/>
  <c r="M1975" i="1"/>
  <c r="J1975" i="1"/>
  <c r="K1975" i="1" s="1"/>
  <c r="I1975" i="1"/>
  <c r="G1975" i="1"/>
  <c r="F1975" i="1"/>
  <c r="E1975" i="1"/>
  <c r="BN1974" i="1"/>
  <c r="BM1974" i="1" s="1"/>
  <c r="BL1974" i="1"/>
  <c r="BJ1974" i="1"/>
  <c r="BI1974" i="1"/>
  <c r="BG1974" i="1"/>
  <c r="BF1974" i="1"/>
  <c r="BE1974" i="1"/>
  <c r="BC1974" i="1"/>
  <c r="BB1974" i="1"/>
  <c r="AY1974" i="1" s="1"/>
  <c r="BA1974" i="1"/>
  <c r="AX1974" i="1"/>
  <c r="AW1974" i="1"/>
  <c r="AU1974" i="1"/>
  <c r="AT1974" i="1"/>
  <c r="AS1974" i="1"/>
  <c r="AQ1974" i="1"/>
  <c r="AP1974" i="1"/>
  <c r="AO1974" i="1"/>
  <c r="AL1974" i="1"/>
  <c r="AM1974" i="1" s="1"/>
  <c r="AK1974" i="1"/>
  <c r="AH1974" i="1"/>
  <c r="AG1974" i="1"/>
  <c r="AD1974" i="1"/>
  <c r="AE1974" i="1" s="1"/>
  <c r="AC1974" i="1"/>
  <c r="AA1974" i="1"/>
  <c r="Z1974" i="1"/>
  <c r="Y1974" i="1"/>
  <c r="W1974" i="1"/>
  <c r="V1974" i="1"/>
  <c r="S1974" i="1" s="1"/>
  <c r="U1974" i="1"/>
  <c r="R1974" i="1"/>
  <c r="Q1974" i="1"/>
  <c r="O1974" i="1"/>
  <c r="N1974" i="1"/>
  <c r="M1974" i="1"/>
  <c r="K1974" i="1"/>
  <c r="J1974" i="1"/>
  <c r="I1974" i="1"/>
  <c r="F1974" i="1"/>
  <c r="G1974" i="1" s="1"/>
  <c r="E1974" i="1"/>
  <c r="BN1973" i="1"/>
  <c r="BM1973" i="1"/>
  <c r="BL1973" i="1"/>
  <c r="BJ1973" i="1"/>
  <c r="BI1973" i="1"/>
  <c r="BF1973" i="1"/>
  <c r="BG1973" i="1" s="1"/>
  <c r="BE1973" i="1"/>
  <c r="BB1973" i="1"/>
  <c r="BC1973" i="1" s="1"/>
  <c r="BA1973" i="1"/>
  <c r="AX1973" i="1"/>
  <c r="AW1973" i="1"/>
  <c r="AU1973" i="1"/>
  <c r="AT1973" i="1"/>
  <c r="AS1973" i="1"/>
  <c r="AP1973" i="1"/>
  <c r="AM1973" i="1" s="1"/>
  <c r="AO1973" i="1"/>
  <c r="AL1973" i="1"/>
  <c r="AK1973" i="1"/>
  <c r="AI1973" i="1"/>
  <c r="AH1973" i="1"/>
  <c r="AG1973" i="1"/>
  <c r="AE1973" i="1"/>
  <c r="AD1973" i="1"/>
  <c r="AC1973" i="1"/>
  <c r="Z1973" i="1"/>
  <c r="AA1973" i="1" s="1"/>
  <c r="Y1973" i="1"/>
  <c r="V1973" i="1"/>
  <c r="W1973" i="1" s="1"/>
  <c r="U1973" i="1"/>
  <c r="R1973" i="1"/>
  <c r="Q1973" i="1"/>
  <c r="O1973" i="1"/>
  <c r="N1973" i="1"/>
  <c r="M1973" i="1"/>
  <c r="K1973" i="1"/>
  <c r="J1973" i="1"/>
  <c r="G1973" i="1" s="1"/>
  <c r="I1973" i="1"/>
  <c r="F1973" i="1"/>
  <c r="E1973" i="1"/>
  <c r="BN1972" i="1"/>
  <c r="BL1972" i="1"/>
  <c r="BJ1972" i="1"/>
  <c r="BI1972" i="1"/>
  <c r="BF1972" i="1"/>
  <c r="BE1972" i="1"/>
  <c r="BB1972" i="1"/>
  <c r="BC1972" i="1" s="1"/>
  <c r="BA1972" i="1"/>
  <c r="AY1972" i="1"/>
  <c r="AX1972" i="1"/>
  <c r="AW1972" i="1"/>
  <c r="AT1972" i="1"/>
  <c r="AU1972" i="1" s="1"/>
  <c r="AS1972" i="1"/>
  <c r="AP1972" i="1"/>
  <c r="AO1972" i="1"/>
  <c r="AL1972" i="1"/>
  <c r="AM1972" i="1" s="1"/>
  <c r="AK1972" i="1"/>
  <c r="AI1972" i="1"/>
  <c r="AH1972" i="1"/>
  <c r="AG1972" i="1"/>
  <c r="AE1972" i="1"/>
  <c r="AD1972" i="1"/>
  <c r="AA1972" i="1" s="1"/>
  <c r="AC1972" i="1"/>
  <c r="Z1972" i="1"/>
  <c r="Y1972" i="1"/>
  <c r="V1972" i="1"/>
  <c r="W1972" i="1" s="1"/>
  <c r="U1972" i="1"/>
  <c r="S1972" i="1"/>
  <c r="R1972" i="1"/>
  <c r="Q1972" i="1"/>
  <c r="N1972" i="1"/>
  <c r="O1972" i="1" s="1"/>
  <c r="M1972" i="1"/>
  <c r="J1972" i="1"/>
  <c r="K1972" i="1" s="1"/>
  <c r="I1972" i="1"/>
  <c r="F1972" i="1"/>
  <c r="E1972" i="1"/>
  <c r="BN1971" i="1"/>
  <c r="BL1971" i="1"/>
  <c r="BJ1971" i="1"/>
  <c r="BI1971" i="1"/>
  <c r="BF1971" i="1"/>
  <c r="BG1971" i="1" s="1"/>
  <c r="BE1971" i="1"/>
  <c r="BC1971" i="1"/>
  <c r="BB1971" i="1"/>
  <c r="BA1971" i="1"/>
  <c r="AX1971" i="1"/>
  <c r="AU1971" i="1" s="1"/>
  <c r="AW1971" i="1"/>
  <c r="AT1971" i="1"/>
  <c r="AS1971" i="1"/>
  <c r="AP1971" i="1"/>
  <c r="AQ1971" i="1" s="1"/>
  <c r="AO1971" i="1"/>
  <c r="AM1971" i="1"/>
  <c r="AL1971" i="1"/>
  <c r="AK1971" i="1"/>
  <c r="AH1971" i="1"/>
  <c r="AI1971" i="1" s="1"/>
  <c r="AG1971" i="1"/>
  <c r="AD1971" i="1"/>
  <c r="AC1971" i="1"/>
  <c r="Z1971" i="1"/>
  <c r="AA1971" i="1" s="1"/>
  <c r="Y1971" i="1"/>
  <c r="W1971" i="1"/>
  <c r="V1971" i="1"/>
  <c r="U1971" i="1"/>
  <c r="S1971" i="1"/>
  <c r="R1971" i="1"/>
  <c r="O1971" i="1" s="1"/>
  <c r="Q1971" i="1"/>
  <c r="N1971" i="1"/>
  <c r="M1971" i="1"/>
  <c r="J1971" i="1"/>
  <c r="K1971" i="1" s="1"/>
  <c r="I1971" i="1"/>
  <c r="G1971" i="1"/>
  <c r="F1971" i="1"/>
  <c r="E1971" i="1"/>
  <c r="BN1970" i="1"/>
  <c r="BM1970" i="1"/>
  <c r="BL1970" i="1"/>
  <c r="BJ1970" i="1"/>
  <c r="BI1970" i="1"/>
  <c r="BG1970" i="1"/>
  <c r="BF1970" i="1"/>
  <c r="BE1970" i="1"/>
  <c r="BB1970" i="1"/>
  <c r="BC1970" i="1" s="1"/>
  <c r="BA1970" i="1"/>
  <c r="AX1970" i="1"/>
  <c r="AY1970" i="1" s="1"/>
  <c r="AW1970" i="1"/>
  <c r="AT1970" i="1"/>
  <c r="AS1970" i="1"/>
  <c r="AQ1970" i="1"/>
  <c r="AP1970" i="1"/>
  <c r="AO1970" i="1"/>
  <c r="AM1970" i="1"/>
  <c r="AL1970" i="1"/>
  <c r="AI1970" i="1" s="1"/>
  <c r="AK1970" i="1"/>
  <c r="AH1970" i="1"/>
  <c r="AG1970" i="1"/>
  <c r="AD1970" i="1"/>
  <c r="AE1970" i="1" s="1"/>
  <c r="AC1970" i="1"/>
  <c r="AA1970" i="1"/>
  <c r="Z1970" i="1"/>
  <c r="Y1970" i="1"/>
  <c r="V1970" i="1"/>
  <c r="W1970" i="1" s="1"/>
  <c r="U1970" i="1"/>
  <c r="R1970" i="1"/>
  <c r="S1970" i="1" s="1"/>
  <c r="Q1970" i="1"/>
  <c r="N1970" i="1"/>
  <c r="M1970" i="1"/>
  <c r="K1970" i="1"/>
  <c r="J1970" i="1"/>
  <c r="I1970" i="1"/>
  <c r="F1970" i="1"/>
  <c r="G1970" i="1" s="1"/>
  <c r="E1970" i="1"/>
  <c r="BN1969" i="1"/>
  <c r="BM1969" i="1" s="1"/>
  <c r="BL1969" i="1"/>
  <c r="BJ1969" i="1"/>
  <c r="BI1969" i="1"/>
  <c r="BG1969" i="1"/>
  <c r="BF1969" i="1"/>
  <c r="BC1969" i="1" s="1"/>
  <c r="BE1969" i="1"/>
  <c r="BB1969" i="1"/>
  <c r="BA1969" i="1"/>
  <c r="AX1969" i="1"/>
  <c r="AY1969" i="1" s="1"/>
  <c r="AW1969" i="1"/>
  <c r="AU1969" i="1"/>
  <c r="AT1969" i="1"/>
  <c r="AS1969" i="1"/>
  <c r="AP1969" i="1"/>
  <c r="AQ1969" i="1" s="1"/>
  <c r="AO1969" i="1"/>
  <c r="AL1969" i="1"/>
  <c r="AM1969" i="1" s="1"/>
  <c r="AK1969" i="1"/>
  <c r="AH1969" i="1"/>
  <c r="AG1969" i="1"/>
  <c r="AE1969" i="1"/>
  <c r="AD1969" i="1"/>
  <c r="AC1969" i="1"/>
  <c r="Z1969" i="1"/>
  <c r="Y1969" i="1"/>
  <c r="V1969" i="1"/>
  <c r="U1969" i="1"/>
  <c r="R1969" i="1"/>
  <c r="S1969" i="1" s="1"/>
  <c r="Q1969" i="1"/>
  <c r="O1969" i="1"/>
  <c r="N1969" i="1"/>
  <c r="M1969" i="1"/>
  <c r="J1969" i="1"/>
  <c r="K1969" i="1" s="1"/>
  <c r="I1969" i="1"/>
  <c r="F1969" i="1"/>
  <c r="G1969" i="1" s="1"/>
  <c r="E1969" i="1"/>
  <c r="BN1968" i="1"/>
  <c r="BL1968" i="1"/>
  <c r="BJ1968" i="1"/>
  <c r="BM1968" i="1" s="1"/>
  <c r="BI1968" i="1"/>
  <c r="BF1968" i="1"/>
  <c r="BE1968" i="1"/>
  <c r="BB1968" i="1"/>
  <c r="BC1968" i="1" s="1"/>
  <c r="BA1968" i="1"/>
  <c r="AX1968" i="1"/>
  <c r="AW1968" i="1"/>
  <c r="AT1968" i="1"/>
  <c r="AU1968" i="1" s="1"/>
  <c r="AS1968" i="1"/>
  <c r="AQ1968" i="1"/>
  <c r="AP1968" i="1"/>
  <c r="AO1968" i="1"/>
  <c r="AL1968" i="1"/>
  <c r="AM1968" i="1" s="1"/>
  <c r="AK1968" i="1"/>
  <c r="AI1968" i="1"/>
  <c r="AH1968" i="1"/>
  <c r="AG1968" i="1"/>
  <c r="AD1968" i="1"/>
  <c r="AE1968" i="1" s="1"/>
  <c r="AC1968" i="1"/>
  <c r="Z1968" i="1"/>
  <c r="Y1968" i="1"/>
  <c r="V1968" i="1"/>
  <c r="W1968" i="1" s="1"/>
  <c r="U1968" i="1"/>
  <c r="R1968" i="1"/>
  <c r="Q1968" i="1"/>
  <c r="N1968" i="1"/>
  <c r="O1968" i="1" s="1"/>
  <c r="M1968" i="1"/>
  <c r="K1968" i="1"/>
  <c r="J1968" i="1"/>
  <c r="I1968" i="1"/>
  <c r="F1968" i="1"/>
  <c r="G1968" i="1" s="1"/>
  <c r="E1968" i="1"/>
  <c r="BN1967" i="1"/>
  <c r="BL1967" i="1"/>
  <c r="BJ1967" i="1"/>
  <c r="BM1967" i="1" s="1"/>
  <c r="BI1967" i="1"/>
  <c r="BF1967" i="1"/>
  <c r="BG1967" i="1" s="1"/>
  <c r="BE1967" i="1"/>
  <c r="BC1967" i="1"/>
  <c r="BB1967" i="1"/>
  <c r="BA1967" i="1"/>
  <c r="AX1967" i="1"/>
  <c r="AY1967" i="1" s="1"/>
  <c r="AW1967" i="1"/>
  <c r="AT1967" i="1"/>
  <c r="AU1967" i="1" s="1"/>
  <c r="AS1967" i="1"/>
  <c r="AP1967" i="1"/>
  <c r="AO1967" i="1"/>
  <c r="AM1967" i="1"/>
  <c r="AL1967" i="1"/>
  <c r="AK1967" i="1"/>
  <c r="AI1967" i="1"/>
  <c r="AH1967" i="1"/>
  <c r="AE1967" i="1" s="1"/>
  <c r="AG1967" i="1"/>
  <c r="AD1967" i="1"/>
  <c r="AC1967" i="1"/>
  <c r="Z1967" i="1"/>
  <c r="AA1967" i="1" s="1"/>
  <c r="Y1967" i="1"/>
  <c r="W1967" i="1"/>
  <c r="V1967" i="1"/>
  <c r="U1967" i="1"/>
  <c r="R1967" i="1"/>
  <c r="S1967" i="1" s="1"/>
  <c r="Q1967" i="1"/>
  <c r="N1967" i="1"/>
  <c r="O1967" i="1" s="1"/>
  <c r="M1967" i="1"/>
  <c r="J1967" i="1"/>
  <c r="I1967" i="1"/>
  <c r="G1967" i="1"/>
  <c r="F1967" i="1"/>
  <c r="E1967" i="1"/>
  <c r="BN1966" i="1"/>
  <c r="BM1966" i="1"/>
  <c r="BL1966" i="1"/>
  <c r="BJ1966" i="1"/>
  <c r="BI1966" i="1"/>
  <c r="BG1966" i="1"/>
  <c r="BF1966" i="1"/>
  <c r="BE1966" i="1"/>
  <c r="BB1966" i="1"/>
  <c r="BC1966" i="1" s="1"/>
  <c r="BA1966" i="1"/>
  <c r="AX1966" i="1"/>
  <c r="AW1966" i="1"/>
  <c r="AT1966" i="1"/>
  <c r="AU1966" i="1" s="1"/>
  <c r="AS1966" i="1"/>
  <c r="AQ1966" i="1"/>
  <c r="AP1966" i="1"/>
  <c r="AO1966" i="1"/>
  <c r="AL1966" i="1"/>
  <c r="AM1966" i="1" s="1"/>
  <c r="AK1966" i="1"/>
  <c r="AH1966" i="1"/>
  <c r="AI1966" i="1" s="1"/>
  <c r="AG1966" i="1"/>
  <c r="AD1966" i="1"/>
  <c r="AC1966" i="1"/>
  <c r="AA1966" i="1"/>
  <c r="Z1966" i="1"/>
  <c r="Y1966" i="1"/>
  <c r="W1966" i="1"/>
  <c r="V1966" i="1"/>
  <c r="S1966" i="1" s="1"/>
  <c r="U1966" i="1"/>
  <c r="R1966" i="1"/>
  <c r="Q1966" i="1"/>
  <c r="N1966" i="1"/>
  <c r="O1966" i="1" s="1"/>
  <c r="M1966" i="1"/>
  <c r="K1966" i="1"/>
  <c r="J1966" i="1"/>
  <c r="I1966" i="1"/>
  <c r="F1966" i="1"/>
  <c r="G1966" i="1" s="1"/>
  <c r="E1966" i="1"/>
  <c r="BN1965" i="1"/>
  <c r="BL1965" i="1"/>
  <c r="BK1965" i="1"/>
  <c r="BJ1965" i="1"/>
  <c r="BG1965" i="1" s="1"/>
  <c r="BI1965" i="1"/>
  <c r="BF1965" i="1"/>
  <c r="BE1965" i="1"/>
  <c r="BB1965" i="1"/>
  <c r="BC1965" i="1" s="1"/>
  <c r="BA1965" i="1"/>
  <c r="AY1965" i="1"/>
  <c r="AX1965" i="1"/>
  <c r="AW1965" i="1"/>
  <c r="AV1965" i="1"/>
  <c r="AT1965" i="1"/>
  <c r="AU1965" i="1" s="1"/>
  <c r="AS1965" i="1"/>
  <c r="AP1965" i="1"/>
  <c r="AO1965" i="1"/>
  <c r="AM1965" i="1"/>
  <c r="AL1965" i="1"/>
  <c r="AK1965" i="1"/>
  <c r="AH1965" i="1"/>
  <c r="AI1965" i="1" s="1"/>
  <c r="AF1965" i="1"/>
  <c r="AG1965" i="1" s="1"/>
  <c r="AD1965" i="1"/>
  <c r="AC1965" i="1"/>
  <c r="AA1965" i="1"/>
  <c r="Z1965" i="1"/>
  <c r="Y1965" i="1"/>
  <c r="V1965" i="1"/>
  <c r="W1965" i="1" s="1"/>
  <c r="U1965" i="1"/>
  <c r="R1965" i="1"/>
  <c r="Q1965" i="1"/>
  <c r="O1965" i="1"/>
  <c r="N1965" i="1"/>
  <c r="M1965" i="1"/>
  <c r="J1965" i="1"/>
  <c r="K1965" i="1" s="1"/>
  <c r="I1965" i="1"/>
  <c r="F1965" i="1"/>
  <c r="E1965" i="1"/>
  <c r="BN1964" i="1"/>
  <c r="BK1964" i="1"/>
  <c r="BL1964" i="1" s="1"/>
  <c r="BJ1964" i="1"/>
  <c r="BI1964" i="1"/>
  <c r="BF1964" i="1"/>
  <c r="BG1964" i="1" s="1"/>
  <c r="BE1964" i="1"/>
  <c r="BB1964" i="1"/>
  <c r="BC1964" i="1" s="1"/>
  <c r="BA1964" i="1"/>
  <c r="AX1964" i="1"/>
  <c r="AW1964" i="1"/>
  <c r="AV1964" i="1"/>
  <c r="AT1964" i="1"/>
  <c r="AU1964" i="1" s="1"/>
  <c r="AS1964" i="1"/>
  <c r="AP1964" i="1"/>
  <c r="AQ1964" i="1" s="1"/>
  <c r="AO1964" i="1"/>
  <c r="AM1964" i="1"/>
  <c r="AL1964" i="1"/>
  <c r="AK1964" i="1"/>
  <c r="AI1964" i="1"/>
  <c r="AH1964" i="1"/>
  <c r="AF1964" i="1"/>
  <c r="AG1964" i="1" s="1"/>
  <c r="AD1964" i="1"/>
  <c r="AE1964" i="1" s="1"/>
  <c r="AC1964" i="1"/>
  <c r="Z1964" i="1"/>
  <c r="AA1964" i="1" s="1"/>
  <c r="Y1964" i="1"/>
  <c r="V1964" i="1"/>
  <c r="W1964" i="1" s="1"/>
  <c r="U1964" i="1"/>
  <c r="S1964" i="1"/>
  <c r="R1964" i="1"/>
  <c r="Q1964" i="1"/>
  <c r="O1964" i="1"/>
  <c r="N1964" i="1"/>
  <c r="K1964" i="1" s="1"/>
  <c r="M1964" i="1"/>
  <c r="J1964" i="1"/>
  <c r="I1964" i="1"/>
  <c r="F1964" i="1"/>
  <c r="G1964" i="1" s="1"/>
  <c r="E1964" i="1"/>
  <c r="BN1963" i="1"/>
  <c r="BL1963" i="1"/>
  <c r="BK1963" i="1"/>
  <c r="BJ1963" i="1"/>
  <c r="BM1963" i="1" s="1"/>
  <c r="BI1963" i="1"/>
  <c r="BF1963" i="1"/>
  <c r="BG1963" i="1" s="1"/>
  <c r="BE1963" i="1"/>
  <c r="BB1963" i="1"/>
  <c r="BC1963" i="1" s="1"/>
  <c r="BA1963" i="1"/>
  <c r="AY1963" i="1"/>
  <c r="AX1963" i="1"/>
  <c r="AV1963" i="1"/>
  <c r="AW1963" i="1" s="1"/>
  <c r="AU1963" i="1"/>
  <c r="AT1963" i="1"/>
  <c r="AS1963" i="1"/>
  <c r="AP1963" i="1"/>
  <c r="AQ1963" i="1" s="1"/>
  <c r="AO1963" i="1"/>
  <c r="AL1963" i="1"/>
  <c r="AM1963" i="1" s="1"/>
  <c r="AK1963" i="1"/>
  <c r="AH1963" i="1"/>
  <c r="AI1963" i="1" s="1"/>
  <c r="AF1963" i="1"/>
  <c r="AG1963" i="1" s="1"/>
  <c r="AD1963" i="1"/>
  <c r="AE1963" i="1" s="1"/>
  <c r="AC1963" i="1"/>
  <c r="AA1963" i="1"/>
  <c r="Z1963" i="1"/>
  <c r="Y1963" i="1"/>
  <c r="V1963" i="1"/>
  <c r="W1963" i="1" s="1"/>
  <c r="U1963" i="1"/>
  <c r="R1963" i="1"/>
  <c r="S1963" i="1" s="1"/>
  <c r="Q1963" i="1"/>
  <c r="N1963" i="1"/>
  <c r="O1963" i="1" s="1"/>
  <c r="M1963" i="1"/>
  <c r="K1963" i="1"/>
  <c r="J1963" i="1"/>
  <c r="I1963" i="1"/>
  <c r="G1963" i="1"/>
  <c r="F1963" i="1"/>
  <c r="E1963" i="1"/>
  <c r="BN1962" i="1"/>
  <c r="BM1962" i="1" s="1"/>
  <c r="BL1962" i="1"/>
  <c r="BJ1962" i="1"/>
  <c r="BI1962" i="1"/>
  <c r="BG1962" i="1"/>
  <c r="BF1962" i="1"/>
  <c r="BC1962" i="1" s="1"/>
  <c r="BE1962" i="1"/>
  <c r="BB1962" i="1"/>
  <c r="BA1962" i="1"/>
  <c r="AX1962" i="1"/>
  <c r="AY1962" i="1" s="1"/>
  <c r="AW1962" i="1"/>
  <c r="AU1962" i="1"/>
  <c r="AT1962" i="1"/>
  <c r="AS1962" i="1"/>
  <c r="AP1962" i="1"/>
  <c r="AQ1962" i="1" s="1"/>
  <c r="AO1962" i="1"/>
  <c r="AL1962" i="1"/>
  <c r="AM1962" i="1" s="1"/>
  <c r="AK1962" i="1"/>
  <c r="AH1962" i="1"/>
  <c r="AI1962" i="1" s="1"/>
  <c r="AG1962" i="1"/>
  <c r="AE1962" i="1"/>
  <c r="AD1962" i="1"/>
  <c r="AC1962" i="1"/>
  <c r="AA1962" i="1"/>
  <c r="Z1962" i="1"/>
  <c r="W1962" i="1" s="1"/>
  <c r="Y1962" i="1"/>
  <c r="V1962" i="1"/>
  <c r="U1962" i="1"/>
  <c r="R1962" i="1"/>
  <c r="S1962" i="1" s="1"/>
  <c r="Q1962" i="1"/>
  <c r="O1962" i="1"/>
  <c r="N1962" i="1"/>
  <c r="M1962" i="1"/>
  <c r="J1962" i="1"/>
  <c r="K1962" i="1" s="1"/>
  <c r="I1962" i="1"/>
  <c r="F1962" i="1"/>
  <c r="G1962" i="1" s="1"/>
  <c r="E1962" i="1"/>
  <c r="BN1961" i="1"/>
  <c r="BL1961" i="1"/>
  <c r="BJ1961" i="1"/>
  <c r="BM1961" i="1" s="1"/>
  <c r="BI1961" i="1"/>
  <c r="BF1961" i="1"/>
  <c r="BG1961" i="1" s="1"/>
  <c r="BE1961" i="1"/>
  <c r="BB1961" i="1"/>
  <c r="BA1961" i="1"/>
  <c r="AY1961" i="1"/>
  <c r="AX1961" i="1"/>
  <c r="AW1961" i="1"/>
  <c r="AU1961" i="1"/>
  <c r="AT1961" i="1"/>
  <c r="AQ1961" i="1" s="1"/>
  <c r="AS1961" i="1"/>
  <c r="AP1961" i="1"/>
  <c r="AO1961" i="1"/>
  <c r="AL1961" i="1"/>
  <c r="AM1961" i="1" s="1"/>
  <c r="AK1961" i="1"/>
  <c r="AI1961" i="1"/>
  <c r="AH1961" i="1"/>
  <c r="AG1961" i="1"/>
  <c r="AD1961" i="1"/>
  <c r="AE1961" i="1" s="1"/>
  <c r="AC1961" i="1"/>
  <c r="Z1961" i="1"/>
  <c r="AA1961" i="1" s="1"/>
  <c r="Y1961" i="1"/>
  <c r="V1961" i="1"/>
  <c r="W1961" i="1" s="1"/>
  <c r="U1961" i="1"/>
  <c r="S1961" i="1"/>
  <c r="R1961" i="1"/>
  <c r="Q1961" i="1"/>
  <c r="O1961" i="1"/>
  <c r="N1961" i="1"/>
  <c r="K1961" i="1" s="1"/>
  <c r="M1961" i="1"/>
  <c r="J1961" i="1"/>
  <c r="I1961" i="1"/>
  <c r="F1961" i="1"/>
  <c r="G1961" i="1" s="1"/>
  <c r="E1961" i="1"/>
  <c r="BN1960" i="1"/>
  <c r="BL1960" i="1"/>
  <c r="BJ1960" i="1"/>
  <c r="BM1960" i="1" s="1"/>
  <c r="BI1960" i="1"/>
  <c r="BF1960" i="1"/>
  <c r="BG1960" i="1" s="1"/>
  <c r="BE1960" i="1"/>
  <c r="BC1960" i="1"/>
  <c r="BB1960" i="1"/>
  <c r="BA1960" i="1"/>
  <c r="AX1960" i="1"/>
  <c r="AY1960" i="1" s="1"/>
  <c r="AW1960" i="1"/>
  <c r="AT1960" i="1"/>
  <c r="AU1960" i="1" s="1"/>
  <c r="AS1960" i="1"/>
  <c r="AP1960" i="1"/>
  <c r="AQ1960" i="1" s="1"/>
  <c r="AO1960" i="1"/>
  <c r="AM1960" i="1"/>
  <c r="AL1960" i="1"/>
  <c r="AK1960" i="1"/>
  <c r="AI1960" i="1"/>
  <c r="AH1960" i="1"/>
  <c r="AE1960" i="1" s="1"/>
  <c r="AG1960" i="1"/>
  <c r="AD1960" i="1"/>
  <c r="AC1960" i="1"/>
  <c r="Z1960" i="1"/>
  <c r="AA1960" i="1" s="1"/>
  <c r="Y1960" i="1"/>
  <c r="W1960" i="1"/>
  <c r="V1960" i="1"/>
  <c r="U1960" i="1"/>
  <c r="R1960" i="1"/>
  <c r="S1960" i="1" s="1"/>
  <c r="Q1960" i="1"/>
  <c r="N1960" i="1"/>
  <c r="O1960" i="1" s="1"/>
  <c r="M1960" i="1"/>
  <c r="J1960" i="1"/>
  <c r="K1960" i="1" s="1"/>
  <c r="I1960" i="1"/>
  <c r="G1960" i="1"/>
  <c r="F1960" i="1"/>
  <c r="E1960" i="1"/>
  <c r="BN1959" i="1"/>
  <c r="BM1959" i="1" s="1"/>
  <c r="BL1959" i="1"/>
  <c r="BJ1959" i="1"/>
  <c r="BI1959" i="1"/>
  <c r="BG1959" i="1"/>
  <c r="BF1959" i="1"/>
  <c r="BE1959" i="1"/>
  <c r="BC1959" i="1"/>
  <c r="BB1959" i="1"/>
  <c r="AY1959" i="1" s="1"/>
  <c r="BA1959" i="1"/>
  <c r="AX1959" i="1"/>
  <c r="AW1959" i="1"/>
  <c r="AT1959" i="1"/>
  <c r="AU1959" i="1" s="1"/>
  <c r="AS1959" i="1"/>
  <c r="AQ1959" i="1"/>
  <c r="AP1959" i="1"/>
  <c r="AO1959" i="1"/>
  <c r="AL1959" i="1"/>
  <c r="AM1959" i="1" s="1"/>
  <c r="AK1959" i="1"/>
  <c r="AH1959" i="1"/>
  <c r="AI1959" i="1" s="1"/>
  <c r="AG1959" i="1"/>
  <c r="AD1959" i="1"/>
  <c r="AC1959" i="1"/>
  <c r="AA1959" i="1"/>
  <c r="Z1959" i="1"/>
  <c r="Y1959" i="1"/>
  <c r="W1959" i="1"/>
  <c r="V1959" i="1"/>
  <c r="S1959" i="1" s="1"/>
  <c r="U1959" i="1"/>
  <c r="R1959" i="1"/>
  <c r="Q1959" i="1"/>
  <c r="N1959" i="1"/>
  <c r="O1959" i="1" s="1"/>
  <c r="M1959" i="1"/>
  <c r="K1959" i="1"/>
  <c r="J1959" i="1"/>
  <c r="I1959" i="1"/>
  <c r="F1959" i="1"/>
  <c r="G1959" i="1" s="1"/>
  <c r="E1959" i="1"/>
  <c r="BN1958" i="1"/>
  <c r="BM1958" i="1"/>
  <c r="BL1958" i="1"/>
  <c r="BJ1958" i="1"/>
  <c r="BI1958" i="1"/>
  <c r="BF1958" i="1"/>
  <c r="BG1958" i="1" s="1"/>
  <c r="BE1958" i="1"/>
  <c r="BB1958" i="1"/>
  <c r="BC1958" i="1" s="1"/>
  <c r="BA1958" i="1"/>
  <c r="AX1958" i="1"/>
  <c r="AY1958" i="1" s="1"/>
  <c r="AW1958" i="1"/>
  <c r="AU1958" i="1"/>
  <c r="AT1958" i="1"/>
  <c r="AS1958" i="1"/>
  <c r="AQ1958" i="1"/>
  <c r="AP1958" i="1"/>
  <c r="AM1958" i="1" s="1"/>
  <c r="AO1958" i="1"/>
  <c r="AL1958" i="1"/>
  <c r="AK1958" i="1"/>
  <c r="AH1958" i="1"/>
  <c r="AI1958" i="1" s="1"/>
  <c r="AG1958" i="1"/>
  <c r="AE1958" i="1"/>
  <c r="AD1958" i="1"/>
  <c r="AC1958" i="1"/>
  <c r="Z1958" i="1"/>
  <c r="AA1958" i="1" s="1"/>
  <c r="Y1958" i="1"/>
  <c r="V1958" i="1"/>
  <c r="W1958" i="1" s="1"/>
  <c r="U1958" i="1"/>
  <c r="R1958" i="1"/>
  <c r="S1958" i="1" s="1"/>
  <c r="Q1958" i="1"/>
  <c r="O1958" i="1"/>
  <c r="N1958" i="1"/>
  <c r="M1958" i="1"/>
  <c r="K1958" i="1"/>
  <c r="J1958" i="1"/>
  <c r="G1958" i="1" s="1"/>
  <c r="I1958" i="1"/>
  <c r="F1958" i="1"/>
  <c r="E1958" i="1"/>
  <c r="BN1957" i="1"/>
  <c r="BL1957" i="1"/>
  <c r="BJ1957" i="1"/>
  <c r="BG1957" i="1" s="1"/>
  <c r="BI1957" i="1"/>
  <c r="BF1957" i="1"/>
  <c r="BE1957" i="1"/>
  <c r="BB1957" i="1"/>
  <c r="BC1957" i="1" s="1"/>
  <c r="BA1957" i="1"/>
  <c r="AY1957" i="1"/>
  <c r="AX1957" i="1"/>
  <c r="AW1957" i="1"/>
  <c r="AT1957" i="1"/>
  <c r="AU1957" i="1" s="1"/>
  <c r="AS1957" i="1"/>
  <c r="AP1957" i="1"/>
  <c r="AQ1957" i="1" s="1"/>
  <c r="AO1957" i="1"/>
  <c r="AL1957" i="1"/>
  <c r="AM1957" i="1" s="1"/>
  <c r="AK1957" i="1"/>
  <c r="AI1957" i="1"/>
  <c r="AH1957" i="1"/>
  <c r="AG1957" i="1"/>
  <c r="AE1957" i="1"/>
  <c r="AD1957" i="1"/>
  <c r="AA1957" i="1" s="1"/>
  <c r="AC1957" i="1"/>
  <c r="Z1957" i="1"/>
  <c r="Y1957" i="1"/>
  <c r="V1957" i="1"/>
  <c r="W1957" i="1" s="1"/>
  <c r="U1957" i="1"/>
  <c r="S1957" i="1"/>
  <c r="R1957" i="1"/>
  <c r="Q1957" i="1"/>
  <c r="N1957" i="1"/>
  <c r="O1957" i="1" s="1"/>
  <c r="M1957" i="1"/>
  <c r="J1957" i="1"/>
  <c r="K1957" i="1" s="1"/>
  <c r="I1957" i="1"/>
  <c r="F1957" i="1"/>
  <c r="G1957" i="1" s="1"/>
  <c r="E1957" i="1"/>
  <c r="BN1956" i="1"/>
  <c r="BL1956" i="1"/>
  <c r="BJ1956" i="1"/>
  <c r="BM1956" i="1" s="1"/>
  <c r="BI1956" i="1"/>
  <c r="BF1956" i="1"/>
  <c r="BE1956" i="1"/>
  <c r="BC1956" i="1"/>
  <c r="BB1956" i="1"/>
  <c r="BA1956" i="1"/>
  <c r="AY1956" i="1"/>
  <c r="AX1956" i="1"/>
  <c r="AU1956" i="1" s="1"/>
  <c r="AW1956" i="1"/>
  <c r="AT1956" i="1"/>
  <c r="AS1956" i="1"/>
  <c r="AP1956" i="1"/>
  <c r="AQ1956" i="1" s="1"/>
  <c r="AO1956" i="1"/>
  <c r="AM1956" i="1"/>
  <c r="AL1956" i="1"/>
  <c r="AK1956" i="1"/>
  <c r="AH1956" i="1"/>
  <c r="AI1956" i="1" s="1"/>
  <c r="AG1956" i="1"/>
  <c r="AD1956" i="1"/>
  <c r="AE1956" i="1" s="1"/>
  <c r="AC1956" i="1"/>
  <c r="Z1956" i="1"/>
  <c r="AA1956" i="1" s="1"/>
  <c r="Y1956" i="1"/>
  <c r="W1956" i="1"/>
  <c r="V1956" i="1"/>
  <c r="U1956" i="1"/>
  <c r="S1956" i="1"/>
  <c r="R1956" i="1"/>
  <c r="O1956" i="1" s="1"/>
  <c r="Q1956" i="1"/>
  <c r="N1956" i="1"/>
  <c r="M1956" i="1"/>
  <c r="J1956" i="1"/>
  <c r="K1956" i="1" s="1"/>
  <c r="I1956" i="1"/>
  <c r="G1956" i="1"/>
  <c r="F1956" i="1"/>
  <c r="E1956" i="1"/>
  <c r="BN1955" i="1"/>
  <c r="BM1955" i="1"/>
  <c r="BL1955" i="1"/>
  <c r="BJ1955" i="1"/>
  <c r="BI1955" i="1"/>
  <c r="BG1955" i="1"/>
  <c r="BF1955" i="1"/>
  <c r="BE1955" i="1"/>
  <c r="BB1955" i="1"/>
  <c r="BC1955" i="1" s="1"/>
  <c r="BA1955" i="1"/>
  <c r="AX1955" i="1"/>
  <c r="AY1955" i="1" s="1"/>
  <c r="AW1955" i="1"/>
  <c r="AT1955" i="1"/>
  <c r="AU1955" i="1" s="1"/>
  <c r="AS1955" i="1"/>
  <c r="AQ1955" i="1"/>
  <c r="AP1955" i="1"/>
  <c r="AO1955" i="1"/>
  <c r="AM1955" i="1"/>
  <c r="AL1955" i="1"/>
  <c r="AI1955" i="1" s="1"/>
  <c r="AK1955" i="1"/>
  <c r="AH1955" i="1"/>
  <c r="AG1955" i="1"/>
  <c r="AD1955" i="1"/>
  <c r="AE1955" i="1" s="1"/>
  <c r="AC1955" i="1"/>
  <c r="AA1955" i="1"/>
  <c r="Z1955" i="1"/>
  <c r="Y1955" i="1"/>
  <c r="V1955" i="1"/>
  <c r="W1955" i="1" s="1"/>
  <c r="U1955" i="1"/>
  <c r="R1955" i="1"/>
  <c r="S1955" i="1" s="1"/>
  <c r="Q1955" i="1"/>
  <c r="N1955" i="1"/>
  <c r="M1955" i="1"/>
  <c r="K1955" i="1"/>
  <c r="J1955" i="1"/>
  <c r="I1955" i="1"/>
  <c r="G1955" i="1"/>
  <c r="F1955" i="1"/>
  <c r="E1955" i="1"/>
  <c r="BN1954" i="1"/>
  <c r="BM1954" i="1" s="1"/>
  <c r="BL1954" i="1"/>
  <c r="BJ1954" i="1"/>
  <c r="BI1954" i="1"/>
  <c r="BG1954" i="1"/>
  <c r="BF1954" i="1"/>
  <c r="BC1954" i="1" s="1"/>
  <c r="BE1954" i="1"/>
  <c r="BB1954" i="1"/>
  <c r="BA1954" i="1"/>
  <c r="AX1954" i="1"/>
  <c r="AY1954" i="1" s="1"/>
  <c r="AW1954" i="1"/>
  <c r="AU1954" i="1"/>
  <c r="AT1954" i="1"/>
  <c r="AS1954" i="1"/>
  <c r="AP1954" i="1"/>
  <c r="AQ1954" i="1" s="1"/>
  <c r="AO1954" i="1"/>
  <c r="AL1954" i="1"/>
  <c r="AM1954" i="1" s="1"/>
  <c r="AK1954" i="1"/>
  <c r="AH1954" i="1"/>
  <c r="AI1954" i="1" s="1"/>
  <c r="AG1954" i="1"/>
  <c r="AE1954" i="1"/>
  <c r="AD1954" i="1"/>
  <c r="AC1954" i="1"/>
  <c r="AA1954" i="1"/>
  <c r="Z1954" i="1"/>
  <c r="W1954" i="1" s="1"/>
  <c r="Y1954" i="1"/>
  <c r="V1954" i="1"/>
  <c r="U1954" i="1"/>
  <c r="R1954" i="1"/>
  <c r="S1954" i="1" s="1"/>
  <c r="Q1954" i="1"/>
  <c r="O1954" i="1"/>
  <c r="N1954" i="1"/>
  <c r="M1954" i="1"/>
  <c r="J1954" i="1"/>
  <c r="K1954" i="1" s="1"/>
  <c r="I1954" i="1"/>
  <c r="F1954" i="1"/>
  <c r="G1954" i="1" s="1"/>
  <c r="E1954" i="1"/>
  <c r="BN1953" i="1"/>
  <c r="BL1953" i="1"/>
  <c r="BJ1953" i="1"/>
  <c r="BM1953" i="1" s="1"/>
  <c r="BI1953" i="1"/>
  <c r="BF1953" i="1"/>
  <c r="BG1953" i="1" s="1"/>
  <c r="BE1953" i="1"/>
  <c r="BB1953" i="1"/>
  <c r="BC1953" i="1" s="1"/>
  <c r="BA1953" i="1"/>
  <c r="AY1953" i="1"/>
  <c r="AX1953" i="1"/>
  <c r="AW1953" i="1"/>
  <c r="AU1953" i="1"/>
  <c r="AT1953" i="1"/>
  <c r="AQ1953" i="1" s="1"/>
  <c r="AS1953" i="1"/>
  <c r="AP1953" i="1"/>
  <c r="AO1953" i="1"/>
  <c r="AL1953" i="1"/>
  <c r="AM1953" i="1" s="1"/>
  <c r="AK1953" i="1"/>
  <c r="AI1953" i="1"/>
  <c r="AH1953" i="1"/>
  <c r="AG1953" i="1"/>
  <c r="AD1953" i="1"/>
  <c r="AE1953" i="1" s="1"/>
  <c r="AC1953" i="1"/>
  <c r="Z1953" i="1"/>
  <c r="AA1953" i="1" s="1"/>
  <c r="Y1953" i="1"/>
  <c r="V1953" i="1"/>
  <c r="W1953" i="1" s="1"/>
  <c r="U1953" i="1"/>
  <c r="S1953" i="1"/>
  <c r="R1953" i="1"/>
  <c r="Q1953" i="1"/>
  <c r="O1953" i="1"/>
  <c r="N1953" i="1"/>
  <c r="K1953" i="1" s="1"/>
  <c r="M1953" i="1"/>
  <c r="J1953" i="1"/>
  <c r="I1953" i="1"/>
  <c r="F1953" i="1"/>
  <c r="G1953" i="1" s="1"/>
  <c r="E1953" i="1"/>
  <c r="BN1952" i="1"/>
  <c r="BL1952" i="1"/>
  <c r="BJ1952" i="1"/>
  <c r="BM1952" i="1" s="1"/>
  <c r="BI1952" i="1"/>
  <c r="BF1952" i="1"/>
  <c r="BG1952" i="1" s="1"/>
  <c r="BE1952" i="1"/>
  <c r="BC1952" i="1"/>
  <c r="BB1952" i="1"/>
  <c r="BA1952" i="1"/>
  <c r="AX1952" i="1"/>
  <c r="AY1952" i="1" s="1"/>
  <c r="AW1952" i="1"/>
  <c r="AT1952" i="1"/>
  <c r="AU1952" i="1" s="1"/>
  <c r="AS1952" i="1"/>
  <c r="AP1952" i="1"/>
  <c r="AO1952" i="1"/>
  <c r="AM1952" i="1"/>
  <c r="AL1952" i="1"/>
  <c r="AK1952" i="1"/>
  <c r="AI1952" i="1"/>
  <c r="AH1952" i="1"/>
  <c r="AE1952" i="1" s="1"/>
  <c r="AG1952" i="1"/>
  <c r="AD1952" i="1"/>
  <c r="AC1952" i="1"/>
  <c r="Z1952" i="1"/>
  <c r="AA1952" i="1" s="1"/>
  <c r="Y1952" i="1"/>
  <c r="W1952" i="1"/>
  <c r="V1952" i="1"/>
  <c r="U1952" i="1"/>
  <c r="R1952" i="1"/>
  <c r="S1952" i="1" s="1"/>
  <c r="Q1952" i="1"/>
  <c r="N1952" i="1"/>
  <c r="O1952" i="1" s="1"/>
  <c r="M1952" i="1"/>
  <c r="J1952" i="1"/>
  <c r="K1952" i="1" s="1"/>
  <c r="I1952" i="1"/>
  <c r="G1952" i="1"/>
  <c r="F1952" i="1"/>
  <c r="E1952" i="1"/>
  <c r="BN1951" i="1"/>
  <c r="BM1951" i="1" s="1"/>
  <c r="BL1951" i="1"/>
  <c r="BJ1951" i="1"/>
  <c r="BI1951" i="1"/>
  <c r="BG1951" i="1"/>
  <c r="BF1951" i="1"/>
  <c r="BE1951" i="1"/>
  <c r="BC1951" i="1"/>
  <c r="BB1951" i="1"/>
  <c r="AY1951" i="1" s="1"/>
  <c r="BA1951" i="1"/>
  <c r="AX1951" i="1"/>
  <c r="AW1951" i="1"/>
  <c r="AT1951" i="1"/>
  <c r="AU1951" i="1" s="1"/>
  <c r="AS1951" i="1"/>
  <c r="AQ1951" i="1"/>
  <c r="AP1951" i="1"/>
  <c r="AO1951" i="1"/>
  <c r="AL1951" i="1"/>
  <c r="AM1951" i="1" s="1"/>
  <c r="AK1951" i="1"/>
  <c r="AH1951" i="1"/>
  <c r="AI1951" i="1" s="1"/>
  <c r="AG1951" i="1"/>
  <c r="AD1951" i="1"/>
  <c r="AC1951" i="1"/>
  <c r="AA1951" i="1"/>
  <c r="Z1951" i="1"/>
  <c r="Y1951" i="1"/>
  <c r="W1951" i="1"/>
  <c r="V1951" i="1"/>
  <c r="S1951" i="1" s="1"/>
  <c r="U1951" i="1"/>
  <c r="R1951" i="1"/>
  <c r="Q1951" i="1"/>
  <c r="N1951" i="1"/>
  <c r="O1951" i="1" s="1"/>
  <c r="M1951" i="1"/>
  <c r="K1951" i="1"/>
  <c r="J1951" i="1"/>
  <c r="I1951" i="1"/>
  <c r="F1951" i="1"/>
  <c r="G1951" i="1" s="1"/>
  <c r="E1951" i="1"/>
  <c r="BN1950" i="1"/>
  <c r="BM1950" i="1"/>
  <c r="BL1950" i="1"/>
  <c r="BJ1950" i="1"/>
  <c r="BI1950" i="1"/>
  <c r="BF1950" i="1"/>
  <c r="BG1950" i="1" s="1"/>
  <c r="BE1950" i="1"/>
  <c r="BB1950" i="1"/>
  <c r="BC1950" i="1" s="1"/>
  <c r="BA1950" i="1"/>
  <c r="AX1950" i="1"/>
  <c r="AY1950" i="1" s="1"/>
  <c r="AW1950" i="1"/>
  <c r="AU1950" i="1"/>
  <c r="AT1950" i="1"/>
  <c r="AS1950" i="1"/>
  <c r="AQ1950" i="1"/>
  <c r="AP1950" i="1"/>
  <c r="AM1950" i="1" s="1"/>
  <c r="AO1950" i="1"/>
  <c r="AL1950" i="1"/>
  <c r="AK1950" i="1"/>
  <c r="AH1950" i="1"/>
  <c r="AI1950" i="1" s="1"/>
  <c r="AG1950" i="1"/>
  <c r="AE1950" i="1"/>
  <c r="AD1950" i="1"/>
  <c r="AC1950" i="1"/>
  <c r="Z1950" i="1"/>
  <c r="AA1950" i="1" s="1"/>
  <c r="Y1950" i="1"/>
  <c r="V1950" i="1"/>
  <c r="W1950" i="1" s="1"/>
  <c r="U1950" i="1"/>
  <c r="R1950" i="1"/>
  <c r="S1950" i="1" s="1"/>
  <c r="Q1950" i="1"/>
  <c r="O1950" i="1"/>
  <c r="N1950" i="1"/>
  <c r="M1950" i="1"/>
  <c r="K1950" i="1"/>
  <c r="J1950" i="1"/>
  <c r="G1950" i="1" s="1"/>
  <c r="I1950" i="1"/>
  <c r="F1950" i="1"/>
  <c r="E1950" i="1"/>
  <c r="BN1949" i="1"/>
  <c r="BL1949" i="1"/>
  <c r="BJ1949" i="1"/>
  <c r="BG1949" i="1" s="1"/>
  <c r="BI1949" i="1"/>
  <c r="BF1949" i="1"/>
  <c r="BE1949" i="1"/>
  <c r="BB1949" i="1"/>
  <c r="BC1949" i="1" s="1"/>
  <c r="BA1949" i="1"/>
  <c r="AY1949" i="1"/>
  <c r="AX1949" i="1"/>
  <c r="AW1949" i="1"/>
  <c r="AT1949" i="1"/>
  <c r="AU1949" i="1" s="1"/>
  <c r="AS1949" i="1"/>
  <c r="AP1949" i="1"/>
  <c r="AQ1949" i="1" s="1"/>
  <c r="AO1949" i="1"/>
  <c r="AL1949" i="1"/>
  <c r="AM1949" i="1" s="1"/>
  <c r="AK1949" i="1"/>
  <c r="AI1949" i="1"/>
  <c r="AH1949" i="1"/>
  <c r="AF1949" i="1"/>
  <c r="AG1949" i="1" s="1"/>
  <c r="AE1949" i="1"/>
  <c r="AD1949" i="1"/>
  <c r="AC1949" i="1"/>
  <c r="AB1949" i="1"/>
  <c r="AA1949" i="1"/>
  <c r="Z1949" i="1"/>
  <c r="X1949" i="1"/>
  <c r="Y1949" i="1" s="1"/>
  <c r="W1949" i="1"/>
  <c r="V1949" i="1"/>
  <c r="U1949" i="1"/>
  <c r="R1949" i="1"/>
  <c r="S1949" i="1" s="1"/>
  <c r="P1949" i="1"/>
  <c r="Q1949" i="1" s="1"/>
  <c r="O1949" i="1"/>
  <c r="N1949" i="1"/>
  <c r="L1949" i="1"/>
  <c r="M1949" i="1" s="1"/>
  <c r="J1949" i="1"/>
  <c r="K1949" i="1" s="1"/>
  <c r="H1949" i="1"/>
  <c r="I1949" i="1" s="1"/>
  <c r="G1949" i="1"/>
  <c r="F1949" i="1"/>
  <c r="E1949" i="1"/>
  <c r="BN1948" i="1"/>
  <c r="BM1948" i="1" s="1"/>
  <c r="BL1948" i="1"/>
  <c r="BJ1948" i="1"/>
  <c r="BI1948" i="1"/>
  <c r="BG1948" i="1"/>
  <c r="BF1948" i="1"/>
  <c r="BC1948" i="1" s="1"/>
  <c r="BE1948" i="1"/>
  <c r="BB1948" i="1"/>
  <c r="BA1948" i="1"/>
  <c r="AX1948" i="1"/>
  <c r="AY1948" i="1" s="1"/>
  <c r="AW1948" i="1"/>
  <c r="AU1948" i="1"/>
  <c r="AT1948" i="1"/>
  <c r="AS1948" i="1"/>
  <c r="AP1948" i="1"/>
  <c r="AQ1948" i="1" s="1"/>
  <c r="AO1948" i="1"/>
  <c r="AL1948" i="1"/>
  <c r="AM1948" i="1" s="1"/>
  <c r="AK1948" i="1"/>
  <c r="AH1948" i="1"/>
  <c r="AI1948" i="1" s="1"/>
  <c r="AF1948" i="1"/>
  <c r="AG1948" i="1" s="1"/>
  <c r="AD1948" i="1"/>
  <c r="AE1948" i="1" s="1"/>
  <c r="AC1948" i="1"/>
  <c r="AB1948" i="1"/>
  <c r="Z1948" i="1"/>
  <c r="AA1948" i="1" s="1"/>
  <c r="X1948" i="1"/>
  <c r="Y1948" i="1" s="1"/>
  <c r="V1948" i="1"/>
  <c r="W1948" i="1" s="1"/>
  <c r="U1948" i="1"/>
  <c r="S1948" i="1"/>
  <c r="R1948" i="1"/>
  <c r="Q1948" i="1"/>
  <c r="P1948" i="1"/>
  <c r="O1948" i="1"/>
  <c r="N1948" i="1"/>
  <c r="L1948" i="1"/>
  <c r="M1948" i="1" s="1"/>
  <c r="K1948" i="1"/>
  <c r="J1948" i="1"/>
  <c r="I1948" i="1"/>
  <c r="H1948" i="1"/>
  <c r="G1948" i="1"/>
  <c r="F1948" i="1"/>
  <c r="E1948" i="1"/>
  <c r="BN1947" i="1"/>
  <c r="BM1947" i="1" s="1"/>
  <c r="BL1947" i="1"/>
  <c r="BJ1947" i="1"/>
  <c r="BI1947" i="1"/>
  <c r="BG1947" i="1"/>
  <c r="BF1947" i="1"/>
  <c r="BE1947" i="1"/>
  <c r="BC1947" i="1"/>
  <c r="BB1947" i="1"/>
  <c r="AY1947" i="1" s="1"/>
  <c r="BA1947" i="1"/>
  <c r="AX1947" i="1"/>
  <c r="AW1947" i="1"/>
  <c r="AT1947" i="1"/>
  <c r="AU1947" i="1" s="1"/>
  <c r="AS1947" i="1"/>
  <c r="AQ1947" i="1"/>
  <c r="AP1947" i="1"/>
  <c r="AO1947" i="1"/>
  <c r="AL1947" i="1"/>
  <c r="AM1947" i="1" s="1"/>
  <c r="AK1947" i="1"/>
  <c r="AH1947" i="1"/>
  <c r="AG1947" i="1"/>
  <c r="AF1947" i="1"/>
  <c r="AD1947" i="1"/>
  <c r="AC1947" i="1"/>
  <c r="AB1947" i="1"/>
  <c r="Z1947" i="1"/>
  <c r="Y1947" i="1"/>
  <c r="X1947" i="1"/>
  <c r="V1947" i="1"/>
  <c r="U1947" i="1"/>
  <c r="R1947" i="1"/>
  <c r="S1947" i="1" s="1"/>
  <c r="Q1947" i="1"/>
  <c r="P1947" i="1"/>
  <c r="N1947" i="1"/>
  <c r="O1947" i="1" s="1"/>
  <c r="L1947" i="1"/>
  <c r="M1947" i="1" s="1"/>
  <c r="J1947" i="1"/>
  <c r="K1947" i="1" s="1"/>
  <c r="I1947" i="1"/>
  <c r="H1947" i="1"/>
  <c r="F1947" i="1"/>
  <c r="G1947" i="1" s="1"/>
  <c r="E1947" i="1"/>
  <c r="BN1946" i="1"/>
  <c r="BL1946" i="1"/>
  <c r="BJ1946" i="1"/>
  <c r="BM1946" i="1" s="1"/>
  <c r="BI1946" i="1"/>
  <c r="BF1946" i="1"/>
  <c r="BE1946" i="1"/>
  <c r="BC1946" i="1"/>
  <c r="BB1946" i="1"/>
  <c r="BA1946" i="1"/>
  <c r="AY1946" i="1"/>
  <c r="AX1946" i="1"/>
  <c r="AU1946" i="1" s="1"/>
  <c r="AW1946" i="1"/>
  <c r="AT1946" i="1"/>
  <c r="AS1946" i="1"/>
  <c r="AP1946" i="1"/>
  <c r="AQ1946" i="1" s="1"/>
  <c r="AO1946" i="1"/>
  <c r="AM1946" i="1"/>
  <c r="AL1946" i="1"/>
  <c r="AK1946" i="1"/>
  <c r="AH1946" i="1"/>
  <c r="AI1946" i="1" s="1"/>
  <c r="AG1946" i="1"/>
  <c r="AD1946" i="1"/>
  <c r="AE1946" i="1" s="1"/>
  <c r="AC1946" i="1"/>
  <c r="Z1946" i="1"/>
  <c r="AA1946" i="1" s="1"/>
  <c r="Y1946" i="1"/>
  <c r="W1946" i="1"/>
  <c r="V1946" i="1"/>
  <c r="U1946" i="1"/>
  <c r="S1946" i="1"/>
  <c r="R1946" i="1"/>
  <c r="O1946" i="1" s="1"/>
  <c r="Q1946" i="1"/>
  <c r="N1946" i="1"/>
  <c r="M1946" i="1"/>
  <c r="J1946" i="1"/>
  <c r="K1946" i="1" s="1"/>
  <c r="I1946" i="1"/>
  <c r="G1946" i="1"/>
  <c r="F1946" i="1"/>
  <c r="E1946" i="1"/>
  <c r="BN1945" i="1"/>
  <c r="BM1945" i="1"/>
  <c r="BL1945" i="1"/>
  <c r="BJ1945" i="1"/>
  <c r="BI1945" i="1"/>
  <c r="BG1945" i="1"/>
  <c r="BF1945" i="1"/>
  <c r="BE1945" i="1"/>
  <c r="BB1945" i="1"/>
  <c r="BC1945" i="1" s="1"/>
  <c r="BA1945" i="1"/>
  <c r="AX1945" i="1"/>
  <c r="AY1945" i="1" s="1"/>
  <c r="AW1945" i="1"/>
  <c r="AT1945" i="1"/>
  <c r="AU1945" i="1" s="1"/>
  <c r="AS1945" i="1"/>
  <c r="AQ1945" i="1"/>
  <c r="AP1945" i="1"/>
  <c r="AO1945" i="1"/>
  <c r="AM1945" i="1"/>
  <c r="AL1945" i="1"/>
  <c r="AI1945" i="1" s="1"/>
  <c r="AK1945" i="1"/>
  <c r="AH1945" i="1"/>
  <c r="AG1945" i="1"/>
  <c r="AD1945" i="1"/>
  <c r="AE1945" i="1" s="1"/>
  <c r="AC1945" i="1"/>
  <c r="AA1945" i="1"/>
  <c r="Z1945" i="1"/>
  <c r="Y1945" i="1"/>
  <c r="V1945" i="1"/>
  <c r="W1945" i="1" s="1"/>
  <c r="U1945" i="1"/>
  <c r="R1945" i="1"/>
  <c r="S1945" i="1" s="1"/>
  <c r="Q1945" i="1"/>
  <c r="N1945" i="1"/>
  <c r="O1945" i="1" s="1"/>
  <c r="M1945" i="1"/>
  <c r="K1945" i="1"/>
  <c r="J1945" i="1"/>
  <c r="I1945" i="1"/>
  <c r="G1945" i="1"/>
  <c r="F1945" i="1"/>
  <c r="E1945" i="1"/>
  <c r="BN1944" i="1"/>
  <c r="BM1944" i="1" s="1"/>
  <c r="BL1944" i="1"/>
  <c r="BJ1944" i="1"/>
  <c r="BI1944" i="1"/>
  <c r="BG1944" i="1"/>
  <c r="BF1944" i="1"/>
  <c r="BC1944" i="1" s="1"/>
  <c r="BE1944" i="1"/>
  <c r="BB1944" i="1"/>
  <c r="BA1944" i="1"/>
  <c r="AX1944" i="1"/>
  <c r="AY1944" i="1" s="1"/>
  <c r="AW1944" i="1"/>
  <c r="AU1944" i="1"/>
  <c r="AT1944" i="1"/>
  <c r="AS1944" i="1"/>
  <c r="AP1944" i="1"/>
  <c r="AQ1944" i="1" s="1"/>
  <c r="AO1944" i="1"/>
  <c r="AL1944" i="1"/>
  <c r="AM1944" i="1" s="1"/>
  <c r="AK1944" i="1"/>
  <c r="AH1944" i="1"/>
  <c r="AI1944" i="1" s="1"/>
  <c r="AG1944" i="1"/>
  <c r="AE1944" i="1"/>
  <c r="AD1944" i="1"/>
  <c r="AC1944" i="1"/>
  <c r="AA1944" i="1"/>
  <c r="Z1944" i="1"/>
  <c r="W1944" i="1" s="1"/>
  <c r="Y1944" i="1"/>
  <c r="V1944" i="1"/>
  <c r="U1944" i="1"/>
  <c r="R1944" i="1"/>
  <c r="S1944" i="1" s="1"/>
  <c r="Q1944" i="1"/>
  <c r="O1944" i="1"/>
  <c r="N1944" i="1"/>
  <c r="M1944" i="1"/>
  <c r="J1944" i="1"/>
  <c r="K1944" i="1" s="1"/>
  <c r="I1944" i="1"/>
  <c r="F1944" i="1"/>
  <c r="G1944" i="1" s="1"/>
  <c r="E1944" i="1"/>
  <c r="BN1943" i="1"/>
  <c r="BL1943" i="1"/>
  <c r="BJ1943" i="1"/>
  <c r="BM1943" i="1" s="1"/>
  <c r="BI1943" i="1"/>
  <c r="BF1943" i="1"/>
  <c r="BG1943" i="1" s="1"/>
  <c r="BE1943" i="1"/>
  <c r="BB1943" i="1"/>
  <c r="BC1943" i="1" s="1"/>
  <c r="BA1943" i="1"/>
  <c r="AY1943" i="1"/>
  <c r="AX1943" i="1"/>
  <c r="AW1943" i="1"/>
  <c r="AT1943" i="1"/>
  <c r="AQ1943" i="1" s="1"/>
  <c r="AS1943" i="1"/>
  <c r="AP1943" i="1"/>
  <c r="AO1943" i="1"/>
  <c r="AL1943" i="1"/>
  <c r="AM1943" i="1" s="1"/>
  <c r="AK1943" i="1"/>
  <c r="AI1943" i="1"/>
  <c r="AH1943" i="1"/>
  <c r="AG1943" i="1"/>
  <c r="AD1943" i="1"/>
  <c r="AE1943" i="1" s="1"/>
  <c r="AC1943" i="1"/>
  <c r="Z1943" i="1"/>
  <c r="AA1943" i="1" s="1"/>
  <c r="Y1943" i="1"/>
  <c r="V1943" i="1"/>
  <c r="U1943" i="1"/>
  <c r="S1943" i="1"/>
  <c r="R1943" i="1"/>
  <c r="Q1943" i="1"/>
  <c r="N1943" i="1"/>
  <c r="K1943" i="1" s="1"/>
  <c r="M1943" i="1"/>
  <c r="J1943" i="1"/>
  <c r="I1943" i="1"/>
  <c r="F1943" i="1"/>
  <c r="G1943" i="1" s="1"/>
  <c r="E1943" i="1"/>
  <c r="BN1942" i="1"/>
  <c r="BL1942" i="1"/>
  <c r="BJ1942" i="1"/>
  <c r="BM1942" i="1" s="1"/>
  <c r="BI1942" i="1"/>
  <c r="BF1942" i="1"/>
  <c r="BG1942" i="1" s="1"/>
  <c r="BE1942" i="1"/>
  <c r="BC1942" i="1"/>
  <c r="BB1942" i="1"/>
  <c r="BA1942" i="1"/>
  <c r="AX1942" i="1"/>
  <c r="AY1942" i="1" s="1"/>
  <c r="AW1942" i="1"/>
  <c r="AT1942" i="1"/>
  <c r="AU1942" i="1" s="1"/>
  <c r="AS1942" i="1"/>
  <c r="AP1942" i="1"/>
  <c r="AO1942" i="1"/>
  <c r="AM1942" i="1"/>
  <c r="AL1942" i="1"/>
  <c r="AK1942" i="1"/>
  <c r="AH1942" i="1"/>
  <c r="AG1942" i="1"/>
  <c r="AD1942" i="1"/>
  <c r="AC1942" i="1"/>
  <c r="Z1942" i="1"/>
  <c r="AA1942" i="1" s="1"/>
  <c r="Y1942" i="1"/>
  <c r="W1942" i="1"/>
  <c r="V1942" i="1"/>
  <c r="U1942" i="1"/>
  <c r="R1942" i="1"/>
  <c r="S1942" i="1" s="1"/>
  <c r="Q1942" i="1"/>
  <c r="N1942" i="1"/>
  <c r="O1942" i="1" s="1"/>
  <c r="M1942" i="1"/>
  <c r="J1942" i="1"/>
  <c r="I1942" i="1"/>
  <c r="G1942" i="1"/>
  <c r="F1942" i="1"/>
  <c r="E1942" i="1"/>
  <c r="BN1941" i="1"/>
  <c r="BM1941" i="1"/>
  <c r="BL1941" i="1"/>
  <c r="BJ1941" i="1"/>
  <c r="BI1941" i="1"/>
  <c r="BG1941" i="1"/>
  <c r="BF1941" i="1"/>
  <c r="BE1941" i="1"/>
  <c r="BB1941" i="1"/>
  <c r="AY1941" i="1" s="1"/>
  <c r="BA1941" i="1"/>
  <c r="AX1941" i="1"/>
  <c r="AW1941" i="1"/>
  <c r="AT1941" i="1"/>
  <c r="AU1941" i="1" s="1"/>
  <c r="AS1941" i="1"/>
  <c r="AQ1941" i="1"/>
  <c r="AP1941" i="1"/>
  <c r="AO1941" i="1"/>
  <c r="AL1941" i="1"/>
  <c r="AM1941" i="1" s="1"/>
  <c r="AK1941" i="1"/>
  <c r="AH1941" i="1"/>
  <c r="AI1941" i="1" s="1"/>
  <c r="AG1941" i="1"/>
  <c r="AD1941" i="1"/>
  <c r="AE1941" i="1" s="1"/>
  <c r="AC1941" i="1"/>
  <c r="AA1941" i="1"/>
  <c r="Z1941" i="1"/>
  <c r="Y1941" i="1"/>
  <c r="V1941" i="1"/>
  <c r="S1941" i="1" s="1"/>
  <c r="U1941" i="1"/>
  <c r="R1941" i="1"/>
  <c r="Q1941" i="1"/>
  <c r="N1941" i="1"/>
  <c r="O1941" i="1" s="1"/>
  <c r="M1941" i="1"/>
  <c r="K1941" i="1"/>
  <c r="J1941" i="1"/>
  <c r="I1941" i="1"/>
  <c r="F1941" i="1"/>
  <c r="G1941" i="1" s="1"/>
  <c r="E1941" i="1"/>
  <c r="BN1940" i="1"/>
  <c r="BM1940" i="1"/>
  <c r="BL1940" i="1"/>
  <c r="BJ1940" i="1"/>
  <c r="BI1940" i="1"/>
  <c r="BF1940" i="1"/>
  <c r="BG1940" i="1" s="1"/>
  <c r="BE1940" i="1"/>
  <c r="BB1940" i="1"/>
  <c r="BC1940" i="1" s="1"/>
  <c r="BA1940" i="1"/>
  <c r="AX1940" i="1"/>
  <c r="AW1940" i="1"/>
  <c r="AU1940" i="1"/>
  <c r="AT1940" i="1"/>
  <c r="AS1940" i="1"/>
  <c r="AP1940" i="1"/>
  <c r="AO1940" i="1"/>
  <c r="AL1940" i="1"/>
  <c r="AK1940" i="1"/>
  <c r="AH1940" i="1"/>
  <c r="AI1940" i="1" s="1"/>
  <c r="AG1940" i="1"/>
  <c r="AE1940" i="1"/>
  <c r="AD1940" i="1"/>
  <c r="AC1940" i="1"/>
  <c r="Z1940" i="1"/>
  <c r="AA1940" i="1" s="1"/>
  <c r="Y1940" i="1"/>
  <c r="V1940" i="1"/>
  <c r="W1940" i="1" s="1"/>
  <c r="U1940" i="1"/>
  <c r="R1940" i="1"/>
  <c r="Q1940" i="1"/>
  <c r="O1940" i="1"/>
  <c r="N1940" i="1"/>
  <c r="M1940" i="1"/>
  <c r="J1940" i="1"/>
  <c r="G1940" i="1" s="1"/>
  <c r="I1940" i="1"/>
  <c r="F1940" i="1"/>
  <c r="E1940" i="1"/>
  <c r="BN1939" i="1"/>
  <c r="BL1939" i="1"/>
  <c r="BJ1939" i="1"/>
  <c r="BI1939" i="1"/>
  <c r="BF1939" i="1"/>
  <c r="BE1939" i="1"/>
  <c r="BB1939" i="1"/>
  <c r="BC1939" i="1" s="1"/>
  <c r="BA1939" i="1"/>
  <c r="AY1939" i="1"/>
  <c r="AX1939" i="1"/>
  <c r="AW1939" i="1"/>
  <c r="AT1939" i="1"/>
  <c r="AU1939" i="1" s="1"/>
  <c r="AS1939" i="1"/>
  <c r="AP1939" i="1"/>
  <c r="AQ1939" i="1" s="1"/>
  <c r="AO1939" i="1"/>
  <c r="AL1939" i="1"/>
  <c r="AM1939" i="1" s="1"/>
  <c r="AK1939" i="1"/>
  <c r="AI1939" i="1"/>
  <c r="AH1939" i="1"/>
  <c r="AG1939" i="1"/>
  <c r="AD1939" i="1"/>
  <c r="AE1939" i="1" s="1"/>
  <c r="AC1939" i="1"/>
  <c r="AA1939" i="1"/>
  <c r="Z1939" i="1"/>
  <c r="Y1939" i="1"/>
  <c r="V1939" i="1"/>
  <c r="W1939" i="1" s="1"/>
  <c r="U1939" i="1"/>
  <c r="S1939" i="1"/>
  <c r="R1939" i="1"/>
  <c r="Q1939" i="1"/>
  <c r="N1939" i="1"/>
  <c r="O1939" i="1" s="1"/>
  <c r="M1939" i="1"/>
  <c r="J1939" i="1"/>
  <c r="K1939" i="1" s="1"/>
  <c r="I1939" i="1"/>
  <c r="F1939" i="1"/>
  <c r="E1939" i="1"/>
  <c r="BN1938" i="1"/>
  <c r="BL1938" i="1"/>
  <c r="BJ1938" i="1"/>
  <c r="BM1938" i="1" s="1"/>
  <c r="BI1938" i="1"/>
  <c r="BF1938" i="1"/>
  <c r="BE1938" i="1"/>
  <c r="BB1938" i="1"/>
  <c r="BA1938" i="1"/>
  <c r="AX1938" i="1"/>
  <c r="AY1938" i="1" s="1"/>
  <c r="AW1938" i="1"/>
  <c r="AU1938" i="1"/>
  <c r="AT1938" i="1"/>
  <c r="AS1938" i="1"/>
  <c r="AP1938" i="1"/>
  <c r="AQ1938" i="1" s="1"/>
  <c r="AO1938" i="1"/>
  <c r="AM1938" i="1"/>
  <c r="AL1938" i="1"/>
  <c r="AK1938" i="1"/>
  <c r="AH1938" i="1"/>
  <c r="AI1938" i="1" s="1"/>
  <c r="AG1938" i="1"/>
  <c r="AD1938" i="1"/>
  <c r="AC1938" i="1"/>
  <c r="Z1938" i="1"/>
  <c r="AA1938" i="1" s="1"/>
  <c r="Y1938" i="1"/>
  <c r="W1938" i="1"/>
  <c r="V1938" i="1"/>
  <c r="U1938" i="1"/>
  <c r="R1938" i="1"/>
  <c r="S1938" i="1" s="1"/>
  <c r="Q1938" i="1"/>
  <c r="O1938" i="1"/>
  <c r="N1938" i="1"/>
  <c r="M1938" i="1"/>
  <c r="J1938" i="1"/>
  <c r="K1938" i="1" s="1"/>
  <c r="I1938" i="1"/>
  <c r="G1938" i="1"/>
  <c r="F1938" i="1"/>
  <c r="E1938" i="1"/>
  <c r="BN1937" i="1"/>
  <c r="BM1937" i="1"/>
  <c r="BL1937" i="1"/>
  <c r="BJ1937" i="1"/>
  <c r="BI1937" i="1"/>
  <c r="BG1937" i="1"/>
  <c r="BF1937" i="1"/>
  <c r="BE1937" i="1"/>
  <c r="BB1937" i="1"/>
  <c r="BC1937" i="1" s="1"/>
  <c r="BA1937" i="1"/>
  <c r="AX1937" i="1"/>
  <c r="AY1937" i="1" s="1"/>
  <c r="AW1937" i="1"/>
  <c r="AT1937" i="1"/>
  <c r="AS1937" i="1"/>
  <c r="AP1937" i="1"/>
  <c r="AO1937" i="1"/>
  <c r="AL1937" i="1"/>
  <c r="AM1937" i="1" s="1"/>
  <c r="AK1937" i="1"/>
  <c r="AI1937" i="1"/>
  <c r="AH1937" i="1"/>
  <c r="AG1937" i="1"/>
  <c r="AD1937" i="1"/>
  <c r="AE1937" i="1" s="1"/>
  <c r="AC1937" i="1"/>
  <c r="AA1937" i="1"/>
  <c r="Z1937" i="1"/>
  <c r="Y1937" i="1"/>
  <c r="V1937" i="1"/>
  <c r="W1937" i="1" s="1"/>
  <c r="U1937" i="1"/>
  <c r="R1937" i="1"/>
  <c r="Q1937" i="1"/>
  <c r="N1937" i="1"/>
  <c r="O1937" i="1" s="1"/>
  <c r="M1937" i="1"/>
  <c r="J1937" i="1"/>
  <c r="I1937" i="1"/>
  <c r="F1937" i="1"/>
  <c r="G1937" i="1" s="1"/>
  <c r="E1937" i="1"/>
  <c r="BN1936" i="1"/>
  <c r="BM1936" i="1" s="1"/>
  <c r="BL1936" i="1"/>
  <c r="BJ1936" i="1"/>
  <c r="BI1936" i="1"/>
  <c r="BG1936" i="1"/>
  <c r="BF1936" i="1"/>
  <c r="BE1936" i="1"/>
  <c r="BC1936" i="1"/>
  <c r="BB1936" i="1"/>
  <c r="BA1936" i="1"/>
  <c r="AX1936" i="1"/>
  <c r="AY1936" i="1" s="1"/>
  <c r="AW1936" i="1"/>
  <c r="AU1936" i="1"/>
  <c r="AT1936" i="1"/>
  <c r="AS1936" i="1"/>
  <c r="AP1936" i="1"/>
  <c r="AQ1936" i="1" s="1"/>
  <c r="AO1936" i="1"/>
  <c r="AL1936" i="1"/>
  <c r="AK1936" i="1"/>
  <c r="AH1936" i="1"/>
  <c r="AI1936" i="1" s="1"/>
  <c r="AG1936" i="1"/>
  <c r="AD1936" i="1"/>
  <c r="AC1936" i="1"/>
  <c r="AA1936" i="1"/>
  <c r="Z1936" i="1"/>
  <c r="Y1936" i="1"/>
  <c r="W1936" i="1"/>
  <c r="V1936" i="1"/>
  <c r="U1936" i="1"/>
  <c r="R1936" i="1"/>
  <c r="S1936" i="1" s="1"/>
  <c r="Q1936" i="1"/>
  <c r="O1936" i="1"/>
  <c r="N1936" i="1"/>
  <c r="M1936" i="1"/>
  <c r="J1936" i="1"/>
  <c r="K1936" i="1" s="1"/>
  <c r="I1936" i="1"/>
  <c r="F1936" i="1"/>
  <c r="E1936" i="1"/>
  <c r="BN1935" i="1"/>
  <c r="BM1935" i="1"/>
  <c r="BL1935" i="1"/>
  <c r="BJ1935" i="1"/>
  <c r="BI1935" i="1"/>
  <c r="BF1935" i="1"/>
  <c r="BG1935" i="1" s="1"/>
  <c r="BE1935" i="1"/>
  <c r="BB1935" i="1"/>
  <c r="BA1935" i="1"/>
  <c r="AY1935" i="1"/>
  <c r="AX1935" i="1"/>
  <c r="AW1935" i="1"/>
  <c r="AT1935" i="1"/>
  <c r="AS1935" i="1"/>
  <c r="AP1935" i="1"/>
  <c r="AO1935" i="1"/>
  <c r="AL1935" i="1"/>
  <c r="AM1935" i="1" s="1"/>
  <c r="AK1935" i="1"/>
  <c r="AI1935" i="1"/>
  <c r="AH1935" i="1"/>
  <c r="AG1935" i="1"/>
  <c r="AD1935" i="1"/>
  <c r="AE1935" i="1" s="1"/>
  <c r="AC1935" i="1"/>
  <c r="Z1935" i="1"/>
  <c r="AA1935" i="1" s="1"/>
  <c r="Y1935" i="1"/>
  <c r="V1935" i="1"/>
  <c r="U1935" i="1"/>
  <c r="S1935" i="1"/>
  <c r="R1935" i="1"/>
  <c r="Q1935" i="1"/>
  <c r="N1935" i="1"/>
  <c r="O1935" i="1" s="1"/>
  <c r="M1935" i="1"/>
  <c r="J1935" i="1"/>
  <c r="I1935" i="1"/>
  <c r="F1935" i="1"/>
  <c r="G1935" i="1" s="1"/>
  <c r="E1935" i="1"/>
  <c r="BN1934" i="1"/>
  <c r="BL1934" i="1"/>
  <c r="BJ1934" i="1"/>
  <c r="BI1934" i="1"/>
  <c r="BF1934" i="1"/>
  <c r="BG1934" i="1" s="1"/>
  <c r="BE1934" i="1"/>
  <c r="BC1934" i="1"/>
  <c r="BB1934" i="1"/>
  <c r="BA1934" i="1"/>
  <c r="AX1934" i="1"/>
  <c r="AY1934" i="1" s="1"/>
  <c r="AW1934" i="1"/>
  <c r="AT1934" i="1"/>
  <c r="AS1934" i="1"/>
  <c r="AP1934" i="1"/>
  <c r="AO1934" i="1"/>
  <c r="AL1934" i="1"/>
  <c r="AK1934" i="1"/>
  <c r="AH1934" i="1"/>
  <c r="AI1934" i="1" s="1"/>
  <c r="AG1934" i="1"/>
  <c r="AE1934" i="1"/>
  <c r="AD1934" i="1"/>
  <c r="AC1934" i="1"/>
  <c r="Z1934" i="1"/>
  <c r="AA1934" i="1" s="1"/>
  <c r="Y1934" i="1"/>
  <c r="W1934" i="1"/>
  <c r="V1934" i="1"/>
  <c r="U1934" i="1"/>
  <c r="R1934" i="1"/>
  <c r="S1934" i="1" s="1"/>
  <c r="Q1934" i="1"/>
  <c r="N1934" i="1"/>
  <c r="M1934" i="1"/>
  <c r="J1934" i="1"/>
  <c r="K1934" i="1" s="1"/>
  <c r="I1934" i="1"/>
  <c r="F1934" i="1"/>
  <c r="E1934" i="1"/>
  <c r="BN1933" i="1"/>
  <c r="BL1933" i="1"/>
  <c r="BJ1933" i="1"/>
  <c r="BM1933" i="1" s="1"/>
  <c r="BI1933" i="1"/>
  <c r="BF1933" i="1"/>
  <c r="BE1933" i="1"/>
  <c r="BB1933" i="1"/>
  <c r="BC1933" i="1" s="1"/>
  <c r="BA1933" i="1"/>
  <c r="AY1933" i="1"/>
  <c r="AX1933" i="1"/>
  <c r="AW1933" i="1"/>
  <c r="AT1933" i="1"/>
  <c r="AU1933" i="1" s="1"/>
  <c r="AS1933" i="1"/>
  <c r="AQ1933" i="1"/>
  <c r="AP1933" i="1"/>
  <c r="AO1933" i="1"/>
  <c r="AL1933" i="1"/>
  <c r="AM1933" i="1" s="1"/>
  <c r="AK1933" i="1"/>
  <c r="AH1933" i="1"/>
  <c r="AG1933" i="1"/>
  <c r="AD1933" i="1"/>
  <c r="AC1933" i="1"/>
  <c r="Z1933" i="1"/>
  <c r="Y1933" i="1"/>
  <c r="V1933" i="1"/>
  <c r="W1933" i="1" s="1"/>
  <c r="T1933" i="1"/>
  <c r="U1933" i="1" s="1"/>
  <c r="R1933" i="1"/>
  <c r="S1933" i="1" s="1"/>
  <c r="Q1933" i="1"/>
  <c r="N1933" i="1"/>
  <c r="M1933" i="1"/>
  <c r="J1933" i="1"/>
  <c r="K1933" i="1" s="1"/>
  <c r="I1933" i="1"/>
  <c r="F1933" i="1"/>
  <c r="E1933" i="1"/>
  <c r="BN1932" i="1"/>
  <c r="BL1932" i="1"/>
  <c r="BJ1932" i="1"/>
  <c r="BM1932" i="1" s="1"/>
  <c r="BI1932" i="1"/>
  <c r="BF1932" i="1"/>
  <c r="BE1932" i="1"/>
  <c r="BB1932" i="1"/>
  <c r="BC1932" i="1" s="1"/>
  <c r="BA1932" i="1"/>
  <c r="AY1932" i="1"/>
  <c r="AX1932" i="1"/>
  <c r="AW1932" i="1"/>
  <c r="AT1932" i="1"/>
  <c r="AU1932" i="1" s="1"/>
  <c r="AS1932" i="1"/>
  <c r="AQ1932" i="1"/>
  <c r="AP1932" i="1"/>
  <c r="AO1932" i="1"/>
  <c r="AL1932" i="1"/>
  <c r="AM1932" i="1" s="1"/>
  <c r="AK1932" i="1"/>
  <c r="AH1932" i="1"/>
  <c r="AG1932" i="1"/>
  <c r="AD1932" i="1"/>
  <c r="AC1932" i="1"/>
  <c r="Z1932" i="1"/>
  <c r="Y1932" i="1"/>
  <c r="V1932" i="1"/>
  <c r="W1932" i="1" s="1"/>
  <c r="T1932" i="1"/>
  <c r="U1932" i="1" s="1"/>
  <c r="R1932" i="1"/>
  <c r="S1932" i="1" s="1"/>
  <c r="Q1932" i="1"/>
  <c r="N1932" i="1"/>
  <c r="M1932" i="1"/>
  <c r="J1932" i="1"/>
  <c r="K1932" i="1" s="1"/>
  <c r="I1932" i="1"/>
  <c r="F1932" i="1"/>
  <c r="E1932" i="1"/>
  <c r="BN1931" i="1"/>
  <c r="BL1931" i="1"/>
  <c r="BJ1931" i="1"/>
  <c r="BM1931" i="1" s="1"/>
  <c r="BI1931" i="1"/>
  <c r="BF1931" i="1"/>
  <c r="BE1931" i="1"/>
  <c r="BB1931" i="1"/>
  <c r="BC1931" i="1" s="1"/>
  <c r="BA1931" i="1"/>
  <c r="AY1931" i="1"/>
  <c r="AX1931" i="1"/>
  <c r="AW1931" i="1"/>
  <c r="AT1931" i="1"/>
  <c r="AU1931" i="1" s="1"/>
  <c r="AS1931" i="1"/>
  <c r="AQ1931" i="1"/>
  <c r="AP1931" i="1"/>
  <c r="AO1931" i="1"/>
  <c r="AL1931" i="1"/>
  <c r="AM1931" i="1" s="1"/>
  <c r="AK1931" i="1"/>
  <c r="AH1931" i="1"/>
  <c r="AG1931" i="1"/>
  <c r="AD1931" i="1"/>
  <c r="AC1931" i="1"/>
  <c r="Z1931" i="1"/>
  <c r="Y1931" i="1"/>
  <c r="V1931" i="1"/>
  <c r="W1931" i="1" s="1"/>
  <c r="T1931" i="1"/>
  <c r="U1931" i="1" s="1"/>
  <c r="R1931" i="1"/>
  <c r="S1931" i="1" s="1"/>
  <c r="Q1931" i="1"/>
  <c r="N1931" i="1"/>
  <c r="M1931" i="1"/>
  <c r="J1931" i="1"/>
  <c r="K1931" i="1" s="1"/>
  <c r="I1931" i="1"/>
  <c r="F1931" i="1"/>
  <c r="E1931" i="1"/>
  <c r="BN1930" i="1"/>
  <c r="BL1930" i="1"/>
  <c r="BJ1930" i="1"/>
  <c r="BM1930" i="1" s="1"/>
  <c r="BI1930" i="1"/>
  <c r="BF1930" i="1"/>
  <c r="BE1930" i="1"/>
  <c r="BB1930" i="1"/>
  <c r="BC1930" i="1" s="1"/>
  <c r="BA1930" i="1"/>
  <c r="AY1930" i="1"/>
  <c r="AX1930" i="1"/>
  <c r="AW1930" i="1"/>
  <c r="AT1930" i="1"/>
  <c r="AU1930" i="1" s="1"/>
  <c r="AS1930" i="1"/>
  <c r="AQ1930" i="1"/>
  <c r="AP1930" i="1"/>
  <c r="AO1930" i="1"/>
  <c r="AL1930" i="1"/>
  <c r="AM1930" i="1" s="1"/>
  <c r="AK1930" i="1"/>
  <c r="AH1930" i="1"/>
  <c r="AG1930" i="1"/>
  <c r="AD1930" i="1"/>
  <c r="AC1930" i="1"/>
  <c r="Z1930" i="1"/>
  <c r="Y1930" i="1"/>
  <c r="V1930" i="1"/>
  <c r="W1930" i="1" s="1"/>
  <c r="U1930" i="1"/>
  <c r="S1930" i="1"/>
  <c r="R1930" i="1"/>
  <c r="Q1930" i="1"/>
  <c r="N1930" i="1"/>
  <c r="O1930" i="1" s="1"/>
  <c r="M1930" i="1"/>
  <c r="K1930" i="1"/>
  <c r="J1930" i="1"/>
  <c r="I1930" i="1"/>
  <c r="F1930" i="1"/>
  <c r="G1930" i="1" s="1"/>
  <c r="E1930" i="1"/>
  <c r="BN1929" i="1"/>
  <c r="BM1929" i="1"/>
  <c r="BL1929" i="1"/>
  <c r="BJ1929" i="1"/>
  <c r="BI1929" i="1"/>
  <c r="BF1929" i="1"/>
  <c r="BG1929" i="1" s="1"/>
  <c r="BE1929" i="1"/>
  <c r="BB1929" i="1"/>
  <c r="BA1929" i="1"/>
  <c r="AX1929" i="1"/>
  <c r="AY1929" i="1" s="1"/>
  <c r="AW1929" i="1"/>
  <c r="AT1929" i="1"/>
  <c r="AS1929" i="1"/>
  <c r="AQ1929" i="1"/>
  <c r="AP1929" i="1"/>
  <c r="AO1929" i="1"/>
  <c r="AM1929" i="1"/>
  <c r="AL1929" i="1"/>
  <c r="AK1929" i="1"/>
  <c r="AH1929" i="1"/>
  <c r="AI1929" i="1" s="1"/>
  <c r="AG1929" i="1"/>
  <c r="AE1929" i="1"/>
  <c r="AD1929" i="1"/>
  <c r="AC1929" i="1"/>
  <c r="Z1929" i="1"/>
  <c r="AA1929" i="1" s="1"/>
  <c r="Y1929" i="1"/>
  <c r="V1929" i="1"/>
  <c r="U1929" i="1"/>
  <c r="R1929" i="1"/>
  <c r="S1929" i="1" s="1"/>
  <c r="Q1929" i="1"/>
  <c r="N1929" i="1"/>
  <c r="M1929" i="1"/>
  <c r="K1929" i="1"/>
  <c r="J1929" i="1"/>
  <c r="I1929" i="1"/>
  <c r="G1929" i="1"/>
  <c r="F1929" i="1"/>
  <c r="E1929" i="1"/>
  <c r="BN1928" i="1"/>
  <c r="BL1928" i="1"/>
  <c r="BJ1928" i="1"/>
  <c r="BM1928" i="1" s="1"/>
  <c r="BI1928" i="1"/>
  <c r="BF1928" i="1"/>
  <c r="BE1928" i="1"/>
  <c r="BB1928" i="1"/>
  <c r="BC1928" i="1" s="1"/>
  <c r="BA1928" i="1"/>
  <c r="AY1928" i="1"/>
  <c r="AX1928" i="1"/>
  <c r="AW1928" i="1"/>
  <c r="AT1928" i="1"/>
  <c r="AU1928" i="1" s="1"/>
  <c r="AS1928" i="1"/>
  <c r="AP1928" i="1"/>
  <c r="AQ1928" i="1" s="1"/>
  <c r="AO1928" i="1"/>
  <c r="AL1928" i="1"/>
  <c r="AK1928" i="1"/>
  <c r="AI1928" i="1"/>
  <c r="AH1928" i="1"/>
  <c r="AG1928" i="1"/>
  <c r="AD1928" i="1"/>
  <c r="AC1928" i="1"/>
  <c r="Z1928" i="1"/>
  <c r="Y1928" i="1"/>
  <c r="V1928" i="1"/>
  <c r="W1928" i="1" s="1"/>
  <c r="U1928" i="1"/>
  <c r="S1928" i="1"/>
  <c r="R1928" i="1"/>
  <c r="Q1928" i="1"/>
  <c r="N1928" i="1"/>
  <c r="O1928" i="1" s="1"/>
  <c r="M1928" i="1"/>
  <c r="J1928" i="1"/>
  <c r="K1928" i="1" s="1"/>
  <c r="I1928" i="1"/>
  <c r="F1928" i="1"/>
  <c r="E1928" i="1"/>
  <c r="BN1927" i="1"/>
  <c r="BL1927" i="1"/>
  <c r="BJ1927" i="1"/>
  <c r="BI1927" i="1"/>
  <c r="BF1927" i="1"/>
  <c r="BG1927" i="1" s="1"/>
  <c r="BE1927" i="1"/>
  <c r="BB1927" i="1"/>
  <c r="BA1927" i="1"/>
  <c r="AX1927" i="1"/>
  <c r="AY1927" i="1" s="1"/>
  <c r="AW1927" i="1"/>
  <c r="AU1927" i="1"/>
  <c r="AT1927" i="1"/>
  <c r="AS1927" i="1"/>
  <c r="AP1927" i="1"/>
  <c r="AQ1927" i="1" s="1"/>
  <c r="AO1927" i="1"/>
  <c r="AL1927" i="1"/>
  <c r="AK1927" i="1"/>
  <c r="AI1927" i="1"/>
  <c r="AH1927" i="1"/>
  <c r="AG1927" i="1"/>
  <c r="AD1927" i="1"/>
  <c r="AE1927" i="1" s="1"/>
  <c r="AC1927" i="1"/>
  <c r="Z1927" i="1"/>
  <c r="Y1927" i="1"/>
  <c r="W1927" i="1"/>
  <c r="V1927" i="1"/>
  <c r="U1927" i="1"/>
  <c r="R1927" i="1"/>
  <c r="S1927" i="1" s="1"/>
  <c r="Q1927" i="1"/>
  <c r="N1927" i="1"/>
  <c r="M1927" i="1"/>
  <c r="J1927" i="1"/>
  <c r="I1927" i="1"/>
  <c r="G1927" i="1"/>
  <c r="F1927" i="1"/>
  <c r="E1927" i="1"/>
  <c r="BN1926" i="1"/>
  <c r="BM1926" i="1"/>
  <c r="BL1926" i="1"/>
  <c r="BJ1926" i="1"/>
  <c r="BI1926" i="1"/>
  <c r="BG1926" i="1"/>
  <c r="BF1926" i="1"/>
  <c r="BE1926" i="1"/>
  <c r="BB1926" i="1"/>
  <c r="BC1926" i="1" s="1"/>
  <c r="BA1926" i="1"/>
  <c r="AX1926" i="1"/>
  <c r="AY1926" i="1" s="1"/>
  <c r="AW1926" i="1"/>
  <c r="AT1926" i="1"/>
  <c r="AS1926" i="1"/>
  <c r="AP1926" i="1"/>
  <c r="AO1926" i="1"/>
  <c r="AL1926" i="1"/>
  <c r="AM1926" i="1" s="1"/>
  <c r="AK1926" i="1"/>
  <c r="AI1926" i="1"/>
  <c r="AH1926" i="1"/>
  <c r="AG1926" i="1"/>
  <c r="AD1926" i="1"/>
  <c r="AE1926" i="1" s="1"/>
  <c r="AC1926" i="1"/>
  <c r="Z1926" i="1"/>
  <c r="Y1926" i="1"/>
  <c r="W1926" i="1"/>
  <c r="V1926" i="1"/>
  <c r="U1926" i="1"/>
  <c r="R1926" i="1"/>
  <c r="S1926" i="1" s="1"/>
  <c r="Q1926" i="1"/>
  <c r="N1926" i="1"/>
  <c r="M1926" i="1"/>
  <c r="K1926" i="1"/>
  <c r="J1926" i="1"/>
  <c r="I1926" i="1"/>
  <c r="F1926" i="1"/>
  <c r="G1926" i="1" s="1"/>
  <c r="E1926" i="1"/>
  <c r="BN1925" i="1"/>
  <c r="BM1925" i="1"/>
  <c r="BL1925" i="1"/>
  <c r="BJ1925" i="1"/>
  <c r="BI1925" i="1"/>
  <c r="BF1925" i="1"/>
  <c r="BG1925" i="1" s="1"/>
  <c r="BE1925" i="1"/>
  <c r="BB1925" i="1"/>
  <c r="BC1925" i="1" s="1"/>
  <c r="BA1925" i="1"/>
  <c r="AX1925" i="1"/>
  <c r="AW1925" i="1"/>
  <c r="AU1925" i="1"/>
  <c r="AT1925" i="1"/>
  <c r="AS1925" i="1"/>
  <c r="AP1925" i="1"/>
  <c r="AQ1925" i="1" s="1"/>
  <c r="AO1925" i="1"/>
  <c r="AL1925" i="1"/>
  <c r="AM1925" i="1" s="1"/>
  <c r="AK1925" i="1"/>
  <c r="AH1925" i="1"/>
  <c r="AI1925" i="1" s="1"/>
  <c r="AG1925" i="1"/>
  <c r="AD1925" i="1"/>
  <c r="AC1925" i="1"/>
  <c r="Z1925" i="1"/>
  <c r="AA1925" i="1" s="1"/>
  <c r="Y1925" i="1"/>
  <c r="W1925" i="1"/>
  <c r="V1925" i="1"/>
  <c r="U1925" i="1"/>
  <c r="R1925" i="1"/>
  <c r="S1925" i="1" s="1"/>
  <c r="Q1925" i="1"/>
  <c r="N1925" i="1"/>
  <c r="M1925" i="1"/>
  <c r="K1925" i="1"/>
  <c r="J1925" i="1"/>
  <c r="I1925" i="1"/>
  <c r="F1925" i="1"/>
  <c r="G1925" i="1" s="1"/>
  <c r="E1925" i="1"/>
  <c r="BN1924" i="1"/>
  <c r="BM1924" i="1"/>
  <c r="BL1924" i="1"/>
  <c r="BJ1924" i="1"/>
  <c r="BI1924" i="1"/>
  <c r="BF1924" i="1"/>
  <c r="BG1924" i="1" s="1"/>
  <c r="BE1924" i="1"/>
  <c r="BB1924" i="1"/>
  <c r="BA1924" i="1"/>
  <c r="AY1924" i="1"/>
  <c r="AX1924" i="1"/>
  <c r="AW1924" i="1"/>
  <c r="AT1924" i="1"/>
  <c r="AU1924" i="1" s="1"/>
  <c r="AS1924" i="1"/>
  <c r="AP1924" i="1"/>
  <c r="AQ1924" i="1" s="1"/>
  <c r="AO1924" i="1"/>
  <c r="AL1924" i="1"/>
  <c r="AK1924" i="1"/>
  <c r="AI1924" i="1"/>
  <c r="AH1924" i="1"/>
  <c r="AG1924" i="1"/>
  <c r="AD1924" i="1"/>
  <c r="AE1924" i="1" s="1"/>
  <c r="AC1924" i="1"/>
  <c r="Z1924" i="1"/>
  <c r="AA1924" i="1" s="1"/>
  <c r="Y1924" i="1"/>
  <c r="V1924" i="1"/>
  <c r="U1924" i="1"/>
  <c r="R1924" i="1"/>
  <c r="Q1924" i="1"/>
  <c r="N1924" i="1"/>
  <c r="O1924" i="1" s="1"/>
  <c r="M1924" i="1"/>
  <c r="K1924" i="1"/>
  <c r="J1924" i="1"/>
  <c r="I1924" i="1"/>
  <c r="F1924" i="1"/>
  <c r="G1924" i="1" s="1"/>
  <c r="E1924" i="1"/>
  <c r="BN1923" i="1"/>
  <c r="BL1923" i="1"/>
  <c r="BJ1923" i="1"/>
  <c r="BM1923" i="1" s="1"/>
  <c r="BI1923" i="1"/>
  <c r="BF1923" i="1"/>
  <c r="BG1923" i="1" s="1"/>
  <c r="BE1923" i="1"/>
  <c r="BC1923" i="1"/>
  <c r="BB1923" i="1"/>
  <c r="BA1923" i="1"/>
  <c r="AX1923" i="1"/>
  <c r="AY1923" i="1" s="1"/>
  <c r="AW1923" i="1"/>
  <c r="AT1923" i="1"/>
  <c r="AU1923" i="1" s="1"/>
  <c r="AS1923" i="1"/>
  <c r="AP1923" i="1"/>
  <c r="AQ1923" i="1" s="1"/>
  <c r="AO1923" i="1"/>
  <c r="AM1923" i="1"/>
  <c r="AL1923" i="1"/>
  <c r="AK1923" i="1"/>
  <c r="AH1923" i="1"/>
  <c r="AI1923" i="1" s="1"/>
  <c r="AG1923" i="1"/>
  <c r="AD1923" i="1"/>
  <c r="AE1923" i="1" s="1"/>
  <c r="AC1923" i="1"/>
  <c r="Z1923" i="1"/>
  <c r="AA1923" i="1" s="1"/>
  <c r="Y1923" i="1"/>
  <c r="W1923" i="1"/>
  <c r="V1923" i="1"/>
  <c r="U1923" i="1"/>
  <c r="R1923" i="1"/>
  <c r="S1923" i="1" s="1"/>
  <c r="Q1923" i="1"/>
  <c r="N1923" i="1"/>
  <c r="M1923" i="1"/>
  <c r="J1923" i="1"/>
  <c r="K1923" i="1" s="1"/>
  <c r="I1923" i="1"/>
  <c r="G1923" i="1"/>
  <c r="F1923" i="1"/>
  <c r="E1923" i="1"/>
  <c r="BN1922" i="1"/>
  <c r="BM1922" i="1"/>
  <c r="BL1922" i="1"/>
  <c r="BJ1922" i="1"/>
  <c r="BI1922" i="1"/>
  <c r="BG1922" i="1"/>
  <c r="BF1922" i="1"/>
  <c r="BE1922" i="1"/>
  <c r="BB1922" i="1"/>
  <c r="BC1922" i="1" s="1"/>
  <c r="BA1922" i="1"/>
  <c r="AX1922" i="1"/>
  <c r="AY1922" i="1" s="1"/>
  <c r="AW1922" i="1"/>
  <c r="AT1922" i="1"/>
  <c r="AU1922" i="1" s="1"/>
  <c r="AS1922" i="1"/>
  <c r="AQ1922" i="1"/>
  <c r="AP1922" i="1"/>
  <c r="AO1922" i="1"/>
  <c r="AL1922" i="1"/>
  <c r="AM1922" i="1" s="1"/>
  <c r="AK1922" i="1"/>
  <c r="AH1922" i="1"/>
  <c r="AI1922" i="1" s="1"/>
  <c r="AG1922" i="1"/>
  <c r="AD1922" i="1"/>
  <c r="AE1922" i="1" s="1"/>
  <c r="AC1922" i="1"/>
  <c r="AA1922" i="1"/>
  <c r="Z1922" i="1"/>
  <c r="Y1922" i="1"/>
  <c r="V1922" i="1"/>
  <c r="W1922" i="1" s="1"/>
  <c r="U1922" i="1"/>
  <c r="R1922" i="1"/>
  <c r="S1922" i="1" s="1"/>
  <c r="Q1922" i="1"/>
  <c r="N1922" i="1"/>
  <c r="O1922" i="1" s="1"/>
  <c r="M1922" i="1"/>
  <c r="K1922" i="1"/>
  <c r="J1922" i="1"/>
  <c r="I1922" i="1"/>
  <c r="F1922" i="1"/>
  <c r="G1922" i="1" s="1"/>
  <c r="E1922" i="1"/>
  <c r="BN1921" i="1"/>
  <c r="BM1921" i="1"/>
  <c r="BL1921" i="1"/>
  <c r="BJ1921" i="1"/>
  <c r="BI1921" i="1"/>
  <c r="BF1921" i="1"/>
  <c r="BG1921" i="1" s="1"/>
  <c r="BE1921" i="1"/>
  <c r="BB1921" i="1"/>
  <c r="BA1921" i="1"/>
  <c r="AX1921" i="1"/>
  <c r="AY1921" i="1" s="1"/>
  <c r="AW1921" i="1"/>
  <c r="AU1921" i="1"/>
  <c r="AT1921" i="1"/>
  <c r="AS1921" i="1"/>
  <c r="AP1921" i="1"/>
  <c r="AQ1921" i="1" s="1"/>
  <c r="AO1921" i="1"/>
  <c r="AL1921" i="1"/>
  <c r="AM1921" i="1" s="1"/>
  <c r="AK1921" i="1"/>
  <c r="AH1921" i="1"/>
  <c r="AI1921" i="1" s="1"/>
  <c r="AG1921" i="1"/>
  <c r="AE1921" i="1"/>
  <c r="AD1921" i="1"/>
  <c r="AC1921" i="1"/>
  <c r="Z1921" i="1"/>
  <c r="AA1921" i="1" s="1"/>
  <c r="Y1921" i="1"/>
  <c r="V1921" i="1"/>
  <c r="W1921" i="1" s="1"/>
  <c r="U1921" i="1"/>
  <c r="R1921" i="1"/>
  <c r="S1921" i="1" s="1"/>
  <c r="Q1921" i="1"/>
  <c r="O1921" i="1"/>
  <c r="N1921" i="1"/>
  <c r="M1921" i="1"/>
  <c r="J1921" i="1"/>
  <c r="K1921" i="1" s="1"/>
  <c r="I1921" i="1"/>
  <c r="F1921" i="1"/>
  <c r="G1921" i="1" s="1"/>
  <c r="E1921" i="1"/>
  <c r="BN1920" i="1"/>
  <c r="BL1920" i="1"/>
  <c r="BJ1920" i="1"/>
  <c r="BM1920" i="1" s="1"/>
  <c r="BI1920" i="1"/>
  <c r="BF1920" i="1"/>
  <c r="BG1920" i="1" s="1"/>
  <c r="BE1920" i="1"/>
  <c r="BB1920" i="1"/>
  <c r="BC1920" i="1" s="1"/>
  <c r="BA1920" i="1"/>
  <c r="AY1920" i="1"/>
  <c r="AX1920" i="1"/>
  <c r="AW1920" i="1"/>
  <c r="AT1920" i="1"/>
  <c r="AU1920" i="1" s="1"/>
  <c r="AS1920" i="1"/>
  <c r="AP1920" i="1"/>
  <c r="AQ1920" i="1" s="1"/>
  <c r="AO1920" i="1"/>
  <c r="AL1920" i="1"/>
  <c r="AM1920" i="1" s="1"/>
  <c r="AK1920" i="1"/>
  <c r="AI1920" i="1"/>
  <c r="AH1920" i="1"/>
  <c r="AG1920" i="1"/>
  <c r="AD1920" i="1"/>
  <c r="AE1920" i="1" s="1"/>
  <c r="AC1920" i="1"/>
  <c r="Z1920" i="1"/>
  <c r="AA1920" i="1" s="1"/>
  <c r="Y1920" i="1"/>
  <c r="V1920" i="1"/>
  <c r="W1920" i="1" s="1"/>
  <c r="U1920" i="1"/>
  <c r="S1920" i="1"/>
  <c r="R1920" i="1"/>
  <c r="Q1920" i="1"/>
  <c r="N1920" i="1"/>
  <c r="O1920" i="1" s="1"/>
  <c r="M1920" i="1"/>
  <c r="J1920" i="1"/>
  <c r="I1920" i="1"/>
  <c r="F1920" i="1"/>
  <c r="G1920" i="1" s="1"/>
  <c r="E1920" i="1"/>
  <c r="BN1919" i="1"/>
  <c r="BL1919" i="1"/>
  <c r="BJ1919" i="1"/>
  <c r="BM1919" i="1" s="1"/>
  <c r="BI1919" i="1"/>
  <c r="BF1919" i="1"/>
  <c r="BG1919" i="1" s="1"/>
  <c r="BE1919" i="1"/>
  <c r="BC1919" i="1"/>
  <c r="BB1919" i="1"/>
  <c r="BA1919" i="1"/>
  <c r="AX1919" i="1"/>
  <c r="AY1919" i="1" s="1"/>
  <c r="AW1919" i="1"/>
  <c r="AT1919" i="1"/>
  <c r="AU1919" i="1" s="1"/>
  <c r="AS1919" i="1"/>
  <c r="AP1919" i="1"/>
  <c r="AQ1919" i="1" s="1"/>
  <c r="AO1919" i="1"/>
  <c r="AM1919" i="1"/>
  <c r="AL1919" i="1"/>
  <c r="AK1919" i="1"/>
  <c r="AH1919" i="1"/>
  <c r="AI1919" i="1" s="1"/>
  <c r="AG1919" i="1"/>
  <c r="AD1919" i="1"/>
  <c r="AC1919" i="1"/>
  <c r="Z1919" i="1"/>
  <c r="AA1919" i="1" s="1"/>
  <c r="Y1919" i="1"/>
  <c r="W1919" i="1"/>
  <c r="V1919" i="1"/>
  <c r="U1919" i="1"/>
  <c r="R1919" i="1"/>
  <c r="S1919" i="1" s="1"/>
  <c r="Q1919" i="1"/>
  <c r="N1919" i="1"/>
  <c r="O1919" i="1" s="1"/>
  <c r="M1919" i="1"/>
  <c r="J1919" i="1"/>
  <c r="K1919" i="1" s="1"/>
  <c r="I1919" i="1"/>
  <c r="G1919" i="1"/>
  <c r="F1919" i="1"/>
  <c r="E1919" i="1"/>
  <c r="BN1918" i="1"/>
  <c r="BM1918" i="1"/>
  <c r="BL1918" i="1"/>
  <c r="BJ1918" i="1"/>
  <c r="BI1918" i="1"/>
  <c r="BG1918" i="1"/>
  <c r="BF1918" i="1"/>
  <c r="BE1918" i="1"/>
  <c r="BB1918" i="1"/>
  <c r="BC1918" i="1" s="1"/>
  <c r="BA1918" i="1"/>
  <c r="AX1918" i="1"/>
  <c r="AY1918" i="1" s="1"/>
  <c r="AW1918" i="1"/>
  <c r="AT1918" i="1"/>
  <c r="AU1918" i="1" s="1"/>
  <c r="AS1918" i="1"/>
  <c r="AQ1918" i="1"/>
  <c r="AP1918" i="1"/>
  <c r="AO1918" i="1"/>
  <c r="AL1918" i="1"/>
  <c r="AM1918" i="1" s="1"/>
  <c r="AK1918" i="1"/>
  <c r="AH1918" i="1"/>
  <c r="AI1918" i="1" s="1"/>
  <c r="AG1918" i="1"/>
  <c r="AD1918" i="1"/>
  <c r="AE1918" i="1" s="1"/>
  <c r="AC1918" i="1"/>
  <c r="AA1918" i="1"/>
  <c r="Z1918" i="1"/>
  <c r="Y1918" i="1"/>
  <c r="V1918" i="1"/>
  <c r="W1918" i="1" s="1"/>
  <c r="U1918" i="1"/>
  <c r="R1918" i="1"/>
  <c r="Q1918" i="1"/>
  <c r="N1918" i="1"/>
  <c r="O1918" i="1" s="1"/>
  <c r="M1918" i="1"/>
  <c r="K1918" i="1"/>
  <c r="J1918" i="1"/>
  <c r="I1918" i="1"/>
  <c r="F1918" i="1"/>
  <c r="G1918" i="1" s="1"/>
  <c r="E1918" i="1"/>
  <c r="BN1917" i="1"/>
  <c r="BM1917" i="1"/>
  <c r="BL1917" i="1"/>
  <c r="BJ1917" i="1"/>
  <c r="BI1917" i="1"/>
  <c r="BF1917" i="1"/>
  <c r="BG1917" i="1" s="1"/>
  <c r="BE1917" i="1"/>
  <c r="BB1917" i="1"/>
  <c r="BC1917" i="1" s="1"/>
  <c r="BA1917" i="1"/>
  <c r="AX1917" i="1"/>
  <c r="AY1917" i="1" s="1"/>
  <c r="AW1917" i="1"/>
  <c r="AU1917" i="1"/>
  <c r="AT1917" i="1"/>
  <c r="AS1917" i="1"/>
  <c r="AP1917" i="1"/>
  <c r="AQ1917" i="1" s="1"/>
  <c r="AO1917" i="1"/>
  <c r="AL1917" i="1"/>
  <c r="AK1917" i="1"/>
  <c r="AH1917" i="1"/>
  <c r="AI1917" i="1" s="1"/>
  <c r="AF1917" i="1"/>
  <c r="AG1917" i="1" s="1"/>
  <c r="AD1917" i="1"/>
  <c r="AE1917" i="1" s="1"/>
  <c r="AC1917" i="1"/>
  <c r="AA1917" i="1"/>
  <c r="Z1917" i="1"/>
  <c r="Y1917" i="1"/>
  <c r="V1917" i="1"/>
  <c r="W1917" i="1" s="1"/>
  <c r="U1917" i="1"/>
  <c r="R1917" i="1"/>
  <c r="Q1917" i="1"/>
  <c r="N1917" i="1"/>
  <c r="O1917" i="1" s="1"/>
  <c r="M1917" i="1"/>
  <c r="K1917" i="1"/>
  <c r="J1917" i="1"/>
  <c r="H1917" i="1"/>
  <c r="I1917" i="1" s="1"/>
  <c r="G1917" i="1"/>
  <c r="F1917" i="1"/>
  <c r="D1917" i="1"/>
  <c r="E1917" i="1" s="1"/>
  <c r="BN1916" i="1"/>
  <c r="BL1916" i="1"/>
  <c r="BJ1916" i="1"/>
  <c r="BI1916" i="1"/>
  <c r="BF1916" i="1"/>
  <c r="BG1916" i="1" s="1"/>
  <c r="BE1916" i="1"/>
  <c r="BC1916" i="1"/>
  <c r="BB1916" i="1"/>
  <c r="BA1916" i="1"/>
  <c r="AX1916" i="1"/>
  <c r="AY1916" i="1" s="1"/>
  <c r="AW1916" i="1"/>
  <c r="AT1916" i="1"/>
  <c r="AU1916" i="1" s="1"/>
  <c r="AS1916" i="1"/>
  <c r="AP1916" i="1"/>
  <c r="AQ1916" i="1" s="1"/>
  <c r="AO1916" i="1"/>
  <c r="AM1916" i="1"/>
  <c r="AL1916" i="1"/>
  <c r="AK1916" i="1"/>
  <c r="AH1916" i="1"/>
  <c r="AI1916" i="1" s="1"/>
  <c r="AF1916" i="1"/>
  <c r="AG1916" i="1" s="1"/>
  <c r="AD1916" i="1"/>
  <c r="AE1916" i="1" s="1"/>
  <c r="AC1916" i="1"/>
  <c r="Z1916" i="1"/>
  <c r="AA1916" i="1" s="1"/>
  <c r="Y1916" i="1"/>
  <c r="V1916" i="1"/>
  <c r="W1916" i="1" s="1"/>
  <c r="U1916" i="1"/>
  <c r="S1916" i="1"/>
  <c r="R1916" i="1"/>
  <c r="Q1916" i="1"/>
  <c r="N1916" i="1"/>
  <c r="O1916" i="1" s="1"/>
  <c r="M1916" i="1"/>
  <c r="J1916" i="1"/>
  <c r="I1916" i="1"/>
  <c r="F1916" i="1"/>
  <c r="G1916" i="1" s="1"/>
  <c r="D1916" i="1"/>
  <c r="E1916" i="1" s="1"/>
  <c r="BN1915" i="1"/>
  <c r="BL1915" i="1"/>
  <c r="BJ1915" i="1"/>
  <c r="BM1915" i="1" s="1"/>
  <c r="BI1915" i="1"/>
  <c r="BF1915" i="1"/>
  <c r="BG1915" i="1" s="1"/>
  <c r="BE1915" i="1"/>
  <c r="BB1915" i="1"/>
  <c r="BC1915" i="1" s="1"/>
  <c r="BA1915" i="1"/>
  <c r="AY1915" i="1"/>
  <c r="AX1915" i="1"/>
  <c r="AW1915" i="1"/>
  <c r="AT1915" i="1"/>
  <c r="AU1915" i="1" s="1"/>
  <c r="AS1915" i="1"/>
  <c r="AP1915" i="1"/>
  <c r="AQ1915" i="1" s="1"/>
  <c r="AO1915" i="1"/>
  <c r="AL1915" i="1"/>
  <c r="AM1915" i="1" s="1"/>
  <c r="AK1915" i="1"/>
  <c r="AI1915" i="1"/>
  <c r="AH1915" i="1"/>
  <c r="AF1915" i="1"/>
  <c r="AG1915" i="1" s="1"/>
  <c r="AE1915" i="1"/>
  <c r="AD1915" i="1"/>
  <c r="AC1915" i="1"/>
  <c r="Z1915" i="1"/>
  <c r="AA1915" i="1" s="1"/>
  <c r="Y1915" i="1"/>
  <c r="V1915" i="1"/>
  <c r="W1915" i="1" s="1"/>
  <c r="U1915" i="1"/>
  <c r="R1915" i="1"/>
  <c r="S1915" i="1" s="1"/>
  <c r="Q1915" i="1"/>
  <c r="O1915" i="1"/>
  <c r="N1915" i="1"/>
  <c r="M1915" i="1"/>
  <c r="J1915" i="1"/>
  <c r="K1915" i="1" s="1"/>
  <c r="I1915" i="1"/>
  <c r="F1915" i="1"/>
  <c r="G1915" i="1" s="1"/>
  <c r="E1915" i="1"/>
  <c r="D1915" i="1"/>
  <c r="BN1914" i="1"/>
  <c r="BM1914" i="1"/>
  <c r="BL1914" i="1"/>
  <c r="BJ1914" i="1"/>
  <c r="BI1914" i="1"/>
  <c r="BF1914" i="1"/>
  <c r="BG1914" i="1" s="1"/>
  <c r="BE1914" i="1"/>
  <c r="BB1914" i="1"/>
  <c r="BA1914" i="1"/>
  <c r="AX1914" i="1"/>
  <c r="AY1914" i="1" s="1"/>
  <c r="AW1914" i="1"/>
  <c r="AU1914" i="1"/>
  <c r="AT1914" i="1"/>
  <c r="AS1914" i="1"/>
  <c r="AP1914" i="1"/>
  <c r="AQ1914" i="1" s="1"/>
  <c r="AO1914" i="1"/>
  <c r="AL1914" i="1"/>
  <c r="AM1914" i="1" s="1"/>
  <c r="AK1914" i="1"/>
  <c r="AH1914" i="1"/>
  <c r="AI1914" i="1" s="1"/>
  <c r="AG1914" i="1"/>
  <c r="AE1914" i="1"/>
  <c r="AD1914" i="1"/>
  <c r="AC1914" i="1"/>
  <c r="Z1914" i="1"/>
  <c r="AA1914" i="1" s="1"/>
  <c r="Y1914" i="1"/>
  <c r="V1914" i="1"/>
  <c r="W1914" i="1" s="1"/>
  <c r="U1914" i="1"/>
  <c r="R1914" i="1"/>
  <c r="S1914" i="1" s="1"/>
  <c r="Q1914" i="1"/>
  <c r="O1914" i="1"/>
  <c r="N1914" i="1"/>
  <c r="M1914" i="1"/>
  <c r="J1914" i="1"/>
  <c r="K1914" i="1" s="1"/>
  <c r="I1914" i="1"/>
  <c r="F1914" i="1"/>
  <c r="G1914" i="1" s="1"/>
  <c r="E1914" i="1"/>
  <c r="BN1913" i="1"/>
  <c r="BL1913" i="1"/>
  <c r="BJ1913" i="1"/>
  <c r="BM1913" i="1" s="1"/>
  <c r="BI1913" i="1"/>
  <c r="BF1913" i="1"/>
  <c r="BG1913" i="1" s="1"/>
  <c r="BE1913" i="1"/>
  <c r="BB1913" i="1"/>
  <c r="BC1913" i="1" s="1"/>
  <c r="BA1913" i="1"/>
  <c r="AY1913" i="1"/>
  <c r="AX1913" i="1"/>
  <c r="AW1913" i="1"/>
  <c r="AT1913" i="1"/>
  <c r="AU1913" i="1" s="1"/>
  <c r="AS1913" i="1"/>
  <c r="AP1913" i="1"/>
  <c r="AQ1913" i="1" s="1"/>
  <c r="AO1913" i="1"/>
  <c r="AL1913" i="1"/>
  <c r="AM1913" i="1" s="1"/>
  <c r="AK1913" i="1"/>
  <c r="AI1913" i="1"/>
  <c r="AH1913" i="1"/>
  <c r="AG1913" i="1"/>
  <c r="AD1913" i="1"/>
  <c r="AE1913" i="1" s="1"/>
  <c r="AC1913" i="1"/>
  <c r="Z1913" i="1"/>
  <c r="AA1913" i="1" s="1"/>
  <c r="Y1913" i="1"/>
  <c r="V1913" i="1"/>
  <c r="W1913" i="1" s="1"/>
  <c r="U1913" i="1"/>
  <c r="S1913" i="1"/>
  <c r="R1913" i="1"/>
  <c r="Q1913" i="1"/>
  <c r="N1913" i="1"/>
  <c r="O1913" i="1" s="1"/>
  <c r="M1913" i="1"/>
  <c r="J1913" i="1"/>
  <c r="I1913" i="1"/>
  <c r="F1913" i="1"/>
  <c r="G1913" i="1" s="1"/>
  <c r="E1913" i="1"/>
  <c r="BN1912" i="1"/>
  <c r="BL1912" i="1"/>
  <c r="BJ1912" i="1"/>
  <c r="BM1912" i="1" s="1"/>
  <c r="BI1912" i="1"/>
  <c r="BF1912" i="1"/>
  <c r="BG1912" i="1" s="1"/>
  <c r="BE1912" i="1"/>
  <c r="BC1912" i="1"/>
  <c r="BB1912" i="1"/>
  <c r="BA1912" i="1"/>
  <c r="AX1912" i="1"/>
  <c r="AY1912" i="1" s="1"/>
  <c r="AW1912" i="1"/>
  <c r="AT1912" i="1"/>
  <c r="AU1912" i="1" s="1"/>
  <c r="AS1912" i="1"/>
  <c r="AP1912" i="1"/>
  <c r="AQ1912" i="1" s="1"/>
  <c r="AO1912" i="1"/>
  <c r="AM1912" i="1"/>
  <c r="AL1912" i="1"/>
  <c r="AK1912" i="1"/>
  <c r="AH1912" i="1"/>
  <c r="AI1912" i="1" s="1"/>
  <c r="AG1912" i="1"/>
  <c r="AD1912" i="1"/>
  <c r="AC1912" i="1"/>
  <c r="Z1912" i="1"/>
  <c r="AA1912" i="1" s="1"/>
  <c r="Y1912" i="1"/>
  <c r="W1912" i="1"/>
  <c r="V1912" i="1"/>
  <c r="U1912" i="1"/>
  <c r="R1912" i="1"/>
  <c r="S1912" i="1" s="1"/>
  <c r="Q1912" i="1"/>
  <c r="N1912" i="1"/>
  <c r="O1912" i="1" s="1"/>
  <c r="M1912" i="1"/>
  <c r="J1912" i="1"/>
  <c r="K1912" i="1" s="1"/>
  <c r="I1912" i="1"/>
  <c r="G1912" i="1"/>
  <c r="F1912" i="1"/>
  <c r="E1912" i="1"/>
  <c r="BN1911" i="1"/>
  <c r="BM1911" i="1"/>
  <c r="BL1911" i="1"/>
  <c r="BJ1911" i="1"/>
  <c r="BI1911" i="1"/>
  <c r="BG1911" i="1"/>
  <c r="BF1911" i="1"/>
  <c r="BE1911" i="1"/>
  <c r="BB1911" i="1"/>
  <c r="BC1911" i="1" s="1"/>
  <c r="BA1911" i="1"/>
  <c r="AX1911" i="1"/>
  <c r="AY1911" i="1" s="1"/>
  <c r="AW1911" i="1"/>
  <c r="AT1911" i="1"/>
  <c r="AU1911" i="1" s="1"/>
  <c r="AS1911" i="1"/>
  <c r="AQ1911" i="1"/>
  <c r="AP1911" i="1"/>
  <c r="AO1911" i="1"/>
  <c r="AL1911" i="1"/>
  <c r="AM1911" i="1" s="1"/>
  <c r="AK1911" i="1"/>
  <c r="AH1911" i="1"/>
  <c r="AI1911" i="1" s="1"/>
  <c r="AG1911" i="1"/>
  <c r="AD1911" i="1"/>
  <c r="AE1911" i="1" s="1"/>
  <c r="AC1911" i="1"/>
  <c r="AA1911" i="1"/>
  <c r="Z1911" i="1"/>
  <c r="Y1911" i="1"/>
  <c r="V1911" i="1"/>
  <c r="W1911" i="1" s="1"/>
  <c r="U1911" i="1"/>
  <c r="R1911" i="1"/>
  <c r="Q1911" i="1"/>
  <c r="N1911" i="1"/>
  <c r="O1911" i="1" s="1"/>
  <c r="M1911" i="1"/>
  <c r="K1911" i="1"/>
  <c r="J1911" i="1"/>
  <c r="I1911" i="1"/>
  <c r="F1911" i="1"/>
  <c r="G1911" i="1" s="1"/>
  <c r="E1911" i="1"/>
  <c r="BN1910" i="1"/>
  <c r="BM1910" i="1"/>
  <c r="BL1910" i="1"/>
  <c r="BJ1910" i="1"/>
  <c r="BI1910" i="1"/>
  <c r="BF1910" i="1"/>
  <c r="BG1910" i="1" s="1"/>
  <c r="BE1910" i="1"/>
  <c r="BB1910" i="1"/>
  <c r="BC1910" i="1" s="1"/>
  <c r="BA1910" i="1"/>
  <c r="AX1910" i="1"/>
  <c r="AY1910" i="1" s="1"/>
  <c r="AW1910" i="1"/>
  <c r="AU1910" i="1"/>
  <c r="AT1910" i="1"/>
  <c r="AS1910" i="1"/>
  <c r="AP1910" i="1"/>
  <c r="AQ1910" i="1" s="1"/>
  <c r="AO1910" i="1"/>
  <c r="AL1910" i="1"/>
  <c r="AM1910" i="1" s="1"/>
  <c r="AK1910" i="1"/>
  <c r="AH1910" i="1"/>
  <c r="AI1910" i="1" s="1"/>
  <c r="AG1910" i="1"/>
  <c r="AE1910" i="1"/>
  <c r="AD1910" i="1"/>
  <c r="AC1910" i="1"/>
  <c r="Z1910" i="1"/>
  <c r="Y1910" i="1"/>
  <c r="V1910" i="1"/>
  <c r="U1910" i="1"/>
  <c r="R1910" i="1"/>
  <c r="S1910" i="1" s="1"/>
  <c r="Q1910" i="1"/>
  <c r="O1910" i="1"/>
  <c r="N1910" i="1"/>
  <c r="M1910" i="1"/>
  <c r="J1910" i="1"/>
  <c r="K1910" i="1" s="1"/>
  <c r="I1910" i="1"/>
  <c r="F1910" i="1"/>
  <c r="E1910" i="1"/>
  <c r="BN1909" i="1"/>
  <c r="BL1909" i="1"/>
  <c r="BJ1909" i="1"/>
  <c r="BM1909" i="1" s="1"/>
  <c r="BH1909" i="1"/>
  <c r="BI1909" i="1" s="1"/>
  <c r="BF1909" i="1"/>
  <c r="BG1909" i="1" s="1"/>
  <c r="BD1909" i="1"/>
  <c r="BE1909" i="1" s="1"/>
  <c r="BB1909" i="1"/>
  <c r="AZ1909" i="1"/>
  <c r="BA1909" i="1" s="1"/>
  <c r="AX1909" i="1"/>
  <c r="AY1909" i="1" s="1"/>
  <c r="AV1909" i="1"/>
  <c r="AW1909" i="1" s="1"/>
  <c r="AT1909" i="1"/>
  <c r="AR1909" i="1"/>
  <c r="AS1909" i="1" s="1"/>
  <c r="AP1909" i="1"/>
  <c r="AQ1909" i="1" s="1"/>
  <c r="AN1909" i="1"/>
  <c r="AO1909" i="1" s="1"/>
  <c r="AL1909" i="1"/>
  <c r="AK1909" i="1"/>
  <c r="AH1909" i="1"/>
  <c r="AI1909" i="1" s="1"/>
  <c r="AG1909" i="1"/>
  <c r="AF1909" i="1"/>
  <c r="AD1909" i="1"/>
  <c r="AE1909" i="1" s="1"/>
  <c r="AC1909" i="1"/>
  <c r="Z1909" i="1"/>
  <c r="AA1909" i="1" s="1"/>
  <c r="Y1909" i="1"/>
  <c r="W1909" i="1"/>
  <c r="V1909" i="1"/>
  <c r="U1909" i="1"/>
  <c r="R1909" i="1"/>
  <c r="S1909" i="1" s="1"/>
  <c r="Q1909" i="1"/>
  <c r="N1909" i="1"/>
  <c r="O1909" i="1" s="1"/>
  <c r="M1909" i="1"/>
  <c r="J1909" i="1"/>
  <c r="K1909" i="1" s="1"/>
  <c r="I1909" i="1"/>
  <c r="G1909" i="1"/>
  <c r="F1909" i="1"/>
  <c r="E1909" i="1"/>
  <c r="BN1908" i="1"/>
  <c r="BM1908" i="1"/>
  <c r="BL1908" i="1"/>
  <c r="BJ1908" i="1"/>
  <c r="BH1908" i="1"/>
  <c r="BI1908" i="1" s="1"/>
  <c r="BF1908" i="1"/>
  <c r="BG1908" i="1" s="1"/>
  <c r="BD1908" i="1"/>
  <c r="BE1908" i="1" s="1"/>
  <c r="BB1908" i="1"/>
  <c r="BC1908" i="1" s="1"/>
  <c r="AZ1908" i="1"/>
  <c r="BA1908" i="1" s="1"/>
  <c r="AX1908" i="1"/>
  <c r="AY1908" i="1" s="1"/>
  <c r="AV1908" i="1"/>
  <c r="AW1908" i="1" s="1"/>
  <c r="AT1908" i="1"/>
  <c r="AU1908" i="1" s="1"/>
  <c r="AR1908" i="1"/>
  <c r="AS1908" i="1" s="1"/>
  <c r="AP1908" i="1"/>
  <c r="AQ1908" i="1" s="1"/>
  <c r="AN1908" i="1"/>
  <c r="AO1908" i="1" s="1"/>
  <c r="AL1908" i="1"/>
  <c r="AM1908" i="1" s="1"/>
  <c r="AK1908" i="1"/>
  <c r="AI1908" i="1"/>
  <c r="AH1908" i="1"/>
  <c r="AF1908" i="1"/>
  <c r="AG1908" i="1" s="1"/>
  <c r="AE1908" i="1"/>
  <c r="AD1908" i="1"/>
  <c r="AC1908" i="1"/>
  <c r="Z1908" i="1"/>
  <c r="AA1908" i="1" s="1"/>
  <c r="Y1908" i="1"/>
  <c r="V1908" i="1"/>
  <c r="W1908" i="1" s="1"/>
  <c r="U1908" i="1"/>
  <c r="R1908" i="1"/>
  <c r="S1908" i="1" s="1"/>
  <c r="Q1908" i="1"/>
  <c r="O1908" i="1"/>
  <c r="N1908" i="1"/>
  <c r="M1908" i="1"/>
  <c r="J1908" i="1"/>
  <c r="K1908" i="1" s="1"/>
  <c r="I1908" i="1"/>
  <c r="F1908" i="1"/>
  <c r="G1908" i="1" s="1"/>
  <c r="E1908" i="1"/>
  <c r="BN1907" i="1"/>
  <c r="BL1907" i="1"/>
  <c r="BJ1907" i="1"/>
  <c r="BM1907" i="1" s="1"/>
  <c r="BH1907" i="1"/>
  <c r="BI1907" i="1" s="1"/>
  <c r="BF1907" i="1"/>
  <c r="BD1907" i="1"/>
  <c r="BE1907" i="1" s="1"/>
  <c r="BB1907" i="1"/>
  <c r="BC1907" i="1" s="1"/>
  <c r="AZ1907" i="1"/>
  <c r="BA1907" i="1" s="1"/>
  <c r="AX1907" i="1"/>
  <c r="AV1907" i="1"/>
  <c r="AW1907" i="1" s="1"/>
  <c r="AT1907" i="1"/>
  <c r="AU1907" i="1" s="1"/>
  <c r="AR1907" i="1"/>
  <c r="AS1907" i="1" s="1"/>
  <c r="AP1907" i="1"/>
  <c r="AN1907" i="1"/>
  <c r="AO1907" i="1" s="1"/>
  <c r="AL1907" i="1"/>
  <c r="AM1907" i="1" s="1"/>
  <c r="AK1907" i="1"/>
  <c r="AH1907" i="1"/>
  <c r="AG1907" i="1"/>
  <c r="AF1907" i="1"/>
  <c r="AD1907" i="1"/>
  <c r="AE1907" i="1" s="1"/>
  <c r="AC1907" i="1"/>
  <c r="Z1907" i="1"/>
  <c r="AA1907" i="1" s="1"/>
  <c r="Y1907" i="1"/>
  <c r="W1907" i="1"/>
  <c r="V1907" i="1"/>
  <c r="U1907" i="1"/>
  <c r="R1907" i="1"/>
  <c r="S1907" i="1" s="1"/>
  <c r="Q1907" i="1"/>
  <c r="N1907" i="1"/>
  <c r="M1907" i="1"/>
  <c r="J1907" i="1"/>
  <c r="K1907" i="1" s="1"/>
  <c r="I1907" i="1"/>
  <c r="G1907" i="1"/>
  <c r="F1907" i="1"/>
  <c r="E1907" i="1"/>
  <c r="BN1906" i="1"/>
  <c r="BM1906" i="1"/>
  <c r="BL1906" i="1"/>
  <c r="BJ1906" i="1"/>
  <c r="BI1906" i="1"/>
  <c r="BG1906" i="1"/>
  <c r="BF1906" i="1"/>
  <c r="BE1906" i="1"/>
  <c r="BB1906" i="1"/>
  <c r="BC1906" i="1" s="1"/>
  <c r="BA1906" i="1"/>
  <c r="AX1906" i="1"/>
  <c r="AY1906" i="1" s="1"/>
  <c r="AW1906" i="1"/>
  <c r="AT1906" i="1"/>
  <c r="AU1906" i="1" s="1"/>
  <c r="AS1906" i="1"/>
  <c r="AQ1906" i="1"/>
  <c r="AP1906" i="1"/>
  <c r="AO1906" i="1"/>
  <c r="AL1906" i="1"/>
  <c r="AM1906" i="1" s="1"/>
  <c r="AK1906" i="1"/>
  <c r="AH1906" i="1"/>
  <c r="AI1906" i="1" s="1"/>
  <c r="AG1906" i="1"/>
  <c r="AD1906" i="1"/>
  <c r="AE1906" i="1" s="1"/>
  <c r="AC1906" i="1"/>
  <c r="AA1906" i="1"/>
  <c r="Z1906" i="1"/>
  <c r="Y1906" i="1"/>
  <c r="V1906" i="1"/>
  <c r="W1906" i="1" s="1"/>
  <c r="U1906" i="1"/>
  <c r="R1906" i="1"/>
  <c r="Q1906" i="1"/>
  <c r="N1906" i="1"/>
  <c r="O1906" i="1" s="1"/>
  <c r="M1906" i="1"/>
  <c r="K1906" i="1"/>
  <c r="J1906" i="1"/>
  <c r="I1906" i="1"/>
  <c r="F1906" i="1"/>
  <c r="G1906" i="1" s="1"/>
  <c r="E1906" i="1"/>
  <c r="BN1905" i="1"/>
  <c r="BM1905" i="1"/>
  <c r="BL1905" i="1"/>
  <c r="BJ1905" i="1"/>
  <c r="BI1905" i="1"/>
  <c r="BF1905" i="1"/>
  <c r="BG1905" i="1" s="1"/>
  <c r="BE1905" i="1"/>
  <c r="BB1905" i="1"/>
  <c r="BA1905" i="1"/>
  <c r="AX1905" i="1"/>
  <c r="AY1905" i="1" s="1"/>
  <c r="AW1905" i="1"/>
  <c r="AU1905" i="1"/>
  <c r="AT1905" i="1"/>
  <c r="AS1905" i="1"/>
  <c r="AP1905" i="1"/>
  <c r="AQ1905" i="1" s="1"/>
  <c r="AO1905" i="1"/>
  <c r="AL1905" i="1"/>
  <c r="AK1905" i="1"/>
  <c r="AH1905" i="1"/>
  <c r="AI1905" i="1" s="1"/>
  <c r="AG1905" i="1"/>
  <c r="AE1905" i="1"/>
  <c r="AD1905" i="1"/>
  <c r="AC1905" i="1"/>
  <c r="AA1905" i="1"/>
  <c r="Z1905" i="1"/>
  <c r="Y1905" i="1"/>
  <c r="V1905" i="1"/>
  <c r="W1905" i="1" s="1"/>
  <c r="U1905" i="1"/>
  <c r="R1905" i="1"/>
  <c r="S1905" i="1" s="1"/>
  <c r="Q1905" i="1"/>
  <c r="O1905" i="1"/>
  <c r="N1905" i="1"/>
  <c r="M1905" i="1"/>
  <c r="J1905" i="1"/>
  <c r="K1905" i="1" s="1"/>
  <c r="I1905" i="1"/>
  <c r="F1905" i="1"/>
  <c r="E1905" i="1"/>
  <c r="BN1904" i="1"/>
  <c r="BL1904" i="1"/>
  <c r="BJ1904" i="1"/>
  <c r="BM1904" i="1" s="1"/>
  <c r="BI1904" i="1"/>
  <c r="BF1904" i="1"/>
  <c r="BG1904" i="1" s="1"/>
  <c r="BE1904" i="1"/>
  <c r="BB1904" i="1"/>
  <c r="BA1904" i="1"/>
  <c r="AY1904" i="1"/>
  <c r="AX1904" i="1"/>
  <c r="AW1904" i="1"/>
  <c r="AT1904" i="1"/>
  <c r="AU1904" i="1" s="1"/>
  <c r="AS1904" i="1"/>
  <c r="AP1904" i="1"/>
  <c r="AO1904" i="1"/>
  <c r="AL1904" i="1"/>
  <c r="AM1904" i="1" s="1"/>
  <c r="AK1904" i="1"/>
  <c r="AI1904" i="1"/>
  <c r="AH1904" i="1"/>
  <c r="AG1904" i="1"/>
  <c r="AD1904" i="1"/>
  <c r="AE1904" i="1" s="1"/>
  <c r="AC1904" i="1"/>
  <c r="Z1904" i="1"/>
  <c r="Y1904" i="1"/>
  <c r="V1904" i="1"/>
  <c r="W1904" i="1" s="1"/>
  <c r="U1904" i="1"/>
  <c r="S1904" i="1"/>
  <c r="R1904" i="1"/>
  <c r="Q1904" i="1"/>
  <c r="N1904" i="1"/>
  <c r="O1904" i="1" s="1"/>
  <c r="M1904" i="1"/>
  <c r="J1904" i="1"/>
  <c r="K1904" i="1" s="1"/>
  <c r="I1904" i="1"/>
  <c r="F1904" i="1"/>
  <c r="G1904" i="1" s="1"/>
  <c r="E1904" i="1"/>
  <c r="BN1903" i="1"/>
  <c r="BL1903" i="1"/>
  <c r="BJ1903" i="1"/>
  <c r="BI1903" i="1"/>
  <c r="BF1903" i="1"/>
  <c r="BG1903" i="1" s="1"/>
  <c r="BE1903" i="1"/>
  <c r="BC1903" i="1"/>
  <c r="BB1903" i="1"/>
  <c r="BA1903" i="1"/>
  <c r="AX1903" i="1"/>
  <c r="AY1903" i="1" s="1"/>
  <c r="AW1903" i="1"/>
  <c r="AT1903" i="1"/>
  <c r="AU1903" i="1" s="1"/>
  <c r="AS1903" i="1"/>
  <c r="AP1903" i="1"/>
  <c r="AO1903" i="1"/>
  <c r="AM1903" i="1"/>
  <c r="AL1903" i="1"/>
  <c r="AK1903" i="1"/>
  <c r="AH1903" i="1"/>
  <c r="AI1903" i="1" s="1"/>
  <c r="AG1903" i="1"/>
  <c r="AD1903" i="1"/>
  <c r="AC1903" i="1"/>
  <c r="Z1903" i="1"/>
  <c r="AA1903" i="1" s="1"/>
  <c r="Y1903" i="1"/>
  <c r="W1903" i="1"/>
  <c r="V1903" i="1"/>
  <c r="U1903" i="1"/>
  <c r="R1903" i="1"/>
  <c r="S1903" i="1" s="1"/>
  <c r="Q1903" i="1"/>
  <c r="N1903" i="1"/>
  <c r="M1903" i="1"/>
  <c r="J1903" i="1"/>
  <c r="K1903" i="1" s="1"/>
  <c r="I1903" i="1"/>
  <c r="G1903" i="1"/>
  <c r="F1903" i="1"/>
  <c r="E1903" i="1"/>
  <c r="BN1902" i="1"/>
  <c r="BM1902" i="1" s="1"/>
  <c r="BL1902" i="1"/>
  <c r="BJ1902" i="1"/>
  <c r="BI1902" i="1"/>
  <c r="BG1902" i="1"/>
  <c r="BF1902" i="1"/>
  <c r="BE1902" i="1"/>
  <c r="BC1902" i="1"/>
  <c r="BB1902" i="1"/>
  <c r="BA1902" i="1"/>
  <c r="AX1902" i="1"/>
  <c r="AY1902" i="1" s="1"/>
  <c r="AW1902" i="1"/>
  <c r="AT1902" i="1"/>
  <c r="AS1902" i="1"/>
  <c r="AQ1902" i="1"/>
  <c r="AP1902" i="1"/>
  <c r="AO1902" i="1"/>
  <c r="AM1902" i="1"/>
  <c r="AL1902" i="1"/>
  <c r="AK1902" i="1"/>
  <c r="AH1902" i="1"/>
  <c r="AG1902" i="1"/>
  <c r="AD1902" i="1"/>
  <c r="AE1902" i="1" s="1"/>
  <c r="AC1902" i="1"/>
  <c r="AA1902" i="1"/>
  <c r="Z1902" i="1"/>
  <c r="Y1902" i="1"/>
  <c r="V1902" i="1"/>
  <c r="W1902" i="1" s="1"/>
  <c r="U1902" i="1"/>
  <c r="R1902" i="1"/>
  <c r="S1902" i="1" s="1"/>
  <c r="Q1902" i="1"/>
  <c r="N1902" i="1"/>
  <c r="M1902" i="1"/>
  <c r="K1902" i="1"/>
  <c r="J1902" i="1"/>
  <c r="I1902" i="1"/>
  <c r="G1902" i="1"/>
  <c r="F1902" i="1"/>
  <c r="E1902" i="1"/>
  <c r="BN1901" i="1"/>
  <c r="BM1901" i="1"/>
  <c r="BL1901" i="1"/>
  <c r="BK1901" i="1"/>
  <c r="BJ1901" i="1"/>
  <c r="BI1901" i="1"/>
  <c r="BH1901" i="1"/>
  <c r="BF1901" i="1"/>
  <c r="BG1901" i="1" s="1"/>
  <c r="BD1901" i="1"/>
  <c r="BE1901" i="1" s="1"/>
  <c r="BB1901" i="1"/>
  <c r="BC1901" i="1" s="1"/>
  <c r="BA1901" i="1"/>
  <c r="AY1901" i="1"/>
  <c r="AX1901" i="1"/>
  <c r="AW1901" i="1"/>
  <c r="AU1901" i="1"/>
  <c r="AT1901" i="1"/>
  <c r="AS1901" i="1"/>
  <c r="AP1901" i="1"/>
  <c r="AQ1901" i="1" s="1"/>
  <c r="AO1901" i="1"/>
  <c r="AL1901" i="1"/>
  <c r="AK1901" i="1"/>
  <c r="AI1901" i="1"/>
  <c r="AH1901" i="1"/>
  <c r="AG1901" i="1"/>
  <c r="AE1901" i="1"/>
  <c r="AD1901" i="1"/>
  <c r="AC1901" i="1"/>
  <c r="Z1901" i="1"/>
  <c r="AA1901" i="1" s="1"/>
  <c r="Y1901" i="1"/>
  <c r="V1901" i="1"/>
  <c r="U1901" i="1"/>
  <c r="S1901" i="1"/>
  <c r="R1901" i="1"/>
  <c r="Q1901" i="1"/>
  <c r="N1901" i="1"/>
  <c r="O1901" i="1" s="1"/>
  <c r="M1901" i="1"/>
  <c r="J1901" i="1"/>
  <c r="I1901" i="1"/>
  <c r="F1901" i="1"/>
  <c r="G1901" i="1" s="1"/>
  <c r="E1901" i="1"/>
  <c r="BN1900" i="1"/>
  <c r="BL1900" i="1"/>
  <c r="BK1900" i="1"/>
  <c r="BJ1900" i="1"/>
  <c r="BM1900" i="1" s="1"/>
  <c r="BH1900" i="1"/>
  <c r="BI1900" i="1" s="1"/>
  <c r="BG1900" i="1"/>
  <c r="BF1900" i="1"/>
  <c r="BD1900" i="1"/>
  <c r="BE1900" i="1" s="1"/>
  <c r="BB1900" i="1"/>
  <c r="BC1900" i="1" s="1"/>
  <c r="BA1900" i="1"/>
  <c r="AX1900" i="1"/>
  <c r="AW1900" i="1"/>
  <c r="AT1900" i="1"/>
  <c r="AU1900" i="1" s="1"/>
  <c r="AS1900" i="1"/>
  <c r="AP1900" i="1"/>
  <c r="AO1900" i="1"/>
  <c r="AM1900" i="1"/>
  <c r="AL1900" i="1"/>
  <c r="AK1900" i="1"/>
  <c r="AI1900" i="1"/>
  <c r="AH1900" i="1"/>
  <c r="AG1900" i="1"/>
  <c r="AD1900" i="1"/>
  <c r="AE1900" i="1" s="1"/>
  <c r="AC1900" i="1"/>
  <c r="Z1900" i="1"/>
  <c r="Y1900" i="1"/>
  <c r="W1900" i="1"/>
  <c r="V1900" i="1"/>
  <c r="U1900" i="1"/>
  <c r="S1900" i="1"/>
  <c r="R1900" i="1"/>
  <c r="Q1900" i="1"/>
  <c r="N1900" i="1"/>
  <c r="M1900" i="1"/>
  <c r="K1900" i="1"/>
  <c r="J1900" i="1"/>
  <c r="I1900" i="1"/>
  <c r="G1900" i="1"/>
  <c r="F1900" i="1"/>
  <c r="E1900" i="1"/>
  <c r="BN1899" i="1"/>
  <c r="BM1899" i="1"/>
  <c r="BL1899" i="1"/>
  <c r="BK1899" i="1"/>
  <c r="BJ1899" i="1"/>
  <c r="BI1899" i="1"/>
  <c r="BH1899" i="1"/>
  <c r="BF1899" i="1"/>
  <c r="BG1899" i="1" s="1"/>
  <c r="BD1899" i="1"/>
  <c r="BE1899" i="1" s="1"/>
  <c r="BB1899" i="1"/>
  <c r="BC1899" i="1" s="1"/>
  <c r="BA1899" i="1"/>
  <c r="AX1899" i="1"/>
  <c r="AW1899" i="1"/>
  <c r="AU1899" i="1"/>
  <c r="AT1899" i="1"/>
  <c r="AS1899" i="1"/>
  <c r="AQ1899" i="1"/>
  <c r="AP1899" i="1"/>
  <c r="AO1899" i="1"/>
  <c r="AL1899" i="1"/>
  <c r="AM1899" i="1" s="1"/>
  <c r="AK1899" i="1"/>
  <c r="AH1899" i="1"/>
  <c r="AG1899" i="1"/>
  <c r="AE1899" i="1"/>
  <c r="AD1899" i="1"/>
  <c r="AC1899" i="1"/>
  <c r="AA1899" i="1"/>
  <c r="Z1899" i="1"/>
  <c r="Y1899" i="1"/>
  <c r="V1899" i="1"/>
  <c r="U1899" i="1"/>
  <c r="S1899" i="1"/>
  <c r="R1899" i="1"/>
  <c r="Q1899" i="1"/>
  <c r="O1899" i="1"/>
  <c r="N1899" i="1"/>
  <c r="M1899" i="1"/>
  <c r="J1899" i="1"/>
  <c r="K1899" i="1" s="1"/>
  <c r="I1899" i="1"/>
  <c r="F1899" i="1"/>
  <c r="E1899" i="1"/>
  <c r="BN1898" i="1"/>
  <c r="BL1898" i="1"/>
  <c r="BJ1898" i="1"/>
  <c r="BI1898" i="1"/>
  <c r="BF1898" i="1"/>
  <c r="BE1898" i="1"/>
  <c r="BB1898" i="1"/>
  <c r="BA1898" i="1"/>
  <c r="AY1898" i="1"/>
  <c r="AX1898" i="1"/>
  <c r="AW1898" i="1"/>
  <c r="AU1898" i="1"/>
  <c r="AT1898" i="1"/>
  <c r="AS1898" i="1"/>
  <c r="AP1898" i="1"/>
  <c r="AO1898" i="1"/>
  <c r="AM1898" i="1"/>
  <c r="AL1898" i="1"/>
  <c r="AK1898" i="1"/>
  <c r="AI1898" i="1"/>
  <c r="AH1898" i="1"/>
  <c r="AG1898" i="1"/>
  <c r="AD1898" i="1"/>
  <c r="AE1898" i="1" s="1"/>
  <c r="AC1898" i="1"/>
  <c r="Z1898" i="1"/>
  <c r="Y1898" i="1"/>
  <c r="W1898" i="1"/>
  <c r="V1898" i="1"/>
  <c r="U1898" i="1"/>
  <c r="R1898" i="1"/>
  <c r="S1898" i="1" s="1"/>
  <c r="Q1898" i="1"/>
  <c r="N1898" i="1"/>
  <c r="M1898" i="1"/>
  <c r="J1898" i="1"/>
  <c r="K1898" i="1" s="1"/>
  <c r="I1898" i="1"/>
  <c r="F1898" i="1"/>
  <c r="E1898" i="1"/>
  <c r="BN1897" i="1"/>
  <c r="BL1897" i="1"/>
  <c r="BJ1897" i="1"/>
  <c r="BG1897" i="1" s="1"/>
  <c r="BI1897" i="1"/>
  <c r="BF1897" i="1"/>
  <c r="BE1897" i="1"/>
  <c r="BC1897" i="1"/>
  <c r="BB1897" i="1"/>
  <c r="BA1897" i="1"/>
  <c r="AY1897" i="1"/>
  <c r="AX1897" i="1"/>
  <c r="AW1897" i="1"/>
  <c r="AT1897" i="1"/>
  <c r="AU1897" i="1" s="1"/>
  <c r="AS1897" i="1"/>
  <c r="AP1897" i="1"/>
  <c r="AO1897" i="1"/>
  <c r="AM1897" i="1"/>
  <c r="AL1897" i="1"/>
  <c r="AK1897" i="1"/>
  <c r="AI1897" i="1"/>
  <c r="AH1897" i="1"/>
  <c r="AG1897" i="1"/>
  <c r="AD1897" i="1"/>
  <c r="AC1897" i="1"/>
  <c r="AA1897" i="1"/>
  <c r="Z1897" i="1"/>
  <c r="Y1897" i="1"/>
  <c r="W1897" i="1"/>
  <c r="V1897" i="1"/>
  <c r="U1897" i="1"/>
  <c r="R1897" i="1"/>
  <c r="S1897" i="1" s="1"/>
  <c r="Q1897" i="1"/>
  <c r="N1897" i="1"/>
  <c r="M1897" i="1"/>
  <c r="K1897" i="1"/>
  <c r="J1897" i="1"/>
  <c r="I1897" i="1"/>
  <c r="F1897" i="1"/>
  <c r="G1897" i="1" s="1"/>
  <c r="E1897" i="1"/>
  <c r="BN1896" i="1"/>
  <c r="BM1896" i="1" s="1"/>
  <c r="BL1896" i="1"/>
  <c r="BJ1896" i="1"/>
  <c r="BI1896" i="1"/>
  <c r="BF1896" i="1"/>
  <c r="BE1896" i="1"/>
  <c r="BB1896" i="1"/>
  <c r="BA1896" i="1"/>
  <c r="AX1896" i="1"/>
  <c r="AY1896" i="1" s="1"/>
  <c r="AW1896" i="1"/>
  <c r="AT1896" i="1"/>
  <c r="AS1896" i="1"/>
  <c r="AP1896" i="1"/>
  <c r="AO1896" i="1"/>
  <c r="AM1896" i="1"/>
  <c r="AL1896" i="1"/>
  <c r="AK1896" i="1"/>
  <c r="AI1896" i="1"/>
  <c r="AH1896" i="1"/>
  <c r="AE1896" i="1" s="1"/>
  <c r="AG1896" i="1"/>
  <c r="AD1896" i="1"/>
  <c r="AC1896" i="1"/>
  <c r="AA1896" i="1"/>
  <c r="Z1896" i="1"/>
  <c r="Y1896" i="1"/>
  <c r="W1896" i="1"/>
  <c r="V1896" i="1"/>
  <c r="U1896" i="1"/>
  <c r="R1896" i="1"/>
  <c r="S1896" i="1" s="1"/>
  <c r="Q1896" i="1"/>
  <c r="N1896" i="1"/>
  <c r="M1896" i="1"/>
  <c r="K1896" i="1"/>
  <c r="J1896" i="1"/>
  <c r="I1896" i="1"/>
  <c r="G1896" i="1"/>
  <c r="F1896" i="1"/>
  <c r="E1896" i="1"/>
  <c r="BN1895" i="1"/>
  <c r="BM1895" i="1"/>
  <c r="BL1895" i="1"/>
  <c r="BJ1895" i="1"/>
  <c r="BI1895" i="1"/>
  <c r="BG1895" i="1"/>
  <c r="BF1895" i="1"/>
  <c r="BE1895" i="1"/>
  <c r="BB1895" i="1"/>
  <c r="BA1895" i="1"/>
  <c r="AX1895" i="1"/>
  <c r="AW1895" i="1"/>
  <c r="AU1895" i="1"/>
  <c r="AT1895" i="1"/>
  <c r="AS1895" i="1"/>
  <c r="AQ1895" i="1"/>
  <c r="AP1895" i="1"/>
  <c r="AO1895" i="1"/>
  <c r="AL1895" i="1"/>
  <c r="AK1895" i="1"/>
  <c r="AI1895" i="1"/>
  <c r="AH1895" i="1"/>
  <c r="AG1895" i="1"/>
  <c r="AE1895" i="1"/>
  <c r="AD1895" i="1"/>
  <c r="AC1895" i="1"/>
  <c r="Z1895" i="1"/>
  <c r="AA1895" i="1" s="1"/>
  <c r="Y1895" i="1"/>
  <c r="V1895" i="1"/>
  <c r="U1895" i="1"/>
  <c r="S1895" i="1"/>
  <c r="R1895" i="1"/>
  <c r="Q1895" i="1"/>
  <c r="O1895" i="1"/>
  <c r="N1895" i="1"/>
  <c r="M1895" i="1"/>
  <c r="J1895" i="1"/>
  <c r="K1895" i="1" s="1"/>
  <c r="I1895" i="1"/>
  <c r="F1895" i="1"/>
  <c r="E1895" i="1"/>
  <c r="BN1894" i="1"/>
  <c r="BM1894" i="1" s="1"/>
  <c r="BL1894" i="1"/>
  <c r="BJ1894" i="1"/>
  <c r="BI1894" i="1"/>
  <c r="BF1894" i="1"/>
  <c r="BG1894" i="1" s="1"/>
  <c r="BE1894" i="1"/>
  <c r="BB1894" i="1"/>
  <c r="BC1894" i="1" s="1"/>
  <c r="BA1894" i="1"/>
  <c r="AX1894" i="1"/>
  <c r="AW1894" i="1"/>
  <c r="AU1894" i="1"/>
  <c r="AT1894" i="1"/>
  <c r="AS1894" i="1"/>
  <c r="AQ1894" i="1"/>
  <c r="AP1894" i="1"/>
  <c r="AM1894" i="1" s="1"/>
  <c r="AO1894" i="1"/>
  <c r="AL1894" i="1"/>
  <c r="AK1894" i="1"/>
  <c r="AI1894" i="1"/>
  <c r="AH1894" i="1"/>
  <c r="AG1894" i="1"/>
  <c r="AE1894" i="1"/>
  <c r="AD1894" i="1"/>
  <c r="AC1894" i="1"/>
  <c r="Z1894" i="1"/>
  <c r="Y1894" i="1"/>
  <c r="V1894" i="1"/>
  <c r="U1894" i="1"/>
  <c r="S1894" i="1"/>
  <c r="R1894" i="1"/>
  <c r="Q1894" i="1"/>
  <c r="O1894" i="1"/>
  <c r="N1894" i="1"/>
  <c r="M1894" i="1"/>
  <c r="J1894" i="1"/>
  <c r="K1894" i="1" s="1"/>
  <c r="I1894" i="1"/>
  <c r="F1894" i="1"/>
  <c r="E1894" i="1"/>
  <c r="BN1893" i="1"/>
  <c r="BL1893" i="1"/>
  <c r="BJ1893" i="1"/>
  <c r="BM1893" i="1" s="1"/>
  <c r="BI1893" i="1"/>
  <c r="BF1893" i="1"/>
  <c r="BE1893" i="1"/>
  <c r="BC1893" i="1"/>
  <c r="BB1893" i="1"/>
  <c r="BA1893" i="1"/>
  <c r="AY1893" i="1"/>
  <c r="AX1893" i="1"/>
  <c r="AW1893" i="1"/>
  <c r="AT1893" i="1"/>
  <c r="AS1893" i="1"/>
  <c r="AP1893" i="1"/>
  <c r="AO1893" i="1"/>
  <c r="AM1893" i="1"/>
  <c r="AL1893" i="1"/>
  <c r="AK1893" i="1"/>
  <c r="AI1893" i="1"/>
  <c r="AH1893" i="1"/>
  <c r="AG1893" i="1"/>
  <c r="AD1893" i="1"/>
  <c r="AE1893" i="1" s="1"/>
  <c r="AC1893" i="1"/>
  <c r="Z1893" i="1"/>
  <c r="Y1893" i="1"/>
  <c r="W1893" i="1"/>
  <c r="V1893" i="1"/>
  <c r="U1893" i="1"/>
  <c r="S1893" i="1"/>
  <c r="R1893" i="1"/>
  <c r="Q1893" i="1"/>
  <c r="N1893" i="1"/>
  <c r="O1893" i="1" s="1"/>
  <c r="M1893" i="1"/>
  <c r="J1893" i="1"/>
  <c r="I1893" i="1"/>
  <c r="G1893" i="1"/>
  <c r="F1893" i="1"/>
  <c r="E1893" i="1"/>
  <c r="BN1892" i="1"/>
  <c r="BM1892" i="1" s="1"/>
  <c r="BL1892" i="1"/>
  <c r="BJ1892" i="1"/>
  <c r="BI1892" i="1"/>
  <c r="BG1892" i="1"/>
  <c r="BF1892" i="1"/>
  <c r="BE1892" i="1"/>
  <c r="BC1892" i="1"/>
  <c r="BB1892" i="1"/>
  <c r="BA1892" i="1"/>
  <c r="AX1892" i="1"/>
  <c r="AY1892" i="1" s="1"/>
  <c r="AW1892" i="1"/>
  <c r="AT1892" i="1"/>
  <c r="AS1892" i="1"/>
  <c r="AQ1892" i="1"/>
  <c r="AP1892" i="1"/>
  <c r="AO1892" i="1"/>
  <c r="AM1892" i="1"/>
  <c r="AL1892" i="1"/>
  <c r="AK1892" i="1"/>
  <c r="AH1892" i="1"/>
  <c r="AG1892" i="1"/>
  <c r="AD1892" i="1"/>
  <c r="AC1892" i="1"/>
  <c r="AA1892" i="1"/>
  <c r="Z1892" i="1"/>
  <c r="Y1892" i="1"/>
  <c r="W1892" i="1"/>
  <c r="V1892" i="1"/>
  <c r="U1892" i="1"/>
  <c r="R1892" i="1"/>
  <c r="S1892" i="1" s="1"/>
  <c r="Q1892" i="1"/>
  <c r="N1892" i="1"/>
  <c r="M1892" i="1"/>
  <c r="K1892" i="1"/>
  <c r="J1892" i="1"/>
  <c r="I1892" i="1"/>
  <c r="G1892" i="1"/>
  <c r="F1892" i="1"/>
  <c r="E1892" i="1"/>
  <c r="BN1891" i="1"/>
  <c r="BM1891" i="1"/>
  <c r="BL1891" i="1"/>
  <c r="BJ1891" i="1"/>
  <c r="BI1891" i="1"/>
  <c r="BG1891" i="1"/>
  <c r="BF1891" i="1"/>
  <c r="BE1891" i="1"/>
  <c r="BB1891" i="1"/>
  <c r="BA1891" i="1"/>
  <c r="AX1891" i="1"/>
  <c r="AW1891" i="1"/>
  <c r="AU1891" i="1"/>
  <c r="AT1891" i="1"/>
  <c r="AS1891" i="1"/>
  <c r="AQ1891" i="1"/>
  <c r="AP1891" i="1"/>
  <c r="AO1891" i="1"/>
  <c r="AL1891" i="1"/>
  <c r="AM1891" i="1" s="1"/>
  <c r="AK1891" i="1"/>
  <c r="AH1891" i="1"/>
  <c r="AG1891" i="1"/>
  <c r="AE1891" i="1"/>
  <c r="AD1891" i="1"/>
  <c r="AC1891" i="1"/>
  <c r="AA1891" i="1"/>
  <c r="Z1891" i="1"/>
  <c r="Y1891" i="1"/>
  <c r="V1891" i="1"/>
  <c r="U1891" i="1"/>
  <c r="R1891" i="1"/>
  <c r="Q1891" i="1"/>
  <c r="O1891" i="1"/>
  <c r="N1891" i="1"/>
  <c r="M1891" i="1"/>
  <c r="K1891" i="1"/>
  <c r="J1891" i="1"/>
  <c r="I1891" i="1"/>
  <c r="F1891" i="1"/>
  <c r="G1891" i="1" s="1"/>
  <c r="E1891" i="1"/>
  <c r="BN1890" i="1"/>
  <c r="BL1890" i="1"/>
  <c r="BJ1890" i="1"/>
  <c r="BM1890" i="1" s="1"/>
  <c r="BI1890" i="1"/>
  <c r="BF1890" i="1"/>
  <c r="BG1890" i="1" s="1"/>
  <c r="BE1890" i="1"/>
  <c r="BB1890" i="1"/>
  <c r="BA1890" i="1"/>
  <c r="AY1890" i="1"/>
  <c r="AX1890" i="1"/>
  <c r="AW1890" i="1"/>
  <c r="AU1890" i="1"/>
  <c r="AT1890" i="1"/>
  <c r="AS1890" i="1"/>
  <c r="AP1890" i="1"/>
  <c r="AQ1890" i="1" s="1"/>
  <c r="AO1890" i="1"/>
  <c r="AL1890" i="1"/>
  <c r="AK1890" i="1"/>
  <c r="AI1890" i="1"/>
  <c r="AH1890" i="1"/>
  <c r="AG1890" i="1"/>
  <c r="AE1890" i="1"/>
  <c r="AD1890" i="1"/>
  <c r="AC1890" i="1"/>
  <c r="Z1890" i="1"/>
  <c r="AA1890" i="1" s="1"/>
  <c r="Y1890" i="1"/>
  <c r="V1890" i="1"/>
  <c r="U1890" i="1"/>
  <c r="S1890" i="1"/>
  <c r="R1890" i="1"/>
  <c r="Q1890" i="1"/>
  <c r="O1890" i="1"/>
  <c r="N1890" i="1"/>
  <c r="M1890" i="1"/>
  <c r="J1890" i="1"/>
  <c r="K1890" i="1" s="1"/>
  <c r="I1890" i="1"/>
  <c r="F1890" i="1"/>
  <c r="E1890" i="1"/>
  <c r="BN1889" i="1"/>
  <c r="BL1889" i="1"/>
  <c r="BJ1889" i="1"/>
  <c r="BM1889" i="1" s="1"/>
  <c r="BI1889" i="1"/>
  <c r="BF1889" i="1"/>
  <c r="BE1889" i="1"/>
  <c r="BC1889" i="1"/>
  <c r="BB1889" i="1"/>
  <c r="BA1889" i="1"/>
  <c r="AY1889" i="1"/>
  <c r="AX1889" i="1"/>
  <c r="AW1889" i="1"/>
  <c r="AT1889" i="1"/>
  <c r="AU1889" i="1" s="1"/>
  <c r="AS1889" i="1"/>
  <c r="AP1889" i="1"/>
  <c r="AO1889" i="1"/>
  <c r="AM1889" i="1"/>
  <c r="AL1889" i="1"/>
  <c r="AK1889" i="1"/>
  <c r="AI1889" i="1"/>
  <c r="AH1889" i="1"/>
  <c r="AG1889" i="1"/>
  <c r="AD1889" i="1"/>
  <c r="AE1889" i="1" s="1"/>
  <c r="AC1889" i="1"/>
  <c r="Z1889" i="1"/>
  <c r="AA1889" i="1" s="1"/>
  <c r="Y1889" i="1"/>
  <c r="W1889" i="1"/>
  <c r="V1889" i="1"/>
  <c r="U1889" i="1"/>
  <c r="S1889" i="1"/>
  <c r="R1889" i="1"/>
  <c r="Q1889" i="1"/>
  <c r="N1889" i="1"/>
  <c r="O1889" i="1" s="1"/>
  <c r="M1889" i="1"/>
  <c r="J1889" i="1"/>
  <c r="I1889" i="1"/>
  <c r="G1889" i="1"/>
  <c r="F1889" i="1"/>
  <c r="E1889" i="1"/>
  <c r="BN1888" i="1"/>
  <c r="BM1888" i="1" s="1"/>
  <c r="BL1888" i="1"/>
  <c r="BJ1888" i="1"/>
  <c r="BI1888" i="1"/>
  <c r="BG1888" i="1"/>
  <c r="BF1888" i="1"/>
  <c r="BE1888" i="1"/>
  <c r="BC1888" i="1"/>
  <c r="BB1888" i="1"/>
  <c r="BA1888" i="1"/>
  <c r="AX1888" i="1"/>
  <c r="AY1888" i="1" s="1"/>
  <c r="AW1888" i="1"/>
  <c r="AT1888" i="1"/>
  <c r="AU1888" i="1" s="1"/>
  <c r="AS1888" i="1"/>
  <c r="AQ1888" i="1"/>
  <c r="AP1888" i="1"/>
  <c r="AO1888" i="1"/>
  <c r="AM1888" i="1"/>
  <c r="AL1888" i="1"/>
  <c r="AK1888" i="1"/>
  <c r="AH1888" i="1"/>
  <c r="AI1888" i="1" s="1"/>
  <c r="AG1888" i="1"/>
  <c r="AD1888" i="1"/>
  <c r="AC1888" i="1"/>
  <c r="AA1888" i="1"/>
  <c r="Z1888" i="1"/>
  <c r="Y1888" i="1"/>
  <c r="W1888" i="1"/>
  <c r="V1888" i="1"/>
  <c r="U1888" i="1"/>
  <c r="R1888" i="1"/>
  <c r="S1888" i="1" s="1"/>
  <c r="Q1888" i="1"/>
  <c r="N1888" i="1"/>
  <c r="O1888" i="1" s="1"/>
  <c r="M1888" i="1"/>
  <c r="K1888" i="1"/>
  <c r="J1888" i="1"/>
  <c r="I1888" i="1"/>
  <c r="G1888" i="1"/>
  <c r="F1888" i="1"/>
  <c r="E1888" i="1"/>
  <c r="BN1887" i="1"/>
  <c r="BM1887" i="1"/>
  <c r="BL1887" i="1"/>
  <c r="BJ1887" i="1"/>
  <c r="BI1887" i="1"/>
  <c r="BG1887" i="1"/>
  <c r="BF1887" i="1"/>
  <c r="BE1887" i="1"/>
  <c r="BB1887" i="1"/>
  <c r="BC1887" i="1" s="1"/>
  <c r="BA1887" i="1"/>
  <c r="AX1887" i="1"/>
  <c r="AW1887" i="1"/>
  <c r="AU1887" i="1"/>
  <c r="AT1887" i="1"/>
  <c r="AS1887" i="1"/>
  <c r="AQ1887" i="1"/>
  <c r="AP1887" i="1"/>
  <c r="AO1887" i="1"/>
  <c r="AL1887" i="1"/>
  <c r="AM1887" i="1" s="1"/>
  <c r="AK1887" i="1"/>
  <c r="AH1887" i="1"/>
  <c r="AI1887" i="1" s="1"/>
  <c r="AG1887" i="1"/>
  <c r="AE1887" i="1"/>
  <c r="AD1887" i="1"/>
  <c r="AC1887" i="1"/>
  <c r="AA1887" i="1"/>
  <c r="Z1887" i="1"/>
  <c r="Y1887" i="1"/>
  <c r="V1887" i="1"/>
  <c r="W1887" i="1" s="1"/>
  <c r="U1887" i="1"/>
  <c r="R1887" i="1"/>
  <c r="Q1887" i="1"/>
  <c r="O1887" i="1"/>
  <c r="N1887" i="1"/>
  <c r="M1887" i="1"/>
  <c r="K1887" i="1"/>
  <c r="J1887" i="1"/>
  <c r="I1887" i="1"/>
  <c r="F1887" i="1"/>
  <c r="G1887" i="1" s="1"/>
  <c r="E1887" i="1"/>
  <c r="BN1886" i="1"/>
  <c r="BL1886" i="1"/>
  <c r="BJ1886" i="1"/>
  <c r="BM1886" i="1" s="1"/>
  <c r="BI1886" i="1"/>
  <c r="BF1886" i="1"/>
  <c r="BG1886" i="1" s="1"/>
  <c r="BE1886" i="1"/>
  <c r="BB1886" i="1"/>
  <c r="BA1886" i="1"/>
  <c r="AY1886" i="1"/>
  <c r="AX1886" i="1"/>
  <c r="AW1886" i="1"/>
  <c r="AU1886" i="1"/>
  <c r="AT1886" i="1"/>
  <c r="AS1886" i="1"/>
  <c r="AP1886" i="1"/>
  <c r="AQ1886" i="1" s="1"/>
  <c r="AO1886" i="1"/>
  <c r="AL1886" i="1"/>
  <c r="AK1886" i="1"/>
  <c r="AI1886" i="1"/>
  <c r="AH1886" i="1"/>
  <c r="AG1886" i="1"/>
  <c r="AE1886" i="1"/>
  <c r="AD1886" i="1"/>
  <c r="AC1886" i="1"/>
  <c r="Z1886" i="1"/>
  <c r="AA1886" i="1" s="1"/>
  <c r="Y1886" i="1"/>
  <c r="V1886" i="1"/>
  <c r="U1886" i="1"/>
  <c r="S1886" i="1"/>
  <c r="R1886" i="1"/>
  <c r="Q1886" i="1"/>
  <c r="O1886" i="1"/>
  <c r="N1886" i="1"/>
  <c r="M1886" i="1"/>
  <c r="J1886" i="1"/>
  <c r="K1886" i="1" s="1"/>
  <c r="I1886" i="1"/>
  <c r="F1886" i="1"/>
  <c r="E1886" i="1"/>
  <c r="BN1885" i="1"/>
  <c r="BL1885" i="1"/>
  <c r="BJ1885" i="1"/>
  <c r="BM1885" i="1" s="1"/>
  <c r="BI1885" i="1"/>
  <c r="BF1885" i="1"/>
  <c r="BE1885" i="1"/>
  <c r="BC1885" i="1"/>
  <c r="BB1885" i="1"/>
  <c r="BA1885" i="1"/>
  <c r="AY1885" i="1"/>
  <c r="AX1885" i="1"/>
  <c r="AW1885" i="1"/>
  <c r="AT1885" i="1"/>
  <c r="AU1885" i="1" s="1"/>
  <c r="AS1885" i="1"/>
  <c r="AP1885" i="1"/>
  <c r="AQ1885" i="1" s="1"/>
  <c r="AO1885" i="1"/>
  <c r="AM1885" i="1"/>
  <c r="AL1885" i="1"/>
  <c r="AK1885" i="1"/>
  <c r="AI1885" i="1"/>
  <c r="AH1885" i="1"/>
  <c r="AG1885" i="1"/>
  <c r="AD1885" i="1"/>
  <c r="AE1885" i="1" s="1"/>
  <c r="AC1885" i="1"/>
  <c r="Z1885" i="1"/>
  <c r="Y1885" i="1"/>
  <c r="W1885" i="1"/>
  <c r="V1885" i="1"/>
  <c r="U1885" i="1"/>
  <c r="S1885" i="1"/>
  <c r="R1885" i="1"/>
  <c r="Q1885" i="1"/>
  <c r="N1885" i="1"/>
  <c r="O1885" i="1" s="1"/>
  <c r="M1885" i="1"/>
  <c r="J1885" i="1"/>
  <c r="I1885" i="1"/>
  <c r="G1885" i="1"/>
  <c r="F1885" i="1"/>
  <c r="E1885" i="1"/>
  <c r="BN1884" i="1"/>
  <c r="BM1884" i="1" s="1"/>
  <c r="BL1884" i="1"/>
  <c r="BJ1884" i="1"/>
  <c r="BI1884" i="1"/>
  <c r="BG1884" i="1"/>
  <c r="BF1884" i="1"/>
  <c r="BE1884" i="1"/>
  <c r="BC1884" i="1"/>
  <c r="BB1884" i="1"/>
  <c r="BA1884" i="1"/>
  <c r="AX1884" i="1"/>
  <c r="AY1884" i="1" s="1"/>
  <c r="AW1884" i="1"/>
  <c r="AT1884" i="1"/>
  <c r="AS1884" i="1"/>
  <c r="AQ1884" i="1"/>
  <c r="AP1884" i="1"/>
  <c r="AO1884" i="1"/>
  <c r="AM1884" i="1"/>
  <c r="AL1884" i="1"/>
  <c r="AK1884" i="1"/>
  <c r="AH1884" i="1"/>
  <c r="AI1884" i="1" s="1"/>
  <c r="AG1884" i="1"/>
  <c r="AD1884" i="1"/>
  <c r="AC1884" i="1"/>
  <c r="AA1884" i="1"/>
  <c r="Z1884" i="1"/>
  <c r="Y1884" i="1"/>
  <c r="W1884" i="1"/>
  <c r="V1884" i="1"/>
  <c r="U1884" i="1"/>
  <c r="R1884" i="1"/>
  <c r="S1884" i="1" s="1"/>
  <c r="Q1884" i="1"/>
  <c r="N1884" i="1"/>
  <c r="M1884" i="1"/>
  <c r="K1884" i="1"/>
  <c r="J1884" i="1"/>
  <c r="I1884" i="1"/>
  <c r="G1884" i="1"/>
  <c r="F1884" i="1"/>
  <c r="E1884" i="1"/>
  <c r="BN1883" i="1"/>
  <c r="BM1883" i="1"/>
  <c r="BL1883" i="1"/>
  <c r="BJ1883" i="1"/>
  <c r="BI1883" i="1"/>
  <c r="BG1883" i="1"/>
  <c r="BF1883" i="1"/>
  <c r="BE1883" i="1"/>
  <c r="BB1883" i="1"/>
  <c r="BC1883" i="1" s="1"/>
  <c r="BA1883" i="1"/>
  <c r="AX1883" i="1"/>
  <c r="AW1883" i="1"/>
  <c r="AU1883" i="1"/>
  <c r="AT1883" i="1"/>
  <c r="AS1883" i="1"/>
  <c r="AQ1883" i="1"/>
  <c r="AP1883" i="1"/>
  <c r="AO1883" i="1"/>
  <c r="AL1883" i="1"/>
  <c r="AM1883" i="1" s="1"/>
  <c r="AK1883" i="1"/>
  <c r="AH1883" i="1"/>
  <c r="AG1883" i="1"/>
  <c r="AE1883" i="1"/>
  <c r="AD1883" i="1"/>
  <c r="AC1883" i="1"/>
  <c r="AA1883" i="1"/>
  <c r="Z1883" i="1"/>
  <c r="Y1883" i="1"/>
  <c r="V1883" i="1"/>
  <c r="W1883" i="1" s="1"/>
  <c r="U1883" i="1"/>
  <c r="R1883" i="1"/>
  <c r="Q1883" i="1"/>
  <c r="O1883" i="1"/>
  <c r="N1883" i="1"/>
  <c r="M1883" i="1"/>
  <c r="K1883" i="1"/>
  <c r="J1883" i="1"/>
  <c r="I1883" i="1"/>
  <c r="F1883" i="1"/>
  <c r="G1883" i="1" s="1"/>
  <c r="E1883" i="1"/>
  <c r="BN1882" i="1"/>
  <c r="BL1882" i="1"/>
  <c r="BJ1882" i="1"/>
  <c r="BM1882" i="1" s="1"/>
  <c r="BI1882" i="1"/>
  <c r="BF1882" i="1"/>
  <c r="BG1882" i="1" s="1"/>
  <c r="BE1882" i="1"/>
  <c r="BB1882" i="1"/>
  <c r="BA1882" i="1"/>
  <c r="AY1882" i="1"/>
  <c r="AX1882" i="1"/>
  <c r="AW1882" i="1"/>
  <c r="AU1882" i="1"/>
  <c r="AT1882" i="1"/>
  <c r="AS1882" i="1"/>
  <c r="AP1882" i="1"/>
  <c r="AQ1882" i="1" s="1"/>
  <c r="AO1882" i="1"/>
  <c r="AL1882" i="1"/>
  <c r="AK1882" i="1"/>
  <c r="AI1882" i="1"/>
  <c r="AH1882" i="1"/>
  <c r="AG1882" i="1"/>
  <c r="AE1882" i="1"/>
  <c r="AD1882" i="1"/>
  <c r="AC1882" i="1"/>
  <c r="Z1882" i="1"/>
  <c r="AA1882" i="1" s="1"/>
  <c r="Y1882" i="1"/>
  <c r="V1882" i="1"/>
  <c r="U1882" i="1"/>
  <c r="S1882" i="1"/>
  <c r="R1882" i="1"/>
  <c r="Q1882" i="1"/>
  <c r="O1882" i="1"/>
  <c r="N1882" i="1"/>
  <c r="M1882" i="1"/>
  <c r="J1882" i="1"/>
  <c r="K1882" i="1" s="1"/>
  <c r="I1882" i="1"/>
  <c r="F1882" i="1"/>
  <c r="G1882" i="1" s="1"/>
  <c r="E1882" i="1"/>
  <c r="BN1881" i="1"/>
  <c r="BL1881" i="1"/>
  <c r="BJ1881" i="1"/>
  <c r="BI1881" i="1"/>
  <c r="BF1881" i="1"/>
  <c r="BE1881" i="1"/>
  <c r="BC1881" i="1"/>
  <c r="BB1881" i="1"/>
  <c r="BA1881" i="1"/>
  <c r="AY1881" i="1"/>
  <c r="AX1881" i="1"/>
  <c r="AW1881" i="1"/>
  <c r="AT1881" i="1"/>
  <c r="AU1881" i="1" s="1"/>
  <c r="AS1881" i="1"/>
  <c r="AP1881" i="1"/>
  <c r="AO1881" i="1"/>
  <c r="AM1881" i="1"/>
  <c r="AL1881" i="1"/>
  <c r="AK1881" i="1"/>
  <c r="AI1881" i="1"/>
  <c r="AH1881" i="1"/>
  <c r="AG1881" i="1"/>
  <c r="AD1881" i="1"/>
  <c r="AC1881" i="1"/>
  <c r="Z1881" i="1"/>
  <c r="Y1881" i="1"/>
  <c r="W1881" i="1"/>
  <c r="V1881" i="1"/>
  <c r="U1881" i="1"/>
  <c r="S1881" i="1"/>
  <c r="R1881" i="1"/>
  <c r="Q1881" i="1"/>
  <c r="N1881" i="1"/>
  <c r="O1881" i="1" s="1"/>
  <c r="M1881" i="1"/>
  <c r="J1881" i="1"/>
  <c r="I1881" i="1"/>
  <c r="G1881" i="1"/>
  <c r="F1881" i="1"/>
  <c r="E1881" i="1"/>
  <c r="BN1880" i="1"/>
  <c r="BM1880" i="1" s="1"/>
  <c r="BL1880" i="1"/>
  <c r="BJ1880" i="1"/>
  <c r="BI1880" i="1"/>
  <c r="BG1880" i="1"/>
  <c r="BF1880" i="1"/>
  <c r="BE1880" i="1"/>
  <c r="BC1880" i="1"/>
  <c r="BB1880" i="1"/>
  <c r="BA1880" i="1"/>
  <c r="AX1880" i="1"/>
  <c r="AY1880" i="1" s="1"/>
  <c r="AW1880" i="1"/>
  <c r="AT1880" i="1"/>
  <c r="AU1880" i="1" s="1"/>
  <c r="AS1880" i="1"/>
  <c r="AQ1880" i="1"/>
  <c r="AP1880" i="1"/>
  <c r="AO1880" i="1"/>
  <c r="AM1880" i="1"/>
  <c r="AL1880" i="1"/>
  <c r="AK1880" i="1"/>
  <c r="AH1880" i="1"/>
  <c r="AI1880" i="1" s="1"/>
  <c r="AG1880" i="1"/>
  <c r="AD1880" i="1"/>
  <c r="AC1880" i="1"/>
  <c r="AA1880" i="1"/>
  <c r="Z1880" i="1"/>
  <c r="Y1880" i="1"/>
  <c r="W1880" i="1"/>
  <c r="V1880" i="1"/>
  <c r="U1880" i="1"/>
  <c r="R1880" i="1"/>
  <c r="S1880" i="1" s="1"/>
  <c r="Q1880" i="1"/>
  <c r="N1880" i="1"/>
  <c r="M1880" i="1"/>
  <c r="K1880" i="1"/>
  <c r="J1880" i="1"/>
  <c r="I1880" i="1"/>
  <c r="F1880" i="1"/>
  <c r="G1880" i="1" s="1"/>
  <c r="E1880" i="1"/>
  <c r="BN1879" i="1"/>
  <c r="BM1879" i="1"/>
  <c r="BL1879" i="1"/>
  <c r="BJ1879" i="1"/>
  <c r="BI1879" i="1"/>
  <c r="BF1879" i="1"/>
  <c r="BG1879" i="1" s="1"/>
  <c r="BE1879" i="1"/>
  <c r="BB1879" i="1"/>
  <c r="BA1879" i="1"/>
  <c r="AX1879" i="1"/>
  <c r="AW1879" i="1"/>
  <c r="AU1879" i="1"/>
  <c r="AT1879" i="1"/>
  <c r="AS1879" i="1"/>
  <c r="AQ1879" i="1"/>
  <c r="AP1879" i="1"/>
  <c r="AO1879" i="1"/>
  <c r="AL1879" i="1"/>
  <c r="AK1879" i="1"/>
  <c r="AH1879" i="1"/>
  <c r="AG1879" i="1"/>
  <c r="AE1879" i="1"/>
  <c r="AD1879" i="1"/>
  <c r="AC1879" i="1"/>
  <c r="AA1879" i="1"/>
  <c r="Z1879" i="1"/>
  <c r="Y1879" i="1"/>
  <c r="V1879" i="1"/>
  <c r="U1879" i="1"/>
  <c r="R1879" i="1"/>
  <c r="Q1879" i="1"/>
  <c r="O1879" i="1"/>
  <c r="N1879" i="1"/>
  <c r="M1879" i="1"/>
  <c r="K1879" i="1"/>
  <c r="J1879" i="1"/>
  <c r="I1879" i="1"/>
  <c r="F1879" i="1"/>
  <c r="E1879" i="1"/>
  <c r="BN1878" i="1"/>
  <c r="BL1878" i="1"/>
  <c r="BJ1878" i="1"/>
  <c r="BM1878" i="1" s="1"/>
  <c r="BI1878" i="1"/>
  <c r="BF1878" i="1"/>
  <c r="BE1878" i="1"/>
  <c r="BB1878" i="1"/>
  <c r="BA1878" i="1"/>
  <c r="AY1878" i="1"/>
  <c r="AX1878" i="1"/>
  <c r="AW1878" i="1"/>
  <c r="AU1878" i="1"/>
  <c r="AT1878" i="1"/>
  <c r="AS1878" i="1"/>
  <c r="AP1878" i="1"/>
  <c r="AO1878" i="1"/>
  <c r="AL1878" i="1"/>
  <c r="AK1878" i="1"/>
  <c r="AI1878" i="1"/>
  <c r="AH1878" i="1"/>
  <c r="AG1878" i="1"/>
  <c r="AD1878" i="1"/>
  <c r="AE1878" i="1" s="1"/>
  <c r="AC1878" i="1"/>
  <c r="Z1878" i="1"/>
  <c r="Y1878" i="1"/>
  <c r="V1878" i="1"/>
  <c r="U1878" i="1"/>
  <c r="S1878" i="1"/>
  <c r="R1878" i="1"/>
  <c r="Q1878" i="1"/>
  <c r="O1878" i="1"/>
  <c r="N1878" i="1"/>
  <c r="M1878" i="1"/>
  <c r="J1878" i="1"/>
  <c r="I1878" i="1"/>
  <c r="F1878" i="1"/>
  <c r="E1878" i="1"/>
  <c r="BN1877" i="1"/>
  <c r="BL1877" i="1"/>
  <c r="BJ1877" i="1"/>
  <c r="BI1877" i="1"/>
  <c r="BF1877" i="1"/>
  <c r="BE1877" i="1"/>
  <c r="BC1877" i="1"/>
  <c r="BB1877" i="1"/>
  <c r="BA1877" i="1"/>
  <c r="AY1877" i="1"/>
  <c r="AX1877" i="1"/>
  <c r="AW1877" i="1"/>
  <c r="AT1877" i="1"/>
  <c r="AS1877" i="1"/>
  <c r="AP1877" i="1"/>
  <c r="AO1877" i="1"/>
  <c r="AM1877" i="1"/>
  <c r="AL1877" i="1"/>
  <c r="AK1877" i="1"/>
  <c r="AI1877" i="1"/>
  <c r="AH1877" i="1"/>
  <c r="AG1877" i="1"/>
  <c r="AF1877" i="1"/>
  <c r="AD1877" i="1"/>
  <c r="AE1877" i="1" s="1"/>
  <c r="AC1877" i="1"/>
  <c r="Z1877" i="1"/>
  <c r="Y1877" i="1"/>
  <c r="V1877" i="1"/>
  <c r="U1877" i="1"/>
  <c r="S1877" i="1"/>
  <c r="R1877" i="1"/>
  <c r="Q1877" i="1"/>
  <c r="O1877" i="1"/>
  <c r="N1877" i="1"/>
  <c r="M1877" i="1"/>
  <c r="J1877" i="1"/>
  <c r="I1877" i="1"/>
  <c r="F1877" i="1"/>
  <c r="E1877" i="1"/>
  <c r="BN1876" i="1"/>
  <c r="BL1876" i="1"/>
  <c r="BJ1876" i="1"/>
  <c r="BI1876" i="1"/>
  <c r="BF1876" i="1"/>
  <c r="BE1876" i="1"/>
  <c r="BC1876" i="1"/>
  <c r="BB1876" i="1"/>
  <c r="BA1876" i="1"/>
  <c r="AY1876" i="1"/>
  <c r="AX1876" i="1"/>
  <c r="AW1876" i="1"/>
  <c r="AV1876" i="1"/>
  <c r="AU1876" i="1"/>
  <c r="AT1876" i="1"/>
  <c r="AS1876" i="1"/>
  <c r="AP1876" i="1"/>
  <c r="AO1876" i="1"/>
  <c r="AN1876" i="1"/>
  <c r="AL1876" i="1"/>
  <c r="AM1876" i="1" s="1"/>
  <c r="AK1876" i="1"/>
  <c r="AJ1876" i="1"/>
  <c r="AH1876" i="1"/>
  <c r="AG1876" i="1"/>
  <c r="AF1876" i="1"/>
  <c r="AD1876" i="1"/>
  <c r="AC1876" i="1"/>
  <c r="Z1876" i="1"/>
  <c r="Y1876" i="1"/>
  <c r="W1876" i="1"/>
  <c r="V1876" i="1"/>
  <c r="U1876" i="1"/>
  <c r="R1876" i="1"/>
  <c r="S1876" i="1" s="1"/>
  <c r="Q1876" i="1"/>
  <c r="N1876" i="1"/>
  <c r="M1876" i="1"/>
  <c r="J1876" i="1"/>
  <c r="I1876" i="1"/>
  <c r="G1876" i="1"/>
  <c r="F1876" i="1"/>
  <c r="E1876" i="1"/>
  <c r="BN1875" i="1"/>
  <c r="BM1875" i="1"/>
  <c r="BL1875" i="1"/>
  <c r="BJ1875" i="1"/>
  <c r="BI1875" i="1"/>
  <c r="BG1875" i="1"/>
  <c r="BF1875" i="1"/>
  <c r="BE1875" i="1"/>
  <c r="BB1875" i="1"/>
  <c r="BC1875" i="1" s="1"/>
  <c r="BA1875" i="1"/>
  <c r="AX1875" i="1"/>
  <c r="AY1875" i="1" s="1"/>
  <c r="AW1875" i="1"/>
  <c r="AV1875" i="1"/>
  <c r="AT1875" i="1"/>
  <c r="AS1875" i="1"/>
  <c r="AP1875" i="1"/>
  <c r="AO1875" i="1"/>
  <c r="AN1875" i="1"/>
  <c r="AM1875" i="1"/>
  <c r="AL1875" i="1"/>
  <c r="AJ1875" i="1"/>
  <c r="AK1875" i="1" s="1"/>
  <c r="AI1875" i="1"/>
  <c r="AH1875" i="1"/>
  <c r="AG1875" i="1"/>
  <c r="AF1875" i="1"/>
  <c r="AE1875" i="1"/>
  <c r="AD1875" i="1"/>
  <c r="AC1875" i="1"/>
  <c r="AA1875" i="1"/>
  <c r="Z1875" i="1"/>
  <c r="Y1875" i="1"/>
  <c r="W1875" i="1"/>
  <c r="V1875" i="1"/>
  <c r="U1875" i="1"/>
  <c r="R1875" i="1"/>
  <c r="Q1875" i="1"/>
  <c r="N1875" i="1"/>
  <c r="M1875" i="1"/>
  <c r="K1875" i="1"/>
  <c r="J1875" i="1"/>
  <c r="I1875" i="1"/>
  <c r="G1875" i="1"/>
  <c r="F1875" i="1"/>
  <c r="E1875" i="1"/>
  <c r="BN1874" i="1"/>
  <c r="BM1874" i="1"/>
  <c r="BL1874" i="1"/>
  <c r="BJ1874" i="1"/>
  <c r="BI1874" i="1"/>
  <c r="BG1874" i="1"/>
  <c r="BF1874" i="1"/>
  <c r="BE1874" i="1"/>
  <c r="BB1874" i="1"/>
  <c r="BA1874" i="1"/>
  <c r="AX1874" i="1"/>
  <c r="AW1874" i="1"/>
  <c r="AU1874" i="1"/>
  <c r="AT1874" i="1"/>
  <c r="AS1874" i="1"/>
  <c r="AP1874" i="1"/>
  <c r="AQ1874" i="1" s="1"/>
  <c r="AO1874" i="1"/>
  <c r="AL1874" i="1"/>
  <c r="AK1874" i="1"/>
  <c r="AH1874" i="1"/>
  <c r="AG1874" i="1"/>
  <c r="AE1874" i="1"/>
  <c r="AD1874" i="1"/>
  <c r="AC1874" i="1"/>
  <c r="AA1874" i="1"/>
  <c r="Z1874" i="1"/>
  <c r="Y1874" i="1"/>
  <c r="V1874" i="1"/>
  <c r="U1874" i="1"/>
  <c r="R1874" i="1"/>
  <c r="Q1874" i="1"/>
  <c r="O1874" i="1"/>
  <c r="N1874" i="1"/>
  <c r="M1874" i="1"/>
  <c r="K1874" i="1"/>
  <c r="J1874" i="1"/>
  <c r="I1874" i="1"/>
  <c r="F1874" i="1"/>
  <c r="G1874" i="1" s="1"/>
  <c r="E1874" i="1"/>
  <c r="BN1873" i="1"/>
  <c r="BL1873" i="1"/>
  <c r="BJ1873" i="1"/>
  <c r="BM1873" i="1" s="1"/>
  <c r="BI1873" i="1"/>
  <c r="BF1873" i="1"/>
  <c r="BE1873" i="1"/>
  <c r="BB1873" i="1"/>
  <c r="BA1873" i="1"/>
  <c r="AY1873" i="1"/>
  <c r="AX1873" i="1"/>
  <c r="AW1873" i="1"/>
  <c r="AU1873" i="1"/>
  <c r="AT1873" i="1"/>
  <c r="AS1873" i="1"/>
  <c r="AP1873" i="1"/>
  <c r="AO1873" i="1"/>
  <c r="AL1873" i="1"/>
  <c r="AK1873" i="1"/>
  <c r="AI1873" i="1"/>
  <c r="AH1873" i="1"/>
  <c r="AG1873" i="1"/>
  <c r="AE1873" i="1"/>
  <c r="AD1873" i="1"/>
  <c r="AC1873" i="1"/>
  <c r="Z1873" i="1"/>
  <c r="Y1873" i="1"/>
  <c r="V1873" i="1"/>
  <c r="U1873" i="1"/>
  <c r="S1873" i="1"/>
  <c r="R1873" i="1"/>
  <c r="Q1873" i="1"/>
  <c r="N1873" i="1"/>
  <c r="O1873" i="1" s="1"/>
  <c r="M1873" i="1"/>
  <c r="J1873" i="1"/>
  <c r="I1873" i="1"/>
  <c r="F1873" i="1"/>
  <c r="E1873" i="1"/>
  <c r="BN1872" i="1"/>
  <c r="BL1872" i="1"/>
  <c r="BJ1872" i="1"/>
  <c r="BI1872" i="1"/>
  <c r="BF1872" i="1"/>
  <c r="BE1872" i="1"/>
  <c r="BC1872" i="1"/>
  <c r="BB1872" i="1"/>
  <c r="BA1872" i="1"/>
  <c r="AX1872" i="1"/>
  <c r="AY1872" i="1" s="1"/>
  <c r="AW1872" i="1"/>
  <c r="AT1872" i="1"/>
  <c r="AS1872" i="1"/>
  <c r="AP1872" i="1"/>
  <c r="AO1872" i="1"/>
  <c r="AM1872" i="1"/>
  <c r="AL1872" i="1"/>
  <c r="AK1872" i="1"/>
  <c r="AI1872" i="1"/>
  <c r="AH1872" i="1"/>
  <c r="AG1872" i="1"/>
  <c r="AD1872" i="1"/>
  <c r="AC1872" i="1"/>
  <c r="Z1872" i="1"/>
  <c r="Y1872" i="1"/>
  <c r="W1872" i="1"/>
  <c r="V1872" i="1"/>
  <c r="U1872" i="1"/>
  <c r="S1872" i="1"/>
  <c r="R1872" i="1"/>
  <c r="Q1872" i="1"/>
  <c r="N1872" i="1"/>
  <c r="M1872" i="1"/>
  <c r="J1872" i="1"/>
  <c r="I1872" i="1"/>
  <c r="G1872" i="1"/>
  <c r="F1872" i="1"/>
  <c r="E1872" i="1"/>
  <c r="BN1871" i="1"/>
  <c r="BM1871" i="1" s="1"/>
  <c r="BL1871" i="1"/>
  <c r="BJ1871" i="1"/>
  <c r="BI1871" i="1"/>
  <c r="BG1871" i="1"/>
  <c r="BF1871" i="1"/>
  <c r="BE1871" i="1"/>
  <c r="BC1871" i="1"/>
  <c r="BB1871" i="1"/>
  <c r="BA1871" i="1"/>
  <c r="AX1871" i="1"/>
  <c r="AW1871" i="1"/>
  <c r="AT1871" i="1"/>
  <c r="AS1871" i="1"/>
  <c r="AQ1871" i="1"/>
  <c r="AP1871" i="1"/>
  <c r="AO1871" i="1"/>
  <c r="AL1871" i="1"/>
  <c r="AM1871" i="1" s="1"/>
  <c r="AK1871" i="1"/>
  <c r="AH1871" i="1"/>
  <c r="AG1871" i="1"/>
  <c r="AD1871" i="1"/>
  <c r="AC1871" i="1"/>
  <c r="AA1871" i="1"/>
  <c r="Z1871" i="1"/>
  <c r="Y1871" i="1"/>
  <c r="W1871" i="1"/>
  <c r="V1871" i="1"/>
  <c r="U1871" i="1"/>
  <c r="R1871" i="1"/>
  <c r="Q1871" i="1"/>
  <c r="N1871" i="1"/>
  <c r="M1871" i="1"/>
  <c r="K1871" i="1"/>
  <c r="J1871" i="1"/>
  <c r="I1871" i="1"/>
  <c r="G1871" i="1"/>
  <c r="F1871" i="1"/>
  <c r="E1871" i="1"/>
  <c r="BN1870" i="1"/>
  <c r="BM1870" i="1"/>
  <c r="BL1870" i="1"/>
  <c r="BJ1870" i="1"/>
  <c r="BI1870" i="1"/>
  <c r="BG1870" i="1"/>
  <c r="BF1870" i="1"/>
  <c r="BE1870" i="1"/>
  <c r="BB1870" i="1"/>
  <c r="BA1870" i="1"/>
  <c r="AX1870" i="1"/>
  <c r="AW1870" i="1"/>
  <c r="AU1870" i="1"/>
  <c r="AT1870" i="1"/>
  <c r="AS1870" i="1"/>
  <c r="AQ1870" i="1"/>
  <c r="AP1870" i="1"/>
  <c r="AO1870" i="1"/>
  <c r="AL1870" i="1"/>
  <c r="AK1870" i="1"/>
  <c r="AH1870" i="1"/>
  <c r="AG1870" i="1"/>
  <c r="AE1870" i="1"/>
  <c r="AD1870" i="1"/>
  <c r="AC1870" i="1"/>
  <c r="Z1870" i="1"/>
  <c r="AA1870" i="1" s="1"/>
  <c r="Y1870" i="1"/>
  <c r="V1870" i="1"/>
  <c r="U1870" i="1"/>
  <c r="R1870" i="1"/>
  <c r="Q1870" i="1"/>
  <c r="O1870" i="1"/>
  <c r="N1870" i="1"/>
  <c r="M1870" i="1"/>
  <c r="K1870" i="1"/>
  <c r="J1870" i="1"/>
  <c r="I1870" i="1"/>
  <c r="F1870" i="1"/>
  <c r="G1870" i="1" s="1"/>
  <c r="E1870" i="1"/>
  <c r="BN1869" i="1"/>
  <c r="BL1869" i="1"/>
  <c r="BJ1869" i="1"/>
  <c r="BM1869" i="1" s="1"/>
  <c r="BI1869" i="1"/>
  <c r="BF1869" i="1"/>
  <c r="BE1869" i="1"/>
  <c r="BB1869" i="1"/>
  <c r="BA1869" i="1"/>
  <c r="AY1869" i="1"/>
  <c r="AX1869" i="1"/>
  <c r="AW1869" i="1"/>
  <c r="AU1869" i="1"/>
  <c r="AT1869" i="1"/>
  <c r="AS1869" i="1"/>
  <c r="AP1869" i="1"/>
  <c r="AO1869" i="1"/>
  <c r="AL1869" i="1"/>
  <c r="AK1869" i="1"/>
  <c r="AI1869" i="1"/>
  <c r="AH1869" i="1"/>
  <c r="AG1869" i="1"/>
  <c r="AE1869" i="1"/>
  <c r="AD1869" i="1"/>
  <c r="AC1869" i="1"/>
  <c r="Z1869" i="1"/>
  <c r="Y1869" i="1"/>
  <c r="V1869" i="1"/>
  <c r="U1869" i="1"/>
  <c r="S1869" i="1"/>
  <c r="R1869" i="1"/>
  <c r="Q1869" i="1"/>
  <c r="O1869" i="1"/>
  <c r="N1869" i="1"/>
  <c r="M1869" i="1"/>
  <c r="J1869" i="1"/>
  <c r="I1869" i="1"/>
  <c r="F1869" i="1"/>
  <c r="E1869" i="1"/>
  <c r="BN1868" i="1"/>
  <c r="BL1868" i="1"/>
  <c r="BJ1868" i="1"/>
  <c r="BI1868" i="1"/>
  <c r="BF1868" i="1"/>
  <c r="BE1868" i="1"/>
  <c r="BC1868" i="1"/>
  <c r="BB1868" i="1"/>
  <c r="BA1868" i="1"/>
  <c r="AY1868" i="1"/>
  <c r="AX1868" i="1"/>
  <c r="AW1868" i="1"/>
  <c r="AT1868" i="1"/>
  <c r="AS1868" i="1"/>
  <c r="AP1868" i="1"/>
  <c r="AO1868" i="1"/>
  <c r="AM1868" i="1"/>
  <c r="AL1868" i="1"/>
  <c r="AK1868" i="1"/>
  <c r="AH1868" i="1"/>
  <c r="AI1868" i="1" s="1"/>
  <c r="AG1868" i="1"/>
  <c r="AD1868" i="1"/>
  <c r="AC1868" i="1"/>
  <c r="Z1868" i="1"/>
  <c r="Y1868" i="1"/>
  <c r="W1868" i="1"/>
  <c r="V1868" i="1"/>
  <c r="U1868" i="1"/>
  <c r="S1868" i="1"/>
  <c r="R1868" i="1"/>
  <c r="Q1868" i="1"/>
  <c r="N1868" i="1"/>
  <c r="M1868" i="1"/>
  <c r="J1868" i="1"/>
  <c r="I1868" i="1"/>
  <c r="G1868" i="1"/>
  <c r="F1868" i="1"/>
  <c r="E1868" i="1"/>
  <c r="BN1867" i="1"/>
  <c r="BM1867" i="1" s="1"/>
  <c r="BL1867" i="1"/>
  <c r="BJ1867" i="1"/>
  <c r="BI1867" i="1"/>
  <c r="BG1867" i="1"/>
  <c r="BF1867" i="1"/>
  <c r="BE1867" i="1"/>
  <c r="BC1867" i="1"/>
  <c r="BB1867" i="1"/>
  <c r="BA1867" i="1"/>
  <c r="AX1867" i="1"/>
  <c r="AW1867" i="1"/>
  <c r="AT1867" i="1"/>
  <c r="AS1867" i="1"/>
  <c r="AP1867" i="1"/>
  <c r="AQ1867" i="1" s="1"/>
  <c r="AO1867" i="1"/>
  <c r="AM1867" i="1"/>
  <c r="AL1867" i="1"/>
  <c r="AK1867" i="1"/>
  <c r="AH1867" i="1"/>
  <c r="AG1867" i="1"/>
  <c r="AD1867" i="1"/>
  <c r="AC1867" i="1"/>
  <c r="AA1867" i="1"/>
  <c r="Z1867" i="1"/>
  <c r="Y1867" i="1"/>
  <c r="V1867" i="1"/>
  <c r="W1867" i="1" s="1"/>
  <c r="U1867" i="1"/>
  <c r="R1867" i="1"/>
  <c r="Q1867" i="1"/>
  <c r="N1867" i="1"/>
  <c r="M1867" i="1"/>
  <c r="J1867" i="1"/>
  <c r="K1867" i="1" s="1"/>
  <c r="I1867" i="1"/>
  <c r="F1867" i="1"/>
  <c r="G1867" i="1" s="1"/>
  <c r="E1867" i="1"/>
  <c r="BN1866" i="1"/>
  <c r="BM1866" i="1"/>
  <c r="BL1866" i="1"/>
  <c r="BJ1866" i="1"/>
  <c r="BI1866" i="1"/>
  <c r="BF1866" i="1"/>
  <c r="BG1866" i="1" s="1"/>
  <c r="BE1866" i="1"/>
  <c r="BB1866" i="1"/>
  <c r="BC1866" i="1" s="1"/>
  <c r="BA1866" i="1"/>
  <c r="AX1866" i="1"/>
  <c r="AW1866" i="1"/>
  <c r="AT1866" i="1"/>
  <c r="AU1866" i="1" s="1"/>
  <c r="AS1866" i="1"/>
  <c r="AQ1866" i="1"/>
  <c r="AP1866" i="1"/>
  <c r="AO1866" i="1"/>
  <c r="AL1866" i="1"/>
  <c r="AK1866" i="1"/>
  <c r="AH1866" i="1"/>
  <c r="AG1866" i="1"/>
  <c r="AE1866" i="1"/>
  <c r="AD1866" i="1"/>
  <c r="AC1866" i="1"/>
  <c r="Z1866" i="1"/>
  <c r="AA1866" i="1" s="1"/>
  <c r="Y1866" i="1"/>
  <c r="V1866" i="1"/>
  <c r="U1866" i="1"/>
  <c r="S1866" i="1"/>
  <c r="R1866" i="1"/>
  <c r="Q1866" i="1"/>
  <c r="N1866" i="1"/>
  <c r="M1866" i="1"/>
  <c r="J1866" i="1"/>
  <c r="I1866" i="1"/>
  <c r="F1866" i="1"/>
  <c r="G1866" i="1" s="1"/>
  <c r="E1866" i="1"/>
  <c r="BN1865" i="1"/>
  <c r="BL1865" i="1"/>
  <c r="BJ1865" i="1"/>
  <c r="BI1865" i="1"/>
  <c r="BF1865" i="1"/>
  <c r="BG1865" i="1" s="1"/>
  <c r="BE1865" i="1"/>
  <c r="BC1865" i="1"/>
  <c r="BB1865" i="1"/>
  <c r="BA1865" i="1"/>
  <c r="AY1865" i="1"/>
  <c r="AX1865" i="1"/>
  <c r="AW1865" i="1"/>
  <c r="AT1865" i="1"/>
  <c r="AU1865" i="1" s="1"/>
  <c r="AS1865" i="1"/>
  <c r="AP1865" i="1"/>
  <c r="AO1865" i="1"/>
  <c r="AM1865" i="1"/>
  <c r="AL1865" i="1"/>
  <c r="AK1865" i="1"/>
  <c r="AH1865" i="1"/>
  <c r="AI1865" i="1" s="1"/>
  <c r="AG1865" i="1"/>
  <c r="AD1865" i="1"/>
  <c r="AC1865" i="1"/>
  <c r="Z1865" i="1"/>
  <c r="Y1865" i="1"/>
  <c r="V1865" i="1"/>
  <c r="W1865" i="1" s="1"/>
  <c r="U1865" i="1"/>
  <c r="R1865" i="1"/>
  <c r="Q1865" i="1"/>
  <c r="N1865" i="1"/>
  <c r="O1865" i="1" s="1"/>
  <c r="M1865" i="1"/>
  <c r="K1865" i="1"/>
  <c r="J1865" i="1"/>
  <c r="I1865" i="1"/>
  <c r="F1865" i="1"/>
  <c r="G1865" i="1" s="1"/>
  <c r="E1865" i="1"/>
  <c r="BN1864" i="1"/>
  <c r="BL1864" i="1"/>
  <c r="BJ1864" i="1"/>
  <c r="BM1864" i="1" s="1"/>
  <c r="BI1864" i="1"/>
  <c r="BF1864" i="1"/>
  <c r="BE1864" i="1"/>
  <c r="BB1864" i="1"/>
  <c r="BA1864" i="1"/>
  <c r="AY1864" i="1"/>
  <c r="AX1864" i="1"/>
  <c r="AW1864" i="1"/>
  <c r="AU1864" i="1"/>
  <c r="AT1864" i="1"/>
  <c r="AS1864" i="1"/>
  <c r="AP1864" i="1"/>
  <c r="AQ1864" i="1" s="1"/>
  <c r="AO1864" i="1"/>
  <c r="AL1864" i="1"/>
  <c r="AK1864" i="1"/>
  <c r="AH1864" i="1"/>
  <c r="AI1864" i="1" s="1"/>
  <c r="AG1864" i="1"/>
  <c r="AE1864" i="1"/>
  <c r="AD1864" i="1"/>
  <c r="AC1864" i="1"/>
  <c r="Z1864" i="1"/>
  <c r="Y1864" i="1"/>
  <c r="V1864" i="1"/>
  <c r="U1864" i="1"/>
  <c r="S1864" i="1"/>
  <c r="R1864" i="1"/>
  <c r="Q1864" i="1"/>
  <c r="O1864" i="1"/>
  <c r="N1864" i="1"/>
  <c r="M1864" i="1"/>
  <c r="J1864" i="1"/>
  <c r="K1864" i="1" s="1"/>
  <c r="I1864" i="1"/>
  <c r="F1864" i="1"/>
  <c r="E1864" i="1"/>
  <c r="BN1863" i="1"/>
  <c r="BL1863" i="1"/>
  <c r="BJ1863" i="1"/>
  <c r="BM1863" i="1" s="1"/>
  <c r="BI1863" i="1"/>
  <c r="BF1863" i="1"/>
  <c r="BE1863" i="1"/>
  <c r="BB1863" i="1"/>
  <c r="BC1863" i="1" s="1"/>
  <c r="BA1863" i="1"/>
  <c r="AY1863" i="1"/>
  <c r="AX1863" i="1"/>
  <c r="AW1863" i="1"/>
  <c r="AT1863" i="1"/>
  <c r="AS1863" i="1"/>
  <c r="AP1863" i="1"/>
  <c r="AO1863" i="1"/>
  <c r="AM1863" i="1"/>
  <c r="AL1863" i="1"/>
  <c r="AK1863" i="1"/>
  <c r="AI1863" i="1"/>
  <c r="AH1863" i="1"/>
  <c r="AG1863" i="1"/>
  <c r="AD1863" i="1"/>
  <c r="AE1863" i="1" s="1"/>
  <c r="AC1863" i="1"/>
  <c r="Z1863" i="1"/>
  <c r="Y1863" i="1"/>
  <c r="V1863" i="1"/>
  <c r="W1863" i="1" s="1"/>
  <c r="U1863" i="1"/>
  <c r="S1863" i="1"/>
  <c r="R1863" i="1"/>
  <c r="Q1863" i="1"/>
  <c r="N1863" i="1"/>
  <c r="M1863" i="1"/>
  <c r="J1863" i="1"/>
  <c r="I1863" i="1"/>
  <c r="G1863" i="1"/>
  <c r="F1863" i="1"/>
  <c r="E1863" i="1"/>
  <c r="BN1862" i="1"/>
  <c r="BL1862" i="1"/>
  <c r="BJ1862" i="1"/>
  <c r="BM1862" i="1" s="1"/>
  <c r="BI1862" i="1"/>
  <c r="BG1862" i="1"/>
  <c r="BF1862" i="1"/>
  <c r="BE1862" i="1"/>
  <c r="BC1862" i="1"/>
  <c r="BB1862" i="1"/>
  <c r="BA1862" i="1"/>
  <c r="AX1862" i="1"/>
  <c r="AY1862" i="1" s="1"/>
  <c r="AW1862" i="1"/>
  <c r="AT1862" i="1"/>
  <c r="AS1862" i="1"/>
  <c r="AP1862" i="1"/>
  <c r="AQ1862" i="1" s="1"/>
  <c r="AO1862" i="1"/>
  <c r="AM1862" i="1"/>
  <c r="AL1862" i="1"/>
  <c r="AK1862" i="1"/>
  <c r="AH1862" i="1"/>
  <c r="AG1862" i="1"/>
  <c r="AD1862" i="1"/>
  <c r="AC1862" i="1"/>
  <c r="AA1862" i="1"/>
  <c r="Z1862" i="1"/>
  <c r="Y1862" i="1"/>
  <c r="W1862" i="1"/>
  <c r="V1862" i="1"/>
  <c r="U1862" i="1"/>
  <c r="R1862" i="1"/>
  <c r="S1862" i="1" s="1"/>
  <c r="Q1862" i="1"/>
  <c r="N1862" i="1"/>
  <c r="M1862" i="1"/>
  <c r="J1862" i="1"/>
  <c r="K1862" i="1" s="1"/>
  <c r="I1862" i="1"/>
  <c r="G1862" i="1"/>
  <c r="F1862" i="1"/>
  <c r="E1862" i="1"/>
  <c r="BN1861" i="1"/>
  <c r="BM1861" i="1"/>
  <c r="BL1861" i="1"/>
  <c r="BJ1861" i="1"/>
  <c r="BI1861" i="1"/>
  <c r="BG1861" i="1"/>
  <c r="BF1861" i="1"/>
  <c r="BE1861" i="1"/>
  <c r="BB1861" i="1"/>
  <c r="BA1861" i="1"/>
  <c r="AX1861" i="1"/>
  <c r="AW1861" i="1"/>
  <c r="AU1861" i="1"/>
  <c r="AT1861" i="1"/>
  <c r="AS1861" i="1"/>
  <c r="AQ1861" i="1"/>
  <c r="AP1861" i="1"/>
  <c r="AO1861" i="1"/>
  <c r="AL1861" i="1"/>
  <c r="AM1861" i="1" s="1"/>
  <c r="AK1861" i="1"/>
  <c r="AH1861" i="1"/>
  <c r="AG1861" i="1"/>
  <c r="AD1861" i="1"/>
  <c r="AE1861" i="1" s="1"/>
  <c r="AC1861" i="1"/>
  <c r="AA1861" i="1"/>
  <c r="Z1861" i="1"/>
  <c r="Y1861" i="1"/>
  <c r="V1861" i="1"/>
  <c r="U1861" i="1"/>
  <c r="R1861" i="1"/>
  <c r="Q1861" i="1"/>
  <c r="O1861" i="1"/>
  <c r="N1861" i="1"/>
  <c r="M1861" i="1"/>
  <c r="K1861" i="1"/>
  <c r="J1861" i="1"/>
  <c r="I1861" i="1"/>
  <c r="F1861" i="1"/>
  <c r="G1861" i="1" s="1"/>
  <c r="E1861" i="1"/>
  <c r="BN1860" i="1"/>
  <c r="BM1860" i="1" s="1"/>
  <c r="BL1860" i="1"/>
  <c r="BJ1860" i="1"/>
  <c r="BI1860" i="1"/>
  <c r="BF1860" i="1"/>
  <c r="BG1860" i="1" s="1"/>
  <c r="BE1860" i="1"/>
  <c r="BB1860" i="1"/>
  <c r="BA1860" i="1"/>
  <c r="AX1860" i="1"/>
  <c r="AY1860" i="1" s="1"/>
  <c r="AW1860" i="1"/>
  <c r="AU1860" i="1"/>
  <c r="AT1860" i="1"/>
  <c r="AS1860" i="1"/>
  <c r="AP1860" i="1"/>
  <c r="AO1860" i="1"/>
  <c r="AL1860" i="1"/>
  <c r="AK1860" i="1"/>
  <c r="AI1860" i="1"/>
  <c r="AH1860" i="1"/>
  <c r="AG1860" i="1"/>
  <c r="AE1860" i="1"/>
  <c r="AD1860" i="1"/>
  <c r="AC1860" i="1"/>
  <c r="Z1860" i="1"/>
  <c r="AA1860" i="1" s="1"/>
  <c r="Y1860" i="1"/>
  <c r="V1860" i="1"/>
  <c r="U1860" i="1"/>
  <c r="R1860" i="1"/>
  <c r="S1860" i="1" s="1"/>
  <c r="Q1860" i="1"/>
  <c r="O1860" i="1"/>
  <c r="N1860" i="1"/>
  <c r="M1860" i="1"/>
  <c r="J1860" i="1"/>
  <c r="I1860" i="1"/>
  <c r="F1860" i="1"/>
  <c r="E1860" i="1"/>
  <c r="BN1859" i="1"/>
  <c r="BL1859" i="1"/>
  <c r="BJ1859" i="1"/>
  <c r="BI1859" i="1"/>
  <c r="BF1859" i="1"/>
  <c r="BE1859" i="1"/>
  <c r="BC1859" i="1"/>
  <c r="BB1859" i="1"/>
  <c r="BA1859" i="1"/>
  <c r="AY1859" i="1"/>
  <c r="AX1859" i="1"/>
  <c r="AW1859" i="1"/>
  <c r="AT1859" i="1"/>
  <c r="AU1859" i="1" s="1"/>
  <c r="AS1859" i="1"/>
  <c r="AP1859" i="1"/>
  <c r="AO1859" i="1"/>
  <c r="AL1859" i="1"/>
  <c r="AM1859" i="1" s="1"/>
  <c r="AK1859" i="1"/>
  <c r="AI1859" i="1"/>
  <c r="AH1859" i="1"/>
  <c r="AG1859" i="1"/>
  <c r="AD1859" i="1"/>
  <c r="AC1859" i="1"/>
  <c r="Z1859" i="1"/>
  <c r="Y1859" i="1"/>
  <c r="W1859" i="1"/>
  <c r="V1859" i="1"/>
  <c r="U1859" i="1"/>
  <c r="S1859" i="1"/>
  <c r="R1859" i="1"/>
  <c r="Q1859" i="1"/>
  <c r="N1859" i="1"/>
  <c r="O1859" i="1" s="1"/>
  <c r="M1859" i="1"/>
  <c r="J1859" i="1"/>
  <c r="I1859" i="1"/>
  <c r="F1859" i="1"/>
  <c r="G1859" i="1" s="1"/>
  <c r="E1859" i="1"/>
  <c r="BN1858" i="1"/>
  <c r="BM1858" i="1" s="1"/>
  <c r="BL1858" i="1"/>
  <c r="BJ1858" i="1"/>
  <c r="BI1858" i="1"/>
  <c r="BF1858" i="1"/>
  <c r="BG1858" i="1" s="1"/>
  <c r="BE1858" i="1"/>
  <c r="BC1858" i="1"/>
  <c r="BB1858" i="1"/>
  <c r="BA1858" i="1"/>
  <c r="AX1858" i="1"/>
  <c r="AW1858" i="1"/>
  <c r="AT1858" i="1"/>
  <c r="AS1858" i="1"/>
  <c r="AQ1858" i="1"/>
  <c r="AP1858" i="1"/>
  <c r="AO1858" i="1"/>
  <c r="AM1858" i="1"/>
  <c r="AL1858" i="1"/>
  <c r="AK1858" i="1"/>
  <c r="AH1858" i="1"/>
  <c r="AI1858" i="1" s="1"/>
  <c r="AG1858" i="1"/>
  <c r="AD1858" i="1"/>
  <c r="AC1858" i="1"/>
  <c r="Z1858" i="1"/>
  <c r="AA1858" i="1" s="1"/>
  <c r="Y1858" i="1"/>
  <c r="W1858" i="1"/>
  <c r="V1858" i="1"/>
  <c r="U1858" i="1"/>
  <c r="R1858" i="1"/>
  <c r="Q1858" i="1"/>
  <c r="N1858" i="1"/>
  <c r="M1858" i="1"/>
  <c r="K1858" i="1"/>
  <c r="J1858" i="1"/>
  <c r="I1858" i="1"/>
  <c r="G1858" i="1"/>
  <c r="F1858" i="1"/>
  <c r="E1858" i="1"/>
  <c r="BN1857" i="1"/>
  <c r="BM1857" i="1"/>
  <c r="BL1857" i="1"/>
  <c r="BJ1857" i="1"/>
  <c r="BI1857" i="1"/>
  <c r="BG1857" i="1"/>
  <c r="BF1857" i="1"/>
  <c r="BE1857" i="1"/>
  <c r="BB1857" i="1"/>
  <c r="BC1857" i="1" s="1"/>
  <c r="BA1857" i="1"/>
  <c r="AX1857" i="1"/>
  <c r="AW1857" i="1"/>
  <c r="AT1857" i="1"/>
  <c r="AU1857" i="1" s="1"/>
  <c r="AS1857" i="1"/>
  <c r="AQ1857" i="1"/>
  <c r="AP1857" i="1"/>
  <c r="AO1857" i="1"/>
  <c r="AL1857" i="1"/>
  <c r="AK1857" i="1"/>
  <c r="AH1857" i="1"/>
  <c r="AG1857" i="1"/>
  <c r="AE1857" i="1"/>
  <c r="AD1857" i="1"/>
  <c r="AC1857" i="1"/>
  <c r="AA1857" i="1"/>
  <c r="Z1857" i="1"/>
  <c r="Y1857" i="1"/>
  <c r="V1857" i="1"/>
  <c r="W1857" i="1" s="1"/>
  <c r="U1857" i="1"/>
  <c r="R1857" i="1"/>
  <c r="Q1857" i="1"/>
  <c r="N1857" i="1"/>
  <c r="O1857" i="1" s="1"/>
  <c r="M1857" i="1"/>
  <c r="K1857" i="1"/>
  <c r="J1857" i="1"/>
  <c r="I1857" i="1"/>
  <c r="F1857" i="1"/>
  <c r="G1857" i="1" s="1"/>
  <c r="E1857" i="1"/>
  <c r="BN1856" i="1"/>
  <c r="BL1856" i="1"/>
  <c r="BJ1856" i="1"/>
  <c r="BM1856" i="1" s="1"/>
  <c r="BI1856" i="1"/>
  <c r="BF1856" i="1"/>
  <c r="BE1856" i="1"/>
  <c r="BB1856" i="1"/>
  <c r="BA1856" i="1"/>
  <c r="AY1856" i="1"/>
  <c r="AX1856" i="1"/>
  <c r="AW1856" i="1"/>
  <c r="AU1856" i="1"/>
  <c r="AT1856" i="1"/>
  <c r="AS1856" i="1"/>
  <c r="AP1856" i="1"/>
  <c r="AQ1856" i="1" s="1"/>
  <c r="AO1856" i="1"/>
  <c r="AL1856" i="1"/>
  <c r="AK1856" i="1"/>
  <c r="AH1856" i="1"/>
  <c r="AI1856" i="1" s="1"/>
  <c r="AG1856" i="1"/>
  <c r="AE1856" i="1"/>
  <c r="AD1856" i="1"/>
  <c r="AC1856" i="1"/>
  <c r="Z1856" i="1"/>
  <c r="Y1856" i="1"/>
  <c r="V1856" i="1"/>
  <c r="U1856" i="1"/>
  <c r="S1856" i="1"/>
  <c r="R1856" i="1"/>
  <c r="Q1856" i="1"/>
  <c r="O1856" i="1"/>
  <c r="N1856" i="1"/>
  <c r="M1856" i="1"/>
  <c r="J1856" i="1"/>
  <c r="K1856" i="1" s="1"/>
  <c r="I1856" i="1"/>
  <c r="F1856" i="1"/>
  <c r="E1856" i="1"/>
  <c r="BN1855" i="1"/>
  <c r="BL1855" i="1"/>
  <c r="BJ1855" i="1"/>
  <c r="BM1855" i="1" s="1"/>
  <c r="BI1855" i="1"/>
  <c r="BF1855" i="1"/>
  <c r="BE1855" i="1"/>
  <c r="BB1855" i="1"/>
  <c r="BC1855" i="1" s="1"/>
  <c r="BA1855" i="1"/>
  <c r="AY1855" i="1"/>
  <c r="AX1855" i="1"/>
  <c r="AW1855" i="1"/>
  <c r="AT1855" i="1"/>
  <c r="AS1855" i="1"/>
  <c r="AP1855" i="1"/>
  <c r="AO1855" i="1"/>
  <c r="AM1855" i="1"/>
  <c r="AL1855" i="1"/>
  <c r="AK1855" i="1"/>
  <c r="AI1855" i="1"/>
  <c r="AH1855" i="1"/>
  <c r="AG1855" i="1"/>
  <c r="AD1855" i="1"/>
  <c r="AE1855" i="1" s="1"/>
  <c r="AC1855" i="1"/>
  <c r="Z1855" i="1"/>
  <c r="Y1855" i="1"/>
  <c r="V1855" i="1"/>
  <c r="W1855" i="1" s="1"/>
  <c r="U1855" i="1"/>
  <c r="S1855" i="1"/>
  <c r="R1855" i="1"/>
  <c r="Q1855" i="1"/>
  <c r="N1855" i="1"/>
  <c r="M1855" i="1"/>
  <c r="J1855" i="1"/>
  <c r="I1855" i="1"/>
  <c r="G1855" i="1"/>
  <c r="F1855" i="1"/>
  <c r="E1855" i="1"/>
  <c r="BN1854" i="1"/>
  <c r="BL1854" i="1"/>
  <c r="BJ1854" i="1"/>
  <c r="BM1854" i="1" s="1"/>
  <c r="BI1854" i="1"/>
  <c r="BG1854" i="1"/>
  <c r="BF1854" i="1"/>
  <c r="BE1854" i="1"/>
  <c r="BC1854" i="1"/>
  <c r="BB1854" i="1"/>
  <c r="BA1854" i="1"/>
  <c r="AX1854" i="1"/>
  <c r="AY1854" i="1" s="1"/>
  <c r="AW1854" i="1"/>
  <c r="AT1854" i="1"/>
  <c r="AS1854" i="1"/>
  <c r="AP1854" i="1"/>
  <c r="AQ1854" i="1" s="1"/>
  <c r="AO1854" i="1"/>
  <c r="AM1854" i="1"/>
  <c r="AL1854" i="1"/>
  <c r="AK1854" i="1"/>
  <c r="AH1854" i="1"/>
  <c r="AG1854" i="1"/>
  <c r="AD1854" i="1"/>
  <c r="AC1854" i="1"/>
  <c r="AA1854" i="1"/>
  <c r="Z1854" i="1"/>
  <c r="Y1854" i="1"/>
  <c r="W1854" i="1"/>
  <c r="V1854" i="1"/>
  <c r="U1854" i="1"/>
  <c r="R1854" i="1"/>
  <c r="S1854" i="1" s="1"/>
  <c r="Q1854" i="1"/>
  <c r="N1854" i="1"/>
  <c r="M1854" i="1"/>
  <c r="J1854" i="1"/>
  <c r="K1854" i="1" s="1"/>
  <c r="I1854" i="1"/>
  <c r="G1854" i="1"/>
  <c r="F1854" i="1"/>
  <c r="E1854" i="1"/>
  <c r="BN1853" i="1"/>
  <c r="BM1853" i="1"/>
  <c r="BL1853" i="1"/>
  <c r="BJ1853" i="1"/>
  <c r="BI1853" i="1"/>
  <c r="BG1853" i="1"/>
  <c r="BF1853" i="1"/>
  <c r="BE1853" i="1"/>
  <c r="BB1853" i="1"/>
  <c r="BA1853" i="1"/>
  <c r="AX1853" i="1"/>
  <c r="AW1853" i="1"/>
  <c r="AU1853" i="1"/>
  <c r="AT1853" i="1"/>
  <c r="AS1853" i="1"/>
  <c r="AQ1853" i="1"/>
  <c r="AP1853" i="1"/>
  <c r="AO1853" i="1"/>
  <c r="AL1853" i="1"/>
  <c r="AM1853" i="1" s="1"/>
  <c r="AK1853" i="1"/>
  <c r="AH1853" i="1"/>
  <c r="AG1853" i="1"/>
  <c r="AD1853" i="1"/>
  <c r="AE1853" i="1" s="1"/>
  <c r="AC1853" i="1"/>
  <c r="AA1853" i="1"/>
  <c r="Z1853" i="1"/>
  <c r="Y1853" i="1"/>
  <c r="V1853" i="1"/>
  <c r="U1853" i="1"/>
  <c r="R1853" i="1"/>
  <c r="Q1853" i="1"/>
  <c r="P1853" i="1"/>
  <c r="O1853" i="1"/>
  <c r="N1853" i="1"/>
  <c r="M1853" i="1"/>
  <c r="J1853" i="1"/>
  <c r="K1853" i="1" s="1"/>
  <c r="I1853" i="1"/>
  <c r="G1853" i="1"/>
  <c r="F1853" i="1"/>
  <c r="E1853" i="1"/>
  <c r="BN1852" i="1"/>
  <c r="BM1852" i="1"/>
  <c r="BL1852" i="1"/>
  <c r="BJ1852" i="1"/>
  <c r="BI1852" i="1"/>
  <c r="BG1852" i="1"/>
  <c r="BF1852" i="1"/>
  <c r="BE1852" i="1"/>
  <c r="BB1852" i="1"/>
  <c r="BA1852" i="1"/>
  <c r="AX1852" i="1"/>
  <c r="AW1852" i="1"/>
  <c r="AU1852" i="1"/>
  <c r="AT1852" i="1"/>
  <c r="AS1852" i="1"/>
  <c r="AQ1852" i="1"/>
  <c r="AP1852" i="1"/>
  <c r="AO1852" i="1"/>
  <c r="AL1852" i="1"/>
  <c r="AM1852" i="1" s="1"/>
  <c r="AK1852" i="1"/>
  <c r="AH1852" i="1"/>
  <c r="AG1852" i="1"/>
  <c r="AD1852" i="1"/>
  <c r="AE1852" i="1" s="1"/>
  <c r="AC1852" i="1"/>
  <c r="AA1852" i="1"/>
  <c r="Z1852" i="1"/>
  <c r="Y1852" i="1"/>
  <c r="V1852" i="1"/>
  <c r="U1852" i="1"/>
  <c r="R1852" i="1"/>
  <c r="Q1852" i="1"/>
  <c r="P1852" i="1"/>
  <c r="O1852" i="1"/>
  <c r="N1852" i="1"/>
  <c r="M1852" i="1"/>
  <c r="L1852" i="1"/>
  <c r="K1852" i="1"/>
  <c r="J1852" i="1"/>
  <c r="I1852" i="1"/>
  <c r="G1852" i="1"/>
  <c r="F1852" i="1"/>
  <c r="E1852" i="1"/>
  <c r="BN1851" i="1"/>
  <c r="BL1851" i="1"/>
  <c r="BJ1851" i="1"/>
  <c r="BM1851" i="1" s="1"/>
  <c r="BI1851" i="1"/>
  <c r="BG1851" i="1"/>
  <c r="BF1851" i="1"/>
  <c r="BE1851" i="1"/>
  <c r="BC1851" i="1"/>
  <c r="BB1851" i="1"/>
  <c r="BA1851" i="1"/>
  <c r="AX1851" i="1"/>
  <c r="AY1851" i="1" s="1"/>
  <c r="AW1851" i="1"/>
  <c r="AT1851" i="1"/>
  <c r="AS1851" i="1"/>
  <c r="AP1851" i="1"/>
  <c r="AQ1851" i="1" s="1"/>
  <c r="AO1851" i="1"/>
  <c r="AM1851" i="1"/>
  <c r="AL1851" i="1"/>
  <c r="AK1851" i="1"/>
  <c r="AH1851" i="1"/>
  <c r="AG1851" i="1"/>
  <c r="AD1851" i="1"/>
  <c r="AC1851" i="1"/>
  <c r="AA1851" i="1"/>
  <c r="Z1851" i="1"/>
  <c r="Y1851" i="1"/>
  <c r="W1851" i="1"/>
  <c r="V1851" i="1"/>
  <c r="U1851" i="1"/>
  <c r="R1851" i="1"/>
  <c r="S1851" i="1" s="1"/>
  <c r="Q1851" i="1"/>
  <c r="P1851" i="1"/>
  <c r="N1851" i="1"/>
  <c r="O1851" i="1" s="1"/>
  <c r="L1851" i="1"/>
  <c r="M1851" i="1" s="1"/>
  <c r="J1851" i="1"/>
  <c r="K1851" i="1" s="1"/>
  <c r="I1851" i="1"/>
  <c r="F1851" i="1"/>
  <c r="E1851" i="1"/>
  <c r="BN1850" i="1"/>
  <c r="BL1850" i="1"/>
  <c r="BJ1850" i="1"/>
  <c r="BM1850" i="1" s="1"/>
  <c r="BI1850" i="1"/>
  <c r="BF1850" i="1"/>
  <c r="BE1850" i="1"/>
  <c r="BB1850" i="1"/>
  <c r="BC1850" i="1" s="1"/>
  <c r="BA1850" i="1"/>
  <c r="AY1850" i="1"/>
  <c r="AX1850" i="1"/>
  <c r="AW1850" i="1"/>
  <c r="AT1850" i="1"/>
  <c r="AS1850" i="1"/>
  <c r="AP1850" i="1"/>
  <c r="AO1850" i="1"/>
  <c r="AM1850" i="1"/>
  <c r="AL1850" i="1"/>
  <c r="AK1850" i="1"/>
  <c r="AI1850" i="1"/>
  <c r="AH1850" i="1"/>
  <c r="AG1850" i="1"/>
  <c r="AD1850" i="1"/>
  <c r="AE1850" i="1" s="1"/>
  <c r="AC1850" i="1"/>
  <c r="Z1850" i="1"/>
  <c r="Y1850" i="1"/>
  <c r="V1850" i="1"/>
  <c r="W1850" i="1" s="1"/>
  <c r="U1850" i="1"/>
  <c r="S1850" i="1"/>
  <c r="R1850" i="1"/>
  <c r="Q1850" i="1"/>
  <c r="N1850" i="1"/>
  <c r="M1850" i="1"/>
  <c r="J1850" i="1"/>
  <c r="I1850" i="1"/>
  <c r="G1850" i="1"/>
  <c r="F1850" i="1"/>
  <c r="E1850" i="1"/>
  <c r="BN1849" i="1"/>
  <c r="BL1849" i="1"/>
  <c r="BJ1849" i="1"/>
  <c r="BI1849" i="1"/>
  <c r="BG1849" i="1"/>
  <c r="BF1849" i="1"/>
  <c r="BE1849" i="1"/>
  <c r="BC1849" i="1"/>
  <c r="BB1849" i="1"/>
  <c r="BA1849" i="1"/>
  <c r="AX1849" i="1"/>
  <c r="AY1849" i="1" s="1"/>
  <c r="AW1849" i="1"/>
  <c r="AT1849" i="1"/>
  <c r="AS1849" i="1"/>
  <c r="AP1849" i="1"/>
  <c r="AQ1849" i="1" s="1"/>
  <c r="AO1849" i="1"/>
  <c r="AM1849" i="1"/>
  <c r="AL1849" i="1"/>
  <c r="AK1849" i="1"/>
  <c r="AH1849" i="1"/>
  <c r="AG1849" i="1"/>
  <c r="AD1849" i="1"/>
  <c r="AC1849" i="1"/>
  <c r="AA1849" i="1"/>
  <c r="Z1849" i="1"/>
  <c r="Y1849" i="1"/>
  <c r="W1849" i="1"/>
  <c r="V1849" i="1"/>
  <c r="U1849" i="1"/>
  <c r="R1849" i="1"/>
  <c r="S1849" i="1" s="1"/>
  <c r="Q1849" i="1"/>
  <c r="N1849" i="1"/>
  <c r="M1849" i="1"/>
  <c r="J1849" i="1"/>
  <c r="K1849" i="1" s="1"/>
  <c r="I1849" i="1"/>
  <c r="G1849" i="1"/>
  <c r="F1849" i="1"/>
  <c r="E1849" i="1"/>
  <c r="D1849" i="1"/>
  <c r="BN1848" i="1"/>
  <c r="BL1848" i="1"/>
  <c r="BJ1848" i="1"/>
  <c r="BI1848" i="1"/>
  <c r="BG1848" i="1"/>
  <c r="BF1848" i="1"/>
  <c r="BE1848" i="1"/>
  <c r="BC1848" i="1"/>
  <c r="BB1848" i="1"/>
  <c r="BA1848" i="1"/>
  <c r="AX1848" i="1"/>
  <c r="AY1848" i="1" s="1"/>
  <c r="AW1848" i="1"/>
  <c r="AT1848" i="1"/>
  <c r="AS1848" i="1"/>
  <c r="AP1848" i="1"/>
  <c r="AQ1848" i="1" s="1"/>
  <c r="AO1848" i="1"/>
  <c r="AM1848" i="1"/>
  <c r="AL1848" i="1"/>
  <c r="AK1848" i="1"/>
  <c r="AH1848" i="1"/>
  <c r="AG1848" i="1"/>
  <c r="AD1848" i="1"/>
  <c r="AC1848" i="1"/>
  <c r="AA1848" i="1"/>
  <c r="Z1848" i="1"/>
  <c r="Y1848" i="1"/>
  <c r="W1848" i="1"/>
  <c r="V1848" i="1"/>
  <c r="U1848" i="1"/>
  <c r="R1848" i="1"/>
  <c r="S1848" i="1" s="1"/>
  <c r="Q1848" i="1"/>
  <c r="N1848" i="1"/>
  <c r="M1848" i="1"/>
  <c r="J1848" i="1"/>
  <c r="K1848" i="1" s="1"/>
  <c r="I1848" i="1"/>
  <c r="G1848" i="1"/>
  <c r="F1848" i="1"/>
  <c r="E1848" i="1"/>
  <c r="D1848" i="1"/>
  <c r="BN1847" i="1"/>
  <c r="BL1847" i="1"/>
  <c r="BJ1847" i="1"/>
  <c r="BM1847" i="1" s="1"/>
  <c r="BI1847" i="1"/>
  <c r="BG1847" i="1"/>
  <c r="BF1847" i="1"/>
  <c r="BE1847" i="1"/>
  <c r="BC1847" i="1"/>
  <c r="BB1847" i="1"/>
  <c r="BA1847" i="1"/>
  <c r="AX1847" i="1"/>
  <c r="AY1847" i="1" s="1"/>
  <c r="AW1847" i="1"/>
  <c r="AT1847" i="1"/>
  <c r="AS1847" i="1"/>
  <c r="AP1847" i="1"/>
  <c r="AQ1847" i="1" s="1"/>
  <c r="AO1847" i="1"/>
  <c r="AM1847" i="1"/>
  <c r="AL1847" i="1"/>
  <c r="AK1847" i="1"/>
  <c r="AH1847" i="1"/>
  <c r="AG1847" i="1"/>
  <c r="AD1847" i="1"/>
  <c r="AC1847" i="1"/>
  <c r="AA1847" i="1"/>
  <c r="Z1847" i="1"/>
  <c r="Y1847" i="1"/>
  <c r="W1847" i="1"/>
  <c r="V1847" i="1"/>
  <c r="U1847" i="1"/>
  <c r="R1847" i="1"/>
  <c r="S1847" i="1" s="1"/>
  <c r="Q1847" i="1"/>
  <c r="N1847" i="1"/>
  <c r="M1847" i="1"/>
  <c r="J1847" i="1"/>
  <c r="K1847" i="1" s="1"/>
  <c r="I1847" i="1"/>
  <c r="G1847" i="1"/>
  <c r="F1847" i="1"/>
  <c r="E1847" i="1"/>
  <c r="D1847" i="1"/>
  <c r="BN1846" i="1"/>
  <c r="BL1846" i="1"/>
  <c r="BJ1846" i="1"/>
  <c r="BM1846" i="1" s="1"/>
  <c r="BI1846" i="1"/>
  <c r="BG1846" i="1"/>
  <c r="BF1846" i="1"/>
  <c r="BE1846" i="1"/>
  <c r="BC1846" i="1"/>
  <c r="BB1846" i="1"/>
  <c r="BA1846" i="1"/>
  <c r="AX1846" i="1"/>
  <c r="AY1846" i="1" s="1"/>
  <c r="AW1846" i="1"/>
  <c r="AT1846" i="1"/>
  <c r="AS1846" i="1"/>
  <c r="AP1846" i="1"/>
  <c r="AQ1846" i="1" s="1"/>
  <c r="AO1846" i="1"/>
  <c r="AM1846" i="1"/>
  <c r="AL1846" i="1"/>
  <c r="AK1846" i="1"/>
  <c r="AH1846" i="1"/>
  <c r="AG1846" i="1"/>
  <c r="AD1846" i="1"/>
  <c r="AC1846" i="1"/>
  <c r="AA1846" i="1"/>
  <c r="Z1846" i="1"/>
  <c r="Y1846" i="1"/>
  <c r="W1846" i="1"/>
  <c r="V1846" i="1"/>
  <c r="U1846" i="1"/>
  <c r="R1846" i="1"/>
  <c r="S1846" i="1" s="1"/>
  <c r="Q1846" i="1"/>
  <c r="N1846" i="1"/>
  <c r="M1846" i="1"/>
  <c r="J1846" i="1"/>
  <c r="K1846" i="1" s="1"/>
  <c r="I1846" i="1"/>
  <c r="G1846" i="1"/>
  <c r="F1846" i="1"/>
  <c r="E1846" i="1"/>
  <c r="BN1845" i="1"/>
  <c r="BM1845" i="1"/>
  <c r="BL1845" i="1"/>
  <c r="BJ1845" i="1"/>
  <c r="BI1845" i="1"/>
  <c r="BG1845" i="1"/>
  <c r="BF1845" i="1"/>
  <c r="BE1845" i="1"/>
  <c r="BB1845" i="1"/>
  <c r="BA1845" i="1"/>
  <c r="AX1845" i="1"/>
  <c r="AW1845" i="1"/>
  <c r="AU1845" i="1"/>
  <c r="AT1845" i="1"/>
  <c r="AS1845" i="1"/>
  <c r="AQ1845" i="1"/>
  <c r="AP1845" i="1"/>
  <c r="AO1845" i="1"/>
  <c r="AL1845" i="1"/>
  <c r="AM1845" i="1" s="1"/>
  <c r="AK1845" i="1"/>
  <c r="AH1845" i="1"/>
  <c r="AG1845" i="1"/>
  <c r="AD1845" i="1"/>
  <c r="AE1845" i="1" s="1"/>
  <c r="AC1845" i="1"/>
  <c r="AA1845" i="1"/>
  <c r="Z1845" i="1"/>
  <c r="Y1845" i="1"/>
  <c r="V1845" i="1"/>
  <c r="U1845" i="1"/>
  <c r="R1845" i="1"/>
  <c r="Q1845" i="1"/>
  <c r="O1845" i="1"/>
  <c r="N1845" i="1"/>
  <c r="M1845" i="1"/>
  <c r="K1845" i="1"/>
  <c r="J1845" i="1"/>
  <c r="I1845" i="1"/>
  <c r="F1845" i="1"/>
  <c r="G1845" i="1" s="1"/>
  <c r="E1845" i="1"/>
  <c r="BN1844" i="1"/>
  <c r="BM1844" i="1" s="1"/>
  <c r="BL1844" i="1"/>
  <c r="BJ1844" i="1"/>
  <c r="BI1844" i="1"/>
  <c r="BF1844" i="1"/>
  <c r="BG1844" i="1" s="1"/>
  <c r="BE1844" i="1"/>
  <c r="BB1844" i="1"/>
  <c r="BA1844" i="1"/>
  <c r="AX1844" i="1"/>
  <c r="AY1844" i="1" s="1"/>
  <c r="AW1844" i="1"/>
  <c r="AU1844" i="1"/>
  <c r="AT1844" i="1"/>
  <c r="AS1844" i="1"/>
  <c r="AP1844" i="1"/>
  <c r="AO1844" i="1"/>
  <c r="AL1844" i="1"/>
  <c r="AK1844" i="1"/>
  <c r="AI1844" i="1"/>
  <c r="AH1844" i="1"/>
  <c r="AG1844" i="1"/>
  <c r="AE1844" i="1"/>
  <c r="AD1844" i="1"/>
  <c r="AC1844" i="1"/>
  <c r="Z1844" i="1"/>
  <c r="AA1844" i="1" s="1"/>
  <c r="Y1844" i="1"/>
  <c r="V1844" i="1"/>
  <c r="U1844" i="1"/>
  <c r="R1844" i="1"/>
  <c r="S1844" i="1" s="1"/>
  <c r="Q1844" i="1"/>
  <c r="O1844" i="1"/>
  <c r="N1844" i="1"/>
  <c r="M1844" i="1"/>
  <c r="J1844" i="1"/>
  <c r="I1844" i="1"/>
  <c r="F1844" i="1"/>
  <c r="E1844" i="1"/>
  <c r="BN1843" i="1"/>
  <c r="BL1843" i="1"/>
  <c r="BJ1843" i="1"/>
  <c r="BI1843" i="1"/>
  <c r="BF1843" i="1"/>
  <c r="BE1843" i="1"/>
  <c r="BC1843" i="1"/>
  <c r="BB1843" i="1"/>
  <c r="BA1843" i="1"/>
  <c r="AY1843" i="1"/>
  <c r="AX1843" i="1"/>
  <c r="AW1843" i="1"/>
  <c r="AT1843" i="1"/>
  <c r="AU1843" i="1" s="1"/>
  <c r="AS1843" i="1"/>
  <c r="AP1843" i="1"/>
  <c r="AO1843" i="1"/>
  <c r="AL1843" i="1"/>
  <c r="AM1843" i="1" s="1"/>
  <c r="AK1843" i="1"/>
  <c r="AI1843" i="1"/>
  <c r="AH1843" i="1"/>
  <c r="AG1843" i="1"/>
  <c r="AD1843" i="1"/>
  <c r="AC1843" i="1"/>
  <c r="Z1843" i="1"/>
  <c r="Y1843" i="1"/>
  <c r="W1843" i="1"/>
  <c r="V1843" i="1"/>
  <c r="U1843" i="1"/>
  <c r="S1843" i="1"/>
  <c r="R1843" i="1"/>
  <c r="Q1843" i="1"/>
  <c r="N1843" i="1"/>
  <c r="O1843" i="1" s="1"/>
  <c r="M1843" i="1"/>
  <c r="J1843" i="1"/>
  <c r="I1843" i="1"/>
  <c r="F1843" i="1"/>
  <c r="G1843" i="1" s="1"/>
  <c r="E1843" i="1"/>
  <c r="BN1842" i="1"/>
  <c r="BM1842" i="1" s="1"/>
  <c r="BL1842" i="1"/>
  <c r="BJ1842" i="1"/>
  <c r="BI1842" i="1"/>
  <c r="BF1842" i="1"/>
  <c r="BG1842" i="1" s="1"/>
  <c r="BE1842" i="1"/>
  <c r="BC1842" i="1"/>
  <c r="BB1842" i="1"/>
  <c r="BA1842" i="1"/>
  <c r="AX1842" i="1"/>
  <c r="AW1842" i="1"/>
  <c r="AT1842" i="1"/>
  <c r="AS1842" i="1"/>
  <c r="AQ1842" i="1"/>
  <c r="AP1842" i="1"/>
  <c r="AO1842" i="1"/>
  <c r="AM1842" i="1"/>
  <c r="AL1842" i="1"/>
  <c r="AK1842" i="1"/>
  <c r="AH1842" i="1"/>
  <c r="AI1842" i="1" s="1"/>
  <c r="AG1842" i="1"/>
  <c r="AD1842" i="1"/>
  <c r="AC1842" i="1"/>
  <c r="Z1842" i="1"/>
  <c r="AA1842" i="1" s="1"/>
  <c r="Y1842" i="1"/>
  <c r="W1842" i="1"/>
  <c r="V1842" i="1"/>
  <c r="U1842" i="1"/>
  <c r="R1842" i="1"/>
  <c r="Q1842" i="1"/>
  <c r="N1842" i="1"/>
  <c r="M1842" i="1"/>
  <c r="K1842" i="1"/>
  <c r="J1842" i="1"/>
  <c r="I1842" i="1"/>
  <c r="G1842" i="1"/>
  <c r="F1842" i="1"/>
  <c r="E1842" i="1"/>
  <c r="BN1841" i="1"/>
  <c r="BM1841" i="1"/>
  <c r="BL1841" i="1"/>
  <c r="BJ1841" i="1"/>
  <c r="BI1841" i="1"/>
  <c r="BG1841" i="1"/>
  <c r="BF1841" i="1"/>
  <c r="BE1841" i="1"/>
  <c r="BB1841" i="1"/>
  <c r="BC1841" i="1" s="1"/>
  <c r="BA1841" i="1"/>
  <c r="AX1841" i="1"/>
  <c r="AW1841" i="1"/>
  <c r="AT1841" i="1"/>
  <c r="AU1841" i="1" s="1"/>
  <c r="AS1841" i="1"/>
  <c r="AQ1841" i="1"/>
  <c r="AP1841" i="1"/>
  <c r="AO1841" i="1"/>
  <c r="AL1841" i="1"/>
  <c r="AK1841" i="1"/>
  <c r="AH1841" i="1"/>
  <c r="AG1841" i="1"/>
  <c r="AE1841" i="1"/>
  <c r="AD1841" i="1"/>
  <c r="AC1841" i="1"/>
  <c r="AA1841" i="1"/>
  <c r="Z1841" i="1"/>
  <c r="Y1841" i="1"/>
  <c r="V1841" i="1"/>
  <c r="W1841" i="1" s="1"/>
  <c r="U1841" i="1"/>
  <c r="R1841" i="1"/>
  <c r="Q1841" i="1"/>
  <c r="N1841" i="1"/>
  <c r="O1841" i="1" s="1"/>
  <c r="M1841" i="1"/>
  <c r="K1841" i="1"/>
  <c r="J1841" i="1"/>
  <c r="I1841" i="1"/>
  <c r="F1841" i="1"/>
  <c r="G1841" i="1" s="1"/>
  <c r="E1841" i="1"/>
  <c r="BN1840" i="1"/>
  <c r="BL1840" i="1"/>
  <c r="BJ1840" i="1"/>
  <c r="BM1840" i="1" s="1"/>
  <c r="BI1840" i="1"/>
  <c r="BF1840" i="1"/>
  <c r="BE1840" i="1"/>
  <c r="BB1840" i="1"/>
  <c r="BA1840" i="1"/>
  <c r="AY1840" i="1"/>
  <c r="AX1840" i="1"/>
  <c r="AW1840" i="1"/>
  <c r="AU1840" i="1"/>
  <c r="AT1840" i="1"/>
  <c r="AS1840" i="1"/>
  <c r="AP1840" i="1"/>
  <c r="AQ1840" i="1" s="1"/>
  <c r="AO1840" i="1"/>
  <c r="AL1840" i="1"/>
  <c r="AK1840" i="1"/>
  <c r="AH1840" i="1"/>
  <c r="AI1840" i="1" s="1"/>
  <c r="AG1840" i="1"/>
  <c r="AE1840" i="1"/>
  <c r="AD1840" i="1"/>
  <c r="AC1840" i="1"/>
  <c r="Z1840" i="1"/>
  <c r="Y1840" i="1"/>
  <c r="V1840" i="1"/>
  <c r="U1840" i="1"/>
  <c r="S1840" i="1"/>
  <c r="R1840" i="1"/>
  <c r="Q1840" i="1"/>
  <c r="O1840" i="1"/>
  <c r="N1840" i="1"/>
  <c r="M1840" i="1"/>
  <c r="J1840" i="1"/>
  <c r="K1840" i="1" s="1"/>
  <c r="I1840" i="1"/>
  <c r="F1840" i="1"/>
  <c r="E1840" i="1"/>
  <c r="BN1839" i="1"/>
  <c r="BL1839" i="1"/>
  <c r="BJ1839" i="1"/>
  <c r="BM1839" i="1" s="1"/>
  <c r="BI1839" i="1"/>
  <c r="BF1839" i="1"/>
  <c r="BE1839" i="1"/>
  <c r="BB1839" i="1"/>
  <c r="BC1839" i="1" s="1"/>
  <c r="BA1839" i="1"/>
  <c r="AY1839" i="1"/>
  <c r="AX1839" i="1"/>
  <c r="AW1839" i="1"/>
  <c r="AT1839" i="1"/>
  <c r="AS1839" i="1"/>
  <c r="AP1839" i="1"/>
  <c r="AO1839" i="1"/>
  <c r="AM1839" i="1"/>
  <c r="AL1839" i="1"/>
  <c r="AK1839" i="1"/>
  <c r="AI1839" i="1"/>
  <c r="AH1839" i="1"/>
  <c r="AG1839" i="1"/>
  <c r="AD1839" i="1"/>
  <c r="AE1839" i="1" s="1"/>
  <c r="AC1839" i="1"/>
  <c r="Z1839" i="1"/>
  <c r="Y1839" i="1"/>
  <c r="V1839" i="1"/>
  <c r="W1839" i="1" s="1"/>
  <c r="U1839" i="1"/>
  <c r="S1839" i="1"/>
  <c r="R1839" i="1"/>
  <c r="Q1839" i="1"/>
  <c r="N1839" i="1"/>
  <c r="M1839" i="1"/>
  <c r="J1839" i="1"/>
  <c r="I1839" i="1"/>
  <c r="G1839" i="1"/>
  <c r="F1839" i="1"/>
  <c r="E1839" i="1"/>
  <c r="BN1838" i="1"/>
  <c r="BL1838" i="1"/>
  <c r="BJ1838" i="1"/>
  <c r="BM1838" i="1" s="1"/>
  <c r="BI1838" i="1"/>
  <c r="BG1838" i="1"/>
  <c r="BF1838" i="1"/>
  <c r="BE1838" i="1"/>
  <c r="BC1838" i="1"/>
  <c r="BB1838" i="1"/>
  <c r="BA1838" i="1"/>
  <c r="AX1838" i="1"/>
  <c r="AY1838" i="1" s="1"/>
  <c r="AW1838" i="1"/>
  <c r="AT1838" i="1"/>
  <c r="AS1838" i="1"/>
  <c r="AP1838" i="1"/>
  <c r="AQ1838" i="1" s="1"/>
  <c r="AO1838" i="1"/>
  <c r="AM1838" i="1"/>
  <c r="AL1838" i="1"/>
  <c r="AK1838" i="1"/>
  <c r="AH1838" i="1"/>
  <c r="AG1838" i="1"/>
  <c r="AD1838" i="1"/>
  <c r="AC1838" i="1"/>
  <c r="AA1838" i="1"/>
  <c r="Z1838" i="1"/>
  <c r="Y1838" i="1"/>
  <c r="W1838" i="1"/>
  <c r="V1838" i="1"/>
  <c r="U1838" i="1"/>
  <c r="R1838" i="1"/>
  <c r="S1838" i="1" s="1"/>
  <c r="Q1838" i="1"/>
  <c r="N1838" i="1"/>
  <c r="M1838" i="1"/>
  <c r="J1838" i="1"/>
  <c r="K1838" i="1" s="1"/>
  <c r="I1838" i="1"/>
  <c r="G1838" i="1"/>
  <c r="F1838" i="1"/>
  <c r="E1838" i="1"/>
  <c r="BN1837" i="1"/>
  <c r="BM1837" i="1"/>
  <c r="BL1837" i="1"/>
  <c r="BJ1837" i="1"/>
  <c r="BI1837" i="1"/>
  <c r="BG1837" i="1"/>
  <c r="BF1837" i="1"/>
  <c r="BE1837" i="1"/>
  <c r="BB1837" i="1"/>
  <c r="BA1837" i="1"/>
  <c r="AX1837" i="1"/>
  <c r="AW1837" i="1"/>
  <c r="AU1837" i="1"/>
  <c r="AT1837" i="1"/>
  <c r="AS1837" i="1"/>
  <c r="AQ1837" i="1"/>
  <c r="AP1837" i="1"/>
  <c r="AO1837" i="1"/>
  <c r="AL1837" i="1"/>
  <c r="AM1837" i="1" s="1"/>
  <c r="AK1837" i="1"/>
  <c r="AH1837" i="1"/>
  <c r="AG1837" i="1"/>
  <c r="AD1837" i="1"/>
  <c r="AE1837" i="1" s="1"/>
  <c r="AC1837" i="1"/>
  <c r="AA1837" i="1"/>
  <c r="Z1837" i="1"/>
  <c r="Y1837" i="1"/>
  <c r="V1837" i="1"/>
  <c r="U1837" i="1"/>
  <c r="R1837" i="1"/>
  <c r="Q1837" i="1"/>
  <c r="O1837" i="1"/>
  <c r="N1837" i="1"/>
  <c r="M1837" i="1"/>
  <c r="K1837" i="1"/>
  <c r="J1837" i="1"/>
  <c r="I1837" i="1"/>
  <c r="F1837" i="1"/>
  <c r="G1837" i="1" s="1"/>
  <c r="E1837" i="1"/>
  <c r="BN1836" i="1"/>
  <c r="BM1836" i="1" s="1"/>
  <c r="BL1836" i="1"/>
  <c r="BJ1836" i="1"/>
  <c r="BI1836" i="1"/>
  <c r="BF1836" i="1"/>
  <c r="BG1836" i="1" s="1"/>
  <c r="BE1836" i="1"/>
  <c r="BB1836" i="1"/>
  <c r="BA1836" i="1"/>
  <c r="AX1836" i="1"/>
  <c r="AY1836" i="1" s="1"/>
  <c r="AW1836" i="1"/>
  <c r="AU1836" i="1"/>
  <c r="AT1836" i="1"/>
  <c r="AS1836" i="1"/>
  <c r="AP1836" i="1"/>
  <c r="AO1836" i="1"/>
  <c r="AL1836" i="1"/>
  <c r="AK1836" i="1"/>
  <c r="AI1836" i="1"/>
  <c r="AH1836" i="1"/>
  <c r="AG1836" i="1"/>
  <c r="AE1836" i="1"/>
  <c r="AD1836" i="1"/>
  <c r="AC1836" i="1"/>
  <c r="Z1836" i="1"/>
  <c r="AA1836" i="1" s="1"/>
  <c r="Y1836" i="1"/>
  <c r="V1836" i="1"/>
  <c r="U1836" i="1"/>
  <c r="R1836" i="1"/>
  <c r="S1836" i="1" s="1"/>
  <c r="Q1836" i="1"/>
  <c r="O1836" i="1"/>
  <c r="N1836" i="1"/>
  <c r="M1836" i="1"/>
  <c r="J1836" i="1"/>
  <c r="I1836" i="1"/>
  <c r="F1836" i="1"/>
  <c r="E1836" i="1"/>
  <c r="BN1835" i="1"/>
  <c r="BL1835" i="1"/>
  <c r="BJ1835" i="1"/>
  <c r="BI1835" i="1"/>
  <c r="BF1835" i="1"/>
  <c r="BE1835" i="1"/>
  <c r="BC1835" i="1"/>
  <c r="BB1835" i="1"/>
  <c r="BA1835" i="1"/>
  <c r="AY1835" i="1"/>
  <c r="AX1835" i="1"/>
  <c r="AW1835" i="1"/>
  <c r="AT1835" i="1"/>
  <c r="AU1835" i="1" s="1"/>
  <c r="AS1835" i="1"/>
  <c r="AP1835" i="1"/>
  <c r="AO1835" i="1"/>
  <c r="AL1835" i="1"/>
  <c r="AM1835" i="1" s="1"/>
  <c r="AK1835" i="1"/>
  <c r="AI1835" i="1"/>
  <c r="AH1835" i="1"/>
  <c r="AG1835" i="1"/>
  <c r="AD1835" i="1"/>
  <c r="AC1835" i="1"/>
  <c r="Z1835" i="1"/>
  <c r="Y1835" i="1"/>
  <c r="W1835" i="1"/>
  <c r="V1835" i="1"/>
  <c r="U1835" i="1"/>
  <c r="S1835" i="1"/>
  <c r="R1835" i="1"/>
  <c r="Q1835" i="1"/>
  <c r="N1835" i="1"/>
  <c r="O1835" i="1" s="1"/>
  <c r="M1835" i="1"/>
  <c r="J1835" i="1"/>
  <c r="I1835" i="1"/>
  <c r="F1835" i="1"/>
  <c r="G1835" i="1" s="1"/>
  <c r="E1835" i="1"/>
  <c r="BN1834" i="1"/>
  <c r="BM1834" i="1" s="1"/>
  <c r="BL1834" i="1"/>
  <c r="BJ1834" i="1"/>
  <c r="BI1834" i="1"/>
  <c r="BF1834" i="1"/>
  <c r="BG1834" i="1" s="1"/>
  <c r="BE1834" i="1"/>
  <c r="BC1834" i="1"/>
  <c r="BB1834" i="1"/>
  <c r="BA1834" i="1"/>
  <c r="AX1834" i="1"/>
  <c r="AW1834" i="1"/>
  <c r="AT1834" i="1"/>
  <c r="AS1834" i="1"/>
  <c r="AQ1834" i="1"/>
  <c r="AP1834" i="1"/>
  <c r="AO1834" i="1"/>
  <c r="AM1834" i="1"/>
  <c r="AL1834" i="1"/>
  <c r="AK1834" i="1"/>
  <c r="AH1834" i="1"/>
  <c r="AI1834" i="1" s="1"/>
  <c r="AG1834" i="1"/>
  <c r="AD1834" i="1"/>
  <c r="AC1834" i="1"/>
  <c r="Z1834" i="1"/>
  <c r="AA1834" i="1" s="1"/>
  <c r="Y1834" i="1"/>
  <c r="W1834" i="1"/>
  <c r="V1834" i="1"/>
  <c r="U1834" i="1"/>
  <c r="R1834" i="1"/>
  <c r="Q1834" i="1"/>
  <c r="N1834" i="1"/>
  <c r="M1834" i="1"/>
  <c r="K1834" i="1"/>
  <c r="J1834" i="1"/>
  <c r="I1834" i="1"/>
  <c r="G1834" i="1"/>
  <c r="F1834" i="1"/>
  <c r="E1834" i="1"/>
  <c r="BN1833" i="1"/>
  <c r="BM1833" i="1"/>
  <c r="BL1833" i="1"/>
  <c r="BJ1833" i="1"/>
  <c r="BI1833" i="1"/>
  <c r="BG1833" i="1"/>
  <c r="BF1833" i="1"/>
  <c r="BE1833" i="1"/>
  <c r="BB1833" i="1"/>
  <c r="BC1833" i="1" s="1"/>
  <c r="BA1833" i="1"/>
  <c r="AX1833" i="1"/>
  <c r="AW1833" i="1"/>
  <c r="AT1833" i="1"/>
  <c r="AU1833" i="1" s="1"/>
  <c r="AS1833" i="1"/>
  <c r="AQ1833" i="1"/>
  <c r="AP1833" i="1"/>
  <c r="AO1833" i="1"/>
  <c r="AL1833" i="1"/>
  <c r="AK1833" i="1"/>
  <c r="AH1833" i="1"/>
  <c r="AG1833" i="1"/>
  <c r="AE1833" i="1"/>
  <c r="AD1833" i="1"/>
  <c r="AC1833" i="1"/>
  <c r="AA1833" i="1"/>
  <c r="Z1833" i="1"/>
  <c r="Y1833" i="1"/>
  <c r="V1833" i="1"/>
  <c r="W1833" i="1" s="1"/>
  <c r="U1833" i="1"/>
  <c r="R1833" i="1"/>
  <c r="Q1833" i="1"/>
  <c r="N1833" i="1"/>
  <c r="O1833" i="1" s="1"/>
  <c r="M1833" i="1"/>
  <c r="K1833" i="1"/>
  <c r="J1833" i="1"/>
  <c r="I1833" i="1"/>
  <c r="F1833" i="1"/>
  <c r="G1833" i="1" s="1"/>
  <c r="E1833" i="1"/>
  <c r="BN1832" i="1"/>
  <c r="BL1832" i="1"/>
  <c r="BJ1832" i="1"/>
  <c r="BM1832" i="1" s="1"/>
  <c r="BI1832" i="1"/>
  <c r="BF1832" i="1"/>
  <c r="BE1832" i="1"/>
  <c r="BB1832" i="1"/>
  <c r="BA1832" i="1"/>
  <c r="AY1832" i="1"/>
  <c r="AX1832" i="1"/>
  <c r="AW1832" i="1"/>
  <c r="AU1832" i="1"/>
  <c r="AT1832" i="1"/>
  <c r="AS1832" i="1"/>
  <c r="AP1832" i="1"/>
  <c r="AQ1832" i="1" s="1"/>
  <c r="AO1832" i="1"/>
  <c r="AL1832" i="1"/>
  <c r="AK1832" i="1"/>
  <c r="AH1832" i="1"/>
  <c r="AI1832" i="1" s="1"/>
  <c r="AG1832" i="1"/>
  <c r="AE1832" i="1"/>
  <c r="AD1832" i="1"/>
  <c r="AC1832" i="1"/>
  <c r="Z1832" i="1"/>
  <c r="Y1832" i="1"/>
  <c r="V1832" i="1"/>
  <c r="U1832" i="1"/>
  <c r="S1832" i="1"/>
  <c r="R1832" i="1"/>
  <c r="Q1832" i="1"/>
  <c r="O1832" i="1"/>
  <c r="N1832" i="1"/>
  <c r="M1832" i="1"/>
  <c r="J1832" i="1"/>
  <c r="K1832" i="1" s="1"/>
  <c r="I1832" i="1"/>
  <c r="F1832" i="1"/>
  <c r="E1832" i="1"/>
  <c r="BN1831" i="1"/>
  <c r="BL1831" i="1"/>
  <c r="BJ1831" i="1"/>
  <c r="BM1831" i="1" s="1"/>
  <c r="BI1831" i="1"/>
  <c r="BF1831" i="1"/>
  <c r="BE1831" i="1"/>
  <c r="BB1831" i="1"/>
  <c r="BC1831" i="1" s="1"/>
  <c r="BA1831" i="1"/>
  <c r="AY1831" i="1"/>
  <c r="AX1831" i="1"/>
  <c r="AW1831" i="1"/>
  <c r="AT1831" i="1"/>
  <c r="AS1831" i="1"/>
  <c r="AP1831" i="1"/>
  <c r="AO1831" i="1"/>
  <c r="AM1831" i="1"/>
  <c r="AL1831" i="1"/>
  <c r="AK1831" i="1"/>
  <c r="AI1831" i="1"/>
  <c r="AH1831" i="1"/>
  <c r="AG1831" i="1"/>
  <c r="AD1831" i="1"/>
  <c r="AE1831" i="1" s="1"/>
  <c r="AC1831" i="1"/>
  <c r="Z1831" i="1"/>
  <c r="Y1831" i="1"/>
  <c r="V1831" i="1"/>
  <c r="W1831" i="1" s="1"/>
  <c r="U1831" i="1"/>
  <c r="S1831" i="1"/>
  <c r="R1831" i="1"/>
  <c r="Q1831" i="1"/>
  <c r="N1831" i="1"/>
  <c r="M1831" i="1"/>
  <c r="J1831" i="1"/>
  <c r="I1831" i="1"/>
  <c r="G1831" i="1"/>
  <c r="F1831" i="1"/>
  <c r="E1831" i="1"/>
  <c r="BN1830" i="1"/>
  <c r="BM1830" i="1" s="1"/>
  <c r="BL1830" i="1"/>
  <c r="BJ1830" i="1"/>
  <c r="BI1830" i="1"/>
  <c r="BG1830" i="1"/>
  <c r="BF1830" i="1"/>
  <c r="BE1830" i="1"/>
  <c r="BC1830" i="1"/>
  <c r="BB1830" i="1"/>
  <c r="BA1830" i="1"/>
  <c r="AX1830" i="1"/>
  <c r="AY1830" i="1" s="1"/>
  <c r="AW1830" i="1"/>
  <c r="AT1830" i="1"/>
  <c r="AS1830" i="1"/>
  <c r="AP1830" i="1"/>
  <c r="AQ1830" i="1" s="1"/>
  <c r="AO1830" i="1"/>
  <c r="AM1830" i="1"/>
  <c r="AL1830" i="1"/>
  <c r="AK1830" i="1"/>
  <c r="AH1830" i="1"/>
  <c r="AG1830" i="1"/>
  <c r="AD1830" i="1"/>
  <c r="AC1830" i="1"/>
  <c r="AA1830" i="1"/>
  <c r="Z1830" i="1"/>
  <c r="Y1830" i="1"/>
  <c r="W1830" i="1"/>
  <c r="V1830" i="1"/>
  <c r="U1830" i="1"/>
  <c r="R1830" i="1"/>
  <c r="S1830" i="1" s="1"/>
  <c r="Q1830" i="1"/>
  <c r="N1830" i="1"/>
  <c r="M1830" i="1"/>
  <c r="J1830" i="1"/>
  <c r="K1830" i="1" s="1"/>
  <c r="I1830" i="1"/>
  <c r="G1830" i="1"/>
  <c r="F1830" i="1"/>
  <c r="E1830" i="1"/>
  <c r="BN1829" i="1"/>
  <c r="BM1829" i="1"/>
  <c r="BL1829" i="1"/>
  <c r="BJ1829" i="1"/>
  <c r="BI1829" i="1"/>
  <c r="BG1829" i="1"/>
  <c r="BF1829" i="1"/>
  <c r="BE1829" i="1"/>
  <c r="BB1829" i="1"/>
  <c r="BA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E1829" i="1"/>
  <c r="AD1829" i="1"/>
  <c r="AC1829" i="1"/>
  <c r="AA1829" i="1"/>
  <c r="Z1829" i="1"/>
  <c r="Y1829" i="1"/>
  <c r="V1829" i="1"/>
  <c r="W1829" i="1" s="1"/>
  <c r="U1829" i="1"/>
  <c r="R1829" i="1"/>
  <c r="Q1829" i="1"/>
  <c r="N1829" i="1"/>
  <c r="O1829" i="1" s="1"/>
  <c r="M1829" i="1"/>
  <c r="K1829" i="1"/>
  <c r="J1829" i="1"/>
  <c r="I1829" i="1"/>
  <c r="F1829" i="1"/>
  <c r="G1829" i="1" s="1"/>
  <c r="E1829" i="1"/>
  <c r="BN1828" i="1"/>
  <c r="BL1828" i="1"/>
  <c r="BJ1828" i="1"/>
  <c r="BM1828" i="1" s="1"/>
  <c r="BI1828" i="1"/>
  <c r="BF1828" i="1"/>
  <c r="BE1828" i="1"/>
  <c r="BB1828" i="1"/>
  <c r="BA1828" i="1"/>
  <c r="AY1828" i="1"/>
  <c r="AX1828" i="1"/>
  <c r="AV1828" i="1"/>
  <c r="AW1828" i="1" s="1"/>
  <c r="AT1828" i="1"/>
  <c r="AU1828" i="1" s="1"/>
  <c r="AR1828" i="1"/>
  <c r="AS1828" i="1" s="1"/>
  <c r="AP1828" i="1"/>
  <c r="AN1828" i="1"/>
  <c r="AO1828" i="1" s="1"/>
  <c r="AL1828" i="1"/>
  <c r="AM1828" i="1" s="1"/>
  <c r="AJ1828" i="1"/>
  <c r="AK1828" i="1" s="1"/>
  <c r="AH1828" i="1"/>
  <c r="AG1828" i="1"/>
  <c r="AE1828" i="1"/>
  <c r="AD1828" i="1"/>
  <c r="AC1828" i="1"/>
  <c r="Z1828" i="1"/>
  <c r="AA1828" i="1" s="1"/>
  <c r="Y1828" i="1"/>
  <c r="V1828" i="1"/>
  <c r="U1828" i="1"/>
  <c r="R1828" i="1"/>
  <c r="S1828" i="1" s="1"/>
  <c r="Q1828" i="1"/>
  <c r="O1828" i="1"/>
  <c r="N1828" i="1"/>
  <c r="M1828" i="1"/>
  <c r="J1828" i="1"/>
  <c r="I1828" i="1"/>
  <c r="F1828" i="1"/>
  <c r="E1828" i="1"/>
  <c r="BN1827" i="1"/>
  <c r="BL1827" i="1"/>
  <c r="BJ1827" i="1"/>
  <c r="BI1827" i="1"/>
  <c r="BF1827" i="1"/>
  <c r="BE1827" i="1"/>
  <c r="BC1827" i="1"/>
  <c r="BB1827" i="1"/>
  <c r="BA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D1827" i="1"/>
  <c r="AE1827" i="1" s="1"/>
  <c r="AC1827" i="1"/>
  <c r="Z1827" i="1"/>
  <c r="Y1827" i="1"/>
  <c r="V1827" i="1"/>
  <c r="W1827" i="1" s="1"/>
  <c r="U1827" i="1"/>
  <c r="S1827" i="1"/>
  <c r="R1827" i="1"/>
  <c r="Q1827" i="1"/>
  <c r="N1827" i="1"/>
  <c r="M1827" i="1"/>
  <c r="J1827" i="1"/>
  <c r="I1827" i="1"/>
  <c r="G1827" i="1"/>
  <c r="F1827" i="1"/>
  <c r="E1827" i="1"/>
  <c r="BN1826" i="1"/>
  <c r="BM1826" i="1" s="1"/>
  <c r="BL1826" i="1"/>
  <c r="BJ1826" i="1"/>
  <c r="BI1826" i="1"/>
  <c r="BG1826" i="1"/>
  <c r="BF1826" i="1"/>
  <c r="BE1826" i="1"/>
  <c r="BC1826" i="1"/>
  <c r="BB1826" i="1"/>
  <c r="BA1826" i="1"/>
  <c r="AX1826" i="1"/>
  <c r="AY1826" i="1" s="1"/>
  <c r="AW1826" i="1"/>
  <c r="AT1826" i="1"/>
  <c r="AS1826" i="1"/>
  <c r="AP1826" i="1"/>
  <c r="AQ1826" i="1" s="1"/>
  <c r="AO1826" i="1"/>
  <c r="AM1826" i="1"/>
  <c r="AL1826" i="1"/>
  <c r="AK1826" i="1"/>
  <c r="AH1826" i="1"/>
  <c r="AG1826" i="1"/>
  <c r="AD1826" i="1"/>
  <c r="AC1826" i="1"/>
  <c r="AA1826" i="1"/>
  <c r="Z1826" i="1"/>
  <c r="Y1826" i="1"/>
  <c r="W1826" i="1"/>
  <c r="V1826" i="1"/>
  <c r="U1826" i="1"/>
  <c r="R1826" i="1"/>
  <c r="S1826" i="1" s="1"/>
  <c r="Q1826" i="1"/>
  <c r="N1826" i="1"/>
  <c r="M1826" i="1"/>
  <c r="J1826" i="1"/>
  <c r="K1826" i="1" s="1"/>
  <c r="I1826" i="1"/>
  <c r="G1826" i="1"/>
  <c r="F1826" i="1"/>
  <c r="E1826" i="1"/>
  <c r="BN1825" i="1"/>
  <c r="BM1825" i="1"/>
  <c r="BL1825" i="1"/>
  <c r="BJ1825" i="1"/>
  <c r="BI1825" i="1"/>
  <c r="BG1825" i="1"/>
  <c r="BF1825" i="1"/>
  <c r="BE1825" i="1"/>
  <c r="BB1825" i="1"/>
  <c r="BA1825" i="1"/>
  <c r="AX1825" i="1"/>
  <c r="AW1825" i="1"/>
  <c r="AU1825" i="1"/>
  <c r="AT1825" i="1"/>
  <c r="AS1825" i="1"/>
  <c r="AQ1825" i="1"/>
  <c r="AP1825" i="1"/>
  <c r="AO1825" i="1"/>
  <c r="AL1825" i="1"/>
  <c r="AM1825" i="1" s="1"/>
  <c r="AK1825" i="1"/>
  <c r="AH1825" i="1"/>
  <c r="AG1825" i="1"/>
  <c r="AD1825" i="1"/>
  <c r="AE1825" i="1" s="1"/>
  <c r="AC1825" i="1"/>
  <c r="AA1825" i="1"/>
  <c r="Z1825" i="1"/>
  <c r="Y1825" i="1"/>
  <c r="V1825" i="1"/>
  <c r="U1825" i="1"/>
  <c r="R1825" i="1"/>
  <c r="Q1825" i="1"/>
  <c r="O1825" i="1"/>
  <c r="N1825" i="1"/>
  <c r="M1825" i="1"/>
  <c r="K1825" i="1"/>
  <c r="J1825" i="1"/>
  <c r="I1825" i="1"/>
  <c r="F1825" i="1"/>
  <c r="G1825" i="1" s="1"/>
  <c r="E1825" i="1"/>
  <c r="BN1824" i="1"/>
  <c r="BL1824" i="1"/>
  <c r="BJ1824" i="1"/>
  <c r="BM1824" i="1" s="1"/>
  <c r="BI1824" i="1"/>
  <c r="BF1824" i="1"/>
  <c r="BG1824" i="1" s="1"/>
  <c r="BE1824" i="1"/>
  <c r="BB1824" i="1"/>
  <c r="BA1824" i="1"/>
  <c r="AX1824" i="1"/>
  <c r="AY1824" i="1" s="1"/>
  <c r="AW1824" i="1"/>
  <c r="AU1824" i="1"/>
  <c r="AT1824" i="1"/>
  <c r="AS1824" i="1"/>
  <c r="AP1824" i="1"/>
  <c r="AO1824" i="1"/>
  <c r="AL1824" i="1"/>
  <c r="AK1824" i="1"/>
  <c r="AI1824" i="1"/>
  <c r="AH1824" i="1"/>
  <c r="AG1824" i="1"/>
  <c r="AE1824" i="1"/>
  <c r="AD1824" i="1"/>
  <c r="AC1824" i="1"/>
  <c r="Z1824" i="1"/>
  <c r="AA1824" i="1" s="1"/>
  <c r="Y1824" i="1"/>
  <c r="V1824" i="1"/>
  <c r="U1824" i="1"/>
  <c r="R1824" i="1"/>
  <c r="S1824" i="1" s="1"/>
  <c r="Q1824" i="1"/>
  <c r="O1824" i="1"/>
  <c r="N1824" i="1"/>
  <c r="M1824" i="1"/>
  <c r="J1824" i="1"/>
  <c r="I1824" i="1"/>
  <c r="F1824" i="1"/>
  <c r="E1824" i="1"/>
  <c r="BN1823" i="1"/>
  <c r="BL1823" i="1"/>
  <c r="BJ1823" i="1"/>
  <c r="BI1823" i="1"/>
  <c r="BF1823" i="1"/>
  <c r="BE1823" i="1"/>
  <c r="BC1823" i="1"/>
  <c r="BB1823" i="1"/>
  <c r="BA1823" i="1"/>
  <c r="AY1823" i="1"/>
  <c r="AX1823" i="1"/>
  <c r="AW1823" i="1"/>
  <c r="AT1823" i="1"/>
  <c r="AU1823" i="1" s="1"/>
  <c r="AS1823" i="1"/>
  <c r="AP1823" i="1"/>
  <c r="AO1823" i="1"/>
  <c r="AL1823" i="1"/>
  <c r="AM1823" i="1" s="1"/>
  <c r="AK1823" i="1"/>
  <c r="AI1823" i="1"/>
  <c r="AH1823" i="1"/>
  <c r="AG1823" i="1"/>
  <c r="AD1823" i="1"/>
  <c r="AC1823" i="1"/>
  <c r="Z1823" i="1"/>
  <c r="Y1823" i="1"/>
  <c r="W1823" i="1"/>
  <c r="V1823" i="1"/>
  <c r="U1823" i="1"/>
  <c r="S1823" i="1"/>
  <c r="R1823" i="1"/>
  <c r="Q1823" i="1"/>
  <c r="N1823" i="1"/>
  <c r="O1823" i="1" s="1"/>
  <c r="M1823" i="1"/>
  <c r="J1823" i="1"/>
  <c r="I1823" i="1"/>
  <c r="F1823" i="1"/>
  <c r="G1823" i="1" s="1"/>
  <c r="E1823" i="1"/>
  <c r="BN1822" i="1"/>
  <c r="BM1822" i="1" s="1"/>
  <c r="BL1822" i="1"/>
  <c r="BJ1822" i="1"/>
  <c r="BI1822" i="1"/>
  <c r="BF1822" i="1"/>
  <c r="BG1822" i="1" s="1"/>
  <c r="BE1822" i="1"/>
  <c r="BC1822" i="1"/>
  <c r="BB1822" i="1"/>
  <c r="BA1822" i="1"/>
  <c r="AX1822" i="1"/>
  <c r="AW1822" i="1"/>
  <c r="AT1822" i="1"/>
  <c r="AS1822" i="1"/>
  <c r="AQ1822" i="1"/>
  <c r="AP1822" i="1"/>
  <c r="AO1822" i="1"/>
  <c r="AM1822" i="1"/>
  <c r="AL1822" i="1"/>
  <c r="AK1822" i="1"/>
  <c r="AH1822" i="1"/>
  <c r="AI1822" i="1" s="1"/>
  <c r="AG1822" i="1"/>
  <c r="AD1822" i="1"/>
  <c r="AC1822" i="1"/>
  <c r="Z1822" i="1"/>
  <c r="AA1822" i="1" s="1"/>
  <c r="Y1822" i="1"/>
  <c r="W1822" i="1"/>
  <c r="V1822" i="1"/>
  <c r="U1822" i="1"/>
  <c r="R1822" i="1"/>
  <c r="Q1822" i="1"/>
  <c r="N1822" i="1"/>
  <c r="M1822" i="1"/>
  <c r="K1822" i="1"/>
  <c r="J1822" i="1"/>
  <c r="I1822" i="1"/>
  <c r="G1822" i="1"/>
  <c r="F1822" i="1"/>
  <c r="E1822" i="1"/>
  <c r="BN1821" i="1"/>
  <c r="BM1821" i="1"/>
  <c r="BL1821" i="1"/>
  <c r="BJ1821" i="1"/>
  <c r="BI1821" i="1"/>
  <c r="BG1821" i="1"/>
  <c r="BF1821" i="1"/>
  <c r="BE1821" i="1"/>
  <c r="BB1821" i="1"/>
  <c r="BC1821" i="1" s="1"/>
  <c r="BA1821" i="1"/>
  <c r="AX1821" i="1"/>
  <c r="AW1821" i="1"/>
  <c r="AT1821" i="1"/>
  <c r="AU1821" i="1" s="1"/>
  <c r="AS1821" i="1"/>
  <c r="AQ1821" i="1"/>
  <c r="AP1821" i="1"/>
  <c r="AO1821" i="1"/>
  <c r="AL1821" i="1"/>
  <c r="AK1821" i="1"/>
  <c r="AH1821" i="1"/>
  <c r="AG1821" i="1"/>
  <c r="AE1821" i="1"/>
  <c r="AD1821" i="1"/>
  <c r="AC1821" i="1"/>
  <c r="AA1821" i="1"/>
  <c r="Z1821" i="1"/>
  <c r="Y1821" i="1"/>
  <c r="V1821" i="1"/>
  <c r="W1821" i="1" s="1"/>
  <c r="U1821" i="1"/>
  <c r="R1821" i="1"/>
  <c r="Q1821" i="1"/>
  <c r="N1821" i="1"/>
  <c r="O1821" i="1" s="1"/>
  <c r="M1821" i="1"/>
  <c r="K1821" i="1"/>
  <c r="J1821" i="1"/>
  <c r="I1821" i="1"/>
  <c r="F1821" i="1"/>
  <c r="G1821" i="1" s="1"/>
  <c r="E1821" i="1"/>
  <c r="BN1820" i="1"/>
  <c r="BL1820" i="1"/>
  <c r="BJ1820" i="1"/>
  <c r="BM1820" i="1" s="1"/>
  <c r="BI1820" i="1"/>
  <c r="BF1820" i="1"/>
  <c r="BE1820" i="1"/>
  <c r="BB1820" i="1"/>
  <c r="BA1820" i="1"/>
  <c r="AY1820" i="1"/>
  <c r="AX1820" i="1"/>
  <c r="AW1820" i="1"/>
  <c r="AU1820" i="1"/>
  <c r="AT1820" i="1"/>
  <c r="AS1820" i="1"/>
  <c r="AP1820" i="1"/>
  <c r="AQ1820" i="1" s="1"/>
  <c r="AO1820" i="1"/>
  <c r="AL1820" i="1"/>
  <c r="AK1820" i="1"/>
  <c r="AH1820" i="1"/>
  <c r="AI1820" i="1" s="1"/>
  <c r="AG1820" i="1"/>
  <c r="AE1820" i="1"/>
  <c r="AD1820" i="1"/>
  <c r="AC1820" i="1"/>
  <c r="Z1820" i="1"/>
  <c r="Y1820" i="1"/>
  <c r="V1820" i="1"/>
  <c r="U1820" i="1"/>
  <c r="S1820" i="1"/>
  <c r="R1820" i="1"/>
  <c r="Q1820" i="1"/>
  <c r="O1820" i="1"/>
  <c r="N1820" i="1"/>
  <c r="M1820" i="1"/>
  <c r="J1820" i="1"/>
  <c r="K1820" i="1" s="1"/>
  <c r="I1820" i="1"/>
  <c r="F1820" i="1"/>
  <c r="E1820" i="1"/>
  <c r="BN1819" i="1"/>
  <c r="BL1819" i="1"/>
  <c r="BJ1819" i="1"/>
  <c r="BM1819" i="1" s="1"/>
  <c r="BI1819" i="1"/>
  <c r="BF1819" i="1"/>
  <c r="BE1819" i="1"/>
  <c r="BB1819" i="1"/>
  <c r="BC1819" i="1" s="1"/>
  <c r="BA1819" i="1"/>
  <c r="AY1819" i="1"/>
  <c r="AX1819" i="1"/>
  <c r="AW1819" i="1"/>
  <c r="AT1819" i="1"/>
  <c r="AS1819" i="1"/>
  <c r="AP1819" i="1"/>
  <c r="AO1819" i="1"/>
  <c r="AM1819" i="1"/>
  <c r="AL1819" i="1"/>
  <c r="AK1819" i="1"/>
  <c r="AI1819" i="1"/>
  <c r="AH1819" i="1"/>
  <c r="AG1819" i="1"/>
  <c r="AD1819" i="1"/>
  <c r="AE1819" i="1" s="1"/>
  <c r="AC1819" i="1"/>
  <c r="Z1819" i="1"/>
  <c r="Y1819" i="1"/>
  <c r="V1819" i="1"/>
  <c r="W1819" i="1" s="1"/>
  <c r="U1819" i="1"/>
  <c r="S1819" i="1"/>
  <c r="R1819" i="1"/>
  <c r="Q1819" i="1"/>
  <c r="N1819" i="1"/>
  <c r="M1819" i="1"/>
  <c r="J1819" i="1"/>
  <c r="I1819" i="1"/>
  <c r="G1819" i="1"/>
  <c r="F1819" i="1"/>
  <c r="E1819" i="1"/>
  <c r="BN1818" i="1"/>
  <c r="BM1818" i="1" s="1"/>
  <c r="BL1818" i="1"/>
  <c r="BJ1818" i="1"/>
  <c r="BI1818" i="1"/>
  <c r="BG1818" i="1"/>
  <c r="BF1818" i="1"/>
  <c r="BE1818" i="1"/>
  <c r="BC1818" i="1"/>
  <c r="BB1818" i="1"/>
  <c r="BA1818" i="1"/>
  <c r="AX1818" i="1"/>
  <c r="AY1818" i="1" s="1"/>
  <c r="AW1818" i="1"/>
  <c r="AT1818" i="1"/>
  <c r="AS1818" i="1"/>
  <c r="AP1818" i="1"/>
  <c r="AQ1818" i="1" s="1"/>
  <c r="AO1818" i="1"/>
  <c r="AL1818" i="1"/>
  <c r="AM1818" i="1" s="1"/>
  <c r="AK1818" i="1"/>
  <c r="AH1818" i="1"/>
  <c r="AG1818" i="1"/>
  <c r="AD1818" i="1"/>
  <c r="AC1818" i="1"/>
  <c r="AA1818" i="1"/>
  <c r="Z1818" i="1"/>
  <c r="Y1818" i="1"/>
  <c r="W1818" i="1"/>
  <c r="V1818" i="1"/>
  <c r="U1818" i="1"/>
  <c r="R1818" i="1"/>
  <c r="S1818" i="1" s="1"/>
  <c r="Q1818" i="1"/>
  <c r="N1818" i="1"/>
  <c r="M1818" i="1"/>
  <c r="J1818" i="1"/>
  <c r="K1818" i="1" s="1"/>
  <c r="I1818" i="1"/>
  <c r="F1818" i="1"/>
  <c r="G1818" i="1" s="1"/>
  <c r="E1818" i="1"/>
  <c r="BN1817" i="1"/>
  <c r="BM1817" i="1"/>
  <c r="BL1817" i="1"/>
  <c r="BJ1817" i="1"/>
  <c r="BI1817" i="1"/>
  <c r="BF1817" i="1"/>
  <c r="BG1817" i="1" s="1"/>
  <c r="BE1817" i="1"/>
  <c r="BB1817" i="1"/>
  <c r="BA1817" i="1"/>
  <c r="AX1817" i="1"/>
  <c r="AW1817" i="1"/>
  <c r="AU1817" i="1"/>
  <c r="AT1817" i="1"/>
  <c r="AS1817" i="1"/>
  <c r="AQ1817" i="1"/>
  <c r="AP1817" i="1"/>
  <c r="AO1817" i="1"/>
  <c r="AL1817" i="1"/>
  <c r="AM1817" i="1" s="1"/>
  <c r="AK1817" i="1"/>
  <c r="AH1817" i="1"/>
  <c r="AG1817" i="1"/>
  <c r="AD1817" i="1"/>
  <c r="AE1817" i="1" s="1"/>
  <c r="AC1817" i="1"/>
  <c r="Z1817" i="1"/>
  <c r="AA1817" i="1" s="1"/>
  <c r="Y1817" i="1"/>
  <c r="V1817" i="1"/>
  <c r="U1817" i="1"/>
  <c r="R1817" i="1"/>
  <c r="Q1817" i="1"/>
  <c r="O1817" i="1"/>
  <c r="N1817" i="1"/>
  <c r="M1817" i="1"/>
  <c r="K1817" i="1"/>
  <c r="J1817" i="1"/>
  <c r="I1817" i="1"/>
  <c r="F1817" i="1"/>
  <c r="G1817" i="1" s="1"/>
  <c r="E1817" i="1"/>
  <c r="BN1816" i="1"/>
  <c r="BM1816" i="1" s="1"/>
  <c r="BL1816" i="1"/>
  <c r="BJ1816" i="1"/>
  <c r="BI1816" i="1"/>
  <c r="BF1816" i="1"/>
  <c r="BG1816" i="1" s="1"/>
  <c r="BE1816" i="1"/>
  <c r="BB1816" i="1"/>
  <c r="BA1816" i="1"/>
  <c r="AX1816" i="1"/>
  <c r="AY1816" i="1" s="1"/>
  <c r="AW1816" i="1"/>
  <c r="AT1816" i="1"/>
  <c r="AU1816" i="1" s="1"/>
  <c r="AS1816" i="1"/>
  <c r="AP1816" i="1"/>
  <c r="AO1816" i="1"/>
  <c r="AL1816" i="1"/>
  <c r="AK1816" i="1"/>
  <c r="AI1816" i="1"/>
  <c r="AH1816" i="1"/>
  <c r="AG1816" i="1"/>
  <c r="AE1816" i="1"/>
  <c r="AD1816" i="1"/>
  <c r="AC1816" i="1"/>
  <c r="Z1816" i="1"/>
  <c r="AA1816" i="1" s="1"/>
  <c r="Y1816" i="1"/>
  <c r="V1816" i="1"/>
  <c r="U1816" i="1"/>
  <c r="R1816" i="1"/>
  <c r="S1816" i="1" s="1"/>
  <c r="Q1816" i="1"/>
  <c r="N1816" i="1"/>
  <c r="O1816" i="1" s="1"/>
  <c r="M1816" i="1"/>
  <c r="J1816" i="1"/>
  <c r="I1816" i="1"/>
  <c r="F1816" i="1"/>
  <c r="E1816" i="1"/>
  <c r="BN1815" i="1"/>
  <c r="BL1815" i="1"/>
  <c r="BJ1815" i="1"/>
  <c r="BI1815" i="1"/>
  <c r="BF1815" i="1"/>
  <c r="BE1815" i="1"/>
  <c r="BC1815" i="1"/>
  <c r="BB1815" i="1"/>
  <c r="BA1815" i="1"/>
  <c r="AY1815" i="1"/>
  <c r="AX1815" i="1"/>
  <c r="AW1815" i="1"/>
  <c r="AT1815" i="1"/>
  <c r="AU1815" i="1" s="1"/>
  <c r="AS1815" i="1"/>
  <c r="AP1815" i="1"/>
  <c r="AO1815" i="1"/>
  <c r="AL1815" i="1"/>
  <c r="AM1815" i="1" s="1"/>
  <c r="AK1815" i="1"/>
  <c r="AH1815" i="1"/>
  <c r="AI1815" i="1" s="1"/>
  <c r="AG1815" i="1"/>
  <c r="AD1815" i="1"/>
  <c r="AC1815" i="1"/>
  <c r="Z1815" i="1"/>
  <c r="Y1815" i="1"/>
  <c r="W1815" i="1"/>
  <c r="V1815" i="1"/>
  <c r="U1815" i="1"/>
  <c r="S1815" i="1"/>
  <c r="R1815" i="1"/>
  <c r="Q1815" i="1"/>
  <c r="N1815" i="1"/>
  <c r="O1815" i="1" s="1"/>
  <c r="M1815" i="1"/>
  <c r="J1815" i="1"/>
  <c r="I1815" i="1"/>
  <c r="F1815" i="1"/>
  <c r="G1815" i="1" s="1"/>
  <c r="E1815" i="1"/>
  <c r="BN1814" i="1"/>
  <c r="BM1814" i="1"/>
  <c r="BL1814" i="1"/>
  <c r="BJ1814" i="1"/>
  <c r="BI1814" i="1"/>
  <c r="BF1814" i="1"/>
  <c r="BG1814" i="1" s="1"/>
  <c r="BE1814" i="1"/>
  <c r="BB1814" i="1"/>
  <c r="BC1814" i="1" s="1"/>
  <c r="BA1814" i="1"/>
  <c r="AX1814" i="1"/>
  <c r="AW1814" i="1"/>
  <c r="AT1814" i="1"/>
  <c r="AS1814" i="1"/>
  <c r="AQ1814" i="1"/>
  <c r="AP1814" i="1"/>
  <c r="AO1814" i="1"/>
  <c r="AM1814" i="1"/>
  <c r="AL1814" i="1"/>
  <c r="AK1814" i="1"/>
  <c r="AH1814" i="1"/>
  <c r="AI1814" i="1" s="1"/>
  <c r="AG1814" i="1"/>
  <c r="AD1814" i="1"/>
  <c r="AC1814" i="1"/>
  <c r="Z1814" i="1"/>
  <c r="AA1814" i="1" s="1"/>
  <c r="Y1814" i="1"/>
  <c r="V1814" i="1"/>
  <c r="W1814" i="1" s="1"/>
  <c r="U1814" i="1"/>
  <c r="R1814" i="1"/>
  <c r="Q1814" i="1"/>
  <c r="N1814" i="1"/>
  <c r="M1814" i="1"/>
  <c r="K1814" i="1"/>
  <c r="J1814" i="1"/>
  <c r="I1814" i="1"/>
  <c r="G1814" i="1"/>
  <c r="F1814" i="1"/>
  <c r="E1814" i="1"/>
  <c r="BN1813" i="1"/>
  <c r="BM1813" i="1"/>
  <c r="BL1813" i="1"/>
  <c r="BJ1813" i="1"/>
  <c r="BI1813" i="1"/>
  <c r="BG1813" i="1"/>
  <c r="BF1813" i="1"/>
  <c r="BE1813" i="1"/>
  <c r="BB1813" i="1"/>
  <c r="BC1813" i="1" s="1"/>
  <c r="BA1813" i="1"/>
  <c r="AX1813" i="1"/>
  <c r="AW1813" i="1"/>
  <c r="AT1813" i="1"/>
  <c r="AU1813" i="1" s="1"/>
  <c r="AS1813" i="1"/>
  <c r="AP1813" i="1"/>
  <c r="AQ1813" i="1" s="1"/>
  <c r="AO1813" i="1"/>
  <c r="AL1813" i="1"/>
  <c r="AK1813" i="1"/>
  <c r="AH1813" i="1"/>
  <c r="AG1813" i="1"/>
  <c r="AE1813" i="1"/>
  <c r="AD1813" i="1"/>
  <c r="AC1813" i="1"/>
  <c r="AA1813" i="1"/>
  <c r="Z1813" i="1"/>
  <c r="Y1813" i="1"/>
  <c r="V1813" i="1"/>
  <c r="W1813" i="1" s="1"/>
  <c r="U1813" i="1"/>
  <c r="R1813" i="1"/>
  <c r="Q1813" i="1"/>
  <c r="N1813" i="1"/>
  <c r="O1813" i="1" s="1"/>
  <c r="M1813" i="1"/>
  <c r="J1813" i="1"/>
  <c r="K1813" i="1" s="1"/>
  <c r="I1813" i="1"/>
  <c r="F1813" i="1"/>
  <c r="G1813" i="1" s="1"/>
  <c r="E1813" i="1"/>
  <c r="BN1812" i="1"/>
  <c r="BL1812" i="1"/>
  <c r="BJ1812" i="1"/>
  <c r="BM1812" i="1" s="1"/>
  <c r="BI1812" i="1"/>
  <c r="BF1812" i="1"/>
  <c r="BE1812" i="1"/>
  <c r="BB1812" i="1"/>
  <c r="BA1812" i="1"/>
  <c r="AY1812" i="1"/>
  <c r="AX1812" i="1"/>
  <c r="AW1812" i="1"/>
  <c r="AU1812" i="1"/>
  <c r="AT1812" i="1"/>
  <c r="AS1812" i="1"/>
  <c r="AP1812" i="1"/>
  <c r="AQ1812" i="1" s="1"/>
  <c r="AO1812" i="1"/>
  <c r="AL1812" i="1"/>
  <c r="AK1812" i="1"/>
  <c r="AH1812" i="1"/>
  <c r="AI1812" i="1" s="1"/>
  <c r="AG1812" i="1"/>
  <c r="AD1812" i="1"/>
  <c r="AE1812" i="1" s="1"/>
  <c r="AC1812" i="1"/>
  <c r="Z1812" i="1"/>
  <c r="Y1812" i="1"/>
  <c r="V1812" i="1"/>
  <c r="U1812" i="1"/>
  <c r="S1812" i="1"/>
  <c r="R1812" i="1"/>
  <c r="Q1812" i="1"/>
  <c r="O1812" i="1"/>
  <c r="N1812" i="1"/>
  <c r="M1812" i="1"/>
  <c r="J1812" i="1"/>
  <c r="K1812" i="1" s="1"/>
  <c r="I1812" i="1"/>
  <c r="F1812" i="1"/>
  <c r="E1812" i="1"/>
  <c r="BN1811" i="1"/>
  <c r="BL1811" i="1"/>
  <c r="BJ1811" i="1"/>
  <c r="BM1811" i="1" s="1"/>
  <c r="BI1811" i="1"/>
  <c r="BF1811" i="1"/>
  <c r="BE1811" i="1"/>
  <c r="BB1811" i="1"/>
  <c r="BC1811" i="1" s="1"/>
  <c r="BA1811" i="1"/>
  <c r="AX1811" i="1"/>
  <c r="AY1811" i="1" s="1"/>
  <c r="AW1811" i="1"/>
  <c r="AT1811" i="1"/>
  <c r="AS1811" i="1"/>
  <c r="AP1811" i="1"/>
  <c r="AO1811" i="1"/>
  <c r="AM1811" i="1"/>
  <c r="AL1811" i="1"/>
  <c r="AK1811" i="1"/>
  <c r="AI1811" i="1"/>
  <c r="AH1811" i="1"/>
  <c r="AG1811" i="1"/>
  <c r="AD1811" i="1"/>
  <c r="AE1811" i="1" s="1"/>
  <c r="AC1811" i="1"/>
  <c r="Z1811" i="1"/>
  <c r="Y1811" i="1"/>
  <c r="V1811" i="1"/>
  <c r="W1811" i="1" s="1"/>
  <c r="U1811" i="1"/>
  <c r="R1811" i="1"/>
  <c r="S1811" i="1" s="1"/>
  <c r="Q1811" i="1"/>
  <c r="N1811" i="1"/>
  <c r="M1811" i="1"/>
  <c r="J1811" i="1"/>
  <c r="I1811" i="1"/>
  <c r="G1811" i="1"/>
  <c r="F1811" i="1"/>
  <c r="E1811" i="1"/>
  <c r="BN1810" i="1"/>
  <c r="BM1810" i="1" s="1"/>
  <c r="BL1810" i="1"/>
  <c r="BJ1810" i="1"/>
  <c r="BI1810" i="1"/>
  <c r="BG1810" i="1"/>
  <c r="BF1810" i="1"/>
  <c r="BE1810" i="1"/>
  <c r="BC1810" i="1"/>
  <c r="BB1810" i="1"/>
  <c r="BA1810" i="1"/>
  <c r="AX1810" i="1"/>
  <c r="AY1810" i="1" s="1"/>
  <c r="AW1810" i="1"/>
  <c r="AT1810" i="1"/>
  <c r="AS1810" i="1"/>
  <c r="AP1810" i="1"/>
  <c r="AQ1810" i="1" s="1"/>
  <c r="AO1810" i="1"/>
  <c r="AL1810" i="1"/>
  <c r="AM1810" i="1" s="1"/>
  <c r="AK1810" i="1"/>
  <c r="AH1810" i="1"/>
  <c r="AG1810" i="1"/>
  <c r="AD1810" i="1"/>
  <c r="AC1810" i="1"/>
  <c r="AA1810" i="1"/>
  <c r="Z1810" i="1"/>
  <c r="Y1810" i="1"/>
  <c r="W1810" i="1"/>
  <c r="V1810" i="1"/>
  <c r="U1810" i="1"/>
  <c r="R1810" i="1"/>
  <c r="S1810" i="1" s="1"/>
  <c r="Q1810" i="1"/>
  <c r="N1810" i="1"/>
  <c r="M1810" i="1"/>
  <c r="J1810" i="1"/>
  <c r="K1810" i="1" s="1"/>
  <c r="I1810" i="1"/>
  <c r="F1810" i="1"/>
  <c r="G1810" i="1" s="1"/>
  <c r="E1810" i="1"/>
  <c r="BN1809" i="1"/>
  <c r="BM1809" i="1"/>
  <c r="BL1809" i="1"/>
  <c r="BJ1809" i="1"/>
  <c r="BI1809" i="1"/>
  <c r="BF1809" i="1"/>
  <c r="BG1809" i="1" s="1"/>
  <c r="BE1809" i="1"/>
  <c r="BB1809" i="1"/>
  <c r="AZ1809" i="1"/>
  <c r="BA1809" i="1" s="1"/>
  <c r="AX1809" i="1"/>
  <c r="AY1809" i="1" s="1"/>
  <c r="AW1809" i="1"/>
  <c r="AT1809" i="1"/>
  <c r="AS1809" i="1"/>
  <c r="AR1809" i="1"/>
  <c r="AQ1809" i="1"/>
  <c r="AP1809" i="1"/>
  <c r="AN1809" i="1"/>
  <c r="AO1809" i="1" s="1"/>
  <c r="AM1809" i="1"/>
  <c r="AL1809" i="1"/>
  <c r="AK1809" i="1"/>
  <c r="AJ1809" i="1"/>
  <c r="AI1809" i="1"/>
  <c r="AH1809" i="1"/>
  <c r="AF1809" i="1"/>
  <c r="AG1809" i="1" s="1"/>
  <c r="AE1809" i="1"/>
  <c r="AD1809" i="1"/>
  <c r="AC1809" i="1"/>
  <c r="AB1809" i="1"/>
  <c r="AA1809" i="1"/>
  <c r="Z1809" i="1"/>
  <c r="X1809" i="1"/>
  <c r="Y1809" i="1" s="1"/>
  <c r="W1809" i="1"/>
  <c r="V1809" i="1"/>
  <c r="U1809" i="1"/>
  <c r="T1809" i="1"/>
  <c r="S1809" i="1"/>
  <c r="R1809" i="1"/>
  <c r="P1809" i="1"/>
  <c r="Q1809" i="1" s="1"/>
  <c r="O1809" i="1"/>
  <c r="N1809" i="1"/>
  <c r="M1809" i="1"/>
  <c r="J1809" i="1"/>
  <c r="K1809" i="1" s="1"/>
  <c r="I1809" i="1"/>
  <c r="G1809" i="1"/>
  <c r="F1809" i="1"/>
  <c r="E1809" i="1"/>
  <c r="BN1808" i="1"/>
  <c r="BM1808" i="1"/>
  <c r="BL1808" i="1"/>
  <c r="BJ1808" i="1"/>
  <c r="BI1808" i="1"/>
  <c r="BG1808" i="1"/>
  <c r="BF1808" i="1"/>
  <c r="BE1808" i="1"/>
  <c r="BB1808" i="1"/>
  <c r="BC1808" i="1" s="1"/>
  <c r="AZ1808" i="1"/>
  <c r="BA1808" i="1" s="1"/>
  <c r="AX1808" i="1"/>
  <c r="AW1808" i="1"/>
  <c r="AT1808" i="1"/>
  <c r="AS1808" i="1"/>
  <c r="AR1808" i="1"/>
  <c r="AQ1808" i="1"/>
  <c r="AP1808" i="1"/>
  <c r="AN1808" i="1"/>
  <c r="AO1808" i="1" s="1"/>
  <c r="AM1808" i="1"/>
  <c r="AL1808" i="1"/>
  <c r="AK1808" i="1"/>
  <c r="AJ1808" i="1"/>
  <c r="AI1808" i="1"/>
  <c r="AH1808" i="1"/>
  <c r="AF1808" i="1"/>
  <c r="AG1808" i="1" s="1"/>
  <c r="AE1808" i="1"/>
  <c r="AD1808" i="1"/>
  <c r="AC1808" i="1"/>
  <c r="AB1808" i="1"/>
  <c r="AA1808" i="1"/>
  <c r="Z1808" i="1"/>
  <c r="X1808" i="1"/>
  <c r="Y1808" i="1" s="1"/>
  <c r="W1808" i="1"/>
  <c r="V1808" i="1"/>
  <c r="U1808" i="1"/>
  <c r="T1808" i="1"/>
  <c r="S1808" i="1"/>
  <c r="R1808" i="1"/>
  <c r="P1808" i="1"/>
  <c r="Q1808" i="1" s="1"/>
  <c r="O1808" i="1"/>
  <c r="N1808" i="1"/>
  <c r="M1808" i="1"/>
  <c r="J1808" i="1"/>
  <c r="K1808" i="1" s="1"/>
  <c r="I1808" i="1"/>
  <c r="G1808" i="1"/>
  <c r="F1808" i="1"/>
  <c r="E1808" i="1"/>
  <c r="BN1807" i="1"/>
  <c r="BM1807" i="1"/>
  <c r="BL1807" i="1"/>
  <c r="BJ1807" i="1"/>
  <c r="BI1807" i="1"/>
  <c r="BG1807" i="1"/>
  <c r="BF1807" i="1"/>
  <c r="BE1807" i="1"/>
  <c r="BB1807" i="1"/>
  <c r="BC1807" i="1" s="1"/>
  <c r="AZ1807" i="1"/>
  <c r="BA1807" i="1" s="1"/>
  <c r="AX1807" i="1"/>
  <c r="AW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J1807" i="1"/>
  <c r="K1807" i="1" s="1"/>
  <c r="I1807" i="1"/>
  <c r="G1807" i="1"/>
  <c r="F1807" i="1"/>
  <c r="E1807" i="1"/>
  <c r="BN1806" i="1"/>
  <c r="BM1806" i="1"/>
  <c r="BL1806" i="1"/>
  <c r="BJ1806" i="1"/>
  <c r="BI1806" i="1"/>
  <c r="BG1806" i="1"/>
  <c r="BF1806" i="1"/>
  <c r="BE1806" i="1"/>
  <c r="BB1806" i="1"/>
  <c r="BA1806" i="1"/>
  <c r="AY1806" i="1"/>
  <c r="AX1806" i="1"/>
  <c r="AW1806" i="1"/>
  <c r="AU1806" i="1"/>
  <c r="AT1806" i="1"/>
  <c r="AS1806" i="1"/>
  <c r="AQ1806" i="1"/>
  <c r="AP1806" i="1"/>
  <c r="AO1806" i="1"/>
  <c r="AL1806" i="1"/>
  <c r="AK1806" i="1"/>
  <c r="AH1806" i="1"/>
  <c r="AG1806" i="1"/>
  <c r="AD1806" i="1"/>
  <c r="AE1806" i="1" s="1"/>
  <c r="AC1806" i="1"/>
  <c r="AA1806" i="1"/>
  <c r="Z1806" i="1"/>
  <c r="Y1806" i="1"/>
  <c r="V1806" i="1"/>
  <c r="U1806" i="1"/>
  <c r="S1806" i="1"/>
  <c r="R1806" i="1"/>
  <c r="Q1806" i="1"/>
  <c r="O1806" i="1"/>
  <c r="N1806" i="1"/>
  <c r="M1806" i="1"/>
  <c r="K1806" i="1"/>
  <c r="J1806" i="1"/>
  <c r="I1806" i="1"/>
  <c r="F1806" i="1"/>
  <c r="G1806" i="1" s="1"/>
  <c r="E1806" i="1"/>
  <c r="BN1805" i="1"/>
  <c r="BL1805" i="1"/>
  <c r="BJ1805" i="1"/>
  <c r="BM1805" i="1" s="1"/>
  <c r="BI1805" i="1"/>
  <c r="BF1805" i="1"/>
  <c r="BE1805" i="1"/>
  <c r="BB1805" i="1"/>
  <c r="BA1805" i="1"/>
  <c r="AX1805" i="1"/>
  <c r="AY1805" i="1" s="1"/>
  <c r="AW1805" i="1"/>
  <c r="AT1805" i="1"/>
  <c r="AS1805" i="1"/>
  <c r="AP1805" i="1"/>
  <c r="AQ1805" i="1" s="1"/>
  <c r="AO1805" i="1"/>
  <c r="AL1805" i="1"/>
  <c r="AK1805" i="1"/>
  <c r="AI1805" i="1"/>
  <c r="AH1805" i="1"/>
  <c r="AG1805" i="1"/>
  <c r="AE1805" i="1"/>
  <c r="AD1805" i="1"/>
  <c r="AC1805" i="1"/>
  <c r="Z1805" i="1"/>
  <c r="Y1805" i="1"/>
  <c r="V1805" i="1"/>
  <c r="U1805" i="1"/>
  <c r="R1805" i="1"/>
  <c r="S1805" i="1" s="1"/>
  <c r="Q1805" i="1"/>
  <c r="N1805" i="1"/>
  <c r="M1805" i="1"/>
  <c r="J1805" i="1"/>
  <c r="K1805" i="1" s="1"/>
  <c r="I1805" i="1"/>
  <c r="F1805" i="1"/>
  <c r="E1805" i="1"/>
  <c r="BN1804" i="1"/>
  <c r="BL1804" i="1"/>
  <c r="BJ1804" i="1"/>
  <c r="BI1804" i="1"/>
  <c r="BF1804" i="1"/>
  <c r="BE1804" i="1"/>
  <c r="BC1804" i="1"/>
  <c r="BB1804" i="1"/>
  <c r="BA1804" i="1"/>
  <c r="AY1804" i="1"/>
  <c r="AX1804" i="1"/>
  <c r="AW1804" i="1"/>
  <c r="AT1804" i="1"/>
  <c r="AS1804" i="1"/>
  <c r="AP1804" i="1"/>
  <c r="AO1804" i="1"/>
  <c r="AL1804" i="1"/>
  <c r="AM1804" i="1" s="1"/>
  <c r="AK1804" i="1"/>
  <c r="AI1804" i="1"/>
  <c r="AH1804" i="1"/>
  <c r="AG1804" i="1"/>
  <c r="AD1804" i="1"/>
  <c r="AE1804" i="1" s="1"/>
  <c r="AC1804" i="1"/>
  <c r="Z1804" i="1"/>
  <c r="Y1804" i="1"/>
  <c r="W1804" i="1"/>
  <c r="V1804" i="1"/>
  <c r="U1804" i="1"/>
  <c r="S1804" i="1"/>
  <c r="R1804" i="1"/>
  <c r="Q1804" i="1"/>
  <c r="N1804" i="1"/>
  <c r="M1804" i="1"/>
  <c r="J1804" i="1"/>
  <c r="I1804" i="1"/>
  <c r="F1804" i="1"/>
  <c r="G1804" i="1" s="1"/>
  <c r="E1804" i="1"/>
  <c r="BN1803" i="1"/>
  <c r="BM1803" i="1" s="1"/>
  <c r="BL1803" i="1"/>
  <c r="BJ1803" i="1"/>
  <c r="BI1803" i="1"/>
  <c r="BF1803" i="1"/>
  <c r="BG1803" i="1" s="1"/>
  <c r="BE1803" i="1"/>
  <c r="BC1803" i="1"/>
  <c r="BB1803" i="1"/>
  <c r="BA1803" i="1"/>
  <c r="AX1803" i="1"/>
  <c r="AW1803" i="1"/>
  <c r="AU1803" i="1"/>
  <c r="AT1803" i="1"/>
  <c r="AS1803" i="1"/>
  <c r="AQ1803" i="1"/>
  <c r="AP1803" i="1"/>
  <c r="AO1803" i="1"/>
  <c r="AM1803" i="1"/>
  <c r="AL1803" i="1"/>
  <c r="AK1803" i="1"/>
  <c r="AH1803" i="1"/>
  <c r="AG1803" i="1"/>
  <c r="AD1803" i="1"/>
  <c r="AC1803" i="1"/>
  <c r="Z1803" i="1"/>
  <c r="AA1803" i="1" s="1"/>
  <c r="Y1803" i="1"/>
  <c r="W1803" i="1"/>
  <c r="V1803" i="1"/>
  <c r="U1803" i="1"/>
  <c r="R1803" i="1"/>
  <c r="Q1803" i="1"/>
  <c r="O1803" i="1"/>
  <c r="N1803" i="1"/>
  <c r="M1803" i="1"/>
  <c r="K1803" i="1"/>
  <c r="J1803" i="1"/>
  <c r="I1803" i="1"/>
  <c r="G1803" i="1"/>
  <c r="F1803" i="1"/>
  <c r="E1803" i="1"/>
  <c r="BN1802" i="1"/>
  <c r="BM1802" i="1"/>
  <c r="BL1802" i="1"/>
  <c r="BJ1802" i="1"/>
  <c r="BI1802" i="1"/>
  <c r="BG1802" i="1"/>
  <c r="BF1802" i="1"/>
  <c r="BE1802" i="1"/>
  <c r="BB1802" i="1"/>
  <c r="BA1802" i="1"/>
  <c r="AX1802" i="1"/>
  <c r="AW1802" i="1"/>
  <c r="AT1802" i="1"/>
  <c r="AU1802" i="1" s="1"/>
  <c r="AS1802" i="1"/>
  <c r="AQ1802" i="1"/>
  <c r="AP1802" i="1"/>
  <c r="AO1802" i="1"/>
  <c r="AL1802" i="1"/>
  <c r="AK1802" i="1"/>
  <c r="AI1802" i="1"/>
  <c r="AH1802" i="1"/>
  <c r="AG1802" i="1"/>
  <c r="AE1802" i="1"/>
  <c r="AD1802" i="1"/>
  <c r="AC1802" i="1"/>
  <c r="AA1802" i="1"/>
  <c r="Z1802" i="1"/>
  <c r="Y1802" i="1"/>
  <c r="V1802" i="1"/>
  <c r="U1802" i="1"/>
  <c r="R1802" i="1"/>
  <c r="Q1802" i="1"/>
  <c r="N1802" i="1"/>
  <c r="O1802" i="1" s="1"/>
  <c r="M1802" i="1"/>
  <c r="K1802" i="1"/>
  <c r="J1802" i="1"/>
  <c r="I1802" i="1"/>
  <c r="F1802" i="1"/>
  <c r="E1802" i="1"/>
  <c r="BN1801" i="1"/>
  <c r="BL1801" i="1"/>
  <c r="BJ1801" i="1"/>
  <c r="BI1801" i="1"/>
  <c r="BF1801" i="1"/>
  <c r="BG1801" i="1" s="1"/>
  <c r="BE1801" i="1"/>
  <c r="BB1801" i="1"/>
  <c r="BA1801" i="1"/>
  <c r="AY1801" i="1"/>
  <c r="AX1801" i="1"/>
  <c r="AW1801" i="1"/>
  <c r="AU1801" i="1"/>
  <c r="AT1801" i="1"/>
  <c r="AS1801" i="1"/>
  <c r="AP1801" i="1"/>
  <c r="AO1801" i="1"/>
  <c r="AL1801" i="1"/>
  <c r="AK1801" i="1"/>
  <c r="AH1801" i="1"/>
  <c r="AI1801" i="1" s="1"/>
  <c r="AG1801" i="1"/>
  <c r="AD1801" i="1"/>
  <c r="AC1801" i="1"/>
  <c r="Z1801" i="1"/>
  <c r="AA1801" i="1" s="1"/>
  <c r="Y1801" i="1"/>
  <c r="V1801" i="1"/>
  <c r="U1801" i="1"/>
  <c r="S1801" i="1"/>
  <c r="R1801" i="1"/>
  <c r="Q1801" i="1"/>
  <c r="O1801" i="1"/>
  <c r="N1801" i="1"/>
  <c r="M1801" i="1"/>
  <c r="J1801" i="1"/>
  <c r="I1801" i="1"/>
  <c r="F1801" i="1"/>
  <c r="E1801" i="1"/>
  <c r="BN1800" i="1"/>
  <c r="BM1800" i="1"/>
  <c r="BL1800" i="1"/>
  <c r="BJ1800" i="1"/>
  <c r="BG1800" i="1" s="1"/>
  <c r="BI1800" i="1"/>
  <c r="BF1800" i="1"/>
  <c r="BE1800" i="1"/>
  <c r="BB1800" i="1"/>
  <c r="BC1800" i="1" s="1"/>
  <c r="BA1800" i="1"/>
  <c r="AY1800" i="1"/>
  <c r="AX1800" i="1"/>
  <c r="AW1800" i="1"/>
  <c r="AT1800" i="1"/>
  <c r="AS1800" i="1"/>
  <c r="AP1800" i="1"/>
  <c r="AO1800" i="1"/>
  <c r="AM1800" i="1"/>
  <c r="AL1800" i="1"/>
  <c r="AK1800" i="1"/>
  <c r="AI1800" i="1"/>
  <c r="AH1800" i="1"/>
  <c r="AG1800" i="1"/>
  <c r="AD1800" i="1"/>
  <c r="AC1800" i="1"/>
  <c r="Z1800" i="1"/>
  <c r="Y1800" i="1"/>
  <c r="V1800" i="1"/>
  <c r="W1800" i="1" s="1"/>
  <c r="U1800" i="1"/>
  <c r="S1800" i="1"/>
  <c r="R1800" i="1"/>
  <c r="Q1800" i="1"/>
  <c r="N1800" i="1"/>
  <c r="O1800" i="1" s="1"/>
  <c r="M1800" i="1"/>
  <c r="J1800" i="1"/>
  <c r="I1800" i="1"/>
  <c r="G1800" i="1"/>
  <c r="F1800" i="1"/>
  <c r="E1800" i="1"/>
  <c r="BN1799" i="1"/>
  <c r="BM1799" i="1" s="1"/>
  <c r="BL1799" i="1"/>
  <c r="BJ1799" i="1"/>
  <c r="BI1799" i="1"/>
  <c r="BG1799" i="1"/>
  <c r="BF1799" i="1"/>
  <c r="BE1799" i="1"/>
  <c r="BC1799" i="1"/>
  <c r="BB1799" i="1"/>
  <c r="BA1799" i="1"/>
  <c r="AX1799" i="1"/>
  <c r="AW1799" i="1"/>
  <c r="AT1799" i="1"/>
  <c r="AS1799" i="1"/>
  <c r="AP1799" i="1"/>
  <c r="AQ1799" i="1" s="1"/>
  <c r="AO1799" i="1"/>
  <c r="AM1799" i="1"/>
  <c r="AL1799" i="1"/>
  <c r="AK1799" i="1"/>
  <c r="AH1799" i="1"/>
  <c r="AG1799" i="1"/>
  <c r="AE1799" i="1"/>
  <c r="AD1799" i="1"/>
  <c r="AC1799" i="1"/>
  <c r="AA1799" i="1"/>
  <c r="Z1799" i="1"/>
  <c r="Y1799" i="1"/>
  <c r="W1799" i="1"/>
  <c r="V1799" i="1"/>
  <c r="U1799" i="1"/>
  <c r="R1799" i="1"/>
  <c r="Q1799" i="1"/>
  <c r="N1799" i="1"/>
  <c r="M1799" i="1"/>
  <c r="J1799" i="1"/>
  <c r="K1799" i="1" s="1"/>
  <c r="I1799" i="1"/>
  <c r="G1799" i="1"/>
  <c r="F1799" i="1"/>
  <c r="E1799" i="1"/>
  <c r="BN1798" i="1"/>
  <c r="BM1798" i="1"/>
  <c r="BL1798" i="1"/>
  <c r="BJ1798" i="1"/>
  <c r="BI1798" i="1"/>
  <c r="BG1798" i="1"/>
  <c r="BF1798" i="1"/>
  <c r="BE1798" i="1"/>
  <c r="BB1798" i="1"/>
  <c r="BA1798" i="1"/>
  <c r="AY1798" i="1"/>
  <c r="AX1798" i="1"/>
  <c r="AW1798" i="1"/>
  <c r="AU1798" i="1"/>
  <c r="AT1798" i="1"/>
  <c r="AS1798" i="1"/>
  <c r="AQ1798" i="1"/>
  <c r="AP1798" i="1"/>
  <c r="AO1798" i="1"/>
  <c r="AL1798" i="1"/>
  <c r="AK1798" i="1"/>
  <c r="AH1798" i="1"/>
  <c r="AG1798" i="1"/>
  <c r="AD1798" i="1"/>
  <c r="AE1798" i="1" s="1"/>
  <c r="AC1798" i="1"/>
  <c r="AA1798" i="1"/>
  <c r="Z1798" i="1"/>
  <c r="Y1798" i="1"/>
  <c r="V1798" i="1"/>
  <c r="U1798" i="1"/>
  <c r="S1798" i="1"/>
  <c r="R1798" i="1"/>
  <c r="Q1798" i="1"/>
  <c r="O1798" i="1"/>
  <c r="N1798" i="1"/>
  <c r="M1798" i="1"/>
  <c r="K1798" i="1"/>
  <c r="J1798" i="1"/>
  <c r="I1798" i="1"/>
  <c r="F1798" i="1"/>
  <c r="G1798" i="1" s="1"/>
  <c r="E1798" i="1"/>
  <c r="BN1797" i="1"/>
  <c r="BL1797" i="1"/>
  <c r="BJ1797" i="1"/>
  <c r="BM1797" i="1" s="1"/>
  <c r="BI1797" i="1"/>
  <c r="BF1797" i="1"/>
  <c r="BE1797" i="1"/>
  <c r="BB1797" i="1"/>
  <c r="BA1797" i="1"/>
  <c r="AX1797" i="1"/>
  <c r="AY1797" i="1" s="1"/>
  <c r="AW1797" i="1"/>
  <c r="AT1797" i="1"/>
  <c r="AS1797" i="1"/>
  <c r="AP1797" i="1"/>
  <c r="AQ1797" i="1" s="1"/>
  <c r="AO1797" i="1"/>
  <c r="AL1797" i="1"/>
  <c r="AK1797" i="1"/>
  <c r="AI1797" i="1"/>
  <c r="AH1797" i="1"/>
  <c r="AG1797" i="1"/>
  <c r="AE1797" i="1"/>
  <c r="AD1797" i="1"/>
  <c r="AC1797" i="1"/>
  <c r="Z1797" i="1"/>
  <c r="Y1797" i="1"/>
  <c r="V1797" i="1"/>
  <c r="U1797" i="1"/>
  <c r="R1797" i="1"/>
  <c r="S1797" i="1" s="1"/>
  <c r="Q1797" i="1"/>
  <c r="N1797" i="1"/>
  <c r="O1797" i="1" s="1"/>
  <c r="M1797" i="1"/>
  <c r="J1797" i="1"/>
  <c r="K1797" i="1" s="1"/>
  <c r="I1797" i="1"/>
  <c r="F1797" i="1"/>
  <c r="E1797" i="1"/>
  <c r="BN1796" i="1"/>
  <c r="BL1796" i="1"/>
  <c r="BJ1796" i="1"/>
  <c r="BM1796" i="1" s="1"/>
  <c r="BI1796" i="1"/>
  <c r="BF1796" i="1"/>
  <c r="BE1796" i="1"/>
  <c r="BC1796" i="1"/>
  <c r="BB1796" i="1"/>
  <c r="BA1796" i="1"/>
  <c r="AY1796" i="1"/>
  <c r="AX1796" i="1"/>
  <c r="AW1796" i="1"/>
  <c r="AT1796" i="1"/>
  <c r="AS1796" i="1"/>
  <c r="AP1796" i="1"/>
  <c r="AO1796" i="1"/>
  <c r="AL1796" i="1"/>
  <c r="AM1796" i="1" s="1"/>
  <c r="AK1796" i="1"/>
  <c r="AI1796" i="1"/>
  <c r="AH1796" i="1"/>
  <c r="AG1796" i="1"/>
  <c r="AD1796" i="1"/>
  <c r="AC1796" i="1"/>
  <c r="Z1796" i="1"/>
  <c r="Y1796" i="1"/>
  <c r="W1796" i="1"/>
  <c r="V1796" i="1"/>
  <c r="U1796" i="1"/>
  <c r="S1796" i="1"/>
  <c r="R1796" i="1"/>
  <c r="Q1796" i="1"/>
  <c r="N1796" i="1"/>
  <c r="M1796" i="1"/>
  <c r="J1796" i="1"/>
  <c r="I1796" i="1"/>
  <c r="F1796" i="1"/>
  <c r="G1796" i="1" s="1"/>
  <c r="E1796" i="1"/>
  <c r="BN1795" i="1"/>
  <c r="BM1795" i="1" s="1"/>
  <c r="BL1795" i="1"/>
  <c r="BJ1795" i="1"/>
  <c r="BI1795" i="1"/>
  <c r="BF1795" i="1"/>
  <c r="BG1795" i="1" s="1"/>
  <c r="BE1795" i="1"/>
  <c r="BC1795" i="1"/>
  <c r="BB1795" i="1"/>
  <c r="BA1795" i="1"/>
  <c r="AX1795" i="1"/>
  <c r="AW1795" i="1"/>
  <c r="AU1795" i="1"/>
  <c r="AT1795" i="1"/>
  <c r="AS1795" i="1"/>
  <c r="AQ1795" i="1"/>
  <c r="AP1795" i="1"/>
  <c r="AO1795" i="1"/>
  <c r="AM1795" i="1"/>
  <c r="AL1795" i="1"/>
  <c r="AK1795" i="1"/>
  <c r="AH1795" i="1"/>
  <c r="AG1795" i="1"/>
  <c r="AD1795" i="1"/>
  <c r="AC1795" i="1"/>
  <c r="Z1795" i="1"/>
  <c r="AA1795" i="1" s="1"/>
  <c r="Y1795" i="1"/>
  <c r="V1795" i="1"/>
  <c r="W1795" i="1" s="1"/>
  <c r="U1795" i="1"/>
  <c r="R1795" i="1"/>
  <c r="Q1795" i="1"/>
  <c r="O1795" i="1"/>
  <c r="N1795" i="1"/>
  <c r="M1795" i="1"/>
  <c r="K1795" i="1"/>
  <c r="J1795" i="1"/>
  <c r="I1795" i="1"/>
  <c r="G1795" i="1"/>
  <c r="F1795" i="1"/>
  <c r="E1795" i="1"/>
  <c r="BN1794" i="1"/>
  <c r="BM1794" i="1"/>
  <c r="BL1794" i="1"/>
  <c r="BJ1794" i="1"/>
  <c r="BI1794" i="1"/>
  <c r="BG1794" i="1"/>
  <c r="BF1794" i="1"/>
  <c r="BE1794" i="1"/>
  <c r="BB1794" i="1"/>
  <c r="BA1794" i="1"/>
  <c r="AX1794" i="1"/>
  <c r="AW1794" i="1"/>
  <c r="AT1794" i="1"/>
  <c r="AU1794" i="1" s="1"/>
  <c r="AS1794" i="1"/>
  <c r="AQ1794" i="1"/>
  <c r="AP1794" i="1"/>
  <c r="AO1794" i="1"/>
  <c r="AL1794" i="1"/>
  <c r="AK1794" i="1"/>
  <c r="AI1794" i="1"/>
  <c r="AH1794" i="1"/>
  <c r="AG1794" i="1"/>
  <c r="AE1794" i="1"/>
  <c r="AD1794" i="1"/>
  <c r="AC1794" i="1"/>
  <c r="AA1794" i="1"/>
  <c r="Z1794" i="1"/>
  <c r="Y1794" i="1"/>
  <c r="V1794" i="1"/>
  <c r="U1794" i="1"/>
  <c r="R1794" i="1"/>
  <c r="Q1794" i="1"/>
  <c r="N1794" i="1"/>
  <c r="O1794" i="1" s="1"/>
  <c r="M1794" i="1"/>
  <c r="J1794" i="1"/>
  <c r="K1794" i="1" s="1"/>
  <c r="I1794" i="1"/>
  <c r="F1794" i="1"/>
  <c r="E1794" i="1"/>
  <c r="BN1793" i="1"/>
  <c r="BL1793" i="1"/>
  <c r="BJ1793" i="1"/>
  <c r="BI1793" i="1"/>
  <c r="BF1793" i="1"/>
  <c r="BG1793" i="1" s="1"/>
  <c r="BE1793" i="1"/>
  <c r="BB1793" i="1"/>
  <c r="BA1793" i="1"/>
  <c r="AY1793" i="1"/>
  <c r="AX1793" i="1"/>
  <c r="AW1793" i="1"/>
  <c r="AU1793" i="1"/>
  <c r="AT1793" i="1"/>
  <c r="AS1793" i="1"/>
  <c r="AP1793" i="1"/>
  <c r="AO1793" i="1"/>
  <c r="AL1793" i="1"/>
  <c r="AK1793" i="1"/>
  <c r="AH1793" i="1"/>
  <c r="AI1793" i="1" s="1"/>
  <c r="AF1793" i="1"/>
  <c r="AG1793" i="1" s="1"/>
  <c r="AD1793" i="1"/>
  <c r="AB1793" i="1"/>
  <c r="AC1793" i="1" s="1"/>
  <c r="Z1793" i="1"/>
  <c r="AA1793" i="1" s="1"/>
  <c r="Y1793" i="1"/>
  <c r="V1793" i="1"/>
  <c r="W1793" i="1" s="1"/>
  <c r="U1793" i="1"/>
  <c r="R1793" i="1"/>
  <c r="Q1793" i="1"/>
  <c r="O1793" i="1"/>
  <c r="N1793" i="1"/>
  <c r="M1793" i="1"/>
  <c r="K1793" i="1"/>
  <c r="J1793" i="1"/>
  <c r="I1793" i="1"/>
  <c r="G1793" i="1"/>
  <c r="F1793" i="1"/>
  <c r="E1793" i="1"/>
  <c r="BN1792" i="1"/>
  <c r="BM1792" i="1"/>
  <c r="BL1792" i="1"/>
  <c r="BJ1792" i="1"/>
  <c r="BI1792" i="1"/>
  <c r="BG1792" i="1"/>
  <c r="BF1792" i="1"/>
  <c r="BE1792" i="1"/>
  <c r="BB1792" i="1"/>
  <c r="BA1792" i="1"/>
  <c r="AX1792" i="1"/>
  <c r="AW1792" i="1"/>
  <c r="AT1792" i="1"/>
  <c r="AU1792" i="1" s="1"/>
  <c r="AS1792" i="1"/>
  <c r="AP1792" i="1"/>
  <c r="AQ1792" i="1" s="1"/>
  <c r="AO1792" i="1"/>
  <c r="AL1792" i="1"/>
  <c r="AK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W1792" i="1"/>
  <c r="V1792" i="1"/>
  <c r="U1792" i="1"/>
  <c r="S1792" i="1"/>
  <c r="R1792" i="1"/>
  <c r="Q1792" i="1"/>
  <c r="N1792" i="1"/>
  <c r="M1792" i="1"/>
  <c r="J1792" i="1"/>
  <c r="I1792" i="1"/>
  <c r="F1792" i="1"/>
  <c r="G1792" i="1" s="1"/>
  <c r="E1792" i="1"/>
  <c r="BN1791" i="1"/>
  <c r="BM1791" i="1"/>
  <c r="BL1791" i="1"/>
  <c r="BJ1791" i="1"/>
  <c r="BI1791" i="1"/>
  <c r="BF1791" i="1"/>
  <c r="BG1791" i="1" s="1"/>
  <c r="BE1791" i="1"/>
  <c r="BB1791" i="1"/>
  <c r="BA1791" i="1"/>
  <c r="AX1791" i="1"/>
  <c r="AY1791" i="1" s="1"/>
  <c r="AW1791" i="1"/>
  <c r="AT1791" i="1"/>
  <c r="AS1791" i="1"/>
  <c r="AQ1791" i="1"/>
  <c r="AP1791" i="1"/>
  <c r="AO1791" i="1"/>
  <c r="AM1791" i="1"/>
  <c r="AL1791" i="1"/>
  <c r="AK1791" i="1"/>
  <c r="AH1791" i="1"/>
  <c r="AI1791" i="1" s="1"/>
  <c r="AG1791" i="1"/>
  <c r="AF1791" i="1"/>
  <c r="AD1791" i="1"/>
  <c r="AB1791" i="1"/>
  <c r="AC1791" i="1" s="1"/>
  <c r="Z1791" i="1"/>
  <c r="Y1791" i="1"/>
  <c r="V1791" i="1"/>
  <c r="U1791" i="1"/>
  <c r="R1791" i="1"/>
  <c r="S1791" i="1" s="1"/>
  <c r="Q1791" i="1"/>
  <c r="N1791" i="1"/>
  <c r="O1791" i="1" s="1"/>
  <c r="M1791" i="1"/>
  <c r="J1791" i="1"/>
  <c r="I1791" i="1"/>
  <c r="G1791" i="1"/>
  <c r="F1791" i="1"/>
  <c r="E1791" i="1"/>
  <c r="BN1790" i="1"/>
  <c r="BL1790" i="1"/>
  <c r="BJ1790" i="1"/>
  <c r="BM1790" i="1" s="1"/>
  <c r="BI1790" i="1"/>
  <c r="BF1790" i="1"/>
  <c r="BE1790" i="1"/>
  <c r="BC1790" i="1"/>
  <c r="BB1790" i="1"/>
  <c r="BA1790" i="1"/>
  <c r="AY1790" i="1"/>
  <c r="AX1790" i="1"/>
  <c r="AW1790" i="1"/>
  <c r="AT1790" i="1"/>
  <c r="AS1790" i="1"/>
  <c r="AP1790" i="1"/>
  <c r="AO1790" i="1"/>
  <c r="AL1790" i="1"/>
  <c r="AM1790" i="1" s="1"/>
  <c r="AK1790" i="1"/>
  <c r="AH1790" i="1"/>
  <c r="AG1790" i="1"/>
  <c r="AD1790" i="1"/>
  <c r="AE1790" i="1" s="1"/>
  <c r="AC1790" i="1"/>
  <c r="Z1790" i="1"/>
  <c r="Y1790" i="1"/>
  <c r="W1790" i="1"/>
  <c r="V1790" i="1"/>
  <c r="U1790" i="1"/>
  <c r="S1790" i="1"/>
  <c r="R1790" i="1"/>
  <c r="Q1790" i="1"/>
  <c r="N1790" i="1"/>
  <c r="M1790" i="1"/>
  <c r="J1790" i="1"/>
  <c r="I1790" i="1"/>
  <c r="F1790" i="1"/>
  <c r="G1790" i="1" s="1"/>
  <c r="E1790" i="1"/>
  <c r="BN1789" i="1"/>
  <c r="BM1789" i="1"/>
  <c r="BL1789" i="1"/>
  <c r="BJ1789" i="1"/>
  <c r="BI1789" i="1"/>
  <c r="BF1789" i="1"/>
  <c r="BG1789" i="1" s="1"/>
  <c r="BE1789" i="1"/>
  <c r="BC1789" i="1"/>
  <c r="BB1789" i="1"/>
  <c r="BA1789" i="1"/>
  <c r="AX1789" i="1"/>
  <c r="AY1789" i="1" s="1"/>
  <c r="AW1789" i="1"/>
  <c r="AT1789" i="1"/>
  <c r="AS1789" i="1"/>
  <c r="AQ1789" i="1"/>
  <c r="AP1789" i="1"/>
  <c r="AO1789" i="1"/>
  <c r="AM1789" i="1"/>
  <c r="AL1789" i="1"/>
  <c r="AK1789" i="1"/>
  <c r="AH1789" i="1"/>
  <c r="AG1789" i="1"/>
  <c r="AD1789" i="1"/>
  <c r="AC1789" i="1"/>
  <c r="Z1789" i="1"/>
  <c r="AA1789" i="1" s="1"/>
  <c r="Y1789" i="1"/>
  <c r="W1789" i="1"/>
  <c r="V1789" i="1"/>
  <c r="U1789" i="1"/>
  <c r="R1789" i="1"/>
  <c r="Q1789" i="1"/>
  <c r="N1789" i="1"/>
  <c r="M1789" i="1"/>
  <c r="K1789" i="1"/>
  <c r="J1789" i="1"/>
  <c r="I1789" i="1"/>
  <c r="G1789" i="1"/>
  <c r="F1789" i="1"/>
  <c r="E1789" i="1"/>
  <c r="BN1788" i="1"/>
  <c r="BM1788" i="1"/>
  <c r="BL1788" i="1"/>
  <c r="BJ1788" i="1"/>
  <c r="BI1788" i="1"/>
  <c r="BG1788" i="1"/>
  <c r="BF1788" i="1"/>
  <c r="BE1788" i="1"/>
  <c r="BB1788" i="1"/>
  <c r="BA1788" i="1"/>
  <c r="AX1788" i="1"/>
  <c r="AW1788" i="1"/>
  <c r="AT1788" i="1"/>
  <c r="AU1788" i="1" s="1"/>
  <c r="AS1788" i="1"/>
  <c r="AQ1788" i="1"/>
  <c r="AP1788" i="1"/>
  <c r="AO1788" i="1"/>
  <c r="AL1788" i="1"/>
  <c r="AM1788" i="1" s="1"/>
  <c r="AK1788" i="1"/>
  <c r="AH1788" i="1"/>
  <c r="AG1788" i="1"/>
  <c r="AE1788" i="1"/>
  <c r="AD1788" i="1"/>
  <c r="AC1788" i="1"/>
  <c r="AA1788" i="1"/>
  <c r="Z1788" i="1"/>
  <c r="Y1788" i="1"/>
  <c r="V1788" i="1"/>
  <c r="W1788" i="1" s="1"/>
  <c r="U1788" i="1"/>
  <c r="S1788" i="1"/>
  <c r="R1788" i="1"/>
  <c r="Q1788" i="1"/>
  <c r="N1788" i="1"/>
  <c r="O1788" i="1" s="1"/>
  <c r="M1788" i="1"/>
  <c r="J1788" i="1"/>
  <c r="I1788" i="1"/>
  <c r="F1788" i="1"/>
  <c r="G1788" i="1" s="1"/>
  <c r="E1788" i="1"/>
  <c r="BN1787" i="1"/>
  <c r="BL1787" i="1"/>
  <c r="BJ1787" i="1"/>
  <c r="BM1787" i="1" s="1"/>
  <c r="BI1787" i="1"/>
  <c r="BF1787" i="1"/>
  <c r="BE1787" i="1"/>
  <c r="BC1787" i="1"/>
  <c r="BB1787" i="1"/>
  <c r="BA1787" i="1"/>
  <c r="AX1787" i="1"/>
  <c r="AY1787" i="1" s="1"/>
  <c r="AW1787" i="1"/>
  <c r="AT1787" i="1"/>
  <c r="AS1787" i="1"/>
  <c r="AP1787" i="1"/>
  <c r="AQ1787" i="1" s="1"/>
  <c r="AO1787" i="1"/>
  <c r="AM1787" i="1"/>
  <c r="AL1787" i="1"/>
  <c r="AK1787" i="1"/>
  <c r="AH1787" i="1"/>
  <c r="AI1787" i="1" s="1"/>
  <c r="AG1787" i="1"/>
  <c r="AE1787" i="1"/>
  <c r="AD1787" i="1"/>
  <c r="AC1787" i="1"/>
  <c r="Z1787" i="1"/>
  <c r="AA1787" i="1" s="1"/>
  <c r="Y1787" i="1"/>
  <c r="V1787" i="1"/>
  <c r="U1787" i="1"/>
  <c r="S1787" i="1"/>
  <c r="R1787" i="1"/>
  <c r="Q1787" i="1"/>
  <c r="N1787" i="1"/>
  <c r="O1787" i="1" s="1"/>
  <c r="M1787" i="1"/>
  <c r="J1787" i="1"/>
  <c r="I1787" i="1"/>
  <c r="G1787" i="1"/>
  <c r="F1787" i="1"/>
  <c r="E1787" i="1"/>
  <c r="BN1786" i="1"/>
  <c r="BM1786" i="1"/>
  <c r="BL1786" i="1"/>
  <c r="BJ1786" i="1"/>
  <c r="BI1786" i="1"/>
  <c r="BG1786" i="1"/>
  <c r="BF1786" i="1"/>
  <c r="BE1786" i="1"/>
  <c r="BB1786" i="1"/>
  <c r="BC1786" i="1" s="1"/>
  <c r="BA1786" i="1"/>
  <c r="AX1786" i="1"/>
  <c r="AY1786" i="1" s="1"/>
  <c r="AW1786" i="1"/>
  <c r="AT1786" i="1"/>
  <c r="AS1786" i="1"/>
  <c r="AP1786" i="1"/>
  <c r="AQ1786" i="1" s="1"/>
  <c r="AO1786" i="1"/>
  <c r="AL1786" i="1"/>
  <c r="AM1786" i="1" s="1"/>
  <c r="AK1786" i="1"/>
  <c r="AH1786" i="1"/>
  <c r="AG1786" i="1"/>
  <c r="AE1786" i="1"/>
  <c r="AD1786" i="1"/>
  <c r="AC1786" i="1"/>
  <c r="AA1786" i="1"/>
  <c r="Z1786" i="1"/>
  <c r="Y1786" i="1"/>
  <c r="V1786" i="1"/>
  <c r="W1786" i="1" s="1"/>
  <c r="U1786" i="1"/>
  <c r="R1786" i="1"/>
  <c r="Q1786" i="1"/>
  <c r="O1786" i="1"/>
  <c r="N1786" i="1"/>
  <c r="M1786" i="1"/>
  <c r="J1786" i="1"/>
  <c r="K1786" i="1" s="1"/>
  <c r="I1786" i="1"/>
  <c r="F1786" i="1"/>
  <c r="G1786" i="1" s="1"/>
  <c r="E1786" i="1"/>
  <c r="BN1785" i="1"/>
  <c r="BL1785" i="1"/>
  <c r="BJ1785" i="1"/>
  <c r="BM1785" i="1" s="1"/>
  <c r="BI1785" i="1"/>
  <c r="BF1785" i="1"/>
  <c r="BG1785" i="1" s="1"/>
  <c r="BE1785" i="1"/>
  <c r="BB1785" i="1"/>
  <c r="BC1785" i="1" s="1"/>
  <c r="BA1785" i="1"/>
  <c r="AY1785" i="1"/>
  <c r="AX1785" i="1"/>
  <c r="AW1785" i="1"/>
  <c r="AU1785" i="1"/>
  <c r="AT1785" i="1"/>
  <c r="AS1785" i="1"/>
  <c r="AP1785" i="1"/>
  <c r="AQ1785" i="1" s="1"/>
  <c r="AO1785" i="1"/>
  <c r="AL1785" i="1"/>
  <c r="AK1785" i="1"/>
  <c r="AI1785" i="1"/>
  <c r="AH1785" i="1"/>
  <c r="AG1785" i="1"/>
  <c r="AD1785" i="1"/>
  <c r="AE1785" i="1" s="1"/>
  <c r="AC1785" i="1"/>
  <c r="Z1785" i="1"/>
  <c r="AA1785" i="1" s="1"/>
  <c r="Y1785" i="1"/>
  <c r="V1785" i="1"/>
  <c r="U1785" i="1"/>
  <c r="S1785" i="1"/>
  <c r="R1785" i="1"/>
  <c r="Q1785" i="1"/>
  <c r="O1785" i="1"/>
  <c r="N1785" i="1"/>
  <c r="M1785" i="1"/>
  <c r="J1785" i="1"/>
  <c r="K1785" i="1" s="1"/>
  <c r="I1785" i="1"/>
  <c r="F1785" i="1"/>
  <c r="E1785" i="1"/>
  <c r="BN1784" i="1"/>
  <c r="BL1784" i="1"/>
  <c r="BJ1784" i="1"/>
  <c r="BM1784" i="1" s="1"/>
  <c r="BI1784" i="1"/>
  <c r="BF1784" i="1"/>
  <c r="BE1784" i="1"/>
  <c r="BC1784" i="1"/>
  <c r="BB1784" i="1"/>
  <c r="BA1784" i="1"/>
  <c r="AX1784" i="1"/>
  <c r="AY1784" i="1" s="1"/>
  <c r="AW1784" i="1"/>
  <c r="AT1784" i="1"/>
  <c r="AU1784" i="1" s="1"/>
  <c r="AS1784" i="1"/>
  <c r="AP1784" i="1"/>
  <c r="AQ1784" i="1" s="1"/>
  <c r="AO1784" i="1"/>
  <c r="AM1784" i="1"/>
  <c r="AL1784" i="1"/>
  <c r="AK1784" i="1"/>
  <c r="AI1784" i="1"/>
  <c r="AH1784" i="1"/>
  <c r="AG1784" i="1"/>
  <c r="AD1784" i="1"/>
  <c r="AE1784" i="1" s="1"/>
  <c r="AC1784" i="1"/>
  <c r="Z1784" i="1"/>
  <c r="Y1784" i="1"/>
  <c r="W1784" i="1"/>
  <c r="V1784" i="1"/>
  <c r="U1784" i="1"/>
  <c r="R1784" i="1"/>
  <c r="S1784" i="1" s="1"/>
  <c r="Q1784" i="1"/>
  <c r="N1784" i="1"/>
  <c r="O1784" i="1" s="1"/>
  <c r="M1784" i="1"/>
  <c r="J1784" i="1"/>
  <c r="I1784" i="1"/>
  <c r="G1784" i="1"/>
  <c r="F1784" i="1"/>
  <c r="E1784" i="1"/>
  <c r="BN1783" i="1"/>
  <c r="BM1783" i="1" s="1"/>
  <c r="BL1783" i="1"/>
  <c r="BJ1783" i="1"/>
  <c r="BI1783" i="1"/>
  <c r="BG1783" i="1"/>
  <c r="BF1783" i="1"/>
  <c r="BE1783" i="1"/>
  <c r="BC1783" i="1"/>
  <c r="BB1783" i="1"/>
  <c r="BA1783" i="1"/>
  <c r="AX1783" i="1"/>
  <c r="AY1783" i="1" s="1"/>
  <c r="AW1783" i="1"/>
  <c r="AT1783" i="1"/>
  <c r="AS1783" i="1"/>
  <c r="AQ1783" i="1"/>
  <c r="AP1783" i="1"/>
  <c r="AO1783" i="1"/>
  <c r="AL1783" i="1"/>
  <c r="AM1783" i="1" s="1"/>
  <c r="AK1783" i="1"/>
  <c r="AH1783" i="1"/>
  <c r="AI1783" i="1" s="1"/>
  <c r="AG1783" i="1"/>
  <c r="AD1783" i="1"/>
  <c r="AC1783" i="1"/>
  <c r="AA1783" i="1"/>
  <c r="Z1783" i="1"/>
  <c r="Y1783" i="1"/>
  <c r="W1783" i="1"/>
  <c r="V1783" i="1"/>
  <c r="U1783" i="1"/>
  <c r="R1783" i="1"/>
  <c r="S1783" i="1" s="1"/>
  <c r="Q1783" i="1"/>
  <c r="N1783" i="1"/>
  <c r="M1783" i="1"/>
  <c r="K1783" i="1"/>
  <c r="J1783" i="1"/>
  <c r="I1783" i="1"/>
  <c r="F1783" i="1"/>
  <c r="G1783" i="1" s="1"/>
  <c r="E1783" i="1"/>
  <c r="BN1782" i="1"/>
  <c r="BM1782" i="1"/>
  <c r="BL1782" i="1"/>
  <c r="BJ1782" i="1"/>
  <c r="BI1782" i="1"/>
  <c r="BF1782" i="1"/>
  <c r="BG1782" i="1" s="1"/>
  <c r="BE1782" i="1"/>
  <c r="BB1782" i="1"/>
  <c r="BC1782" i="1" s="1"/>
  <c r="BA1782" i="1"/>
  <c r="AX1782" i="1"/>
  <c r="AW1782" i="1"/>
  <c r="AU1782" i="1"/>
  <c r="AT1782" i="1"/>
  <c r="AS1782" i="1"/>
  <c r="AQ1782" i="1"/>
  <c r="AP1782" i="1"/>
  <c r="AO1782" i="1"/>
  <c r="AL1782" i="1"/>
  <c r="AM1782" i="1" s="1"/>
  <c r="AK1782" i="1"/>
  <c r="AH1782" i="1"/>
  <c r="AG1782" i="1"/>
  <c r="AE1782" i="1"/>
  <c r="AD1782" i="1"/>
  <c r="AC1782" i="1"/>
  <c r="Z1782" i="1"/>
  <c r="AA1782" i="1" s="1"/>
  <c r="Y1782" i="1"/>
  <c r="V1782" i="1"/>
  <c r="W1782" i="1" s="1"/>
  <c r="U1782" i="1"/>
  <c r="R1782" i="1"/>
  <c r="Q1782" i="1"/>
  <c r="O1782" i="1"/>
  <c r="N1782" i="1"/>
  <c r="M1782" i="1"/>
  <c r="K1782" i="1"/>
  <c r="J1782" i="1"/>
  <c r="I1782" i="1"/>
  <c r="F1782" i="1"/>
  <c r="G1782" i="1" s="1"/>
  <c r="E1782" i="1"/>
  <c r="BN1781" i="1"/>
  <c r="BL1781" i="1"/>
  <c r="BJ1781" i="1"/>
  <c r="BM1781" i="1" s="1"/>
  <c r="BI1781" i="1"/>
  <c r="BF1781" i="1"/>
  <c r="BG1781" i="1" s="1"/>
  <c r="BE1781" i="1"/>
  <c r="BB1781" i="1"/>
  <c r="BA1781" i="1"/>
  <c r="AY1781" i="1"/>
  <c r="AX1781" i="1"/>
  <c r="AW1781" i="1"/>
  <c r="AT1781" i="1"/>
  <c r="AU1781" i="1" s="1"/>
  <c r="AS1781" i="1"/>
  <c r="AP1781" i="1"/>
  <c r="AQ1781" i="1" s="1"/>
  <c r="AO1781" i="1"/>
  <c r="AL1781" i="1"/>
  <c r="AK1781" i="1"/>
  <c r="AI1781" i="1"/>
  <c r="AH1781" i="1"/>
  <c r="AG1781" i="1"/>
  <c r="AE1781" i="1"/>
  <c r="AD1781" i="1"/>
  <c r="AC1781" i="1"/>
  <c r="Z1781" i="1"/>
  <c r="AA1781" i="1" s="1"/>
  <c r="Y1781" i="1"/>
  <c r="V1781" i="1"/>
  <c r="U1781" i="1"/>
  <c r="S1781" i="1"/>
  <c r="R1781" i="1"/>
  <c r="Q1781" i="1"/>
  <c r="N1781" i="1"/>
  <c r="O1781" i="1" s="1"/>
  <c r="M1781" i="1"/>
  <c r="J1781" i="1"/>
  <c r="K1781" i="1" s="1"/>
  <c r="I1781" i="1"/>
  <c r="F1781" i="1"/>
  <c r="E1781" i="1"/>
  <c r="BN1780" i="1"/>
  <c r="BL1780" i="1"/>
  <c r="BJ1780" i="1"/>
  <c r="BM1780" i="1" s="1"/>
  <c r="BI1780" i="1"/>
  <c r="BF1780" i="1"/>
  <c r="BG1780" i="1" s="1"/>
  <c r="BE1780" i="1"/>
  <c r="BC1780" i="1"/>
  <c r="BB1780" i="1"/>
  <c r="BA1780" i="1"/>
  <c r="AY1780" i="1"/>
  <c r="AX1780" i="1"/>
  <c r="AW1780" i="1"/>
  <c r="AT1780" i="1"/>
  <c r="AU1780" i="1" s="1"/>
  <c r="AS1780" i="1"/>
  <c r="AP1780" i="1"/>
  <c r="AO1780" i="1"/>
  <c r="AM1780" i="1"/>
  <c r="AL1780" i="1"/>
  <c r="AK1780" i="1"/>
  <c r="AH1780" i="1"/>
  <c r="AI1780" i="1" s="1"/>
  <c r="AG1780" i="1"/>
  <c r="AD1780" i="1"/>
  <c r="AE1780" i="1" s="1"/>
  <c r="AC1780" i="1"/>
  <c r="Z1780" i="1"/>
  <c r="Y1780" i="1"/>
  <c r="W1780" i="1"/>
  <c r="V1780" i="1"/>
  <c r="U1780" i="1"/>
  <c r="S1780" i="1"/>
  <c r="R1780" i="1"/>
  <c r="Q1780" i="1"/>
  <c r="N1780" i="1"/>
  <c r="O1780" i="1" s="1"/>
  <c r="M1780" i="1"/>
  <c r="J1780" i="1"/>
  <c r="I1780" i="1"/>
  <c r="G1780" i="1"/>
  <c r="F1780" i="1"/>
  <c r="E1780" i="1"/>
  <c r="BN1779" i="1"/>
  <c r="BM1779" i="1"/>
  <c r="BL1779" i="1"/>
  <c r="BJ1779" i="1"/>
  <c r="BI1779" i="1"/>
  <c r="BG1779" i="1"/>
  <c r="BF1779" i="1"/>
  <c r="BE1779" i="1"/>
  <c r="BB1779" i="1"/>
  <c r="BC1779" i="1" s="1"/>
  <c r="BA1779" i="1"/>
  <c r="AX1779" i="1"/>
  <c r="AY1779" i="1" s="1"/>
  <c r="AW1779" i="1"/>
  <c r="AT1779" i="1"/>
  <c r="AS1779" i="1"/>
  <c r="AQ1779" i="1"/>
  <c r="AP1779" i="1"/>
  <c r="AO1779" i="1"/>
  <c r="AM1779" i="1"/>
  <c r="AL1779" i="1"/>
  <c r="AK1779" i="1"/>
  <c r="AH1779" i="1"/>
  <c r="AI1779" i="1" s="1"/>
  <c r="AG1779" i="1"/>
  <c r="AD1779" i="1"/>
  <c r="AC1779" i="1"/>
  <c r="AA1779" i="1"/>
  <c r="Z1779" i="1"/>
  <c r="Y1779" i="1"/>
  <c r="V1779" i="1"/>
  <c r="W1779" i="1" s="1"/>
  <c r="U1779" i="1"/>
  <c r="R1779" i="1"/>
  <c r="S1779" i="1" s="1"/>
  <c r="Q1779" i="1"/>
  <c r="N1779" i="1"/>
  <c r="M1779" i="1"/>
  <c r="K1779" i="1"/>
  <c r="J1779" i="1"/>
  <c r="I1779" i="1"/>
  <c r="G1779" i="1"/>
  <c r="F1779" i="1"/>
  <c r="E1779" i="1"/>
  <c r="BN1778" i="1"/>
  <c r="BM1778" i="1"/>
  <c r="BL1778" i="1"/>
  <c r="BJ1778" i="1"/>
  <c r="BI1778" i="1"/>
  <c r="BG1778" i="1"/>
  <c r="BF1778" i="1"/>
  <c r="BE1778" i="1"/>
  <c r="BB1778" i="1"/>
  <c r="BC1778" i="1" s="1"/>
  <c r="BA1778" i="1"/>
  <c r="AX1778" i="1"/>
  <c r="AW1778" i="1"/>
  <c r="AU1778" i="1"/>
  <c r="AT1778" i="1"/>
  <c r="AS1778" i="1"/>
  <c r="AP1778" i="1"/>
  <c r="AQ1778" i="1" s="1"/>
  <c r="AO1778" i="1"/>
  <c r="AL1778" i="1"/>
  <c r="AM1778" i="1" s="1"/>
  <c r="AK1778" i="1"/>
  <c r="AH1778" i="1"/>
  <c r="AI1778" i="1" s="1"/>
  <c r="AG1778" i="1"/>
  <c r="AE1778" i="1"/>
  <c r="AD1778" i="1"/>
  <c r="AC1778" i="1"/>
  <c r="AA1778" i="1"/>
  <c r="Z1778" i="1"/>
  <c r="Y1778" i="1"/>
  <c r="V1778" i="1"/>
  <c r="W1778" i="1" s="1"/>
  <c r="U1778" i="1"/>
  <c r="R1778" i="1"/>
  <c r="Q1778" i="1"/>
  <c r="O1778" i="1"/>
  <c r="N1778" i="1"/>
  <c r="M1778" i="1"/>
  <c r="J1778" i="1"/>
  <c r="K1778" i="1" s="1"/>
  <c r="I1778" i="1"/>
  <c r="F1778" i="1"/>
  <c r="G1778" i="1" s="1"/>
  <c r="E1778" i="1"/>
  <c r="BN1777" i="1"/>
  <c r="BL1777" i="1"/>
  <c r="BJ1777" i="1"/>
  <c r="BM1777" i="1" s="1"/>
  <c r="BI1777" i="1"/>
  <c r="BF1777" i="1"/>
  <c r="BG1777" i="1" s="1"/>
  <c r="BE1777" i="1"/>
  <c r="BB1777" i="1"/>
  <c r="BC1777" i="1" s="1"/>
  <c r="BA1777" i="1"/>
  <c r="AY1777" i="1"/>
  <c r="AX1777" i="1"/>
  <c r="AW1777" i="1"/>
  <c r="AU1777" i="1"/>
  <c r="AT1777" i="1"/>
  <c r="AS1777" i="1"/>
  <c r="AP1777" i="1"/>
  <c r="AQ1777" i="1" s="1"/>
  <c r="AO1777" i="1"/>
  <c r="AL1777" i="1"/>
  <c r="AK1777" i="1"/>
  <c r="AI1777" i="1"/>
  <c r="AH1777" i="1"/>
  <c r="AG1777" i="1"/>
  <c r="AD1777" i="1"/>
  <c r="AE1777" i="1" s="1"/>
  <c r="AC1777" i="1"/>
  <c r="Z1777" i="1"/>
  <c r="AA1777" i="1" s="1"/>
  <c r="Y1777" i="1"/>
  <c r="V1777" i="1"/>
  <c r="W1777" i="1" s="1"/>
  <c r="U1777" i="1"/>
  <c r="S1777" i="1"/>
  <c r="R1777" i="1"/>
  <c r="Q1777" i="1"/>
  <c r="O1777" i="1"/>
  <c r="N1777" i="1"/>
  <c r="M1777" i="1"/>
  <c r="J1777" i="1"/>
  <c r="K1777" i="1" s="1"/>
  <c r="I1777" i="1"/>
  <c r="F1777" i="1"/>
  <c r="E1777" i="1"/>
  <c r="BN1776" i="1"/>
  <c r="BL1776" i="1"/>
  <c r="BJ1776" i="1"/>
  <c r="BM1776" i="1" s="1"/>
  <c r="BI1776" i="1"/>
  <c r="BF1776" i="1"/>
  <c r="BE1776" i="1"/>
  <c r="BC1776" i="1"/>
  <c r="BB1776" i="1"/>
  <c r="BA1776" i="1"/>
  <c r="AX1776" i="1"/>
  <c r="AY1776" i="1" s="1"/>
  <c r="AW1776" i="1"/>
  <c r="AT1776" i="1"/>
  <c r="AU1776" i="1" s="1"/>
  <c r="AS1776" i="1"/>
  <c r="AP1776" i="1"/>
  <c r="AO1776" i="1"/>
  <c r="AM1776" i="1"/>
  <c r="AL1776" i="1"/>
  <c r="AK1776" i="1"/>
  <c r="AI1776" i="1"/>
  <c r="AH1776" i="1"/>
  <c r="AF1776" i="1"/>
  <c r="AG1776" i="1" s="1"/>
  <c r="AD1776" i="1"/>
  <c r="AE1776" i="1" s="1"/>
  <c r="AC1776" i="1"/>
  <c r="Z1776" i="1"/>
  <c r="AA1776" i="1" s="1"/>
  <c r="Y1776" i="1"/>
  <c r="V1776" i="1"/>
  <c r="W1776" i="1" s="1"/>
  <c r="U1776" i="1"/>
  <c r="S1776" i="1"/>
  <c r="R1776" i="1"/>
  <c r="P1776" i="1"/>
  <c r="Q1776" i="1" s="1"/>
  <c r="O1776" i="1"/>
  <c r="N1776" i="1"/>
  <c r="M1776" i="1"/>
  <c r="J1776" i="1"/>
  <c r="K1776" i="1" s="1"/>
  <c r="I1776" i="1"/>
  <c r="F1776" i="1"/>
  <c r="G1776" i="1" s="1"/>
  <c r="E1776" i="1"/>
  <c r="BN1775" i="1"/>
  <c r="BL1775" i="1"/>
  <c r="BJ1775" i="1"/>
  <c r="BM1775" i="1" s="1"/>
  <c r="BI1775" i="1"/>
  <c r="BF1775" i="1"/>
  <c r="BG1775" i="1" s="1"/>
  <c r="BE1775" i="1"/>
  <c r="BB1775" i="1"/>
  <c r="BA1775" i="1"/>
  <c r="AY1775" i="1"/>
  <c r="AX1775" i="1"/>
  <c r="AW1775" i="1"/>
  <c r="AU1775" i="1"/>
  <c r="AT1775" i="1"/>
  <c r="AS1775" i="1"/>
  <c r="AP1775" i="1"/>
  <c r="AQ1775" i="1" s="1"/>
  <c r="AO1775" i="1"/>
  <c r="AL1775" i="1"/>
  <c r="AK1775" i="1"/>
  <c r="AI1775" i="1"/>
  <c r="AH1775" i="1"/>
  <c r="AF1775" i="1"/>
  <c r="AG1775" i="1" s="1"/>
  <c r="AE1775" i="1"/>
  <c r="AD1775" i="1"/>
  <c r="AC1775" i="1"/>
  <c r="AA1775" i="1"/>
  <c r="Z1775" i="1"/>
  <c r="Y1775" i="1"/>
  <c r="V1775" i="1"/>
  <c r="W1775" i="1" s="1"/>
  <c r="U1775" i="1"/>
  <c r="R1775" i="1"/>
  <c r="Q1775" i="1"/>
  <c r="P1775" i="1"/>
  <c r="N1775" i="1"/>
  <c r="O1775" i="1" s="1"/>
  <c r="M1775" i="1"/>
  <c r="K1775" i="1"/>
  <c r="J1775" i="1"/>
  <c r="I1775" i="1"/>
  <c r="G1775" i="1"/>
  <c r="F1775" i="1"/>
  <c r="E1775" i="1"/>
  <c r="BN1774" i="1"/>
  <c r="BM1774" i="1"/>
  <c r="BL1774" i="1"/>
  <c r="BJ1774" i="1"/>
  <c r="BI1774" i="1"/>
  <c r="BG1774" i="1"/>
  <c r="BF1774" i="1"/>
  <c r="BE1774" i="1"/>
  <c r="BB1774" i="1"/>
  <c r="BC1774" i="1" s="1"/>
  <c r="BA1774" i="1"/>
  <c r="AX1774" i="1"/>
  <c r="AW1774" i="1"/>
  <c r="AU1774" i="1"/>
  <c r="AT1774" i="1"/>
  <c r="AS1774" i="1"/>
  <c r="AP1774" i="1"/>
  <c r="AQ1774" i="1" s="1"/>
  <c r="AO1774" i="1"/>
  <c r="AL1774" i="1"/>
  <c r="AM1774" i="1" s="1"/>
  <c r="AK1774" i="1"/>
  <c r="AH1774" i="1"/>
  <c r="AI1774" i="1" s="1"/>
  <c r="AG1774" i="1"/>
  <c r="AE1774" i="1"/>
  <c r="AD1774" i="1"/>
  <c r="AC1774" i="1"/>
  <c r="AA1774" i="1"/>
  <c r="Z1774" i="1"/>
  <c r="Y1774" i="1"/>
  <c r="V1774" i="1"/>
  <c r="W1774" i="1" s="1"/>
  <c r="U1774" i="1"/>
  <c r="R1774" i="1"/>
  <c r="Q1774" i="1"/>
  <c r="O1774" i="1"/>
  <c r="N1774" i="1"/>
  <c r="M1774" i="1"/>
  <c r="J1774" i="1"/>
  <c r="K1774" i="1" s="1"/>
  <c r="I1774" i="1"/>
  <c r="F1774" i="1"/>
  <c r="G1774" i="1" s="1"/>
  <c r="E1774" i="1"/>
  <c r="BN1773" i="1"/>
  <c r="BL1773" i="1"/>
  <c r="BJ1773" i="1"/>
  <c r="BM1773" i="1" s="1"/>
  <c r="BI1773" i="1"/>
  <c r="BF1773" i="1"/>
  <c r="BG1773" i="1" s="1"/>
  <c r="BE1773" i="1"/>
  <c r="BB1773" i="1"/>
  <c r="BC1773" i="1" s="1"/>
  <c r="BA1773" i="1"/>
  <c r="AY1773" i="1"/>
  <c r="AX1773" i="1"/>
  <c r="AW1773" i="1"/>
  <c r="AU1773" i="1"/>
  <c r="AT1773" i="1"/>
  <c r="AS1773" i="1"/>
  <c r="AP1773" i="1"/>
  <c r="AQ1773" i="1" s="1"/>
  <c r="AO1773" i="1"/>
  <c r="AL1773" i="1"/>
  <c r="AK1773" i="1"/>
  <c r="AI1773" i="1"/>
  <c r="AH1773" i="1"/>
  <c r="AG1773" i="1"/>
  <c r="AD1773" i="1"/>
  <c r="AE1773" i="1" s="1"/>
  <c r="AC1773" i="1"/>
  <c r="Z1773" i="1"/>
  <c r="AA1773" i="1" s="1"/>
  <c r="Y1773" i="1"/>
  <c r="V1773" i="1"/>
  <c r="W1773" i="1" s="1"/>
  <c r="U1773" i="1"/>
  <c r="S1773" i="1"/>
  <c r="R1773" i="1"/>
  <c r="Q1773" i="1"/>
  <c r="O1773" i="1"/>
  <c r="N1773" i="1"/>
  <c r="M1773" i="1"/>
  <c r="J1773" i="1"/>
  <c r="K1773" i="1" s="1"/>
  <c r="I1773" i="1"/>
  <c r="F1773" i="1"/>
  <c r="E1773" i="1"/>
  <c r="BN1772" i="1"/>
  <c r="BL1772" i="1"/>
  <c r="BJ1772" i="1"/>
  <c r="BM1772" i="1" s="1"/>
  <c r="BI1772" i="1"/>
  <c r="BF1772" i="1"/>
  <c r="BE1772" i="1"/>
  <c r="BC1772" i="1"/>
  <c r="BB1772" i="1"/>
  <c r="BA1772" i="1"/>
  <c r="AX1772" i="1"/>
  <c r="AY1772" i="1" s="1"/>
  <c r="AW1772" i="1"/>
  <c r="AT1772" i="1"/>
  <c r="AU1772" i="1" s="1"/>
  <c r="AS1772" i="1"/>
  <c r="AP1772" i="1"/>
  <c r="AQ1772" i="1" s="1"/>
  <c r="AO1772" i="1"/>
  <c r="AM1772" i="1"/>
  <c r="AL1772" i="1"/>
  <c r="AK1772" i="1"/>
  <c r="AI1772" i="1"/>
  <c r="AH1772" i="1"/>
  <c r="AG1772" i="1"/>
  <c r="AD1772" i="1"/>
  <c r="AE1772" i="1" s="1"/>
  <c r="AC1772" i="1"/>
  <c r="Z1772" i="1"/>
  <c r="Y1772" i="1"/>
  <c r="W1772" i="1"/>
  <c r="V1772" i="1"/>
  <c r="U1772" i="1"/>
  <c r="R1772" i="1"/>
  <c r="S1772" i="1" s="1"/>
  <c r="Q1772" i="1"/>
  <c r="N1772" i="1"/>
  <c r="O1772" i="1" s="1"/>
  <c r="M1772" i="1"/>
  <c r="J1772" i="1"/>
  <c r="K1772" i="1" s="1"/>
  <c r="I1772" i="1"/>
  <c r="G1772" i="1"/>
  <c r="F1772" i="1"/>
  <c r="E1772" i="1"/>
  <c r="BN1771" i="1"/>
  <c r="BM1771" i="1" s="1"/>
  <c r="BL1771" i="1"/>
  <c r="BJ1771" i="1"/>
  <c r="BI1771" i="1"/>
  <c r="BG1771" i="1"/>
  <c r="BF1771" i="1"/>
  <c r="BE1771" i="1"/>
  <c r="BC1771" i="1"/>
  <c r="BB1771" i="1"/>
  <c r="BA1771" i="1"/>
  <c r="AX1771" i="1"/>
  <c r="AY1771" i="1" s="1"/>
  <c r="AW1771" i="1"/>
  <c r="AT1771" i="1"/>
  <c r="AS1771" i="1"/>
  <c r="AQ1771" i="1"/>
  <c r="AP1771" i="1"/>
  <c r="AO1771" i="1"/>
  <c r="AL1771" i="1"/>
  <c r="AM1771" i="1" s="1"/>
  <c r="AK1771" i="1"/>
  <c r="AH1771" i="1"/>
  <c r="AI1771" i="1" s="1"/>
  <c r="AG1771" i="1"/>
  <c r="AD1771" i="1"/>
  <c r="AC1771" i="1"/>
  <c r="AA1771" i="1"/>
  <c r="Z1771" i="1"/>
  <c r="Y1771" i="1"/>
  <c r="W1771" i="1"/>
  <c r="V1771" i="1"/>
  <c r="U1771" i="1"/>
  <c r="R1771" i="1"/>
  <c r="S1771" i="1" s="1"/>
  <c r="Q1771" i="1"/>
  <c r="N1771" i="1"/>
  <c r="M1771" i="1"/>
  <c r="K1771" i="1"/>
  <c r="J1771" i="1"/>
  <c r="I1771" i="1"/>
  <c r="F1771" i="1"/>
  <c r="G1771" i="1" s="1"/>
  <c r="E1771" i="1"/>
  <c r="BN1770" i="1"/>
  <c r="BM1770" i="1"/>
  <c r="BL1770" i="1"/>
  <c r="BJ1770" i="1"/>
  <c r="BI1770" i="1"/>
  <c r="BF1770" i="1"/>
  <c r="BG1770" i="1" s="1"/>
  <c r="BE1770" i="1"/>
  <c r="BB1770" i="1"/>
  <c r="BC1770" i="1" s="1"/>
  <c r="BA1770" i="1"/>
  <c r="AX1770" i="1"/>
  <c r="AY1770" i="1" s="1"/>
  <c r="AW1770" i="1"/>
  <c r="AU1770" i="1"/>
  <c r="AT1770" i="1"/>
  <c r="AS1770" i="1"/>
  <c r="AQ1770" i="1"/>
  <c r="AP1770" i="1"/>
  <c r="AO1770" i="1"/>
  <c r="AL1770" i="1"/>
  <c r="AM1770" i="1" s="1"/>
  <c r="AK1770" i="1"/>
  <c r="AH1770" i="1"/>
  <c r="AG1770" i="1"/>
  <c r="AE1770" i="1"/>
  <c r="AD1770" i="1"/>
  <c r="AC1770" i="1"/>
  <c r="Z1770" i="1"/>
  <c r="AA1770" i="1" s="1"/>
  <c r="Y1770" i="1"/>
  <c r="V1770" i="1"/>
  <c r="W1770" i="1" s="1"/>
  <c r="U1770" i="1"/>
  <c r="R1770" i="1"/>
  <c r="Q1770" i="1"/>
  <c r="O1770" i="1"/>
  <c r="N1770" i="1"/>
  <c r="M1770" i="1"/>
  <c r="K1770" i="1"/>
  <c r="J1770" i="1"/>
  <c r="I1770" i="1"/>
  <c r="F1770" i="1"/>
  <c r="G1770" i="1" s="1"/>
  <c r="E1770" i="1"/>
  <c r="BN1769" i="1"/>
  <c r="BL1769" i="1"/>
  <c r="BJ1769" i="1"/>
  <c r="BM1769" i="1" s="1"/>
  <c r="BI1769" i="1"/>
  <c r="BF1769" i="1"/>
  <c r="BG1769" i="1" s="1"/>
  <c r="BE1769" i="1"/>
  <c r="BB1769" i="1"/>
  <c r="BA1769" i="1"/>
  <c r="AY1769" i="1"/>
  <c r="AX1769" i="1"/>
  <c r="AW1769" i="1"/>
  <c r="AT1769" i="1"/>
  <c r="AU1769" i="1" s="1"/>
  <c r="AS1769" i="1"/>
  <c r="AP1769" i="1"/>
  <c r="AQ1769" i="1" s="1"/>
  <c r="AO1769" i="1"/>
  <c r="AL1769" i="1"/>
  <c r="AM1769" i="1" s="1"/>
  <c r="AK1769" i="1"/>
  <c r="AI1769" i="1"/>
  <c r="AH1769" i="1"/>
  <c r="AG1769" i="1"/>
  <c r="AE1769" i="1"/>
  <c r="AD1769" i="1"/>
  <c r="AC1769" i="1"/>
  <c r="Z1769" i="1"/>
  <c r="AA1769" i="1" s="1"/>
  <c r="Y1769" i="1"/>
  <c r="V1769" i="1"/>
  <c r="U1769" i="1"/>
  <c r="S1769" i="1"/>
  <c r="R1769" i="1"/>
  <c r="Q1769" i="1"/>
  <c r="N1769" i="1"/>
  <c r="O1769" i="1" s="1"/>
  <c r="M1769" i="1"/>
  <c r="J1769" i="1"/>
  <c r="K1769" i="1" s="1"/>
  <c r="I1769" i="1"/>
  <c r="F1769" i="1"/>
  <c r="E1769" i="1"/>
  <c r="BN1768" i="1"/>
  <c r="BL1768" i="1"/>
  <c r="BJ1768" i="1"/>
  <c r="BM1768" i="1" s="1"/>
  <c r="BI1768" i="1"/>
  <c r="BF1768" i="1"/>
  <c r="BG1768" i="1" s="1"/>
  <c r="BE1768" i="1"/>
  <c r="BC1768" i="1"/>
  <c r="BB1768" i="1"/>
  <c r="BA1768" i="1"/>
  <c r="AY1768" i="1"/>
  <c r="AX1768" i="1"/>
  <c r="AW1768" i="1"/>
  <c r="AT1768" i="1"/>
  <c r="AU1768" i="1" s="1"/>
  <c r="AS1768" i="1"/>
  <c r="AP1768" i="1"/>
  <c r="AO1768" i="1"/>
  <c r="AM1768" i="1"/>
  <c r="AL1768" i="1"/>
  <c r="AK1768" i="1"/>
  <c r="AH1768" i="1"/>
  <c r="AI1768" i="1" s="1"/>
  <c r="AG1768" i="1"/>
  <c r="AD1768" i="1"/>
  <c r="AE1768" i="1" s="1"/>
  <c r="AC1768" i="1"/>
  <c r="Z1768" i="1"/>
  <c r="AA1768" i="1" s="1"/>
  <c r="Y1768" i="1"/>
  <c r="W1768" i="1"/>
  <c r="V1768" i="1"/>
  <c r="U1768" i="1"/>
  <c r="S1768" i="1"/>
  <c r="R1768" i="1"/>
  <c r="Q1768" i="1"/>
  <c r="N1768" i="1"/>
  <c r="O1768" i="1" s="1"/>
  <c r="M1768" i="1"/>
  <c r="J1768" i="1"/>
  <c r="I1768" i="1"/>
  <c r="G1768" i="1"/>
  <c r="F1768" i="1"/>
  <c r="E1768" i="1"/>
  <c r="BN1767" i="1"/>
  <c r="BM1767" i="1"/>
  <c r="BL1767" i="1"/>
  <c r="BJ1767" i="1"/>
  <c r="BI1767" i="1"/>
  <c r="BG1767" i="1"/>
  <c r="BF1767" i="1"/>
  <c r="BE1767" i="1"/>
  <c r="BB1767" i="1"/>
  <c r="BC1767" i="1" s="1"/>
  <c r="BA1767" i="1"/>
  <c r="AX1767" i="1"/>
  <c r="AY1767" i="1" s="1"/>
  <c r="AW1767" i="1"/>
  <c r="AT1767" i="1"/>
  <c r="AS1767" i="1"/>
  <c r="AQ1767" i="1"/>
  <c r="AP1767" i="1"/>
  <c r="AO1767" i="1"/>
  <c r="AM1767" i="1"/>
  <c r="AL1767" i="1"/>
  <c r="AK1767" i="1"/>
  <c r="AH1767" i="1"/>
  <c r="AI1767" i="1" s="1"/>
  <c r="AG1767" i="1"/>
  <c r="AD1767" i="1"/>
  <c r="AC1767" i="1"/>
  <c r="AA1767" i="1"/>
  <c r="Z1767" i="1"/>
  <c r="Y1767" i="1"/>
  <c r="V1767" i="1"/>
  <c r="W1767" i="1" s="1"/>
  <c r="U1767" i="1"/>
  <c r="R1767" i="1"/>
  <c r="S1767" i="1" s="1"/>
  <c r="Q1767" i="1"/>
  <c r="N1767" i="1"/>
  <c r="M1767" i="1"/>
  <c r="K1767" i="1"/>
  <c r="J1767" i="1"/>
  <c r="I1767" i="1"/>
  <c r="G1767" i="1"/>
  <c r="F1767" i="1"/>
  <c r="E1767" i="1"/>
  <c r="BN1766" i="1"/>
  <c r="BM1766" i="1"/>
  <c r="BL1766" i="1"/>
  <c r="BJ1766" i="1"/>
  <c r="BI1766" i="1"/>
  <c r="BG1766" i="1"/>
  <c r="BF1766" i="1"/>
  <c r="BE1766" i="1"/>
  <c r="BB1766" i="1"/>
  <c r="BC1766" i="1" s="1"/>
  <c r="BA1766" i="1"/>
  <c r="AX1766" i="1"/>
  <c r="AW1766" i="1"/>
  <c r="AU1766" i="1"/>
  <c r="AT1766" i="1"/>
  <c r="AS1766" i="1"/>
  <c r="AP1766" i="1"/>
  <c r="AQ1766" i="1" s="1"/>
  <c r="AO1766" i="1"/>
  <c r="AL1766" i="1"/>
  <c r="AM1766" i="1" s="1"/>
  <c r="AK1766" i="1"/>
  <c r="AH1766" i="1"/>
  <c r="AI1766" i="1" s="1"/>
  <c r="AG1766" i="1"/>
  <c r="AE1766" i="1"/>
  <c r="AD1766" i="1"/>
  <c r="AC1766" i="1"/>
  <c r="AA1766" i="1"/>
  <c r="Z1766" i="1"/>
  <c r="Y1766" i="1"/>
  <c r="V1766" i="1"/>
  <c r="W1766" i="1" s="1"/>
  <c r="U1766" i="1"/>
  <c r="R1766" i="1"/>
  <c r="Q1766" i="1"/>
  <c r="O1766" i="1"/>
  <c r="N1766" i="1"/>
  <c r="M1766" i="1"/>
  <c r="J1766" i="1"/>
  <c r="K1766" i="1" s="1"/>
  <c r="I1766" i="1"/>
  <c r="F1766" i="1"/>
  <c r="G1766" i="1" s="1"/>
  <c r="E1766" i="1"/>
  <c r="BN1765" i="1"/>
  <c r="BL1765" i="1"/>
  <c r="BJ1765" i="1"/>
  <c r="BM1765" i="1" s="1"/>
  <c r="BI1765" i="1"/>
  <c r="BF1765" i="1"/>
  <c r="BG1765" i="1" s="1"/>
  <c r="BE1765" i="1"/>
  <c r="BB1765" i="1"/>
  <c r="BA1765" i="1"/>
  <c r="AY1765" i="1"/>
  <c r="AX1765" i="1"/>
  <c r="AW1765" i="1"/>
  <c r="AU1765" i="1"/>
  <c r="AT1765" i="1"/>
  <c r="AS1765" i="1"/>
  <c r="AP1765" i="1"/>
  <c r="AQ1765" i="1" s="1"/>
  <c r="AO1765" i="1"/>
  <c r="AL1765" i="1"/>
  <c r="AK1765" i="1"/>
  <c r="AI1765" i="1"/>
  <c r="AH1765" i="1"/>
  <c r="AG1765" i="1"/>
  <c r="AD1765" i="1"/>
  <c r="AE1765" i="1" s="1"/>
  <c r="AC1765" i="1"/>
  <c r="Z1765" i="1"/>
  <c r="AA1765" i="1" s="1"/>
  <c r="Y1765" i="1"/>
  <c r="V1765" i="1"/>
  <c r="W1765" i="1" s="1"/>
  <c r="U1765" i="1"/>
  <c r="S1765" i="1"/>
  <c r="R1765" i="1"/>
  <c r="Q1765" i="1"/>
  <c r="O1765" i="1"/>
  <c r="N1765" i="1"/>
  <c r="M1765" i="1"/>
  <c r="J1765" i="1"/>
  <c r="K1765" i="1" s="1"/>
  <c r="I1765" i="1"/>
  <c r="F1765" i="1"/>
  <c r="E1765" i="1"/>
  <c r="BN1764" i="1"/>
  <c r="BL1764" i="1"/>
  <c r="BJ1764" i="1"/>
  <c r="BM1764" i="1" s="1"/>
  <c r="BI1764" i="1"/>
  <c r="BF1764" i="1"/>
  <c r="BE1764" i="1"/>
  <c r="BC1764" i="1"/>
  <c r="BB1764" i="1"/>
  <c r="BA1764" i="1"/>
  <c r="AX1764" i="1"/>
  <c r="AY1764" i="1" s="1"/>
  <c r="AW1764" i="1"/>
  <c r="AT1764" i="1"/>
  <c r="AU1764" i="1" s="1"/>
  <c r="AS1764" i="1"/>
  <c r="AP1764" i="1"/>
  <c r="AO1764" i="1"/>
  <c r="AM1764" i="1"/>
  <c r="AL1764" i="1"/>
  <c r="AK1764" i="1"/>
  <c r="AI1764" i="1"/>
  <c r="AH1764" i="1"/>
  <c r="AG1764" i="1"/>
  <c r="AD1764" i="1"/>
  <c r="AE1764" i="1" s="1"/>
  <c r="AC1764" i="1"/>
  <c r="Z1764" i="1"/>
  <c r="Y1764" i="1"/>
  <c r="W1764" i="1"/>
  <c r="V1764" i="1"/>
  <c r="U1764" i="1"/>
  <c r="R1764" i="1"/>
  <c r="S1764" i="1" s="1"/>
  <c r="Q1764" i="1"/>
  <c r="N1764" i="1"/>
  <c r="O1764" i="1" s="1"/>
  <c r="M1764" i="1"/>
  <c r="J1764" i="1"/>
  <c r="K1764" i="1" s="1"/>
  <c r="I1764" i="1"/>
  <c r="G1764" i="1"/>
  <c r="F1764" i="1"/>
  <c r="E1764" i="1"/>
  <c r="BN1763" i="1"/>
  <c r="BM1763" i="1" s="1"/>
  <c r="BL1763" i="1"/>
  <c r="BJ1763" i="1"/>
  <c r="BI1763" i="1"/>
  <c r="BG1763" i="1"/>
  <c r="BF1763" i="1"/>
  <c r="BE1763" i="1"/>
  <c r="BC1763" i="1"/>
  <c r="BB1763" i="1"/>
  <c r="BA1763" i="1"/>
  <c r="AX1763" i="1"/>
  <c r="AY1763" i="1" s="1"/>
  <c r="AW1763" i="1"/>
  <c r="AT1763" i="1"/>
  <c r="AS1763" i="1"/>
  <c r="AQ1763" i="1"/>
  <c r="AP1763" i="1"/>
  <c r="AO1763" i="1"/>
  <c r="AL1763" i="1"/>
  <c r="AM1763" i="1" s="1"/>
  <c r="AK1763" i="1"/>
  <c r="AH1763" i="1"/>
  <c r="AI1763" i="1" s="1"/>
  <c r="AG1763" i="1"/>
  <c r="AD1763" i="1"/>
  <c r="AC1763" i="1"/>
  <c r="AA1763" i="1"/>
  <c r="Z1763" i="1"/>
  <c r="Y1763" i="1"/>
  <c r="W1763" i="1"/>
  <c r="V1763" i="1"/>
  <c r="U1763" i="1"/>
  <c r="R1763" i="1"/>
  <c r="S1763" i="1" s="1"/>
  <c r="Q1763" i="1"/>
  <c r="N1763" i="1"/>
  <c r="M1763" i="1"/>
  <c r="K1763" i="1"/>
  <c r="J1763" i="1"/>
  <c r="I1763" i="1"/>
  <c r="F1763" i="1"/>
  <c r="G1763" i="1" s="1"/>
  <c r="E1763" i="1"/>
  <c r="BN1762" i="1"/>
  <c r="BM1762" i="1"/>
  <c r="BL1762" i="1"/>
  <c r="BJ1762" i="1"/>
  <c r="BI1762" i="1"/>
  <c r="BF1762" i="1"/>
  <c r="BG1762" i="1" s="1"/>
  <c r="BE1762" i="1"/>
  <c r="BB1762" i="1"/>
  <c r="BC1762" i="1" s="1"/>
  <c r="BA1762" i="1"/>
  <c r="AX1762" i="1"/>
  <c r="AY1762" i="1" s="1"/>
  <c r="AW1762" i="1"/>
  <c r="AU1762" i="1"/>
  <c r="AT1762" i="1"/>
  <c r="AS1762" i="1"/>
  <c r="AQ1762" i="1"/>
  <c r="AP1762" i="1"/>
  <c r="AO1762" i="1"/>
  <c r="AL1762" i="1"/>
  <c r="AM1762" i="1" s="1"/>
  <c r="AK1762" i="1"/>
  <c r="AH1762" i="1"/>
  <c r="AG1762" i="1"/>
  <c r="AE1762" i="1"/>
  <c r="AD1762" i="1"/>
  <c r="AC1762" i="1"/>
  <c r="Z1762" i="1"/>
  <c r="AA1762" i="1" s="1"/>
  <c r="Y1762" i="1"/>
  <c r="V1762" i="1"/>
  <c r="W1762" i="1" s="1"/>
  <c r="U1762" i="1"/>
  <c r="R1762" i="1"/>
  <c r="S1762" i="1" s="1"/>
  <c r="Q1762" i="1"/>
  <c r="O1762" i="1"/>
  <c r="N1762" i="1"/>
  <c r="M1762" i="1"/>
  <c r="K1762" i="1"/>
  <c r="J1762" i="1"/>
  <c r="I1762" i="1"/>
  <c r="F1762" i="1"/>
  <c r="G1762" i="1" s="1"/>
  <c r="E1762" i="1"/>
  <c r="BN1761" i="1"/>
  <c r="BL1761" i="1"/>
  <c r="BJ1761" i="1"/>
  <c r="BM1761" i="1" s="1"/>
  <c r="BI1761" i="1"/>
  <c r="BF1761" i="1"/>
  <c r="BG1761" i="1" s="1"/>
  <c r="BE1761" i="1"/>
  <c r="BB1761" i="1"/>
  <c r="BA1761" i="1"/>
  <c r="AY1761" i="1"/>
  <c r="AX1761" i="1"/>
  <c r="AW1761" i="1"/>
  <c r="AT1761" i="1"/>
  <c r="AU1761" i="1" s="1"/>
  <c r="AS1761" i="1"/>
  <c r="AP1761" i="1"/>
  <c r="AQ1761" i="1" s="1"/>
  <c r="AO1761" i="1"/>
  <c r="AL1761" i="1"/>
  <c r="AM1761" i="1" s="1"/>
  <c r="AK1761" i="1"/>
  <c r="AI1761" i="1"/>
  <c r="AH1761" i="1"/>
  <c r="AG1761" i="1"/>
  <c r="AE1761" i="1"/>
  <c r="AD1761" i="1"/>
  <c r="AC1761" i="1"/>
  <c r="Z1761" i="1"/>
  <c r="AA1761" i="1" s="1"/>
  <c r="Y1761" i="1"/>
  <c r="V1761" i="1"/>
  <c r="U1761" i="1"/>
  <c r="S1761" i="1"/>
  <c r="R1761" i="1"/>
  <c r="P1761" i="1"/>
  <c r="Q1761" i="1" s="1"/>
  <c r="O1761" i="1"/>
  <c r="N1761" i="1"/>
  <c r="L1761" i="1"/>
  <c r="M1761" i="1" s="1"/>
  <c r="K1761" i="1"/>
  <c r="J1761" i="1"/>
  <c r="H1761" i="1"/>
  <c r="I1761" i="1" s="1"/>
  <c r="G1761" i="1"/>
  <c r="F1761" i="1"/>
  <c r="E1761" i="1"/>
  <c r="BN1760" i="1"/>
  <c r="BM1760" i="1" s="1"/>
  <c r="BL1760" i="1"/>
  <c r="BJ1760" i="1"/>
  <c r="BI1760" i="1"/>
  <c r="BG1760" i="1"/>
  <c r="BF1760" i="1"/>
  <c r="BE1760" i="1"/>
  <c r="BC1760" i="1"/>
  <c r="BB1760" i="1"/>
  <c r="BA1760" i="1"/>
  <c r="AX1760" i="1"/>
  <c r="AY1760" i="1" s="1"/>
  <c r="AW1760" i="1"/>
  <c r="AT1760" i="1"/>
  <c r="AS1760" i="1"/>
  <c r="AQ1760" i="1"/>
  <c r="AP1760" i="1"/>
  <c r="AO1760" i="1"/>
  <c r="AL1760" i="1"/>
  <c r="AM1760" i="1" s="1"/>
  <c r="AK1760" i="1"/>
  <c r="AH1760" i="1"/>
  <c r="AI1760" i="1" s="1"/>
  <c r="AG1760" i="1"/>
  <c r="AD1760" i="1"/>
  <c r="AC1760" i="1"/>
  <c r="AA1760" i="1"/>
  <c r="Z1760" i="1"/>
  <c r="Y1760" i="1"/>
  <c r="W1760" i="1"/>
  <c r="V1760" i="1"/>
  <c r="U1760" i="1"/>
  <c r="R1760" i="1"/>
  <c r="S1760" i="1" s="1"/>
  <c r="Q1760" i="1"/>
  <c r="P1760" i="1"/>
  <c r="N1760" i="1"/>
  <c r="O1760" i="1" s="1"/>
  <c r="M1760" i="1"/>
  <c r="L1760" i="1"/>
  <c r="J1760" i="1"/>
  <c r="K1760" i="1" s="1"/>
  <c r="I1760" i="1"/>
  <c r="H1760" i="1"/>
  <c r="F1760" i="1"/>
  <c r="G1760" i="1" s="1"/>
  <c r="E1760" i="1"/>
  <c r="BN1759" i="1"/>
  <c r="BL1759" i="1"/>
  <c r="BJ1759" i="1"/>
  <c r="BM1759" i="1" s="1"/>
  <c r="BI1759" i="1"/>
  <c r="BF1759" i="1"/>
  <c r="BG1759" i="1" s="1"/>
  <c r="BE1759" i="1"/>
  <c r="BB1759" i="1"/>
  <c r="BA1759" i="1"/>
  <c r="AY1759" i="1"/>
  <c r="AX1759" i="1"/>
  <c r="AW1759" i="1"/>
  <c r="AU1759" i="1"/>
  <c r="AT1759" i="1"/>
  <c r="AS1759" i="1"/>
  <c r="AP1759" i="1"/>
  <c r="AQ1759" i="1" s="1"/>
  <c r="AO1759" i="1"/>
  <c r="AL1759" i="1"/>
  <c r="AK1759" i="1"/>
  <c r="AI1759" i="1"/>
  <c r="AH1759" i="1"/>
  <c r="AG1759" i="1"/>
  <c r="AD1759" i="1"/>
  <c r="AE1759" i="1" s="1"/>
  <c r="AC1759" i="1"/>
  <c r="Z1759" i="1"/>
  <c r="AA1759" i="1" s="1"/>
  <c r="Y1759" i="1"/>
  <c r="V1759" i="1"/>
  <c r="U1759" i="1"/>
  <c r="S1759" i="1"/>
  <c r="R1759" i="1"/>
  <c r="P1759" i="1"/>
  <c r="Q1759" i="1" s="1"/>
  <c r="O1759" i="1"/>
  <c r="N1759" i="1"/>
  <c r="L1759" i="1"/>
  <c r="M1759" i="1" s="1"/>
  <c r="K1759" i="1"/>
  <c r="J1759" i="1"/>
  <c r="H1759" i="1"/>
  <c r="I1759" i="1" s="1"/>
  <c r="G1759" i="1"/>
  <c r="F1759" i="1"/>
  <c r="D1759" i="1"/>
  <c r="E1759" i="1" s="1"/>
  <c r="BN1758" i="1"/>
  <c r="BL1758" i="1"/>
  <c r="BJ1758" i="1"/>
  <c r="BI1758" i="1"/>
  <c r="BF1758" i="1"/>
  <c r="BG1758" i="1" s="1"/>
  <c r="BE1758" i="1"/>
  <c r="BC1758" i="1"/>
  <c r="BB1758" i="1"/>
  <c r="BA1758" i="1"/>
  <c r="AY1758" i="1"/>
  <c r="AX1758" i="1"/>
  <c r="AW1758" i="1"/>
  <c r="AT1758" i="1"/>
  <c r="AU1758" i="1" s="1"/>
  <c r="AS1758" i="1"/>
  <c r="AP1758" i="1"/>
  <c r="AO1758" i="1"/>
  <c r="AM1758" i="1"/>
  <c r="AL1758" i="1"/>
  <c r="AK1758" i="1"/>
  <c r="AH1758" i="1"/>
  <c r="AI1758" i="1" s="1"/>
  <c r="AG1758" i="1"/>
  <c r="AD1758" i="1"/>
  <c r="AE1758" i="1" s="1"/>
  <c r="AC1758" i="1"/>
  <c r="Z1758" i="1"/>
  <c r="Y1758" i="1"/>
  <c r="W1758" i="1"/>
  <c r="V1758" i="1"/>
  <c r="U1758" i="1"/>
  <c r="S1758" i="1"/>
  <c r="R1758" i="1"/>
  <c r="Q1758" i="1"/>
  <c r="N1758" i="1"/>
  <c r="O1758" i="1" s="1"/>
  <c r="M1758" i="1"/>
  <c r="J1758" i="1"/>
  <c r="I1758" i="1"/>
  <c r="G1758" i="1"/>
  <c r="F1758" i="1"/>
  <c r="E1758" i="1"/>
  <c r="BN1757" i="1"/>
  <c r="BM1757" i="1"/>
  <c r="BL1757" i="1"/>
  <c r="BJ1757" i="1"/>
  <c r="BI1757" i="1"/>
  <c r="BG1757" i="1"/>
  <c r="BF1757" i="1"/>
  <c r="BE1757" i="1"/>
  <c r="BB1757" i="1"/>
  <c r="BC1757" i="1" s="1"/>
  <c r="BA1757" i="1"/>
  <c r="AX1757" i="1"/>
  <c r="AY1757" i="1" s="1"/>
  <c r="AW1757" i="1"/>
  <c r="AT1757" i="1"/>
  <c r="AS1757" i="1"/>
  <c r="AQ1757" i="1"/>
  <c r="AP1757" i="1"/>
  <c r="AO1757" i="1"/>
  <c r="AM1757" i="1"/>
  <c r="AL1757" i="1"/>
  <c r="AK1757" i="1"/>
  <c r="AH1757" i="1"/>
  <c r="AI1757" i="1" s="1"/>
  <c r="AG1757" i="1"/>
  <c r="AD1757" i="1"/>
  <c r="AC1757" i="1"/>
  <c r="AA1757" i="1"/>
  <c r="Z1757" i="1"/>
  <c r="Y1757" i="1"/>
  <c r="V1757" i="1"/>
  <c r="W1757" i="1" s="1"/>
  <c r="U1757" i="1"/>
  <c r="R1757" i="1"/>
  <c r="Q1757" i="1"/>
  <c r="N1757" i="1"/>
  <c r="O1757" i="1" s="1"/>
  <c r="M1757" i="1"/>
  <c r="K1757" i="1"/>
  <c r="J1757" i="1"/>
  <c r="I1757" i="1"/>
  <c r="G1757" i="1"/>
  <c r="F1757" i="1"/>
  <c r="E1757" i="1"/>
  <c r="BN1756" i="1"/>
  <c r="BM1756" i="1"/>
  <c r="BL1756" i="1"/>
  <c r="BJ1756" i="1"/>
  <c r="BI1756" i="1"/>
  <c r="BG1756" i="1"/>
  <c r="BF1756" i="1"/>
  <c r="BE1756" i="1"/>
  <c r="BB1756" i="1"/>
  <c r="BC1756" i="1" s="1"/>
  <c r="BA1756" i="1"/>
  <c r="AX1756" i="1"/>
  <c r="AW1756" i="1"/>
  <c r="AU1756" i="1"/>
  <c r="AT1756" i="1"/>
  <c r="AS1756" i="1"/>
  <c r="AP1756" i="1"/>
  <c r="AQ1756" i="1" s="1"/>
  <c r="AO1756" i="1"/>
  <c r="AL1756" i="1"/>
  <c r="AK1756" i="1"/>
  <c r="AH1756" i="1"/>
  <c r="AI1756" i="1" s="1"/>
  <c r="AG1756" i="1"/>
  <c r="AE1756" i="1"/>
  <c r="AD1756" i="1"/>
  <c r="AC1756" i="1"/>
  <c r="AA1756" i="1"/>
  <c r="Z1756" i="1"/>
  <c r="Y1756" i="1"/>
  <c r="V1756" i="1"/>
  <c r="W1756" i="1" s="1"/>
  <c r="U1756" i="1"/>
  <c r="R1756" i="1"/>
  <c r="Q1756" i="1"/>
  <c r="O1756" i="1"/>
  <c r="N1756" i="1"/>
  <c r="M1756" i="1"/>
  <c r="J1756" i="1"/>
  <c r="K1756" i="1" s="1"/>
  <c r="I1756" i="1"/>
  <c r="F1756" i="1"/>
  <c r="G1756" i="1" s="1"/>
  <c r="E1756" i="1"/>
  <c r="BN1755" i="1"/>
  <c r="BL1755" i="1"/>
  <c r="BJ1755" i="1"/>
  <c r="BM1755" i="1" s="1"/>
  <c r="BI1755" i="1"/>
  <c r="BF1755" i="1"/>
  <c r="BE1755" i="1"/>
  <c r="BB1755" i="1"/>
  <c r="BC1755" i="1" s="1"/>
  <c r="BA1755" i="1"/>
  <c r="AY1755" i="1"/>
  <c r="AX1755" i="1"/>
  <c r="AW1755" i="1"/>
  <c r="AU1755" i="1"/>
  <c r="AT1755" i="1"/>
  <c r="AS1755" i="1"/>
  <c r="AP1755" i="1"/>
  <c r="AQ1755" i="1" s="1"/>
  <c r="AO1755" i="1"/>
  <c r="AL1755" i="1"/>
  <c r="AK1755" i="1"/>
  <c r="AI1755" i="1"/>
  <c r="AH1755" i="1"/>
  <c r="AG1755" i="1"/>
  <c r="AD1755" i="1"/>
  <c r="AE1755" i="1" s="1"/>
  <c r="AC1755" i="1"/>
  <c r="Z1755" i="1"/>
  <c r="Y1755" i="1"/>
  <c r="V1755" i="1"/>
  <c r="W1755" i="1" s="1"/>
  <c r="U1755" i="1"/>
  <c r="S1755" i="1"/>
  <c r="R1755" i="1"/>
  <c r="Q1755" i="1"/>
  <c r="O1755" i="1"/>
  <c r="N1755" i="1"/>
  <c r="M1755" i="1"/>
  <c r="J1755" i="1"/>
  <c r="K1755" i="1" s="1"/>
  <c r="I1755" i="1"/>
  <c r="F1755" i="1"/>
  <c r="E1755" i="1"/>
  <c r="BN1754" i="1"/>
  <c r="BL1754" i="1"/>
  <c r="BJ1754" i="1"/>
  <c r="BM1754" i="1" s="1"/>
  <c r="BI1754" i="1"/>
  <c r="BF1754" i="1"/>
  <c r="BE1754" i="1"/>
  <c r="BC1754" i="1"/>
  <c r="BB1754" i="1"/>
  <c r="BA1754" i="1"/>
  <c r="AX1754" i="1"/>
  <c r="AY1754" i="1" s="1"/>
  <c r="AW1754" i="1"/>
  <c r="AT1754" i="1"/>
  <c r="AS1754" i="1"/>
  <c r="AP1754" i="1"/>
  <c r="AQ1754" i="1" s="1"/>
  <c r="AO1754" i="1"/>
  <c r="AM1754" i="1"/>
  <c r="AL1754" i="1"/>
  <c r="AK1754" i="1"/>
  <c r="AI1754" i="1"/>
  <c r="AH1754" i="1"/>
  <c r="AG1754" i="1"/>
  <c r="AD1754" i="1"/>
  <c r="AE1754" i="1" s="1"/>
  <c r="AC1754" i="1"/>
  <c r="Z1754" i="1"/>
  <c r="Y1754" i="1"/>
  <c r="W1754" i="1"/>
  <c r="V1754" i="1"/>
  <c r="U1754" i="1"/>
  <c r="R1754" i="1"/>
  <c r="S1754" i="1" s="1"/>
  <c r="Q1754" i="1"/>
  <c r="N1754" i="1"/>
  <c r="M1754" i="1"/>
  <c r="J1754" i="1"/>
  <c r="K1754" i="1" s="1"/>
  <c r="I1754" i="1"/>
  <c r="G1754" i="1"/>
  <c r="F1754" i="1"/>
  <c r="E1754" i="1"/>
  <c r="BN1753" i="1"/>
  <c r="BM1753" i="1" s="1"/>
  <c r="BK1753" i="1"/>
  <c r="BL1753" i="1" s="1"/>
  <c r="BJ1753" i="1"/>
  <c r="BG1753" i="1" s="1"/>
  <c r="BI1753" i="1"/>
  <c r="BF1753" i="1"/>
  <c r="BE1753" i="1"/>
  <c r="BC1753" i="1"/>
  <c r="BB1753" i="1"/>
  <c r="BA1753" i="1"/>
  <c r="AX1753" i="1"/>
  <c r="AY1753" i="1" s="1"/>
  <c r="AW1753" i="1"/>
  <c r="AT1753" i="1"/>
  <c r="AU1753" i="1" s="1"/>
  <c r="AS1753" i="1"/>
  <c r="AP1753" i="1"/>
  <c r="AO1753" i="1"/>
  <c r="AM1753" i="1"/>
  <c r="AL1753" i="1"/>
  <c r="AK1753" i="1"/>
  <c r="AI1753" i="1"/>
  <c r="AH1753" i="1"/>
  <c r="AF1753" i="1"/>
  <c r="AG1753" i="1" s="1"/>
  <c r="AD1753" i="1"/>
  <c r="AC1753" i="1"/>
  <c r="Z1753" i="1"/>
  <c r="AA1753" i="1" s="1"/>
  <c r="Y1753" i="1"/>
  <c r="V1753" i="1"/>
  <c r="U1753" i="1"/>
  <c r="S1753" i="1"/>
  <c r="R1753" i="1"/>
  <c r="Q1753" i="1"/>
  <c r="N1753" i="1"/>
  <c r="O1753" i="1" s="1"/>
  <c r="M1753" i="1"/>
  <c r="J1753" i="1"/>
  <c r="I1753" i="1"/>
  <c r="F1753" i="1"/>
  <c r="E1753" i="1"/>
  <c r="D1753" i="1"/>
  <c r="BN1752" i="1"/>
  <c r="BK1752" i="1"/>
  <c r="BL1752" i="1" s="1"/>
  <c r="BJ1752" i="1"/>
  <c r="BM1752" i="1" s="1"/>
  <c r="BI1752" i="1"/>
  <c r="BG1752" i="1"/>
  <c r="BF1752" i="1"/>
  <c r="BE1752" i="1"/>
  <c r="BB1752" i="1"/>
  <c r="BA1752" i="1"/>
  <c r="AX1752" i="1"/>
  <c r="AW1752" i="1"/>
  <c r="AU1752" i="1"/>
  <c r="AT1752" i="1"/>
  <c r="AS1752" i="1"/>
  <c r="AP1752" i="1"/>
  <c r="AQ1752" i="1" s="1"/>
  <c r="AO1752" i="1"/>
  <c r="AL1752" i="1"/>
  <c r="AM1752" i="1" s="1"/>
  <c r="AK1752" i="1"/>
  <c r="AH1752" i="1"/>
  <c r="AF1752" i="1"/>
  <c r="AG1752" i="1" s="1"/>
  <c r="AE1752" i="1"/>
  <c r="AD1752" i="1"/>
  <c r="AC1752" i="1"/>
  <c r="AA1752" i="1"/>
  <c r="Z1752" i="1"/>
  <c r="Y1752" i="1"/>
  <c r="V1752" i="1"/>
  <c r="W1752" i="1" s="1"/>
  <c r="U1752" i="1"/>
  <c r="R1752" i="1"/>
  <c r="S1752" i="1" s="1"/>
  <c r="Q1752" i="1"/>
  <c r="N1752" i="1"/>
  <c r="M1752" i="1"/>
  <c r="K1752" i="1"/>
  <c r="J1752" i="1"/>
  <c r="I1752" i="1"/>
  <c r="F1752" i="1"/>
  <c r="G1752" i="1" s="1"/>
  <c r="D1752" i="1"/>
  <c r="E1752" i="1" s="1"/>
  <c r="BN1751" i="1"/>
  <c r="BL1751" i="1"/>
  <c r="BK1751" i="1"/>
  <c r="BJ1751" i="1"/>
  <c r="BM1751" i="1" s="1"/>
  <c r="BI1751" i="1"/>
  <c r="BF1751" i="1"/>
  <c r="BG1751" i="1" s="1"/>
  <c r="BE1751" i="1"/>
  <c r="BC1751" i="1"/>
  <c r="BB1751" i="1"/>
  <c r="BA1751" i="1"/>
  <c r="AY1751" i="1"/>
  <c r="AX1751" i="1"/>
  <c r="AW1751" i="1"/>
  <c r="AT1751" i="1"/>
  <c r="AU1751" i="1" s="1"/>
  <c r="AS1751" i="1"/>
  <c r="AP1751" i="1"/>
  <c r="AO1751" i="1"/>
  <c r="AM1751" i="1"/>
  <c r="AL1751" i="1"/>
  <c r="AK1751" i="1"/>
  <c r="AH1751" i="1"/>
  <c r="AI1751" i="1" s="1"/>
  <c r="AG1751" i="1"/>
  <c r="AF1751" i="1"/>
  <c r="AD1751" i="1"/>
  <c r="AC1751" i="1"/>
  <c r="Z1751" i="1"/>
  <c r="AA1751" i="1" s="1"/>
  <c r="Y1751" i="1"/>
  <c r="V1751" i="1"/>
  <c r="U1751" i="1"/>
  <c r="S1751" i="1"/>
  <c r="R1751" i="1"/>
  <c r="Q1751" i="1"/>
  <c r="N1751" i="1"/>
  <c r="O1751" i="1" s="1"/>
  <c r="M1751" i="1"/>
  <c r="J1751" i="1"/>
  <c r="I1751" i="1"/>
  <c r="F1751" i="1"/>
  <c r="G1751" i="1" s="1"/>
  <c r="D1751" i="1"/>
  <c r="E1751" i="1" s="1"/>
  <c r="BN1750" i="1"/>
  <c r="BL1750" i="1"/>
  <c r="BJ1750" i="1"/>
  <c r="BM1750" i="1" s="1"/>
  <c r="BI1750" i="1"/>
  <c r="BF1750" i="1"/>
  <c r="BE1750" i="1"/>
  <c r="BB1750" i="1"/>
  <c r="BA1750" i="1"/>
  <c r="AY1750" i="1"/>
  <c r="AX1750" i="1"/>
  <c r="AW1750" i="1"/>
  <c r="AT1750" i="1"/>
  <c r="AU1750" i="1" s="1"/>
  <c r="AS1750" i="1"/>
  <c r="AP1750" i="1"/>
  <c r="AO1750" i="1"/>
  <c r="AL1750" i="1"/>
  <c r="AK1750" i="1"/>
  <c r="AI1750" i="1"/>
  <c r="AH1750" i="1"/>
  <c r="AG1750" i="1"/>
  <c r="AD1750" i="1"/>
  <c r="AE1750" i="1" s="1"/>
  <c r="AC1750" i="1"/>
  <c r="Z1750" i="1"/>
  <c r="Y1750" i="1"/>
  <c r="V1750" i="1"/>
  <c r="U1750" i="1"/>
  <c r="S1750" i="1"/>
  <c r="R1750" i="1"/>
  <c r="Q1750" i="1"/>
  <c r="N1750" i="1"/>
  <c r="O1750" i="1" s="1"/>
  <c r="M1750" i="1"/>
  <c r="J1750" i="1"/>
  <c r="I1750" i="1"/>
  <c r="F1750" i="1"/>
  <c r="G1750" i="1" s="1"/>
  <c r="E1750" i="1"/>
  <c r="BN1749" i="1"/>
  <c r="BL1749" i="1"/>
  <c r="BJ1749" i="1"/>
  <c r="BM1749" i="1" s="1"/>
  <c r="BI1749" i="1"/>
  <c r="BF1749" i="1"/>
  <c r="BE1749" i="1"/>
  <c r="BC1749" i="1"/>
  <c r="BB1749" i="1"/>
  <c r="BA1749" i="1"/>
  <c r="AX1749" i="1"/>
  <c r="AY1749" i="1" s="1"/>
  <c r="AW1749" i="1"/>
  <c r="AT1749" i="1"/>
  <c r="AS1749" i="1"/>
  <c r="AP1749" i="1"/>
  <c r="AO1749" i="1"/>
  <c r="AM1749" i="1"/>
  <c r="AL1749" i="1"/>
  <c r="AK1749" i="1"/>
  <c r="AH1749" i="1"/>
  <c r="AI1749" i="1" s="1"/>
  <c r="AG1749" i="1"/>
  <c r="AD1749" i="1"/>
  <c r="AC1749" i="1"/>
  <c r="Z1749" i="1"/>
  <c r="AA1749" i="1" s="1"/>
  <c r="Y1749" i="1"/>
  <c r="W1749" i="1"/>
  <c r="V1749" i="1"/>
  <c r="U1749" i="1"/>
  <c r="S1749" i="1"/>
  <c r="R1749" i="1"/>
  <c r="Q1749" i="1"/>
  <c r="N1749" i="1"/>
  <c r="O1749" i="1" s="1"/>
  <c r="M1749" i="1"/>
  <c r="J1749" i="1"/>
  <c r="I1749" i="1"/>
  <c r="G1749" i="1"/>
  <c r="F1749" i="1"/>
  <c r="E1749" i="1"/>
  <c r="BN1748" i="1"/>
  <c r="BM1748" i="1"/>
  <c r="BL1748" i="1"/>
  <c r="BJ1748" i="1"/>
  <c r="BI1748" i="1"/>
  <c r="BG1748" i="1"/>
  <c r="BF1748" i="1"/>
  <c r="BE1748" i="1"/>
  <c r="BB1748" i="1"/>
  <c r="BC1748" i="1" s="1"/>
  <c r="BA1748" i="1"/>
  <c r="AX1748" i="1"/>
  <c r="AW1748" i="1"/>
  <c r="AT1748" i="1"/>
  <c r="AU1748" i="1" s="1"/>
  <c r="AS1748" i="1"/>
  <c r="AQ1748" i="1"/>
  <c r="AP1748" i="1"/>
  <c r="AO1748" i="1"/>
  <c r="AM1748" i="1"/>
  <c r="AL1748" i="1"/>
  <c r="AK1748" i="1"/>
  <c r="AH1748" i="1"/>
  <c r="AI1748" i="1" s="1"/>
  <c r="AG1748" i="1"/>
  <c r="AD1748" i="1"/>
  <c r="AC1748" i="1"/>
  <c r="AA1748" i="1"/>
  <c r="Z1748" i="1"/>
  <c r="Y1748" i="1"/>
  <c r="V1748" i="1"/>
  <c r="W1748" i="1" s="1"/>
  <c r="U1748" i="1"/>
  <c r="R1748" i="1"/>
  <c r="Q1748" i="1"/>
  <c r="N1748" i="1"/>
  <c r="M1748" i="1"/>
  <c r="K1748" i="1"/>
  <c r="J1748" i="1"/>
  <c r="I1748" i="1"/>
  <c r="G1748" i="1"/>
  <c r="F1748" i="1"/>
  <c r="E1748" i="1"/>
  <c r="BN1747" i="1"/>
  <c r="BM1747" i="1"/>
  <c r="BL1747" i="1"/>
  <c r="BJ1747" i="1"/>
  <c r="BI1747" i="1"/>
  <c r="BG1747" i="1"/>
  <c r="BF1747" i="1"/>
  <c r="BE1747" i="1"/>
  <c r="BB1747" i="1"/>
  <c r="BA1747" i="1"/>
  <c r="AX1747" i="1"/>
  <c r="AW1747" i="1"/>
  <c r="AU1747" i="1"/>
  <c r="AT1747" i="1"/>
  <c r="AS1747" i="1"/>
  <c r="AP1747" i="1"/>
  <c r="AQ1747" i="1" s="1"/>
  <c r="AO1747" i="1"/>
  <c r="AL1747" i="1"/>
  <c r="AM1747" i="1" s="1"/>
  <c r="AK1747" i="1"/>
  <c r="AH1747" i="1"/>
  <c r="AG1747" i="1"/>
  <c r="AE1747" i="1"/>
  <c r="AD1747" i="1"/>
  <c r="AC1747" i="1"/>
  <c r="Z1747" i="1"/>
  <c r="AA1747" i="1" s="1"/>
  <c r="Y1747" i="1"/>
  <c r="V1747" i="1"/>
  <c r="U1747" i="1"/>
  <c r="R1747" i="1"/>
  <c r="Q1747" i="1"/>
  <c r="O1747" i="1"/>
  <c r="N1747" i="1"/>
  <c r="M1747" i="1"/>
  <c r="J1747" i="1"/>
  <c r="K1747" i="1" s="1"/>
  <c r="I1747" i="1"/>
  <c r="F1747" i="1"/>
  <c r="E1747" i="1"/>
  <c r="BN1746" i="1"/>
  <c r="BL1746" i="1"/>
  <c r="BJ1746" i="1"/>
  <c r="BM1746" i="1" s="1"/>
  <c r="BI1746" i="1"/>
  <c r="BF1746" i="1"/>
  <c r="BG1746" i="1" s="1"/>
  <c r="BE1746" i="1"/>
  <c r="BB1746" i="1"/>
  <c r="BA1746" i="1"/>
  <c r="AY1746" i="1"/>
  <c r="AX1746" i="1"/>
  <c r="AW1746" i="1"/>
  <c r="AT1746" i="1"/>
  <c r="AU1746" i="1" s="1"/>
  <c r="AS1746" i="1"/>
  <c r="AP1746" i="1"/>
  <c r="AO1746" i="1"/>
  <c r="AL1746" i="1"/>
  <c r="AK1746" i="1"/>
  <c r="AI1746" i="1"/>
  <c r="AH1746" i="1"/>
  <c r="AG1746" i="1"/>
  <c r="AD1746" i="1"/>
  <c r="AE1746" i="1" s="1"/>
  <c r="AC1746" i="1"/>
  <c r="Z1746" i="1"/>
  <c r="AA1746" i="1" s="1"/>
  <c r="Y1746" i="1"/>
  <c r="V1746" i="1"/>
  <c r="U1746" i="1"/>
  <c r="S1746" i="1"/>
  <c r="R1746" i="1"/>
  <c r="Q1746" i="1"/>
  <c r="N1746" i="1"/>
  <c r="O1746" i="1" s="1"/>
  <c r="M1746" i="1"/>
  <c r="J1746" i="1"/>
  <c r="I1746" i="1"/>
  <c r="F1746" i="1"/>
  <c r="E1746" i="1"/>
  <c r="BN1745" i="1"/>
  <c r="BL1745" i="1"/>
  <c r="BJ1745" i="1"/>
  <c r="BM1745" i="1" s="1"/>
  <c r="BI1745" i="1"/>
  <c r="BF1745" i="1"/>
  <c r="BE1745" i="1"/>
  <c r="BC1745" i="1"/>
  <c r="BB1745" i="1"/>
  <c r="BA1745" i="1"/>
  <c r="AX1745" i="1"/>
  <c r="AY1745" i="1" s="1"/>
  <c r="AW1745" i="1"/>
  <c r="AT1745" i="1"/>
  <c r="AS1745" i="1"/>
  <c r="AP1745" i="1"/>
  <c r="AO1745" i="1"/>
  <c r="AM1745" i="1"/>
  <c r="AL1745" i="1"/>
  <c r="AK1745" i="1"/>
  <c r="AI1745" i="1"/>
  <c r="AH1745" i="1"/>
  <c r="AG1745" i="1"/>
  <c r="AD1745" i="1"/>
  <c r="AC1745" i="1"/>
  <c r="Z1745" i="1"/>
  <c r="Y1745" i="1"/>
  <c r="W1745" i="1"/>
  <c r="V1745" i="1"/>
  <c r="U1745" i="1"/>
  <c r="R1745" i="1"/>
  <c r="S1745" i="1" s="1"/>
  <c r="Q1745" i="1"/>
  <c r="N1745" i="1"/>
  <c r="O1745" i="1" s="1"/>
  <c r="M1745" i="1"/>
  <c r="J1745" i="1"/>
  <c r="I1745" i="1"/>
  <c r="G1745" i="1"/>
  <c r="F1745" i="1"/>
  <c r="E1745" i="1"/>
  <c r="BN1744" i="1"/>
  <c r="BM1744" i="1"/>
  <c r="BL1744" i="1"/>
  <c r="BJ1744" i="1"/>
  <c r="BI1744" i="1"/>
  <c r="BG1744" i="1"/>
  <c r="BF1744" i="1"/>
  <c r="BE1744" i="1"/>
  <c r="BB1744" i="1"/>
  <c r="BC1744" i="1" s="1"/>
  <c r="BA1744" i="1"/>
  <c r="AX1744" i="1"/>
  <c r="AW1744" i="1"/>
  <c r="AT1744" i="1"/>
  <c r="AS1744" i="1"/>
  <c r="AQ1744" i="1"/>
  <c r="AP1744" i="1"/>
  <c r="AO1744" i="1"/>
  <c r="AM1744" i="1"/>
  <c r="AL1744" i="1"/>
  <c r="AK1744" i="1"/>
  <c r="AH1744" i="1"/>
  <c r="AI1744" i="1" s="1"/>
  <c r="AG1744" i="1"/>
  <c r="AD1744" i="1"/>
  <c r="AC1744" i="1"/>
  <c r="AA1744" i="1"/>
  <c r="Z1744" i="1"/>
  <c r="Y1744" i="1"/>
  <c r="V1744" i="1"/>
  <c r="W1744" i="1" s="1"/>
  <c r="U1744" i="1"/>
  <c r="R1744" i="1"/>
  <c r="Q1744" i="1"/>
  <c r="N1744" i="1"/>
  <c r="M1744" i="1"/>
  <c r="K1744" i="1"/>
  <c r="J1744" i="1"/>
  <c r="I1744" i="1"/>
  <c r="G1744" i="1"/>
  <c r="F1744" i="1"/>
  <c r="E1744" i="1"/>
  <c r="BN1743" i="1"/>
  <c r="BM1743" i="1"/>
  <c r="BL1743" i="1"/>
  <c r="BJ1743" i="1"/>
  <c r="BI1743" i="1"/>
  <c r="BG1743" i="1"/>
  <c r="BF1743" i="1"/>
  <c r="BE1743" i="1"/>
  <c r="BB1743" i="1"/>
  <c r="BC1743" i="1" s="1"/>
  <c r="BA1743" i="1"/>
  <c r="AX1743" i="1"/>
  <c r="AW1743" i="1"/>
  <c r="AU1743" i="1"/>
  <c r="AT1743" i="1"/>
  <c r="AS1743" i="1"/>
  <c r="AP1743" i="1"/>
  <c r="AQ1743" i="1" s="1"/>
  <c r="AO1743" i="1"/>
  <c r="AL1743" i="1"/>
  <c r="AK1743" i="1"/>
  <c r="AH1743" i="1"/>
  <c r="AG1743" i="1"/>
  <c r="AE1743" i="1"/>
  <c r="AD1743" i="1"/>
  <c r="AC1743" i="1"/>
  <c r="AA1743" i="1"/>
  <c r="Z1743" i="1"/>
  <c r="Y1743" i="1"/>
  <c r="V1743" i="1"/>
  <c r="W1743" i="1" s="1"/>
  <c r="U1743" i="1"/>
  <c r="R1743" i="1"/>
  <c r="Q1743" i="1"/>
  <c r="O1743" i="1"/>
  <c r="N1743" i="1"/>
  <c r="M1743" i="1"/>
  <c r="J1743" i="1"/>
  <c r="K1743" i="1" s="1"/>
  <c r="I1743" i="1"/>
  <c r="F1743" i="1"/>
  <c r="E1743" i="1"/>
  <c r="BN1742" i="1"/>
  <c r="BL1742" i="1"/>
  <c r="BJ1742" i="1"/>
  <c r="BM1742" i="1" s="1"/>
  <c r="BI1742" i="1"/>
  <c r="BF1742" i="1"/>
  <c r="BE1742" i="1"/>
  <c r="BB1742" i="1"/>
  <c r="BA1742" i="1"/>
  <c r="AY1742" i="1"/>
  <c r="AX1742" i="1"/>
  <c r="AW1742" i="1"/>
  <c r="AT1742" i="1"/>
  <c r="AU1742" i="1" s="1"/>
  <c r="AS1742" i="1"/>
  <c r="AP1742" i="1"/>
  <c r="AO1742" i="1"/>
  <c r="AL1742" i="1"/>
  <c r="AM1742" i="1" s="1"/>
  <c r="AK1742" i="1"/>
  <c r="AI1742" i="1"/>
  <c r="AH1742" i="1"/>
  <c r="AG1742" i="1"/>
  <c r="AE1742" i="1"/>
  <c r="AD1742" i="1"/>
  <c r="AC1742" i="1"/>
  <c r="Z1742" i="1"/>
  <c r="Y1742" i="1"/>
  <c r="V1742" i="1"/>
  <c r="U1742" i="1"/>
  <c r="S1742" i="1"/>
  <c r="R1742" i="1"/>
  <c r="Q1742" i="1"/>
  <c r="N1742" i="1"/>
  <c r="O1742" i="1" s="1"/>
  <c r="M1742" i="1"/>
  <c r="J1742" i="1"/>
  <c r="I1742" i="1"/>
  <c r="F1742" i="1"/>
  <c r="G1742" i="1" s="1"/>
  <c r="E1742" i="1"/>
  <c r="BN1741" i="1"/>
  <c r="BL1741" i="1"/>
  <c r="BJ1741" i="1"/>
  <c r="BM1741" i="1" s="1"/>
  <c r="BI1741" i="1"/>
  <c r="BF1741" i="1"/>
  <c r="BE1741" i="1"/>
  <c r="BC1741" i="1"/>
  <c r="BB1741" i="1"/>
  <c r="BA1741" i="1"/>
  <c r="AX1741" i="1"/>
  <c r="AY1741" i="1" s="1"/>
  <c r="AW1741" i="1"/>
  <c r="AT1741" i="1"/>
  <c r="AS1741" i="1"/>
  <c r="AP1741" i="1"/>
  <c r="AO1741" i="1"/>
  <c r="AM1741" i="1"/>
  <c r="AL1741" i="1"/>
  <c r="AK1741" i="1"/>
  <c r="AI1741" i="1"/>
  <c r="AH1741" i="1"/>
  <c r="AG1741" i="1"/>
  <c r="AD1741" i="1"/>
  <c r="AE1741" i="1" s="1"/>
  <c r="AC1741" i="1"/>
  <c r="Z1741" i="1"/>
  <c r="Y1741" i="1"/>
  <c r="W1741" i="1"/>
  <c r="V1741" i="1"/>
  <c r="U1741" i="1"/>
  <c r="R1741" i="1"/>
  <c r="S1741" i="1" s="1"/>
  <c r="Q1741" i="1"/>
  <c r="N1741" i="1"/>
  <c r="M1741" i="1"/>
  <c r="J1741" i="1"/>
  <c r="I1741" i="1"/>
  <c r="G1741" i="1"/>
  <c r="F1741" i="1"/>
  <c r="E1741" i="1"/>
  <c r="BN1740" i="1"/>
  <c r="BM1740" i="1" s="1"/>
  <c r="BL1740" i="1"/>
  <c r="BJ1740" i="1"/>
  <c r="BI1740" i="1"/>
  <c r="BG1740" i="1"/>
  <c r="BF1740" i="1"/>
  <c r="BE1740" i="1"/>
  <c r="BC1740" i="1"/>
  <c r="BB1740" i="1"/>
  <c r="BA1740" i="1"/>
  <c r="AX1740" i="1"/>
  <c r="AY1740" i="1" s="1"/>
  <c r="AW1740" i="1"/>
  <c r="AT1740" i="1"/>
  <c r="AS1740" i="1"/>
  <c r="AQ1740" i="1"/>
  <c r="AP1740" i="1"/>
  <c r="AO1740" i="1"/>
  <c r="AL1740" i="1"/>
  <c r="AM1740" i="1" s="1"/>
  <c r="AK1740" i="1"/>
  <c r="AH1740" i="1"/>
  <c r="AG1740" i="1"/>
  <c r="AD1740" i="1"/>
  <c r="AC1740" i="1"/>
  <c r="AA1740" i="1"/>
  <c r="Z1740" i="1"/>
  <c r="Y1740" i="1"/>
  <c r="W1740" i="1"/>
  <c r="V1740" i="1"/>
  <c r="U1740" i="1"/>
  <c r="R1740" i="1"/>
  <c r="S1740" i="1" s="1"/>
  <c r="Q1740" i="1"/>
  <c r="N1740" i="1"/>
  <c r="M1740" i="1"/>
  <c r="K1740" i="1"/>
  <c r="J1740" i="1"/>
  <c r="I1740" i="1"/>
  <c r="F1740" i="1"/>
  <c r="G1740" i="1" s="1"/>
  <c r="E1740" i="1"/>
  <c r="BN1739" i="1"/>
  <c r="BM1739" i="1"/>
  <c r="BL1739" i="1"/>
  <c r="BJ1739" i="1"/>
  <c r="BI1739" i="1"/>
  <c r="BF1739" i="1"/>
  <c r="BG1739" i="1" s="1"/>
  <c r="BE1739" i="1"/>
  <c r="BB1739" i="1"/>
  <c r="BA1739" i="1"/>
  <c r="AX1739" i="1"/>
  <c r="AW1739" i="1"/>
  <c r="AU1739" i="1"/>
  <c r="AT1739" i="1"/>
  <c r="AS1739" i="1"/>
  <c r="AQ1739" i="1"/>
  <c r="AP1739" i="1"/>
  <c r="AO1739" i="1"/>
  <c r="AL1739" i="1"/>
  <c r="AM1739" i="1" s="1"/>
  <c r="AK1739" i="1"/>
  <c r="AH1739" i="1"/>
  <c r="AG1739" i="1"/>
  <c r="AE1739" i="1"/>
  <c r="AD1739" i="1"/>
  <c r="AC1739" i="1"/>
  <c r="Z1739" i="1"/>
  <c r="AA1739" i="1" s="1"/>
  <c r="Y1739" i="1"/>
  <c r="V1739" i="1"/>
  <c r="U1739" i="1"/>
  <c r="S1739" i="1"/>
  <c r="R1739" i="1"/>
  <c r="Q1739" i="1"/>
  <c r="O1739" i="1"/>
  <c r="N1739" i="1"/>
  <c r="M1739" i="1"/>
  <c r="J1739" i="1"/>
  <c r="K1739" i="1" s="1"/>
  <c r="I1739" i="1"/>
  <c r="F1739" i="1"/>
  <c r="E1739" i="1"/>
  <c r="BN1738" i="1"/>
  <c r="BL1738" i="1"/>
  <c r="BJ1738" i="1"/>
  <c r="BM1738" i="1" s="1"/>
  <c r="BI1738" i="1"/>
  <c r="BF1738" i="1"/>
  <c r="BE1738" i="1"/>
  <c r="BB1738" i="1"/>
  <c r="BA1738" i="1"/>
  <c r="AX1738" i="1"/>
  <c r="AY1738" i="1" s="1"/>
  <c r="AW1738" i="1"/>
  <c r="AT1738" i="1"/>
  <c r="AU1738" i="1" s="1"/>
  <c r="AS1738" i="1"/>
  <c r="AP1738" i="1"/>
  <c r="AO1738" i="1"/>
  <c r="AL1738" i="1"/>
  <c r="AM1738" i="1" s="1"/>
  <c r="AK1738" i="1"/>
  <c r="AH1738" i="1"/>
  <c r="AG1738" i="1"/>
  <c r="AE1738" i="1"/>
  <c r="AD1738" i="1"/>
  <c r="AC1738" i="1"/>
  <c r="Z1738" i="1"/>
  <c r="AA1738" i="1" s="1"/>
  <c r="Y1738" i="1"/>
  <c r="V1738" i="1"/>
  <c r="U1738" i="1"/>
  <c r="R1738" i="1"/>
  <c r="Q1738" i="1"/>
  <c r="N1738" i="1"/>
  <c r="O1738" i="1" s="1"/>
  <c r="M1738" i="1"/>
  <c r="J1738" i="1"/>
  <c r="I1738" i="1"/>
  <c r="F1738" i="1"/>
  <c r="E1738" i="1"/>
  <c r="BN1737" i="1"/>
  <c r="BL1737" i="1"/>
  <c r="BJ1737" i="1"/>
  <c r="BI1737" i="1"/>
  <c r="BF1737" i="1"/>
  <c r="BE1737" i="1"/>
  <c r="BC1737" i="1"/>
  <c r="BB1737" i="1"/>
  <c r="BA1737" i="1"/>
  <c r="AY1737" i="1"/>
  <c r="AX1737" i="1"/>
  <c r="AW1737" i="1"/>
  <c r="AT1737" i="1"/>
  <c r="AU1737" i="1" s="1"/>
  <c r="AS1737" i="1"/>
  <c r="AP1737" i="1"/>
  <c r="AM1737" i="1" s="1"/>
  <c r="AO1737" i="1"/>
  <c r="AL1737" i="1"/>
  <c r="AK1737" i="1"/>
  <c r="AH1737" i="1"/>
  <c r="AI1737" i="1" s="1"/>
  <c r="AG1737" i="1"/>
  <c r="AD1737" i="1"/>
  <c r="AC1737" i="1"/>
  <c r="Z1737" i="1"/>
  <c r="Y1737" i="1"/>
  <c r="W1737" i="1"/>
  <c r="V1737" i="1"/>
  <c r="U1737" i="1"/>
  <c r="S1737" i="1"/>
  <c r="R1737" i="1"/>
  <c r="Q1737" i="1"/>
  <c r="N1737" i="1"/>
  <c r="O1737" i="1" s="1"/>
  <c r="M1737" i="1"/>
  <c r="J1737" i="1"/>
  <c r="G1737" i="1" s="1"/>
  <c r="I1737" i="1"/>
  <c r="F1737" i="1"/>
  <c r="E1737" i="1"/>
  <c r="BN1736" i="1"/>
  <c r="BM1736" i="1"/>
  <c r="BL1736" i="1"/>
  <c r="BJ1736" i="1"/>
  <c r="BG1736" i="1" s="1"/>
  <c r="BI1736" i="1"/>
  <c r="BF1736" i="1"/>
  <c r="BE1736" i="1"/>
  <c r="BB1736" i="1"/>
  <c r="BC1736" i="1" s="1"/>
  <c r="BA1736" i="1"/>
  <c r="AX1736" i="1"/>
  <c r="AW1736" i="1"/>
  <c r="AT1736" i="1"/>
  <c r="AS1736" i="1"/>
  <c r="AQ1736" i="1"/>
  <c r="AP1736" i="1"/>
  <c r="AO1736" i="1"/>
  <c r="AM1736" i="1"/>
  <c r="AL1736" i="1"/>
  <c r="AK1736" i="1"/>
  <c r="AH1736" i="1"/>
  <c r="AI1736" i="1" s="1"/>
  <c r="AG1736" i="1"/>
  <c r="AD1736" i="1"/>
  <c r="AA1736" i="1" s="1"/>
  <c r="AC1736" i="1"/>
  <c r="Z1736" i="1"/>
  <c r="Y1736" i="1"/>
  <c r="V1736" i="1"/>
  <c r="W1736" i="1" s="1"/>
  <c r="U1736" i="1"/>
  <c r="R1736" i="1"/>
  <c r="S1736" i="1" s="1"/>
  <c r="Q1736" i="1"/>
  <c r="N1736" i="1"/>
  <c r="O1736" i="1" s="1"/>
  <c r="M1736" i="1"/>
  <c r="K1736" i="1"/>
  <c r="J1736" i="1"/>
  <c r="I1736" i="1"/>
  <c r="G1736" i="1"/>
  <c r="F1736" i="1"/>
  <c r="E1736" i="1"/>
  <c r="BN1735" i="1"/>
  <c r="BM1735" i="1"/>
  <c r="BL1735" i="1"/>
  <c r="BJ1735" i="1"/>
  <c r="BI1735" i="1"/>
  <c r="BG1735" i="1"/>
  <c r="BF1735" i="1"/>
  <c r="BE1735" i="1"/>
  <c r="BB1735" i="1"/>
  <c r="BC1735" i="1" s="1"/>
  <c r="BA1735" i="1"/>
  <c r="AX1735" i="1"/>
  <c r="AU1735" i="1" s="1"/>
  <c r="AW1735" i="1"/>
  <c r="AT1735" i="1"/>
  <c r="AS1735" i="1"/>
  <c r="AP1735" i="1"/>
  <c r="AQ1735" i="1" s="1"/>
  <c r="AO1735" i="1"/>
  <c r="AL1735" i="1"/>
  <c r="AK1735" i="1"/>
  <c r="AH1735" i="1"/>
  <c r="AG1735" i="1"/>
  <c r="AE1735" i="1"/>
  <c r="AD1735" i="1"/>
  <c r="AC1735" i="1"/>
  <c r="AA1735" i="1"/>
  <c r="Z1735" i="1"/>
  <c r="Y1735" i="1"/>
  <c r="V1735" i="1"/>
  <c r="W1735" i="1" s="1"/>
  <c r="U1735" i="1"/>
  <c r="R1735" i="1"/>
  <c r="O1735" i="1" s="1"/>
  <c r="Q1735" i="1"/>
  <c r="N1735" i="1"/>
  <c r="M1735" i="1"/>
  <c r="J1735" i="1"/>
  <c r="K1735" i="1" s="1"/>
  <c r="I1735" i="1"/>
  <c r="F1735" i="1"/>
  <c r="G1735" i="1" s="1"/>
  <c r="E1735" i="1"/>
  <c r="BN1734" i="1"/>
  <c r="BL1734" i="1"/>
  <c r="BJ1734" i="1"/>
  <c r="BM1734" i="1" s="1"/>
  <c r="BI1734" i="1"/>
  <c r="BF1734" i="1"/>
  <c r="BE1734" i="1"/>
  <c r="BB1734" i="1"/>
  <c r="BA1734" i="1"/>
  <c r="AY1734" i="1"/>
  <c r="AX1734" i="1"/>
  <c r="AW1734" i="1"/>
  <c r="AU1734" i="1"/>
  <c r="AT1734" i="1"/>
  <c r="AS1734" i="1"/>
  <c r="AP1734" i="1"/>
  <c r="AQ1734" i="1" s="1"/>
  <c r="AO1734" i="1"/>
  <c r="AL1734" i="1"/>
  <c r="AI1734" i="1" s="1"/>
  <c r="AK1734" i="1"/>
  <c r="AH1734" i="1"/>
  <c r="AG1734" i="1"/>
  <c r="AD1734" i="1"/>
  <c r="AE1734" i="1" s="1"/>
  <c r="AC1734" i="1"/>
  <c r="Z1734" i="1"/>
  <c r="Y1734" i="1"/>
  <c r="V1734" i="1"/>
  <c r="U1734" i="1"/>
  <c r="S1734" i="1"/>
  <c r="R1734" i="1"/>
  <c r="Q1734" i="1"/>
  <c r="O1734" i="1"/>
  <c r="N1734" i="1"/>
  <c r="M1734" i="1"/>
  <c r="J1734" i="1"/>
  <c r="K1734" i="1" s="1"/>
  <c r="I1734" i="1"/>
  <c r="F1734" i="1"/>
  <c r="G1734" i="1" s="1"/>
  <c r="E1734" i="1"/>
  <c r="BN1733" i="1"/>
  <c r="BL1733" i="1"/>
  <c r="BJ1733" i="1"/>
  <c r="BM1733" i="1" s="1"/>
  <c r="BI1733" i="1"/>
  <c r="BF1733" i="1"/>
  <c r="BC1733" i="1" s="1"/>
  <c r="BE1733" i="1"/>
  <c r="BB1733" i="1"/>
  <c r="BA1733" i="1"/>
  <c r="AX1733" i="1"/>
  <c r="AY1733" i="1" s="1"/>
  <c r="AW1733" i="1"/>
  <c r="AT1733" i="1"/>
  <c r="AU1733" i="1" s="1"/>
  <c r="AS1733" i="1"/>
  <c r="AP1733" i="1"/>
  <c r="AQ1733" i="1" s="1"/>
  <c r="AO1733" i="1"/>
  <c r="AM1733" i="1"/>
  <c r="AL1733" i="1"/>
  <c r="AK1733" i="1"/>
  <c r="AI1733" i="1"/>
  <c r="AH1733" i="1"/>
  <c r="AG1733" i="1"/>
  <c r="AD1733" i="1"/>
  <c r="AE1733" i="1" s="1"/>
  <c r="AC1733" i="1"/>
  <c r="Z1733" i="1"/>
  <c r="W1733" i="1" s="1"/>
  <c r="Y1733" i="1"/>
  <c r="V1733" i="1"/>
  <c r="U1733" i="1"/>
  <c r="R1733" i="1"/>
  <c r="S1733" i="1" s="1"/>
  <c r="Q1733" i="1"/>
  <c r="N1733" i="1"/>
  <c r="O1733" i="1" s="1"/>
  <c r="M1733" i="1"/>
  <c r="J1733" i="1"/>
  <c r="I1733" i="1"/>
  <c r="G1733" i="1"/>
  <c r="F1733" i="1"/>
  <c r="E1733" i="1"/>
  <c r="BN1732" i="1"/>
  <c r="BM1732" i="1" s="1"/>
  <c r="BL1732" i="1"/>
  <c r="BJ1732" i="1"/>
  <c r="BI1732" i="1"/>
  <c r="BG1732" i="1"/>
  <c r="BF1732" i="1"/>
  <c r="BE1732" i="1"/>
  <c r="BC1732" i="1"/>
  <c r="BB1732" i="1"/>
  <c r="BA1732" i="1"/>
  <c r="AX1732" i="1"/>
  <c r="AY1732" i="1" s="1"/>
  <c r="AW1732" i="1"/>
  <c r="AT1732" i="1"/>
  <c r="AQ1732" i="1" s="1"/>
  <c r="AS1732" i="1"/>
  <c r="AP1732" i="1"/>
  <c r="AO1732" i="1"/>
  <c r="AL1732" i="1"/>
  <c r="AM1732" i="1" s="1"/>
  <c r="AK1732" i="1"/>
  <c r="AH1732" i="1"/>
  <c r="AI1732" i="1" s="1"/>
  <c r="AG1732" i="1"/>
  <c r="AD1732" i="1"/>
  <c r="AE1732" i="1" s="1"/>
  <c r="AC1732" i="1"/>
  <c r="AA1732" i="1"/>
  <c r="Z1732" i="1"/>
  <c r="Y1732" i="1"/>
  <c r="W1732" i="1"/>
  <c r="V1732" i="1"/>
  <c r="U1732" i="1"/>
  <c r="R1732" i="1"/>
  <c r="S1732" i="1" s="1"/>
  <c r="Q1732" i="1"/>
  <c r="N1732" i="1"/>
  <c r="K1732" i="1" s="1"/>
  <c r="M1732" i="1"/>
  <c r="J1732" i="1"/>
  <c r="I1732" i="1"/>
  <c r="F1732" i="1"/>
  <c r="G1732" i="1" s="1"/>
  <c r="E1732" i="1"/>
  <c r="BN1731" i="1"/>
  <c r="BM1731" i="1"/>
  <c r="BL1731" i="1"/>
  <c r="BJ1731" i="1"/>
  <c r="BI1731" i="1"/>
  <c r="BF1731" i="1"/>
  <c r="BG1731" i="1" s="1"/>
  <c r="BE1731" i="1"/>
  <c r="BB1731" i="1"/>
  <c r="BC1731" i="1" s="1"/>
  <c r="BA1731" i="1"/>
  <c r="AX1731" i="1"/>
  <c r="AY1731" i="1" s="1"/>
  <c r="AW1731" i="1"/>
  <c r="AU1731" i="1"/>
  <c r="AT1731" i="1"/>
  <c r="AS1731" i="1"/>
  <c r="AQ1731" i="1"/>
  <c r="AP1731" i="1"/>
  <c r="AO1731" i="1"/>
  <c r="AL1731" i="1"/>
  <c r="AM1731" i="1" s="1"/>
  <c r="AK1731" i="1"/>
  <c r="AH1731" i="1"/>
  <c r="AE1731" i="1" s="1"/>
  <c r="AG1731" i="1"/>
  <c r="AD1731" i="1"/>
  <c r="AC1731" i="1"/>
  <c r="Z1731" i="1"/>
  <c r="AA1731" i="1" s="1"/>
  <c r="Y1731" i="1"/>
  <c r="V1731" i="1"/>
  <c r="W1731" i="1" s="1"/>
  <c r="U1731" i="1"/>
  <c r="R1731" i="1"/>
  <c r="Q1731" i="1"/>
  <c r="O1731" i="1"/>
  <c r="N1731" i="1"/>
  <c r="M1731" i="1"/>
  <c r="K1731" i="1"/>
  <c r="J1731" i="1"/>
  <c r="I1731" i="1"/>
  <c r="F1731" i="1"/>
  <c r="G1731" i="1" s="1"/>
  <c r="E1731" i="1"/>
  <c r="BN1730" i="1"/>
  <c r="BM1730" i="1"/>
  <c r="BL1730" i="1"/>
  <c r="BJ1730" i="1"/>
  <c r="BI1730" i="1"/>
  <c r="BF1730" i="1"/>
  <c r="BG1730" i="1" s="1"/>
  <c r="BE1730" i="1"/>
  <c r="BB1730" i="1"/>
  <c r="AY1730" i="1" s="1"/>
  <c r="BA1730" i="1"/>
  <c r="AX1730" i="1"/>
  <c r="AW1730" i="1"/>
  <c r="AT1730" i="1"/>
  <c r="AU1730" i="1" s="1"/>
  <c r="AS1730" i="1"/>
  <c r="AP1730" i="1"/>
  <c r="AO1730" i="1"/>
  <c r="AL1730" i="1"/>
  <c r="AK1730" i="1"/>
  <c r="AI1730" i="1"/>
  <c r="AH1730" i="1"/>
  <c r="AG1730" i="1"/>
  <c r="AE1730" i="1"/>
  <c r="AD1730" i="1"/>
  <c r="AC1730" i="1"/>
  <c r="Z1730" i="1"/>
  <c r="AA1730" i="1" s="1"/>
  <c r="Y1730" i="1"/>
  <c r="V1730" i="1"/>
  <c r="S1730" i="1" s="1"/>
  <c r="U1730" i="1"/>
  <c r="R1730" i="1"/>
  <c r="Q1730" i="1"/>
  <c r="N1730" i="1"/>
  <c r="O1730" i="1" s="1"/>
  <c r="M1730" i="1"/>
  <c r="J1730" i="1"/>
  <c r="I1730" i="1"/>
  <c r="F1730" i="1"/>
  <c r="E1730" i="1"/>
  <c r="BN1729" i="1"/>
  <c r="BL1729" i="1"/>
  <c r="BJ1729" i="1"/>
  <c r="BI1729" i="1"/>
  <c r="BF1729" i="1"/>
  <c r="BE1729" i="1"/>
  <c r="BC1729" i="1"/>
  <c r="BB1729" i="1"/>
  <c r="BA1729" i="1"/>
  <c r="AY1729" i="1"/>
  <c r="AX1729" i="1"/>
  <c r="AW1729" i="1"/>
  <c r="AT1729" i="1"/>
  <c r="AU1729" i="1" s="1"/>
  <c r="AS1729" i="1"/>
  <c r="AP1729" i="1"/>
  <c r="AM1729" i="1" s="1"/>
  <c r="AO1729" i="1"/>
  <c r="AL1729" i="1"/>
  <c r="AK1729" i="1"/>
  <c r="AH1729" i="1"/>
  <c r="AI1729" i="1" s="1"/>
  <c r="AG1729" i="1"/>
  <c r="AD1729" i="1"/>
  <c r="AC1729" i="1"/>
  <c r="Z1729" i="1"/>
  <c r="Y1729" i="1"/>
  <c r="W1729" i="1"/>
  <c r="V1729" i="1"/>
  <c r="U1729" i="1"/>
  <c r="S1729" i="1"/>
  <c r="R1729" i="1"/>
  <c r="Q1729" i="1"/>
  <c r="N1729" i="1"/>
  <c r="O1729" i="1" s="1"/>
  <c r="M1729" i="1"/>
  <c r="J1729" i="1"/>
  <c r="G1729" i="1" s="1"/>
  <c r="I1729" i="1"/>
  <c r="F1729" i="1"/>
  <c r="E1729" i="1"/>
  <c r="BN1728" i="1"/>
  <c r="BM1728" i="1"/>
  <c r="BL1728" i="1"/>
  <c r="BJ1728" i="1"/>
  <c r="BG1728" i="1" s="1"/>
  <c r="BI1728" i="1"/>
  <c r="BF1728" i="1"/>
  <c r="BE1728" i="1"/>
  <c r="BB1728" i="1"/>
  <c r="BC1728" i="1" s="1"/>
  <c r="BA1728" i="1"/>
  <c r="AX1728" i="1"/>
  <c r="AY1728" i="1" s="1"/>
  <c r="AW1728" i="1"/>
  <c r="AT1728" i="1"/>
  <c r="AS1728" i="1"/>
  <c r="AQ1728" i="1"/>
  <c r="AP1728" i="1"/>
  <c r="AO1728" i="1"/>
  <c r="AM1728" i="1"/>
  <c r="AL1728" i="1"/>
  <c r="AK1728" i="1"/>
  <c r="AH1728" i="1"/>
  <c r="AI1728" i="1" s="1"/>
  <c r="AG1728" i="1"/>
  <c r="AD1728" i="1"/>
  <c r="AA1728" i="1" s="1"/>
  <c r="AC1728" i="1"/>
  <c r="Z1728" i="1"/>
  <c r="Y1728" i="1"/>
  <c r="V1728" i="1"/>
  <c r="W1728" i="1" s="1"/>
  <c r="U1728" i="1"/>
  <c r="R1728" i="1"/>
  <c r="S1728" i="1" s="1"/>
  <c r="Q1728" i="1"/>
  <c r="N1728" i="1"/>
  <c r="O1728" i="1" s="1"/>
  <c r="M1728" i="1"/>
  <c r="K1728" i="1"/>
  <c r="J1728" i="1"/>
  <c r="I1728" i="1"/>
  <c r="G1728" i="1"/>
  <c r="F1728" i="1"/>
  <c r="E1728" i="1"/>
  <c r="BN1727" i="1"/>
  <c r="BM1727" i="1"/>
  <c r="BL1727" i="1"/>
  <c r="BJ1727" i="1"/>
  <c r="BI1727" i="1"/>
  <c r="BG1727" i="1"/>
  <c r="BF1727" i="1"/>
  <c r="BE1727" i="1"/>
  <c r="BB1727" i="1"/>
  <c r="BC1727" i="1" s="1"/>
  <c r="BA1727" i="1"/>
  <c r="AX1727" i="1"/>
  <c r="AU1727" i="1" s="1"/>
  <c r="AW1727" i="1"/>
  <c r="AT1727" i="1"/>
  <c r="AS1727" i="1"/>
  <c r="AP1727" i="1"/>
  <c r="AQ1727" i="1" s="1"/>
  <c r="AO1727" i="1"/>
  <c r="AL1727" i="1"/>
  <c r="AK1727" i="1"/>
  <c r="AH1727" i="1"/>
  <c r="AG1727" i="1"/>
  <c r="AE1727" i="1"/>
  <c r="AD1727" i="1"/>
  <c r="AC1727" i="1"/>
  <c r="AA1727" i="1"/>
  <c r="Z1727" i="1"/>
  <c r="Y1727" i="1"/>
  <c r="V1727" i="1"/>
  <c r="W1727" i="1" s="1"/>
  <c r="U1727" i="1"/>
  <c r="R1727" i="1"/>
  <c r="O1727" i="1" s="1"/>
  <c r="Q1727" i="1"/>
  <c r="N1727" i="1"/>
  <c r="M1727" i="1"/>
  <c r="J1727" i="1"/>
  <c r="K1727" i="1" s="1"/>
  <c r="I1727" i="1"/>
  <c r="F1727" i="1"/>
  <c r="G1727" i="1" s="1"/>
  <c r="E1727" i="1"/>
  <c r="BN1726" i="1"/>
  <c r="BL1726" i="1"/>
  <c r="BJ1726" i="1"/>
  <c r="BM1726" i="1" s="1"/>
  <c r="BI1726" i="1"/>
  <c r="BF1726" i="1"/>
  <c r="BE1726" i="1"/>
  <c r="BB1726" i="1"/>
  <c r="BA1726" i="1"/>
  <c r="AY1726" i="1"/>
  <c r="AX1726" i="1"/>
  <c r="AW1726" i="1"/>
  <c r="AU1726" i="1"/>
  <c r="AT1726" i="1"/>
  <c r="AS1726" i="1"/>
  <c r="AP1726" i="1"/>
  <c r="AQ1726" i="1" s="1"/>
  <c r="AO1726" i="1"/>
  <c r="AL1726" i="1"/>
  <c r="AI1726" i="1" s="1"/>
  <c r="AK1726" i="1"/>
  <c r="AH1726" i="1"/>
  <c r="AG1726" i="1"/>
  <c r="AD1726" i="1"/>
  <c r="AE1726" i="1" s="1"/>
  <c r="AC1726" i="1"/>
  <c r="Z1726" i="1"/>
  <c r="Y1726" i="1"/>
  <c r="V1726" i="1"/>
  <c r="U1726" i="1"/>
  <c r="S1726" i="1"/>
  <c r="R1726" i="1"/>
  <c r="Q1726" i="1"/>
  <c r="O1726" i="1"/>
  <c r="N1726" i="1"/>
  <c r="M1726" i="1"/>
  <c r="J1726" i="1"/>
  <c r="K1726" i="1" s="1"/>
  <c r="I1726" i="1"/>
  <c r="F1726" i="1"/>
  <c r="G1726" i="1" s="1"/>
  <c r="E1726" i="1"/>
  <c r="BN1725" i="1"/>
  <c r="BL1725" i="1"/>
  <c r="BJ1725" i="1"/>
  <c r="BM1725" i="1" s="1"/>
  <c r="BI1725" i="1"/>
  <c r="BF1725" i="1"/>
  <c r="BC1725" i="1" s="1"/>
  <c r="BE1725" i="1"/>
  <c r="BB1725" i="1"/>
  <c r="BA1725" i="1"/>
  <c r="AX1725" i="1"/>
  <c r="AY1725" i="1" s="1"/>
  <c r="AW1725" i="1"/>
  <c r="AT1725" i="1"/>
  <c r="AS1725" i="1"/>
  <c r="AP1725" i="1"/>
  <c r="AO1725" i="1"/>
  <c r="AM1725" i="1"/>
  <c r="AL1725" i="1"/>
  <c r="AK1725" i="1"/>
  <c r="AI1725" i="1"/>
  <c r="AH1725" i="1"/>
  <c r="AG1725" i="1"/>
  <c r="AD1725" i="1"/>
  <c r="AE1725" i="1" s="1"/>
  <c r="AC1725" i="1"/>
  <c r="Z1725" i="1"/>
  <c r="W1725" i="1" s="1"/>
  <c r="Y1725" i="1"/>
  <c r="V1725" i="1"/>
  <c r="U1725" i="1"/>
  <c r="R1725" i="1"/>
  <c r="S1725" i="1" s="1"/>
  <c r="Q1725" i="1"/>
  <c r="N1725" i="1"/>
  <c r="M1725" i="1"/>
  <c r="J1725" i="1"/>
  <c r="I1725" i="1"/>
  <c r="G1725" i="1"/>
  <c r="F1725" i="1"/>
  <c r="E1725" i="1"/>
  <c r="BN1724" i="1"/>
  <c r="BM1724" i="1" s="1"/>
  <c r="BL1724" i="1"/>
  <c r="BJ1724" i="1"/>
  <c r="BI1724" i="1"/>
  <c r="BG1724" i="1"/>
  <c r="BF1724" i="1"/>
  <c r="BE1724" i="1"/>
  <c r="BC1724" i="1"/>
  <c r="BB1724" i="1"/>
  <c r="BA1724" i="1"/>
  <c r="AX1724" i="1"/>
  <c r="AY1724" i="1" s="1"/>
  <c r="AW1724" i="1"/>
  <c r="AT1724" i="1"/>
  <c r="AQ1724" i="1" s="1"/>
  <c r="AS1724" i="1"/>
  <c r="AP1724" i="1"/>
  <c r="AO1724" i="1"/>
  <c r="AL1724" i="1"/>
  <c r="AM1724" i="1" s="1"/>
  <c r="AK1724" i="1"/>
  <c r="AH1724" i="1"/>
  <c r="AG1724" i="1"/>
  <c r="AD1724" i="1"/>
  <c r="AC1724" i="1"/>
  <c r="AA1724" i="1"/>
  <c r="Z1724" i="1"/>
  <c r="Y1724" i="1"/>
  <c r="W1724" i="1"/>
  <c r="V1724" i="1"/>
  <c r="U1724" i="1"/>
  <c r="R1724" i="1"/>
  <c r="S1724" i="1" s="1"/>
  <c r="Q1724" i="1"/>
  <c r="N1724" i="1"/>
  <c r="K1724" i="1" s="1"/>
  <c r="M1724" i="1"/>
  <c r="J1724" i="1"/>
  <c r="I1724" i="1"/>
  <c r="F1724" i="1"/>
  <c r="G1724" i="1" s="1"/>
  <c r="E1724" i="1"/>
  <c r="BN1723" i="1"/>
  <c r="BM1723" i="1"/>
  <c r="BL1723" i="1"/>
  <c r="BJ1723" i="1"/>
  <c r="BI1723" i="1"/>
  <c r="BF1723" i="1"/>
  <c r="BG1723" i="1" s="1"/>
  <c r="BE1723" i="1"/>
  <c r="BB1723" i="1"/>
  <c r="BA1723" i="1"/>
  <c r="AX1723" i="1"/>
  <c r="AW1723" i="1"/>
  <c r="AU1723" i="1"/>
  <c r="AT1723" i="1"/>
  <c r="AS1723" i="1"/>
  <c r="AQ1723" i="1"/>
  <c r="AP1723" i="1"/>
  <c r="AO1723" i="1"/>
  <c r="AL1723" i="1"/>
  <c r="AM1723" i="1" s="1"/>
  <c r="AK1723" i="1"/>
  <c r="AH1723" i="1"/>
  <c r="AE1723" i="1" s="1"/>
  <c r="AG1723" i="1"/>
  <c r="AD1723" i="1"/>
  <c r="AC1723" i="1"/>
  <c r="Z1723" i="1"/>
  <c r="AA1723" i="1" s="1"/>
  <c r="Y1723" i="1"/>
  <c r="V1723" i="1"/>
  <c r="U1723" i="1"/>
  <c r="R1723" i="1"/>
  <c r="Q1723" i="1"/>
  <c r="O1723" i="1"/>
  <c r="N1723" i="1"/>
  <c r="M1723" i="1"/>
  <c r="K1723" i="1"/>
  <c r="J1723" i="1"/>
  <c r="I1723" i="1"/>
  <c r="F1723" i="1"/>
  <c r="G1723" i="1" s="1"/>
  <c r="E1723" i="1"/>
  <c r="BN1722" i="1"/>
  <c r="BM1722" i="1"/>
  <c r="BL1722" i="1"/>
  <c r="BJ1722" i="1"/>
  <c r="BI1722" i="1"/>
  <c r="BF1722" i="1"/>
  <c r="BG1722" i="1" s="1"/>
  <c r="BE1722" i="1"/>
  <c r="BB1722" i="1"/>
  <c r="AY1722" i="1" s="1"/>
  <c r="BA1722" i="1"/>
  <c r="AX1722" i="1"/>
  <c r="AW1722" i="1"/>
  <c r="AT1722" i="1"/>
  <c r="AU1722" i="1" s="1"/>
  <c r="AS1722" i="1"/>
  <c r="AP1722" i="1"/>
  <c r="AO1722" i="1"/>
  <c r="AL1722" i="1"/>
  <c r="AK1722" i="1"/>
  <c r="AI1722" i="1"/>
  <c r="AH1722" i="1"/>
  <c r="AG1722" i="1"/>
  <c r="AE1722" i="1"/>
  <c r="AD1722" i="1"/>
  <c r="AC1722" i="1"/>
  <c r="Z1722" i="1"/>
  <c r="AA1722" i="1" s="1"/>
  <c r="Y1722" i="1"/>
  <c r="V1722" i="1"/>
  <c r="S1722" i="1" s="1"/>
  <c r="U1722" i="1"/>
  <c r="R1722" i="1"/>
  <c r="Q1722" i="1"/>
  <c r="N1722" i="1"/>
  <c r="O1722" i="1" s="1"/>
  <c r="M1722" i="1"/>
  <c r="J1722" i="1"/>
  <c r="I1722" i="1"/>
  <c r="F1722" i="1"/>
  <c r="E1722" i="1"/>
  <c r="BN1721" i="1"/>
  <c r="BL1721" i="1"/>
  <c r="BJ1721" i="1"/>
  <c r="BI1721" i="1"/>
  <c r="BF1721" i="1"/>
  <c r="BE1721" i="1"/>
  <c r="BC1721" i="1"/>
  <c r="BB1721" i="1"/>
  <c r="BA1721" i="1"/>
  <c r="AY1721" i="1"/>
  <c r="AX1721" i="1"/>
  <c r="AW1721" i="1"/>
  <c r="AT1721" i="1"/>
  <c r="AU1721" i="1" s="1"/>
  <c r="AS1721" i="1"/>
  <c r="AP1721" i="1"/>
  <c r="AM1721" i="1" s="1"/>
  <c r="AO1721" i="1"/>
  <c r="AL1721" i="1"/>
  <c r="AK1721" i="1"/>
  <c r="AH1721" i="1"/>
  <c r="AI1721" i="1" s="1"/>
  <c r="AG1721" i="1"/>
  <c r="AD1721" i="1"/>
  <c r="AC1721" i="1"/>
  <c r="Z1721" i="1"/>
  <c r="Y1721" i="1"/>
  <c r="W1721" i="1"/>
  <c r="V1721" i="1"/>
  <c r="U1721" i="1"/>
  <c r="S1721" i="1"/>
  <c r="R1721" i="1"/>
  <c r="Q1721" i="1"/>
  <c r="N1721" i="1"/>
  <c r="O1721" i="1" s="1"/>
  <c r="M1721" i="1"/>
  <c r="J1721" i="1"/>
  <c r="G1721" i="1" s="1"/>
  <c r="I1721" i="1"/>
  <c r="F1721" i="1"/>
  <c r="E1721" i="1"/>
  <c r="BN1720" i="1"/>
  <c r="BM1720" i="1"/>
  <c r="BL1720" i="1"/>
  <c r="BJ1720" i="1"/>
  <c r="BG1720" i="1" s="1"/>
  <c r="BI1720" i="1"/>
  <c r="BF1720" i="1"/>
  <c r="BE1720" i="1"/>
  <c r="BB1720" i="1"/>
  <c r="BC1720" i="1" s="1"/>
  <c r="BA1720" i="1"/>
  <c r="AX1720" i="1"/>
  <c r="AY1720" i="1" s="1"/>
  <c r="AW1720" i="1"/>
  <c r="AT1720" i="1"/>
  <c r="AS1720" i="1"/>
  <c r="AQ1720" i="1"/>
  <c r="AP1720" i="1"/>
  <c r="AO1720" i="1"/>
  <c r="AM1720" i="1"/>
  <c r="AL1720" i="1"/>
  <c r="AK1720" i="1"/>
  <c r="AH1720" i="1"/>
  <c r="AI1720" i="1" s="1"/>
  <c r="AG1720" i="1"/>
  <c r="AD1720" i="1"/>
  <c r="AA1720" i="1" s="1"/>
  <c r="AC1720" i="1"/>
  <c r="Z1720" i="1"/>
  <c r="Y1720" i="1"/>
  <c r="V1720" i="1"/>
  <c r="W1720" i="1" s="1"/>
  <c r="U1720" i="1"/>
  <c r="R1720" i="1"/>
  <c r="S1720" i="1" s="1"/>
  <c r="Q1720" i="1"/>
  <c r="N1720" i="1"/>
  <c r="O1720" i="1" s="1"/>
  <c r="M1720" i="1"/>
  <c r="K1720" i="1"/>
  <c r="J1720" i="1"/>
  <c r="I1720" i="1"/>
  <c r="G1720" i="1"/>
  <c r="F1720" i="1"/>
  <c r="E1720" i="1"/>
  <c r="BN1719" i="1"/>
  <c r="BM1719" i="1"/>
  <c r="BL1719" i="1"/>
  <c r="BJ1719" i="1"/>
  <c r="BI1719" i="1"/>
  <c r="BG1719" i="1"/>
  <c r="BF1719" i="1"/>
  <c r="BE1719" i="1"/>
  <c r="BB1719" i="1"/>
  <c r="BC1719" i="1" s="1"/>
  <c r="BA1719" i="1"/>
  <c r="AX1719" i="1"/>
  <c r="AU1719" i="1" s="1"/>
  <c r="AW1719" i="1"/>
  <c r="AT1719" i="1"/>
  <c r="AS1719" i="1"/>
  <c r="AP1719" i="1"/>
  <c r="AQ1719" i="1" s="1"/>
  <c r="AO1719" i="1"/>
  <c r="AL1719" i="1"/>
  <c r="AK1719" i="1"/>
  <c r="AH1719" i="1"/>
  <c r="AG1719" i="1"/>
  <c r="AE1719" i="1"/>
  <c r="AD1719" i="1"/>
  <c r="AC1719" i="1"/>
  <c r="AA1719" i="1"/>
  <c r="Z1719" i="1"/>
  <c r="Y1719" i="1"/>
  <c r="V1719" i="1"/>
  <c r="W1719" i="1" s="1"/>
  <c r="U1719" i="1"/>
  <c r="R1719" i="1"/>
  <c r="S1719" i="1" s="1"/>
  <c r="Q1719" i="1"/>
  <c r="N1719" i="1"/>
  <c r="O1719" i="1" s="1"/>
  <c r="M1719" i="1"/>
  <c r="J1719" i="1"/>
  <c r="K1719" i="1" s="1"/>
  <c r="I1719" i="1"/>
  <c r="F1719" i="1"/>
  <c r="G1719" i="1" s="1"/>
  <c r="E1719" i="1"/>
  <c r="BN1718" i="1"/>
  <c r="BL1718" i="1"/>
  <c r="BJ1718" i="1"/>
  <c r="BM1718" i="1" s="1"/>
  <c r="BI1718" i="1"/>
  <c r="BF1718" i="1"/>
  <c r="BE1718" i="1"/>
  <c r="BB1718" i="1"/>
  <c r="BA1718" i="1"/>
  <c r="AY1718" i="1"/>
  <c r="AX1718" i="1"/>
  <c r="AW1718" i="1"/>
  <c r="AU1718" i="1"/>
  <c r="AT1718" i="1"/>
  <c r="AS1718" i="1"/>
  <c r="AP1718" i="1"/>
  <c r="AQ1718" i="1" s="1"/>
  <c r="AO1718" i="1"/>
  <c r="AL1718" i="1"/>
  <c r="AI1718" i="1" s="1"/>
  <c r="AK1718" i="1"/>
  <c r="AH1718" i="1"/>
  <c r="AG1718" i="1"/>
  <c r="AD1718" i="1"/>
  <c r="AE1718" i="1" s="1"/>
  <c r="AC1718" i="1"/>
  <c r="Z1718" i="1"/>
  <c r="Y1718" i="1"/>
  <c r="V1718" i="1"/>
  <c r="U1718" i="1"/>
  <c r="S1718" i="1"/>
  <c r="R1718" i="1"/>
  <c r="Q1718" i="1"/>
  <c r="O1718" i="1"/>
  <c r="N1718" i="1"/>
  <c r="M1718" i="1"/>
  <c r="J1718" i="1"/>
  <c r="K1718" i="1" s="1"/>
  <c r="I1718" i="1"/>
  <c r="F1718" i="1"/>
  <c r="G1718" i="1" s="1"/>
  <c r="E1718" i="1"/>
  <c r="BN1717" i="1"/>
  <c r="BL1717" i="1"/>
  <c r="BJ1717" i="1"/>
  <c r="BM1717" i="1" s="1"/>
  <c r="BI1717" i="1"/>
  <c r="BF1717" i="1"/>
  <c r="BC1717" i="1" s="1"/>
  <c r="BE1717" i="1"/>
  <c r="BB1717" i="1"/>
  <c r="BA1717" i="1"/>
  <c r="AX1717" i="1"/>
  <c r="AY1717" i="1" s="1"/>
  <c r="AW1717" i="1"/>
  <c r="AT1717" i="1"/>
  <c r="AS1717" i="1"/>
  <c r="AP1717" i="1"/>
  <c r="AO1717" i="1"/>
  <c r="AM1717" i="1"/>
  <c r="AL1717" i="1"/>
  <c r="AK1717" i="1"/>
  <c r="AI1717" i="1"/>
  <c r="AH1717" i="1"/>
  <c r="AG1717" i="1"/>
  <c r="AD1717" i="1"/>
  <c r="AE1717" i="1" s="1"/>
  <c r="AC1717" i="1"/>
  <c r="Z1717" i="1"/>
  <c r="W1717" i="1" s="1"/>
  <c r="Y1717" i="1"/>
  <c r="V1717" i="1"/>
  <c r="U1717" i="1"/>
  <c r="R1717" i="1"/>
  <c r="S1717" i="1" s="1"/>
  <c r="Q1717" i="1"/>
  <c r="N1717" i="1"/>
  <c r="O1717" i="1" s="1"/>
  <c r="M1717" i="1"/>
  <c r="J1717" i="1"/>
  <c r="I1717" i="1"/>
  <c r="G1717" i="1"/>
  <c r="F1717" i="1"/>
  <c r="E1717" i="1"/>
  <c r="BN1716" i="1"/>
  <c r="BM1716" i="1" s="1"/>
  <c r="BL1716" i="1"/>
  <c r="BJ1716" i="1"/>
  <c r="BI1716" i="1"/>
  <c r="BG1716" i="1"/>
  <c r="BF1716" i="1"/>
  <c r="BE1716" i="1"/>
  <c r="BC1716" i="1"/>
  <c r="BB1716" i="1"/>
  <c r="BA1716" i="1"/>
  <c r="AX1716" i="1"/>
  <c r="AY1716" i="1" s="1"/>
  <c r="AW1716" i="1"/>
  <c r="AT1716" i="1"/>
  <c r="AQ1716" i="1" s="1"/>
  <c r="AS1716" i="1"/>
  <c r="AP1716" i="1"/>
  <c r="AO1716" i="1"/>
  <c r="AL1716" i="1"/>
  <c r="AM1716" i="1" s="1"/>
  <c r="AK1716" i="1"/>
  <c r="AH1716" i="1"/>
  <c r="AG1716" i="1"/>
  <c r="AD1716" i="1"/>
  <c r="AC1716" i="1"/>
  <c r="AA1716" i="1"/>
  <c r="Z1716" i="1"/>
  <c r="Y1716" i="1"/>
  <c r="W1716" i="1"/>
  <c r="V1716" i="1"/>
  <c r="U1716" i="1"/>
  <c r="R1716" i="1"/>
  <c r="S1716" i="1" s="1"/>
  <c r="Q1716" i="1"/>
  <c r="N1716" i="1"/>
  <c r="K1716" i="1" s="1"/>
  <c r="M1716" i="1"/>
  <c r="J1716" i="1"/>
  <c r="I1716" i="1"/>
  <c r="F1716" i="1"/>
  <c r="G1716" i="1" s="1"/>
  <c r="E1716" i="1"/>
  <c r="BN1715" i="1"/>
  <c r="BM1715" i="1"/>
  <c r="BL1715" i="1"/>
  <c r="BJ1715" i="1"/>
  <c r="BI1715" i="1"/>
  <c r="BF1715" i="1"/>
  <c r="BG1715" i="1" s="1"/>
  <c r="BE1715" i="1"/>
  <c r="BB1715" i="1"/>
  <c r="BC1715" i="1" s="1"/>
  <c r="BA1715" i="1"/>
  <c r="AX1715" i="1"/>
  <c r="AY1715" i="1" s="1"/>
  <c r="AW1715" i="1"/>
  <c r="AU1715" i="1"/>
  <c r="AT1715" i="1"/>
  <c r="AS1715" i="1"/>
  <c r="AQ1715" i="1"/>
  <c r="AP1715" i="1"/>
  <c r="AO1715" i="1"/>
  <c r="AL1715" i="1"/>
  <c r="AM1715" i="1" s="1"/>
  <c r="AK1715" i="1"/>
  <c r="AH1715" i="1"/>
  <c r="AI1715" i="1" s="1"/>
  <c r="AG1715" i="1"/>
  <c r="AD1715" i="1"/>
  <c r="AE1715" i="1" s="1"/>
  <c r="AC1715" i="1"/>
  <c r="Z1715" i="1"/>
  <c r="AA1715" i="1" s="1"/>
  <c r="Y1715" i="1"/>
  <c r="V1715" i="1"/>
  <c r="W1715" i="1" s="1"/>
  <c r="U1715" i="1"/>
  <c r="R1715" i="1"/>
  <c r="Q1715" i="1"/>
  <c r="O1715" i="1"/>
  <c r="N1715" i="1"/>
  <c r="M1715" i="1"/>
  <c r="K1715" i="1"/>
  <c r="J1715" i="1"/>
  <c r="I1715" i="1"/>
  <c r="F1715" i="1"/>
  <c r="G1715" i="1" s="1"/>
  <c r="E1715" i="1"/>
  <c r="BN1714" i="1"/>
  <c r="BM1714" i="1"/>
  <c r="BL1714" i="1"/>
  <c r="BJ1714" i="1"/>
  <c r="BI1714" i="1"/>
  <c r="BF1714" i="1"/>
  <c r="BG1714" i="1" s="1"/>
  <c r="BE1714" i="1"/>
  <c r="BB1714" i="1"/>
  <c r="BC1714" i="1" s="1"/>
  <c r="BA1714" i="1"/>
  <c r="AX1714" i="1"/>
  <c r="AY1714" i="1" s="1"/>
  <c r="AW1714" i="1"/>
  <c r="AT1714" i="1"/>
  <c r="AU1714" i="1" s="1"/>
  <c r="AS1714" i="1"/>
  <c r="AP1714" i="1"/>
  <c r="AQ1714" i="1" s="1"/>
  <c r="AO1714" i="1"/>
  <c r="AL1714" i="1"/>
  <c r="AM1714" i="1" s="1"/>
  <c r="AK1714" i="1"/>
  <c r="AI1714" i="1"/>
  <c r="AH1714" i="1"/>
  <c r="AG1714" i="1"/>
  <c r="AE1714" i="1"/>
  <c r="AD1714" i="1"/>
  <c r="AC1714" i="1"/>
  <c r="Z1714" i="1"/>
  <c r="AA1714" i="1" s="1"/>
  <c r="Y1714" i="1"/>
  <c r="V1714" i="1"/>
  <c r="W1714" i="1" s="1"/>
  <c r="U1714" i="1"/>
  <c r="R1714" i="1"/>
  <c r="S1714" i="1" s="1"/>
  <c r="Q1714" i="1"/>
  <c r="N1714" i="1"/>
  <c r="O1714" i="1" s="1"/>
  <c r="M1714" i="1"/>
  <c r="J1714" i="1"/>
  <c r="K1714" i="1" s="1"/>
  <c r="I1714" i="1"/>
  <c r="F1714" i="1"/>
  <c r="E1714" i="1"/>
  <c r="BN1713" i="1"/>
  <c r="BL1713" i="1"/>
  <c r="BJ1713" i="1"/>
  <c r="BM1713" i="1" s="1"/>
  <c r="BI1713" i="1"/>
  <c r="BF1713" i="1"/>
  <c r="BG1713" i="1" s="1"/>
  <c r="BE1713" i="1"/>
  <c r="BC1713" i="1"/>
  <c r="BB1713" i="1"/>
  <c r="BA1713" i="1"/>
  <c r="AY1713" i="1"/>
  <c r="AX1713" i="1"/>
  <c r="AW1713" i="1"/>
  <c r="AT1713" i="1"/>
  <c r="AU1713" i="1" s="1"/>
  <c r="AS1713" i="1"/>
  <c r="AP1713" i="1"/>
  <c r="AM1713" i="1" s="1"/>
  <c r="AO1713" i="1"/>
  <c r="AL1713" i="1"/>
  <c r="AK1713" i="1"/>
  <c r="AH1713" i="1"/>
  <c r="AI1713" i="1" s="1"/>
  <c r="AG1713" i="1"/>
  <c r="AD1713" i="1"/>
  <c r="AE1713" i="1" s="1"/>
  <c r="AC1713" i="1"/>
  <c r="Z1713" i="1"/>
  <c r="Y1713" i="1"/>
  <c r="W1713" i="1"/>
  <c r="V1713" i="1"/>
  <c r="U1713" i="1"/>
  <c r="S1713" i="1"/>
  <c r="R1713" i="1"/>
  <c r="Q1713" i="1"/>
  <c r="N1713" i="1"/>
  <c r="O1713" i="1" s="1"/>
  <c r="M1713" i="1"/>
  <c r="J1713" i="1"/>
  <c r="K1713" i="1" s="1"/>
  <c r="I1713" i="1"/>
  <c r="F1713" i="1"/>
  <c r="G1713" i="1" s="1"/>
  <c r="E1713" i="1"/>
  <c r="BN1712" i="1"/>
  <c r="BM1712" i="1"/>
  <c r="BL1712" i="1"/>
  <c r="BJ1712" i="1"/>
  <c r="BI1712" i="1"/>
  <c r="BF1712" i="1"/>
  <c r="BG1712" i="1" s="1"/>
  <c r="BE1712" i="1"/>
  <c r="BB1712" i="1"/>
  <c r="BC1712" i="1" s="1"/>
  <c r="BA1712" i="1"/>
  <c r="AX1712" i="1"/>
  <c r="AY1712" i="1" s="1"/>
  <c r="AW1712" i="1"/>
  <c r="AT1712" i="1"/>
  <c r="AS1712" i="1"/>
  <c r="AQ1712" i="1"/>
  <c r="AP1712" i="1"/>
  <c r="AO1712" i="1"/>
  <c r="AM1712" i="1"/>
  <c r="AL1712" i="1"/>
  <c r="AK1712" i="1"/>
  <c r="AH1712" i="1"/>
  <c r="AI1712" i="1" s="1"/>
  <c r="AG1712" i="1"/>
  <c r="AD1712" i="1"/>
  <c r="AE1712" i="1" s="1"/>
  <c r="AC1712" i="1"/>
  <c r="Z1712" i="1"/>
  <c r="AA1712" i="1" s="1"/>
  <c r="Y1712" i="1"/>
  <c r="V1712" i="1"/>
  <c r="W1712" i="1" s="1"/>
  <c r="U1712" i="1"/>
  <c r="R1712" i="1"/>
  <c r="S1712" i="1" s="1"/>
  <c r="Q1712" i="1"/>
  <c r="N1712" i="1"/>
  <c r="O1712" i="1" s="1"/>
  <c r="M1712" i="1"/>
  <c r="K1712" i="1"/>
  <c r="J1712" i="1"/>
  <c r="I1712" i="1"/>
  <c r="G1712" i="1"/>
  <c r="F1712" i="1"/>
  <c r="E1712" i="1"/>
  <c r="BN1711" i="1"/>
  <c r="BM1711" i="1"/>
  <c r="BL1711" i="1"/>
  <c r="BJ1711" i="1"/>
  <c r="BI1711" i="1"/>
  <c r="BG1711" i="1"/>
  <c r="BF1711" i="1"/>
  <c r="BE1711" i="1"/>
  <c r="BB1711" i="1"/>
  <c r="BC1711" i="1" s="1"/>
  <c r="BA1711" i="1"/>
  <c r="AX1711" i="1"/>
  <c r="AY1711" i="1" s="1"/>
  <c r="AW1711" i="1"/>
  <c r="AT1711" i="1"/>
  <c r="AU1711" i="1" s="1"/>
  <c r="AS1711" i="1"/>
  <c r="AP1711" i="1"/>
  <c r="AQ1711" i="1" s="1"/>
  <c r="AO1711" i="1"/>
  <c r="AL1711" i="1"/>
  <c r="AK1711" i="1"/>
  <c r="AH1711" i="1"/>
  <c r="AG1711" i="1"/>
  <c r="AE1711" i="1"/>
  <c r="AD1711" i="1"/>
  <c r="AC1711" i="1"/>
  <c r="AA1711" i="1"/>
  <c r="Z1711" i="1"/>
  <c r="Y1711" i="1"/>
  <c r="V1711" i="1"/>
  <c r="W1711" i="1" s="1"/>
  <c r="U1711" i="1"/>
  <c r="R1711" i="1"/>
  <c r="S1711" i="1" s="1"/>
  <c r="Q1711" i="1"/>
  <c r="N1711" i="1"/>
  <c r="O1711" i="1" s="1"/>
  <c r="M1711" i="1"/>
  <c r="J1711" i="1"/>
  <c r="K1711" i="1" s="1"/>
  <c r="I1711" i="1"/>
  <c r="F1711" i="1"/>
  <c r="G1711" i="1" s="1"/>
  <c r="E1711" i="1"/>
  <c r="BN1710" i="1"/>
  <c r="BL1710" i="1"/>
  <c r="BJ1710" i="1"/>
  <c r="BM1710" i="1" s="1"/>
  <c r="BI1710" i="1"/>
  <c r="BF1710" i="1"/>
  <c r="BE1710" i="1"/>
  <c r="BB1710" i="1"/>
  <c r="BA1710" i="1"/>
  <c r="AY1710" i="1"/>
  <c r="AX1710" i="1"/>
  <c r="AW1710" i="1"/>
  <c r="AU1710" i="1"/>
  <c r="AT1710" i="1"/>
  <c r="AS1710" i="1"/>
  <c r="AP1710" i="1"/>
  <c r="AQ1710" i="1" s="1"/>
  <c r="AO1710" i="1"/>
  <c r="AL1710" i="1"/>
  <c r="AM1710" i="1" s="1"/>
  <c r="AK1710" i="1"/>
  <c r="AH1710" i="1"/>
  <c r="AI1710" i="1" s="1"/>
  <c r="AG1710" i="1"/>
  <c r="AD1710" i="1"/>
  <c r="AE1710" i="1" s="1"/>
  <c r="AC1710" i="1"/>
  <c r="Z1710" i="1"/>
  <c r="Y1710" i="1"/>
  <c r="V1710" i="1"/>
  <c r="U1710" i="1"/>
  <c r="S1710" i="1"/>
  <c r="R1710" i="1"/>
  <c r="Q1710" i="1"/>
  <c r="O1710" i="1"/>
  <c r="N1710" i="1"/>
  <c r="M1710" i="1"/>
  <c r="J1710" i="1"/>
  <c r="K1710" i="1" s="1"/>
  <c r="I1710" i="1"/>
  <c r="F1710" i="1"/>
  <c r="G1710" i="1" s="1"/>
  <c r="E1710" i="1"/>
  <c r="BN1709" i="1"/>
  <c r="BL1709" i="1"/>
  <c r="BJ1709" i="1"/>
  <c r="BM1709" i="1" s="1"/>
  <c r="BI1709" i="1"/>
  <c r="BF1709" i="1"/>
  <c r="BG1709" i="1" s="1"/>
  <c r="BE1709" i="1"/>
  <c r="BB1709" i="1"/>
  <c r="BC1709" i="1" s="1"/>
  <c r="BA1709" i="1"/>
  <c r="AX1709" i="1"/>
  <c r="AY1709" i="1" s="1"/>
  <c r="AW1709" i="1"/>
  <c r="AT1709" i="1"/>
  <c r="AS1709" i="1"/>
  <c r="AP1709" i="1"/>
  <c r="AO1709" i="1"/>
  <c r="AM1709" i="1"/>
  <c r="AL1709" i="1"/>
  <c r="AK1709" i="1"/>
  <c r="AI1709" i="1"/>
  <c r="AH1709" i="1"/>
  <c r="AG1709" i="1"/>
  <c r="AD1709" i="1"/>
  <c r="AE1709" i="1" s="1"/>
  <c r="AC1709" i="1"/>
  <c r="Z1709" i="1"/>
  <c r="AA1709" i="1" s="1"/>
  <c r="Y1709" i="1"/>
  <c r="V1709" i="1"/>
  <c r="W1709" i="1" s="1"/>
  <c r="U1709" i="1"/>
  <c r="R1709" i="1"/>
  <c r="S1709" i="1" s="1"/>
  <c r="Q1709" i="1"/>
  <c r="N1709" i="1"/>
  <c r="M1709" i="1"/>
  <c r="J1709" i="1"/>
  <c r="I1709" i="1"/>
  <c r="G1709" i="1"/>
  <c r="F1709" i="1"/>
  <c r="E1709" i="1"/>
  <c r="BN1708" i="1"/>
  <c r="BL1708" i="1"/>
  <c r="BJ1708" i="1"/>
  <c r="BI1708" i="1"/>
  <c r="BG1708" i="1"/>
  <c r="BF1708" i="1"/>
  <c r="BE1708" i="1"/>
  <c r="BC1708" i="1"/>
  <c r="BB1708" i="1"/>
  <c r="BA1708" i="1"/>
  <c r="AX1708" i="1"/>
  <c r="AY1708" i="1" s="1"/>
  <c r="AW1708" i="1"/>
  <c r="AT1708" i="1"/>
  <c r="AU1708" i="1" s="1"/>
  <c r="AS1708" i="1"/>
  <c r="AP1708" i="1"/>
  <c r="AQ1708" i="1" s="1"/>
  <c r="AO1708" i="1"/>
  <c r="AL1708" i="1"/>
  <c r="AM1708" i="1" s="1"/>
  <c r="AK1708" i="1"/>
  <c r="AH1708" i="1"/>
  <c r="AG1708" i="1"/>
  <c r="AD1708" i="1"/>
  <c r="AC1708" i="1"/>
  <c r="AA1708" i="1"/>
  <c r="Z1708" i="1"/>
  <c r="Y1708" i="1"/>
  <c r="W1708" i="1"/>
  <c r="V1708" i="1"/>
  <c r="U1708" i="1"/>
  <c r="R1708" i="1"/>
  <c r="S1708" i="1" s="1"/>
  <c r="Q1708" i="1"/>
  <c r="N1708" i="1"/>
  <c r="O1708" i="1" s="1"/>
  <c r="M1708" i="1"/>
  <c r="J1708" i="1"/>
  <c r="K1708" i="1" s="1"/>
  <c r="I1708" i="1"/>
  <c r="F1708" i="1"/>
  <c r="G1708" i="1" s="1"/>
  <c r="E1708" i="1"/>
  <c r="BN1707" i="1"/>
  <c r="BM1707" i="1"/>
  <c r="BL1707" i="1"/>
  <c r="BJ1707" i="1"/>
  <c r="BI1707" i="1"/>
  <c r="BF1707" i="1"/>
  <c r="BG1707" i="1" s="1"/>
  <c r="BE1707" i="1"/>
  <c r="BB1707" i="1"/>
  <c r="BA1707" i="1"/>
  <c r="AX1707" i="1"/>
  <c r="AW1707" i="1"/>
  <c r="AU1707" i="1"/>
  <c r="AT1707" i="1"/>
  <c r="AS1707" i="1"/>
  <c r="AQ1707" i="1"/>
  <c r="AP1707" i="1"/>
  <c r="AO1707" i="1"/>
  <c r="AL1707" i="1"/>
  <c r="AM1707" i="1" s="1"/>
  <c r="AK1707" i="1"/>
  <c r="AH1707" i="1"/>
  <c r="AI1707" i="1" s="1"/>
  <c r="AG1707" i="1"/>
  <c r="AD1707" i="1"/>
  <c r="AE1707" i="1" s="1"/>
  <c r="AC1707" i="1"/>
  <c r="Z1707" i="1"/>
  <c r="AA1707" i="1" s="1"/>
  <c r="Y1707" i="1"/>
  <c r="V1707" i="1"/>
  <c r="U1707" i="1"/>
  <c r="R1707" i="1"/>
  <c r="Q1707" i="1"/>
  <c r="O1707" i="1"/>
  <c r="N1707" i="1"/>
  <c r="M1707" i="1"/>
  <c r="K1707" i="1"/>
  <c r="J1707" i="1"/>
  <c r="I1707" i="1"/>
  <c r="F1707" i="1"/>
  <c r="G1707" i="1" s="1"/>
  <c r="E1707" i="1"/>
  <c r="BN1706" i="1"/>
  <c r="BM1706" i="1"/>
  <c r="BL1706" i="1"/>
  <c r="BJ1706" i="1"/>
  <c r="BI1706" i="1"/>
  <c r="BF1706" i="1"/>
  <c r="BG1706" i="1" s="1"/>
  <c r="BE1706" i="1"/>
  <c r="BB1706" i="1"/>
  <c r="BC1706" i="1" s="1"/>
  <c r="BA1706" i="1"/>
  <c r="AX1706" i="1"/>
  <c r="AY1706" i="1" s="1"/>
  <c r="AW1706" i="1"/>
  <c r="AT1706" i="1"/>
  <c r="AU1706" i="1" s="1"/>
  <c r="AS1706" i="1"/>
  <c r="AP1706" i="1"/>
  <c r="AO1706" i="1"/>
  <c r="AL1706" i="1"/>
  <c r="AK1706" i="1"/>
  <c r="AI1706" i="1"/>
  <c r="AH1706" i="1"/>
  <c r="AG1706" i="1"/>
  <c r="AE1706" i="1"/>
  <c r="AD1706" i="1"/>
  <c r="AC1706" i="1"/>
  <c r="Z1706" i="1"/>
  <c r="AA1706" i="1" s="1"/>
  <c r="Y1706" i="1"/>
  <c r="V1706" i="1"/>
  <c r="W1706" i="1" s="1"/>
  <c r="U1706" i="1"/>
  <c r="R1706" i="1"/>
  <c r="S1706" i="1" s="1"/>
  <c r="Q1706" i="1"/>
  <c r="N1706" i="1"/>
  <c r="O1706" i="1" s="1"/>
  <c r="M1706" i="1"/>
  <c r="J1706" i="1"/>
  <c r="I1706" i="1"/>
  <c r="F1706" i="1"/>
  <c r="E1706" i="1"/>
  <c r="BN1705" i="1"/>
  <c r="BL1705" i="1"/>
  <c r="BJ1705" i="1"/>
  <c r="BI1705" i="1"/>
  <c r="BF1705" i="1"/>
  <c r="BE1705" i="1"/>
  <c r="BC1705" i="1"/>
  <c r="BB1705" i="1"/>
  <c r="BA1705" i="1"/>
  <c r="AY1705" i="1"/>
  <c r="AX1705" i="1"/>
  <c r="AW1705" i="1"/>
  <c r="AT1705" i="1"/>
  <c r="AU1705" i="1" s="1"/>
  <c r="AS1705" i="1"/>
  <c r="AP1705" i="1"/>
  <c r="AQ1705" i="1" s="1"/>
  <c r="AO1705" i="1"/>
  <c r="AL1705" i="1"/>
  <c r="AM1705" i="1" s="1"/>
  <c r="AK1705" i="1"/>
  <c r="AH1705" i="1"/>
  <c r="AI1705" i="1" s="1"/>
  <c r="AG1705" i="1"/>
  <c r="AD1705" i="1"/>
  <c r="AC1705" i="1"/>
  <c r="Z1705" i="1"/>
  <c r="Y1705" i="1"/>
  <c r="W1705" i="1"/>
  <c r="V1705" i="1"/>
  <c r="U1705" i="1"/>
  <c r="S1705" i="1"/>
  <c r="R1705" i="1"/>
  <c r="Q1705" i="1"/>
  <c r="N1705" i="1"/>
  <c r="O1705" i="1" s="1"/>
  <c r="M1705" i="1"/>
  <c r="J1705" i="1"/>
  <c r="K1705" i="1" s="1"/>
  <c r="I1705" i="1"/>
  <c r="F1705" i="1"/>
  <c r="G1705" i="1" s="1"/>
  <c r="E1705" i="1"/>
  <c r="BN1704" i="1"/>
  <c r="BM1704" i="1"/>
  <c r="BL1704" i="1"/>
  <c r="BJ1704" i="1"/>
  <c r="BI1704" i="1"/>
  <c r="BF1704" i="1"/>
  <c r="BG1704" i="1" s="1"/>
  <c r="BE1704" i="1"/>
  <c r="BB1704" i="1"/>
  <c r="BC1704" i="1" s="1"/>
  <c r="BA1704" i="1"/>
  <c r="AX1704" i="1"/>
  <c r="AW1704" i="1"/>
  <c r="AT1704" i="1"/>
  <c r="AS1704" i="1"/>
  <c r="AQ1704" i="1"/>
  <c r="AP1704" i="1"/>
  <c r="AO1704" i="1"/>
  <c r="AM1704" i="1"/>
  <c r="AL1704" i="1"/>
  <c r="AK1704" i="1"/>
  <c r="AH1704" i="1"/>
  <c r="AI1704" i="1" s="1"/>
  <c r="AG1704" i="1"/>
  <c r="AD1704" i="1"/>
  <c r="AE1704" i="1" s="1"/>
  <c r="AC1704" i="1"/>
  <c r="Z1704" i="1"/>
  <c r="AA1704" i="1" s="1"/>
  <c r="Y1704" i="1"/>
  <c r="V1704" i="1"/>
  <c r="W1704" i="1" s="1"/>
  <c r="U1704" i="1"/>
  <c r="R1704" i="1"/>
  <c r="Q1704" i="1"/>
  <c r="N1704" i="1"/>
  <c r="M1704" i="1"/>
  <c r="K1704" i="1"/>
  <c r="J1704" i="1"/>
  <c r="I1704" i="1"/>
  <c r="G1704" i="1"/>
  <c r="F1704" i="1"/>
  <c r="E1704" i="1"/>
  <c r="BN1703" i="1"/>
  <c r="BM1703" i="1"/>
  <c r="BL1703" i="1"/>
  <c r="BJ1703" i="1"/>
  <c r="BI1703" i="1"/>
  <c r="BG1703" i="1"/>
  <c r="BF1703" i="1"/>
  <c r="BE1703" i="1"/>
  <c r="BB1703" i="1"/>
  <c r="BC1703" i="1" s="1"/>
  <c r="BA1703" i="1"/>
  <c r="AX1703" i="1"/>
  <c r="AY1703" i="1" s="1"/>
  <c r="AW1703" i="1"/>
  <c r="AT1703" i="1"/>
  <c r="AU1703" i="1" s="1"/>
  <c r="AS1703" i="1"/>
  <c r="AP1703" i="1"/>
  <c r="AQ1703" i="1" s="1"/>
  <c r="AO1703" i="1"/>
  <c r="AL1703" i="1"/>
  <c r="AK1703" i="1"/>
  <c r="AH1703" i="1"/>
  <c r="AG1703" i="1"/>
  <c r="AE1703" i="1"/>
  <c r="AD1703" i="1"/>
  <c r="AC1703" i="1"/>
  <c r="AA1703" i="1"/>
  <c r="Z1703" i="1"/>
  <c r="Y1703" i="1"/>
  <c r="V1703" i="1"/>
  <c r="W1703" i="1" s="1"/>
  <c r="U1703" i="1"/>
  <c r="R1703" i="1"/>
  <c r="S1703" i="1" s="1"/>
  <c r="Q1703" i="1"/>
  <c r="N1703" i="1"/>
  <c r="O1703" i="1" s="1"/>
  <c r="M1703" i="1"/>
  <c r="J1703" i="1"/>
  <c r="K1703" i="1" s="1"/>
  <c r="I1703" i="1"/>
  <c r="F1703" i="1"/>
  <c r="G1703" i="1" s="1"/>
  <c r="E1703" i="1"/>
  <c r="BN1702" i="1"/>
  <c r="BL1702" i="1"/>
  <c r="BJ1702" i="1"/>
  <c r="BM1702" i="1" s="1"/>
  <c r="BI1702" i="1"/>
  <c r="BF1702" i="1"/>
  <c r="BE1702" i="1"/>
  <c r="BB1702" i="1"/>
  <c r="BA1702" i="1"/>
  <c r="AY1702" i="1"/>
  <c r="AX1702" i="1"/>
  <c r="AW1702" i="1"/>
  <c r="AU1702" i="1"/>
  <c r="AT1702" i="1"/>
  <c r="AS1702" i="1"/>
  <c r="AP1702" i="1"/>
  <c r="AQ1702" i="1" s="1"/>
  <c r="AO1702" i="1"/>
  <c r="AL1702" i="1"/>
  <c r="AM1702" i="1" s="1"/>
  <c r="AK1702" i="1"/>
  <c r="AH1702" i="1"/>
  <c r="AI1702" i="1" s="1"/>
  <c r="AG1702" i="1"/>
  <c r="AD1702" i="1"/>
  <c r="AE1702" i="1" s="1"/>
  <c r="AC1702" i="1"/>
  <c r="Z1702" i="1"/>
  <c r="Y1702" i="1"/>
  <c r="V1702" i="1"/>
  <c r="U1702" i="1"/>
  <c r="S1702" i="1"/>
  <c r="R1702" i="1"/>
  <c r="Q1702" i="1"/>
  <c r="O1702" i="1"/>
  <c r="N1702" i="1"/>
  <c r="M1702" i="1"/>
  <c r="J1702" i="1"/>
  <c r="K1702" i="1" s="1"/>
  <c r="I1702" i="1"/>
  <c r="F1702" i="1"/>
  <c r="G1702" i="1" s="1"/>
  <c r="E1702" i="1"/>
  <c r="BN1701" i="1"/>
  <c r="BM1701" i="1"/>
  <c r="BL1701" i="1"/>
  <c r="BJ1701" i="1"/>
  <c r="BI1701" i="1"/>
  <c r="BF1701" i="1"/>
  <c r="BG1701" i="1" s="1"/>
  <c r="BE1701" i="1"/>
  <c r="BB1701" i="1"/>
  <c r="BC1701" i="1" s="1"/>
  <c r="BA1701" i="1"/>
  <c r="AX1701" i="1"/>
  <c r="AY1701" i="1" s="1"/>
  <c r="AW1701" i="1"/>
  <c r="AT1701" i="1"/>
  <c r="AS1701" i="1"/>
  <c r="AP1701" i="1"/>
  <c r="AO1701" i="1"/>
  <c r="AM1701" i="1"/>
  <c r="AL1701" i="1"/>
  <c r="AK1701" i="1"/>
  <c r="AI1701" i="1"/>
  <c r="AH1701" i="1"/>
  <c r="AG1701" i="1"/>
  <c r="AD1701" i="1"/>
  <c r="AE1701" i="1" s="1"/>
  <c r="AC1701" i="1"/>
  <c r="Z1701" i="1"/>
  <c r="AA1701" i="1" s="1"/>
  <c r="Y1701" i="1"/>
  <c r="V1701" i="1"/>
  <c r="W1701" i="1" s="1"/>
  <c r="U1701" i="1"/>
  <c r="R1701" i="1"/>
  <c r="S1701" i="1" s="1"/>
  <c r="P1701" i="1"/>
  <c r="Q1701" i="1" s="1"/>
  <c r="O1701" i="1"/>
  <c r="N1701" i="1"/>
  <c r="M1701" i="1"/>
  <c r="L1701" i="1"/>
  <c r="J1701" i="1"/>
  <c r="K1701" i="1" s="1"/>
  <c r="H1701" i="1"/>
  <c r="I1701" i="1" s="1"/>
  <c r="G1701" i="1"/>
  <c r="F1701" i="1"/>
  <c r="E1701" i="1"/>
  <c r="D1701" i="1"/>
  <c r="BN1700" i="1"/>
  <c r="BM1700" i="1"/>
  <c r="BL1700" i="1"/>
  <c r="BJ1700" i="1"/>
  <c r="BI1700" i="1"/>
  <c r="BF1700" i="1"/>
  <c r="BG1700" i="1" s="1"/>
  <c r="BE1700" i="1"/>
  <c r="BB1700" i="1"/>
  <c r="BC1700" i="1" s="1"/>
  <c r="BA1700" i="1"/>
  <c r="AX1700" i="1"/>
  <c r="AW1700" i="1"/>
  <c r="AT1700" i="1"/>
  <c r="AS1700" i="1"/>
  <c r="AQ1700" i="1"/>
  <c r="AP1700" i="1"/>
  <c r="AO1700" i="1"/>
  <c r="AM1700" i="1"/>
  <c r="AL1700" i="1"/>
  <c r="AK1700" i="1"/>
  <c r="AH1700" i="1"/>
  <c r="AI1700" i="1" s="1"/>
  <c r="AG1700" i="1"/>
  <c r="AD1700" i="1"/>
  <c r="AE1700" i="1" s="1"/>
  <c r="AC1700" i="1"/>
  <c r="Z1700" i="1"/>
  <c r="AA1700" i="1" s="1"/>
  <c r="Y1700" i="1"/>
  <c r="V1700" i="1"/>
  <c r="W1700" i="1" s="1"/>
  <c r="U1700" i="1"/>
  <c r="R1700" i="1"/>
  <c r="S1700" i="1" s="1"/>
  <c r="P1700" i="1"/>
  <c r="Q1700" i="1" s="1"/>
  <c r="N1700" i="1"/>
  <c r="O1700" i="1" s="1"/>
  <c r="M1700" i="1"/>
  <c r="L1700" i="1"/>
  <c r="J1700" i="1"/>
  <c r="K1700" i="1" s="1"/>
  <c r="H1700" i="1"/>
  <c r="I1700" i="1" s="1"/>
  <c r="F1700" i="1"/>
  <c r="E1700" i="1"/>
  <c r="D1700" i="1"/>
  <c r="BN1699" i="1"/>
  <c r="BM1699" i="1"/>
  <c r="BL1699" i="1"/>
  <c r="BJ1699" i="1"/>
  <c r="BI1699" i="1"/>
  <c r="BF1699" i="1"/>
  <c r="BG1699" i="1" s="1"/>
  <c r="BE1699" i="1"/>
  <c r="BB1699" i="1"/>
  <c r="BA1699" i="1"/>
  <c r="AX1699" i="1"/>
  <c r="AW1699" i="1"/>
  <c r="AU1699" i="1"/>
  <c r="AT1699" i="1"/>
  <c r="AS1699" i="1"/>
  <c r="AQ1699" i="1"/>
  <c r="AP1699" i="1"/>
  <c r="AO1699" i="1"/>
  <c r="AL1699" i="1"/>
  <c r="AM1699" i="1" s="1"/>
  <c r="AK1699" i="1"/>
  <c r="AH1699" i="1"/>
  <c r="AI1699" i="1" s="1"/>
  <c r="AG1699" i="1"/>
  <c r="AD1699" i="1"/>
  <c r="AE1699" i="1" s="1"/>
  <c r="AC1699" i="1"/>
  <c r="Z1699" i="1"/>
  <c r="AA1699" i="1" s="1"/>
  <c r="Y1699" i="1"/>
  <c r="V1699" i="1"/>
  <c r="U1699" i="1"/>
  <c r="R1699" i="1"/>
  <c r="P1699" i="1"/>
  <c r="Q1699" i="1" s="1"/>
  <c r="N1699" i="1"/>
  <c r="O1699" i="1" s="1"/>
  <c r="M1699" i="1"/>
  <c r="L1699" i="1"/>
  <c r="K1699" i="1"/>
  <c r="J1699" i="1"/>
  <c r="H1699" i="1"/>
  <c r="I1699" i="1" s="1"/>
  <c r="F1699" i="1"/>
  <c r="G1699" i="1" s="1"/>
  <c r="E1699" i="1"/>
  <c r="D1699" i="1"/>
  <c r="BN1698" i="1"/>
  <c r="BL1698" i="1"/>
  <c r="BJ1698" i="1"/>
  <c r="BM1698" i="1" s="1"/>
  <c r="BI1698" i="1"/>
  <c r="BF1698" i="1"/>
  <c r="BE1698" i="1"/>
  <c r="BB1698" i="1"/>
  <c r="BA1698" i="1"/>
  <c r="AY1698" i="1"/>
  <c r="AX1698" i="1"/>
  <c r="AW1698" i="1"/>
  <c r="AU1698" i="1"/>
  <c r="AT1698" i="1"/>
  <c r="AS1698" i="1"/>
  <c r="AP1698" i="1"/>
  <c r="AQ1698" i="1" s="1"/>
  <c r="AO1698" i="1"/>
  <c r="AL1698" i="1"/>
  <c r="AM1698" i="1" s="1"/>
  <c r="AK1698" i="1"/>
  <c r="AH1698" i="1"/>
  <c r="AI1698" i="1" s="1"/>
  <c r="AG1698" i="1"/>
  <c r="AD1698" i="1"/>
  <c r="AE1698" i="1" s="1"/>
  <c r="AC1698" i="1"/>
  <c r="Z1698" i="1"/>
  <c r="Y1698" i="1"/>
  <c r="V1698" i="1"/>
  <c r="U1698" i="1"/>
  <c r="S1698" i="1"/>
  <c r="R1698" i="1"/>
  <c r="Q1698" i="1"/>
  <c r="O1698" i="1"/>
  <c r="N1698" i="1"/>
  <c r="M1698" i="1"/>
  <c r="J1698" i="1"/>
  <c r="K1698" i="1" s="1"/>
  <c r="I1698" i="1"/>
  <c r="F1698" i="1"/>
  <c r="G1698" i="1" s="1"/>
  <c r="E1698" i="1"/>
  <c r="BN1697" i="1"/>
  <c r="BM1697" i="1"/>
  <c r="BL1697" i="1"/>
  <c r="BJ1697" i="1"/>
  <c r="BI1697" i="1"/>
  <c r="BF1697" i="1"/>
  <c r="BG1697" i="1" s="1"/>
  <c r="BE1697" i="1"/>
  <c r="BB1697" i="1"/>
  <c r="BC1697" i="1" s="1"/>
  <c r="BA1697" i="1"/>
  <c r="AX1697" i="1"/>
  <c r="AY1697" i="1" s="1"/>
  <c r="AW1697" i="1"/>
  <c r="AT1697" i="1"/>
  <c r="AS1697" i="1"/>
  <c r="AP1697" i="1"/>
  <c r="AO1697" i="1"/>
  <c r="AM1697" i="1"/>
  <c r="AL1697" i="1"/>
  <c r="AK1697" i="1"/>
  <c r="AI1697" i="1"/>
  <c r="AH1697" i="1"/>
  <c r="AG1697" i="1"/>
  <c r="AD1697" i="1"/>
  <c r="AE1697" i="1" s="1"/>
  <c r="AC1697" i="1"/>
  <c r="Z1697" i="1"/>
  <c r="AA1697" i="1" s="1"/>
  <c r="Y1697" i="1"/>
  <c r="V1697" i="1"/>
  <c r="W1697" i="1" s="1"/>
  <c r="U1697" i="1"/>
  <c r="R1697" i="1"/>
  <c r="S1697" i="1" s="1"/>
  <c r="Q1697" i="1"/>
  <c r="N1697" i="1"/>
  <c r="M1697" i="1"/>
  <c r="J1697" i="1"/>
  <c r="I1697" i="1"/>
  <c r="G1697" i="1"/>
  <c r="F1697" i="1"/>
  <c r="E1697" i="1"/>
  <c r="BN1696" i="1"/>
  <c r="BL1696" i="1"/>
  <c r="BJ1696" i="1"/>
  <c r="BM1696" i="1" s="1"/>
  <c r="BI1696" i="1"/>
  <c r="BG1696" i="1"/>
  <c r="BF1696" i="1"/>
  <c r="BE1696" i="1"/>
  <c r="BC1696" i="1"/>
  <c r="BB1696" i="1"/>
  <c r="BA1696" i="1"/>
  <c r="AX1696" i="1"/>
  <c r="AY1696" i="1" s="1"/>
  <c r="AW1696" i="1"/>
  <c r="AT1696" i="1"/>
  <c r="AU1696" i="1" s="1"/>
  <c r="AS1696" i="1"/>
  <c r="AP1696" i="1"/>
  <c r="AQ1696" i="1" s="1"/>
  <c r="AO1696" i="1"/>
  <c r="AL1696" i="1"/>
  <c r="AM1696" i="1" s="1"/>
  <c r="AK1696" i="1"/>
  <c r="AH1696" i="1"/>
  <c r="AG1696" i="1"/>
  <c r="AD1696" i="1"/>
  <c r="AC1696" i="1"/>
  <c r="AA1696" i="1"/>
  <c r="Z1696" i="1"/>
  <c r="Y1696" i="1"/>
  <c r="W1696" i="1"/>
  <c r="V1696" i="1"/>
  <c r="U1696" i="1"/>
  <c r="R1696" i="1"/>
  <c r="S1696" i="1" s="1"/>
  <c r="Q1696" i="1"/>
  <c r="N1696" i="1"/>
  <c r="O1696" i="1" s="1"/>
  <c r="M1696" i="1"/>
  <c r="J1696" i="1"/>
  <c r="K1696" i="1" s="1"/>
  <c r="I1696" i="1"/>
  <c r="F1696" i="1"/>
  <c r="G1696" i="1" s="1"/>
  <c r="E1696" i="1"/>
  <c r="BN1695" i="1"/>
  <c r="BM1695" i="1"/>
  <c r="BL1695" i="1"/>
  <c r="BJ1695" i="1"/>
  <c r="BI1695" i="1"/>
  <c r="BF1695" i="1"/>
  <c r="BG1695" i="1" s="1"/>
  <c r="BE1695" i="1"/>
  <c r="BB1695" i="1"/>
  <c r="BA1695" i="1"/>
  <c r="AX1695" i="1"/>
  <c r="AW1695" i="1"/>
  <c r="AU1695" i="1"/>
  <c r="AT1695" i="1"/>
  <c r="AS1695" i="1"/>
  <c r="AQ1695" i="1"/>
  <c r="AP1695" i="1"/>
  <c r="AO1695" i="1"/>
  <c r="AL1695" i="1"/>
  <c r="AM1695" i="1" s="1"/>
  <c r="AK1695" i="1"/>
  <c r="AH1695" i="1"/>
  <c r="AI1695" i="1" s="1"/>
  <c r="AG1695" i="1"/>
  <c r="AD1695" i="1"/>
  <c r="AE1695" i="1" s="1"/>
  <c r="AC1695" i="1"/>
  <c r="Z1695" i="1"/>
  <c r="AA1695" i="1" s="1"/>
  <c r="Y1695" i="1"/>
  <c r="V1695" i="1"/>
  <c r="U1695" i="1"/>
  <c r="R1695" i="1"/>
  <c r="Q1695" i="1"/>
  <c r="O1695" i="1"/>
  <c r="N1695" i="1"/>
  <c r="M1695" i="1"/>
  <c r="K1695" i="1"/>
  <c r="J1695" i="1"/>
  <c r="I1695" i="1"/>
  <c r="F1695" i="1"/>
  <c r="G1695" i="1" s="1"/>
  <c r="E1695" i="1"/>
  <c r="BN1694" i="1"/>
  <c r="BM1694" i="1"/>
  <c r="BL1694" i="1"/>
  <c r="BJ1694" i="1"/>
  <c r="BI1694" i="1"/>
  <c r="BF1694" i="1"/>
  <c r="BG1694" i="1" s="1"/>
  <c r="BE1694" i="1"/>
  <c r="BB1694" i="1"/>
  <c r="BC1694" i="1" s="1"/>
  <c r="BA1694" i="1"/>
  <c r="AX1694" i="1"/>
  <c r="AY1694" i="1" s="1"/>
  <c r="AW1694" i="1"/>
  <c r="AT1694" i="1"/>
  <c r="AU1694" i="1" s="1"/>
  <c r="AS1694" i="1"/>
  <c r="AP1694" i="1"/>
  <c r="AO1694" i="1"/>
  <c r="AL1694" i="1"/>
  <c r="AK1694" i="1"/>
  <c r="AI1694" i="1"/>
  <c r="AH1694" i="1"/>
  <c r="AG1694" i="1"/>
  <c r="AE1694" i="1"/>
  <c r="AD1694" i="1"/>
  <c r="AC1694" i="1"/>
  <c r="Z1694" i="1"/>
  <c r="AA1694" i="1" s="1"/>
  <c r="Y1694" i="1"/>
  <c r="V1694" i="1"/>
  <c r="W1694" i="1" s="1"/>
  <c r="U1694" i="1"/>
  <c r="R1694" i="1"/>
  <c r="S1694" i="1" s="1"/>
  <c r="Q1694" i="1"/>
  <c r="N1694" i="1"/>
  <c r="O1694" i="1" s="1"/>
  <c r="M1694" i="1"/>
  <c r="J1694" i="1"/>
  <c r="I1694" i="1"/>
  <c r="F1694" i="1"/>
  <c r="E1694" i="1"/>
  <c r="BN1693" i="1"/>
  <c r="BL1693" i="1"/>
  <c r="BJ1693" i="1"/>
  <c r="BI1693" i="1"/>
  <c r="BF1693" i="1"/>
  <c r="BE1693" i="1"/>
  <c r="BC1693" i="1"/>
  <c r="BB1693" i="1"/>
  <c r="BA1693" i="1"/>
  <c r="AY1693" i="1"/>
  <c r="AX1693" i="1"/>
  <c r="AW1693" i="1"/>
  <c r="AT1693" i="1"/>
  <c r="AU1693" i="1" s="1"/>
  <c r="AS1693" i="1"/>
  <c r="AP1693" i="1"/>
  <c r="AQ1693" i="1" s="1"/>
  <c r="AO1693" i="1"/>
  <c r="AL1693" i="1"/>
  <c r="AM1693" i="1" s="1"/>
  <c r="AK1693" i="1"/>
  <c r="AH1693" i="1"/>
  <c r="AI1693" i="1" s="1"/>
  <c r="AG1693" i="1"/>
  <c r="AD1693" i="1"/>
  <c r="AC1693" i="1"/>
  <c r="Z1693" i="1"/>
  <c r="Y1693" i="1"/>
  <c r="W1693" i="1"/>
  <c r="V1693" i="1"/>
  <c r="U1693" i="1"/>
  <c r="S1693" i="1"/>
  <c r="R1693" i="1"/>
  <c r="Q1693" i="1"/>
  <c r="N1693" i="1"/>
  <c r="O1693" i="1" s="1"/>
  <c r="M1693" i="1"/>
  <c r="J1693" i="1"/>
  <c r="K1693" i="1" s="1"/>
  <c r="I1693" i="1"/>
  <c r="F1693" i="1"/>
  <c r="G1693" i="1" s="1"/>
  <c r="E1693" i="1"/>
  <c r="BN1692" i="1"/>
  <c r="BM1692" i="1"/>
  <c r="BL1692" i="1"/>
  <c r="BJ1692" i="1"/>
  <c r="BI1692" i="1"/>
  <c r="BF1692" i="1"/>
  <c r="BG1692" i="1" s="1"/>
  <c r="BE1692" i="1"/>
  <c r="BB1692" i="1"/>
  <c r="BC1692" i="1" s="1"/>
  <c r="BA1692" i="1"/>
  <c r="AX1692" i="1"/>
  <c r="AW1692" i="1"/>
  <c r="AT1692" i="1"/>
  <c r="AS1692" i="1"/>
  <c r="AQ1692" i="1"/>
  <c r="AP1692" i="1"/>
  <c r="AO1692" i="1"/>
  <c r="AM1692" i="1"/>
  <c r="AL1692" i="1"/>
  <c r="AK1692" i="1"/>
  <c r="AH1692" i="1"/>
  <c r="AI1692" i="1" s="1"/>
  <c r="AG1692" i="1"/>
  <c r="AD1692" i="1"/>
  <c r="AE1692" i="1" s="1"/>
  <c r="AC1692" i="1"/>
  <c r="Z1692" i="1"/>
  <c r="AA1692" i="1" s="1"/>
  <c r="Y1692" i="1"/>
  <c r="V1692" i="1"/>
  <c r="W1692" i="1" s="1"/>
  <c r="U1692" i="1"/>
  <c r="R1692" i="1"/>
  <c r="Q1692" i="1"/>
  <c r="N1692" i="1"/>
  <c r="M1692" i="1"/>
  <c r="K1692" i="1"/>
  <c r="J1692" i="1"/>
  <c r="I1692" i="1"/>
  <c r="G1692" i="1"/>
  <c r="F1692" i="1"/>
  <c r="E1692" i="1"/>
  <c r="BN1691" i="1"/>
  <c r="BM1691" i="1"/>
  <c r="BL1691" i="1"/>
  <c r="BJ1691" i="1"/>
  <c r="BI1691" i="1"/>
  <c r="BG1691" i="1"/>
  <c r="BF1691" i="1"/>
  <c r="BE1691" i="1"/>
  <c r="BB1691" i="1"/>
  <c r="BC1691" i="1" s="1"/>
  <c r="BA1691" i="1"/>
  <c r="AX1691" i="1"/>
  <c r="AY1691" i="1" s="1"/>
  <c r="AW1691" i="1"/>
  <c r="AT1691" i="1"/>
  <c r="AU1691" i="1" s="1"/>
  <c r="AS1691" i="1"/>
  <c r="AP1691" i="1"/>
  <c r="AQ1691" i="1" s="1"/>
  <c r="AO1691" i="1"/>
  <c r="AL1691" i="1"/>
  <c r="AK1691" i="1"/>
  <c r="AH1691" i="1"/>
  <c r="AG1691" i="1"/>
  <c r="AE1691" i="1"/>
  <c r="AD1691" i="1"/>
  <c r="AC1691" i="1"/>
  <c r="AA1691" i="1"/>
  <c r="Z1691" i="1"/>
  <c r="Y1691" i="1"/>
  <c r="V1691" i="1"/>
  <c r="W1691" i="1" s="1"/>
  <c r="U1691" i="1"/>
  <c r="R1691" i="1"/>
  <c r="S1691" i="1" s="1"/>
  <c r="Q1691" i="1"/>
  <c r="N1691" i="1"/>
  <c r="O1691" i="1" s="1"/>
  <c r="M1691" i="1"/>
  <c r="J1691" i="1"/>
  <c r="K1691" i="1" s="1"/>
  <c r="I1691" i="1"/>
  <c r="F1691" i="1"/>
  <c r="E1691" i="1"/>
  <c r="BN1690" i="1"/>
  <c r="BL1690" i="1"/>
  <c r="BJ1690" i="1"/>
  <c r="BM1690" i="1" s="1"/>
  <c r="BI1690" i="1"/>
  <c r="BF1690" i="1"/>
  <c r="BE1690" i="1"/>
  <c r="BB1690" i="1"/>
  <c r="BA1690" i="1"/>
  <c r="AY1690" i="1"/>
  <c r="AX1690" i="1"/>
  <c r="AW1690" i="1"/>
  <c r="AU1690" i="1"/>
  <c r="AT1690" i="1"/>
  <c r="AS1690" i="1"/>
  <c r="AP1690" i="1"/>
  <c r="AQ1690" i="1" s="1"/>
  <c r="AO1690" i="1"/>
  <c r="AL1690" i="1"/>
  <c r="AM1690" i="1" s="1"/>
  <c r="AK1690" i="1"/>
  <c r="AH1690" i="1"/>
  <c r="AI1690" i="1" s="1"/>
  <c r="AG1690" i="1"/>
  <c r="AD1690" i="1"/>
  <c r="AE1690" i="1" s="1"/>
  <c r="AC1690" i="1"/>
  <c r="Z1690" i="1"/>
  <c r="Y1690" i="1"/>
  <c r="V1690" i="1"/>
  <c r="U1690" i="1"/>
  <c r="S1690" i="1"/>
  <c r="R1690" i="1"/>
  <c r="Q1690" i="1"/>
  <c r="O1690" i="1"/>
  <c r="N1690" i="1"/>
  <c r="M1690" i="1"/>
  <c r="J1690" i="1"/>
  <c r="K1690" i="1" s="1"/>
  <c r="I1690" i="1"/>
  <c r="F1690" i="1"/>
  <c r="G1690" i="1" s="1"/>
  <c r="E1690" i="1"/>
  <c r="BN1689" i="1"/>
  <c r="BL1689" i="1"/>
  <c r="BJ1689" i="1"/>
  <c r="BM1689" i="1" s="1"/>
  <c r="BI1689" i="1"/>
  <c r="BF1689" i="1"/>
  <c r="BG1689" i="1" s="1"/>
  <c r="BE1689" i="1"/>
  <c r="BB1689" i="1"/>
  <c r="BC1689" i="1" s="1"/>
  <c r="BA1689" i="1"/>
  <c r="AX1689" i="1"/>
  <c r="AY1689" i="1" s="1"/>
  <c r="AW1689" i="1"/>
  <c r="AT1689" i="1"/>
  <c r="AS1689" i="1"/>
  <c r="AP1689" i="1"/>
  <c r="AO1689" i="1"/>
  <c r="AM1689" i="1"/>
  <c r="AL1689" i="1"/>
  <c r="AK1689" i="1"/>
  <c r="AI1689" i="1"/>
  <c r="AH1689" i="1"/>
  <c r="AG1689" i="1"/>
  <c r="AD1689" i="1"/>
  <c r="AE1689" i="1" s="1"/>
  <c r="AC1689" i="1"/>
  <c r="Z1689" i="1"/>
  <c r="AA1689" i="1" s="1"/>
  <c r="Y1689" i="1"/>
  <c r="V1689" i="1"/>
  <c r="W1689" i="1" s="1"/>
  <c r="U1689" i="1"/>
  <c r="R1689" i="1"/>
  <c r="S1689" i="1" s="1"/>
  <c r="Q1689" i="1"/>
  <c r="N1689" i="1"/>
  <c r="M1689" i="1"/>
  <c r="J1689" i="1"/>
  <c r="I1689" i="1"/>
  <c r="G1689" i="1"/>
  <c r="F1689" i="1"/>
  <c r="E1689" i="1"/>
  <c r="BN1688" i="1"/>
  <c r="BL1688" i="1"/>
  <c r="BJ1688" i="1"/>
  <c r="BM1688" i="1" s="1"/>
  <c r="BI1688" i="1"/>
  <c r="BG1688" i="1"/>
  <c r="BF1688" i="1"/>
  <c r="BE1688" i="1"/>
  <c r="BC1688" i="1"/>
  <c r="BB1688" i="1"/>
  <c r="BA1688" i="1"/>
  <c r="AX1688" i="1"/>
  <c r="AY1688" i="1" s="1"/>
  <c r="AW1688" i="1"/>
  <c r="AT1688" i="1"/>
  <c r="AU1688" i="1" s="1"/>
  <c r="AS1688" i="1"/>
  <c r="AP1688" i="1"/>
  <c r="AQ1688" i="1" s="1"/>
  <c r="AO1688" i="1"/>
  <c r="AL1688" i="1"/>
  <c r="AM1688" i="1" s="1"/>
  <c r="AK1688" i="1"/>
  <c r="AH1688" i="1"/>
  <c r="AG1688" i="1"/>
  <c r="AD1688" i="1"/>
  <c r="AC1688" i="1"/>
  <c r="AA1688" i="1"/>
  <c r="Z1688" i="1"/>
  <c r="Y1688" i="1"/>
  <c r="W1688" i="1"/>
  <c r="V1688" i="1"/>
  <c r="U1688" i="1"/>
  <c r="R1688" i="1"/>
  <c r="S1688" i="1" s="1"/>
  <c r="Q1688" i="1"/>
  <c r="N1688" i="1"/>
  <c r="O1688" i="1" s="1"/>
  <c r="M1688" i="1"/>
  <c r="J1688" i="1"/>
  <c r="K1688" i="1" s="1"/>
  <c r="I1688" i="1"/>
  <c r="F1688" i="1"/>
  <c r="G1688" i="1" s="1"/>
  <c r="E1688" i="1"/>
  <c r="BN1687" i="1"/>
  <c r="BM1687" i="1"/>
  <c r="BL1687" i="1"/>
  <c r="BJ1687" i="1"/>
  <c r="BI1687" i="1"/>
  <c r="BF1687" i="1"/>
  <c r="BG1687" i="1" s="1"/>
  <c r="BE1687" i="1"/>
  <c r="BB1687" i="1"/>
  <c r="BA1687" i="1"/>
  <c r="AX1687" i="1"/>
  <c r="AW1687" i="1"/>
  <c r="AU1687" i="1"/>
  <c r="AT1687" i="1"/>
  <c r="AS1687" i="1"/>
  <c r="AQ1687" i="1"/>
  <c r="AP1687" i="1"/>
  <c r="AO1687" i="1"/>
  <c r="AL1687" i="1"/>
  <c r="AM1687" i="1" s="1"/>
  <c r="AK1687" i="1"/>
  <c r="AH1687" i="1"/>
  <c r="AI1687" i="1" s="1"/>
  <c r="AG1687" i="1"/>
  <c r="AD1687" i="1"/>
  <c r="AE1687" i="1" s="1"/>
  <c r="AC1687" i="1"/>
  <c r="Z1687" i="1"/>
  <c r="AA1687" i="1" s="1"/>
  <c r="Y1687" i="1"/>
  <c r="V1687" i="1"/>
  <c r="U1687" i="1"/>
  <c r="R1687" i="1"/>
  <c r="Q1687" i="1"/>
  <c r="O1687" i="1"/>
  <c r="N1687" i="1"/>
  <c r="M1687" i="1"/>
  <c r="K1687" i="1"/>
  <c r="J1687" i="1"/>
  <c r="I1687" i="1"/>
  <c r="F1687" i="1"/>
  <c r="G1687" i="1" s="1"/>
  <c r="E1687" i="1"/>
  <c r="BN1686" i="1"/>
  <c r="BM1686" i="1"/>
  <c r="BL1686" i="1"/>
  <c r="BJ1686" i="1"/>
  <c r="BI1686" i="1"/>
  <c r="BF1686" i="1"/>
  <c r="BG1686" i="1" s="1"/>
  <c r="BE1686" i="1"/>
  <c r="BB1686" i="1"/>
  <c r="BC1686" i="1" s="1"/>
  <c r="BA1686" i="1"/>
  <c r="AX1686" i="1"/>
  <c r="AY1686" i="1" s="1"/>
  <c r="AW1686" i="1"/>
  <c r="AT1686" i="1"/>
  <c r="AU1686" i="1" s="1"/>
  <c r="AS1686" i="1"/>
  <c r="AP1686" i="1"/>
  <c r="AO1686" i="1"/>
  <c r="AL1686" i="1"/>
  <c r="AK1686" i="1"/>
  <c r="AI1686" i="1"/>
  <c r="AH1686" i="1"/>
  <c r="AG1686" i="1"/>
  <c r="AE1686" i="1"/>
  <c r="AD1686" i="1"/>
  <c r="AC1686" i="1"/>
  <c r="Z1686" i="1"/>
  <c r="AA1686" i="1" s="1"/>
  <c r="Y1686" i="1"/>
  <c r="V1686" i="1"/>
  <c r="W1686" i="1" s="1"/>
  <c r="U1686" i="1"/>
  <c r="R1686" i="1"/>
  <c r="S1686" i="1" s="1"/>
  <c r="Q1686" i="1"/>
  <c r="N1686" i="1"/>
  <c r="O1686" i="1" s="1"/>
  <c r="M1686" i="1"/>
  <c r="J1686" i="1"/>
  <c r="I1686" i="1"/>
  <c r="F1686" i="1"/>
  <c r="E1686" i="1"/>
  <c r="BN1685" i="1"/>
  <c r="BM1685" i="1" s="1"/>
  <c r="BK1685" i="1"/>
  <c r="BL1685" i="1" s="1"/>
  <c r="BJ1685" i="1"/>
  <c r="BI1685" i="1"/>
  <c r="BF1685" i="1"/>
  <c r="BG1685" i="1" s="1"/>
  <c r="BE1685" i="1"/>
  <c r="BB1685" i="1"/>
  <c r="BC1685" i="1" s="1"/>
  <c r="BA1685" i="1"/>
  <c r="AX1685" i="1"/>
  <c r="AY1685" i="1" s="1"/>
  <c r="AV1685" i="1"/>
  <c r="AW1685" i="1" s="1"/>
  <c r="AU1685" i="1"/>
  <c r="AT1685" i="1"/>
  <c r="AS1685" i="1"/>
  <c r="AQ1685" i="1"/>
  <c r="AP1685" i="1"/>
  <c r="AO1685" i="1"/>
  <c r="AL1685" i="1"/>
  <c r="AM1685" i="1" s="1"/>
  <c r="AK1685" i="1"/>
  <c r="AH1685" i="1"/>
  <c r="AE1685" i="1" s="1"/>
  <c r="AG1685" i="1"/>
  <c r="AF1685" i="1"/>
  <c r="AD1685" i="1"/>
  <c r="AC1685" i="1"/>
  <c r="AA1685" i="1"/>
  <c r="Z1685" i="1"/>
  <c r="Y1685" i="1"/>
  <c r="W1685" i="1"/>
  <c r="V1685" i="1"/>
  <c r="U1685" i="1"/>
  <c r="R1685" i="1"/>
  <c r="S1685" i="1" s="1"/>
  <c r="Q1685" i="1"/>
  <c r="N1685" i="1"/>
  <c r="O1685" i="1" s="1"/>
  <c r="M1685" i="1"/>
  <c r="J1685" i="1"/>
  <c r="K1685" i="1" s="1"/>
  <c r="I1685" i="1"/>
  <c r="F1685" i="1"/>
  <c r="G1685" i="1" s="1"/>
  <c r="E1685" i="1"/>
  <c r="BN1684" i="1"/>
  <c r="BM1684" i="1"/>
  <c r="BK1684" i="1"/>
  <c r="BL1684" i="1" s="1"/>
  <c r="BJ1684" i="1"/>
  <c r="BI1684" i="1"/>
  <c r="BG1684" i="1"/>
  <c r="BF1684" i="1"/>
  <c r="BE1684" i="1"/>
  <c r="BC1684" i="1"/>
  <c r="BB1684" i="1"/>
  <c r="BA1684" i="1"/>
  <c r="AX1684" i="1"/>
  <c r="AY1684" i="1" s="1"/>
  <c r="AW1684" i="1"/>
  <c r="AV1684" i="1"/>
  <c r="AT1684" i="1"/>
  <c r="AS1684" i="1"/>
  <c r="AP1684" i="1"/>
  <c r="AO1684" i="1"/>
  <c r="AM1684" i="1"/>
  <c r="AL1684" i="1"/>
  <c r="AK1684" i="1"/>
  <c r="AI1684" i="1"/>
  <c r="AH1684" i="1"/>
  <c r="AG1684" i="1"/>
  <c r="AF1684" i="1"/>
  <c r="AD1684" i="1"/>
  <c r="AE1684" i="1" s="1"/>
  <c r="AC1684" i="1"/>
  <c r="Z1684" i="1"/>
  <c r="Y1684" i="1"/>
  <c r="V1684" i="1"/>
  <c r="U1684" i="1"/>
  <c r="S1684" i="1"/>
  <c r="R1684" i="1"/>
  <c r="Q1684" i="1"/>
  <c r="O1684" i="1"/>
  <c r="N1684" i="1"/>
  <c r="M1684" i="1"/>
  <c r="J1684" i="1"/>
  <c r="K1684" i="1" s="1"/>
  <c r="I1684" i="1"/>
  <c r="F1684" i="1"/>
  <c r="G1684" i="1" s="1"/>
  <c r="E1684" i="1"/>
  <c r="BN1683" i="1"/>
  <c r="BK1683" i="1"/>
  <c r="BL1683" i="1" s="1"/>
  <c r="BJ1683" i="1"/>
  <c r="BM1683" i="1" s="1"/>
  <c r="BI1683" i="1"/>
  <c r="BF1683" i="1"/>
  <c r="BE1683" i="1"/>
  <c r="BB1683" i="1"/>
  <c r="BA1683" i="1"/>
  <c r="AY1683" i="1"/>
  <c r="AX1683" i="1"/>
  <c r="AV1683" i="1"/>
  <c r="AW1683" i="1" s="1"/>
  <c r="AT1683" i="1"/>
  <c r="AU1683" i="1" s="1"/>
  <c r="AS1683" i="1"/>
  <c r="AP1683" i="1"/>
  <c r="AQ1683" i="1" s="1"/>
  <c r="AO1683" i="1"/>
  <c r="AL1683" i="1"/>
  <c r="AK1683" i="1"/>
  <c r="AH1683" i="1"/>
  <c r="AF1683" i="1"/>
  <c r="AG1683" i="1" s="1"/>
  <c r="AD1683" i="1"/>
  <c r="AE1683" i="1" s="1"/>
  <c r="AC1683" i="1"/>
  <c r="Z1683" i="1"/>
  <c r="AA1683" i="1" s="1"/>
  <c r="Y1683" i="1"/>
  <c r="V1683" i="1"/>
  <c r="W1683" i="1" s="1"/>
  <c r="U1683" i="1"/>
  <c r="R1683" i="1"/>
  <c r="Q1683" i="1"/>
  <c r="N1683" i="1"/>
  <c r="M1683" i="1"/>
  <c r="K1683" i="1"/>
  <c r="J1683" i="1"/>
  <c r="I1683" i="1"/>
  <c r="G1683" i="1"/>
  <c r="F1683" i="1"/>
  <c r="E1683" i="1"/>
  <c r="BN1682" i="1"/>
  <c r="BM1682" i="1"/>
  <c r="BL1682" i="1"/>
  <c r="BJ1682" i="1"/>
  <c r="BI1682" i="1"/>
  <c r="BG1682" i="1"/>
  <c r="BF1682" i="1"/>
  <c r="BE1682" i="1"/>
  <c r="BB1682" i="1"/>
  <c r="BC1682" i="1" s="1"/>
  <c r="BA1682" i="1"/>
  <c r="AX1682" i="1"/>
  <c r="AY1682" i="1" s="1"/>
  <c r="AW1682" i="1"/>
  <c r="AT1682" i="1"/>
  <c r="AU1682" i="1" s="1"/>
  <c r="AS1682" i="1"/>
  <c r="AP1682" i="1"/>
  <c r="AQ1682" i="1" s="1"/>
  <c r="AO1682" i="1"/>
  <c r="AL1682" i="1"/>
  <c r="AK1682" i="1"/>
  <c r="AH1682" i="1"/>
  <c r="AG1682" i="1"/>
  <c r="AE1682" i="1"/>
  <c r="AD1682" i="1"/>
  <c r="AC1682" i="1"/>
  <c r="AA1682" i="1"/>
  <c r="Z1682" i="1"/>
  <c r="Y1682" i="1"/>
  <c r="V1682" i="1"/>
  <c r="W1682" i="1" s="1"/>
  <c r="U1682" i="1"/>
  <c r="R1682" i="1"/>
  <c r="S1682" i="1" s="1"/>
  <c r="Q1682" i="1"/>
  <c r="N1682" i="1"/>
  <c r="O1682" i="1" s="1"/>
  <c r="M1682" i="1"/>
  <c r="J1682" i="1"/>
  <c r="K1682" i="1" s="1"/>
  <c r="I1682" i="1"/>
  <c r="F1682" i="1"/>
  <c r="E1682" i="1"/>
  <c r="BN1681" i="1"/>
  <c r="BL1681" i="1"/>
  <c r="BJ1681" i="1"/>
  <c r="BM1681" i="1" s="1"/>
  <c r="BI1681" i="1"/>
  <c r="BF1681" i="1"/>
  <c r="BE1681" i="1"/>
  <c r="BB1681" i="1"/>
  <c r="BA1681" i="1"/>
  <c r="AY1681" i="1"/>
  <c r="AX1681" i="1"/>
  <c r="AW1681" i="1"/>
  <c r="AU1681" i="1"/>
  <c r="AT1681" i="1"/>
  <c r="AS1681" i="1"/>
  <c r="AP1681" i="1"/>
  <c r="AQ1681" i="1" s="1"/>
  <c r="AO1681" i="1"/>
  <c r="AL1681" i="1"/>
  <c r="AM1681" i="1" s="1"/>
  <c r="AK1681" i="1"/>
  <c r="AH1681" i="1"/>
  <c r="AI1681" i="1" s="1"/>
  <c r="AF1681" i="1"/>
  <c r="AG1681" i="1" s="1"/>
  <c r="AE1681" i="1"/>
  <c r="AD1681" i="1"/>
  <c r="AB1681" i="1"/>
  <c r="AC1681" i="1" s="1"/>
  <c r="Z1681" i="1"/>
  <c r="AA1681" i="1" s="1"/>
  <c r="Y1681" i="1"/>
  <c r="V1681" i="1"/>
  <c r="W1681" i="1" s="1"/>
  <c r="T1681" i="1"/>
  <c r="U1681" i="1" s="1"/>
  <c r="R1681" i="1"/>
  <c r="Q1681" i="1"/>
  <c r="N1681" i="1"/>
  <c r="O1681" i="1" s="1"/>
  <c r="M1681" i="1"/>
  <c r="J1681" i="1"/>
  <c r="K1681" i="1" s="1"/>
  <c r="I1681" i="1"/>
  <c r="F1681" i="1"/>
  <c r="G1681" i="1" s="1"/>
  <c r="E1681" i="1"/>
  <c r="BN1680" i="1"/>
  <c r="BM1680" i="1"/>
  <c r="BL1680" i="1"/>
  <c r="BJ1680" i="1"/>
  <c r="BI1680" i="1"/>
  <c r="BF1680" i="1"/>
  <c r="BG1680" i="1" s="1"/>
  <c r="BE1680" i="1"/>
  <c r="BB1680" i="1"/>
  <c r="BC1680" i="1" s="1"/>
  <c r="BA1680" i="1"/>
  <c r="AX1680" i="1"/>
  <c r="AW1680" i="1"/>
  <c r="AT1680" i="1"/>
  <c r="AS1680" i="1"/>
  <c r="AQ1680" i="1"/>
  <c r="AP1680" i="1"/>
  <c r="AO1680" i="1"/>
  <c r="AM1680" i="1"/>
  <c r="AL1680" i="1"/>
  <c r="AK1680" i="1"/>
  <c r="AH1680" i="1"/>
  <c r="AI1680" i="1" s="1"/>
  <c r="AG1680" i="1"/>
  <c r="AF1680" i="1"/>
  <c r="AD1680" i="1"/>
  <c r="AE1680" i="1" s="1"/>
  <c r="AB1680" i="1"/>
  <c r="AC1680" i="1" s="1"/>
  <c r="Z1680" i="1"/>
  <c r="AA1680" i="1" s="1"/>
  <c r="Y1680" i="1"/>
  <c r="V1680" i="1"/>
  <c r="W1680" i="1" s="1"/>
  <c r="U1680" i="1"/>
  <c r="R1680" i="1"/>
  <c r="S1680" i="1" s="1"/>
  <c r="Q1680" i="1"/>
  <c r="N1680" i="1"/>
  <c r="O1680" i="1" s="1"/>
  <c r="M1680" i="1"/>
  <c r="J1680" i="1"/>
  <c r="I1680" i="1"/>
  <c r="F1680" i="1"/>
  <c r="E1680" i="1"/>
  <c r="BN1679" i="1"/>
  <c r="BL1679" i="1"/>
  <c r="BJ1679" i="1"/>
  <c r="BI1679" i="1"/>
  <c r="BF1679" i="1"/>
  <c r="BE1679" i="1"/>
  <c r="BC1679" i="1"/>
  <c r="BB1679" i="1"/>
  <c r="BA1679" i="1"/>
  <c r="AY1679" i="1"/>
  <c r="AX1679" i="1"/>
  <c r="AW1679" i="1"/>
  <c r="AT1679" i="1"/>
  <c r="AU1679" i="1" s="1"/>
  <c r="AS1679" i="1"/>
  <c r="AP1679" i="1"/>
  <c r="AQ1679" i="1" s="1"/>
  <c r="AO1679" i="1"/>
  <c r="AL1679" i="1"/>
  <c r="AM1679" i="1" s="1"/>
  <c r="AK1679" i="1"/>
  <c r="AH1679" i="1"/>
  <c r="AI1679" i="1" s="1"/>
  <c r="AF1679" i="1"/>
  <c r="AG1679" i="1" s="1"/>
  <c r="AE1679" i="1"/>
  <c r="AD1679" i="1"/>
  <c r="AC1679" i="1"/>
  <c r="Z1679" i="1"/>
  <c r="AA1679" i="1" s="1"/>
  <c r="Y1679" i="1"/>
  <c r="V1679" i="1"/>
  <c r="W1679" i="1" s="1"/>
  <c r="U1679" i="1"/>
  <c r="R1679" i="1"/>
  <c r="S1679" i="1" s="1"/>
  <c r="Q1679" i="1"/>
  <c r="N1679" i="1"/>
  <c r="O1679" i="1" s="1"/>
  <c r="M1679" i="1"/>
  <c r="J1679" i="1"/>
  <c r="I1679" i="1"/>
  <c r="F1679" i="1"/>
  <c r="E1679" i="1"/>
  <c r="BN1678" i="1"/>
  <c r="BL1678" i="1"/>
  <c r="BJ1678" i="1"/>
  <c r="BI1678" i="1"/>
  <c r="BF1678" i="1"/>
  <c r="BE1678" i="1"/>
  <c r="BC1678" i="1"/>
  <c r="BB1678" i="1"/>
  <c r="BA1678" i="1"/>
  <c r="AY1678" i="1"/>
  <c r="AX1678" i="1"/>
  <c r="AW1678" i="1"/>
  <c r="AT1678" i="1"/>
  <c r="AU1678" i="1" s="1"/>
  <c r="AS1678" i="1"/>
  <c r="AP1678" i="1"/>
  <c r="AQ1678" i="1" s="1"/>
  <c r="AO1678" i="1"/>
  <c r="AL1678" i="1"/>
  <c r="AM1678" i="1" s="1"/>
  <c r="AK1678" i="1"/>
  <c r="AH1678" i="1"/>
  <c r="AI1678" i="1" s="1"/>
  <c r="AG1678" i="1"/>
  <c r="AD1678" i="1"/>
  <c r="AC1678" i="1"/>
  <c r="Z1678" i="1"/>
  <c r="Y1678" i="1"/>
  <c r="W1678" i="1"/>
  <c r="V1678" i="1"/>
  <c r="U1678" i="1"/>
  <c r="S1678" i="1"/>
  <c r="R1678" i="1"/>
  <c r="Q1678" i="1"/>
  <c r="N1678" i="1"/>
  <c r="O1678" i="1" s="1"/>
  <c r="M1678" i="1"/>
  <c r="J1678" i="1"/>
  <c r="K1678" i="1" s="1"/>
  <c r="I1678" i="1"/>
  <c r="F1678" i="1"/>
  <c r="G1678" i="1" s="1"/>
  <c r="E1678" i="1"/>
  <c r="BN1677" i="1"/>
  <c r="BM1677" i="1"/>
  <c r="BL1677" i="1"/>
  <c r="BJ1677" i="1"/>
  <c r="BI1677" i="1"/>
  <c r="BF1677" i="1"/>
  <c r="BG1677" i="1" s="1"/>
  <c r="BE1677" i="1"/>
  <c r="BB1677" i="1"/>
  <c r="BC1677" i="1" s="1"/>
  <c r="BA1677" i="1"/>
  <c r="AX1677" i="1"/>
  <c r="AY1677" i="1" s="1"/>
  <c r="AW1677" i="1"/>
  <c r="AT1677" i="1"/>
  <c r="AS1677" i="1"/>
  <c r="AQ1677" i="1"/>
  <c r="AP1677" i="1"/>
  <c r="AO1677" i="1"/>
  <c r="AM1677" i="1"/>
  <c r="AL1677" i="1"/>
  <c r="AK1677" i="1"/>
  <c r="AI1677" i="1"/>
  <c r="AH1677" i="1"/>
  <c r="AG1677" i="1"/>
  <c r="AF1677" i="1"/>
  <c r="AD1677" i="1"/>
  <c r="AB1677" i="1"/>
  <c r="AC1677" i="1" s="1"/>
  <c r="Z1677" i="1"/>
  <c r="Y1677" i="1"/>
  <c r="V1677" i="1"/>
  <c r="W1677" i="1" s="1"/>
  <c r="U1677" i="1"/>
  <c r="R1677" i="1"/>
  <c r="S1677" i="1" s="1"/>
  <c r="Q1677" i="1"/>
  <c r="N1677" i="1"/>
  <c r="O1677" i="1" s="1"/>
  <c r="M1677" i="1"/>
  <c r="J1677" i="1"/>
  <c r="K1677" i="1" s="1"/>
  <c r="I1677" i="1"/>
  <c r="F1677" i="1"/>
  <c r="E1677" i="1"/>
  <c r="BN1676" i="1"/>
  <c r="BL1676" i="1"/>
  <c r="BJ1676" i="1"/>
  <c r="BI1676" i="1"/>
  <c r="BF1676" i="1"/>
  <c r="BG1676" i="1" s="1"/>
  <c r="BE1676" i="1"/>
  <c r="BC1676" i="1"/>
  <c r="BB1676" i="1"/>
  <c r="BA1676" i="1"/>
  <c r="AY1676" i="1"/>
  <c r="AX1676" i="1"/>
  <c r="AW1676" i="1"/>
  <c r="AU1676" i="1"/>
  <c r="AT1676" i="1"/>
  <c r="AS1676" i="1"/>
  <c r="AP1676" i="1"/>
  <c r="AQ1676" i="1" s="1"/>
  <c r="AO1676" i="1"/>
  <c r="AL1676" i="1"/>
  <c r="AM1676" i="1" s="1"/>
  <c r="AK1676" i="1"/>
  <c r="AH1676" i="1"/>
  <c r="AI1676" i="1" s="1"/>
  <c r="AF1676" i="1"/>
  <c r="AG1676" i="1" s="1"/>
  <c r="AE1676" i="1"/>
  <c r="AD1676" i="1"/>
  <c r="AB1676" i="1"/>
  <c r="AC1676" i="1" s="1"/>
  <c r="Z1676" i="1"/>
  <c r="AA1676" i="1" s="1"/>
  <c r="Y1676" i="1"/>
  <c r="V1676" i="1"/>
  <c r="U1676" i="1"/>
  <c r="R1676" i="1"/>
  <c r="S1676" i="1" s="1"/>
  <c r="Q1676" i="1"/>
  <c r="O1676" i="1"/>
  <c r="N1676" i="1"/>
  <c r="M1676" i="1"/>
  <c r="K1676" i="1"/>
  <c r="J1676" i="1"/>
  <c r="I1676" i="1"/>
  <c r="G1676" i="1"/>
  <c r="F1676" i="1"/>
  <c r="E1676" i="1"/>
  <c r="BN1675" i="1"/>
  <c r="BM1675" i="1"/>
  <c r="BL1675" i="1"/>
  <c r="BJ1675" i="1"/>
  <c r="BI1675" i="1"/>
  <c r="BG1675" i="1"/>
  <c r="BF1675" i="1"/>
  <c r="BE1675" i="1"/>
  <c r="BB1675" i="1"/>
  <c r="BC1675" i="1" s="1"/>
  <c r="BA1675" i="1"/>
  <c r="AX1675" i="1"/>
  <c r="AY1675" i="1" s="1"/>
  <c r="AW1675" i="1"/>
  <c r="AT1675" i="1"/>
  <c r="AU1675" i="1" s="1"/>
  <c r="AS1675" i="1"/>
  <c r="AP1675" i="1"/>
  <c r="AQ1675" i="1" s="1"/>
  <c r="AO1675" i="1"/>
  <c r="AL1675" i="1"/>
  <c r="AK1675" i="1"/>
  <c r="AI1675" i="1"/>
  <c r="AH1675" i="1"/>
  <c r="AF1675" i="1"/>
  <c r="AG1675" i="1" s="1"/>
  <c r="AD1675" i="1"/>
  <c r="AE1675" i="1" s="1"/>
  <c r="AC1675" i="1"/>
  <c r="AB1675" i="1"/>
  <c r="AA1675" i="1"/>
  <c r="Z1675" i="1"/>
  <c r="Y1675" i="1"/>
  <c r="W1675" i="1"/>
  <c r="V1675" i="1"/>
  <c r="U1675" i="1"/>
  <c r="S1675" i="1"/>
  <c r="R1675" i="1"/>
  <c r="Q1675" i="1"/>
  <c r="N1675" i="1"/>
  <c r="O1675" i="1" s="1"/>
  <c r="M1675" i="1"/>
  <c r="J1675" i="1"/>
  <c r="K1675" i="1" s="1"/>
  <c r="I1675" i="1"/>
  <c r="F1675" i="1"/>
  <c r="G1675" i="1" s="1"/>
  <c r="E1675" i="1"/>
  <c r="BN1674" i="1"/>
  <c r="BM1674" i="1"/>
  <c r="BL1674" i="1"/>
  <c r="BJ1674" i="1"/>
  <c r="BI1674" i="1"/>
  <c r="BF1674" i="1"/>
  <c r="BG1674" i="1" s="1"/>
  <c r="BE1674" i="1"/>
  <c r="BB1674" i="1"/>
  <c r="BC1674" i="1" s="1"/>
  <c r="BA1674" i="1"/>
  <c r="AX1674" i="1"/>
  <c r="AW1674" i="1"/>
  <c r="AU1674" i="1"/>
  <c r="AT1674" i="1"/>
  <c r="AS1674" i="1"/>
  <c r="AQ1674" i="1"/>
  <c r="AP1674" i="1"/>
  <c r="AO1674" i="1"/>
  <c r="AM1674" i="1"/>
  <c r="AL1674" i="1"/>
  <c r="AK1674" i="1"/>
  <c r="AH1674" i="1"/>
  <c r="AI1674" i="1" s="1"/>
  <c r="AG1674" i="1"/>
  <c r="AD1674" i="1"/>
  <c r="AE1674" i="1" s="1"/>
  <c r="AC1674" i="1"/>
  <c r="Z1674" i="1"/>
  <c r="AA1674" i="1" s="1"/>
  <c r="Y1674" i="1"/>
  <c r="V1674" i="1"/>
  <c r="W1674" i="1" s="1"/>
  <c r="U1674" i="1"/>
  <c r="R1674" i="1"/>
  <c r="Q1674" i="1"/>
  <c r="O1674" i="1"/>
  <c r="N1674" i="1"/>
  <c r="M1674" i="1"/>
  <c r="K1674" i="1"/>
  <c r="J1674" i="1"/>
  <c r="I1674" i="1"/>
  <c r="G1674" i="1"/>
  <c r="F1674" i="1"/>
  <c r="E1674" i="1"/>
  <c r="BN1673" i="1"/>
  <c r="BM1673" i="1"/>
  <c r="BL1673" i="1"/>
  <c r="BJ1673" i="1"/>
  <c r="BI1673" i="1"/>
  <c r="BG1673" i="1"/>
  <c r="BF1673" i="1"/>
  <c r="BE1673" i="1"/>
  <c r="BB1673" i="1"/>
  <c r="BC1673" i="1" s="1"/>
  <c r="BA1673" i="1"/>
  <c r="AX1673" i="1"/>
  <c r="AY1673" i="1" s="1"/>
  <c r="AW1673" i="1"/>
  <c r="AT1673" i="1"/>
  <c r="AU1673" i="1" s="1"/>
  <c r="AS1673" i="1"/>
  <c r="AP1673" i="1"/>
  <c r="AO1673" i="1"/>
  <c r="AL1673" i="1"/>
  <c r="AM1673" i="1" s="1"/>
  <c r="AK1673" i="1"/>
  <c r="AI1673" i="1"/>
  <c r="AH1673" i="1"/>
  <c r="AG1673" i="1"/>
  <c r="AE1673" i="1"/>
  <c r="AD1673" i="1"/>
  <c r="AC1673" i="1"/>
  <c r="AA1673" i="1"/>
  <c r="Z1673" i="1"/>
  <c r="Y1673" i="1"/>
  <c r="V1673" i="1"/>
  <c r="W1673" i="1" s="1"/>
  <c r="U1673" i="1"/>
  <c r="R1673" i="1"/>
  <c r="S1673" i="1" s="1"/>
  <c r="Q1673" i="1"/>
  <c r="N1673" i="1"/>
  <c r="O1673" i="1" s="1"/>
  <c r="M1673" i="1"/>
  <c r="J1673" i="1"/>
  <c r="I1673" i="1"/>
  <c r="F1673" i="1"/>
  <c r="G1673" i="1" s="1"/>
  <c r="E1673" i="1"/>
  <c r="BN1672" i="1"/>
  <c r="BL1672" i="1"/>
  <c r="BJ1672" i="1"/>
  <c r="BM1672" i="1" s="1"/>
  <c r="BI1672" i="1"/>
  <c r="BF1672" i="1"/>
  <c r="BE1672" i="1"/>
  <c r="BC1672" i="1"/>
  <c r="BB1672" i="1"/>
  <c r="BA1672" i="1"/>
  <c r="AY1672" i="1"/>
  <c r="AX1672" i="1"/>
  <c r="AW1672" i="1"/>
  <c r="AU1672" i="1"/>
  <c r="AT1672" i="1"/>
  <c r="AS1672" i="1"/>
  <c r="AP1672" i="1"/>
  <c r="AQ1672" i="1" s="1"/>
  <c r="AO1672" i="1"/>
  <c r="AL1672" i="1"/>
  <c r="AM1672" i="1" s="1"/>
  <c r="AK1672" i="1"/>
  <c r="AH1672" i="1"/>
  <c r="AI1672" i="1" s="1"/>
  <c r="AG1672" i="1"/>
  <c r="AD1672" i="1"/>
  <c r="AC1672" i="1"/>
  <c r="Z1672" i="1"/>
  <c r="AA1672" i="1" s="1"/>
  <c r="Y1672" i="1"/>
  <c r="W1672" i="1"/>
  <c r="V1672" i="1"/>
  <c r="U1672" i="1"/>
  <c r="S1672" i="1"/>
  <c r="R1672" i="1"/>
  <c r="Q1672" i="1"/>
  <c r="O1672" i="1"/>
  <c r="N1672" i="1"/>
  <c r="M1672" i="1"/>
  <c r="J1672" i="1"/>
  <c r="K1672" i="1" s="1"/>
  <c r="I1672" i="1"/>
  <c r="F1672" i="1"/>
  <c r="G1672" i="1" s="1"/>
  <c r="E1672" i="1"/>
  <c r="BN1671" i="1"/>
  <c r="BM1671" i="1"/>
  <c r="BL1671" i="1"/>
  <c r="BJ1671" i="1"/>
  <c r="BI1671" i="1"/>
  <c r="BF1671" i="1"/>
  <c r="BG1671" i="1" s="1"/>
  <c r="BE1671" i="1"/>
  <c r="BB1671" i="1"/>
  <c r="BC1671" i="1" s="1"/>
  <c r="BA1671" i="1"/>
  <c r="AX1671" i="1"/>
  <c r="AY1671" i="1" s="1"/>
  <c r="AW1671" i="1"/>
  <c r="AT1671" i="1"/>
  <c r="AS1671" i="1"/>
  <c r="AQ1671" i="1"/>
  <c r="AP1671" i="1"/>
  <c r="AO1671" i="1"/>
  <c r="AM1671" i="1"/>
  <c r="AL1671" i="1"/>
  <c r="AK1671" i="1"/>
  <c r="AI1671" i="1"/>
  <c r="AH1671" i="1"/>
  <c r="AG1671" i="1"/>
  <c r="AD1671" i="1"/>
  <c r="AE1671" i="1" s="1"/>
  <c r="AC1671" i="1"/>
  <c r="Z1671" i="1"/>
  <c r="AA1671" i="1" s="1"/>
  <c r="Y1671" i="1"/>
  <c r="V1671" i="1"/>
  <c r="W1671" i="1" s="1"/>
  <c r="U1671" i="1"/>
  <c r="R1671" i="1"/>
  <c r="S1671" i="1" s="1"/>
  <c r="Q1671" i="1"/>
  <c r="N1671" i="1"/>
  <c r="M1671" i="1"/>
  <c r="K1671" i="1"/>
  <c r="J1671" i="1"/>
  <c r="I1671" i="1"/>
  <c r="G1671" i="1"/>
  <c r="F1671" i="1"/>
  <c r="E1671" i="1"/>
  <c r="BN1670" i="1"/>
  <c r="BM1670" i="1" s="1"/>
  <c r="BL1670" i="1"/>
  <c r="BJ1670" i="1"/>
  <c r="BI1670" i="1"/>
  <c r="BG1670" i="1"/>
  <c r="BF1670" i="1"/>
  <c r="BE1670" i="1"/>
  <c r="BC1670" i="1"/>
  <c r="BB1670" i="1"/>
  <c r="BA1670" i="1"/>
  <c r="AX1670" i="1"/>
  <c r="AY1670" i="1" s="1"/>
  <c r="AW1670" i="1"/>
  <c r="AT1670" i="1"/>
  <c r="AU1670" i="1" s="1"/>
  <c r="AS1670" i="1"/>
  <c r="AP1670" i="1"/>
  <c r="AQ1670" i="1" s="1"/>
  <c r="AO1670" i="1"/>
  <c r="AL1670" i="1"/>
  <c r="AK1670" i="1"/>
  <c r="AH1670" i="1"/>
  <c r="AI1670" i="1" s="1"/>
  <c r="AG1670" i="1"/>
  <c r="AE1670" i="1"/>
  <c r="AD1670" i="1"/>
  <c r="AC1670" i="1"/>
  <c r="AA1670" i="1"/>
  <c r="Z1670" i="1"/>
  <c r="Y1670" i="1"/>
  <c r="W1670" i="1"/>
  <c r="V1670" i="1"/>
  <c r="U1670" i="1"/>
  <c r="R1670" i="1"/>
  <c r="S1670" i="1" s="1"/>
  <c r="Q1670" i="1"/>
  <c r="N1670" i="1"/>
  <c r="O1670" i="1" s="1"/>
  <c r="M1670" i="1"/>
  <c r="J1670" i="1"/>
  <c r="K1670" i="1" s="1"/>
  <c r="I1670" i="1"/>
  <c r="F1670" i="1"/>
  <c r="G1670" i="1" s="1"/>
  <c r="E1670" i="1"/>
  <c r="BN1669" i="1"/>
  <c r="BL1669" i="1"/>
  <c r="BJ1669" i="1"/>
  <c r="BM1669" i="1" s="1"/>
  <c r="BI1669" i="1"/>
  <c r="BF1669" i="1"/>
  <c r="BE1669" i="1"/>
  <c r="BB1669" i="1"/>
  <c r="BC1669" i="1" s="1"/>
  <c r="BA1669" i="1"/>
  <c r="AY1669" i="1"/>
  <c r="AX1669" i="1"/>
  <c r="AW1669" i="1"/>
  <c r="AU1669" i="1"/>
  <c r="AT1669" i="1"/>
  <c r="AS1669" i="1"/>
  <c r="AQ1669" i="1"/>
  <c r="AP1669" i="1"/>
  <c r="AO1669" i="1"/>
  <c r="AL1669" i="1"/>
  <c r="AM1669" i="1" s="1"/>
  <c r="AK1669" i="1"/>
  <c r="AH1669" i="1"/>
  <c r="AI1669" i="1" s="1"/>
  <c r="AG1669" i="1"/>
  <c r="AD1669" i="1"/>
  <c r="AE1669" i="1" s="1"/>
  <c r="AC1669" i="1"/>
  <c r="Z1669" i="1"/>
  <c r="Y1669" i="1"/>
  <c r="V1669" i="1"/>
  <c r="W1669" i="1" s="1"/>
  <c r="U1669" i="1"/>
  <c r="S1669" i="1"/>
  <c r="R1669" i="1"/>
  <c r="Q1669" i="1"/>
  <c r="O1669" i="1"/>
  <c r="N1669" i="1"/>
  <c r="M1669" i="1"/>
  <c r="K1669" i="1"/>
  <c r="J1669" i="1"/>
  <c r="I1669" i="1"/>
  <c r="F1669" i="1"/>
  <c r="G1669" i="1" s="1"/>
  <c r="E1669" i="1"/>
  <c r="BN1668" i="1"/>
  <c r="BM1668" i="1"/>
  <c r="BL1668" i="1"/>
  <c r="BJ1668" i="1"/>
  <c r="BI1668" i="1"/>
  <c r="BF1668" i="1"/>
  <c r="BG1668" i="1" s="1"/>
  <c r="BE1668" i="1"/>
  <c r="BB1668" i="1"/>
  <c r="BC1668" i="1" s="1"/>
  <c r="BA1668" i="1"/>
  <c r="AX1668" i="1"/>
  <c r="AY1668" i="1" s="1"/>
  <c r="AW1668" i="1"/>
  <c r="AT1668" i="1"/>
  <c r="AU1668" i="1" s="1"/>
  <c r="AS1668" i="1"/>
  <c r="AP1668" i="1"/>
  <c r="AO1668" i="1"/>
  <c r="AM1668" i="1"/>
  <c r="AL1668" i="1"/>
  <c r="AK1668" i="1"/>
  <c r="AI1668" i="1"/>
  <c r="AH1668" i="1"/>
  <c r="AG1668" i="1"/>
  <c r="AE1668" i="1"/>
  <c r="AD1668" i="1"/>
  <c r="AC1668" i="1"/>
  <c r="Z1668" i="1"/>
  <c r="AA1668" i="1" s="1"/>
  <c r="Y1668" i="1"/>
  <c r="V1668" i="1"/>
  <c r="W1668" i="1" s="1"/>
  <c r="U1668" i="1"/>
  <c r="R1668" i="1"/>
  <c r="S1668" i="1" s="1"/>
  <c r="Q1668" i="1"/>
  <c r="N1668" i="1"/>
  <c r="M1668" i="1"/>
  <c r="J1668" i="1"/>
  <c r="K1668" i="1" s="1"/>
  <c r="I1668" i="1"/>
  <c r="G1668" i="1"/>
  <c r="F1668" i="1"/>
  <c r="E1668" i="1"/>
  <c r="BN1667" i="1"/>
  <c r="BL1667" i="1"/>
  <c r="BJ1667" i="1"/>
  <c r="BM1667" i="1" s="1"/>
  <c r="BI1667" i="1"/>
  <c r="BG1667" i="1"/>
  <c r="BF1667" i="1"/>
  <c r="BE1667" i="1"/>
  <c r="BC1667" i="1"/>
  <c r="BB1667" i="1"/>
  <c r="BA1667" i="1"/>
  <c r="AY1667" i="1"/>
  <c r="AX1667" i="1"/>
  <c r="AW1667" i="1"/>
  <c r="AT1667" i="1"/>
  <c r="AU1667" i="1" s="1"/>
  <c r="AS1667" i="1"/>
  <c r="AP1667" i="1"/>
  <c r="AQ1667" i="1" s="1"/>
  <c r="AO1667" i="1"/>
  <c r="AL1667" i="1"/>
  <c r="AM1667" i="1" s="1"/>
  <c r="AK1667" i="1"/>
  <c r="AI1667" i="1"/>
  <c r="AH1667" i="1"/>
  <c r="AG1667" i="1"/>
  <c r="AD1667" i="1"/>
  <c r="AC1667" i="1"/>
  <c r="Z1667" i="1"/>
  <c r="Y1667" i="1"/>
  <c r="W1667" i="1"/>
  <c r="V1667" i="1"/>
  <c r="U1667" i="1"/>
  <c r="S1667" i="1"/>
  <c r="R1667" i="1"/>
  <c r="Q1667" i="1"/>
  <c r="N1667" i="1"/>
  <c r="O1667" i="1" s="1"/>
  <c r="M1667" i="1"/>
  <c r="J1667" i="1"/>
  <c r="K1667" i="1" s="1"/>
  <c r="I1667" i="1"/>
  <c r="F1667" i="1"/>
  <c r="E1667" i="1"/>
  <c r="BN1666" i="1"/>
  <c r="BL1666" i="1"/>
  <c r="BJ1666" i="1"/>
  <c r="BM1666" i="1" s="1"/>
  <c r="BI1666" i="1"/>
  <c r="BF1666" i="1"/>
  <c r="BE1666" i="1"/>
  <c r="BC1666" i="1"/>
  <c r="BB1666" i="1"/>
  <c r="BA1666" i="1"/>
  <c r="AX1666" i="1"/>
  <c r="AY1666" i="1" s="1"/>
  <c r="AW1666" i="1"/>
  <c r="AT1666" i="1"/>
  <c r="AS1666" i="1"/>
  <c r="AQ1666" i="1"/>
  <c r="AP1666" i="1"/>
  <c r="AO1666" i="1"/>
  <c r="AL1666" i="1"/>
  <c r="AM1666" i="1" s="1"/>
  <c r="AK1666" i="1"/>
  <c r="AH1666" i="1"/>
  <c r="AG1666" i="1"/>
  <c r="AD1666" i="1"/>
  <c r="AE1666" i="1" s="1"/>
  <c r="AC1666" i="1"/>
  <c r="Z1666" i="1"/>
  <c r="AA1666" i="1" s="1"/>
  <c r="Y1666" i="1"/>
  <c r="V1666" i="1"/>
  <c r="W1666" i="1" s="1"/>
  <c r="U1666" i="1"/>
  <c r="S1666" i="1"/>
  <c r="R1666" i="1"/>
  <c r="Q1666" i="1"/>
  <c r="O1666" i="1"/>
  <c r="N1666" i="1"/>
  <c r="M1666" i="1"/>
  <c r="K1666" i="1"/>
  <c r="J1666" i="1"/>
  <c r="I1666" i="1"/>
  <c r="F1666" i="1"/>
  <c r="G1666" i="1" s="1"/>
  <c r="E1666" i="1"/>
  <c r="BN1665" i="1"/>
  <c r="BM1665" i="1"/>
  <c r="BL1665" i="1"/>
  <c r="BJ1665" i="1"/>
  <c r="BI1665" i="1"/>
  <c r="BF1665" i="1"/>
  <c r="BG1665" i="1" s="1"/>
  <c r="BE1665" i="1"/>
  <c r="BB1665" i="1"/>
  <c r="BC1665" i="1" s="1"/>
  <c r="BA1665" i="1"/>
  <c r="AX1665" i="1"/>
  <c r="AW1665" i="1"/>
  <c r="AU1665" i="1"/>
  <c r="AT1665" i="1"/>
  <c r="AS1665" i="1"/>
  <c r="AP1665" i="1"/>
  <c r="AQ1665" i="1" s="1"/>
  <c r="AO1665" i="1"/>
  <c r="AL1665" i="1"/>
  <c r="AM1665" i="1" s="1"/>
  <c r="AK1665" i="1"/>
  <c r="AH1665" i="1"/>
  <c r="AG1665" i="1"/>
  <c r="AE1665" i="1"/>
  <c r="AD1665" i="1"/>
  <c r="AC1665" i="1"/>
  <c r="AA1665" i="1"/>
  <c r="Z1665" i="1"/>
  <c r="Y1665" i="1"/>
  <c r="V1665" i="1"/>
  <c r="W1665" i="1" s="1"/>
  <c r="U1665" i="1"/>
  <c r="R1665" i="1"/>
  <c r="S1665" i="1" s="1"/>
  <c r="Q1665" i="1"/>
  <c r="O1665" i="1"/>
  <c r="N1665" i="1"/>
  <c r="M1665" i="1"/>
  <c r="J1665" i="1"/>
  <c r="K1665" i="1" s="1"/>
  <c r="I1665" i="1"/>
  <c r="F1665" i="1"/>
  <c r="G1665" i="1" s="1"/>
  <c r="E1665" i="1"/>
  <c r="BN1664" i="1"/>
  <c r="BL1664" i="1"/>
  <c r="BJ1664" i="1"/>
  <c r="BM1664" i="1" s="1"/>
  <c r="BI1664" i="1"/>
  <c r="BF1664" i="1"/>
  <c r="BG1664" i="1" s="1"/>
  <c r="BE1664" i="1"/>
  <c r="BB1664" i="1"/>
  <c r="BC1664" i="1" s="1"/>
  <c r="BA1664" i="1"/>
  <c r="AY1664" i="1"/>
  <c r="AX1664" i="1"/>
  <c r="AW1664" i="1"/>
  <c r="AU1664" i="1"/>
  <c r="AT1664" i="1"/>
  <c r="AS1664" i="1"/>
  <c r="AP1664" i="1"/>
  <c r="AQ1664" i="1" s="1"/>
  <c r="AO1664" i="1"/>
  <c r="AL1664" i="1"/>
  <c r="AM1664" i="1" s="1"/>
  <c r="AK1664" i="1"/>
  <c r="AI1664" i="1"/>
  <c r="AH1664" i="1"/>
  <c r="AG1664" i="1"/>
  <c r="AD1664" i="1"/>
  <c r="AE1664" i="1" s="1"/>
  <c r="AC1664" i="1"/>
  <c r="Z1664" i="1"/>
  <c r="AA1664" i="1" s="1"/>
  <c r="Y1664" i="1"/>
  <c r="V1664" i="1"/>
  <c r="U1664" i="1"/>
  <c r="S1664" i="1"/>
  <c r="R1664" i="1"/>
  <c r="Q1664" i="1"/>
  <c r="O1664" i="1"/>
  <c r="N1664" i="1"/>
  <c r="M1664" i="1"/>
  <c r="J1664" i="1"/>
  <c r="K1664" i="1" s="1"/>
  <c r="I1664" i="1"/>
  <c r="F1664" i="1"/>
  <c r="G1664" i="1" s="1"/>
  <c r="E1664" i="1"/>
  <c r="BN1663" i="1"/>
  <c r="BL1663" i="1"/>
  <c r="BJ1663" i="1"/>
  <c r="BM1663" i="1" s="1"/>
  <c r="BI1663" i="1"/>
  <c r="BF1663" i="1"/>
  <c r="BG1663" i="1" s="1"/>
  <c r="BE1663" i="1"/>
  <c r="BC1663" i="1"/>
  <c r="BB1663" i="1"/>
  <c r="BA1663" i="1"/>
  <c r="AX1663" i="1"/>
  <c r="AY1663" i="1" s="1"/>
  <c r="AW1663" i="1"/>
  <c r="AT1663" i="1"/>
  <c r="AU1663" i="1" s="1"/>
  <c r="AS1663" i="1"/>
  <c r="AP1663" i="1"/>
  <c r="AO1663" i="1"/>
  <c r="AM1663" i="1"/>
  <c r="AL1663" i="1"/>
  <c r="AK1663" i="1"/>
  <c r="AI1663" i="1"/>
  <c r="AH1663" i="1"/>
  <c r="AG1663" i="1"/>
  <c r="AD1663" i="1"/>
  <c r="AE1663" i="1" s="1"/>
  <c r="AC1663" i="1"/>
  <c r="Z1663" i="1"/>
  <c r="AA1663" i="1" s="1"/>
  <c r="Y1663" i="1"/>
  <c r="W1663" i="1"/>
  <c r="V1663" i="1"/>
  <c r="U1663" i="1"/>
  <c r="R1663" i="1"/>
  <c r="S1663" i="1" s="1"/>
  <c r="Q1663" i="1"/>
  <c r="N1663" i="1"/>
  <c r="O1663" i="1" s="1"/>
  <c r="M1663" i="1"/>
  <c r="J1663" i="1"/>
  <c r="I1663" i="1"/>
  <c r="G1663" i="1"/>
  <c r="F1663" i="1"/>
  <c r="E1663" i="1"/>
  <c r="BN1662" i="1"/>
  <c r="BM1662" i="1" s="1"/>
  <c r="BL1662" i="1"/>
  <c r="BJ1662" i="1"/>
  <c r="BI1662" i="1"/>
  <c r="BG1662" i="1"/>
  <c r="BF1662" i="1"/>
  <c r="BE1662" i="1"/>
  <c r="BC1662" i="1"/>
  <c r="BB1662" i="1"/>
  <c r="BA1662" i="1"/>
  <c r="AX1662" i="1"/>
  <c r="AY1662" i="1" s="1"/>
  <c r="AW1662" i="1"/>
  <c r="AT1662" i="1"/>
  <c r="AU1662" i="1" s="1"/>
  <c r="AS1662" i="1"/>
  <c r="AQ1662" i="1"/>
  <c r="AP1662" i="1"/>
  <c r="AO1662" i="1"/>
  <c r="AL1662" i="1"/>
  <c r="AM1662" i="1" s="1"/>
  <c r="AK1662" i="1"/>
  <c r="AH1662" i="1"/>
  <c r="AI1662" i="1" s="1"/>
  <c r="AG1662" i="1"/>
  <c r="AD1662" i="1"/>
  <c r="AE1662" i="1" s="1"/>
  <c r="AC1662" i="1"/>
  <c r="AA1662" i="1"/>
  <c r="Z1662" i="1"/>
  <c r="Y1662" i="1"/>
  <c r="W1662" i="1"/>
  <c r="V1662" i="1"/>
  <c r="U1662" i="1"/>
  <c r="R1662" i="1"/>
  <c r="S1662" i="1" s="1"/>
  <c r="Q1662" i="1"/>
  <c r="N1662" i="1"/>
  <c r="O1662" i="1" s="1"/>
  <c r="M1662" i="1"/>
  <c r="K1662" i="1"/>
  <c r="J1662" i="1"/>
  <c r="I1662" i="1"/>
  <c r="F1662" i="1"/>
  <c r="G1662" i="1" s="1"/>
  <c r="E1662" i="1"/>
  <c r="BN1661" i="1"/>
  <c r="BM1661" i="1"/>
  <c r="BL1661" i="1"/>
  <c r="BJ1661" i="1"/>
  <c r="BI1661" i="1"/>
  <c r="BF1661" i="1"/>
  <c r="BG1661" i="1" s="1"/>
  <c r="BE1661" i="1"/>
  <c r="BB1661" i="1"/>
  <c r="BC1661" i="1" s="1"/>
  <c r="BA1661" i="1"/>
  <c r="AX1661" i="1"/>
  <c r="AW1661" i="1"/>
  <c r="AU1661" i="1"/>
  <c r="AT1661" i="1"/>
  <c r="AS1661" i="1"/>
  <c r="AQ1661" i="1"/>
  <c r="AP1661" i="1"/>
  <c r="AO1661" i="1"/>
  <c r="AL1661" i="1"/>
  <c r="AM1661" i="1" s="1"/>
  <c r="AK1661" i="1"/>
  <c r="AH1661" i="1"/>
  <c r="AI1661" i="1" s="1"/>
  <c r="AG1661" i="1"/>
  <c r="AE1661" i="1"/>
  <c r="AD1661" i="1"/>
  <c r="AC1661" i="1"/>
  <c r="Z1661" i="1"/>
  <c r="AA1661" i="1" s="1"/>
  <c r="Y1661" i="1"/>
  <c r="V1661" i="1"/>
  <c r="W1661" i="1" s="1"/>
  <c r="U1661" i="1"/>
  <c r="R1661" i="1"/>
  <c r="S1661" i="1" s="1"/>
  <c r="Q1661" i="1"/>
  <c r="O1661" i="1"/>
  <c r="N1661" i="1"/>
  <c r="M1661" i="1"/>
  <c r="K1661" i="1"/>
  <c r="J1661" i="1"/>
  <c r="I1661" i="1"/>
  <c r="F1661" i="1"/>
  <c r="G1661" i="1" s="1"/>
  <c r="E1661" i="1"/>
  <c r="BN1660" i="1"/>
  <c r="BL1660" i="1"/>
  <c r="BJ1660" i="1"/>
  <c r="BM1660" i="1" s="1"/>
  <c r="BI1660" i="1"/>
  <c r="BF1660" i="1"/>
  <c r="BG1660" i="1" s="1"/>
  <c r="BE1660" i="1"/>
  <c r="BB1660" i="1"/>
  <c r="BC1660" i="1" s="1"/>
  <c r="BA1660" i="1"/>
  <c r="AY1660" i="1"/>
  <c r="AX1660" i="1"/>
  <c r="AW1660" i="1"/>
  <c r="AT1660" i="1"/>
  <c r="AU1660" i="1" s="1"/>
  <c r="AS1660" i="1"/>
  <c r="AP1660" i="1"/>
  <c r="AQ1660" i="1" s="1"/>
  <c r="AO1660" i="1"/>
  <c r="AL1660" i="1"/>
  <c r="AK1660" i="1"/>
  <c r="AI1660" i="1"/>
  <c r="AH1660" i="1"/>
  <c r="AG1660" i="1"/>
  <c r="AE1660" i="1"/>
  <c r="AD1660" i="1"/>
  <c r="AC1660" i="1"/>
  <c r="Z1660" i="1"/>
  <c r="AA1660" i="1" s="1"/>
  <c r="Y1660" i="1"/>
  <c r="V1660" i="1"/>
  <c r="W1660" i="1" s="1"/>
  <c r="U1660" i="1"/>
  <c r="S1660" i="1"/>
  <c r="R1660" i="1"/>
  <c r="Q1660" i="1"/>
  <c r="N1660" i="1"/>
  <c r="O1660" i="1" s="1"/>
  <c r="M1660" i="1"/>
  <c r="J1660" i="1"/>
  <c r="K1660" i="1" s="1"/>
  <c r="I1660" i="1"/>
  <c r="F1660" i="1"/>
  <c r="E1660" i="1"/>
  <c r="BN1659" i="1"/>
  <c r="BL1659" i="1"/>
  <c r="BJ1659" i="1"/>
  <c r="BM1659" i="1" s="1"/>
  <c r="BI1659" i="1"/>
  <c r="BF1659" i="1"/>
  <c r="BG1659" i="1" s="1"/>
  <c r="BE1659" i="1"/>
  <c r="BC1659" i="1"/>
  <c r="BB1659" i="1"/>
  <c r="BA1659" i="1"/>
  <c r="AY1659" i="1"/>
  <c r="AX1659" i="1"/>
  <c r="AW1659" i="1"/>
  <c r="AT1659" i="1"/>
  <c r="AU1659" i="1" s="1"/>
  <c r="AS1659" i="1"/>
  <c r="AP1659" i="1"/>
  <c r="AQ1659" i="1" s="1"/>
  <c r="AO1659" i="1"/>
  <c r="AM1659" i="1"/>
  <c r="AL1659" i="1"/>
  <c r="AK1659" i="1"/>
  <c r="AH1659" i="1"/>
  <c r="AI1659" i="1" s="1"/>
  <c r="AG1659" i="1"/>
  <c r="AD1659" i="1"/>
  <c r="AE1659" i="1" s="1"/>
  <c r="AC1659" i="1"/>
  <c r="Z1659" i="1"/>
  <c r="Y1659" i="1"/>
  <c r="W1659" i="1"/>
  <c r="V1659" i="1"/>
  <c r="U1659" i="1"/>
  <c r="S1659" i="1"/>
  <c r="R1659" i="1"/>
  <c r="Q1659" i="1"/>
  <c r="N1659" i="1"/>
  <c r="O1659" i="1" s="1"/>
  <c r="M1659" i="1"/>
  <c r="J1659" i="1"/>
  <c r="K1659" i="1" s="1"/>
  <c r="I1659" i="1"/>
  <c r="G1659" i="1"/>
  <c r="F1659" i="1"/>
  <c r="E1659" i="1"/>
  <c r="BN1658" i="1"/>
  <c r="BM1658" i="1"/>
  <c r="BL1658" i="1"/>
  <c r="BJ1658" i="1"/>
  <c r="BI1658" i="1"/>
  <c r="BG1658" i="1"/>
  <c r="BF1658" i="1"/>
  <c r="BE1658" i="1"/>
  <c r="BB1658" i="1"/>
  <c r="BC1658" i="1" s="1"/>
  <c r="BA1658" i="1"/>
  <c r="AX1658" i="1"/>
  <c r="AY1658" i="1" s="1"/>
  <c r="AW1658" i="1"/>
  <c r="AT1658" i="1"/>
  <c r="AU1658" i="1" s="1"/>
  <c r="AS1658" i="1"/>
  <c r="AQ1658" i="1"/>
  <c r="AP1658" i="1"/>
  <c r="AO1658" i="1"/>
  <c r="AM1658" i="1"/>
  <c r="AL1658" i="1"/>
  <c r="AK1658" i="1"/>
  <c r="AH1658" i="1"/>
  <c r="AI1658" i="1" s="1"/>
  <c r="AG1658" i="1"/>
  <c r="AD1658" i="1"/>
  <c r="AE1658" i="1" s="1"/>
  <c r="AC1658" i="1"/>
  <c r="AA1658" i="1"/>
  <c r="Z1658" i="1"/>
  <c r="Y1658" i="1"/>
  <c r="V1658" i="1"/>
  <c r="W1658" i="1" s="1"/>
  <c r="U1658" i="1"/>
  <c r="R1658" i="1"/>
  <c r="S1658" i="1" s="1"/>
  <c r="Q1658" i="1"/>
  <c r="N1658" i="1"/>
  <c r="O1658" i="1" s="1"/>
  <c r="M1658" i="1"/>
  <c r="K1658" i="1"/>
  <c r="J1658" i="1"/>
  <c r="I1658" i="1"/>
  <c r="G1658" i="1"/>
  <c r="F1658" i="1"/>
  <c r="E1658" i="1"/>
  <c r="BN1657" i="1"/>
  <c r="BM1657" i="1"/>
  <c r="BL1657" i="1"/>
  <c r="BK1657" i="1"/>
  <c r="BJ1657" i="1"/>
  <c r="BI1657" i="1"/>
  <c r="BH1657" i="1"/>
  <c r="BF1657" i="1"/>
  <c r="BG1657" i="1" s="1"/>
  <c r="BD1657" i="1"/>
  <c r="BE1657" i="1" s="1"/>
  <c r="BB1657" i="1"/>
  <c r="BC1657" i="1" s="1"/>
  <c r="BA1657" i="1"/>
  <c r="AZ1657" i="1"/>
  <c r="AX1657" i="1"/>
  <c r="AY1657" i="1" s="1"/>
  <c r="AW1657" i="1"/>
  <c r="AU1657" i="1"/>
  <c r="AT1657" i="1"/>
  <c r="AS1657" i="1"/>
  <c r="AQ1657" i="1"/>
  <c r="AP1657" i="1"/>
  <c r="AO1657" i="1"/>
  <c r="AL1657" i="1"/>
  <c r="AM1657" i="1" s="1"/>
  <c r="AK1657" i="1"/>
  <c r="AH1657" i="1"/>
  <c r="AI1657" i="1" s="1"/>
  <c r="AG1657" i="1"/>
  <c r="AF1657" i="1"/>
  <c r="AD1657" i="1"/>
  <c r="AE1657" i="1" s="1"/>
  <c r="AB1657" i="1"/>
  <c r="AC1657" i="1" s="1"/>
  <c r="Z1657" i="1"/>
  <c r="AA1657" i="1" s="1"/>
  <c r="Y1657" i="1"/>
  <c r="X1657" i="1"/>
  <c r="V1657" i="1"/>
  <c r="W1657" i="1" s="1"/>
  <c r="T1657" i="1"/>
  <c r="U1657" i="1" s="1"/>
  <c r="R1657" i="1"/>
  <c r="S1657" i="1" s="1"/>
  <c r="Q1657" i="1"/>
  <c r="O1657" i="1"/>
  <c r="N1657" i="1"/>
  <c r="M1657" i="1"/>
  <c r="J1657" i="1"/>
  <c r="K1657" i="1" s="1"/>
  <c r="I1657" i="1"/>
  <c r="F1657" i="1"/>
  <c r="G1657" i="1" s="1"/>
  <c r="E1657" i="1"/>
  <c r="BN1656" i="1"/>
  <c r="BM1656" i="1"/>
  <c r="BK1656" i="1"/>
  <c r="BL1656" i="1" s="1"/>
  <c r="BJ1656" i="1"/>
  <c r="BH1656" i="1"/>
  <c r="BI1656" i="1" s="1"/>
  <c r="BG1656" i="1"/>
  <c r="BF1656" i="1"/>
  <c r="BD1656" i="1"/>
  <c r="BE1656" i="1" s="1"/>
  <c r="BC1656" i="1"/>
  <c r="BB1656" i="1"/>
  <c r="AZ1656" i="1"/>
  <c r="BA1656" i="1" s="1"/>
  <c r="AY1656" i="1"/>
  <c r="AX1656" i="1"/>
  <c r="AW1656" i="1"/>
  <c r="AT1656" i="1"/>
  <c r="AU1656" i="1" s="1"/>
  <c r="AS1656" i="1"/>
  <c r="AP1656" i="1"/>
  <c r="AQ1656" i="1" s="1"/>
  <c r="AO1656" i="1"/>
  <c r="AL1656" i="1"/>
  <c r="AM1656" i="1" s="1"/>
  <c r="AK1656" i="1"/>
  <c r="AI1656" i="1"/>
  <c r="AH1656" i="1"/>
  <c r="AF1656" i="1"/>
  <c r="AG1656" i="1" s="1"/>
  <c r="AE1656" i="1"/>
  <c r="AD1656" i="1"/>
  <c r="AB1656" i="1"/>
  <c r="AC1656" i="1" s="1"/>
  <c r="AA1656" i="1"/>
  <c r="Z1656" i="1"/>
  <c r="X1656" i="1"/>
  <c r="Y1656" i="1" s="1"/>
  <c r="W1656" i="1"/>
  <c r="V1656" i="1"/>
  <c r="T1656" i="1"/>
  <c r="U1656" i="1" s="1"/>
  <c r="S1656" i="1"/>
  <c r="R1656" i="1"/>
  <c r="Q1656" i="1"/>
  <c r="O1656" i="1"/>
  <c r="N1656" i="1"/>
  <c r="M1656" i="1"/>
  <c r="J1656" i="1"/>
  <c r="K1656" i="1" s="1"/>
  <c r="I1656" i="1"/>
  <c r="F1656" i="1"/>
  <c r="G1656" i="1" s="1"/>
  <c r="E1656" i="1"/>
  <c r="BN1655" i="1"/>
  <c r="BK1655" i="1"/>
  <c r="BL1655" i="1" s="1"/>
  <c r="BJ1655" i="1"/>
  <c r="BM1655" i="1" s="1"/>
  <c r="BH1655" i="1"/>
  <c r="BI1655" i="1" s="1"/>
  <c r="BG1655" i="1"/>
  <c r="BF1655" i="1"/>
  <c r="BD1655" i="1"/>
  <c r="BE1655" i="1" s="1"/>
  <c r="BB1655" i="1"/>
  <c r="BC1655" i="1" s="1"/>
  <c r="AZ1655" i="1"/>
  <c r="BA1655" i="1" s="1"/>
  <c r="AY1655" i="1"/>
  <c r="AX1655" i="1"/>
  <c r="AW1655" i="1"/>
  <c r="AT1655" i="1"/>
  <c r="AU1655" i="1" s="1"/>
  <c r="AS1655" i="1"/>
  <c r="AP1655" i="1"/>
  <c r="AQ1655" i="1" s="1"/>
  <c r="AO1655" i="1"/>
  <c r="AM1655" i="1"/>
  <c r="AL1655" i="1"/>
  <c r="AK1655" i="1"/>
  <c r="AH1655" i="1"/>
  <c r="AI1655" i="1" s="1"/>
  <c r="AF1655" i="1"/>
  <c r="AG1655" i="1" s="1"/>
  <c r="AE1655" i="1"/>
  <c r="AD1655" i="1"/>
  <c r="AB1655" i="1"/>
  <c r="AC1655" i="1" s="1"/>
  <c r="Z1655" i="1"/>
  <c r="AA1655" i="1" s="1"/>
  <c r="X1655" i="1"/>
  <c r="Y1655" i="1" s="1"/>
  <c r="W1655" i="1"/>
  <c r="V1655" i="1"/>
  <c r="T1655" i="1"/>
  <c r="U1655" i="1" s="1"/>
  <c r="R1655" i="1"/>
  <c r="S1655" i="1" s="1"/>
  <c r="Q1655" i="1"/>
  <c r="N1655" i="1"/>
  <c r="O1655" i="1" s="1"/>
  <c r="M1655" i="1"/>
  <c r="J1655" i="1"/>
  <c r="I1655" i="1"/>
  <c r="G1655" i="1"/>
  <c r="F1655" i="1"/>
  <c r="E1655" i="1"/>
  <c r="BN1654" i="1"/>
  <c r="BM1654" i="1" s="1"/>
  <c r="BL1654" i="1"/>
  <c r="BJ1654" i="1"/>
  <c r="BI1654" i="1"/>
  <c r="BG1654" i="1"/>
  <c r="BF1654" i="1"/>
  <c r="BE1654" i="1"/>
  <c r="BC1654" i="1"/>
  <c r="BB1654" i="1"/>
  <c r="BA1654" i="1"/>
  <c r="AX1654" i="1"/>
  <c r="AY1654" i="1" s="1"/>
  <c r="AW1654" i="1"/>
  <c r="AT1654" i="1"/>
  <c r="AU1654" i="1" s="1"/>
  <c r="AS1654" i="1"/>
  <c r="AQ1654" i="1"/>
  <c r="AP1654" i="1"/>
  <c r="AO1654" i="1"/>
  <c r="AL1654" i="1"/>
  <c r="AM1654" i="1" s="1"/>
  <c r="AK1654" i="1"/>
  <c r="AH1654" i="1"/>
  <c r="AI1654" i="1" s="1"/>
  <c r="AG1654" i="1"/>
  <c r="AD1654" i="1"/>
  <c r="AC1654" i="1"/>
  <c r="AA1654" i="1"/>
  <c r="Z1654" i="1"/>
  <c r="Y1654" i="1"/>
  <c r="W1654" i="1"/>
  <c r="V1654" i="1"/>
  <c r="U1654" i="1"/>
  <c r="R1654" i="1"/>
  <c r="S1654" i="1" s="1"/>
  <c r="Q1654" i="1"/>
  <c r="N1654" i="1"/>
  <c r="O1654" i="1" s="1"/>
  <c r="M1654" i="1"/>
  <c r="K1654" i="1"/>
  <c r="J1654" i="1"/>
  <c r="I1654" i="1"/>
  <c r="F1654" i="1"/>
  <c r="G1654" i="1" s="1"/>
  <c r="E1654" i="1"/>
  <c r="BN1653" i="1"/>
  <c r="BM1653" i="1"/>
  <c r="BL1653" i="1"/>
  <c r="BJ1653" i="1"/>
  <c r="BI1653" i="1"/>
  <c r="BF1653" i="1"/>
  <c r="BG1653" i="1" s="1"/>
  <c r="BE1653" i="1"/>
  <c r="BB1653" i="1"/>
  <c r="BC1653" i="1" s="1"/>
  <c r="BA1653" i="1"/>
  <c r="AZ1653" i="1"/>
  <c r="AX1653" i="1"/>
  <c r="AY1653" i="1" s="1"/>
  <c r="AW1653" i="1"/>
  <c r="AT1653" i="1"/>
  <c r="AU1653" i="1" s="1"/>
  <c r="AS1653" i="1"/>
  <c r="AQ1653" i="1"/>
  <c r="AP1653" i="1"/>
  <c r="AO1653" i="1"/>
  <c r="AL1653" i="1"/>
  <c r="AM1653" i="1" s="1"/>
  <c r="AK1653" i="1"/>
  <c r="AH1653" i="1"/>
  <c r="AI1653" i="1" s="1"/>
  <c r="AG1653" i="1"/>
  <c r="AD1653" i="1"/>
  <c r="AB1653" i="1"/>
  <c r="AC1653" i="1" s="1"/>
  <c r="Z1653" i="1"/>
  <c r="AA1653" i="1" s="1"/>
  <c r="Y1653" i="1"/>
  <c r="X1653" i="1"/>
  <c r="V1653" i="1"/>
  <c r="W1653" i="1" s="1"/>
  <c r="T1653" i="1"/>
  <c r="U1653" i="1" s="1"/>
  <c r="R1653" i="1"/>
  <c r="S1653" i="1" s="1"/>
  <c r="Q1653" i="1"/>
  <c r="O1653" i="1"/>
  <c r="N1653" i="1"/>
  <c r="M1653" i="1"/>
  <c r="J1653" i="1"/>
  <c r="K1653" i="1" s="1"/>
  <c r="I1653" i="1"/>
  <c r="F1653" i="1"/>
  <c r="G1653" i="1" s="1"/>
  <c r="E1653" i="1"/>
  <c r="BN1652" i="1"/>
  <c r="BL1652" i="1"/>
  <c r="BJ1652" i="1"/>
  <c r="BM1652" i="1" s="1"/>
  <c r="BI1652" i="1"/>
  <c r="BF1652" i="1"/>
  <c r="BG1652" i="1" s="1"/>
  <c r="BE1652" i="1"/>
  <c r="BB1652" i="1"/>
  <c r="AZ1652" i="1"/>
  <c r="BA1652" i="1" s="1"/>
  <c r="AX1652" i="1"/>
  <c r="AY1652" i="1" s="1"/>
  <c r="AW1652" i="1"/>
  <c r="AU1652" i="1"/>
  <c r="AT1652" i="1"/>
  <c r="AS1652" i="1"/>
  <c r="AP1652" i="1"/>
  <c r="AQ1652" i="1" s="1"/>
  <c r="AO1652" i="1"/>
  <c r="AL1652" i="1"/>
  <c r="AM1652" i="1" s="1"/>
  <c r="AK1652" i="1"/>
  <c r="AH1652" i="1"/>
  <c r="AI1652" i="1" s="1"/>
  <c r="AG1652" i="1"/>
  <c r="AE1652" i="1"/>
  <c r="AD1652" i="1"/>
  <c r="AB1652" i="1"/>
  <c r="AC1652" i="1" s="1"/>
  <c r="AA1652" i="1"/>
  <c r="Z1652" i="1"/>
  <c r="X1652" i="1"/>
  <c r="Y1652" i="1" s="1"/>
  <c r="W1652" i="1"/>
  <c r="V1652" i="1"/>
  <c r="T1652" i="1"/>
  <c r="U1652" i="1" s="1"/>
  <c r="S1652" i="1"/>
  <c r="R1652" i="1"/>
  <c r="Q1652" i="1"/>
  <c r="N1652" i="1"/>
  <c r="O1652" i="1" s="1"/>
  <c r="M1652" i="1"/>
  <c r="J1652" i="1"/>
  <c r="K1652" i="1" s="1"/>
  <c r="I1652" i="1"/>
  <c r="F1652" i="1"/>
  <c r="G1652" i="1" s="1"/>
  <c r="E1652" i="1"/>
  <c r="BN1651" i="1"/>
  <c r="BL1651" i="1"/>
  <c r="BJ1651" i="1"/>
  <c r="BM1651" i="1" s="1"/>
  <c r="BI1651" i="1"/>
  <c r="BF1651" i="1"/>
  <c r="BG1651" i="1" s="1"/>
  <c r="BE1651" i="1"/>
  <c r="BC1651" i="1"/>
  <c r="BB1651" i="1"/>
  <c r="AZ1651" i="1"/>
  <c r="BA1651" i="1" s="1"/>
  <c r="AY1651" i="1"/>
  <c r="AX1651" i="1"/>
  <c r="AW1651" i="1"/>
  <c r="AT1651" i="1"/>
  <c r="AU1651" i="1" s="1"/>
  <c r="AS1651" i="1"/>
  <c r="AP1651" i="1"/>
  <c r="AQ1651" i="1" s="1"/>
  <c r="AO1651" i="1"/>
  <c r="AL1651" i="1"/>
  <c r="AJ1651" i="1"/>
  <c r="AK1651" i="1" s="1"/>
  <c r="AH1651" i="1"/>
  <c r="AI1651" i="1" s="1"/>
  <c r="AG1651" i="1"/>
  <c r="AF1651" i="1"/>
  <c r="AD1651" i="1"/>
  <c r="AE1651" i="1" s="1"/>
  <c r="AB1651" i="1"/>
  <c r="AC1651" i="1" s="1"/>
  <c r="Z1651" i="1"/>
  <c r="AA1651" i="1" s="1"/>
  <c r="Y1651" i="1"/>
  <c r="X1651" i="1"/>
  <c r="V1651" i="1"/>
  <c r="W1651" i="1" s="1"/>
  <c r="T1651" i="1"/>
  <c r="U1651" i="1" s="1"/>
  <c r="R1651" i="1"/>
  <c r="S1651" i="1" s="1"/>
  <c r="Q1651" i="1"/>
  <c r="O1651" i="1"/>
  <c r="N1651" i="1"/>
  <c r="M1651" i="1"/>
  <c r="J1651" i="1"/>
  <c r="K1651" i="1" s="1"/>
  <c r="I1651" i="1"/>
  <c r="F1651" i="1"/>
  <c r="G1651" i="1" s="1"/>
  <c r="E1651" i="1"/>
  <c r="BN1650" i="1"/>
  <c r="BL1650" i="1"/>
  <c r="BJ1650" i="1"/>
  <c r="BM1650" i="1" s="1"/>
  <c r="BI1650" i="1"/>
  <c r="BF1650" i="1"/>
  <c r="BG1650" i="1" s="1"/>
  <c r="BE1650" i="1"/>
  <c r="BB1650" i="1"/>
  <c r="BA1650" i="1"/>
  <c r="AY1650" i="1"/>
  <c r="AX1650" i="1"/>
  <c r="AW1650" i="1"/>
  <c r="AU1650" i="1"/>
  <c r="AT1650" i="1"/>
  <c r="AS1650" i="1"/>
  <c r="AP1650" i="1"/>
  <c r="AQ1650" i="1" s="1"/>
  <c r="AO1650" i="1"/>
  <c r="AL1650" i="1"/>
  <c r="AM1650" i="1" s="1"/>
  <c r="AK1650" i="1"/>
  <c r="AI1650" i="1"/>
  <c r="AH1650" i="1"/>
  <c r="AG1650" i="1"/>
  <c r="AD1650" i="1"/>
  <c r="AE1650" i="1" s="1"/>
  <c r="AC1650" i="1"/>
  <c r="Z1650" i="1"/>
  <c r="AA1650" i="1" s="1"/>
  <c r="Y1650" i="1"/>
  <c r="V1650" i="1"/>
  <c r="W1650" i="1" s="1"/>
  <c r="U1650" i="1"/>
  <c r="S1650" i="1"/>
  <c r="R1650" i="1"/>
  <c r="Q1650" i="1"/>
  <c r="O1650" i="1"/>
  <c r="N1650" i="1"/>
  <c r="M1650" i="1"/>
  <c r="J1650" i="1"/>
  <c r="K1650" i="1" s="1"/>
  <c r="I1650" i="1"/>
  <c r="F1650" i="1"/>
  <c r="G1650" i="1" s="1"/>
  <c r="E1650" i="1"/>
  <c r="BN1649" i="1"/>
  <c r="BL1649" i="1"/>
  <c r="BJ1649" i="1"/>
  <c r="BM1649" i="1" s="1"/>
  <c r="BI1649" i="1"/>
  <c r="BF1649" i="1"/>
  <c r="BG1649" i="1" s="1"/>
  <c r="BE1649" i="1"/>
  <c r="BC1649" i="1"/>
  <c r="BB1649" i="1"/>
  <c r="BA1649" i="1"/>
  <c r="AX1649" i="1"/>
  <c r="AY1649" i="1" s="1"/>
  <c r="AW1649" i="1"/>
  <c r="AT1649" i="1"/>
  <c r="AU1649" i="1" s="1"/>
  <c r="AS1649" i="1"/>
  <c r="AP1649" i="1"/>
  <c r="AQ1649" i="1" s="1"/>
  <c r="AO1649" i="1"/>
  <c r="AM1649" i="1"/>
  <c r="AL1649" i="1"/>
  <c r="AK1649" i="1"/>
  <c r="AI1649" i="1"/>
  <c r="AH1649" i="1"/>
  <c r="AF1649" i="1"/>
  <c r="AG1649" i="1" s="1"/>
  <c r="AD1649" i="1"/>
  <c r="AE1649" i="1" s="1"/>
  <c r="AC1649" i="1"/>
  <c r="Z1649" i="1"/>
  <c r="AA1649" i="1" s="1"/>
  <c r="Y1649" i="1"/>
  <c r="V1649" i="1"/>
  <c r="U1649" i="1"/>
  <c r="S1649" i="1"/>
  <c r="R1649" i="1"/>
  <c r="Q1649" i="1"/>
  <c r="O1649" i="1"/>
  <c r="N1649" i="1"/>
  <c r="M1649" i="1"/>
  <c r="J1649" i="1"/>
  <c r="K1649" i="1" s="1"/>
  <c r="I1649" i="1"/>
  <c r="F1649" i="1"/>
  <c r="G1649" i="1" s="1"/>
  <c r="E1649" i="1"/>
  <c r="BN1648" i="1"/>
  <c r="BL1648" i="1"/>
  <c r="BJ1648" i="1"/>
  <c r="BM1648" i="1" s="1"/>
  <c r="BI1648" i="1"/>
  <c r="BF1648" i="1"/>
  <c r="BG1648" i="1" s="1"/>
  <c r="BE1648" i="1"/>
  <c r="BC1648" i="1"/>
  <c r="BB1648" i="1"/>
  <c r="BA1648" i="1"/>
  <c r="AX1648" i="1"/>
  <c r="AY1648" i="1" s="1"/>
  <c r="AW1648" i="1"/>
  <c r="AT1648" i="1"/>
  <c r="AU1648" i="1" s="1"/>
  <c r="AS1648" i="1"/>
  <c r="AP1648" i="1"/>
  <c r="AQ1648" i="1" s="1"/>
  <c r="AO1648" i="1"/>
  <c r="AM1648" i="1"/>
  <c r="AL1648" i="1"/>
  <c r="AK1648" i="1"/>
  <c r="AI1648" i="1"/>
  <c r="AH1648" i="1"/>
  <c r="AF1648" i="1"/>
  <c r="AG1648" i="1" s="1"/>
  <c r="AD1648" i="1"/>
  <c r="AE1648" i="1" s="1"/>
  <c r="AC1648" i="1"/>
  <c r="Z1648" i="1"/>
  <c r="AA1648" i="1" s="1"/>
  <c r="Y1648" i="1"/>
  <c r="V1648" i="1"/>
  <c r="U1648" i="1"/>
  <c r="S1648" i="1"/>
  <c r="R1648" i="1"/>
  <c r="Q1648" i="1"/>
  <c r="O1648" i="1"/>
  <c r="N1648" i="1"/>
  <c r="M1648" i="1"/>
  <c r="J1648" i="1"/>
  <c r="K1648" i="1" s="1"/>
  <c r="I1648" i="1"/>
  <c r="F1648" i="1"/>
  <c r="G1648" i="1" s="1"/>
  <c r="E1648" i="1"/>
  <c r="BN1647" i="1"/>
  <c r="BL1647" i="1"/>
  <c r="BJ1647" i="1"/>
  <c r="BM1647" i="1" s="1"/>
  <c r="BI1647" i="1"/>
  <c r="BF1647" i="1"/>
  <c r="BG1647" i="1" s="1"/>
  <c r="BE1647" i="1"/>
  <c r="BC1647" i="1"/>
  <c r="BB1647" i="1"/>
  <c r="BA1647" i="1"/>
  <c r="AX1647" i="1"/>
  <c r="AY1647" i="1" s="1"/>
  <c r="AW1647" i="1"/>
  <c r="AT1647" i="1"/>
  <c r="AU1647" i="1" s="1"/>
  <c r="AS1647" i="1"/>
  <c r="AP1647" i="1"/>
  <c r="AO1647" i="1"/>
  <c r="AM1647" i="1"/>
  <c r="AL1647" i="1"/>
  <c r="AK1647" i="1"/>
  <c r="AI1647" i="1"/>
  <c r="AH1647" i="1"/>
  <c r="AF1647" i="1"/>
  <c r="AG1647" i="1" s="1"/>
  <c r="AD1647" i="1"/>
  <c r="AE1647" i="1" s="1"/>
  <c r="AC1647" i="1"/>
  <c r="Z1647" i="1"/>
  <c r="AA1647" i="1" s="1"/>
  <c r="Y1647" i="1"/>
  <c r="V1647" i="1"/>
  <c r="U1647" i="1"/>
  <c r="S1647" i="1"/>
  <c r="R1647" i="1"/>
  <c r="Q1647" i="1"/>
  <c r="O1647" i="1"/>
  <c r="N1647" i="1"/>
  <c r="M1647" i="1"/>
  <c r="J1647" i="1"/>
  <c r="K1647" i="1" s="1"/>
  <c r="I1647" i="1"/>
  <c r="F1647" i="1"/>
  <c r="G1647" i="1" s="1"/>
  <c r="E1647" i="1"/>
  <c r="BN1646" i="1"/>
  <c r="BL1646" i="1"/>
  <c r="BJ1646" i="1"/>
  <c r="BM1646" i="1" s="1"/>
  <c r="BI1646" i="1"/>
  <c r="BF1646" i="1"/>
  <c r="BG1646" i="1" s="1"/>
  <c r="BE1646" i="1"/>
  <c r="BC1646" i="1"/>
  <c r="BB1646" i="1"/>
  <c r="BA1646" i="1"/>
  <c r="AX1646" i="1"/>
  <c r="AY1646" i="1" s="1"/>
  <c r="AW1646" i="1"/>
  <c r="AT1646" i="1"/>
  <c r="AU1646" i="1" s="1"/>
  <c r="AS1646" i="1"/>
  <c r="AP1646" i="1"/>
  <c r="AQ1646" i="1" s="1"/>
  <c r="AO1646" i="1"/>
  <c r="AM1646" i="1"/>
  <c r="AL1646" i="1"/>
  <c r="AK1646" i="1"/>
  <c r="AI1646" i="1"/>
  <c r="AH1646" i="1"/>
  <c r="AG1646" i="1"/>
  <c r="AD1646" i="1"/>
  <c r="AE1646" i="1" s="1"/>
  <c r="AC1646" i="1"/>
  <c r="Z1646" i="1"/>
  <c r="AA1646" i="1" s="1"/>
  <c r="Y1646" i="1"/>
  <c r="W1646" i="1"/>
  <c r="V1646" i="1"/>
  <c r="U1646" i="1"/>
  <c r="R1646" i="1"/>
  <c r="S1646" i="1" s="1"/>
  <c r="Q1646" i="1"/>
  <c r="N1646" i="1"/>
  <c r="O1646" i="1" s="1"/>
  <c r="M1646" i="1"/>
  <c r="J1646" i="1"/>
  <c r="I1646" i="1"/>
  <c r="G1646" i="1"/>
  <c r="F1646" i="1"/>
  <c r="E1646" i="1"/>
  <c r="BN1645" i="1"/>
  <c r="BM1645" i="1" s="1"/>
  <c r="BL1645" i="1"/>
  <c r="BJ1645" i="1"/>
  <c r="BI1645" i="1"/>
  <c r="BG1645" i="1"/>
  <c r="BF1645" i="1"/>
  <c r="BE1645" i="1"/>
  <c r="BC1645" i="1"/>
  <c r="BB1645" i="1"/>
  <c r="BA1645" i="1"/>
  <c r="AX1645" i="1"/>
  <c r="AY1645" i="1" s="1"/>
  <c r="AW1645" i="1"/>
  <c r="AT1645" i="1"/>
  <c r="AU1645" i="1" s="1"/>
  <c r="AS1645" i="1"/>
  <c r="AQ1645" i="1"/>
  <c r="AP1645" i="1"/>
  <c r="AO1645" i="1"/>
  <c r="AL1645" i="1"/>
  <c r="AM1645" i="1" s="1"/>
  <c r="AK1645" i="1"/>
  <c r="AH1645" i="1"/>
  <c r="AI1645" i="1" s="1"/>
  <c r="AG1645" i="1"/>
  <c r="AD1645" i="1"/>
  <c r="AC1645" i="1"/>
  <c r="AA1645" i="1"/>
  <c r="Z1645" i="1"/>
  <c r="Y1645" i="1"/>
  <c r="W1645" i="1"/>
  <c r="V1645" i="1"/>
  <c r="U1645" i="1"/>
  <c r="R1645" i="1"/>
  <c r="S1645" i="1" s="1"/>
  <c r="Q1645" i="1"/>
  <c r="N1645" i="1"/>
  <c r="O1645" i="1" s="1"/>
  <c r="M1645" i="1"/>
  <c r="K1645" i="1"/>
  <c r="J1645" i="1"/>
  <c r="I1645" i="1"/>
  <c r="F1645" i="1"/>
  <c r="G1645" i="1" s="1"/>
  <c r="E1645" i="1"/>
  <c r="BN1644" i="1"/>
  <c r="BM1644" i="1"/>
  <c r="BL1644" i="1"/>
  <c r="BJ1644" i="1"/>
  <c r="BI1644" i="1"/>
  <c r="BF1644" i="1"/>
  <c r="BG1644" i="1" s="1"/>
  <c r="BE1644" i="1"/>
  <c r="BB1644" i="1"/>
  <c r="BC1644" i="1" s="1"/>
  <c r="BA1644" i="1"/>
  <c r="AX1644" i="1"/>
  <c r="AW1644" i="1"/>
  <c r="AU1644" i="1"/>
  <c r="AT1644" i="1"/>
  <c r="AS1644" i="1"/>
  <c r="AQ1644" i="1"/>
  <c r="AP1644" i="1"/>
  <c r="AO1644" i="1"/>
  <c r="AL1644" i="1"/>
  <c r="AM1644" i="1" s="1"/>
  <c r="AK1644" i="1"/>
  <c r="AH1644" i="1"/>
  <c r="AI1644" i="1" s="1"/>
  <c r="AG1644" i="1"/>
  <c r="AE1644" i="1"/>
  <c r="AD1644" i="1"/>
  <c r="AC1644" i="1"/>
  <c r="Z1644" i="1"/>
  <c r="AA1644" i="1" s="1"/>
  <c r="Y1644" i="1"/>
  <c r="V1644" i="1"/>
  <c r="W1644" i="1" s="1"/>
  <c r="U1644" i="1"/>
  <c r="R1644" i="1"/>
  <c r="Q1644" i="1"/>
  <c r="O1644" i="1"/>
  <c r="N1644" i="1"/>
  <c r="M1644" i="1"/>
  <c r="K1644" i="1"/>
  <c r="J1644" i="1"/>
  <c r="I1644" i="1"/>
  <c r="F1644" i="1"/>
  <c r="G1644" i="1" s="1"/>
  <c r="E1644" i="1"/>
  <c r="BN1643" i="1"/>
  <c r="BL1643" i="1"/>
  <c r="BJ1643" i="1"/>
  <c r="BM1643" i="1" s="1"/>
  <c r="BI1643" i="1"/>
  <c r="BF1643" i="1"/>
  <c r="BG1643" i="1" s="1"/>
  <c r="BE1643" i="1"/>
  <c r="BB1643" i="1"/>
  <c r="BC1643" i="1" s="1"/>
  <c r="BA1643" i="1"/>
  <c r="AY1643" i="1"/>
  <c r="AX1643" i="1"/>
  <c r="AW1643" i="1"/>
  <c r="AT1643" i="1"/>
  <c r="AU1643" i="1" s="1"/>
  <c r="AS1643" i="1"/>
  <c r="AP1643" i="1"/>
  <c r="AQ1643" i="1" s="1"/>
  <c r="AO1643" i="1"/>
  <c r="AL1643" i="1"/>
  <c r="AK1643" i="1"/>
  <c r="AI1643" i="1"/>
  <c r="AH1643" i="1"/>
  <c r="AG1643" i="1"/>
  <c r="AE1643" i="1"/>
  <c r="AD1643" i="1"/>
  <c r="AC1643" i="1"/>
  <c r="Z1643" i="1"/>
  <c r="AA1643" i="1" s="1"/>
  <c r="Y1643" i="1"/>
  <c r="V1643" i="1"/>
  <c r="W1643" i="1" s="1"/>
  <c r="U1643" i="1"/>
  <c r="S1643" i="1"/>
  <c r="R1643" i="1"/>
  <c r="Q1643" i="1"/>
  <c r="N1643" i="1"/>
  <c r="O1643" i="1" s="1"/>
  <c r="M1643" i="1"/>
  <c r="J1643" i="1"/>
  <c r="K1643" i="1" s="1"/>
  <c r="I1643" i="1"/>
  <c r="F1643" i="1"/>
  <c r="G1643" i="1" s="1"/>
  <c r="E1643" i="1"/>
  <c r="BN1642" i="1"/>
  <c r="BL1642" i="1"/>
  <c r="BJ1642" i="1"/>
  <c r="BM1642" i="1" s="1"/>
  <c r="BI1642" i="1"/>
  <c r="BF1642" i="1"/>
  <c r="BE1642" i="1"/>
  <c r="BC1642" i="1"/>
  <c r="BB1642" i="1"/>
  <c r="BA1642" i="1"/>
  <c r="AY1642" i="1"/>
  <c r="AX1642" i="1"/>
  <c r="AW1642" i="1"/>
  <c r="AT1642" i="1"/>
  <c r="AU1642" i="1" s="1"/>
  <c r="AS1642" i="1"/>
  <c r="AP1642" i="1"/>
  <c r="AQ1642" i="1" s="1"/>
  <c r="AO1642" i="1"/>
  <c r="AM1642" i="1"/>
  <c r="AL1642" i="1"/>
  <c r="AK1642" i="1"/>
  <c r="AH1642" i="1"/>
  <c r="AI1642" i="1" s="1"/>
  <c r="AG1642" i="1"/>
  <c r="AD1642" i="1"/>
  <c r="AE1642" i="1" s="1"/>
  <c r="AC1642" i="1"/>
  <c r="Z1642" i="1"/>
  <c r="Y1642" i="1"/>
  <c r="W1642" i="1"/>
  <c r="V1642" i="1"/>
  <c r="U1642" i="1"/>
  <c r="S1642" i="1"/>
  <c r="R1642" i="1"/>
  <c r="Q1642" i="1"/>
  <c r="N1642" i="1"/>
  <c r="O1642" i="1" s="1"/>
  <c r="M1642" i="1"/>
  <c r="J1642" i="1"/>
  <c r="K1642" i="1" s="1"/>
  <c r="I1642" i="1"/>
  <c r="G1642" i="1"/>
  <c r="F1642" i="1"/>
  <c r="E1642" i="1"/>
  <c r="BN1641" i="1"/>
  <c r="BM1641" i="1"/>
  <c r="BL1641" i="1"/>
  <c r="BJ1641" i="1"/>
  <c r="BI1641" i="1"/>
  <c r="BG1641" i="1"/>
  <c r="BF1641" i="1"/>
  <c r="BE1641" i="1"/>
  <c r="BB1641" i="1"/>
  <c r="BC1641" i="1" s="1"/>
  <c r="BA1641" i="1"/>
  <c r="AX1641" i="1"/>
  <c r="AY1641" i="1" s="1"/>
  <c r="AW1641" i="1"/>
  <c r="AT1641" i="1"/>
  <c r="AS1641" i="1"/>
  <c r="AQ1641" i="1"/>
  <c r="AP1641" i="1"/>
  <c r="AO1641" i="1"/>
  <c r="AM1641" i="1"/>
  <c r="AL1641" i="1"/>
  <c r="AK1641" i="1"/>
  <c r="AH1641" i="1"/>
  <c r="AI1641" i="1" s="1"/>
  <c r="AG1641" i="1"/>
  <c r="AD1641" i="1"/>
  <c r="AE1641" i="1" s="1"/>
  <c r="AC1641" i="1"/>
  <c r="AA1641" i="1"/>
  <c r="Z1641" i="1"/>
  <c r="Y1641" i="1"/>
  <c r="V1641" i="1"/>
  <c r="W1641" i="1" s="1"/>
  <c r="U1641" i="1"/>
  <c r="R1641" i="1"/>
  <c r="S1641" i="1" s="1"/>
  <c r="Q1641" i="1"/>
  <c r="N1641" i="1"/>
  <c r="M1641" i="1"/>
  <c r="K1641" i="1"/>
  <c r="J1641" i="1"/>
  <c r="I1641" i="1"/>
  <c r="G1641" i="1"/>
  <c r="F1641" i="1"/>
  <c r="E1641" i="1"/>
  <c r="BN1640" i="1"/>
  <c r="BM1640" i="1"/>
  <c r="BL1640" i="1"/>
  <c r="BJ1640" i="1"/>
  <c r="BI1640" i="1"/>
  <c r="BG1640" i="1"/>
  <c r="BF1640" i="1"/>
  <c r="BE1640" i="1"/>
  <c r="BB1640" i="1"/>
  <c r="BC1640" i="1" s="1"/>
  <c r="BA1640" i="1"/>
  <c r="AX1640" i="1"/>
  <c r="AY1640" i="1" s="1"/>
  <c r="AW1640" i="1"/>
  <c r="AU1640" i="1"/>
  <c r="AT1640" i="1"/>
  <c r="AS1640" i="1"/>
  <c r="AP1640" i="1"/>
  <c r="AQ1640" i="1" s="1"/>
  <c r="AO1640" i="1"/>
  <c r="AL1640" i="1"/>
  <c r="AM1640" i="1" s="1"/>
  <c r="AK1640" i="1"/>
  <c r="AH1640" i="1"/>
  <c r="AI1640" i="1" s="1"/>
  <c r="AG1640" i="1"/>
  <c r="AE1640" i="1"/>
  <c r="AD1640" i="1"/>
  <c r="AC1640" i="1"/>
  <c r="AA1640" i="1"/>
  <c r="Z1640" i="1"/>
  <c r="Y1640" i="1"/>
  <c r="V1640" i="1"/>
  <c r="W1640" i="1" s="1"/>
  <c r="U1640" i="1"/>
  <c r="R1640" i="1"/>
  <c r="S1640" i="1" s="1"/>
  <c r="Q1640" i="1"/>
  <c r="O1640" i="1"/>
  <c r="N1640" i="1"/>
  <c r="M1640" i="1"/>
  <c r="J1640" i="1"/>
  <c r="K1640" i="1" s="1"/>
  <c r="I1640" i="1"/>
  <c r="F1640" i="1"/>
  <c r="G1640" i="1" s="1"/>
  <c r="E1640" i="1"/>
  <c r="BN1639" i="1"/>
  <c r="BL1639" i="1"/>
  <c r="BJ1639" i="1"/>
  <c r="BM1639" i="1" s="1"/>
  <c r="BI1639" i="1"/>
  <c r="BF1639" i="1"/>
  <c r="BG1639" i="1" s="1"/>
  <c r="BE1639" i="1"/>
  <c r="BB1639" i="1"/>
  <c r="BC1639" i="1" s="1"/>
  <c r="BA1639" i="1"/>
  <c r="AY1639" i="1"/>
  <c r="AX1639" i="1"/>
  <c r="AW1639" i="1"/>
  <c r="AU1639" i="1"/>
  <c r="AT1639" i="1"/>
  <c r="AS1639" i="1"/>
  <c r="AP1639" i="1"/>
  <c r="AQ1639" i="1" s="1"/>
  <c r="AO1639" i="1"/>
  <c r="AL1639" i="1"/>
  <c r="AM1639" i="1" s="1"/>
  <c r="AK1639" i="1"/>
  <c r="AI1639" i="1"/>
  <c r="AH1639" i="1"/>
  <c r="AG1639" i="1"/>
  <c r="AD1639" i="1"/>
  <c r="AE1639" i="1" s="1"/>
  <c r="AC1639" i="1"/>
  <c r="Z1639" i="1"/>
  <c r="AA1639" i="1" s="1"/>
  <c r="Y1639" i="1"/>
  <c r="V1639" i="1"/>
  <c r="U1639" i="1"/>
  <c r="S1639" i="1"/>
  <c r="R1639" i="1"/>
  <c r="Q1639" i="1"/>
  <c r="O1639" i="1"/>
  <c r="N1639" i="1"/>
  <c r="M1639" i="1"/>
  <c r="J1639" i="1"/>
  <c r="K1639" i="1" s="1"/>
  <c r="I1639" i="1"/>
  <c r="F1639" i="1"/>
  <c r="G1639" i="1" s="1"/>
  <c r="E1639" i="1"/>
  <c r="BN1638" i="1"/>
  <c r="BL1638" i="1"/>
  <c r="BJ1638" i="1"/>
  <c r="BM1638" i="1" s="1"/>
  <c r="BI1638" i="1"/>
  <c r="BF1638" i="1"/>
  <c r="BG1638" i="1" s="1"/>
  <c r="BE1638" i="1"/>
  <c r="BC1638" i="1"/>
  <c r="BB1638" i="1"/>
  <c r="BA1638" i="1"/>
  <c r="AX1638" i="1"/>
  <c r="AY1638" i="1" s="1"/>
  <c r="AW1638" i="1"/>
  <c r="AT1638" i="1"/>
  <c r="AU1638" i="1" s="1"/>
  <c r="AS1638" i="1"/>
  <c r="AP1638" i="1"/>
  <c r="AO1638" i="1"/>
  <c r="AM1638" i="1"/>
  <c r="AL1638" i="1"/>
  <c r="AK1638" i="1"/>
  <c r="AI1638" i="1"/>
  <c r="AH1638" i="1"/>
  <c r="AG1638" i="1"/>
  <c r="AD1638" i="1"/>
  <c r="AE1638" i="1" s="1"/>
  <c r="AC1638" i="1"/>
  <c r="Z1638" i="1"/>
  <c r="AA1638" i="1" s="1"/>
  <c r="Y1638" i="1"/>
  <c r="W1638" i="1"/>
  <c r="V1638" i="1"/>
  <c r="U1638" i="1"/>
  <c r="R1638" i="1"/>
  <c r="S1638" i="1" s="1"/>
  <c r="Q1638" i="1"/>
  <c r="N1638" i="1"/>
  <c r="O1638" i="1" s="1"/>
  <c r="M1638" i="1"/>
  <c r="J1638" i="1"/>
  <c r="K1638" i="1" s="1"/>
  <c r="I1638" i="1"/>
  <c r="G1638" i="1"/>
  <c r="F1638" i="1"/>
  <c r="E1638" i="1"/>
  <c r="BN1637" i="1"/>
  <c r="BM1637" i="1" s="1"/>
  <c r="BL1637" i="1"/>
  <c r="BJ1637" i="1"/>
  <c r="BI1637" i="1"/>
  <c r="BG1637" i="1"/>
  <c r="BF1637" i="1"/>
  <c r="BE1637" i="1"/>
  <c r="BC1637" i="1"/>
  <c r="BB1637" i="1"/>
  <c r="AZ1637" i="1"/>
  <c r="BA1637" i="1" s="1"/>
  <c r="AX1637" i="1"/>
  <c r="AY1637" i="1" s="1"/>
  <c r="AV1637" i="1"/>
  <c r="AW1637" i="1" s="1"/>
  <c r="AU1637" i="1"/>
  <c r="AT1637" i="1"/>
  <c r="AR1637" i="1"/>
  <c r="AS1637" i="1" s="1"/>
  <c r="AP1637" i="1"/>
  <c r="AQ1637" i="1" s="1"/>
  <c r="AN1637" i="1"/>
  <c r="AO1637" i="1" s="1"/>
  <c r="AM1637" i="1"/>
  <c r="AL1637" i="1"/>
  <c r="AJ1637" i="1"/>
  <c r="AK1637" i="1" s="1"/>
  <c r="AH1637" i="1"/>
  <c r="AI1637" i="1" s="1"/>
  <c r="AF1637" i="1"/>
  <c r="AG1637" i="1" s="1"/>
  <c r="AE1637" i="1"/>
  <c r="AD1637" i="1"/>
  <c r="AB1637" i="1"/>
  <c r="AC1637" i="1" s="1"/>
  <c r="Z1637" i="1"/>
  <c r="AA1637" i="1" s="1"/>
  <c r="X1637" i="1"/>
  <c r="Y1637" i="1" s="1"/>
  <c r="W1637" i="1"/>
  <c r="V1637" i="1"/>
  <c r="T1637" i="1"/>
  <c r="U1637" i="1" s="1"/>
  <c r="R1637" i="1"/>
  <c r="S1637" i="1" s="1"/>
  <c r="P1637" i="1"/>
  <c r="Q1637" i="1" s="1"/>
  <c r="O1637" i="1"/>
  <c r="N1637" i="1"/>
  <c r="L1637" i="1"/>
  <c r="M1637" i="1" s="1"/>
  <c r="J1637" i="1"/>
  <c r="K1637" i="1" s="1"/>
  <c r="H1637" i="1"/>
  <c r="I1637" i="1" s="1"/>
  <c r="G1637" i="1"/>
  <c r="F1637" i="1"/>
  <c r="D1637" i="1"/>
  <c r="E1637" i="1" s="1"/>
  <c r="BN1636" i="1"/>
  <c r="BM1636" i="1"/>
  <c r="BL1636" i="1"/>
  <c r="BJ1636" i="1"/>
  <c r="BI1636" i="1"/>
  <c r="BG1636" i="1"/>
  <c r="BF1636" i="1"/>
  <c r="BE1636" i="1"/>
  <c r="BB1636" i="1"/>
  <c r="BC1636" i="1" s="1"/>
  <c r="AZ1636" i="1"/>
  <c r="BA1636" i="1" s="1"/>
  <c r="AY1636" i="1"/>
  <c r="AX1636" i="1"/>
  <c r="AW1636" i="1"/>
  <c r="AT1636" i="1"/>
  <c r="AU1636" i="1" s="1"/>
  <c r="AS1636" i="1"/>
  <c r="AR1636" i="1"/>
  <c r="AP1636" i="1"/>
  <c r="AQ1636" i="1" s="1"/>
  <c r="AO1636" i="1"/>
  <c r="AN1636" i="1"/>
  <c r="AL1636" i="1"/>
  <c r="AK1636" i="1"/>
  <c r="AJ1636" i="1"/>
  <c r="AH1636" i="1"/>
  <c r="AI1636" i="1" s="1"/>
  <c r="AG1636" i="1"/>
  <c r="AF1636" i="1"/>
  <c r="AD1636" i="1"/>
  <c r="AC1636" i="1"/>
  <c r="AB1636" i="1"/>
  <c r="Z1636" i="1"/>
  <c r="AA1636" i="1" s="1"/>
  <c r="Y1636" i="1"/>
  <c r="X1636" i="1"/>
  <c r="V1636" i="1"/>
  <c r="U1636" i="1"/>
  <c r="T1636" i="1"/>
  <c r="R1636" i="1"/>
  <c r="S1636" i="1" s="1"/>
  <c r="Q1636" i="1"/>
  <c r="P1636" i="1"/>
  <c r="N1636" i="1"/>
  <c r="O1636" i="1" s="1"/>
  <c r="M1636" i="1"/>
  <c r="L1636" i="1"/>
  <c r="J1636" i="1"/>
  <c r="K1636" i="1" s="1"/>
  <c r="I1636" i="1"/>
  <c r="H1636" i="1"/>
  <c r="F1636" i="1"/>
  <c r="E1636" i="1"/>
  <c r="D1636" i="1"/>
  <c r="BN1635" i="1"/>
  <c r="BM1635" i="1"/>
  <c r="BL1635" i="1"/>
  <c r="BJ1635" i="1"/>
  <c r="BI1635" i="1"/>
  <c r="BF1635" i="1"/>
  <c r="BG1635" i="1" s="1"/>
  <c r="BE1635" i="1"/>
  <c r="BB1635" i="1"/>
  <c r="BC1635" i="1" s="1"/>
  <c r="BA1635" i="1"/>
  <c r="AZ1635" i="1"/>
  <c r="AX1635" i="1"/>
  <c r="AY1635" i="1" s="1"/>
  <c r="AW1635" i="1"/>
  <c r="AT1635" i="1"/>
  <c r="AU1635" i="1" s="1"/>
  <c r="AS1635" i="1"/>
  <c r="AR1635" i="1"/>
  <c r="AP1635" i="1"/>
  <c r="AQ1635" i="1" s="1"/>
  <c r="AN1635" i="1"/>
  <c r="AO1635" i="1" s="1"/>
  <c r="AL1635" i="1"/>
  <c r="AM1635" i="1" s="1"/>
  <c r="AK1635" i="1"/>
  <c r="AJ1635" i="1"/>
  <c r="AH1635" i="1"/>
  <c r="AI1635" i="1" s="1"/>
  <c r="AF1635" i="1"/>
  <c r="AG1635" i="1" s="1"/>
  <c r="AD1635" i="1"/>
  <c r="AE1635" i="1" s="1"/>
  <c r="AC1635" i="1"/>
  <c r="AB1635" i="1"/>
  <c r="Z1635" i="1"/>
  <c r="AA1635" i="1" s="1"/>
  <c r="X1635" i="1"/>
  <c r="Y1635" i="1" s="1"/>
  <c r="V1635" i="1"/>
  <c r="W1635" i="1" s="1"/>
  <c r="U1635" i="1"/>
  <c r="T1635" i="1"/>
  <c r="R1635" i="1"/>
  <c r="S1635" i="1" s="1"/>
  <c r="P1635" i="1"/>
  <c r="Q1635" i="1" s="1"/>
  <c r="N1635" i="1"/>
  <c r="O1635" i="1" s="1"/>
  <c r="M1635" i="1"/>
  <c r="L1635" i="1"/>
  <c r="J1635" i="1"/>
  <c r="K1635" i="1" s="1"/>
  <c r="H1635" i="1"/>
  <c r="I1635" i="1" s="1"/>
  <c r="F1635" i="1"/>
  <c r="G1635" i="1" s="1"/>
  <c r="E1635" i="1"/>
  <c r="D1635" i="1"/>
  <c r="BN1634" i="1"/>
  <c r="BL1634" i="1"/>
  <c r="BJ1634" i="1"/>
  <c r="BM1634" i="1" s="1"/>
  <c r="BI1634" i="1"/>
  <c r="BF1634" i="1"/>
  <c r="BG1634" i="1" s="1"/>
  <c r="BE1634" i="1"/>
  <c r="BB1634" i="1"/>
  <c r="BC1634" i="1" s="1"/>
  <c r="BA1634" i="1"/>
  <c r="AY1634" i="1"/>
  <c r="AX1634" i="1"/>
  <c r="AW1634" i="1"/>
  <c r="AU1634" i="1"/>
  <c r="AT1634" i="1"/>
  <c r="AS1634" i="1"/>
  <c r="AP1634" i="1"/>
  <c r="AQ1634" i="1" s="1"/>
  <c r="AO1634" i="1"/>
  <c r="AL1634" i="1"/>
  <c r="AM1634" i="1" s="1"/>
  <c r="AK1634" i="1"/>
  <c r="AI1634" i="1"/>
  <c r="AH1634" i="1"/>
  <c r="AG1634" i="1"/>
  <c r="AD1634" i="1"/>
  <c r="AE1634" i="1" s="1"/>
  <c r="AC1634" i="1"/>
  <c r="Z1634" i="1"/>
  <c r="AA1634" i="1" s="1"/>
  <c r="Y1634" i="1"/>
  <c r="V1634" i="1"/>
  <c r="U1634" i="1"/>
  <c r="S1634" i="1"/>
  <c r="R1634" i="1"/>
  <c r="Q1634" i="1"/>
  <c r="O1634" i="1"/>
  <c r="N1634" i="1"/>
  <c r="M1634" i="1"/>
  <c r="J1634" i="1"/>
  <c r="K1634" i="1" s="1"/>
  <c r="I1634" i="1"/>
  <c r="F1634" i="1"/>
  <c r="G1634" i="1" s="1"/>
  <c r="E1634" i="1"/>
  <c r="BN1633" i="1"/>
  <c r="BL1633" i="1"/>
  <c r="BJ1633" i="1"/>
  <c r="BM1633" i="1" s="1"/>
  <c r="BI1633" i="1"/>
  <c r="BF1633" i="1"/>
  <c r="BG1633" i="1" s="1"/>
  <c r="BE1633" i="1"/>
  <c r="BC1633" i="1"/>
  <c r="BB1633" i="1"/>
  <c r="BA1633" i="1"/>
  <c r="AX1633" i="1"/>
  <c r="AY1633" i="1" s="1"/>
  <c r="AW1633" i="1"/>
  <c r="AT1633" i="1"/>
  <c r="AU1633" i="1" s="1"/>
  <c r="AS1633" i="1"/>
  <c r="AP1633" i="1"/>
  <c r="AQ1633" i="1" s="1"/>
  <c r="AO1633" i="1"/>
  <c r="AM1633" i="1"/>
  <c r="AL1633" i="1"/>
  <c r="AK1633" i="1"/>
  <c r="AI1633" i="1"/>
  <c r="AH1633" i="1"/>
  <c r="AG1633" i="1"/>
  <c r="AD1633" i="1"/>
  <c r="AE1633" i="1" s="1"/>
  <c r="AC1633" i="1"/>
  <c r="Z1633" i="1"/>
  <c r="AA1633" i="1" s="1"/>
  <c r="Y1633" i="1"/>
  <c r="W1633" i="1"/>
  <c r="V1633" i="1"/>
  <c r="U1633" i="1"/>
  <c r="R1633" i="1"/>
  <c r="S1633" i="1" s="1"/>
  <c r="Q1633" i="1"/>
  <c r="N1633" i="1"/>
  <c r="O1633" i="1" s="1"/>
  <c r="M1633" i="1"/>
  <c r="J1633" i="1"/>
  <c r="K1633" i="1" s="1"/>
  <c r="I1633" i="1"/>
  <c r="G1633" i="1"/>
  <c r="F1633" i="1"/>
  <c r="E1633" i="1"/>
  <c r="BN1632" i="1"/>
  <c r="BM1632" i="1" s="1"/>
  <c r="BL1632" i="1"/>
  <c r="BJ1632" i="1"/>
  <c r="BI1632" i="1"/>
  <c r="BG1632" i="1"/>
  <c r="BF1632" i="1"/>
  <c r="BE1632" i="1"/>
  <c r="BC1632" i="1"/>
  <c r="BB1632" i="1"/>
  <c r="BA1632" i="1"/>
  <c r="AX1632" i="1"/>
  <c r="AY1632" i="1" s="1"/>
  <c r="AW1632" i="1"/>
  <c r="AT1632" i="1"/>
  <c r="AU1632" i="1" s="1"/>
  <c r="AS1632" i="1"/>
  <c r="AQ1632" i="1"/>
  <c r="AP1632" i="1"/>
  <c r="AO1632" i="1"/>
  <c r="AL1632" i="1"/>
  <c r="AM1632" i="1" s="1"/>
  <c r="AK1632" i="1"/>
  <c r="AH1632" i="1"/>
  <c r="AI1632" i="1" s="1"/>
  <c r="AG1632" i="1"/>
  <c r="AD1632" i="1"/>
  <c r="AC1632" i="1"/>
  <c r="AA1632" i="1"/>
  <c r="Z1632" i="1"/>
  <c r="Y1632" i="1"/>
  <c r="W1632" i="1"/>
  <c r="V1632" i="1"/>
  <c r="U1632" i="1"/>
  <c r="R1632" i="1"/>
  <c r="S1632" i="1" s="1"/>
  <c r="Q1632" i="1"/>
  <c r="N1632" i="1"/>
  <c r="O1632" i="1" s="1"/>
  <c r="M1632" i="1"/>
  <c r="K1632" i="1"/>
  <c r="J1632" i="1"/>
  <c r="I1632" i="1"/>
  <c r="F1632" i="1"/>
  <c r="G1632" i="1" s="1"/>
  <c r="E1632" i="1"/>
  <c r="BN1631" i="1"/>
  <c r="BM1631" i="1"/>
  <c r="BL1631" i="1"/>
  <c r="BJ1631" i="1"/>
  <c r="BI1631" i="1"/>
  <c r="BF1631" i="1"/>
  <c r="BG1631" i="1" s="1"/>
  <c r="BE1631" i="1"/>
  <c r="BB1631" i="1"/>
  <c r="BA1631" i="1"/>
  <c r="AX1631" i="1"/>
  <c r="AW1631" i="1"/>
  <c r="AU1631" i="1"/>
  <c r="AT1631" i="1"/>
  <c r="AS1631" i="1"/>
  <c r="AQ1631" i="1"/>
  <c r="AP1631" i="1"/>
  <c r="AO1631" i="1"/>
  <c r="AL1631" i="1"/>
  <c r="AM1631" i="1" s="1"/>
  <c r="AK1631" i="1"/>
  <c r="AH1631" i="1"/>
  <c r="AI1631" i="1" s="1"/>
  <c r="AG1631" i="1"/>
  <c r="AE1631" i="1"/>
  <c r="AD1631" i="1"/>
  <c r="AC1631" i="1"/>
  <c r="Z1631" i="1"/>
  <c r="AA1631" i="1" s="1"/>
  <c r="Y1631" i="1"/>
  <c r="V1631" i="1"/>
  <c r="W1631" i="1" s="1"/>
  <c r="U1631" i="1"/>
  <c r="R1631" i="1"/>
  <c r="Q1631" i="1"/>
  <c r="O1631" i="1"/>
  <c r="N1631" i="1"/>
  <c r="M1631" i="1"/>
  <c r="K1631" i="1"/>
  <c r="J1631" i="1"/>
  <c r="I1631" i="1"/>
  <c r="F1631" i="1"/>
  <c r="G1631" i="1" s="1"/>
  <c r="E1631" i="1"/>
  <c r="BN1630" i="1"/>
  <c r="BL1630" i="1"/>
  <c r="BJ1630" i="1"/>
  <c r="BM1630" i="1" s="1"/>
  <c r="BI1630" i="1"/>
  <c r="BF1630" i="1"/>
  <c r="BG1630" i="1" s="1"/>
  <c r="BE1630" i="1"/>
  <c r="BB1630" i="1"/>
  <c r="BC1630" i="1" s="1"/>
  <c r="BA1630" i="1"/>
  <c r="AY1630" i="1"/>
  <c r="AX1630" i="1"/>
  <c r="AW1630" i="1"/>
  <c r="AT1630" i="1"/>
  <c r="AU1630" i="1" s="1"/>
  <c r="AS1630" i="1"/>
  <c r="AP1630" i="1"/>
  <c r="AQ1630" i="1" s="1"/>
  <c r="AO1630" i="1"/>
  <c r="AL1630" i="1"/>
  <c r="AM1630" i="1" s="1"/>
  <c r="AK1630" i="1"/>
  <c r="AI1630" i="1"/>
  <c r="AH1630" i="1"/>
  <c r="AG1630" i="1"/>
  <c r="AE1630" i="1"/>
  <c r="AD1630" i="1"/>
  <c r="AC1630" i="1"/>
  <c r="Z1630" i="1"/>
  <c r="AA1630" i="1" s="1"/>
  <c r="Y1630" i="1"/>
  <c r="V1630" i="1"/>
  <c r="W1630" i="1" s="1"/>
  <c r="U1630" i="1"/>
  <c r="S1630" i="1"/>
  <c r="R1630" i="1"/>
  <c r="Q1630" i="1"/>
  <c r="N1630" i="1"/>
  <c r="O1630" i="1" s="1"/>
  <c r="M1630" i="1"/>
  <c r="J1630" i="1"/>
  <c r="K1630" i="1" s="1"/>
  <c r="I1630" i="1"/>
  <c r="F1630" i="1"/>
  <c r="E1630" i="1"/>
  <c r="BN1629" i="1"/>
  <c r="BL1629" i="1"/>
  <c r="BJ1629" i="1"/>
  <c r="BI1629" i="1"/>
  <c r="BF1629" i="1"/>
  <c r="BG1629" i="1" s="1"/>
  <c r="BE1629" i="1"/>
  <c r="BC1629" i="1"/>
  <c r="BB1629" i="1"/>
  <c r="BA1629" i="1"/>
  <c r="AY1629" i="1"/>
  <c r="AX1629" i="1"/>
  <c r="AW1629" i="1"/>
  <c r="AT1629" i="1"/>
  <c r="AU1629" i="1" s="1"/>
  <c r="AS1629" i="1"/>
  <c r="AP1629" i="1"/>
  <c r="AQ1629" i="1" s="1"/>
  <c r="AO1629" i="1"/>
  <c r="AM1629" i="1"/>
  <c r="AL1629" i="1"/>
  <c r="AK1629" i="1"/>
  <c r="AH1629" i="1"/>
  <c r="AI1629" i="1" s="1"/>
  <c r="AF1629" i="1"/>
  <c r="AG1629" i="1" s="1"/>
  <c r="AD1629" i="1"/>
  <c r="AC1629" i="1"/>
  <c r="Z1629" i="1"/>
  <c r="AA1629" i="1" s="1"/>
  <c r="Y1629" i="1"/>
  <c r="V1629" i="1"/>
  <c r="W1629" i="1" s="1"/>
  <c r="U1629" i="1"/>
  <c r="S1629" i="1"/>
  <c r="R1629" i="1"/>
  <c r="Q1629" i="1"/>
  <c r="N1629" i="1"/>
  <c r="O1629" i="1" s="1"/>
  <c r="M1629" i="1"/>
  <c r="J1629" i="1"/>
  <c r="K1629" i="1" s="1"/>
  <c r="I1629" i="1"/>
  <c r="F1629" i="1"/>
  <c r="G1629" i="1" s="1"/>
  <c r="E1629" i="1"/>
  <c r="BN1628" i="1"/>
  <c r="BL1628" i="1"/>
  <c r="BJ1628" i="1"/>
  <c r="BI1628" i="1"/>
  <c r="BF1628" i="1"/>
  <c r="BG1628" i="1" s="1"/>
  <c r="BE1628" i="1"/>
  <c r="BC1628" i="1"/>
  <c r="BB1628" i="1"/>
  <c r="BA1628" i="1"/>
  <c r="AY1628" i="1"/>
  <c r="AX1628" i="1"/>
  <c r="AW1628" i="1"/>
  <c r="AT1628" i="1"/>
  <c r="AU1628" i="1" s="1"/>
  <c r="AS1628" i="1"/>
  <c r="AP1628" i="1"/>
  <c r="AQ1628" i="1" s="1"/>
  <c r="AO1628" i="1"/>
  <c r="AM1628" i="1"/>
  <c r="AL1628" i="1"/>
  <c r="AK1628" i="1"/>
  <c r="AH1628" i="1"/>
  <c r="AI1628" i="1" s="1"/>
  <c r="AF1628" i="1"/>
  <c r="AG1628" i="1" s="1"/>
  <c r="AD1628" i="1"/>
  <c r="AC1628" i="1"/>
  <c r="Z1628" i="1"/>
  <c r="AA1628" i="1" s="1"/>
  <c r="Y1628" i="1"/>
  <c r="V1628" i="1"/>
  <c r="W1628" i="1" s="1"/>
  <c r="U1628" i="1"/>
  <c r="S1628" i="1"/>
  <c r="R1628" i="1"/>
  <c r="Q1628" i="1"/>
  <c r="N1628" i="1"/>
  <c r="O1628" i="1" s="1"/>
  <c r="M1628" i="1"/>
  <c r="J1628" i="1"/>
  <c r="I1628" i="1"/>
  <c r="F1628" i="1"/>
  <c r="G1628" i="1" s="1"/>
  <c r="E1628" i="1"/>
  <c r="BN1627" i="1"/>
  <c r="BL1627" i="1"/>
  <c r="BJ1627" i="1"/>
  <c r="BM1627" i="1" s="1"/>
  <c r="BI1627" i="1"/>
  <c r="BF1627" i="1"/>
  <c r="BE1627" i="1"/>
  <c r="BC1627" i="1"/>
  <c r="BB1627" i="1"/>
  <c r="BA1627" i="1"/>
  <c r="AY1627" i="1"/>
  <c r="AX1627" i="1"/>
  <c r="AW1627" i="1"/>
  <c r="AT1627" i="1"/>
  <c r="AU1627" i="1" s="1"/>
  <c r="AS1627" i="1"/>
  <c r="AP1627" i="1"/>
  <c r="AQ1627" i="1" s="1"/>
  <c r="AO1627" i="1"/>
  <c r="AM1627" i="1"/>
  <c r="AL1627" i="1"/>
  <c r="AK1627" i="1"/>
  <c r="AH1627" i="1"/>
  <c r="AI1627" i="1" s="1"/>
  <c r="AF1627" i="1"/>
  <c r="AG1627" i="1" s="1"/>
  <c r="AD1627" i="1"/>
  <c r="AC1627" i="1"/>
  <c r="Z1627" i="1"/>
  <c r="AA1627" i="1" s="1"/>
  <c r="Y1627" i="1"/>
  <c r="V1627" i="1"/>
  <c r="W1627" i="1" s="1"/>
  <c r="U1627" i="1"/>
  <c r="S1627" i="1"/>
  <c r="R1627" i="1"/>
  <c r="Q1627" i="1"/>
  <c r="N1627" i="1"/>
  <c r="O1627" i="1" s="1"/>
  <c r="M1627" i="1"/>
  <c r="J1627" i="1"/>
  <c r="K1627" i="1" s="1"/>
  <c r="I1627" i="1"/>
  <c r="F1627" i="1"/>
  <c r="E1627" i="1"/>
  <c r="BN1626" i="1"/>
  <c r="BL1626" i="1"/>
  <c r="BJ1626" i="1"/>
  <c r="BM1626" i="1" s="1"/>
  <c r="BI1626" i="1"/>
  <c r="BF1626" i="1"/>
  <c r="BG1626" i="1" s="1"/>
  <c r="BE1626" i="1"/>
  <c r="BC1626" i="1"/>
  <c r="BB1626" i="1"/>
  <c r="BA1626" i="1"/>
  <c r="AY1626" i="1"/>
  <c r="AX1626" i="1"/>
  <c r="AW1626" i="1"/>
  <c r="AT1626" i="1"/>
  <c r="AU1626" i="1" s="1"/>
  <c r="AS1626" i="1"/>
  <c r="AP1626" i="1"/>
  <c r="AQ1626" i="1" s="1"/>
  <c r="AO1626" i="1"/>
  <c r="AM1626" i="1"/>
  <c r="AL1626" i="1"/>
  <c r="AK1626" i="1"/>
  <c r="AH1626" i="1"/>
  <c r="AI1626" i="1" s="1"/>
  <c r="AG1626" i="1"/>
  <c r="AD1626" i="1"/>
  <c r="AE1626" i="1" s="1"/>
  <c r="AC1626" i="1"/>
  <c r="Z1626" i="1"/>
  <c r="Y1626" i="1"/>
  <c r="W1626" i="1"/>
  <c r="V1626" i="1"/>
  <c r="U1626" i="1"/>
  <c r="S1626" i="1"/>
  <c r="R1626" i="1"/>
  <c r="Q1626" i="1"/>
  <c r="N1626" i="1"/>
  <c r="O1626" i="1" s="1"/>
  <c r="M1626" i="1"/>
  <c r="J1626" i="1"/>
  <c r="K1626" i="1" s="1"/>
  <c r="I1626" i="1"/>
  <c r="G1626" i="1"/>
  <c r="F1626" i="1"/>
  <c r="E1626" i="1"/>
  <c r="BN1625" i="1"/>
  <c r="BM1625" i="1"/>
  <c r="BL1625" i="1"/>
  <c r="BJ1625" i="1"/>
  <c r="BI1625" i="1"/>
  <c r="BG1625" i="1"/>
  <c r="BF1625" i="1"/>
  <c r="BE1625" i="1"/>
  <c r="BB1625" i="1"/>
  <c r="BC1625" i="1" s="1"/>
  <c r="BA1625" i="1"/>
  <c r="AX1625" i="1"/>
  <c r="AW1625" i="1"/>
  <c r="AT1625" i="1"/>
  <c r="AU1625" i="1" s="1"/>
  <c r="AS1625" i="1"/>
  <c r="AQ1625" i="1"/>
  <c r="AP1625" i="1"/>
  <c r="AO1625" i="1"/>
  <c r="AM1625" i="1"/>
  <c r="AL1625" i="1"/>
  <c r="AK1625" i="1"/>
  <c r="AH1625" i="1"/>
  <c r="AI1625" i="1" s="1"/>
  <c r="AG1625" i="1"/>
  <c r="AF1625" i="1"/>
  <c r="AD1625" i="1"/>
  <c r="AE1625" i="1" s="1"/>
  <c r="AC1625" i="1"/>
  <c r="AB1625" i="1"/>
  <c r="Z1625" i="1"/>
  <c r="Y1625" i="1"/>
  <c r="X1625" i="1"/>
  <c r="V1625" i="1"/>
  <c r="W1625" i="1" s="1"/>
  <c r="U1625" i="1"/>
  <c r="T1625" i="1"/>
  <c r="R1625" i="1"/>
  <c r="S1625" i="1" s="1"/>
  <c r="Q1625" i="1"/>
  <c r="N1625" i="1"/>
  <c r="O1625" i="1" s="1"/>
  <c r="M1625" i="1"/>
  <c r="K1625" i="1"/>
  <c r="J1625" i="1"/>
  <c r="I1625" i="1"/>
  <c r="F1625" i="1"/>
  <c r="G1625" i="1" s="1"/>
  <c r="E1625" i="1"/>
  <c r="BN1624" i="1"/>
  <c r="BM1624" i="1"/>
  <c r="BL1624" i="1"/>
  <c r="BJ1624" i="1"/>
  <c r="BI1624" i="1"/>
  <c r="BF1624" i="1"/>
  <c r="BG1624" i="1" s="1"/>
  <c r="BE1624" i="1"/>
  <c r="BB1624" i="1"/>
  <c r="BA1624" i="1"/>
  <c r="AX1624" i="1"/>
  <c r="AW1624" i="1"/>
  <c r="AU1624" i="1"/>
  <c r="AT1624" i="1"/>
  <c r="AS1624" i="1"/>
  <c r="AQ1624" i="1"/>
  <c r="AP1624" i="1"/>
  <c r="AO1624" i="1"/>
  <c r="AL1624" i="1"/>
  <c r="AM1624" i="1" s="1"/>
  <c r="AK1624" i="1"/>
  <c r="AH1624" i="1"/>
  <c r="AI1624" i="1" s="1"/>
  <c r="AG1624" i="1"/>
  <c r="AF1624" i="1"/>
  <c r="AD1624" i="1"/>
  <c r="AE1624" i="1" s="1"/>
  <c r="AB1624" i="1"/>
  <c r="AC1624" i="1" s="1"/>
  <c r="Z1624" i="1"/>
  <c r="AA1624" i="1" s="1"/>
  <c r="Y1624" i="1"/>
  <c r="X1624" i="1"/>
  <c r="V1624" i="1"/>
  <c r="W1624" i="1" s="1"/>
  <c r="T1624" i="1"/>
  <c r="U1624" i="1" s="1"/>
  <c r="R1624" i="1"/>
  <c r="S1624" i="1" s="1"/>
  <c r="Q1624" i="1"/>
  <c r="O1624" i="1"/>
  <c r="N1624" i="1"/>
  <c r="M1624" i="1"/>
  <c r="J1624" i="1"/>
  <c r="K1624" i="1" s="1"/>
  <c r="I1624" i="1"/>
  <c r="F1624" i="1"/>
  <c r="E1624" i="1"/>
  <c r="BN1623" i="1"/>
  <c r="BL1623" i="1"/>
  <c r="BJ1623" i="1"/>
  <c r="BM1623" i="1" s="1"/>
  <c r="BI1623" i="1"/>
  <c r="BF1623" i="1"/>
  <c r="BG1623" i="1" s="1"/>
  <c r="BE1623" i="1"/>
  <c r="BB1623" i="1"/>
  <c r="BA1623" i="1"/>
  <c r="AY1623" i="1"/>
  <c r="AX1623" i="1"/>
  <c r="AW1623" i="1"/>
  <c r="AU1623" i="1"/>
  <c r="AT1623" i="1"/>
  <c r="AS1623" i="1"/>
  <c r="AP1623" i="1"/>
  <c r="AQ1623" i="1" s="1"/>
  <c r="AO1623" i="1"/>
  <c r="AL1623" i="1"/>
  <c r="AM1623" i="1" s="1"/>
  <c r="AK1623" i="1"/>
  <c r="AI1623" i="1"/>
  <c r="AH1623" i="1"/>
  <c r="AF1623" i="1"/>
  <c r="AG1623" i="1" s="1"/>
  <c r="AE1623" i="1"/>
  <c r="AD1623" i="1"/>
  <c r="AB1623" i="1"/>
  <c r="AC1623" i="1" s="1"/>
  <c r="AA1623" i="1"/>
  <c r="Z1623" i="1"/>
  <c r="X1623" i="1"/>
  <c r="Y1623" i="1" s="1"/>
  <c r="W1623" i="1"/>
  <c r="V1623" i="1"/>
  <c r="T1623" i="1"/>
  <c r="U1623" i="1" s="1"/>
  <c r="S1623" i="1"/>
  <c r="R1623" i="1"/>
  <c r="Q1623" i="1"/>
  <c r="N1623" i="1"/>
  <c r="O1623" i="1" s="1"/>
  <c r="M1623" i="1"/>
  <c r="J1623" i="1"/>
  <c r="I1623" i="1"/>
  <c r="F1623" i="1"/>
  <c r="G1623" i="1" s="1"/>
  <c r="E1623" i="1"/>
  <c r="BN1622" i="1"/>
  <c r="BL1622" i="1"/>
  <c r="BJ1622" i="1"/>
  <c r="BI1622" i="1"/>
  <c r="BF1622" i="1"/>
  <c r="BE1622" i="1"/>
  <c r="BC1622" i="1"/>
  <c r="BB1622" i="1"/>
  <c r="BA1622" i="1"/>
  <c r="AY1622" i="1"/>
  <c r="AX1622" i="1"/>
  <c r="AW1622" i="1"/>
  <c r="AT1622" i="1"/>
  <c r="AU1622" i="1" s="1"/>
  <c r="AS1622" i="1"/>
  <c r="AP1622" i="1"/>
  <c r="AQ1622" i="1" s="1"/>
  <c r="AO1622" i="1"/>
  <c r="AM1622" i="1"/>
  <c r="AL1622" i="1"/>
  <c r="AK1622" i="1"/>
  <c r="AH1622" i="1"/>
  <c r="AI1622" i="1" s="1"/>
  <c r="AG1622" i="1"/>
  <c r="AD1622" i="1"/>
  <c r="AE1622" i="1" s="1"/>
  <c r="AC1622" i="1"/>
  <c r="Z1622" i="1"/>
  <c r="Y1622" i="1"/>
  <c r="W1622" i="1"/>
  <c r="V1622" i="1"/>
  <c r="U1622" i="1"/>
  <c r="S1622" i="1"/>
  <c r="R1622" i="1"/>
  <c r="Q1622" i="1"/>
  <c r="N1622" i="1"/>
  <c r="O1622" i="1" s="1"/>
  <c r="M1622" i="1"/>
  <c r="J1622" i="1"/>
  <c r="K1622" i="1" s="1"/>
  <c r="I1622" i="1"/>
  <c r="G1622" i="1"/>
  <c r="F1622" i="1"/>
  <c r="E1622" i="1"/>
  <c r="BN1621" i="1"/>
  <c r="BK1621" i="1"/>
  <c r="BL1621" i="1" s="1"/>
  <c r="BJ1621" i="1"/>
  <c r="BM1621" i="1" s="1"/>
  <c r="BI1621" i="1"/>
  <c r="BH1621" i="1"/>
  <c r="BF1621" i="1"/>
  <c r="BE1621" i="1"/>
  <c r="BB1621" i="1"/>
  <c r="BC1621" i="1" s="1"/>
  <c r="BA1621" i="1"/>
  <c r="AY1621" i="1"/>
  <c r="AX1621" i="1"/>
  <c r="AV1621" i="1"/>
  <c r="AW1621" i="1" s="1"/>
  <c r="AU1621" i="1"/>
  <c r="AT1621" i="1"/>
  <c r="AR1621" i="1"/>
  <c r="AS1621" i="1" s="1"/>
  <c r="AQ1621" i="1"/>
  <c r="AP1621" i="1"/>
  <c r="AO1621" i="1"/>
  <c r="AL1621" i="1"/>
  <c r="AM1621" i="1" s="1"/>
  <c r="AK1621" i="1"/>
  <c r="AH1621" i="1"/>
  <c r="AG1621" i="1"/>
  <c r="AF1621" i="1"/>
  <c r="AD1621" i="1"/>
  <c r="AC1621" i="1"/>
  <c r="AB1621" i="1"/>
  <c r="Z1621" i="1"/>
  <c r="AA1621" i="1" s="1"/>
  <c r="Y1621" i="1"/>
  <c r="X1621" i="1"/>
  <c r="V1621" i="1"/>
  <c r="U1621" i="1"/>
  <c r="T1621" i="1"/>
  <c r="R1621" i="1"/>
  <c r="S1621" i="1" s="1"/>
  <c r="Q1621" i="1"/>
  <c r="P1621" i="1"/>
  <c r="N1621" i="1"/>
  <c r="O1621" i="1" s="1"/>
  <c r="M1621" i="1"/>
  <c r="L1621" i="1"/>
  <c r="J1621" i="1"/>
  <c r="K1621" i="1" s="1"/>
  <c r="I1621" i="1"/>
  <c r="H1621" i="1"/>
  <c r="F1621" i="1"/>
  <c r="E1621" i="1"/>
  <c r="D1621" i="1"/>
  <c r="BN1620" i="1"/>
  <c r="BM1620" i="1"/>
  <c r="BL1620" i="1"/>
  <c r="BK1620" i="1"/>
  <c r="BJ1620" i="1"/>
  <c r="BH1620" i="1"/>
  <c r="BI1620" i="1" s="1"/>
  <c r="BF1620" i="1"/>
  <c r="BG1620" i="1" s="1"/>
  <c r="BE1620" i="1"/>
  <c r="BC1620" i="1"/>
  <c r="BB1620" i="1"/>
  <c r="BA1620" i="1"/>
  <c r="AX1620" i="1"/>
  <c r="AY1620" i="1" s="1"/>
  <c r="AV1620" i="1"/>
  <c r="AW1620" i="1" s="1"/>
  <c r="AU1620" i="1"/>
  <c r="AT1620" i="1"/>
  <c r="AR1620" i="1"/>
  <c r="AS1620" i="1" s="1"/>
  <c r="AP1620" i="1"/>
  <c r="AQ1620" i="1" s="1"/>
  <c r="AO1620" i="1"/>
  <c r="AL1620" i="1"/>
  <c r="AM1620" i="1" s="1"/>
  <c r="AK1620" i="1"/>
  <c r="AH1620" i="1"/>
  <c r="AF1620" i="1"/>
  <c r="AG1620" i="1" s="1"/>
  <c r="AD1620" i="1"/>
  <c r="AE1620" i="1" s="1"/>
  <c r="AC1620" i="1"/>
  <c r="AB1620" i="1"/>
  <c r="Z1620" i="1"/>
  <c r="AA1620" i="1" s="1"/>
  <c r="X1620" i="1"/>
  <c r="Y1620" i="1" s="1"/>
  <c r="V1620" i="1"/>
  <c r="W1620" i="1" s="1"/>
  <c r="U1620" i="1"/>
  <c r="T1620" i="1"/>
  <c r="R1620" i="1"/>
  <c r="S1620" i="1" s="1"/>
  <c r="P1620" i="1"/>
  <c r="Q1620" i="1" s="1"/>
  <c r="N1620" i="1"/>
  <c r="O1620" i="1" s="1"/>
  <c r="M1620" i="1"/>
  <c r="L1620" i="1"/>
  <c r="J1620" i="1"/>
  <c r="K1620" i="1" s="1"/>
  <c r="H1620" i="1"/>
  <c r="I1620" i="1" s="1"/>
  <c r="F1620" i="1"/>
  <c r="G1620" i="1" s="1"/>
  <c r="E1620" i="1"/>
  <c r="D1620" i="1"/>
  <c r="BN1619" i="1"/>
  <c r="BM1619" i="1"/>
  <c r="BK1619" i="1"/>
  <c r="BL1619" i="1" s="1"/>
  <c r="BJ1619" i="1"/>
  <c r="BH1619" i="1"/>
  <c r="BI1619" i="1" s="1"/>
  <c r="BG1619" i="1"/>
  <c r="BF1619" i="1"/>
  <c r="BE1619" i="1"/>
  <c r="BB1619" i="1"/>
  <c r="BC1619" i="1" s="1"/>
  <c r="BA1619" i="1"/>
  <c r="AX1619" i="1"/>
  <c r="AY1619" i="1" s="1"/>
  <c r="AW1619" i="1"/>
  <c r="AV1619" i="1"/>
  <c r="AT1619" i="1"/>
  <c r="AS1619" i="1"/>
  <c r="AR1619" i="1"/>
  <c r="AP1619" i="1"/>
  <c r="AQ1619" i="1" s="1"/>
  <c r="AO1619" i="1"/>
  <c r="AL1619" i="1"/>
  <c r="AM1619" i="1" s="1"/>
  <c r="AK1619" i="1"/>
  <c r="AI1619" i="1"/>
  <c r="AH1619" i="1"/>
  <c r="AF1619" i="1"/>
  <c r="AG1619" i="1" s="1"/>
  <c r="AE1619" i="1"/>
  <c r="AD1619" i="1"/>
  <c r="AB1619" i="1"/>
  <c r="AC1619" i="1" s="1"/>
  <c r="AA1619" i="1"/>
  <c r="Z1619" i="1"/>
  <c r="X1619" i="1"/>
  <c r="Y1619" i="1" s="1"/>
  <c r="W1619" i="1"/>
  <c r="V1619" i="1"/>
  <c r="T1619" i="1"/>
  <c r="U1619" i="1" s="1"/>
  <c r="S1619" i="1"/>
  <c r="R1619" i="1"/>
  <c r="P1619" i="1"/>
  <c r="Q1619" i="1" s="1"/>
  <c r="O1619" i="1"/>
  <c r="N1619" i="1"/>
  <c r="L1619" i="1"/>
  <c r="M1619" i="1" s="1"/>
  <c r="K1619" i="1"/>
  <c r="J1619" i="1"/>
  <c r="H1619" i="1"/>
  <c r="I1619" i="1" s="1"/>
  <c r="G1619" i="1"/>
  <c r="F1619" i="1"/>
  <c r="D1619" i="1"/>
  <c r="E1619" i="1" s="1"/>
  <c r="BN1618" i="1"/>
  <c r="BL1618" i="1"/>
  <c r="BJ1618" i="1"/>
  <c r="BM1618" i="1" s="1"/>
  <c r="BI1618" i="1"/>
  <c r="BF1618" i="1"/>
  <c r="BE1618" i="1"/>
  <c r="BC1618" i="1"/>
  <c r="BB1618" i="1"/>
  <c r="BA1618" i="1"/>
  <c r="AY1618" i="1"/>
  <c r="AX1618" i="1"/>
  <c r="AW1618" i="1"/>
  <c r="AT1618" i="1"/>
  <c r="AU1618" i="1" s="1"/>
  <c r="AS1618" i="1"/>
  <c r="AP1618" i="1"/>
  <c r="AQ1618" i="1" s="1"/>
  <c r="AO1618" i="1"/>
  <c r="AM1618" i="1"/>
  <c r="AL1618" i="1"/>
  <c r="AK1618" i="1"/>
  <c r="AH1618" i="1"/>
  <c r="AI1618" i="1" s="1"/>
  <c r="AG1618" i="1"/>
  <c r="AD1618" i="1"/>
  <c r="AC1618" i="1"/>
  <c r="Z1618" i="1"/>
  <c r="AA1618" i="1" s="1"/>
  <c r="Y1618" i="1"/>
  <c r="W1618" i="1"/>
  <c r="V1618" i="1"/>
  <c r="U1618" i="1"/>
  <c r="S1618" i="1"/>
  <c r="R1618" i="1"/>
  <c r="Q1618" i="1"/>
  <c r="N1618" i="1"/>
  <c r="O1618" i="1" s="1"/>
  <c r="M1618" i="1"/>
  <c r="J1618" i="1"/>
  <c r="K1618" i="1" s="1"/>
  <c r="I1618" i="1"/>
  <c r="G1618" i="1"/>
  <c r="F1618" i="1"/>
  <c r="E1618" i="1"/>
  <c r="BN1617" i="1"/>
  <c r="BM1617" i="1"/>
  <c r="BL1617" i="1"/>
  <c r="BJ1617" i="1"/>
  <c r="BI1617" i="1"/>
  <c r="BG1617" i="1"/>
  <c r="BF1617" i="1"/>
  <c r="BE1617" i="1"/>
  <c r="BB1617" i="1"/>
  <c r="BC1617" i="1" s="1"/>
  <c r="BA1617" i="1"/>
  <c r="AX1617" i="1"/>
  <c r="AW1617" i="1"/>
  <c r="AT1617" i="1"/>
  <c r="AU1617" i="1" s="1"/>
  <c r="AS1617" i="1"/>
  <c r="AQ1617" i="1"/>
  <c r="AP1617" i="1"/>
  <c r="AO1617" i="1"/>
  <c r="AM1617" i="1"/>
  <c r="AL1617" i="1"/>
  <c r="AK1617" i="1"/>
  <c r="AH1617" i="1"/>
  <c r="AI1617" i="1" s="1"/>
  <c r="AG1617" i="1"/>
  <c r="AD1617" i="1"/>
  <c r="AE1617" i="1" s="1"/>
  <c r="AC1617" i="1"/>
  <c r="AA1617" i="1"/>
  <c r="Z1617" i="1"/>
  <c r="Y1617" i="1"/>
  <c r="V1617" i="1"/>
  <c r="W1617" i="1" s="1"/>
  <c r="U1617" i="1"/>
  <c r="R1617" i="1"/>
  <c r="Q1617" i="1"/>
  <c r="N1617" i="1"/>
  <c r="M1617" i="1"/>
  <c r="K1617" i="1"/>
  <c r="J1617" i="1"/>
  <c r="I1617" i="1"/>
  <c r="G1617" i="1"/>
  <c r="F1617" i="1"/>
  <c r="E1617" i="1"/>
  <c r="BN1616" i="1"/>
  <c r="BM1616" i="1"/>
  <c r="BL1616" i="1"/>
  <c r="BJ1616" i="1"/>
  <c r="BI1616" i="1"/>
  <c r="BG1616" i="1"/>
  <c r="BF1616" i="1"/>
  <c r="BE1616" i="1"/>
  <c r="BB1616" i="1"/>
  <c r="BA1616" i="1"/>
  <c r="AX1616" i="1"/>
  <c r="AY1616" i="1" s="1"/>
  <c r="AW1616" i="1"/>
  <c r="AU1616" i="1"/>
  <c r="AT1616" i="1"/>
  <c r="AS1616" i="1"/>
  <c r="AP1616" i="1"/>
  <c r="AQ1616" i="1" s="1"/>
  <c r="AO1616" i="1"/>
  <c r="AL1616" i="1"/>
  <c r="AM1616" i="1" s="1"/>
  <c r="AK1616" i="1"/>
  <c r="AH1616" i="1"/>
  <c r="AG1616" i="1"/>
  <c r="AE1616" i="1"/>
  <c r="AD1616" i="1"/>
  <c r="AC1616" i="1"/>
  <c r="Z1616" i="1"/>
  <c r="AA1616" i="1" s="1"/>
  <c r="Y1616" i="1"/>
  <c r="V1616" i="1"/>
  <c r="U1616" i="1"/>
  <c r="R1616" i="1"/>
  <c r="S1616" i="1" s="1"/>
  <c r="Q1616" i="1"/>
  <c r="O1616" i="1"/>
  <c r="N1616" i="1"/>
  <c r="M1616" i="1"/>
  <c r="J1616" i="1"/>
  <c r="K1616" i="1" s="1"/>
  <c r="I1616" i="1"/>
  <c r="F1616" i="1"/>
  <c r="G1616" i="1" s="1"/>
  <c r="E1616" i="1"/>
  <c r="BN1615" i="1"/>
  <c r="BL1615" i="1"/>
  <c r="BJ1615" i="1"/>
  <c r="BM1615" i="1" s="1"/>
  <c r="BI1615" i="1"/>
  <c r="BF1615" i="1"/>
  <c r="BG1615" i="1" s="1"/>
  <c r="BE1615" i="1"/>
  <c r="BB1615" i="1"/>
  <c r="BC1615" i="1" s="1"/>
  <c r="BA1615" i="1"/>
  <c r="AY1615" i="1"/>
  <c r="AX1615" i="1"/>
  <c r="AW1615" i="1"/>
  <c r="AU1615" i="1"/>
  <c r="AT1615" i="1"/>
  <c r="AS1615" i="1"/>
  <c r="AP1615" i="1"/>
  <c r="AQ1615" i="1" s="1"/>
  <c r="AO1615" i="1"/>
  <c r="AL1615" i="1"/>
  <c r="AM1615" i="1" s="1"/>
  <c r="AK1615" i="1"/>
  <c r="AI1615" i="1"/>
  <c r="AH1615" i="1"/>
  <c r="AG1615" i="1"/>
  <c r="AD1615" i="1"/>
  <c r="AE1615" i="1" s="1"/>
  <c r="AC1615" i="1"/>
  <c r="Z1615" i="1"/>
  <c r="AA1615" i="1" s="1"/>
  <c r="Y1615" i="1"/>
  <c r="V1615" i="1"/>
  <c r="U1615" i="1"/>
  <c r="S1615" i="1"/>
  <c r="R1615" i="1"/>
  <c r="Q1615" i="1"/>
  <c r="N1615" i="1"/>
  <c r="O1615" i="1" s="1"/>
  <c r="M1615" i="1"/>
  <c r="J1615" i="1"/>
  <c r="I1615" i="1"/>
  <c r="F1615" i="1"/>
  <c r="G1615" i="1" s="1"/>
  <c r="E1615" i="1"/>
  <c r="BN1614" i="1"/>
  <c r="BL1614" i="1"/>
  <c r="BJ1614" i="1"/>
  <c r="BM1614" i="1" s="1"/>
  <c r="BI1614" i="1"/>
  <c r="BF1614" i="1"/>
  <c r="BG1614" i="1" s="1"/>
  <c r="BE1614" i="1"/>
  <c r="BC1614" i="1"/>
  <c r="BB1614" i="1"/>
  <c r="BA1614" i="1"/>
  <c r="AX1614" i="1"/>
  <c r="AY1614" i="1" s="1"/>
  <c r="AW1614" i="1"/>
  <c r="AT1614" i="1"/>
  <c r="AS1614" i="1"/>
  <c r="AP1614" i="1"/>
  <c r="AO1614" i="1"/>
  <c r="AM1614" i="1"/>
  <c r="AL1614" i="1"/>
  <c r="AK1614" i="1"/>
  <c r="AI1614" i="1"/>
  <c r="AH1614" i="1"/>
  <c r="AG1614" i="1"/>
  <c r="AD1614" i="1"/>
  <c r="AC1614" i="1"/>
  <c r="Z1614" i="1"/>
  <c r="AA1614" i="1" s="1"/>
  <c r="Y1614" i="1"/>
  <c r="W1614" i="1"/>
  <c r="V1614" i="1"/>
  <c r="U1614" i="1"/>
  <c r="R1614" i="1"/>
  <c r="S1614" i="1" s="1"/>
  <c r="Q1614" i="1"/>
  <c r="N1614" i="1"/>
  <c r="O1614" i="1" s="1"/>
  <c r="M1614" i="1"/>
  <c r="J1614" i="1"/>
  <c r="I1614" i="1"/>
  <c r="G1614" i="1"/>
  <c r="F1614" i="1"/>
  <c r="E1614" i="1"/>
  <c r="BN1613" i="1"/>
  <c r="BM1613" i="1"/>
  <c r="BL1613" i="1"/>
  <c r="BJ1613" i="1"/>
  <c r="BI1613" i="1"/>
  <c r="BG1613" i="1"/>
  <c r="BF1613" i="1"/>
  <c r="BE1613" i="1"/>
  <c r="BB1613" i="1"/>
  <c r="BC1613" i="1" s="1"/>
  <c r="BA1613" i="1"/>
  <c r="AX1613" i="1"/>
  <c r="AW1613" i="1"/>
  <c r="AT1613" i="1"/>
  <c r="AU1613" i="1" s="1"/>
  <c r="AS1613" i="1"/>
  <c r="AQ1613" i="1"/>
  <c r="AP1613" i="1"/>
  <c r="AO1613" i="1"/>
  <c r="AL1613" i="1"/>
  <c r="AM1613" i="1" s="1"/>
  <c r="AK1613" i="1"/>
  <c r="AH1613" i="1"/>
  <c r="AG1613" i="1"/>
  <c r="AD1613" i="1"/>
  <c r="AC1613" i="1"/>
  <c r="AA1613" i="1"/>
  <c r="Z1613" i="1"/>
  <c r="Y1613" i="1"/>
  <c r="V1613" i="1"/>
  <c r="W1613" i="1" s="1"/>
  <c r="U1613" i="1"/>
  <c r="R1613" i="1"/>
  <c r="Q1613" i="1"/>
  <c r="N1613" i="1"/>
  <c r="O1613" i="1" s="1"/>
  <c r="M1613" i="1"/>
  <c r="K1613" i="1"/>
  <c r="J1613" i="1"/>
  <c r="I1613" i="1"/>
  <c r="F1613" i="1"/>
  <c r="G1613" i="1" s="1"/>
  <c r="E1613" i="1"/>
  <c r="BN1612" i="1"/>
  <c r="BM1612" i="1"/>
  <c r="BL1612" i="1"/>
  <c r="BJ1612" i="1"/>
  <c r="BI1612" i="1"/>
  <c r="BF1612" i="1"/>
  <c r="BG1612" i="1" s="1"/>
  <c r="BE1612" i="1"/>
  <c r="BB1612" i="1"/>
  <c r="BA1612" i="1"/>
  <c r="AX1612" i="1"/>
  <c r="AW1612" i="1"/>
  <c r="AU1612" i="1"/>
  <c r="AT1612" i="1"/>
  <c r="AS1612" i="1"/>
  <c r="AQ1612" i="1"/>
  <c r="AP1612" i="1"/>
  <c r="AO1612" i="1"/>
  <c r="AL1612" i="1"/>
  <c r="AK1612" i="1"/>
  <c r="AH1612" i="1"/>
  <c r="AI1612" i="1" s="1"/>
  <c r="AG1612" i="1"/>
  <c r="AE1612" i="1"/>
  <c r="AD1612" i="1"/>
  <c r="AC1612" i="1"/>
  <c r="Z1612" i="1"/>
  <c r="AA1612" i="1" s="1"/>
  <c r="Y1612" i="1"/>
  <c r="V1612" i="1"/>
  <c r="W1612" i="1" s="1"/>
  <c r="U1612" i="1"/>
  <c r="R1612" i="1"/>
  <c r="Q1612" i="1"/>
  <c r="O1612" i="1"/>
  <c r="N1612" i="1"/>
  <c r="M1612" i="1"/>
  <c r="J1612" i="1"/>
  <c r="K1612" i="1" s="1"/>
  <c r="I1612" i="1"/>
  <c r="F1612" i="1"/>
  <c r="E1612" i="1"/>
  <c r="BN1611" i="1"/>
  <c r="BL1611" i="1"/>
  <c r="BJ1611" i="1"/>
  <c r="BM1611" i="1" s="1"/>
  <c r="BI1611" i="1"/>
  <c r="BF1611" i="1"/>
  <c r="BG1611" i="1" s="1"/>
  <c r="BE1611" i="1"/>
  <c r="BB1611" i="1"/>
  <c r="BC1611" i="1" s="1"/>
  <c r="BA1611" i="1"/>
  <c r="AY1611" i="1"/>
  <c r="AX1611" i="1"/>
  <c r="AW1611" i="1"/>
  <c r="AT1611" i="1"/>
  <c r="AU1611" i="1" s="1"/>
  <c r="AS1611" i="1"/>
  <c r="AP1611" i="1"/>
  <c r="AQ1611" i="1" s="1"/>
  <c r="AO1611" i="1"/>
  <c r="AL1611" i="1"/>
  <c r="AK1611" i="1"/>
  <c r="AI1611" i="1"/>
  <c r="AH1611" i="1"/>
  <c r="AG1611" i="1"/>
  <c r="AE1611" i="1"/>
  <c r="AD1611" i="1"/>
  <c r="AC1611" i="1"/>
  <c r="Z1611" i="1"/>
  <c r="Y1611" i="1"/>
  <c r="V1611" i="1"/>
  <c r="W1611" i="1" s="1"/>
  <c r="U1611" i="1"/>
  <c r="S1611" i="1"/>
  <c r="R1611" i="1"/>
  <c r="Q1611" i="1"/>
  <c r="N1611" i="1"/>
  <c r="O1611" i="1" s="1"/>
  <c r="M1611" i="1"/>
  <c r="J1611" i="1"/>
  <c r="K1611" i="1" s="1"/>
  <c r="I1611" i="1"/>
  <c r="F1611" i="1"/>
  <c r="E1611" i="1"/>
  <c r="BN1610" i="1"/>
  <c r="BL1610" i="1"/>
  <c r="BJ1610" i="1"/>
  <c r="BI1610" i="1"/>
  <c r="BF1610" i="1"/>
  <c r="BG1610" i="1" s="1"/>
  <c r="BE1610" i="1"/>
  <c r="BC1610" i="1"/>
  <c r="BB1610" i="1"/>
  <c r="BA1610" i="1"/>
  <c r="AY1610" i="1"/>
  <c r="AX1610" i="1"/>
  <c r="AW1610" i="1"/>
  <c r="AT1610" i="1"/>
  <c r="AU1610" i="1" s="1"/>
  <c r="AS1610" i="1"/>
  <c r="AP1610" i="1"/>
  <c r="AO1610" i="1"/>
  <c r="AM1610" i="1"/>
  <c r="AL1610" i="1"/>
  <c r="AK1610" i="1"/>
  <c r="AH1610" i="1"/>
  <c r="AI1610" i="1" s="1"/>
  <c r="AG1610" i="1"/>
  <c r="AD1610" i="1"/>
  <c r="AC1610" i="1"/>
  <c r="Z1610" i="1"/>
  <c r="AA1610" i="1" s="1"/>
  <c r="Y1610" i="1"/>
  <c r="W1610" i="1"/>
  <c r="V1610" i="1"/>
  <c r="U1610" i="1"/>
  <c r="R1610" i="1"/>
  <c r="S1610" i="1" s="1"/>
  <c r="Q1610" i="1"/>
  <c r="N1610" i="1"/>
  <c r="O1610" i="1" s="1"/>
  <c r="M1610" i="1"/>
  <c r="J1610" i="1"/>
  <c r="I1610" i="1"/>
  <c r="G1610" i="1"/>
  <c r="F1610" i="1"/>
  <c r="E1610" i="1"/>
  <c r="BN1609" i="1"/>
  <c r="BM1609" i="1"/>
  <c r="BL1609" i="1"/>
  <c r="BJ1609" i="1"/>
  <c r="BI1609" i="1"/>
  <c r="BG1609" i="1"/>
  <c r="BF1609" i="1"/>
  <c r="BE1609" i="1"/>
  <c r="BB1609" i="1"/>
  <c r="BC1609" i="1" s="1"/>
  <c r="BA1609" i="1"/>
  <c r="AX1609" i="1"/>
  <c r="AW1609" i="1"/>
  <c r="AT1609" i="1"/>
  <c r="AU1609" i="1" s="1"/>
  <c r="AS1609" i="1"/>
  <c r="AQ1609" i="1"/>
  <c r="AP1609" i="1"/>
  <c r="AO1609" i="1"/>
  <c r="AM1609" i="1"/>
  <c r="AL1609" i="1"/>
  <c r="AK1609" i="1"/>
  <c r="AH1609" i="1"/>
  <c r="AI1609" i="1" s="1"/>
  <c r="AG1609" i="1"/>
  <c r="AF1609" i="1"/>
  <c r="AD1609" i="1"/>
  <c r="AC1609" i="1"/>
  <c r="Z1609" i="1"/>
  <c r="AA1609" i="1" s="1"/>
  <c r="X1609" i="1"/>
  <c r="Y1609" i="1" s="1"/>
  <c r="V1609" i="1"/>
  <c r="W1609" i="1" s="1"/>
  <c r="U1609" i="1"/>
  <c r="S1609" i="1"/>
  <c r="R1609" i="1"/>
  <c r="Q1609" i="1"/>
  <c r="O1609" i="1"/>
  <c r="N1609" i="1"/>
  <c r="M1609" i="1"/>
  <c r="J1609" i="1"/>
  <c r="K1609" i="1" s="1"/>
  <c r="I1609" i="1"/>
  <c r="F1609" i="1"/>
  <c r="E1609" i="1"/>
  <c r="BN1608" i="1"/>
  <c r="BL1608" i="1"/>
  <c r="BJ1608" i="1"/>
  <c r="BI1608" i="1"/>
  <c r="BF1608" i="1"/>
  <c r="BG1608" i="1" s="1"/>
  <c r="BE1608" i="1"/>
  <c r="BC1608" i="1"/>
  <c r="BB1608" i="1"/>
  <c r="BA1608" i="1"/>
  <c r="AY1608" i="1"/>
  <c r="AX1608" i="1"/>
  <c r="AW1608" i="1"/>
  <c r="AT1608" i="1"/>
  <c r="AU1608" i="1" s="1"/>
  <c r="AS1608" i="1"/>
  <c r="AP1608" i="1"/>
  <c r="AO1608" i="1"/>
  <c r="AM1608" i="1"/>
  <c r="AL1608" i="1"/>
  <c r="AK1608" i="1"/>
  <c r="AH1608" i="1"/>
  <c r="AF1608" i="1"/>
  <c r="AG1608" i="1" s="1"/>
  <c r="AD1608" i="1"/>
  <c r="AC1608" i="1"/>
  <c r="Z1608" i="1"/>
  <c r="AA1608" i="1" s="1"/>
  <c r="Y1608" i="1"/>
  <c r="X1608" i="1"/>
  <c r="V1608" i="1"/>
  <c r="W1608" i="1" s="1"/>
  <c r="U1608" i="1"/>
  <c r="R1608" i="1"/>
  <c r="Q1608" i="1"/>
  <c r="O1608" i="1"/>
  <c r="N1608" i="1"/>
  <c r="M1608" i="1"/>
  <c r="J1608" i="1"/>
  <c r="K1608" i="1" s="1"/>
  <c r="I1608" i="1"/>
  <c r="F1608" i="1"/>
  <c r="E1608" i="1"/>
  <c r="BN1607" i="1"/>
  <c r="BL1607" i="1"/>
  <c r="BJ1607" i="1"/>
  <c r="BM1607" i="1" s="1"/>
  <c r="BI1607" i="1"/>
  <c r="BF1607" i="1"/>
  <c r="BG1607" i="1" s="1"/>
  <c r="BE1607" i="1"/>
  <c r="BB1607" i="1"/>
  <c r="BA1607" i="1"/>
  <c r="AY1607" i="1"/>
  <c r="AX1607" i="1"/>
  <c r="AW1607" i="1"/>
  <c r="AT1607" i="1"/>
  <c r="AU1607" i="1" s="1"/>
  <c r="AS1607" i="1"/>
  <c r="AP1607" i="1"/>
  <c r="AO1607" i="1"/>
  <c r="AL1607" i="1"/>
  <c r="AM1607" i="1" s="1"/>
  <c r="AK1607" i="1"/>
  <c r="AI1607" i="1"/>
  <c r="AH1607" i="1"/>
  <c r="AF1607" i="1"/>
  <c r="AG1607" i="1" s="1"/>
  <c r="AE1607" i="1"/>
  <c r="AD1607" i="1"/>
  <c r="AC1607" i="1"/>
  <c r="AA1607" i="1"/>
  <c r="Z1607" i="1"/>
  <c r="Y1607" i="1"/>
  <c r="V1607" i="1"/>
  <c r="U1607" i="1"/>
  <c r="R1607" i="1"/>
  <c r="Q1607" i="1"/>
  <c r="O1607" i="1"/>
  <c r="N1607" i="1"/>
  <c r="M1607" i="1"/>
  <c r="J1607" i="1"/>
  <c r="K1607" i="1" s="1"/>
  <c r="I1607" i="1"/>
  <c r="F1607" i="1"/>
  <c r="E1607" i="1"/>
  <c r="BN1606" i="1"/>
  <c r="BL1606" i="1"/>
  <c r="BJ1606" i="1"/>
  <c r="BM1606" i="1" s="1"/>
  <c r="BI1606" i="1"/>
  <c r="BF1606" i="1"/>
  <c r="BE1606" i="1"/>
  <c r="BB1606" i="1"/>
  <c r="BA1606" i="1"/>
  <c r="AY1606" i="1"/>
  <c r="AX1606" i="1"/>
  <c r="AW1606" i="1"/>
  <c r="AT1606" i="1"/>
  <c r="AU1606" i="1" s="1"/>
  <c r="AS1606" i="1"/>
  <c r="AP1606" i="1"/>
  <c r="AO1606" i="1"/>
  <c r="AL1606" i="1"/>
  <c r="AK1606" i="1"/>
  <c r="AI1606" i="1"/>
  <c r="AH1606" i="1"/>
  <c r="AG1606" i="1"/>
  <c r="AE1606" i="1"/>
  <c r="AD1606" i="1"/>
  <c r="AC1606" i="1"/>
  <c r="Z1606" i="1"/>
  <c r="Y1606" i="1"/>
  <c r="V1606" i="1"/>
  <c r="W1606" i="1" s="1"/>
  <c r="U1606" i="1"/>
  <c r="S1606" i="1"/>
  <c r="R1606" i="1"/>
  <c r="Q1606" i="1"/>
  <c r="O1606" i="1"/>
  <c r="N1606" i="1"/>
  <c r="M1606" i="1"/>
  <c r="J1606" i="1"/>
  <c r="K1606" i="1" s="1"/>
  <c r="I1606" i="1"/>
  <c r="F1606" i="1"/>
  <c r="E1606" i="1"/>
  <c r="BN1605" i="1"/>
  <c r="BL1605" i="1"/>
  <c r="BJ1605" i="1"/>
  <c r="BI1605" i="1"/>
  <c r="BF1605" i="1"/>
  <c r="BG1605" i="1" s="1"/>
  <c r="BE1605" i="1"/>
  <c r="BC1605" i="1"/>
  <c r="BB1605" i="1"/>
  <c r="BA1605" i="1"/>
  <c r="AY1605" i="1"/>
  <c r="AX1605" i="1"/>
  <c r="AW1605" i="1"/>
  <c r="AT1605" i="1"/>
  <c r="AU1605" i="1" s="1"/>
  <c r="AS1605" i="1"/>
  <c r="AP1605" i="1"/>
  <c r="AO1605" i="1"/>
  <c r="AM1605" i="1"/>
  <c r="AL1605" i="1"/>
  <c r="AK1605" i="1"/>
  <c r="AI1605" i="1"/>
  <c r="AH1605" i="1"/>
  <c r="AF1605" i="1"/>
  <c r="AG1605" i="1" s="1"/>
  <c r="AD1605" i="1"/>
  <c r="AB1605" i="1"/>
  <c r="AC1605" i="1" s="1"/>
  <c r="Z1605" i="1"/>
  <c r="X1605" i="1"/>
  <c r="Y1605" i="1" s="1"/>
  <c r="W1605" i="1"/>
  <c r="V1605" i="1"/>
  <c r="T1605" i="1"/>
  <c r="U1605" i="1" s="1"/>
  <c r="S1605" i="1"/>
  <c r="R1605" i="1"/>
  <c r="P1605" i="1"/>
  <c r="Q1605" i="1" s="1"/>
  <c r="N1605" i="1"/>
  <c r="O1605" i="1" s="1"/>
  <c r="L1605" i="1"/>
  <c r="M1605" i="1" s="1"/>
  <c r="J1605" i="1"/>
  <c r="K1605" i="1" s="1"/>
  <c r="H1605" i="1"/>
  <c r="I1605" i="1" s="1"/>
  <c r="F1605" i="1"/>
  <c r="G1605" i="1" s="1"/>
  <c r="D1605" i="1"/>
  <c r="E1605" i="1" s="1"/>
  <c r="BN1604" i="1"/>
  <c r="BM1604" i="1" s="1"/>
  <c r="BL1604" i="1"/>
  <c r="BJ1604" i="1"/>
  <c r="BI1604" i="1"/>
  <c r="BG1604" i="1"/>
  <c r="BF1604" i="1"/>
  <c r="BE1604" i="1"/>
  <c r="BC1604" i="1"/>
  <c r="BB1604" i="1"/>
  <c r="BA1604" i="1"/>
  <c r="AX1604" i="1"/>
  <c r="AW1604" i="1"/>
  <c r="AT1604" i="1"/>
  <c r="AS1604" i="1"/>
  <c r="AQ1604" i="1"/>
  <c r="AP1604" i="1"/>
  <c r="AO1604" i="1"/>
  <c r="AL1604" i="1"/>
  <c r="AM1604" i="1" s="1"/>
  <c r="AK1604" i="1"/>
  <c r="AH1604" i="1"/>
  <c r="AG1604" i="1"/>
  <c r="AF1604" i="1"/>
  <c r="AD1604" i="1"/>
  <c r="AE1604" i="1" s="1"/>
  <c r="AC1604" i="1"/>
  <c r="AB1604" i="1"/>
  <c r="Z1604" i="1"/>
  <c r="AA1604" i="1" s="1"/>
  <c r="Y1604" i="1"/>
  <c r="X1604" i="1"/>
  <c r="V1604" i="1"/>
  <c r="U1604" i="1"/>
  <c r="T1604" i="1"/>
  <c r="R1604" i="1"/>
  <c r="S1604" i="1" s="1"/>
  <c r="Q1604" i="1"/>
  <c r="P1604" i="1"/>
  <c r="N1604" i="1"/>
  <c r="O1604" i="1" s="1"/>
  <c r="M1604" i="1"/>
  <c r="L1604" i="1"/>
  <c r="K1604" i="1"/>
  <c r="J1604" i="1"/>
  <c r="I1604" i="1"/>
  <c r="H1604" i="1"/>
  <c r="F1604" i="1"/>
  <c r="G1604" i="1" s="1"/>
  <c r="E1604" i="1"/>
  <c r="D1604" i="1"/>
  <c r="BN1603" i="1"/>
  <c r="BM1603" i="1" s="1"/>
  <c r="BL1603" i="1"/>
  <c r="BJ1603" i="1"/>
  <c r="BI1603" i="1"/>
  <c r="BF1603" i="1"/>
  <c r="BG1603" i="1" s="1"/>
  <c r="BE1603" i="1"/>
  <c r="BC1603" i="1"/>
  <c r="BB1603" i="1"/>
  <c r="BA1603" i="1"/>
  <c r="AX1603" i="1"/>
  <c r="AW1603" i="1"/>
  <c r="AU1603" i="1"/>
  <c r="AT1603" i="1"/>
  <c r="AS1603" i="1"/>
  <c r="AQ1603" i="1"/>
  <c r="AP1603" i="1"/>
  <c r="AO1603" i="1"/>
  <c r="AL1603" i="1"/>
  <c r="AK1603" i="1"/>
  <c r="AH1603" i="1"/>
  <c r="AG1603" i="1"/>
  <c r="AF1603" i="1"/>
  <c r="AD1603" i="1"/>
  <c r="AE1603" i="1" s="1"/>
  <c r="AC1603" i="1"/>
  <c r="AB1603" i="1"/>
  <c r="Z1603" i="1"/>
  <c r="AA1603" i="1" s="1"/>
  <c r="Y1603" i="1"/>
  <c r="X1603" i="1"/>
  <c r="V1603" i="1"/>
  <c r="W1603" i="1" s="1"/>
  <c r="T1603" i="1"/>
  <c r="U1603" i="1" s="1"/>
  <c r="R1603" i="1"/>
  <c r="S1603" i="1" s="1"/>
  <c r="P1603" i="1"/>
  <c r="Q1603" i="1" s="1"/>
  <c r="N1603" i="1"/>
  <c r="O1603" i="1" s="1"/>
  <c r="L1603" i="1"/>
  <c r="M1603" i="1" s="1"/>
  <c r="J1603" i="1"/>
  <c r="K1603" i="1" s="1"/>
  <c r="I1603" i="1"/>
  <c r="H1603" i="1"/>
  <c r="F1603" i="1"/>
  <c r="G1603" i="1" s="1"/>
  <c r="D1603" i="1"/>
  <c r="E1603" i="1" s="1"/>
  <c r="BN1602" i="1"/>
  <c r="BL1602" i="1"/>
  <c r="BJ1602" i="1"/>
  <c r="BM1602" i="1" s="1"/>
  <c r="BI1602" i="1"/>
  <c r="BF1602" i="1"/>
  <c r="BE1602" i="1"/>
  <c r="BB1602" i="1"/>
  <c r="BA1602" i="1"/>
  <c r="AX1602" i="1"/>
  <c r="AW1602" i="1"/>
  <c r="AU1602" i="1"/>
  <c r="AT1602" i="1"/>
  <c r="AS1602" i="1"/>
  <c r="AQ1602" i="1"/>
  <c r="AP1602" i="1"/>
  <c r="AO1602" i="1"/>
  <c r="AL1602" i="1"/>
  <c r="AK1602" i="1"/>
  <c r="AI1602" i="1"/>
  <c r="AH1602" i="1"/>
  <c r="AG1602" i="1"/>
  <c r="AE1602" i="1"/>
  <c r="AD1602" i="1"/>
  <c r="AC1602" i="1"/>
  <c r="Z1602" i="1"/>
  <c r="Y1602" i="1"/>
  <c r="V1602" i="1"/>
  <c r="W1602" i="1" s="1"/>
  <c r="U1602" i="1"/>
  <c r="R1602" i="1"/>
  <c r="Q1602" i="1"/>
  <c r="O1602" i="1"/>
  <c r="N1602" i="1"/>
  <c r="M1602" i="1"/>
  <c r="K1602" i="1"/>
  <c r="J1602" i="1"/>
  <c r="I1602" i="1"/>
  <c r="F1602" i="1"/>
  <c r="G1602" i="1" s="1"/>
  <c r="E1602" i="1"/>
  <c r="BN1601" i="1"/>
  <c r="BL1601" i="1"/>
  <c r="BJ1601" i="1"/>
  <c r="BM1601" i="1" s="1"/>
  <c r="BI1601" i="1"/>
  <c r="BF1601" i="1"/>
  <c r="BE1601" i="1"/>
  <c r="BC1601" i="1"/>
  <c r="BB1601" i="1"/>
  <c r="BA1601" i="1"/>
  <c r="AX1601" i="1"/>
  <c r="AY1601" i="1" s="1"/>
  <c r="AW1601" i="1"/>
  <c r="AT1601" i="1"/>
  <c r="AS1601" i="1"/>
  <c r="AP1601" i="1"/>
  <c r="AO1601" i="1"/>
  <c r="AL1601" i="1"/>
  <c r="AK1601" i="1"/>
  <c r="AI1601" i="1"/>
  <c r="AH1601" i="1"/>
  <c r="AG1601" i="1"/>
  <c r="AE1601" i="1"/>
  <c r="AD1601" i="1"/>
  <c r="AC1601" i="1"/>
  <c r="Z1601" i="1"/>
  <c r="Y1601" i="1"/>
  <c r="W1601" i="1"/>
  <c r="V1601" i="1"/>
  <c r="U1601" i="1"/>
  <c r="S1601" i="1"/>
  <c r="R1601" i="1"/>
  <c r="Q1601" i="1"/>
  <c r="N1601" i="1"/>
  <c r="O1601" i="1" s="1"/>
  <c r="M1601" i="1"/>
  <c r="J1601" i="1"/>
  <c r="I1601" i="1"/>
  <c r="G1601" i="1"/>
  <c r="F1601" i="1"/>
  <c r="E1601" i="1"/>
  <c r="BN1600" i="1"/>
  <c r="BM1600" i="1"/>
  <c r="BL1600" i="1"/>
  <c r="BJ1600" i="1"/>
  <c r="BI1600" i="1"/>
  <c r="BG1600" i="1"/>
  <c r="BF1600" i="1"/>
  <c r="BE1600" i="1"/>
  <c r="BB1600" i="1"/>
  <c r="BC1600" i="1" s="1"/>
  <c r="BA1600" i="1"/>
  <c r="AX1600" i="1"/>
  <c r="AY1600" i="1" s="1"/>
  <c r="AW1600" i="1"/>
  <c r="AT1600" i="1"/>
  <c r="AQ1600" i="1" s="1"/>
  <c r="AS1600" i="1"/>
  <c r="AP1600" i="1"/>
  <c r="AO1600" i="1"/>
  <c r="AL1600" i="1"/>
  <c r="AM1600" i="1" s="1"/>
  <c r="AK1600" i="1"/>
  <c r="AH1600" i="1"/>
  <c r="AI1600" i="1" s="1"/>
  <c r="AG1600" i="1"/>
  <c r="AD1600" i="1"/>
  <c r="AE1600" i="1" s="1"/>
  <c r="AC1600" i="1"/>
  <c r="Z1600" i="1"/>
  <c r="Y1600" i="1"/>
  <c r="V1600" i="1"/>
  <c r="W1600" i="1" s="1"/>
  <c r="U1600" i="1"/>
  <c r="R1600" i="1"/>
  <c r="S1600" i="1" s="1"/>
  <c r="Q1600" i="1"/>
  <c r="N1600" i="1"/>
  <c r="M1600" i="1"/>
  <c r="J1600" i="1"/>
  <c r="K1600" i="1" s="1"/>
  <c r="I1600" i="1"/>
  <c r="F1600" i="1"/>
  <c r="G1600" i="1" s="1"/>
  <c r="E1600" i="1"/>
  <c r="BN1599" i="1"/>
  <c r="BM1599" i="1"/>
  <c r="BL1599" i="1"/>
  <c r="BJ1599" i="1"/>
  <c r="BI1599" i="1"/>
  <c r="BF1599" i="1"/>
  <c r="BG1599" i="1" s="1"/>
  <c r="BE1599" i="1"/>
  <c r="BB1599" i="1"/>
  <c r="BA1599" i="1"/>
  <c r="AX1599" i="1"/>
  <c r="AW1599" i="1"/>
  <c r="AU1599" i="1"/>
  <c r="AT1599" i="1"/>
  <c r="AS1599" i="1"/>
  <c r="AQ1599" i="1"/>
  <c r="AP1599" i="1"/>
  <c r="AO1599" i="1"/>
  <c r="AL1599" i="1"/>
  <c r="AM1599" i="1" s="1"/>
  <c r="AK1599" i="1"/>
  <c r="AH1599" i="1"/>
  <c r="AI1599" i="1" s="1"/>
  <c r="AG1599" i="1"/>
  <c r="AD1599" i="1"/>
  <c r="AE1599" i="1" s="1"/>
  <c r="AC1599" i="1"/>
  <c r="Z1599" i="1"/>
  <c r="AA1599" i="1" s="1"/>
  <c r="Y1599" i="1"/>
  <c r="V1599" i="1"/>
  <c r="U1599" i="1"/>
  <c r="R1599" i="1"/>
  <c r="Q1599" i="1"/>
  <c r="O1599" i="1"/>
  <c r="N1599" i="1"/>
  <c r="M1599" i="1"/>
  <c r="K1599" i="1"/>
  <c r="J1599" i="1"/>
  <c r="I1599" i="1"/>
  <c r="F1599" i="1"/>
  <c r="G1599" i="1" s="1"/>
  <c r="E1599" i="1"/>
  <c r="BN1598" i="1"/>
  <c r="BM1598" i="1"/>
  <c r="BL1598" i="1"/>
  <c r="BJ1598" i="1"/>
  <c r="BI1598" i="1"/>
  <c r="BF1598" i="1"/>
  <c r="BG1598" i="1" s="1"/>
  <c r="BE1598" i="1"/>
  <c r="BB1598" i="1"/>
  <c r="BC1598" i="1" s="1"/>
  <c r="BA1598" i="1"/>
  <c r="AX1598" i="1"/>
  <c r="AY1598" i="1" s="1"/>
  <c r="AW1598" i="1"/>
  <c r="AT1598" i="1"/>
  <c r="AU1598" i="1" s="1"/>
  <c r="AS1598" i="1"/>
  <c r="AP1598" i="1"/>
  <c r="AO1598" i="1"/>
  <c r="AL1598" i="1"/>
  <c r="AK1598" i="1"/>
  <c r="AI1598" i="1"/>
  <c r="AH1598" i="1"/>
  <c r="AG1598" i="1"/>
  <c r="AE1598" i="1"/>
  <c r="AD1598" i="1"/>
  <c r="AC1598" i="1"/>
  <c r="Z1598" i="1"/>
  <c r="AA1598" i="1" s="1"/>
  <c r="Y1598" i="1"/>
  <c r="V1598" i="1"/>
  <c r="W1598" i="1" s="1"/>
  <c r="U1598" i="1"/>
  <c r="R1598" i="1"/>
  <c r="S1598" i="1" s="1"/>
  <c r="Q1598" i="1"/>
  <c r="N1598" i="1"/>
  <c r="O1598" i="1" s="1"/>
  <c r="M1598" i="1"/>
  <c r="J1598" i="1"/>
  <c r="I1598" i="1"/>
  <c r="F1598" i="1"/>
  <c r="E1598" i="1"/>
  <c r="BN1597" i="1"/>
  <c r="BL1597" i="1"/>
  <c r="BJ1597" i="1"/>
  <c r="BI1597" i="1"/>
  <c r="BF1597" i="1"/>
  <c r="BE1597" i="1"/>
  <c r="BC1597" i="1"/>
  <c r="BB1597" i="1"/>
  <c r="BA1597" i="1"/>
  <c r="AY1597" i="1"/>
  <c r="AX1597" i="1"/>
  <c r="AW1597" i="1"/>
  <c r="AT1597" i="1"/>
  <c r="AU1597" i="1" s="1"/>
  <c r="AS1597" i="1"/>
  <c r="AP1597" i="1"/>
  <c r="AQ1597" i="1" s="1"/>
  <c r="AO1597" i="1"/>
  <c r="AL1597" i="1"/>
  <c r="AM1597" i="1" s="1"/>
  <c r="AK1597" i="1"/>
  <c r="AH1597" i="1"/>
  <c r="AI1597" i="1" s="1"/>
  <c r="AF1597" i="1"/>
  <c r="AG1597" i="1" s="1"/>
  <c r="AE1597" i="1"/>
  <c r="AD1597" i="1"/>
  <c r="AC1597" i="1"/>
  <c r="Z1597" i="1"/>
  <c r="AA1597" i="1" s="1"/>
  <c r="Y1597" i="1"/>
  <c r="V1597" i="1"/>
  <c r="W1597" i="1" s="1"/>
  <c r="U1597" i="1"/>
  <c r="R1597" i="1"/>
  <c r="S1597" i="1" s="1"/>
  <c r="Q1597" i="1"/>
  <c r="N1597" i="1"/>
  <c r="O1597" i="1" s="1"/>
  <c r="M1597" i="1"/>
  <c r="J1597" i="1"/>
  <c r="I1597" i="1"/>
  <c r="F1597" i="1"/>
  <c r="E1597" i="1"/>
  <c r="BN1596" i="1"/>
  <c r="BL1596" i="1"/>
  <c r="BJ1596" i="1"/>
  <c r="BI1596" i="1"/>
  <c r="BF1596" i="1"/>
  <c r="BE1596" i="1"/>
  <c r="BC1596" i="1"/>
  <c r="BB1596" i="1"/>
  <c r="BA1596" i="1"/>
  <c r="AY1596" i="1"/>
  <c r="AX1596" i="1"/>
  <c r="AW1596" i="1"/>
  <c r="AT1596" i="1"/>
  <c r="AU1596" i="1" s="1"/>
  <c r="AS1596" i="1"/>
  <c r="AP1596" i="1"/>
  <c r="AQ1596" i="1" s="1"/>
  <c r="AO1596" i="1"/>
  <c r="AL1596" i="1"/>
  <c r="AM1596" i="1" s="1"/>
  <c r="AK1596" i="1"/>
  <c r="AH1596" i="1"/>
  <c r="AI1596" i="1" s="1"/>
  <c r="AF1596" i="1"/>
  <c r="AG1596" i="1" s="1"/>
  <c r="AE1596" i="1"/>
  <c r="AD1596" i="1"/>
  <c r="AC1596" i="1"/>
  <c r="Z1596" i="1"/>
  <c r="AA1596" i="1" s="1"/>
  <c r="Y1596" i="1"/>
  <c r="V1596" i="1"/>
  <c r="W1596" i="1" s="1"/>
  <c r="U1596" i="1"/>
  <c r="R1596" i="1"/>
  <c r="S1596" i="1" s="1"/>
  <c r="Q1596" i="1"/>
  <c r="N1596" i="1"/>
  <c r="O1596" i="1" s="1"/>
  <c r="M1596" i="1"/>
  <c r="J1596" i="1"/>
  <c r="I1596" i="1"/>
  <c r="F1596" i="1"/>
  <c r="E1596" i="1"/>
  <c r="BN1595" i="1"/>
  <c r="BL1595" i="1"/>
  <c r="BJ1595" i="1"/>
  <c r="BI1595" i="1"/>
  <c r="BF1595" i="1"/>
  <c r="BE1595" i="1"/>
  <c r="BC1595" i="1"/>
  <c r="BB1595" i="1"/>
  <c r="BA1595" i="1"/>
  <c r="AY1595" i="1"/>
  <c r="AX1595" i="1"/>
  <c r="AW1595" i="1"/>
  <c r="AT1595" i="1"/>
  <c r="AU1595" i="1" s="1"/>
  <c r="AS1595" i="1"/>
  <c r="AP1595" i="1"/>
  <c r="AQ1595" i="1" s="1"/>
  <c r="AO1595" i="1"/>
  <c r="AL1595" i="1"/>
  <c r="AM1595" i="1" s="1"/>
  <c r="AK1595" i="1"/>
  <c r="AH1595" i="1"/>
  <c r="AI1595" i="1" s="1"/>
  <c r="AF1595" i="1"/>
  <c r="AG1595" i="1" s="1"/>
  <c r="AE1595" i="1"/>
  <c r="AD1595" i="1"/>
  <c r="AC1595" i="1"/>
  <c r="Z1595" i="1"/>
  <c r="AA1595" i="1" s="1"/>
  <c r="Y1595" i="1"/>
  <c r="V1595" i="1"/>
  <c r="W1595" i="1" s="1"/>
  <c r="U1595" i="1"/>
  <c r="R1595" i="1"/>
  <c r="S1595" i="1" s="1"/>
  <c r="Q1595" i="1"/>
  <c r="N1595" i="1"/>
  <c r="O1595" i="1" s="1"/>
  <c r="M1595" i="1"/>
  <c r="J1595" i="1"/>
  <c r="I1595" i="1"/>
  <c r="F1595" i="1"/>
  <c r="E1595" i="1"/>
  <c r="BN1594" i="1"/>
  <c r="BL1594" i="1"/>
  <c r="BJ1594" i="1"/>
  <c r="BI1594" i="1"/>
  <c r="BF1594" i="1"/>
  <c r="BE1594" i="1"/>
  <c r="BC1594" i="1"/>
  <c r="BB1594" i="1"/>
  <c r="BA1594" i="1"/>
  <c r="AY1594" i="1"/>
  <c r="AX1594" i="1"/>
  <c r="AW1594" i="1"/>
  <c r="AT1594" i="1"/>
  <c r="AU1594" i="1" s="1"/>
  <c r="AS1594" i="1"/>
  <c r="AP1594" i="1"/>
  <c r="AQ1594" i="1" s="1"/>
  <c r="AO1594" i="1"/>
  <c r="AL1594" i="1"/>
  <c r="AM1594" i="1" s="1"/>
  <c r="AK1594" i="1"/>
  <c r="AH1594" i="1"/>
  <c r="AI1594" i="1" s="1"/>
  <c r="AG1594" i="1"/>
  <c r="AD1594" i="1"/>
  <c r="AC1594" i="1"/>
  <c r="Z1594" i="1"/>
  <c r="Y1594" i="1"/>
  <c r="W1594" i="1"/>
  <c r="V1594" i="1"/>
  <c r="U1594" i="1"/>
  <c r="S1594" i="1"/>
  <c r="R1594" i="1"/>
  <c r="Q1594" i="1"/>
  <c r="N1594" i="1"/>
  <c r="O1594" i="1" s="1"/>
  <c r="M1594" i="1"/>
  <c r="J1594" i="1"/>
  <c r="K1594" i="1" s="1"/>
  <c r="I1594" i="1"/>
  <c r="F1594" i="1"/>
  <c r="G1594" i="1" s="1"/>
  <c r="E1594" i="1"/>
  <c r="BN1593" i="1"/>
  <c r="BM1593" i="1"/>
  <c r="BL1593" i="1"/>
  <c r="BJ1593" i="1"/>
  <c r="BI1593" i="1"/>
  <c r="BF1593" i="1"/>
  <c r="BG1593" i="1" s="1"/>
  <c r="BE1593" i="1"/>
  <c r="BB1593" i="1"/>
  <c r="BC1593" i="1" s="1"/>
  <c r="BA1593" i="1"/>
  <c r="AX1593" i="1"/>
  <c r="AW1593" i="1"/>
  <c r="AT1593" i="1"/>
  <c r="AS1593" i="1"/>
  <c r="AQ1593" i="1"/>
  <c r="AP1593" i="1"/>
  <c r="AO1593" i="1"/>
  <c r="AM1593" i="1"/>
  <c r="AL1593" i="1"/>
  <c r="AK1593" i="1"/>
  <c r="AH1593" i="1"/>
  <c r="AI1593" i="1" s="1"/>
  <c r="AG1593" i="1"/>
  <c r="AD1593" i="1"/>
  <c r="AE1593" i="1" s="1"/>
  <c r="AC1593" i="1"/>
  <c r="Z1593" i="1"/>
  <c r="AA1593" i="1" s="1"/>
  <c r="Y1593" i="1"/>
  <c r="V1593" i="1"/>
  <c r="W1593" i="1" s="1"/>
  <c r="U1593" i="1"/>
  <c r="R1593" i="1"/>
  <c r="Q1593" i="1"/>
  <c r="N1593" i="1"/>
  <c r="M1593" i="1"/>
  <c r="K1593" i="1"/>
  <c r="J1593" i="1"/>
  <c r="I1593" i="1"/>
  <c r="G1593" i="1"/>
  <c r="F1593" i="1"/>
  <c r="E1593" i="1"/>
  <c r="BN1592" i="1"/>
  <c r="BM1592" i="1"/>
  <c r="BL1592" i="1"/>
  <c r="BJ1592" i="1"/>
  <c r="BI1592" i="1"/>
  <c r="BG1592" i="1"/>
  <c r="BF1592" i="1"/>
  <c r="BE1592" i="1"/>
  <c r="BB1592" i="1"/>
  <c r="BC1592" i="1" s="1"/>
  <c r="BA1592" i="1"/>
  <c r="AX1592" i="1"/>
  <c r="AY1592" i="1" s="1"/>
  <c r="AW1592" i="1"/>
  <c r="AT1592" i="1"/>
  <c r="AU1592" i="1" s="1"/>
  <c r="AS1592" i="1"/>
  <c r="AP1592" i="1"/>
  <c r="AQ1592" i="1" s="1"/>
  <c r="AO1592" i="1"/>
  <c r="AL1592" i="1"/>
  <c r="AK1592" i="1"/>
  <c r="AH1592" i="1"/>
  <c r="AG1592" i="1"/>
  <c r="AE1592" i="1"/>
  <c r="AD1592" i="1"/>
  <c r="AC1592" i="1"/>
  <c r="AA1592" i="1"/>
  <c r="Z1592" i="1"/>
  <c r="Y1592" i="1"/>
  <c r="V1592" i="1"/>
  <c r="W1592" i="1" s="1"/>
  <c r="U1592" i="1"/>
  <c r="R1592" i="1"/>
  <c r="S1592" i="1" s="1"/>
  <c r="Q1592" i="1"/>
  <c r="N1592" i="1"/>
  <c r="O1592" i="1" s="1"/>
  <c r="M1592" i="1"/>
  <c r="J1592" i="1"/>
  <c r="K1592" i="1" s="1"/>
  <c r="I1592" i="1"/>
  <c r="F1592" i="1"/>
  <c r="G1592" i="1" s="1"/>
  <c r="E1592" i="1"/>
  <c r="BN1591" i="1"/>
  <c r="BL1591" i="1"/>
  <c r="BJ1591" i="1"/>
  <c r="BM1591" i="1" s="1"/>
  <c r="BI1591" i="1"/>
  <c r="BF1591" i="1"/>
  <c r="BE1591" i="1"/>
  <c r="BB1591" i="1"/>
  <c r="BA1591" i="1"/>
  <c r="AY1591" i="1"/>
  <c r="AX1591" i="1"/>
  <c r="AW1591" i="1"/>
  <c r="AU1591" i="1"/>
  <c r="AT1591" i="1"/>
  <c r="AS1591" i="1"/>
  <c r="AP1591" i="1"/>
  <c r="AQ1591" i="1" s="1"/>
  <c r="AO1591" i="1"/>
  <c r="AL1591" i="1"/>
  <c r="AM1591" i="1" s="1"/>
  <c r="AK1591" i="1"/>
  <c r="AH1591" i="1"/>
  <c r="AI1591" i="1" s="1"/>
  <c r="AG1591" i="1"/>
  <c r="AD1591" i="1"/>
  <c r="AE1591" i="1" s="1"/>
  <c r="AC1591" i="1"/>
  <c r="Z1591" i="1"/>
  <c r="Y1591" i="1"/>
  <c r="V1591" i="1"/>
  <c r="U1591" i="1"/>
  <c r="S1591" i="1"/>
  <c r="R1591" i="1"/>
  <c r="Q1591" i="1"/>
  <c r="O1591" i="1"/>
  <c r="N1591" i="1"/>
  <c r="M1591" i="1"/>
  <c r="J1591" i="1"/>
  <c r="K1591" i="1" s="1"/>
  <c r="I1591" i="1"/>
  <c r="F1591" i="1"/>
  <c r="G1591" i="1" s="1"/>
  <c r="E1591" i="1"/>
  <c r="BN1590" i="1"/>
  <c r="BL1590" i="1"/>
  <c r="BJ1590" i="1"/>
  <c r="BM1590" i="1" s="1"/>
  <c r="BI1590" i="1"/>
  <c r="BF1590" i="1"/>
  <c r="BG1590" i="1" s="1"/>
  <c r="BE1590" i="1"/>
  <c r="BB1590" i="1"/>
  <c r="BC1590" i="1" s="1"/>
  <c r="BA1590" i="1"/>
  <c r="AX1590" i="1"/>
  <c r="AY1590" i="1" s="1"/>
  <c r="AW1590" i="1"/>
  <c r="AT1590" i="1"/>
  <c r="AS1590" i="1"/>
  <c r="AP1590" i="1"/>
  <c r="AO1590" i="1"/>
  <c r="AM1590" i="1"/>
  <c r="AL1590" i="1"/>
  <c r="AK1590" i="1"/>
  <c r="AI1590" i="1"/>
  <c r="AH1590" i="1"/>
  <c r="AG1590" i="1"/>
  <c r="AD1590" i="1"/>
  <c r="AE1590" i="1" s="1"/>
  <c r="AC1590" i="1"/>
  <c r="Z1590" i="1"/>
  <c r="AA1590" i="1" s="1"/>
  <c r="Y1590" i="1"/>
  <c r="V1590" i="1"/>
  <c r="W1590" i="1" s="1"/>
  <c r="U1590" i="1"/>
  <c r="R1590" i="1"/>
  <c r="S1590" i="1" s="1"/>
  <c r="Q1590" i="1"/>
  <c r="N1590" i="1"/>
  <c r="M1590" i="1"/>
  <c r="J1590" i="1"/>
  <c r="I1590" i="1"/>
  <c r="G1590" i="1"/>
  <c r="F1590" i="1"/>
  <c r="E1590" i="1"/>
  <c r="BN1589" i="1"/>
  <c r="BM1589" i="1" s="1"/>
  <c r="BL1589" i="1"/>
  <c r="BJ1589" i="1"/>
  <c r="BI1589" i="1"/>
  <c r="BG1589" i="1"/>
  <c r="BF1589" i="1"/>
  <c r="BE1589" i="1"/>
  <c r="BC1589" i="1"/>
  <c r="BB1589" i="1"/>
  <c r="BA1589" i="1"/>
  <c r="AX1589" i="1"/>
  <c r="AY1589" i="1" s="1"/>
  <c r="AW1589" i="1"/>
  <c r="AT1589" i="1"/>
  <c r="AU1589" i="1" s="1"/>
  <c r="AS1589" i="1"/>
  <c r="AP1589" i="1"/>
  <c r="AQ1589" i="1" s="1"/>
  <c r="AO1589" i="1"/>
  <c r="AL1589" i="1"/>
  <c r="AM1589" i="1" s="1"/>
  <c r="AK1589" i="1"/>
  <c r="AH1589" i="1"/>
  <c r="AG1589" i="1"/>
  <c r="AD1589" i="1"/>
  <c r="AC1589" i="1"/>
  <c r="AA1589" i="1"/>
  <c r="Z1589" i="1"/>
  <c r="Y1589" i="1"/>
  <c r="W1589" i="1"/>
  <c r="V1589" i="1"/>
  <c r="U1589" i="1"/>
  <c r="T1589" i="1"/>
  <c r="R1589" i="1"/>
  <c r="S1589" i="1" s="1"/>
  <c r="Q1589" i="1"/>
  <c r="N1589" i="1"/>
  <c r="O1589" i="1" s="1"/>
  <c r="L1589" i="1"/>
  <c r="M1589" i="1" s="1"/>
  <c r="J1589" i="1"/>
  <c r="I1589" i="1"/>
  <c r="H1589" i="1"/>
  <c r="F1589" i="1"/>
  <c r="G1589" i="1" s="1"/>
  <c r="D1589" i="1"/>
  <c r="E1589" i="1" s="1"/>
  <c r="BN1588" i="1"/>
  <c r="BM1588" i="1"/>
  <c r="BL1588" i="1"/>
  <c r="BJ1588" i="1"/>
  <c r="BI1588" i="1"/>
  <c r="BG1588" i="1"/>
  <c r="BF1588" i="1"/>
  <c r="BE1588" i="1"/>
  <c r="BB1588" i="1"/>
  <c r="BC1588" i="1" s="1"/>
  <c r="BA1588" i="1"/>
  <c r="AX1588" i="1"/>
  <c r="AY1588" i="1" s="1"/>
  <c r="AW1588" i="1"/>
  <c r="AT1588" i="1"/>
  <c r="AU1588" i="1" s="1"/>
  <c r="AS1588" i="1"/>
  <c r="AP1588" i="1"/>
  <c r="AQ1588" i="1" s="1"/>
  <c r="AO1588" i="1"/>
  <c r="AL1588" i="1"/>
  <c r="AK1588" i="1"/>
  <c r="AH1588" i="1"/>
  <c r="AG1588" i="1"/>
  <c r="AE1588" i="1"/>
  <c r="AD1588" i="1"/>
  <c r="AC1588" i="1"/>
  <c r="AA1588" i="1"/>
  <c r="Z1588" i="1"/>
  <c r="Y1588" i="1"/>
  <c r="V1588" i="1"/>
  <c r="W1588" i="1" s="1"/>
  <c r="U1588" i="1"/>
  <c r="R1588" i="1"/>
  <c r="S1588" i="1" s="1"/>
  <c r="Q1588" i="1"/>
  <c r="N1588" i="1"/>
  <c r="O1588" i="1" s="1"/>
  <c r="L1588" i="1"/>
  <c r="M1588" i="1" s="1"/>
  <c r="K1588" i="1"/>
  <c r="J1588" i="1"/>
  <c r="H1588" i="1"/>
  <c r="I1588" i="1" s="1"/>
  <c r="F1588" i="1"/>
  <c r="G1588" i="1" s="1"/>
  <c r="D1588" i="1"/>
  <c r="E1588" i="1" s="1"/>
  <c r="BN1587" i="1"/>
  <c r="BL1587" i="1"/>
  <c r="BJ1587" i="1"/>
  <c r="BI1587" i="1"/>
  <c r="BF1587" i="1"/>
  <c r="BE1587" i="1"/>
  <c r="BC1587" i="1"/>
  <c r="BB1587" i="1"/>
  <c r="BA1587" i="1"/>
  <c r="AY1587" i="1"/>
  <c r="AX1587" i="1"/>
  <c r="AW1587" i="1"/>
  <c r="AT1587" i="1"/>
  <c r="AU1587" i="1" s="1"/>
  <c r="AS1587" i="1"/>
  <c r="AP1587" i="1"/>
  <c r="AQ1587" i="1" s="1"/>
  <c r="AO1587" i="1"/>
  <c r="AL1587" i="1"/>
  <c r="AM1587" i="1" s="1"/>
  <c r="AK1587" i="1"/>
  <c r="AH1587" i="1"/>
  <c r="AI1587" i="1" s="1"/>
  <c r="AG1587" i="1"/>
  <c r="AD1587" i="1"/>
  <c r="AC1587" i="1"/>
  <c r="Z1587" i="1"/>
  <c r="Y1587" i="1"/>
  <c r="W1587" i="1"/>
  <c r="V1587" i="1"/>
  <c r="U1587" i="1"/>
  <c r="S1587" i="1"/>
  <c r="R1587" i="1"/>
  <c r="Q1587" i="1"/>
  <c r="N1587" i="1"/>
  <c r="O1587" i="1" s="1"/>
  <c r="M1587" i="1"/>
  <c r="L1587" i="1"/>
  <c r="J1587" i="1"/>
  <c r="K1587" i="1" s="1"/>
  <c r="H1587" i="1"/>
  <c r="I1587" i="1" s="1"/>
  <c r="F1587" i="1"/>
  <c r="G1587" i="1" s="1"/>
  <c r="E1587" i="1"/>
  <c r="D1587" i="1"/>
  <c r="BN1586" i="1"/>
  <c r="BM1586" i="1"/>
  <c r="BL1586" i="1"/>
  <c r="BJ1586" i="1"/>
  <c r="BI1586" i="1"/>
  <c r="BF1586" i="1"/>
  <c r="BG1586" i="1" s="1"/>
  <c r="BE1586" i="1"/>
  <c r="BB1586" i="1"/>
  <c r="BA1586" i="1"/>
  <c r="AX1586" i="1"/>
  <c r="AW1586" i="1"/>
  <c r="AU1586" i="1"/>
  <c r="AT1586" i="1"/>
  <c r="AS1586" i="1"/>
  <c r="AQ1586" i="1"/>
  <c r="AP1586" i="1"/>
  <c r="AO1586" i="1"/>
  <c r="AL1586" i="1"/>
  <c r="AM1586" i="1" s="1"/>
  <c r="AK1586" i="1"/>
  <c r="AH1586" i="1"/>
  <c r="AI1586" i="1" s="1"/>
  <c r="AG1586" i="1"/>
  <c r="AD1586" i="1"/>
  <c r="AE1586" i="1" s="1"/>
  <c r="AC1586" i="1"/>
  <c r="Z1586" i="1"/>
  <c r="AA1586" i="1" s="1"/>
  <c r="Y1586" i="1"/>
  <c r="V1586" i="1"/>
  <c r="U1586" i="1"/>
  <c r="R1586" i="1"/>
  <c r="Q1586" i="1"/>
  <c r="O1586" i="1"/>
  <c r="N1586" i="1"/>
  <c r="M1586" i="1"/>
  <c r="K1586" i="1"/>
  <c r="J1586" i="1"/>
  <c r="I1586" i="1"/>
  <c r="F1586" i="1"/>
  <c r="G1586" i="1" s="1"/>
  <c r="E1586" i="1"/>
  <c r="BN1585" i="1"/>
  <c r="BM1585" i="1"/>
  <c r="BL1585" i="1"/>
  <c r="BJ1585" i="1"/>
  <c r="BI1585" i="1"/>
  <c r="BH1585" i="1"/>
  <c r="BF1585" i="1"/>
  <c r="BG1585" i="1" s="1"/>
  <c r="BD1585" i="1"/>
  <c r="BE1585" i="1" s="1"/>
  <c r="BC1585" i="1"/>
  <c r="BB1585" i="1"/>
  <c r="BA1585" i="1"/>
  <c r="AX1585" i="1"/>
  <c r="AY1585" i="1" s="1"/>
  <c r="AW1585" i="1"/>
  <c r="AV1585" i="1"/>
  <c r="AT1585" i="1"/>
  <c r="AU1585" i="1" s="1"/>
  <c r="AR1585" i="1"/>
  <c r="AS1585" i="1" s="1"/>
  <c r="AP1585" i="1"/>
  <c r="AQ1585" i="1" s="1"/>
  <c r="AO1585" i="1"/>
  <c r="AN1585" i="1"/>
  <c r="AL1585" i="1"/>
  <c r="AK1585" i="1"/>
  <c r="AH1585" i="1"/>
  <c r="AF1585" i="1"/>
  <c r="AG1585" i="1" s="1"/>
  <c r="AD1585" i="1"/>
  <c r="AE1585" i="1" s="1"/>
  <c r="AC1585" i="1"/>
  <c r="AB1585" i="1"/>
  <c r="AA1585" i="1"/>
  <c r="Z1585" i="1"/>
  <c r="X1585" i="1"/>
  <c r="Y1585" i="1" s="1"/>
  <c r="V1585" i="1"/>
  <c r="W1585" i="1" s="1"/>
  <c r="U1585" i="1"/>
  <c r="T1585" i="1"/>
  <c r="S1585" i="1"/>
  <c r="R1585" i="1"/>
  <c r="Q1585" i="1"/>
  <c r="O1585" i="1"/>
  <c r="N1585" i="1"/>
  <c r="M1585" i="1"/>
  <c r="K1585" i="1"/>
  <c r="J1585" i="1"/>
  <c r="I1585" i="1"/>
  <c r="F1585" i="1"/>
  <c r="G1585" i="1" s="1"/>
  <c r="E1585" i="1"/>
  <c r="BN1584" i="1"/>
  <c r="BM1584" i="1"/>
  <c r="BL1584" i="1"/>
  <c r="BJ1584" i="1"/>
  <c r="BI1584" i="1"/>
  <c r="BH1584" i="1"/>
  <c r="BF1584" i="1"/>
  <c r="BG1584" i="1" s="1"/>
  <c r="BD1584" i="1"/>
  <c r="BE1584" i="1" s="1"/>
  <c r="BC1584" i="1"/>
  <c r="BB1584" i="1"/>
  <c r="BA1584" i="1"/>
  <c r="AX1584" i="1"/>
  <c r="AY1584" i="1" s="1"/>
  <c r="AW1584" i="1"/>
  <c r="AV1584" i="1"/>
  <c r="AT1584" i="1"/>
  <c r="AU1584" i="1" s="1"/>
  <c r="AR1584" i="1"/>
  <c r="AS1584" i="1" s="1"/>
  <c r="AP1584" i="1"/>
  <c r="AO1584" i="1"/>
  <c r="AN1584" i="1"/>
  <c r="AL1584" i="1"/>
  <c r="AK1584" i="1"/>
  <c r="AH1584" i="1"/>
  <c r="AF1584" i="1"/>
  <c r="AG1584" i="1" s="1"/>
  <c r="AD1584" i="1"/>
  <c r="AE1584" i="1" s="1"/>
  <c r="AC1584" i="1"/>
  <c r="AB1584" i="1"/>
  <c r="AA1584" i="1"/>
  <c r="Z1584" i="1"/>
  <c r="X1584" i="1"/>
  <c r="Y1584" i="1" s="1"/>
  <c r="V1584" i="1"/>
  <c r="W1584" i="1" s="1"/>
  <c r="U1584" i="1"/>
  <c r="T1584" i="1"/>
  <c r="S1584" i="1"/>
  <c r="R1584" i="1"/>
  <c r="Q1584" i="1"/>
  <c r="O1584" i="1"/>
  <c r="N1584" i="1"/>
  <c r="M1584" i="1"/>
  <c r="K1584" i="1"/>
  <c r="J1584" i="1"/>
  <c r="I1584" i="1"/>
  <c r="F1584" i="1"/>
  <c r="G1584" i="1" s="1"/>
  <c r="E1584" i="1"/>
  <c r="BN1583" i="1"/>
  <c r="BM1583" i="1"/>
  <c r="BL1583" i="1"/>
  <c r="BJ1583" i="1"/>
  <c r="BI1583" i="1"/>
  <c r="BH1583" i="1"/>
  <c r="BF1583" i="1"/>
  <c r="BG1583" i="1" s="1"/>
  <c r="BD1583" i="1"/>
  <c r="BE1583" i="1" s="1"/>
  <c r="BC1583" i="1"/>
  <c r="BB1583" i="1"/>
  <c r="BA1583" i="1"/>
  <c r="AX1583" i="1"/>
  <c r="AY1583" i="1" s="1"/>
  <c r="AW1583" i="1"/>
  <c r="AV1583" i="1"/>
  <c r="AT1583" i="1"/>
  <c r="AU1583" i="1" s="1"/>
  <c r="AR1583" i="1"/>
  <c r="AS1583" i="1" s="1"/>
  <c r="AP1583" i="1"/>
  <c r="AO1583" i="1"/>
  <c r="AN1583" i="1"/>
  <c r="AL1583" i="1"/>
  <c r="AK1583" i="1"/>
  <c r="AH1583" i="1"/>
  <c r="AF1583" i="1"/>
  <c r="AG1583" i="1" s="1"/>
  <c r="AD1583" i="1"/>
  <c r="AE1583" i="1" s="1"/>
  <c r="AC1583" i="1"/>
  <c r="AB1583" i="1"/>
  <c r="AA1583" i="1"/>
  <c r="Z1583" i="1"/>
  <c r="X1583" i="1"/>
  <c r="Y1583" i="1" s="1"/>
  <c r="V1583" i="1"/>
  <c r="W1583" i="1" s="1"/>
  <c r="U1583" i="1"/>
  <c r="T1583" i="1"/>
  <c r="S1583" i="1"/>
  <c r="R1583" i="1"/>
  <c r="Q1583" i="1"/>
  <c r="O1583" i="1"/>
  <c r="N1583" i="1"/>
  <c r="M1583" i="1"/>
  <c r="K1583" i="1"/>
  <c r="J1583" i="1"/>
  <c r="I1583" i="1"/>
  <c r="H1583" i="1"/>
  <c r="F1583" i="1"/>
  <c r="G1583" i="1" s="1"/>
  <c r="E1583" i="1"/>
  <c r="BN1582" i="1"/>
  <c r="BM1582" i="1"/>
  <c r="BL1582" i="1"/>
  <c r="BJ1582" i="1"/>
  <c r="BI1582" i="1"/>
  <c r="BF1582" i="1"/>
  <c r="BG1582" i="1" s="1"/>
  <c r="BE1582" i="1"/>
  <c r="BB1582" i="1"/>
  <c r="BA1582" i="1"/>
  <c r="AX1582" i="1"/>
  <c r="AW1582" i="1"/>
  <c r="AU1582" i="1"/>
  <c r="AT1582" i="1"/>
  <c r="AS1582" i="1"/>
  <c r="AQ1582" i="1"/>
  <c r="AP1582" i="1"/>
  <c r="AO1582" i="1"/>
  <c r="AL1582" i="1"/>
  <c r="AM1582" i="1" s="1"/>
  <c r="AK1582" i="1"/>
  <c r="AH1582" i="1"/>
  <c r="AI1582" i="1" s="1"/>
  <c r="AG1582" i="1"/>
  <c r="AD1582" i="1"/>
  <c r="AE1582" i="1" s="1"/>
  <c r="AC1582" i="1"/>
  <c r="Z1582" i="1"/>
  <c r="AA1582" i="1" s="1"/>
  <c r="Y1582" i="1"/>
  <c r="V1582" i="1"/>
  <c r="U1582" i="1"/>
  <c r="R1582" i="1"/>
  <c r="Q1582" i="1"/>
  <c r="O1582" i="1"/>
  <c r="N1582" i="1"/>
  <c r="M1582" i="1"/>
  <c r="K1582" i="1"/>
  <c r="J1582" i="1"/>
  <c r="I1582" i="1"/>
  <c r="F1582" i="1"/>
  <c r="G1582" i="1" s="1"/>
  <c r="E1582" i="1"/>
  <c r="BN1581" i="1"/>
  <c r="BM1581" i="1"/>
  <c r="BL1581" i="1"/>
  <c r="BJ1581" i="1"/>
  <c r="BI1581" i="1"/>
  <c r="BF1581" i="1"/>
  <c r="BG1581" i="1" s="1"/>
  <c r="BE1581" i="1"/>
  <c r="BB1581" i="1"/>
  <c r="BC1581" i="1" s="1"/>
  <c r="BA1581" i="1"/>
  <c r="AX1581" i="1"/>
  <c r="AY1581" i="1" s="1"/>
  <c r="AW1581" i="1"/>
  <c r="AT1581" i="1"/>
  <c r="AU1581" i="1" s="1"/>
  <c r="AS1581" i="1"/>
  <c r="AP1581" i="1"/>
  <c r="AO1581" i="1"/>
  <c r="AL1581" i="1"/>
  <c r="AK1581" i="1"/>
  <c r="AI1581" i="1"/>
  <c r="AH1581" i="1"/>
  <c r="AF1581" i="1"/>
  <c r="AG1581" i="1" s="1"/>
  <c r="AD1581" i="1"/>
  <c r="AE1581" i="1" s="1"/>
  <c r="AB1581" i="1"/>
  <c r="AC1581" i="1" s="1"/>
  <c r="AA1581" i="1"/>
  <c r="Z1581" i="1"/>
  <c r="Y1581" i="1"/>
  <c r="W1581" i="1"/>
  <c r="V1581" i="1"/>
  <c r="U1581" i="1"/>
  <c r="R1581" i="1"/>
  <c r="S1581" i="1" s="1"/>
  <c r="Q1581" i="1"/>
  <c r="N1581" i="1"/>
  <c r="O1581" i="1" s="1"/>
  <c r="M1581" i="1"/>
  <c r="J1581" i="1"/>
  <c r="K1581" i="1" s="1"/>
  <c r="I1581" i="1"/>
  <c r="F1581" i="1"/>
  <c r="G1581" i="1" s="1"/>
  <c r="E1581" i="1"/>
  <c r="BN1580" i="1"/>
  <c r="BM1580" i="1"/>
  <c r="BL1580" i="1"/>
  <c r="BJ1580" i="1"/>
  <c r="BI1580" i="1"/>
  <c r="BF1580" i="1"/>
  <c r="BG1580" i="1" s="1"/>
  <c r="BE1580" i="1"/>
  <c r="BB1580" i="1"/>
  <c r="BA1580" i="1"/>
  <c r="AX1580" i="1"/>
  <c r="AW1580" i="1"/>
  <c r="AU1580" i="1"/>
  <c r="AT1580" i="1"/>
  <c r="AS1580" i="1"/>
  <c r="AQ1580" i="1"/>
  <c r="AP1580" i="1"/>
  <c r="AO1580" i="1"/>
  <c r="AL1580" i="1"/>
  <c r="AM1580" i="1" s="1"/>
  <c r="AK1580" i="1"/>
  <c r="AH1580" i="1"/>
  <c r="AI1580" i="1" s="1"/>
  <c r="AG1580" i="1"/>
  <c r="AF1580" i="1"/>
  <c r="AE1580" i="1"/>
  <c r="AD1580" i="1"/>
  <c r="AB1580" i="1"/>
  <c r="AC1580" i="1" s="1"/>
  <c r="Z1580" i="1"/>
  <c r="AA1580" i="1" s="1"/>
  <c r="Y1580" i="1"/>
  <c r="V1580" i="1"/>
  <c r="W1580" i="1" s="1"/>
  <c r="U1580" i="1"/>
  <c r="R1580" i="1"/>
  <c r="S1580" i="1" s="1"/>
  <c r="Q1580" i="1"/>
  <c r="N1580" i="1"/>
  <c r="M1580" i="1"/>
  <c r="J1580" i="1"/>
  <c r="I1580" i="1"/>
  <c r="G1580" i="1"/>
  <c r="F1580" i="1"/>
  <c r="E1580" i="1"/>
  <c r="BN1579" i="1"/>
  <c r="BM1579" i="1" s="1"/>
  <c r="BL1579" i="1"/>
  <c r="BJ1579" i="1"/>
  <c r="BI1579" i="1"/>
  <c r="BG1579" i="1"/>
  <c r="BF1579" i="1"/>
  <c r="BE1579" i="1"/>
  <c r="BC1579" i="1"/>
  <c r="BB1579" i="1"/>
  <c r="BA1579" i="1"/>
  <c r="AX1579" i="1"/>
  <c r="AY1579" i="1" s="1"/>
  <c r="AW1579" i="1"/>
  <c r="AT1579" i="1"/>
  <c r="AU1579" i="1" s="1"/>
  <c r="AS1579" i="1"/>
  <c r="AP1579" i="1"/>
  <c r="AQ1579" i="1" s="1"/>
  <c r="AO1579" i="1"/>
  <c r="AL1579" i="1"/>
  <c r="AM1579" i="1" s="1"/>
  <c r="AK1579" i="1"/>
  <c r="AH1579" i="1"/>
  <c r="AI1579" i="1" s="1"/>
  <c r="AF1579" i="1"/>
  <c r="AG1579" i="1" s="1"/>
  <c r="AD1579" i="1"/>
  <c r="AE1579" i="1" s="1"/>
  <c r="AC1579" i="1"/>
  <c r="AB1579" i="1"/>
  <c r="Z1579" i="1"/>
  <c r="Y1579" i="1"/>
  <c r="V1579" i="1"/>
  <c r="U1579" i="1"/>
  <c r="S1579" i="1"/>
  <c r="R1579" i="1"/>
  <c r="Q1579" i="1"/>
  <c r="O1579" i="1"/>
  <c r="N1579" i="1"/>
  <c r="M1579" i="1"/>
  <c r="J1579" i="1"/>
  <c r="K1579" i="1" s="1"/>
  <c r="I1579" i="1"/>
  <c r="F1579" i="1"/>
  <c r="G1579" i="1" s="1"/>
  <c r="E1579" i="1"/>
  <c r="BN1578" i="1"/>
  <c r="BM1578" i="1"/>
  <c r="BL1578" i="1"/>
  <c r="BJ1578" i="1"/>
  <c r="BI1578" i="1"/>
  <c r="BF1578" i="1"/>
  <c r="BG1578" i="1" s="1"/>
  <c r="BE1578" i="1"/>
  <c r="BB1578" i="1"/>
  <c r="BC1578" i="1" s="1"/>
  <c r="BA1578" i="1"/>
  <c r="AX1578" i="1"/>
  <c r="AY1578" i="1" s="1"/>
  <c r="AW1578" i="1"/>
  <c r="AT1578" i="1"/>
  <c r="AS1578" i="1"/>
  <c r="AP1578" i="1"/>
  <c r="AO1578" i="1"/>
  <c r="AM1578" i="1"/>
  <c r="AL1578" i="1"/>
  <c r="AK1578" i="1"/>
  <c r="AI1578" i="1"/>
  <c r="AH1578" i="1"/>
  <c r="AG1578" i="1"/>
  <c r="AD1578" i="1"/>
  <c r="AE1578" i="1" s="1"/>
  <c r="AC1578" i="1"/>
  <c r="Z1578" i="1"/>
  <c r="AA1578" i="1" s="1"/>
  <c r="Y1578" i="1"/>
  <c r="V1578" i="1"/>
  <c r="W1578" i="1" s="1"/>
  <c r="U1578" i="1"/>
  <c r="R1578" i="1"/>
  <c r="S1578" i="1" s="1"/>
  <c r="Q1578" i="1"/>
  <c r="N1578" i="1"/>
  <c r="M1578" i="1"/>
  <c r="J1578" i="1"/>
  <c r="I1578" i="1"/>
  <c r="G1578" i="1"/>
  <c r="F1578" i="1"/>
  <c r="E1578" i="1"/>
  <c r="BN1577" i="1"/>
  <c r="BM1577" i="1" s="1"/>
  <c r="BL1577" i="1"/>
  <c r="BJ1577" i="1"/>
  <c r="BI1577" i="1"/>
  <c r="BG1577" i="1"/>
  <c r="BF1577" i="1"/>
  <c r="BE1577" i="1"/>
  <c r="BC1577" i="1"/>
  <c r="BB1577" i="1"/>
  <c r="BA1577" i="1"/>
  <c r="AX1577" i="1"/>
  <c r="AY1577" i="1" s="1"/>
  <c r="AW1577" i="1"/>
  <c r="AT1577" i="1"/>
  <c r="AU1577" i="1" s="1"/>
  <c r="AS1577" i="1"/>
  <c r="AP1577" i="1"/>
  <c r="AQ1577" i="1" s="1"/>
  <c r="AO1577" i="1"/>
  <c r="AL1577" i="1"/>
  <c r="AM1577" i="1" s="1"/>
  <c r="AK1577" i="1"/>
  <c r="AH1577" i="1"/>
  <c r="AG1577" i="1"/>
  <c r="AD1577" i="1"/>
  <c r="AC1577" i="1"/>
  <c r="AA1577" i="1"/>
  <c r="Z1577" i="1"/>
  <c r="Y1577" i="1"/>
  <c r="W1577" i="1"/>
  <c r="V1577" i="1"/>
  <c r="U1577" i="1"/>
  <c r="R1577" i="1"/>
  <c r="S1577" i="1" s="1"/>
  <c r="Q1577" i="1"/>
  <c r="N1577" i="1"/>
  <c r="O1577" i="1" s="1"/>
  <c r="M1577" i="1"/>
  <c r="J1577" i="1"/>
  <c r="K1577" i="1" s="1"/>
  <c r="I1577" i="1"/>
  <c r="F1577" i="1"/>
  <c r="G1577" i="1" s="1"/>
  <c r="E1577" i="1"/>
  <c r="BN1576" i="1"/>
  <c r="BM1576" i="1"/>
  <c r="BL1576" i="1"/>
  <c r="BJ1576" i="1"/>
  <c r="BI1576" i="1"/>
  <c r="BF1576" i="1"/>
  <c r="BG1576" i="1" s="1"/>
  <c r="BE1576" i="1"/>
  <c r="BB1576" i="1"/>
  <c r="BA1576" i="1"/>
  <c r="AX1576" i="1"/>
  <c r="AW1576" i="1"/>
  <c r="AU1576" i="1"/>
  <c r="AT1576" i="1"/>
  <c r="AS1576" i="1"/>
  <c r="AQ1576" i="1"/>
  <c r="AP1576" i="1"/>
  <c r="AO1576" i="1"/>
  <c r="AL1576" i="1"/>
  <c r="AM1576" i="1" s="1"/>
  <c r="AK1576" i="1"/>
  <c r="AH1576" i="1"/>
  <c r="AI1576" i="1" s="1"/>
  <c r="AG1576" i="1"/>
  <c r="AD1576" i="1"/>
  <c r="AE1576" i="1" s="1"/>
  <c r="AC1576" i="1"/>
  <c r="Z1576" i="1"/>
  <c r="AA1576" i="1" s="1"/>
  <c r="Y1576" i="1"/>
  <c r="V1576" i="1"/>
  <c r="U1576" i="1"/>
  <c r="R1576" i="1"/>
  <c r="Q1576" i="1"/>
  <c r="O1576" i="1"/>
  <c r="N1576" i="1"/>
  <c r="M1576" i="1"/>
  <c r="K1576" i="1"/>
  <c r="J1576" i="1"/>
  <c r="I1576" i="1"/>
  <c r="F1576" i="1"/>
  <c r="G1576" i="1" s="1"/>
  <c r="E1576" i="1"/>
  <c r="BN1575" i="1"/>
  <c r="BM1575" i="1"/>
  <c r="BL1575" i="1"/>
  <c r="BJ1575" i="1"/>
  <c r="BI1575" i="1"/>
  <c r="BF1575" i="1"/>
  <c r="BG1575" i="1" s="1"/>
  <c r="BE1575" i="1"/>
  <c r="BB1575" i="1"/>
  <c r="BC1575" i="1" s="1"/>
  <c r="BA1575" i="1"/>
  <c r="AX1575" i="1"/>
  <c r="AY1575" i="1" s="1"/>
  <c r="AW1575" i="1"/>
  <c r="AT1575" i="1"/>
  <c r="AU1575" i="1" s="1"/>
  <c r="AS1575" i="1"/>
  <c r="AP1575" i="1"/>
  <c r="AO1575" i="1"/>
  <c r="AL1575" i="1"/>
  <c r="AK1575" i="1"/>
  <c r="AI1575" i="1"/>
  <c r="AH1575" i="1"/>
  <c r="AG1575" i="1"/>
  <c r="AE1575" i="1"/>
  <c r="AD1575" i="1"/>
  <c r="AC1575" i="1"/>
  <c r="Z1575" i="1"/>
  <c r="AA1575" i="1" s="1"/>
  <c r="Y1575" i="1"/>
  <c r="V1575" i="1"/>
  <c r="W1575" i="1" s="1"/>
  <c r="U1575" i="1"/>
  <c r="R1575" i="1"/>
  <c r="S1575" i="1" s="1"/>
  <c r="Q1575" i="1"/>
  <c r="N1575" i="1"/>
  <c r="O1575" i="1" s="1"/>
  <c r="M1575" i="1"/>
  <c r="J1575" i="1"/>
  <c r="I1575" i="1"/>
  <c r="F1575" i="1"/>
  <c r="E1575" i="1"/>
  <c r="BN1574" i="1"/>
  <c r="BL1574" i="1"/>
  <c r="BJ1574" i="1"/>
  <c r="BI1574" i="1"/>
  <c r="BF1574" i="1"/>
  <c r="BE1574" i="1"/>
  <c r="BC1574" i="1"/>
  <c r="BB1574" i="1"/>
  <c r="BA1574" i="1"/>
  <c r="AY1574" i="1"/>
  <c r="AX1574" i="1"/>
  <c r="AW1574" i="1"/>
  <c r="AT1574" i="1"/>
  <c r="AU1574" i="1" s="1"/>
  <c r="AS1574" i="1"/>
  <c r="AP1574" i="1"/>
  <c r="AQ1574" i="1" s="1"/>
  <c r="AO1574" i="1"/>
  <c r="AL1574" i="1"/>
  <c r="AM1574" i="1" s="1"/>
  <c r="AK1574" i="1"/>
  <c r="AH1574" i="1"/>
  <c r="AI1574" i="1" s="1"/>
  <c r="AG1574" i="1"/>
  <c r="AD1574" i="1"/>
  <c r="AC1574" i="1"/>
  <c r="Z1574" i="1"/>
  <c r="Y1574" i="1"/>
  <c r="W1574" i="1"/>
  <c r="V1574" i="1"/>
  <c r="U1574" i="1"/>
  <c r="S1574" i="1"/>
  <c r="R1574" i="1"/>
  <c r="Q1574" i="1"/>
  <c r="N1574" i="1"/>
  <c r="O1574" i="1" s="1"/>
  <c r="M1574" i="1"/>
  <c r="J1574" i="1"/>
  <c r="K1574" i="1" s="1"/>
  <c r="I1574" i="1"/>
  <c r="F1574" i="1"/>
  <c r="G1574" i="1" s="1"/>
  <c r="E1574" i="1"/>
  <c r="BN1573" i="1"/>
  <c r="BM1573" i="1"/>
  <c r="BL1573" i="1"/>
  <c r="BJ1573" i="1"/>
  <c r="BI1573" i="1"/>
  <c r="BF1573" i="1"/>
  <c r="BG1573" i="1" s="1"/>
  <c r="BE1573" i="1"/>
  <c r="BB1573" i="1"/>
  <c r="BC1573" i="1" s="1"/>
  <c r="BA1573" i="1"/>
  <c r="AX1573" i="1"/>
  <c r="AW1573" i="1"/>
  <c r="AT1573" i="1"/>
  <c r="AS1573" i="1"/>
  <c r="AQ1573" i="1"/>
  <c r="AP1573" i="1"/>
  <c r="AO1573" i="1"/>
  <c r="AM1573" i="1"/>
  <c r="AL1573" i="1"/>
  <c r="AK1573" i="1"/>
  <c r="AH1573" i="1"/>
  <c r="AI1573" i="1" s="1"/>
  <c r="AG1573" i="1"/>
  <c r="AD1573" i="1"/>
  <c r="AE1573" i="1" s="1"/>
  <c r="AC1573" i="1"/>
  <c r="Z1573" i="1"/>
  <c r="AA1573" i="1" s="1"/>
  <c r="Y1573" i="1"/>
  <c r="V1573" i="1"/>
  <c r="W1573" i="1" s="1"/>
  <c r="U1573" i="1"/>
  <c r="R1573" i="1"/>
  <c r="Q1573" i="1"/>
  <c r="N1573" i="1"/>
  <c r="M1573" i="1"/>
  <c r="K1573" i="1"/>
  <c r="J1573" i="1"/>
  <c r="I1573" i="1"/>
  <c r="G1573" i="1"/>
  <c r="F1573" i="1"/>
  <c r="E1573" i="1"/>
  <c r="BN1572" i="1"/>
  <c r="BM1572" i="1"/>
  <c r="BL1572" i="1"/>
  <c r="BJ1572" i="1"/>
  <c r="BI1572" i="1"/>
  <c r="BG1572" i="1"/>
  <c r="BF1572" i="1"/>
  <c r="BE1572" i="1"/>
  <c r="BB1572" i="1"/>
  <c r="BC1572" i="1" s="1"/>
  <c r="BA1572" i="1"/>
  <c r="AX1572" i="1"/>
  <c r="AY1572" i="1" s="1"/>
  <c r="AW1572" i="1"/>
  <c r="AT1572" i="1"/>
  <c r="AU1572" i="1" s="1"/>
  <c r="AS1572" i="1"/>
  <c r="AP1572" i="1"/>
  <c r="AQ1572" i="1" s="1"/>
  <c r="AO1572" i="1"/>
  <c r="AL1572" i="1"/>
  <c r="AK1572" i="1"/>
  <c r="AH1572" i="1"/>
  <c r="AG1572" i="1"/>
  <c r="AE1572" i="1"/>
  <c r="AD1572" i="1"/>
  <c r="AC1572" i="1"/>
  <c r="AA1572" i="1"/>
  <c r="Z1572" i="1"/>
  <c r="Y1572" i="1"/>
  <c r="V1572" i="1"/>
  <c r="W1572" i="1" s="1"/>
  <c r="U1572" i="1"/>
  <c r="R1572" i="1"/>
  <c r="S1572" i="1" s="1"/>
  <c r="Q1572" i="1"/>
  <c r="N1572" i="1"/>
  <c r="O1572" i="1" s="1"/>
  <c r="M1572" i="1"/>
  <c r="J1572" i="1"/>
  <c r="K1572" i="1" s="1"/>
  <c r="I1572" i="1"/>
  <c r="F1572" i="1"/>
  <c r="G1572" i="1" s="1"/>
  <c r="E1572" i="1"/>
  <c r="BN1571" i="1"/>
  <c r="BL1571" i="1"/>
  <c r="BJ1571" i="1"/>
  <c r="BM1571" i="1" s="1"/>
  <c r="BI1571" i="1"/>
  <c r="BF1571" i="1"/>
  <c r="BE1571" i="1"/>
  <c r="BB1571" i="1"/>
  <c r="BA1571" i="1"/>
  <c r="AY1571" i="1"/>
  <c r="AX1571" i="1"/>
  <c r="AW1571" i="1"/>
  <c r="AU1571" i="1"/>
  <c r="AT1571" i="1"/>
  <c r="AS1571" i="1"/>
  <c r="AP1571" i="1"/>
  <c r="AQ1571" i="1" s="1"/>
  <c r="AO1571" i="1"/>
  <c r="AL1571" i="1"/>
  <c r="AM1571" i="1" s="1"/>
  <c r="AK1571" i="1"/>
  <c r="AH1571" i="1"/>
  <c r="AI1571" i="1" s="1"/>
  <c r="AG1571" i="1"/>
  <c r="AD1571" i="1"/>
  <c r="AE1571" i="1" s="1"/>
  <c r="AC1571" i="1"/>
  <c r="Z1571" i="1"/>
  <c r="Y1571" i="1"/>
  <c r="V1571" i="1"/>
  <c r="U1571" i="1"/>
  <c r="S1571" i="1"/>
  <c r="R1571" i="1"/>
  <c r="Q1571" i="1"/>
  <c r="O1571" i="1"/>
  <c r="N1571" i="1"/>
  <c r="M1571" i="1"/>
  <c r="J1571" i="1"/>
  <c r="K1571" i="1" s="1"/>
  <c r="I1571" i="1"/>
  <c r="F1571" i="1"/>
  <c r="G1571" i="1" s="1"/>
  <c r="E1571" i="1"/>
  <c r="BN1570" i="1"/>
  <c r="BM1570" i="1"/>
  <c r="BL1570" i="1"/>
  <c r="BJ1570" i="1"/>
  <c r="BI1570" i="1"/>
  <c r="BF1570" i="1"/>
  <c r="BG1570" i="1" s="1"/>
  <c r="BE1570" i="1"/>
  <c r="BB1570" i="1"/>
  <c r="BC1570" i="1" s="1"/>
  <c r="BA1570" i="1"/>
  <c r="AX1570" i="1"/>
  <c r="AY1570" i="1" s="1"/>
  <c r="AW1570" i="1"/>
  <c r="AT1570" i="1"/>
  <c r="AS1570" i="1"/>
  <c r="AP1570" i="1"/>
  <c r="AO1570" i="1"/>
  <c r="AM1570" i="1"/>
  <c r="AL1570" i="1"/>
  <c r="AK1570" i="1"/>
  <c r="AI1570" i="1"/>
  <c r="AH1570" i="1"/>
  <c r="AG1570" i="1"/>
  <c r="AD1570" i="1"/>
  <c r="AE1570" i="1" s="1"/>
  <c r="AC1570" i="1"/>
  <c r="Z1570" i="1"/>
  <c r="AA1570" i="1" s="1"/>
  <c r="Y1570" i="1"/>
  <c r="V1570" i="1"/>
  <c r="W1570" i="1" s="1"/>
  <c r="U1570" i="1"/>
  <c r="R1570" i="1"/>
  <c r="S1570" i="1" s="1"/>
  <c r="Q1570" i="1"/>
  <c r="N1570" i="1"/>
  <c r="M1570" i="1"/>
  <c r="J1570" i="1"/>
  <c r="I1570" i="1"/>
  <c r="G1570" i="1"/>
  <c r="F1570" i="1"/>
  <c r="E1570" i="1"/>
  <c r="BN1569" i="1"/>
  <c r="BM1569" i="1" s="1"/>
  <c r="BL1569" i="1"/>
  <c r="BJ1569" i="1"/>
  <c r="BI1569" i="1"/>
  <c r="BG1569" i="1"/>
  <c r="BF1569" i="1"/>
  <c r="BE1569" i="1"/>
  <c r="BC1569" i="1"/>
  <c r="BB1569" i="1"/>
  <c r="BA1569" i="1"/>
  <c r="AX1569" i="1"/>
  <c r="AY1569" i="1" s="1"/>
  <c r="AW1569" i="1"/>
  <c r="AT1569" i="1"/>
  <c r="AU1569" i="1" s="1"/>
  <c r="AS1569" i="1"/>
  <c r="AP1569" i="1"/>
  <c r="AQ1569" i="1" s="1"/>
  <c r="AO1569" i="1"/>
  <c r="AL1569" i="1"/>
  <c r="AM1569" i="1" s="1"/>
  <c r="AK1569" i="1"/>
  <c r="AH1569" i="1"/>
  <c r="AG1569" i="1"/>
  <c r="AD1569" i="1"/>
  <c r="AC1569" i="1"/>
  <c r="AA1569" i="1"/>
  <c r="Z1569" i="1"/>
  <c r="Y1569" i="1"/>
  <c r="W1569" i="1"/>
  <c r="V1569" i="1"/>
  <c r="U1569" i="1"/>
  <c r="R1569" i="1"/>
  <c r="S1569" i="1" s="1"/>
  <c r="Q1569" i="1"/>
  <c r="N1569" i="1"/>
  <c r="O1569" i="1" s="1"/>
  <c r="M1569" i="1"/>
  <c r="J1569" i="1"/>
  <c r="K1569" i="1" s="1"/>
  <c r="I1569" i="1"/>
  <c r="F1569" i="1"/>
  <c r="G1569" i="1" s="1"/>
  <c r="E1569" i="1"/>
  <c r="BN1568" i="1"/>
  <c r="BM1568" i="1"/>
  <c r="BL1568" i="1"/>
  <c r="BJ1568" i="1"/>
  <c r="BI1568" i="1"/>
  <c r="BF1568" i="1"/>
  <c r="BG1568" i="1" s="1"/>
  <c r="BE1568" i="1"/>
  <c r="BB1568" i="1"/>
  <c r="BA1568" i="1"/>
  <c r="AX1568" i="1"/>
  <c r="AW1568" i="1"/>
  <c r="AU1568" i="1"/>
  <c r="AT1568" i="1"/>
  <c r="AS1568" i="1"/>
  <c r="AQ1568" i="1"/>
  <c r="AP1568" i="1"/>
  <c r="AO1568" i="1"/>
  <c r="AL1568" i="1"/>
  <c r="AM1568" i="1" s="1"/>
  <c r="AK1568" i="1"/>
  <c r="AH1568" i="1"/>
  <c r="AI1568" i="1" s="1"/>
  <c r="AG1568" i="1"/>
  <c r="AD1568" i="1"/>
  <c r="AE1568" i="1" s="1"/>
  <c r="AC1568" i="1"/>
  <c r="Z1568" i="1"/>
  <c r="AA1568" i="1" s="1"/>
  <c r="Y1568" i="1"/>
  <c r="V1568" i="1"/>
  <c r="U1568" i="1"/>
  <c r="R1568" i="1"/>
  <c r="Q1568" i="1"/>
  <c r="O1568" i="1"/>
  <c r="N1568" i="1"/>
  <c r="M1568" i="1"/>
  <c r="K1568" i="1"/>
  <c r="J1568" i="1"/>
  <c r="I1568" i="1"/>
  <c r="F1568" i="1"/>
  <c r="G1568" i="1" s="1"/>
  <c r="E1568" i="1"/>
  <c r="BN1567" i="1"/>
  <c r="BM1567" i="1"/>
  <c r="BL1567" i="1"/>
  <c r="BJ1567" i="1"/>
  <c r="BI1567" i="1"/>
  <c r="BF1567" i="1"/>
  <c r="BG1567" i="1" s="1"/>
  <c r="BE1567" i="1"/>
  <c r="BB1567" i="1"/>
  <c r="BC1567" i="1" s="1"/>
  <c r="BA1567" i="1"/>
  <c r="AX1567" i="1"/>
  <c r="AY1567" i="1" s="1"/>
  <c r="AW1567" i="1"/>
  <c r="AT1567" i="1"/>
  <c r="AU1567" i="1" s="1"/>
  <c r="AS1567" i="1"/>
  <c r="AP1567" i="1"/>
  <c r="AO1567" i="1"/>
  <c r="AL1567" i="1"/>
  <c r="AK1567" i="1"/>
  <c r="AI1567" i="1"/>
  <c r="AH1567" i="1"/>
  <c r="AG1567" i="1"/>
  <c r="AE1567" i="1"/>
  <c r="AD1567" i="1"/>
  <c r="AC1567" i="1"/>
  <c r="Z1567" i="1"/>
  <c r="AA1567" i="1" s="1"/>
  <c r="Y1567" i="1"/>
  <c r="V1567" i="1"/>
  <c r="W1567" i="1" s="1"/>
  <c r="U1567" i="1"/>
  <c r="R1567" i="1"/>
  <c r="S1567" i="1" s="1"/>
  <c r="Q1567" i="1"/>
  <c r="N1567" i="1"/>
  <c r="O1567" i="1" s="1"/>
  <c r="M1567" i="1"/>
  <c r="J1567" i="1"/>
  <c r="I1567" i="1"/>
  <c r="F1567" i="1"/>
  <c r="E1567" i="1"/>
  <c r="BN1566" i="1"/>
  <c r="BL1566" i="1"/>
  <c r="BJ1566" i="1"/>
  <c r="BI1566" i="1"/>
  <c r="BF1566" i="1"/>
  <c r="BE1566" i="1"/>
  <c r="BC1566" i="1"/>
  <c r="BB1566" i="1"/>
  <c r="BA1566" i="1"/>
  <c r="AY1566" i="1"/>
  <c r="AX1566" i="1"/>
  <c r="AW1566" i="1"/>
  <c r="AT1566" i="1"/>
  <c r="AU1566" i="1" s="1"/>
  <c r="AS1566" i="1"/>
  <c r="AP1566" i="1"/>
  <c r="AQ1566" i="1" s="1"/>
  <c r="AO1566" i="1"/>
  <c r="AL1566" i="1"/>
  <c r="AM1566" i="1" s="1"/>
  <c r="AK1566" i="1"/>
  <c r="AH1566" i="1"/>
  <c r="AI1566" i="1" s="1"/>
  <c r="AG1566" i="1"/>
  <c r="AD1566" i="1"/>
  <c r="AC1566" i="1"/>
  <c r="Z1566" i="1"/>
  <c r="Y1566" i="1"/>
  <c r="W1566" i="1"/>
  <c r="V1566" i="1"/>
  <c r="U1566" i="1"/>
  <c r="S1566" i="1"/>
  <c r="R1566" i="1"/>
  <c r="Q1566" i="1"/>
  <c r="N1566" i="1"/>
  <c r="O1566" i="1" s="1"/>
  <c r="M1566" i="1"/>
  <c r="J1566" i="1"/>
  <c r="K1566" i="1" s="1"/>
  <c r="I1566" i="1"/>
  <c r="F1566" i="1"/>
  <c r="G1566" i="1" s="1"/>
  <c r="E1566" i="1"/>
  <c r="BN1565" i="1"/>
  <c r="BM1565" i="1"/>
  <c r="BL1565" i="1"/>
  <c r="BJ1565" i="1"/>
  <c r="BI1565" i="1"/>
  <c r="BF1565" i="1"/>
  <c r="BG1565" i="1" s="1"/>
  <c r="BE1565" i="1"/>
  <c r="BB1565" i="1"/>
  <c r="BC1565" i="1" s="1"/>
  <c r="BA1565" i="1"/>
  <c r="AX1565" i="1"/>
  <c r="AW1565" i="1"/>
  <c r="AT1565" i="1"/>
  <c r="AS1565" i="1"/>
  <c r="AQ1565" i="1"/>
  <c r="AP1565" i="1"/>
  <c r="AN1565" i="1"/>
  <c r="AO1565" i="1" s="1"/>
  <c r="AL1565" i="1"/>
  <c r="AM1565" i="1" s="1"/>
  <c r="AJ1565" i="1"/>
  <c r="AK1565" i="1" s="1"/>
  <c r="AI1565" i="1"/>
  <c r="AH1565" i="1"/>
  <c r="AG1565" i="1"/>
  <c r="AE1565" i="1"/>
  <c r="AD1565" i="1"/>
  <c r="AC1565" i="1"/>
  <c r="AB1565" i="1"/>
  <c r="Z1565" i="1"/>
  <c r="AA1565" i="1" s="1"/>
  <c r="Y1565" i="1"/>
  <c r="V1565" i="1"/>
  <c r="U1565" i="1"/>
  <c r="R1565" i="1"/>
  <c r="Q1565" i="1"/>
  <c r="O1565" i="1"/>
  <c r="N1565" i="1"/>
  <c r="M1565" i="1"/>
  <c r="K1565" i="1"/>
  <c r="J1565" i="1"/>
  <c r="I1565" i="1"/>
  <c r="F1565" i="1"/>
  <c r="G1565" i="1" s="1"/>
  <c r="E1565" i="1"/>
  <c r="BN1564" i="1"/>
  <c r="BM1564" i="1"/>
  <c r="BL1564" i="1"/>
  <c r="BJ1564" i="1"/>
  <c r="BI1564" i="1"/>
  <c r="BF1564" i="1"/>
  <c r="BG1564" i="1" s="1"/>
  <c r="BE1564" i="1"/>
  <c r="BB1564" i="1"/>
  <c r="BC1564" i="1" s="1"/>
  <c r="BA1564" i="1"/>
  <c r="AX1564" i="1"/>
  <c r="AY1564" i="1" s="1"/>
  <c r="AW1564" i="1"/>
  <c r="AT1564" i="1"/>
  <c r="AU1564" i="1" s="1"/>
  <c r="AS1564" i="1"/>
  <c r="AP1564" i="1"/>
  <c r="AN1564" i="1"/>
  <c r="AO1564" i="1" s="1"/>
  <c r="AL1564" i="1"/>
  <c r="AM1564" i="1" s="1"/>
  <c r="AK1564" i="1"/>
  <c r="AJ1564" i="1"/>
  <c r="AH1564" i="1"/>
  <c r="AG1564" i="1"/>
  <c r="AD1564" i="1"/>
  <c r="AB1564" i="1"/>
  <c r="AC1564" i="1" s="1"/>
  <c r="Z1564" i="1"/>
  <c r="AA1564" i="1" s="1"/>
  <c r="Y1564" i="1"/>
  <c r="V1564" i="1"/>
  <c r="W1564" i="1" s="1"/>
  <c r="U1564" i="1"/>
  <c r="R1564" i="1"/>
  <c r="S1564" i="1" s="1"/>
  <c r="Q1564" i="1"/>
  <c r="N1564" i="1"/>
  <c r="M1564" i="1"/>
  <c r="J1564" i="1"/>
  <c r="I1564" i="1"/>
  <c r="G1564" i="1"/>
  <c r="F1564" i="1"/>
  <c r="E1564" i="1"/>
  <c r="BN1563" i="1"/>
  <c r="BM1563" i="1" s="1"/>
  <c r="BL1563" i="1"/>
  <c r="BJ1563" i="1"/>
  <c r="BI1563" i="1"/>
  <c r="BG1563" i="1"/>
  <c r="BF1563" i="1"/>
  <c r="BE1563" i="1"/>
  <c r="BC1563" i="1"/>
  <c r="BB1563" i="1"/>
  <c r="BA1563" i="1"/>
  <c r="AX1563" i="1"/>
  <c r="AY1563" i="1" s="1"/>
  <c r="AW1563" i="1"/>
  <c r="AT1563" i="1"/>
  <c r="AU1563" i="1" s="1"/>
  <c r="AS1563" i="1"/>
  <c r="AP1563" i="1"/>
  <c r="AQ1563" i="1" s="1"/>
  <c r="AN1563" i="1"/>
  <c r="AO1563" i="1" s="1"/>
  <c r="AM1563" i="1"/>
  <c r="AL1563" i="1"/>
  <c r="AJ1563" i="1"/>
  <c r="AK1563" i="1" s="1"/>
  <c r="AH1563" i="1"/>
  <c r="AI1563" i="1" s="1"/>
  <c r="AG1563" i="1"/>
  <c r="AD1563" i="1"/>
  <c r="AE1563" i="1" s="1"/>
  <c r="AB1563" i="1"/>
  <c r="AC1563" i="1" s="1"/>
  <c r="AA1563" i="1"/>
  <c r="Z1563" i="1"/>
  <c r="Y1563" i="1"/>
  <c r="X1563" i="1"/>
  <c r="V1563" i="1"/>
  <c r="W1563" i="1" s="1"/>
  <c r="U1563" i="1"/>
  <c r="R1563" i="1"/>
  <c r="Q1563" i="1"/>
  <c r="N1563" i="1"/>
  <c r="M1563" i="1"/>
  <c r="K1563" i="1"/>
  <c r="J1563" i="1"/>
  <c r="I1563" i="1"/>
  <c r="G1563" i="1"/>
  <c r="F1563" i="1"/>
  <c r="E1563" i="1"/>
  <c r="BN1562" i="1"/>
  <c r="BM1562" i="1"/>
  <c r="BL1562" i="1"/>
  <c r="BJ1562" i="1"/>
  <c r="BI1562" i="1"/>
  <c r="BG1562" i="1"/>
  <c r="BF1562" i="1"/>
  <c r="BE1562" i="1"/>
  <c r="BB1562" i="1"/>
  <c r="BC1562" i="1" s="1"/>
  <c r="BA1562" i="1"/>
  <c r="AX1562" i="1"/>
  <c r="AY1562" i="1" s="1"/>
  <c r="AW1562" i="1"/>
  <c r="AT1562" i="1"/>
  <c r="AU1562" i="1" s="1"/>
  <c r="AS1562" i="1"/>
  <c r="AP1562" i="1"/>
  <c r="AQ1562" i="1" s="1"/>
  <c r="AO1562" i="1"/>
  <c r="AL1562" i="1"/>
  <c r="AK1562" i="1"/>
  <c r="AH1562" i="1"/>
  <c r="AG1562" i="1"/>
  <c r="AE1562" i="1"/>
  <c r="AD1562" i="1"/>
  <c r="AC1562" i="1"/>
  <c r="AA1562" i="1"/>
  <c r="Z1562" i="1"/>
  <c r="Y1562" i="1"/>
  <c r="V1562" i="1"/>
  <c r="W1562" i="1" s="1"/>
  <c r="U1562" i="1"/>
  <c r="R1562" i="1"/>
  <c r="S1562" i="1" s="1"/>
  <c r="Q1562" i="1"/>
  <c r="N1562" i="1"/>
  <c r="O1562" i="1" s="1"/>
  <c r="M1562" i="1"/>
  <c r="J1562" i="1"/>
  <c r="K1562" i="1" s="1"/>
  <c r="I1562" i="1"/>
  <c r="F1562" i="1"/>
  <c r="E1562" i="1"/>
  <c r="BN1561" i="1"/>
  <c r="BL1561" i="1"/>
  <c r="BJ1561" i="1"/>
  <c r="BM1561" i="1" s="1"/>
  <c r="BI1561" i="1"/>
  <c r="BF1561" i="1"/>
  <c r="BE1561" i="1"/>
  <c r="BB1561" i="1"/>
  <c r="BA1561" i="1"/>
  <c r="AY1561" i="1"/>
  <c r="AX1561" i="1"/>
  <c r="AW1561" i="1"/>
  <c r="AU1561" i="1"/>
  <c r="AT1561" i="1"/>
  <c r="AS1561" i="1"/>
  <c r="AP1561" i="1"/>
  <c r="AQ1561" i="1" s="1"/>
  <c r="AO1561" i="1"/>
  <c r="AL1561" i="1"/>
  <c r="AM1561" i="1" s="1"/>
  <c r="AK1561" i="1"/>
  <c r="AH1561" i="1"/>
  <c r="AI1561" i="1" s="1"/>
  <c r="AG1561" i="1"/>
  <c r="AD1561" i="1"/>
  <c r="AE1561" i="1" s="1"/>
  <c r="AC1561" i="1"/>
  <c r="Z1561" i="1"/>
  <c r="Y1561" i="1"/>
  <c r="V1561" i="1"/>
  <c r="U1561" i="1"/>
  <c r="S1561" i="1"/>
  <c r="R1561" i="1"/>
  <c r="Q1561" i="1"/>
  <c r="O1561" i="1"/>
  <c r="N1561" i="1"/>
  <c r="M1561" i="1"/>
  <c r="J1561" i="1"/>
  <c r="K1561" i="1" s="1"/>
  <c r="I1561" i="1"/>
  <c r="F1561" i="1"/>
  <c r="G1561" i="1" s="1"/>
  <c r="E1561" i="1"/>
  <c r="BN1560" i="1"/>
  <c r="BM1560" i="1"/>
  <c r="BL1560" i="1"/>
  <c r="BJ1560" i="1"/>
  <c r="BI1560" i="1"/>
  <c r="BF1560" i="1"/>
  <c r="BG1560" i="1" s="1"/>
  <c r="BE1560" i="1"/>
  <c r="BB1560" i="1"/>
  <c r="BC1560" i="1" s="1"/>
  <c r="BA1560" i="1"/>
  <c r="AX1560" i="1"/>
  <c r="AY1560" i="1" s="1"/>
  <c r="AW1560" i="1"/>
  <c r="AT1560" i="1"/>
  <c r="AS1560" i="1"/>
  <c r="AP1560" i="1"/>
  <c r="AO1560" i="1"/>
  <c r="AM1560" i="1"/>
  <c r="AL1560" i="1"/>
  <c r="AK1560" i="1"/>
  <c r="AI1560" i="1"/>
  <c r="AH1560" i="1"/>
  <c r="AG1560" i="1"/>
  <c r="AD1560" i="1"/>
  <c r="AE1560" i="1" s="1"/>
  <c r="AC1560" i="1"/>
  <c r="Z1560" i="1"/>
  <c r="AA1560" i="1" s="1"/>
  <c r="Y1560" i="1"/>
  <c r="V1560" i="1"/>
  <c r="W1560" i="1" s="1"/>
  <c r="U1560" i="1"/>
  <c r="R1560" i="1"/>
  <c r="S1560" i="1" s="1"/>
  <c r="Q1560" i="1"/>
  <c r="N1560" i="1"/>
  <c r="M1560" i="1"/>
  <c r="J1560" i="1"/>
  <c r="I1560" i="1"/>
  <c r="G1560" i="1"/>
  <c r="F1560" i="1"/>
  <c r="E1560" i="1"/>
  <c r="BN1559" i="1"/>
  <c r="BM1559" i="1" s="1"/>
  <c r="BL1559" i="1"/>
  <c r="BJ1559" i="1"/>
  <c r="BI1559" i="1"/>
  <c r="BG1559" i="1"/>
  <c r="BF1559" i="1"/>
  <c r="BE1559" i="1"/>
  <c r="BC1559" i="1"/>
  <c r="BB1559" i="1"/>
  <c r="BA1559" i="1"/>
  <c r="AX1559" i="1"/>
  <c r="AY1559" i="1" s="1"/>
  <c r="AW1559" i="1"/>
  <c r="AT1559" i="1"/>
  <c r="AU1559" i="1" s="1"/>
  <c r="AS1559" i="1"/>
  <c r="AP1559" i="1"/>
  <c r="AQ1559" i="1" s="1"/>
  <c r="AO1559" i="1"/>
  <c r="AL1559" i="1"/>
  <c r="AM1559" i="1" s="1"/>
  <c r="AK1559" i="1"/>
  <c r="AH1559" i="1"/>
  <c r="AG1559" i="1"/>
  <c r="AD1559" i="1"/>
  <c r="AC1559" i="1"/>
  <c r="AA1559" i="1"/>
  <c r="Z1559" i="1"/>
  <c r="Y1559" i="1"/>
  <c r="W1559" i="1"/>
  <c r="V1559" i="1"/>
  <c r="U1559" i="1"/>
  <c r="R1559" i="1"/>
  <c r="S1559" i="1" s="1"/>
  <c r="Q1559" i="1"/>
  <c r="N1559" i="1"/>
  <c r="O1559" i="1" s="1"/>
  <c r="M1559" i="1"/>
  <c r="J1559" i="1"/>
  <c r="K1559" i="1" s="1"/>
  <c r="I1559" i="1"/>
  <c r="F1559" i="1"/>
  <c r="G1559" i="1" s="1"/>
  <c r="E1559" i="1"/>
  <c r="BN1558" i="1"/>
  <c r="BM1558" i="1"/>
  <c r="BL1558" i="1"/>
  <c r="BJ1558" i="1"/>
  <c r="BI1558" i="1"/>
  <c r="BF1558" i="1"/>
  <c r="BG1558" i="1" s="1"/>
  <c r="BE1558" i="1"/>
  <c r="BB1558" i="1"/>
  <c r="BA1558" i="1"/>
  <c r="AX1558" i="1"/>
  <c r="AW1558" i="1"/>
  <c r="AU1558" i="1"/>
  <c r="AT1558" i="1"/>
  <c r="AS1558" i="1"/>
  <c r="AQ1558" i="1"/>
  <c r="AP1558" i="1"/>
  <c r="AO1558" i="1"/>
  <c r="AL1558" i="1"/>
  <c r="AM1558" i="1" s="1"/>
  <c r="AK1558" i="1"/>
  <c r="AH1558" i="1"/>
  <c r="AI1558" i="1" s="1"/>
  <c r="AG1558" i="1"/>
  <c r="AD1558" i="1"/>
  <c r="AE1558" i="1" s="1"/>
  <c r="AC1558" i="1"/>
  <c r="Z1558" i="1"/>
  <c r="AA1558" i="1" s="1"/>
  <c r="Y1558" i="1"/>
  <c r="V1558" i="1"/>
  <c r="U1558" i="1"/>
  <c r="R1558" i="1"/>
  <c r="Q1558" i="1"/>
  <c r="O1558" i="1"/>
  <c r="N1558" i="1"/>
  <c r="M1558" i="1"/>
  <c r="K1558" i="1"/>
  <c r="J1558" i="1"/>
  <c r="I1558" i="1"/>
  <c r="F1558" i="1"/>
  <c r="G1558" i="1" s="1"/>
  <c r="E1558" i="1"/>
  <c r="BN1557" i="1"/>
  <c r="BM1557" i="1"/>
  <c r="BL1557" i="1"/>
  <c r="BJ1557" i="1"/>
  <c r="BI1557" i="1"/>
  <c r="BF1557" i="1"/>
  <c r="BG1557" i="1" s="1"/>
  <c r="BE1557" i="1"/>
  <c r="BB1557" i="1"/>
  <c r="BC1557" i="1" s="1"/>
  <c r="BA1557" i="1"/>
  <c r="AX1557" i="1"/>
  <c r="AY1557" i="1" s="1"/>
  <c r="AW1557" i="1"/>
  <c r="AT1557" i="1"/>
  <c r="AU1557" i="1" s="1"/>
  <c r="AS1557" i="1"/>
  <c r="AP1557" i="1"/>
  <c r="AO1557" i="1"/>
  <c r="AL1557" i="1"/>
  <c r="AK1557" i="1"/>
  <c r="AI1557" i="1"/>
  <c r="AH1557" i="1"/>
  <c r="AG1557" i="1"/>
  <c r="AE1557" i="1"/>
  <c r="AD1557" i="1"/>
  <c r="AC1557" i="1"/>
  <c r="Z1557" i="1"/>
  <c r="AA1557" i="1" s="1"/>
  <c r="Y1557" i="1"/>
  <c r="V1557" i="1"/>
  <c r="W1557" i="1" s="1"/>
  <c r="U1557" i="1"/>
  <c r="R1557" i="1"/>
  <c r="S1557" i="1" s="1"/>
  <c r="Q1557" i="1"/>
  <c r="N1557" i="1"/>
  <c r="O1557" i="1" s="1"/>
  <c r="M1557" i="1"/>
  <c r="J1557" i="1"/>
  <c r="I1557" i="1"/>
  <c r="F1557" i="1"/>
  <c r="E1557" i="1"/>
  <c r="BN1556" i="1"/>
  <c r="BL1556" i="1"/>
  <c r="BJ1556" i="1"/>
  <c r="BI1556" i="1"/>
  <c r="BF1556" i="1"/>
  <c r="BE1556" i="1"/>
  <c r="BC1556" i="1"/>
  <c r="BB1556" i="1"/>
  <c r="BA1556" i="1"/>
  <c r="AY1556" i="1"/>
  <c r="AX1556" i="1"/>
  <c r="AW1556" i="1"/>
  <c r="AT1556" i="1"/>
  <c r="AU1556" i="1" s="1"/>
  <c r="AS1556" i="1"/>
  <c r="AP1556" i="1"/>
  <c r="AQ1556" i="1" s="1"/>
  <c r="AO1556" i="1"/>
  <c r="AL1556" i="1"/>
  <c r="AM1556" i="1" s="1"/>
  <c r="AK1556" i="1"/>
  <c r="AH1556" i="1"/>
  <c r="AI1556" i="1" s="1"/>
  <c r="AG1556" i="1"/>
  <c r="AD1556" i="1"/>
  <c r="AC1556" i="1"/>
  <c r="Z1556" i="1"/>
  <c r="Y1556" i="1"/>
  <c r="W1556" i="1"/>
  <c r="V1556" i="1"/>
  <c r="U1556" i="1"/>
  <c r="S1556" i="1"/>
  <c r="R1556" i="1"/>
  <c r="Q1556" i="1"/>
  <c r="N1556" i="1"/>
  <c r="O1556" i="1" s="1"/>
  <c r="M1556" i="1"/>
  <c r="J1556" i="1"/>
  <c r="K1556" i="1" s="1"/>
  <c r="I1556" i="1"/>
  <c r="F1556" i="1"/>
  <c r="G1556" i="1" s="1"/>
  <c r="E1556" i="1"/>
  <c r="BN1555" i="1"/>
  <c r="BM1555" i="1"/>
  <c r="BL1555" i="1"/>
  <c r="BJ1555" i="1"/>
  <c r="BI1555" i="1"/>
  <c r="BF1555" i="1"/>
  <c r="BG1555" i="1" s="1"/>
  <c r="BE1555" i="1"/>
  <c r="BB1555" i="1"/>
  <c r="BC1555" i="1" s="1"/>
  <c r="BA1555" i="1"/>
  <c r="AX1555" i="1"/>
  <c r="AW1555" i="1"/>
  <c r="AT1555" i="1"/>
  <c r="AS1555" i="1"/>
  <c r="AQ1555" i="1"/>
  <c r="AP1555" i="1"/>
  <c r="AO1555" i="1"/>
  <c r="AM1555" i="1"/>
  <c r="AL1555" i="1"/>
  <c r="AK1555" i="1"/>
  <c r="AH1555" i="1"/>
  <c r="AI1555" i="1" s="1"/>
  <c r="AG1555" i="1"/>
  <c r="AD1555" i="1"/>
  <c r="AE1555" i="1" s="1"/>
  <c r="AC1555" i="1"/>
  <c r="Z1555" i="1"/>
  <c r="AA1555" i="1" s="1"/>
  <c r="Y1555" i="1"/>
  <c r="V1555" i="1"/>
  <c r="W1555" i="1" s="1"/>
  <c r="U1555" i="1"/>
  <c r="R1555" i="1"/>
  <c r="Q1555" i="1"/>
  <c r="N1555" i="1"/>
  <c r="M1555" i="1"/>
  <c r="K1555" i="1"/>
  <c r="J1555" i="1"/>
  <c r="I1555" i="1"/>
  <c r="G1555" i="1"/>
  <c r="F1555" i="1"/>
  <c r="E1555" i="1"/>
  <c r="BN1554" i="1"/>
  <c r="BM1554" i="1"/>
  <c r="BL1554" i="1"/>
  <c r="BJ1554" i="1"/>
  <c r="BI1554" i="1"/>
  <c r="BG1554" i="1"/>
  <c r="BF1554" i="1"/>
  <c r="BE1554" i="1"/>
  <c r="BB1554" i="1"/>
  <c r="BC1554" i="1" s="1"/>
  <c r="BA1554" i="1"/>
  <c r="AX1554" i="1"/>
  <c r="AY1554" i="1" s="1"/>
  <c r="AW1554" i="1"/>
  <c r="AT1554" i="1"/>
  <c r="AU1554" i="1" s="1"/>
  <c r="AS1554" i="1"/>
  <c r="AP1554" i="1"/>
  <c r="AQ1554" i="1" s="1"/>
  <c r="AO1554" i="1"/>
  <c r="AL1554" i="1"/>
  <c r="AK1554" i="1"/>
  <c r="AH1554" i="1"/>
  <c r="AG1554" i="1"/>
  <c r="AE1554" i="1"/>
  <c r="AD1554" i="1"/>
  <c r="AC1554" i="1"/>
  <c r="AA1554" i="1"/>
  <c r="Z1554" i="1"/>
  <c r="Y1554" i="1"/>
  <c r="V1554" i="1"/>
  <c r="W1554" i="1" s="1"/>
  <c r="U1554" i="1"/>
  <c r="R1554" i="1"/>
  <c r="S1554" i="1" s="1"/>
  <c r="Q1554" i="1"/>
  <c r="N1554" i="1"/>
  <c r="O1554" i="1" s="1"/>
  <c r="M1554" i="1"/>
  <c r="J1554" i="1"/>
  <c r="K1554" i="1" s="1"/>
  <c r="I1554" i="1"/>
  <c r="F1554" i="1"/>
  <c r="E1554" i="1"/>
  <c r="BN1553" i="1"/>
  <c r="BL1553" i="1"/>
  <c r="BJ1553" i="1"/>
  <c r="BM1553" i="1" s="1"/>
  <c r="BI1553" i="1"/>
  <c r="BF1553" i="1"/>
  <c r="BE1553" i="1"/>
  <c r="BB1553" i="1"/>
  <c r="BA1553" i="1"/>
  <c r="AY1553" i="1"/>
  <c r="AX1553" i="1"/>
  <c r="AW1553" i="1"/>
  <c r="AU1553" i="1"/>
  <c r="AT1553" i="1"/>
  <c r="AS1553" i="1"/>
  <c r="AP1553" i="1"/>
  <c r="AQ1553" i="1" s="1"/>
  <c r="AO1553" i="1"/>
  <c r="AL1553" i="1"/>
  <c r="AM1553" i="1" s="1"/>
  <c r="AK1553" i="1"/>
  <c r="AH1553" i="1"/>
  <c r="AI1553" i="1" s="1"/>
  <c r="AF1553" i="1"/>
  <c r="AG1553" i="1" s="1"/>
  <c r="AE1553" i="1"/>
  <c r="AD1553" i="1"/>
  <c r="AC1553" i="1"/>
  <c r="AA1553" i="1"/>
  <c r="Z1553" i="1"/>
  <c r="Y1553" i="1"/>
  <c r="V1553" i="1"/>
  <c r="W1553" i="1" s="1"/>
  <c r="U1553" i="1"/>
  <c r="R1553" i="1"/>
  <c r="S1553" i="1" s="1"/>
  <c r="Q1553" i="1"/>
  <c r="N1553" i="1"/>
  <c r="O1553" i="1" s="1"/>
  <c r="M1553" i="1"/>
  <c r="J1553" i="1"/>
  <c r="K1553" i="1" s="1"/>
  <c r="I1553" i="1"/>
  <c r="F1553" i="1"/>
  <c r="E1553" i="1"/>
  <c r="BN1552" i="1"/>
  <c r="BL1552" i="1"/>
  <c r="BJ1552" i="1"/>
  <c r="BM1552" i="1" s="1"/>
  <c r="BI1552" i="1"/>
  <c r="BF1552" i="1"/>
  <c r="BE1552" i="1"/>
  <c r="BB1552" i="1"/>
  <c r="BA1552" i="1"/>
  <c r="AY1552" i="1"/>
  <c r="AX1552" i="1"/>
  <c r="AW1552" i="1"/>
  <c r="AU1552" i="1"/>
  <c r="AT1552" i="1"/>
  <c r="AS1552" i="1"/>
  <c r="AP1552" i="1"/>
  <c r="AQ1552" i="1" s="1"/>
  <c r="AO1552" i="1"/>
  <c r="AL1552" i="1"/>
  <c r="AM1552" i="1" s="1"/>
  <c r="AK1552" i="1"/>
  <c r="AH1552" i="1"/>
  <c r="AI1552" i="1" s="1"/>
  <c r="AF1552" i="1"/>
  <c r="AG1552" i="1" s="1"/>
  <c r="AE1552" i="1"/>
  <c r="AD1552" i="1"/>
  <c r="AC1552" i="1"/>
  <c r="AA1552" i="1"/>
  <c r="Z1552" i="1"/>
  <c r="Y1552" i="1"/>
  <c r="V1552" i="1"/>
  <c r="W1552" i="1" s="1"/>
  <c r="U1552" i="1"/>
  <c r="R1552" i="1"/>
  <c r="S1552" i="1" s="1"/>
  <c r="Q1552" i="1"/>
  <c r="N1552" i="1"/>
  <c r="O1552" i="1" s="1"/>
  <c r="M1552" i="1"/>
  <c r="J1552" i="1"/>
  <c r="K1552" i="1" s="1"/>
  <c r="I1552" i="1"/>
  <c r="F1552" i="1"/>
  <c r="E1552" i="1"/>
  <c r="BN1551" i="1"/>
  <c r="BL1551" i="1"/>
  <c r="BJ1551" i="1"/>
  <c r="BM1551" i="1" s="1"/>
  <c r="BI1551" i="1"/>
  <c r="BF1551" i="1"/>
  <c r="BE1551" i="1"/>
  <c r="BB1551" i="1"/>
  <c r="BA1551" i="1"/>
  <c r="AY1551" i="1"/>
  <c r="AX1551" i="1"/>
  <c r="AW1551" i="1"/>
  <c r="AU1551" i="1"/>
  <c r="AT1551" i="1"/>
  <c r="AS1551" i="1"/>
  <c r="AP1551" i="1"/>
  <c r="AQ1551" i="1" s="1"/>
  <c r="AO1551" i="1"/>
  <c r="AL1551" i="1"/>
  <c r="AM1551" i="1" s="1"/>
  <c r="AK1551" i="1"/>
  <c r="AH1551" i="1"/>
  <c r="AI1551" i="1" s="1"/>
  <c r="AF1551" i="1"/>
  <c r="AG1551" i="1" s="1"/>
  <c r="AE1551" i="1"/>
  <c r="AD1551" i="1"/>
  <c r="AC1551" i="1"/>
  <c r="AA1551" i="1"/>
  <c r="Z1551" i="1"/>
  <c r="Y1551" i="1"/>
  <c r="V1551" i="1"/>
  <c r="W1551" i="1" s="1"/>
  <c r="U1551" i="1"/>
  <c r="R1551" i="1"/>
  <c r="S1551" i="1" s="1"/>
  <c r="Q1551" i="1"/>
  <c r="N1551" i="1"/>
  <c r="O1551" i="1" s="1"/>
  <c r="M1551" i="1"/>
  <c r="J1551" i="1"/>
  <c r="K1551" i="1" s="1"/>
  <c r="I1551" i="1"/>
  <c r="F1551" i="1"/>
  <c r="E1551" i="1"/>
  <c r="BN1550" i="1"/>
  <c r="BL1550" i="1"/>
  <c r="BJ1550" i="1"/>
  <c r="BM1550" i="1" s="1"/>
  <c r="BI1550" i="1"/>
  <c r="BF1550" i="1"/>
  <c r="BE1550" i="1"/>
  <c r="BB1550" i="1"/>
  <c r="BA1550" i="1"/>
  <c r="AY1550" i="1"/>
  <c r="AX1550" i="1"/>
  <c r="AW1550" i="1"/>
  <c r="AU1550" i="1"/>
  <c r="AT1550" i="1"/>
  <c r="AS1550" i="1"/>
  <c r="AP1550" i="1"/>
  <c r="AQ1550" i="1" s="1"/>
  <c r="AO1550" i="1"/>
  <c r="AL1550" i="1"/>
  <c r="AM1550" i="1" s="1"/>
  <c r="AK1550" i="1"/>
  <c r="AH1550" i="1"/>
  <c r="AI1550" i="1" s="1"/>
  <c r="AG1550" i="1"/>
  <c r="AD1550" i="1"/>
  <c r="AE1550" i="1" s="1"/>
  <c r="AC1550" i="1"/>
  <c r="Z1550" i="1"/>
  <c r="Y1550" i="1"/>
  <c r="V1550" i="1"/>
  <c r="U1550" i="1"/>
  <c r="S1550" i="1"/>
  <c r="R1550" i="1"/>
  <c r="Q1550" i="1"/>
  <c r="O1550" i="1"/>
  <c r="N1550" i="1"/>
  <c r="M1550" i="1"/>
  <c r="J1550" i="1"/>
  <c r="K1550" i="1" s="1"/>
  <c r="I1550" i="1"/>
  <c r="F1550" i="1"/>
  <c r="G1550" i="1" s="1"/>
  <c r="E1550" i="1"/>
  <c r="BN1549" i="1"/>
  <c r="BK1549" i="1"/>
  <c r="BL1549" i="1" s="1"/>
  <c r="BJ1549" i="1"/>
  <c r="BM1549" i="1" s="1"/>
  <c r="BI1549" i="1"/>
  <c r="BF1549" i="1"/>
  <c r="BE1549" i="1"/>
  <c r="BB1549" i="1"/>
  <c r="BA1549" i="1"/>
  <c r="AY1549" i="1"/>
  <c r="AX1549" i="1"/>
  <c r="AW1549" i="1"/>
  <c r="AU1549" i="1"/>
  <c r="AT1549" i="1"/>
  <c r="AS1549" i="1"/>
  <c r="AP1549" i="1"/>
  <c r="AQ1549" i="1" s="1"/>
  <c r="AO1549" i="1"/>
  <c r="AL1549" i="1"/>
  <c r="AM1549" i="1" s="1"/>
  <c r="AK1549" i="1"/>
  <c r="AH1549" i="1"/>
  <c r="AI1549" i="1" s="1"/>
  <c r="AF1549" i="1"/>
  <c r="AG1549" i="1" s="1"/>
  <c r="AE1549" i="1"/>
  <c r="AD1549" i="1"/>
  <c r="AC1549" i="1"/>
  <c r="AA1549" i="1"/>
  <c r="Z1549" i="1"/>
  <c r="Y1549" i="1"/>
  <c r="V1549" i="1"/>
  <c r="W1549" i="1" s="1"/>
  <c r="U1549" i="1"/>
  <c r="R1549" i="1"/>
  <c r="S1549" i="1" s="1"/>
  <c r="Q1549" i="1"/>
  <c r="N1549" i="1"/>
  <c r="O1549" i="1" s="1"/>
  <c r="M1549" i="1"/>
  <c r="K1549" i="1"/>
  <c r="J1549" i="1"/>
  <c r="I1549" i="1"/>
  <c r="F1549" i="1"/>
  <c r="G1549" i="1" s="1"/>
  <c r="E1549" i="1"/>
  <c r="BN1548" i="1"/>
  <c r="BM1548" i="1" s="1"/>
  <c r="BK1548" i="1"/>
  <c r="BL1548" i="1" s="1"/>
  <c r="BJ1548" i="1"/>
  <c r="BI1548" i="1"/>
  <c r="BG1548" i="1"/>
  <c r="BF1548" i="1"/>
  <c r="BE1548" i="1"/>
  <c r="BB1548" i="1"/>
  <c r="BC1548" i="1" s="1"/>
  <c r="BA1548" i="1"/>
  <c r="AX1548" i="1"/>
  <c r="AY1548" i="1" s="1"/>
  <c r="AW1548" i="1"/>
  <c r="AT1548" i="1"/>
  <c r="AU1548" i="1" s="1"/>
  <c r="AS1548" i="1"/>
  <c r="AQ1548" i="1"/>
  <c r="AP1548" i="1"/>
  <c r="AO1548" i="1"/>
  <c r="AL1548" i="1"/>
  <c r="AK1548" i="1"/>
  <c r="AI1548" i="1"/>
  <c r="AH1548" i="1"/>
  <c r="AF1548" i="1"/>
  <c r="AG1548" i="1" s="1"/>
  <c r="AD1548" i="1"/>
  <c r="AE1548" i="1" s="1"/>
  <c r="AC1548" i="1"/>
  <c r="Z1548" i="1"/>
  <c r="AA1548" i="1" s="1"/>
  <c r="Y1548" i="1"/>
  <c r="W1548" i="1"/>
  <c r="V1548" i="1"/>
  <c r="U1548" i="1"/>
  <c r="R1548" i="1"/>
  <c r="S1548" i="1" s="1"/>
  <c r="Q1548" i="1"/>
  <c r="N1548" i="1"/>
  <c r="M1548" i="1"/>
  <c r="K1548" i="1"/>
  <c r="J1548" i="1"/>
  <c r="I1548" i="1"/>
  <c r="G1548" i="1"/>
  <c r="F1548" i="1"/>
  <c r="E1548" i="1"/>
  <c r="BN1547" i="1"/>
  <c r="BM1547" i="1"/>
  <c r="BL1547" i="1"/>
  <c r="BK1547" i="1"/>
  <c r="BJ1547" i="1"/>
  <c r="BI1547" i="1"/>
  <c r="BF1547" i="1"/>
  <c r="BG1547" i="1" s="1"/>
  <c r="BE1547" i="1"/>
  <c r="BB1547" i="1"/>
  <c r="BC1547" i="1" s="1"/>
  <c r="BA1547" i="1"/>
  <c r="AX1547" i="1"/>
  <c r="AW1547" i="1"/>
  <c r="AU1547" i="1"/>
  <c r="AT1547" i="1"/>
  <c r="AS1547" i="1"/>
  <c r="AQ1547" i="1"/>
  <c r="AP1547" i="1"/>
  <c r="AO1547" i="1"/>
  <c r="AM1547" i="1"/>
  <c r="AL1547" i="1"/>
  <c r="AK1547" i="1"/>
  <c r="AH1547" i="1"/>
  <c r="AI1547" i="1" s="1"/>
  <c r="AG1547" i="1"/>
  <c r="AF1547" i="1"/>
  <c r="AD1547" i="1"/>
  <c r="AC1547" i="1"/>
  <c r="Z1547" i="1"/>
  <c r="Y1547" i="1"/>
  <c r="W1547" i="1"/>
  <c r="V1547" i="1"/>
  <c r="U1547" i="1"/>
  <c r="S1547" i="1"/>
  <c r="R1547" i="1"/>
  <c r="Q1547" i="1"/>
  <c r="N1547" i="1"/>
  <c r="O1547" i="1" s="1"/>
  <c r="M1547" i="1"/>
  <c r="J1547" i="1"/>
  <c r="K1547" i="1" s="1"/>
  <c r="I1547" i="1"/>
  <c r="F1547" i="1"/>
  <c r="G1547" i="1" s="1"/>
  <c r="E1547" i="1"/>
  <c r="BN1546" i="1"/>
  <c r="BM1546" i="1" s="1"/>
  <c r="BL1546" i="1"/>
  <c r="BJ1546" i="1"/>
  <c r="BI1546" i="1"/>
  <c r="BF1546" i="1"/>
  <c r="BG1546" i="1" s="1"/>
  <c r="BE1546" i="1"/>
  <c r="BC1546" i="1"/>
  <c r="BB1546" i="1"/>
  <c r="BA1546" i="1"/>
  <c r="AX1546" i="1"/>
  <c r="AW1546" i="1"/>
  <c r="AU1546" i="1"/>
  <c r="AT1546" i="1"/>
  <c r="AS1546" i="1"/>
  <c r="AQ1546" i="1"/>
  <c r="AP1546" i="1"/>
  <c r="AO1546" i="1"/>
  <c r="AM1546" i="1"/>
  <c r="AL1546" i="1"/>
  <c r="AK1546" i="1"/>
  <c r="AH1546" i="1"/>
  <c r="AI1546" i="1" s="1"/>
  <c r="AG1546" i="1"/>
  <c r="AD1546" i="1"/>
  <c r="AE1546" i="1" s="1"/>
  <c r="AC1546" i="1"/>
  <c r="Z1546" i="1"/>
  <c r="AA1546" i="1" s="1"/>
  <c r="Y1546" i="1"/>
  <c r="W1546" i="1"/>
  <c r="V1546" i="1"/>
  <c r="U1546" i="1"/>
  <c r="R1546" i="1"/>
  <c r="Q1546" i="1"/>
  <c r="O1546" i="1"/>
  <c r="N1546" i="1"/>
  <c r="M1546" i="1"/>
  <c r="K1546" i="1"/>
  <c r="J1546" i="1"/>
  <c r="I1546" i="1"/>
  <c r="G1546" i="1"/>
  <c r="F1546" i="1"/>
  <c r="E1546" i="1"/>
  <c r="BN1545" i="1"/>
  <c r="BM1545" i="1"/>
  <c r="BL1545" i="1"/>
  <c r="BJ1545" i="1"/>
  <c r="BI1545" i="1"/>
  <c r="BG1545" i="1"/>
  <c r="BF1545" i="1"/>
  <c r="BE1545" i="1"/>
  <c r="BB1545" i="1"/>
  <c r="BC1545" i="1" s="1"/>
  <c r="BA1545" i="1"/>
  <c r="AX1545" i="1"/>
  <c r="AY1545" i="1" s="1"/>
  <c r="AW1545" i="1"/>
  <c r="AT1545" i="1"/>
  <c r="AU1545" i="1" s="1"/>
  <c r="AS1545" i="1"/>
  <c r="AQ1545" i="1"/>
  <c r="AP1545" i="1"/>
  <c r="AO1545" i="1"/>
  <c r="AL1545" i="1"/>
  <c r="AK1545" i="1"/>
  <c r="AI1545" i="1"/>
  <c r="AH1545" i="1"/>
  <c r="AG1545" i="1"/>
  <c r="AE1545" i="1"/>
  <c r="AD1545" i="1"/>
  <c r="AC1545" i="1"/>
  <c r="AA1545" i="1"/>
  <c r="Z1545" i="1"/>
  <c r="Y1545" i="1"/>
  <c r="V1545" i="1"/>
  <c r="W1545" i="1" s="1"/>
  <c r="U1545" i="1"/>
  <c r="R1545" i="1"/>
  <c r="S1545" i="1" s="1"/>
  <c r="Q1545" i="1"/>
  <c r="N1545" i="1"/>
  <c r="O1545" i="1" s="1"/>
  <c r="M1545" i="1"/>
  <c r="K1545" i="1"/>
  <c r="J1545" i="1"/>
  <c r="G1545" i="1" s="1"/>
  <c r="H1545" i="1"/>
  <c r="I1545" i="1" s="1"/>
  <c r="F1545" i="1"/>
  <c r="E1545" i="1"/>
  <c r="D1545" i="1"/>
  <c r="BN1544" i="1"/>
  <c r="BM1544" i="1"/>
  <c r="BL1544" i="1"/>
  <c r="BJ1544" i="1"/>
  <c r="BI1544" i="1"/>
  <c r="BF1544" i="1"/>
  <c r="BG1544" i="1" s="1"/>
  <c r="BE1544" i="1"/>
  <c r="BB1544" i="1"/>
  <c r="BA1544" i="1"/>
  <c r="AX1544" i="1"/>
  <c r="AY1544" i="1" s="1"/>
  <c r="AW1544" i="1"/>
  <c r="AT1544" i="1"/>
  <c r="AS1544" i="1"/>
  <c r="AQ1544" i="1"/>
  <c r="AP1544" i="1"/>
  <c r="AO1544" i="1"/>
  <c r="AM1544" i="1"/>
  <c r="AL1544" i="1"/>
  <c r="AK1544" i="1"/>
  <c r="AH1544" i="1"/>
  <c r="AI1544" i="1" s="1"/>
  <c r="AG1544" i="1"/>
  <c r="AD1544" i="1"/>
  <c r="AC1544" i="1"/>
  <c r="Z1544" i="1"/>
  <c r="AA1544" i="1" s="1"/>
  <c r="Y1544" i="1"/>
  <c r="V1544" i="1"/>
  <c r="W1544" i="1" s="1"/>
  <c r="U1544" i="1"/>
  <c r="R1544" i="1"/>
  <c r="S1544" i="1" s="1"/>
  <c r="Q1544" i="1"/>
  <c r="N1544" i="1"/>
  <c r="M1544" i="1"/>
  <c r="K1544" i="1"/>
  <c r="J1544" i="1"/>
  <c r="I1544" i="1"/>
  <c r="G1544" i="1"/>
  <c r="F1544" i="1"/>
  <c r="E1544" i="1"/>
  <c r="D1544" i="1"/>
  <c r="BN1543" i="1"/>
  <c r="BM1543" i="1" s="1"/>
  <c r="BL1543" i="1"/>
  <c r="BJ1543" i="1"/>
  <c r="BI1543" i="1"/>
  <c r="BF1543" i="1"/>
  <c r="BG1543" i="1" s="1"/>
  <c r="BE1543" i="1"/>
  <c r="BC1543" i="1"/>
  <c r="BB1543" i="1"/>
  <c r="BA1543" i="1"/>
  <c r="AX1543" i="1"/>
  <c r="AW1543" i="1"/>
  <c r="AU1543" i="1"/>
  <c r="AT1543" i="1"/>
  <c r="AS1543" i="1"/>
  <c r="AQ1543" i="1"/>
  <c r="AP1543" i="1"/>
  <c r="AO1543" i="1"/>
  <c r="AM1543" i="1"/>
  <c r="AL1543" i="1"/>
  <c r="AK1543" i="1"/>
  <c r="AH1543" i="1"/>
  <c r="AI1543" i="1" s="1"/>
  <c r="AG1543" i="1"/>
  <c r="AD1543" i="1"/>
  <c r="AE1543" i="1" s="1"/>
  <c r="AC1543" i="1"/>
  <c r="Z1543" i="1"/>
  <c r="Y1543" i="1"/>
  <c r="W1543" i="1"/>
  <c r="V1543" i="1"/>
  <c r="U1543" i="1"/>
  <c r="R1543" i="1"/>
  <c r="S1543" i="1" s="1"/>
  <c r="Q1543" i="1"/>
  <c r="N1543" i="1"/>
  <c r="M1543" i="1"/>
  <c r="K1543" i="1"/>
  <c r="J1543" i="1"/>
  <c r="I1543" i="1"/>
  <c r="G1543" i="1"/>
  <c r="F1543" i="1"/>
  <c r="E1543" i="1"/>
  <c r="D1543" i="1"/>
  <c r="BN1542" i="1"/>
  <c r="BM1542" i="1" s="1"/>
  <c r="BL1542" i="1"/>
  <c r="BJ1542" i="1"/>
  <c r="BI1542" i="1"/>
  <c r="BF1542" i="1"/>
  <c r="BG1542" i="1" s="1"/>
  <c r="BE1542" i="1"/>
  <c r="BB1542" i="1"/>
  <c r="BC1542" i="1" s="1"/>
  <c r="BA1542" i="1"/>
  <c r="AX1542" i="1"/>
  <c r="AW1542" i="1"/>
  <c r="AU1542" i="1"/>
  <c r="AT1542" i="1"/>
  <c r="AS1542" i="1"/>
  <c r="AQ1542" i="1"/>
  <c r="AP1542" i="1"/>
  <c r="AO1542" i="1"/>
  <c r="AM1542" i="1"/>
  <c r="AL1542" i="1"/>
  <c r="AK1542" i="1"/>
  <c r="AH1542" i="1"/>
  <c r="AI1542" i="1" s="1"/>
  <c r="AG1542" i="1"/>
  <c r="AD1542" i="1"/>
  <c r="AE1542" i="1" s="1"/>
  <c r="AC1542" i="1"/>
  <c r="Z1542" i="1"/>
  <c r="Y1542" i="1"/>
  <c r="W1542" i="1"/>
  <c r="V1542" i="1"/>
  <c r="U1542" i="1"/>
  <c r="R1542" i="1"/>
  <c r="Q1542" i="1"/>
  <c r="N1542" i="1"/>
  <c r="M1542" i="1"/>
  <c r="K1542" i="1"/>
  <c r="J1542" i="1"/>
  <c r="I1542" i="1"/>
  <c r="G1542" i="1"/>
  <c r="F1542" i="1"/>
  <c r="E1542" i="1"/>
  <c r="BN1541" i="1"/>
  <c r="BM1541" i="1"/>
  <c r="BL1541" i="1"/>
  <c r="BJ1541" i="1"/>
  <c r="BI1541" i="1"/>
  <c r="BG1541" i="1"/>
  <c r="BF1541" i="1"/>
  <c r="BE1541" i="1"/>
  <c r="BB1541" i="1"/>
  <c r="BC1541" i="1" s="1"/>
  <c r="BA1541" i="1"/>
  <c r="AX1541" i="1"/>
  <c r="AY1541" i="1" s="1"/>
  <c r="AW1541" i="1"/>
  <c r="AT1541" i="1"/>
  <c r="AS1541" i="1"/>
  <c r="AQ1541" i="1"/>
  <c r="AP1541" i="1"/>
  <c r="AO1541" i="1"/>
  <c r="AM1541" i="1"/>
  <c r="AL1541" i="1"/>
  <c r="AI1541" i="1" s="1"/>
  <c r="AK1541" i="1"/>
  <c r="AH1541" i="1"/>
  <c r="AG1541" i="1"/>
  <c r="AE1541" i="1"/>
  <c r="AD1541" i="1"/>
  <c r="AC1541" i="1"/>
  <c r="AA1541" i="1"/>
  <c r="Z1541" i="1"/>
  <c r="Y1541" i="1"/>
  <c r="V1541" i="1"/>
  <c r="W1541" i="1" s="1"/>
  <c r="U1541" i="1"/>
  <c r="R1541" i="1"/>
  <c r="Q1541" i="1"/>
  <c r="N1541" i="1"/>
  <c r="O1541" i="1" s="1"/>
  <c r="M1541" i="1"/>
  <c r="J1541" i="1"/>
  <c r="K1541" i="1" s="1"/>
  <c r="I1541" i="1"/>
  <c r="G1541" i="1"/>
  <c r="F1541" i="1"/>
  <c r="E1541" i="1"/>
  <c r="BN1540" i="1"/>
  <c r="BL1540" i="1"/>
  <c r="BJ1540" i="1"/>
  <c r="BI1540" i="1"/>
  <c r="BG1540" i="1"/>
  <c r="BF1540" i="1"/>
  <c r="BC1540" i="1" s="1"/>
  <c r="BE1540" i="1"/>
  <c r="BB1540" i="1"/>
  <c r="BA1540" i="1"/>
  <c r="AY1540" i="1"/>
  <c r="AX1540" i="1"/>
  <c r="AW1540" i="1"/>
  <c r="AU1540" i="1"/>
  <c r="AT1540" i="1"/>
  <c r="AS1540" i="1"/>
  <c r="AP1540" i="1"/>
  <c r="AQ1540" i="1" s="1"/>
  <c r="AO1540" i="1"/>
  <c r="AL1540" i="1"/>
  <c r="AK1540" i="1"/>
  <c r="AH1540" i="1"/>
  <c r="AI1540" i="1" s="1"/>
  <c r="AG1540" i="1"/>
  <c r="AD1540" i="1"/>
  <c r="AE1540" i="1" s="1"/>
  <c r="AC1540" i="1"/>
  <c r="AA1540" i="1"/>
  <c r="Z1540" i="1"/>
  <c r="Y1540" i="1"/>
  <c r="W1540" i="1"/>
  <c r="V1540" i="1"/>
  <c r="U1540" i="1"/>
  <c r="S1540" i="1"/>
  <c r="R1540" i="1"/>
  <c r="Q1540" i="1"/>
  <c r="O1540" i="1"/>
  <c r="N1540" i="1"/>
  <c r="M1540" i="1"/>
  <c r="J1540" i="1"/>
  <c r="K1540" i="1" s="1"/>
  <c r="I1540" i="1"/>
  <c r="F1540" i="1"/>
  <c r="E1540" i="1"/>
  <c r="BN1539" i="1"/>
  <c r="BL1539" i="1"/>
  <c r="BJ1539" i="1"/>
  <c r="BM1539" i="1" s="1"/>
  <c r="BI1539" i="1"/>
  <c r="BF1539" i="1"/>
  <c r="BE1539" i="1"/>
  <c r="BB1539" i="1"/>
  <c r="BC1539" i="1" s="1"/>
  <c r="BA1539" i="1"/>
  <c r="AX1539" i="1"/>
  <c r="AY1539" i="1" s="1"/>
  <c r="AW1539" i="1"/>
  <c r="AU1539" i="1"/>
  <c r="AT1539" i="1"/>
  <c r="AS1539" i="1"/>
  <c r="AQ1539" i="1"/>
  <c r="AP1539" i="1"/>
  <c r="AO1539" i="1"/>
  <c r="AM1539" i="1"/>
  <c r="AL1539" i="1"/>
  <c r="AK1539" i="1"/>
  <c r="AI1539" i="1"/>
  <c r="AH1539" i="1"/>
  <c r="AG1539" i="1"/>
  <c r="AD1539" i="1"/>
  <c r="AE1539" i="1" s="1"/>
  <c r="AC1539" i="1"/>
  <c r="Z1539" i="1"/>
  <c r="Y1539" i="1"/>
  <c r="V1539" i="1"/>
  <c r="W1539" i="1" s="1"/>
  <c r="U1539" i="1"/>
  <c r="R1539" i="1"/>
  <c r="S1539" i="1" s="1"/>
  <c r="Q1539" i="1"/>
  <c r="N1539" i="1"/>
  <c r="O1539" i="1" s="1"/>
  <c r="M1539" i="1"/>
  <c r="K1539" i="1"/>
  <c r="J1539" i="1"/>
  <c r="I1539" i="1"/>
  <c r="G1539" i="1"/>
  <c r="F1539" i="1"/>
  <c r="E1539" i="1"/>
  <c r="BN1538" i="1"/>
  <c r="BL1538" i="1"/>
  <c r="BJ1538" i="1"/>
  <c r="BM1538" i="1" s="1"/>
  <c r="BI1538" i="1"/>
  <c r="BG1538" i="1"/>
  <c r="BF1538" i="1"/>
  <c r="BE1538" i="1"/>
  <c r="BC1538" i="1"/>
  <c r="BB1538" i="1"/>
  <c r="BA1538" i="1"/>
  <c r="AX1538" i="1"/>
  <c r="AY1538" i="1" s="1"/>
  <c r="AW1538" i="1"/>
  <c r="AT1538" i="1"/>
  <c r="AS1538" i="1"/>
  <c r="AP1538" i="1"/>
  <c r="AQ1538" i="1" s="1"/>
  <c r="AO1538" i="1"/>
  <c r="AL1538" i="1"/>
  <c r="AM1538" i="1" s="1"/>
  <c r="AK1538" i="1"/>
  <c r="AH1538" i="1"/>
  <c r="AG1538" i="1"/>
  <c r="AE1538" i="1"/>
  <c r="AD1538" i="1"/>
  <c r="AC1538" i="1"/>
  <c r="AA1538" i="1"/>
  <c r="Z1538" i="1"/>
  <c r="Y1538" i="1"/>
  <c r="W1538" i="1"/>
  <c r="V1538" i="1"/>
  <c r="U1538" i="1"/>
  <c r="R1538" i="1"/>
  <c r="S1538" i="1" s="1"/>
  <c r="Q1538" i="1"/>
  <c r="N1538" i="1"/>
  <c r="O1538" i="1" s="1"/>
  <c r="M1538" i="1"/>
  <c r="J1538" i="1"/>
  <c r="I1538" i="1"/>
  <c r="G1538" i="1"/>
  <c r="F1538" i="1"/>
  <c r="E1538" i="1"/>
  <c r="BN1537" i="1"/>
  <c r="BM1537" i="1" s="1"/>
  <c r="BK1537" i="1"/>
  <c r="BL1537" i="1" s="1"/>
  <c r="BJ1537" i="1"/>
  <c r="BI1537" i="1"/>
  <c r="BH1537" i="1"/>
  <c r="BF1537" i="1"/>
  <c r="BE1537" i="1"/>
  <c r="BD1537" i="1"/>
  <c r="BC1537" i="1"/>
  <c r="BB1537" i="1"/>
  <c r="AZ1537" i="1"/>
  <c r="BA1537" i="1" s="1"/>
  <c r="AX1537" i="1"/>
  <c r="AY1537" i="1" s="1"/>
  <c r="AW1537" i="1"/>
  <c r="AT1537" i="1"/>
  <c r="AS1537" i="1"/>
  <c r="AQ1537" i="1"/>
  <c r="AP1537" i="1"/>
  <c r="AO1537" i="1"/>
  <c r="AM1537" i="1"/>
  <c r="AL1537" i="1"/>
  <c r="AK1537" i="1"/>
  <c r="AH1537" i="1"/>
  <c r="AI1537" i="1" s="1"/>
  <c r="AG1537" i="1"/>
  <c r="AD1537" i="1"/>
  <c r="AE1537" i="1" s="1"/>
  <c r="AC1537" i="1"/>
  <c r="AA1537" i="1"/>
  <c r="Z1537" i="1"/>
  <c r="Y1537" i="1"/>
  <c r="W1537" i="1"/>
  <c r="V1537" i="1"/>
  <c r="U1537" i="1"/>
  <c r="R1537" i="1"/>
  <c r="S1537" i="1" s="1"/>
  <c r="Q1537" i="1"/>
  <c r="N1537" i="1"/>
  <c r="O1537" i="1" s="1"/>
  <c r="M1537" i="1"/>
  <c r="K1537" i="1"/>
  <c r="J1537" i="1"/>
  <c r="I1537" i="1"/>
  <c r="G1537" i="1"/>
  <c r="F1537" i="1"/>
  <c r="E1537" i="1"/>
  <c r="BN1536" i="1"/>
  <c r="BM1536" i="1"/>
  <c r="BL1536" i="1"/>
  <c r="BK1536" i="1"/>
  <c r="BJ1536" i="1"/>
  <c r="BI1536" i="1"/>
  <c r="BG1536" i="1"/>
  <c r="BF1536" i="1"/>
  <c r="BD1536" i="1"/>
  <c r="BE1536" i="1" s="1"/>
  <c r="BC1536" i="1"/>
  <c r="BB1536" i="1"/>
  <c r="AZ1536" i="1"/>
  <c r="BA1536" i="1" s="1"/>
  <c r="AY1536" i="1"/>
  <c r="AX1536" i="1"/>
  <c r="AW1536" i="1"/>
  <c r="AU1536" i="1"/>
  <c r="AT1536" i="1"/>
  <c r="AS1536" i="1"/>
  <c r="AP1536" i="1"/>
  <c r="AQ1536" i="1" s="1"/>
  <c r="AO1536" i="1"/>
  <c r="AL1536" i="1"/>
  <c r="AM1536" i="1" s="1"/>
  <c r="AK1536" i="1"/>
  <c r="AI1536" i="1"/>
  <c r="AH1536" i="1"/>
  <c r="AG1536" i="1"/>
  <c r="AE1536" i="1"/>
  <c r="AD1536" i="1"/>
  <c r="AC1536" i="1"/>
  <c r="Z1536" i="1"/>
  <c r="AA1536" i="1" s="1"/>
  <c r="Y1536" i="1"/>
  <c r="V1536" i="1"/>
  <c r="W1536" i="1" s="1"/>
  <c r="U1536" i="1"/>
  <c r="S1536" i="1"/>
  <c r="R1536" i="1"/>
  <c r="Q1536" i="1"/>
  <c r="O1536" i="1"/>
  <c r="N1536" i="1"/>
  <c r="M1536" i="1"/>
  <c r="J1536" i="1"/>
  <c r="K1536" i="1" s="1"/>
  <c r="I1536" i="1"/>
  <c r="F1536" i="1"/>
  <c r="G1536" i="1" s="1"/>
  <c r="E1536" i="1"/>
  <c r="BN1535" i="1"/>
  <c r="BK1535" i="1"/>
  <c r="BL1535" i="1" s="1"/>
  <c r="BJ1535" i="1"/>
  <c r="BM1535" i="1" s="1"/>
  <c r="BI1535" i="1"/>
  <c r="BF1535" i="1"/>
  <c r="BG1535" i="1" s="1"/>
  <c r="BE1535" i="1"/>
  <c r="BD1535" i="1"/>
  <c r="BB1535" i="1"/>
  <c r="BC1535" i="1" s="1"/>
  <c r="BA1535" i="1"/>
  <c r="AZ1535" i="1"/>
  <c r="AX1535" i="1"/>
  <c r="AY1535" i="1" s="1"/>
  <c r="AW1535" i="1"/>
  <c r="AT1535" i="1"/>
  <c r="AU1535" i="1" s="1"/>
  <c r="AS1535" i="1"/>
  <c r="AQ1535" i="1"/>
  <c r="AP1535" i="1"/>
  <c r="AO1535" i="1"/>
  <c r="AM1535" i="1"/>
  <c r="AL1535" i="1"/>
  <c r="AK1535" i="1"/>
  <c r="AH1535" i="1"/>
  <c r="AI1535" i="1" s="1"/>
  <c r="AG1535" i="1"/>
  <c r="AD1535" i="1"/>
  <c r="AE1535" i="1" s="1"/>
  <c r="AC1535" i="1"/>
  <c r="AA1535" i="1"/>
  <c r="Z1535" i="1"/>
  <c r="Y1535" i="1"/>
  <c r="W1535" i="1"/>
  <c r="V1535" i="1"/>
  <c r="U1535" i="1"/>
  <c r="R1535" i="1"/>
  <c r="S1535" i="1" s="1"/>
  <c r="Q1535" i="1"/>
  <c r="N1535" i="1"/>
  <c r="O1535" i="1" s="1"/>
  <c r="M1535" i="1"/>
  <c r="K1535" i="1"/>
  <c r="J1535" i="1"/>
  <c r="I1535" i="1"/>
  <c r="G1535" i="1"/>
  <c r="F1535" i="1"/>
  <c r="E1535" i="1"/>
  <c r="BN1534" i="1"/>
  <c r="BM1534" i="1"/>
  <c r="BL1534" i="1"/>
  <c r="BJ1534" i="1"/>
  <c r="BI1534" i="1"/>
  <c r="BG1534" i="1"/>
  <c r="BF1534" i="1"/>
  <c r="BE1534" i="1"/>
  <c r="BB1534" i="1"/>
  <c r="BC1534" i="1" s="1"/>
  <c r="BA1534" i="1"/>
  <c r="AX1534" i="1"/>
  <c r="AY1534" i="1" s="1"/>
  <c r="AW1534" i="1"/>
  <c r="AU1534" i="1"/>
  <c r="AT1534" i="1"/>
  <c r="AS1534" i="1"/>
  <c r="AQ1534" i="1"/>
  <c r="AP1534" i="1"/>
  <c r="AO1534" i="1"/>
  <c r="AL1534" i="1"/>
  <c r="AM1534" i="1" s="1"/>
  <c r="AK1534" i="1"/>
  <c r="AH1534" i="1"/>
  <c r="AI1534" i="1" s="1"/>
  <c r="AG1534" i="1"/>
  <c r="AE1534" i="1"/>
  <c r="AD1534" i="1"/>
  <c r="AC1534" i="1"/>
  <c r="AA1534" i="1"/>
  <c r="Z1534" i="1"/>
  <c r="Y1534" i="1"/>
  <c r="V1534" i="1"/>
  <c r="W1534" i="1" s="1"/>
  <c r="U1534" i="1"/>
  <c r="R1534" i="1"/>
  <c r="S1534" i="1" s="1"/>
  <c r="Q1534" i="1"/>
  <c r="O1534" i="1"/>
  <c r="N1534" i="1"/>
  <c r="M1534" i="1"/>
  <c r="K1534" i="1"/>
  <c r="J1534" i="1"/>
  <c r="I1534" i="1"/>
  <c r="F1534" i="1"/>
  <c r="G1534" i="1" s="1"/>
  <c r="E1534" i="1"/>
  <c r="BN1533" i="1"/>
  <c r="BL1533" i="1"/>
  <c r="BJ1533" i="1"/>
  <c r="BM1533" i="1" s="1"/>
  <c r="BI1533" i="1"/>
  <c r="BF1533" i="1"/>
  <c r="BG1533" i="1" s="1"/>
  <c r="BE1533" i="1"/>
  <c r="BB1533" i="1"/>
  <c r="BA1533" i="1"/>
  <c r="AY1533" i="1"/>
  <c r="AX1533" i="1"/>
  <c r="AW1533" i="1"/>
  <c r="AU1533" i="1"/>
  <c r="AT1533" i="1"/>
  <c r="AS1533" i="1"/>
  <c r="AP1533" i="1"/>
  <c r="AQ1533" i="1" s="1"/>
  <c r="AO1533" i="1"/>
  <c r="AL1533" i="1"/>
  <c r="AM1533" i="1" s="1"/>
  <c r="AK1533" i="1"/>
  <c r="AI1533" i="1"/>
  <c r="AH1533" i="1"/>
  <c r="AG1533" i="1"/>
  <c r="AE1533" i="1"/>
  <c r="AD1533" i="1"/>
  <c r="AC1533" i="1"/>
  <c r="Z1533" i="1"/>
  <c r="AA1533" i="1" s="1"/>
  <c r="Y1533" i="1"/>
  <c r="V1533" i="1"/>
  <c r="U1533" i="1"/>
  <c r="S1533" i="1"/>
  <c r="R1533" i="1"/>
  <c r="Q1533" i="1"/>
  <c r="O1533" i="1"/>
  <c r="N1533" i="1"/>
  <c r="M1533" i="1"/>
  <c r="J1533" i="1"/>
  <c r="K1533" i="1" s="1"/>
  <c r="I1533" i="1"/>
  <c r="F1533" i="1"/>
  <c r="G1533" i="1" s="1"/>
  <c r="E1533" i="1"/>
  <c r="BN1532" i="1"/>
  <c r="BL1532" i="1"/>
  <c r="BJ1532" i="1"/>
  <c r="BM1532" i="1" s="1"/>
  <c r="BI1532" i="1"/>
  <c r="BF1532" i="1"/>
  <c r="BG1532" i="1" s="1"/>
  <c r="BE1532" i="1"/>
  <c r="BC1532" i="1"/>
  <c r="BB1532" i="1"/>
  <c r="BA1532" i="1"/>
  <c r="AY1532" i="1"/>
  <c r="AX1532" i="1"/>
  <c r="AW1532" i="1"/>
  <c r="AT1532" i="1"/>
  <c r="AU1532" i="1" s="1"/>
  <c r="AS1532" i="1"/>
  <c r="AP1532" i="1"/>
  <c r="AQ1532" i="1" s="1"/>
  <c r="AO1532" i="1"/>
  <c r="AM1532" i="1"/>
  <c r="AL1532" i="1"/>
  <c r="AK1532" i="1"/>
  <c r="AI1532" i="1"/>
  <c r="AH1532" i="1"/>
  <c r="AG1532" i="1"/>
  <c r="AD1532" i="1"/>
  <c r="AE1532" i="1" s="1"/>
  <c r="AC1532" i="1"/>
  <c r="Z1532" i="1"/>
  <c r="AA1532" i="1" s="1"/>
  <c r="Y1532" i="1"/>
  <c r="W1532" i="1"/>
  <c r="V1532" i="1"/>
  <c r="U1532" i="1"/>
  <c r="S1532" i="1"/>
  <c r="R1532" i="1"/>
  <c r="Q1532" i="1"/>
  <c r="N1532" i="1"/>
  <c r="O1532" i="1" s="1"/>
  <c r="M1532" i="1"/>
  <c r="J1532" i="1"/>
  <c r="K1532" i="1" s="1"/>
  <c r="I1532" i="1"/>
  <c r="G1532" i="1"/>
  <c r="F1532" i="1"/>
  <c r="E1532" i="1"/>
  <c r="BN1531" i="1"/>
  <c r="BM1531" i="1" s="1"/>
  <c r="BL1531" i="1"/>
  <c r="BJ1531" i="1"/>
  <c r="BI1531" i="1"/>
  <c r="BG1531" i="1"/>
  <c r="BF1531" i="1"/>
  <c r="BE1531" i="1"/>
  <c r="BC1531" i="1"/>
  <c r="BB1531" i="1"/>
  <c r="BA1531" i="1"/>
  <c r="AX1531" i="1"/>
  <c r="AY1531" i="1" s="1"/>
  <c r="AW1531" i="1"/>
  <c r="AT1531" i="1"/>
  <c r="AU1531" i="1" s="1"/>
  <c r="AS1531" i="1"/>
  <c r="AQ1531" i="1"/>
  <c r="AP1531" i="1"/>
  <c r="AO1531" i="1"/>
  <c r="AM1531" i="1"/>
  <c r="AL1531" i="1"/>
  <c r="AK1531" i="1"/>
  <c r="AH1531" i="1"/>
  <c r="AI1531" i="1" s="1"/>
  <c r="AG1531" i="1"/>
  <c r="AD1531" i="1"/>
  <c r="AE1531" i="1" s="1"/>
  <c r="AC1531" i="1"/>
  <c r="AA1531" i="1"/>
  <c r="Z1531" i="1"/>
  <c r="Y1531" i="1"/>
  <c r="W1531" i="1"/>
  <c r="V1531" i="1"/>
  <c r="U1531" i="1"/>
  <c r="R1531" i="1"/>
  <c r="S1531" i="1" s="1"/>
  <c r="Q1531" i="1"/>
  <c r="N1531" i="1"/>
  <c r="O1531" i="1" s="1"/>
  <c r="M1531" i="1"/>
  <c r="K1531" i="1"/>
  <c r="J1531" i="1"/>
  <c r="I1531" i="1"/>
  <c r="G1531" i="1"/>
  <c r="F1531" i="1"/>
  <c r="E1531" i="1"/>
  <c r="BN1530" i="1"/>
  <c r="BM1530" i="1"/>
  <c r="BL1530" i="1"/>
  <c r="BJ1530" i="1"/>
  <c r="BI1530" i="1"/>
  <c r="BG1530" i="1"/>
  <c r="BF1530" i="1"/>
  <c r="BE1530" i="1"/>
  <c r="BB1530" i="1"/>
  <c r="BC1530" i="1" s="1"/>
  <c r="BA1530" i="1"/>
  <c r="AX1530" i="1"/>
  <c r="AY1530" i="1" s="1"/>
  <c r="AW1530" i="1"/>
  <c r="AU1530" i="1"/>
  <c r="AT1530" i="1"/>
  <c r="AS1530" i="1"/>
  <c r="AQ1530" i="1"/>
  <c r="AP1530" i="1"/>
  <c r="AO1530" i="1"/>
  <c r="AL1530" i="1"/>
  <c r="AM1530" i="1" s="1"/>
  <c r="AK1530" i="1"/>
  <c r="AH1530" i="1"/>
  <c r="AI1530" i="1" s="1"/>
  <c r="AG1530" i="1"/>
  <c r="AE1530" i="1"/>
  <c r="AD1530" i="1"/>
  <c r="AC1530" i="1"/>
  <c r="AA1530" i="1"/>
  <c r="Z1530" i="1"/>
  <c r="Y1530" i="1"/>
  <c r="V1530" i="1"/>
  <c r="W1530" i="1" s="1"/>
  <c r="U1530" i="1"/>
  <c r="R1530" i="1"/>
  <c r="S1530" i="1" s="1"/>
  <c r="Q1530" i="1"/>
  <c r="O1530" i="1"/>
  <c r="N1530" i="1"/>
  <c r="M1530" i="1"/>
  <c r="K1530" i="1"/>
  <c r="J1530" i="1"/>
  <c r="I1530" i="1"/>
  <c r="F1530" i="1"/>
  <c r="G1530" i="1" s="1"/>
  <c r="E1530" i="1"/>
  <c r="BN1529" i="1"/>
  <c r="BL1529" i="1"/>
  <c r="BJ1529" i="1"/>
  <c r="BM1529" i="1" s="1"/>
  <c r="BI1529" i="1"/>
  <c r="BF1529" i="1"/>
  <c r="BG1529" i="1" s="1"/>
  <c r="BE1529" i="1"/>
  <c r="BB1529" i="1"/>
  <c r="BC1529" i="1" s="1"/>
  <c r="BA1529" i="1"/>
  <c r="AY1529" i="1"/>
  <c r="AX1529" i="1"/>
  <c r="AW1529" i="1"/>
  <c r="AT1529" i="1"/>
  <c r="AU1529" i="1" s="1"/>
  <c r="AS1529" i="1"/>
  <c r="AP1529" i="1"/>
  <c r="AQ1529" i="1" s="1"/>
  <c r="AO1529" i="1"/>
  <c r="AL1529" i="1"/>
  <c r="AM1529" i="1" s="1"/>
  <c r="AK1529" i="1"/>
  <c r="AI1529" i="1"/>
  <c r="AH1529" i="1"/>
  <c r="AG1529" i="1"/>
  <c r="AE1529" i="1"/>
  <c r="AD1529" i="1"/>
  <c r="AC1529" i="1"/>
  <c r="Z1529" i="1"/>
  <c r="AA1529" i="1" s="1"/>
  <c r="Y1529" i="1"/>
  <c r="V1529" i="1"/>
  <c r="W1529" i="1" s="1"/>
  <c r="U1529" i="1"/>
  <c r="S1529" i="1"/>
  <c r="R1529" i="1"/>
  <c r="Q1529" i="1"/>
  <c r="N1529" i="1"/>
  <c r="O1529" i="1" s="1"/>
  <c r="M1529" i="1"/>
  <c r="J1529" i="1"/>
  <c r="K1529" i="1" s="1"/>
  <c r="I1529" i="1"/>
  <c r="F1529" i="1"/>
  <c r="G1529" i="1" s="1"/>
  <c r="E1529" i="1"/>
  <c r="BN1528" i="1"/>
  <c r="BL1528" i="1"/>
  <c r="BJ1528" i="1"/>
  <c r="BM1528" i="1" s="1"/>
  <c r="BI1528" i="1"/>
  <c r="BF1528" i="1"/>
  <c r="BE1528" i="1"/>
  <c r="BC1528" i="1"/>
  <c r="BB1528" i="1"/>
  <c r="BA1528" i="1"/>
  <c r="AY1528" i="1"/>
  <c r="AX1528" i="1"/>
  <c r="AW1528" i="1"/>
  <c r="AT1528" i="1"/>
  <c r="AU1528" i="1" s="1"/>
  <c r="AS1528" i="1"/>
  <c r="AP1528" i="1"/>
  <c r="AQ1528" i="1" s="1"/>
  <c r="AO1528" i="1"/>
  <c r="AM1528" i="1"/>
  <c r="AL1528" i="1"/>
  <c r="AK1528" i="1"/>
  <c r="AH1528" i="1"/>
  <c r="AI1528" i="1" s="1"/>
  <c r="AG1528" i="1"/>
  <c r="AD1528" i="1"/>
  <c r="AE1528" i="1" s="1"/>
  <c r="AC1528" i="1"/>
  <c r="Z1528" i="1"/>
  <c r="AA1528" i="1" s="1"/>
  <c r="Y1528" i="1"/>
  <c r="W1528" i="1"/>
  <c r="V1528" i="1"/>
  <c r="U1528" i="1"/>
  <c r="S1528" i="1"/>
  <c r="R1528" i="1"/>
  <c r="Q1528" i="1"/>
  <c r="N1528" i="1"/>
  <c r="O1528" i="1" s="1"/>
  <c r="M1528" i="1"/>
  <c r="J1528" i="1"/>
  <c r="K1528" i="1" s="1"/>
  <c r="I1528" i="1"/>
  <c r="G1528" i="1"/>
  <c r="F1528" i="1"/>
  <c r="E1528" i="1"/>
  <c r="BN1527" i="1"/>
  <c r="BM1527" i="1"/>
  <c r="BL1527" i="1"/>
  <c r="BJ1527" i="1"/>
  <c r="BI1527" i="1"/>
  <c r="BG1527" i="1"/>
  <c r="BF1527" i="1"/>
  <c r="BE1527" i="1"/>
  <c r="BB1527" i="1"/>
  <c r="BC1527" i="1" s="1"/>
  <c r="BA1527" i="1"/>
  <c r="AX1527" i="1"/>
  <c r="AY1527" i="1" s="1"/>
  <c r="AW1527" i="1"/>
  <c r="AT1527" i="1"/>
  <c r="AU1527" i="1" s="1"/>
  <c r="AS1527" i="1"/>
  <c r="AQ1527" i="1"/>
  <c r="AP1527" i="1"/>
  <c r="AO1527" i="1"/>
  <c r="AM1527" i="1"/>
  <c r="AL1527" i="1"/>
  <c r="AK1527" i="1"/>
  <c r="AH1527" i="1"/>
  <c r="AI1527" i="1" s="1"/>
  <c r="AG1527" i="1"/>
  <c r="AD1527" i="1"/>
  <c r="AE1527" i="1" s="1"/>
  <c r="AC1527" i="1"/>
  <c r="AA1527" i="1"/>
  <c r="Z1527" i="1"/>
  <c r="Y1527" i="1"/>
  <c r="V1527" i="1"/>
  <c r="W1527" i="1" s="1"/>
  <c r="U1527" i="1"/>
  <c r="R1527" i="1"/>
  <c r="S1527" i="1" s="1"/>
  <c r="Q1527" i="1"/>
  <c r="N1527" i="1"/>
  <c r="M1527" i="1"/>
  <c r="K1527" i="1"/>
  <c r="J1527" i="1"/>
  <c r="I1527" i="1"/>
  <c r="G1527" i="1"/>
  <c r="F1527" i="1"/>
  <c r="E1527" i="1"/>
  <c r="BN1526" i="1"/>
  <c r="BM1526" i="1"/>
  <c r="BL1526" i="1"/>
  <c r="BJ1526" i="1"/>
  <c r="BI1526" i="1"/>
  <c r="BG1526" i="1"/>
  <c r="BF1526" i="1"/>
  <c r="BE1526" i="1"/>
  <c r="BB1526" i="1"/>
  <c r="BC1526" i="1" s="1"/>
  <c r="BA1526" i="1"/>
  <c r="AX1526" i="1"/>
  <c r="AY1526" i="1" s="1"/>
  <c r="AW1526" i="1"/>
  <c r="AU1526" i="1"/>
  <c r="AT1526" i="1"/>
  <c r="AS1526" i="1"/>
  <c r="AP1526" i="1"/>
  <c r="AQ1526" i="1" s="1"/>
  <c r="AO1526" i="1"/>
  <c r="AL1526" i="1"/>
  <c r="AM1526" i="1" s="1"/>
  <c r="AK1526" i="1"/>
  <c r="AH1526" i="1"/>
  <c r="AG1526" i="1"/>
  <c r="AE1526" i="1"/>
  <c r="AD1526" i="1"/>
  <c r="AC1526" i="1"/>
  <c r="AA1526" i="1"/>
  <c r="Z1526" i="1"/>
  <c r="Y1526" i="1"/>
  <c r="V1526" i="1"/>
  <c r="W1526" i="1" s="1"/>
  <c r="U1526" i="1"/>
  <c r="R1526" i="1"/>
  <c r="S1526" i="1" s="1"/>
  <c r="Q1526" i="1"/>
  <c r="O1526" i="1"/>
  <c r="N1526" i="1"/>
  <c r="M1526" i="1"/>
  <c r="J1526" i="1"/>
  <c r="K1526" i="1" s="1"/>
  <c r="I1526" i="1"/>
  <c r="F1526" i="1"/>
  <c r="G1526" i="1" s="1"/>
  <c r="E1526" i="1"/>
  <c r="BN1525" i="1"/>
  <c r="BL1525" i="1"/>
  <c r="BJ1525" i="1"/>
  <c r="BM1525" i="1" s="1"/>
  <c r="BI1525" i="1"/>
  <c r="BF1525" i="1"/>
  <c r="BG1525" i="1" s="1"/>
  <c r="BE1525" i="1"/>
  <c r="BB1525" i="1"/>
  <c r="BA1525" i="1"/>
  <c r="AY1525" i="1"/>
  <c r="AX1525" i="1"/>
  <c r="AV1525" i="1"/>
  <c r="AW1525" i="1" s="1"/>
  <c r="AU1525" i="1"/>
  <c r="AT1525" i="1"/>
  <c r="AS1525" i="1"/>
  <c r="AP1525" i="1"/>
  <c r="AQ1525" i="1" s="1"/>
  <c r="AO1525" i="1"/>
  <c r="AL1525" i="1"/>
  <c r="AM1525" i="1" s="1"/>
  <c r="AK1525" i="1"/>
  <c r="AH1525" i="1"/>
  <c r="AG1525" i="1"/>
  <c r="AE1525" i="1"/>
  <c r="AD1525" i="1"/>
  <c r="AC1525" i="1"/>
  <c r="AA1525" i="1"/>
  <c r="Z1525" i="1"/>
  <c r="Y1525" i="1"/>
  <c r="V1525" i="1"/>
  <c r="W1525" i="1" s="1"/>
  <c r="U1525" i="1"/>
  <c r="R1525" i="1"/>
  <c r="S1525" i="1" s="1"/>
  <c r="Q1525" i="1"/>
  <c r="O1525" i="1"/>
  <c r="N1525" i="1"/>
  <c r="M1525" i="1"/>
  <c r="J1525" i="1"/>
  <c r="K1525" i="1" s="1"/>
  <c r="I1525" i="1"/>
  <c r="F1525" i="1"/>
  <c r="G1525" i="1" s="1"/>
  <c r="E1525" i="1"/>
  <c r="BN1524" i="1"/>
  <c r="BL1524" i="1"/>
  <c r="BJ1524" i="1"/>
  <c r="BM1524" i="1" s="1"/>
  <c r="BI1524" i="1"/>
  <c r="BF1524" i="1"/>
  <c r="BG1524" i="1" s="1"/>
  <c r="BE1524" i="1"/>
  <c r="BB1524" i="1"/>
  <c r="BC1524" i="1" s="1"/>
  <c r="BA1524" i="1"/>
  <c r="AY1524" i="1"/>
  <c r="AX1524" i="1"/>
  <c r="AV1524" i="1"/>
  <c r="AW1524" i="1" s="1"/>
  <c r="AU1524" i="1"/>
  <c r="AT1524" i="1"/>
  <c r="AS1524" i="1"/>
  <c r="AP1524" i="1"/>
  <c r="AQ1524" i="1" s="1"/>
  <c r="AO1524" i="1"/>
  <c r="AL1524" i="1"/>
  <c r="AM1524" i="1" s="1"/>
  <c r="AK1524" i="1"/>
  <c r="AH1524" i="1"/>
  <c r="AI1524" i="1" s="1"/>
  <c r="AG1524" i="1"/>
  <c r="AE1524" i="1"/>
  <c r="AD1524" i="1"/>
  <c r="AC1524" i="1"/>
  <c r="AA1524" i="1"/>
  <c r="Z1524" i="1"/>
  <c r="Y1524" i="1"/>
  <c r="V1524" i="1"/>
  <c r="W1524" i="1" s="1"/>
  <c r="U1524" i="1"/>
  <c r="R1524" i="1"/>
  <c r="S1524" i="1" s="1"/>
  <c r="Q1524" i="1"/>
  <c r="O1524" i="1"/>
  <c r="N1524" i="1"/>
  <c r="M1524" i="1"/>
  <c r="J1524" i="1"/>
  <c r="K1524" i="1" s="1"/>
  <c r="I1524" i="1"/>
  <c r="F1524" i="1"/>
  <c r="G1524" i="1" s="1"/>
  <c r="E1524" i="1"/>
  <c r="BN1523" i="1"/>
  <c r="BL1523" i="1"/>
  <c r="BJ1523" i="1"/>
  <c r="BM1523" i="1" s="1"/>
  <c r="BI1523" i="1"/>
  <c r="BF1523" i="1"/>
  <c r="BG1523" i="1" s="1"/>
  <c r="BE1523" i="1"/>
  <c r="BB1523" i="1"/>
  <c r="BC1523" i="1" s="1"/>
  <c r="BA1523" i="1"/>
  <c r="AY1523" i="1"/>
  <c r="AX1523" i="1"/>
  <c r="AV1523" i="1"/>
  <c r="AW1523" i="1" s="1"/>
  <c r="AU1523" i="1"/>
  <c r="AT1523" i="1"/>
  <c r="AS1523" i="1"/>
  <c r="AP1523" i="1"/>
  <c r="AQ1523" i="1" s="1"/>
  <c r="AO1523" i="1"/>
  <c r="AL1523" i="1"/>
  <c r="AM1523" i="1" s="1"/>
  <c r="AK1523" i="1"/>
  <c r="AH1523" i="1"/>
  <c r="AI1523" i="1" s="1"/>
  <c r="AG1523" i="1"/>
  <c r="AE1523" i="1"/>
  <c r="AD1523" i="1"/>
  <c r="AC1523" i="1"/>
  <c r="AA1523" i="1"/>
  <c r="Z1523" i="1"/>
  <c r="Y1523" i="1"/>
  <c r="V1523" i="1"/>
  <c r="W1523" i="1" s="1"/>
  <c r="U1523" i="1"/>
  <c r="R1523" i="1"/>
  <c r="S1523" i="1" s="1"/>
  <c r="Q1523" i="1"/>
  <c r="O1523" i="1"/>
  <c r="N1523" i="1"/>
  <c r="M1523" i="1"/>
  <c r="J1523" i="1"/>
  <c r="K1523" i="1" s="1"/>
  <c r="I1523" i="1"/>
  <c r="F1523" i="1"/>
  <c r="G1523" i="1" s="1"/>
  <c r="E1523" i="1"/>
  <c r="BN1522" i="1"/>
  <c r="BL1522" i="1"/>
  <c r="BJ1522" i="1"/>
  <c r="BM1522" i="1" s="1"/>
  <c r="BI1522" i="1"/>
  <c r="BF1522" i="1"/>
  <c r="BG1522" i="1" s="1"/>
  <c r="BE1522" i="1"/>
  <c r="BB1522" i="1"/>
  <c r="BA1522" i="1"/>
  <c r="AY1522" i="1"/>
  <c r="AX1522" i="1"/>
  <c r="AW1522" i="1"/>
  <c r="AU1522" i="1"/>
  <c r="AT1522" i="1"/>
  <c r="AS1522" i="1"/>
  <c r="AP1522" i="1"/>
  <c r="AQ1522" i="1" s="1"/>
  <c r="AO1522" i="1"/>
  <c r="AL1522" i="1"/>
  <c r="AM1522" i="1" s="1"/>
  <c r="AK1522" i="1"/>
  <c r="AI1522" i="1"/>
  <c r="AH1522" i="1"/>
  <c r="AG1522" i="1"/>
  <c r="AD1522" i="1"/>
  <c r="AE1522" i="1" s="1"/>
  <c r="AC1522" i="1"/>
  <c r="Z1522" i="1"/>
  <c r="AA1522" i="1" s="1"/>
  <c r="Y1522" i="1"/>
  <c r="V1522" i="1"/>
  <c r="W1522" i="1" s="1"/>
  <c r="U1522" i="1"/>
  <c r="S1522" i="1"/>
  <c r="R1522" i="1"/>
  <c r="Q1522" i="1"/>
  <c r="O1522" i="1"/>
  <c r="N1522" i="1"/>
  <c r="M1522" i="1"/>
  <c r="J1522" i="1"/>
  <c r="K1522" i="1" s="1"/>
  <c r="I1522" i="1"/>
  <c r="F1522" i="1"/>
  <c r="G1522" i="1" s="1"/>
  <c r="E1522" i="1"/>
  <c r="BN1521" i="1"/>
  <c r="BL1521" i="1"/>
  <c r="BJ1521" i="1"/>
  <c r="BM1521" i="1" s="1"/>
  <c r="BI1521" i="1"/>
  <c r="BF1521" i="1"/>
  <c r="BG1521" i="1" s="1"/>
  <c r="BE1521" i="1"/>
  <c r="BC1521" i="1"/>
  <c r="BB1521" i="1"/>
  <c r="BA1521" i="1"/>
  <c r="AX1521" i="1"/>
  <c r="AY1521" i="1" s="1"/>
  <c r="AW1521" i="1"/>
  <c r="AT1521" i="1"/>
  <c r="AU1521" i="1" s="1"/>
  <c r="AS1521" i="1"/>
  <c r="AP1521" i="1"/>
  <c r="AO1521" i="1"/>
  <c r="AM1521" i="1"/>
  <c r="AL1521" i="1"/>
  <c r="AK1521" i="1"/>
  <c r="AI1521" i="1"/>
  <c r="AH1521" i="1"/>
  <c r="AG1521" i="1"/>
  <c r="AD1521" i="1"/>
  <c r="AE1521" i="1" s="1"/>
  <c r="AC1521" i="1"/>
  <c r="Z1521" i="1"/>
  <c r="AA1521" i="1" s="1"/>
  <c r="Y1521" i="1"/>
  <c r="W1521" i="1"/>
  <c r="V1521" i="1"/>
  <c r="U1521" i="1"/>
  <c r="R1521" i="1"/>
  <c r="S1521" i="1" s="1"/>
  <c r="Q1521" i="1"/>
  <c r="N1521" i="1"/>
  <c r="O1521" i="1" s="1"/>
  <c r="M1521" i="1"/>
  <c r="J1521" i="1"/>
  <c r="K1521" i="1" s="1"/>
  <c r="I1521" i="1"/>
  <c r="G1521" i="1"/>
  <c r="F1521" i="1"/>
  <c r="E1521" i="1"/>
  <c r="BN1520" i="1"/>
  <c r="BM1520" i="1" s="1"/>
  <c r="BL1520" i="1"/>
  <c r="BJ1520" i="1"/>
  <c r="BI1520" i="1"/>
  <c r="BG1520" i="1"/>
  <c r="BF1520" i="1"/>
  <c r="BE1520" i="1"/>
  <c r="BC1520" i="1"/>
  <c r="BB1520" i="1"/>
  <c r="BA1520" i="1"/>
  <c r="AX1520" i="1"/>
  <c r="AY1520" i="1" s="1"/>
  <c r="AW1520" i="1"/>
  <c r="AT1520" i="1"/>
  <c r="AU1520" i="1" s="1"/>
  <c r="AS1520" i="1"/>
  <c r="AQ1520" i="1"/>
  <c r="AP1520" i="1"/>
  <c r="AO1520" i="1"/>
  <c r="AL1520" i="1"/>
  <c r="AM1520" i="1" s="1"/>
  <c r="AK1520" i="1"/>
  <c r="AH1520" i="1"/>
  <c r="AI1520" i="1" s="1"/>
  <c r="AG1520" i="1"/>
  <c r="AD1520" i="1"/>
  <c r="AC1520" i="1"/>
  <c r="AA1520" i="1"/>
  <c r="Z1520" i="1"/>
  <c r="Y1520" i="1"/>
  <c r="W1520" i="1"/>
  <c r="V1520" i="1"/>
  <c r="U1520" i="1"/>
  <c r="R1520" i="1"/>
  <c r="S1520" i="1" s="1"/>
  <c r="Q1520" i="1"/>
  <c r="N1520" i="1"/>
  <c r="O1520" i="1" s="1"/>
  <c r="M1520" i="1"/>
  <c r="K1520" i="1"/>
  <c r="J1520" i="1"/>
  <c r="I1520" i="1"/>
  <c r="F1520" i="1"/>
  <c r="G1520" i="1" s="1"/>
  <c r="E1520" i="1"/>
  <c r="BN1519" i="1"/>
  <c r="BM1519" i="1"/>
  <c r="BL1519" i="1"/>
  <c r="BJ1519" i="1"/>
  <c r="BI1519" i="1"/>
  <c r="BF1519" i="1"/>
  <c r="BG1519" i="1" s="1"/>
  <c r="BE1519" i="1"/>
  <c r="BB1519" i="1"/>
  <c r="BC1519" i="1" s="1"/>
  <c r="BA1519" i="1"/>
  <c r="AX1519" i="1"/>
  <c r="AY1519" i="1" s="1"/>
  <c r="AW1519" i="1"/>
  <c r="AU1519" i="1"/>
  <c r="AT1519" i="1"/>
  <c r="AS1519" i="1"/>
  <c r="AQ1519" i="1"/>
  <c r="AP1519" i="1"/>
  <c r="AO1519" i="1"/>
  <c r="AL1519" i="1"/>
  <c r="AM1519" i="1" s="1"/>
  <c r="AK1519" i="1"/>
  <c r="AH1519" i="1"/>
  <c r="AI1519" i="1" s="1"/>
  <c r="AG1519" i="1"/>
  <c r="AE1519" i="1"/>
  <c r="AD1519" i="1"/>
  <c r="AC1519" i="1"/>
  <c r="Z1519" i="1"/>
  <c r="AA1519" i="1" s="1"/>
  <c r="Y1519" i="1"/>
  <c r="V1519" i="1"/>
  <c r="W1519" i="1" s="1"/>
  <c r="U1519" i="1"/>
  <c r="R1519" i="1"/>
  <c r="S1519" i="1" s="1"/>
  <c r="Q1519" i="1"/>
  <c r="O1519" i="1"/>
  <c r="N1519" i="1"/>
  <c r="M1519" i="1"/>
  <c r="K1519" i="1"/>
  <c r="J1519" i="1"/>
  <c r="I1519" i="1"/>
  <c r="F1519" i="1"/>
  <c r="G1519" i="1" s="1"/>
  <c r="E1519" i="1"/>
  <c r="BN1518" i="1"/>
  <c r="BL1518" i="1"/>
  <c r="BJ1518" i="1"/>
  <c r="BM1518" i="1" s="1"/>
  <c r="BI1518" i="1"/>
  <c r="BF1518" i="1"/>
  <c r="BG1518" i="1" s="1"/>
  <c r="BE1518" i="1"/>
  <c r="BB1518" i="1"/>
  <c r="BC1518" i="1" s="1"/>
  <c r="BA1518" i="1"/>
  <c r="AY1518" i="1"/>
  <c r="AX1518" i="1"/>
  <c r="AW1518" i="1"/>
  <c r="AT1518" i="1"/>
  <c r="AU1518" i="1" s="1"/>
  <c r="AS1518" i="1"/>
  <c r="AP1518" i="1"/>
  <c r="AQ1518" i="1" s="1"/>
  <c r="AO1518" i="1"/>
  <c r="AL1518" i="1"/>
  <c r="AM1518" i="1" s="1"/>
  <c r="AK1518" i="1"/>
  <c r="AI1518" i="1"/>
  <c r="AH1518" i="1"/>
  <c r="AG1518" i="1"/>
  <c r="AE1518" i="1"/>
  <c r="AD1518" i="1"/>
  <c r="AC1518" i="1"/>
  <c r="Z1518" i="1"/>
  <c r="AA1518" i="1" s="1"/>
  <c r="Y1518" i="1"/>
  <c r="V1518" i="1"/>
  <c r="W1518" i="1" s="1"/>
  <c r="U1518" i="1"/>
  <c r="S1518" i="1"/>
  <c r="R1518" i="1"/>
  <c r="Q1518" i="1"/>
  <c r="N1518" i="1"/>
  <c r="O1518" i="1" s="1"/>
  <c r="M1518" i="1"/>
  <c r="J1518" i="1"/>
  <c r="K1518" i="1" s="1"/>
  <c r="I1518" i="1"/>
  <c r="F1518" i="1"/>
  <c r="G1518" i="1" s="1"/>
  <c r="E1518" i="1"/>
  <c r="BN1517" i="1"/>
  <c r="BL1517" i="1"/>
  <c r="BJ1517" i="1"/>
  <c r="BM1517" i="1" s="1"/>
  <c r="BI1517" i="1"/>
  <c r="BF1517" i="1"/>
  <c r="BE1517" i="1"/>
  <c r="BC1517" i="1"/>
  <c r="BB1517" i="1"/>
  <c r="BA1517" i="1"/>
  <c r="AY1517" i="1"/>
  <c r="AX1517" i="1"/>
  <c r="AW1517" i="1"/>
  <c r="AT1517" i="1"/>
  <c r="AU1517" i="1" s="1"/>
  <c r="AS1517" i="1"/>
  <c r="AP1517" i="1"/>
  <c r="AQ1517" i="1" s="1"/>
  <c r="AO1517" i="1"/>
  <c r="AM1517" i="1"/>
  <c r="AL1517" i="1"/>
  <c r="AK1517" i="1"/>
  <c r="AH1517" i="1"/>
  <c r="AI1517" i="1" s="1"/>
  <c r="AG1517" i="1"/>
  <c r="AD1517" i="1"/>
  <c r="AE1517" i="1" s="1"/>
  <c r="AC1517" i="1"/>
  <c r="Z1517" i="1"/>
  <c r="AA1517" i="1" s="1"/>
  <c r="Y1517" i="1"/>
  <c r="W1517" i="1"/>
  <c r="V1517" i="1"/>
  <c r="U1517" i="1"/>
  <c r="S1517" i="1"/>
  <c r="R1517" i="1"/>
  <c r="Q1517" i="1"/>
  <c r="N1517" i="1"/>
  <c r="O1517" i="1" s="1"/>
  <c r="M1517" i="1"/>
  <c r="J1517" i="1"/>
  <c r="K1517" i="1" s="1"/>
  <c r="I1517" i="1"/>
  <c r="G1517" i="1"/>
  <c r="F1517" i="1"/>
  <c r="E1517" i="1"/>
  <c r="BN1516" i="1"/>
  <c r="BM1516" i="1"/>
  <c r="BL1516" i="1"/>
  <c r="BJ1516" i="1"/>
  <c r="BI1516" i="1"/>
  <c r="BG1516" i="1"/>
  <c r="BF1516" i="1"/>
  <c r="BE1516" i="1"/>
  <c r="BB1516" i="1"/>
  <c r="BC1516" i="1" s="1"/>
  <c r="BA1516" i="1"/>
  <c r="AX1516" i="1"/>
  <c r="AY1516" i="1" s="1"/>
  <c r="AW1516" i="1"/>
  <c r="AT1516" i="1"/>
  <c r="AU1516" i="1" s="1"/>
  <c r="AS1516" i="1"/>
  <c r="AQ1516" i="1"/>
  <c r="AP1516" i="1"/>
  <c r="AO1516" i="1"/>
  <c r="AM1516" i="1"/>
  <c r="AL1516" i="1"/>
  <c r="AK1516" i="1"/>
  <c r="AH1516" i="1"/>
  <c r="AI1516" i="1" s="1"/>
  <c r="AG1516" i="1"/>
  <c r="AD1516" i="1"/>
  <c r="AE1516" i="1" s="1"/>
  <c r="AC1516" i="1"/>
  <c r="AA1516" i="1"/>
  <c r="Z1516" i="1"/>
  <c r="Y1516" i="1"/>
  <c r="V1516" i="1"/>
  <c r="W1516" i="1" s="1"/>
  <c r="U1516" i="1"/>
  <c r="R1516" i="1"/>
  <c r="S1516" i="1" s="1"/>
  <c r="Q1516" i="1"/>
  <c r="N1516" i="1"/>
  <c r="M1516" i="1"/>
  <c r="K1516" i="1"/>
  <c r="J1516" i="1"/>
  <c r="I1516" i="1"/>
  <c r="G1516" i="1"/>
  <c r="F1516" i="1"/>
  <c r="E1516" i="1"/>
  <c r="BN1515" i="1"/>
  <c r="BM1515" i="1"/>
  <c r="BL1515" i="1"/>
  <c r="BJ1515" i="1"/>
  <c r="BI1515" i="1"/>
  <c r="BG1515" i="1"/>
  <c r="BF1515" i="1"/>
  <c r="BE1515" i="1"/>
  <c r="BB1515" i="1"/>
  <c r="BC1515" i="1" s="1"/>
  <c r="BA1515" i="1"/>
  <c r="AX1515" i="1"/>
  <c r="AY1515" i="1" s="1"/>
  <c r="AW1515" i="1"/>
  <c r="AU1515" i="1"/>
  <c r="AT1515" i="1"/>
  <c r="AS1515" i="1"/>
  <c r="AP1515" i="1"/>
  <c r="AQ1515" i="1" s="1"/>
  <c r="AO1515" i="1"/>
  <c r="AL1515" i="1"/>
  <c r="AM1515" i="1" s="1"/>
  <c r="AK1515" i="1"/>
  <c r="AH1515" i="1"/>
  <c r="AG1515" i="1"/>
  <c r="AE1515" i="1"/>
  <c r="AD1515" i="1"/>
  <c r="AC1515" i="1"/>
  <c r="AA1515" i="1"/>
  <c r="Z1515" i="1"/>
  <c r="Y1515" i="1"/>
  <c r="V1515" i="1"/>
  <c r="W1515" i="1" s="1"/>
  <c r="U1515" i="1"/>
  <c r="R1515" i="1"/>
  <c r="S1515" i="1" s="1"/>
  <c r="Q1515" i="1"/>
  <c r="O1515" i="1"/>
  <c r="N1515" i="1"/>
  <c r="M1515" i="1"/>
  <c r="J1515" i="1"/>
  <c r="K1515" i="1" s="1"/>
  <c r="I1515" i="1"/>
  <c r="F1515" i="1"/>
  <c r="G1515" i="1" s="1"/>
  <c r="E1515" i="1"/>
  <c r="BN1514" i="1"/>
  <c r="BL1514" i="1"/>
  <c r="BJ1514" i="1"/>
  <c r="BM1514" i="1" s="1"/>
  <c r="BI1514" i="1"/>
  <c r="BF1514" i="1"/>
  <c r="BG1514" i="1" s="1"/>
  <c r="BE1514" i="1"/>
  <c r="BB1514" i="1"/>
  <c r="BA1514" i="1"/>
  <c r="AY1514" i="1"/>
  <c r="AX1514" i="1"/>
  <c r="AW1514" i="1"/>
  <c r="AU1514" i="1"/>
  <c r="AT1514" i="1"/>
  <c r="AS1514" i="1"/>
  <c r="AP1514" i="1"/>
  <c r="AQ1514" i="1" s="1"/>
  <c r="AO1514" i="1"/>
  <c r="AL1514" i="1"/>
  <c r="AM1514" i="1" s="1"/>
  <c r="AK1514" i="1"/>
  <c r="AI1514" i="1"/>
  <c r="AH1514" i="1"/>
  <c r="AG1514" i="1"/>
  <c r="AD1514" i="1"/>
  <c r="AE1514" i="1" s="1"/>
  <c r="AC1514" i="1"/>
  <c r="Z1514" i="1"/>
  <c r="AA1514" i="1" s="1"/>
  <c r="Y1514" i="1"/>
  <c r="V1514" i="1"/>
  <c r="U1514" i="1"/>
  <c r="S1514" i="1"/>
  <c r="R1514" i="1"/>
  <c r="Q1514" i="1"/>
  <c r="O1514" i="1"/>
  <c r="N1514" i="1"/>
  <c r="M1514" i="1"/>
  <c r="J1514" i="1"/>
  <c r="K1514" i="1" s="1"/>
  <c r="I1514" i="1"/>
  <c r="F1514" i="1"/>
  <c r="G1514" i="1" s="1"/>
  <c r="E1514" i="1"/>
  <c r="BN1513" i="1"/>
  <c r="BL1513" i="1"/>
  <c r="BJ1513" i="1"/>
  <c r="BM1513" i="1" s="1"/>
  <c r="BI1513" i="1"/>
  <c r="BF1513" i="1"/>
  <c r="BG1513" i="1" s="1"/>
  <c r="BE1513" i="1"/>
  <c r="BC1513" i="1"/>
  <c r="BB1513" i="1"/>
  <c r="BA1513" i="1"/>
  <c r="AX1513" i="1"/>
  <c r="AY1513" i="1" s="1"/>
  <c r="AW1513" i="1"/>
  <c r="AT1513" i="1"/>
  <c r="AU1513" i="1" s="1"/>
  <c r="AS1513" i="1"/>
  <c r="AP1513" i="1"/>
  <c r="AO1513" i="1"/>
  <c r="AM1513" i="1"/>
  <c r="AL1513" i="1"/>
  <c r="AK1513" i="1"/>
  <c r="AI1513" i="1"/>
  <c r="AH1513" i="1"/>
  <c r="AG1513" i="1"/>
  <c r="AD1513" i="1"/>
  <c r="AE1513" i="1" s="1"/>
  <c r="AC1513" i="1"/>
  <c r="Z1513" i="1"/>
  <c r="AA1513" i="1" s="1"/>
  <c r="Y1513" i="1"/>
  <c r="W1513" i="1"/>
  <c r="V1513" i="1"/>
  <c r="U1513" i="1"/>
  <c r="R1513" i="1"/>
  <c r="S1513" i="1" s="1"/>
  <c r="Q1513" i="1"/>
  <c r="N1513" i="1"/>
  <c r="O1513" i="1" s="1"/>
  <c r="M1513" i="1"/>
  <c r="J1513" i="1"/>
  <c r="I1513" i="1"/>
  <c r="G1513" i="1"/>
  <c r="F1513" i="1"/>
  <c r="E1513" i="1"/>
  <c r="BN1512" i="1"/>
  <c r="BM1512" i="1" s="1"/>
  <c r="BL1512" i="1"/>
  <c r="BJ1512" i="1"/>
  <c r="BI1512" i="1"/>
  <c r="BG1512" i="1"/>
  <c r="BF1512" i="1"/>
  <c r="BE1512" i="1"/>
  <c r="BC1512" i="1"/>
  <c r="BB1512" i="1"/>
  <c r="BA1512" i="1"/>
  <c r="AX1512" i="1"/>
  <c r="AY1512" i="1" s="1"/>
  <c r="AW1512" i="1"/>
  <c r="AT1512" i="1"/>
  <c r="AU1512" i="1" s="1"/>
  <c r="AS1512" i="1"/>
  <c r="AQ1512" i="1"/>
  <c r="AP1512" i="1"/>
  <c r="AO1512" i="1"/>
  <c r="AL1512" i="1"/>
  <c r="AM1512" i="1" s="1"/>
  <c r="AK1512" i="1"/>
  <c r="AH1512" i="1"/>
  <c r="AI1512" i="1" s="1"/>
  <c r="AG1512" i="1"/>
  <c r="AD1512" i="1"/>
  <c r="AE1512" i="1" s="1"/>
  <c r="AC1512" i="1"/>
  <c r="AA1512" i="1"/>
  <c r="Z1512" i="1"/>
  <c r="Y1512" i="1"/>
  <c r="W1512" i="1"/>
  <c r="V1512" i="1"/>
  <c r="U1512" i="1"/>
  <c r="R1512" i="1"/>
  <c r="S1512" i="1" s="1"/>
  <c r="Q1512" i="1"/>
  <c r="N1512" i="1"/>
  <c r="O1512" i="1" s="1"/>
  <c r="M1512" i="1"/>
  <c r="K1512" i="1"/>
  <c r="J1512" i="1"/>
  <c r="I1512" i="1"/>
  <c r="F1512" i="1"/>
  <c r="G1512" i="1" s="1"/>
  <c r="E1512" i="1"/>
  <c r="BN1511" i="1"/>
  <c r="BM1511" i="1"/>
  <c r="BL1511" i="1"/>
  <c r="BJ1511" i="1"/>
  <c r="BI1511" i="1"/>
  <c r="BF1511" i="1"/>
  <c r="BG1511" i="1" s="1"/>
  <c r="BE1511" i="1"/>
  <c r="BB1511" i="1"/>
  <c r="BC1511" i="1" s="1"/>
  <c r="BA1511" i="1"/>
  <c r="AX1511" i="1"/>
  <c r="AW1511" i="1"/>
  <c r="AU1511" i="1"/>
  <c r="AT1511" i="1"/>
  <c r="AS1511" i="1"/>
  <c r="AQ1511" i="1"/>
  <c r="AP1511" i="1"/>
  <c r="AO1511" i="1"/>
  <c r="AL1511" i="1"/>
  <c r="AM1511" i="1" s="1"/>
  <c r="AK1511" i="1"/>
  <c r="AH1511" i="1"/>
  <c r="AI1511" i="1" s="1"/>
  <c r="AG1511" i="1"/>
  <c r="AE1511" i="1"/>
  <c r="AD1511" i="1"/>
  <c r="AC1511" i="1"/>
  <c r="Z1511" i="1"/>
  <c r="AA1511" i="1" s="1"/>
  <c r="Y1511" i="1"/>
  <c r="V1511" i="1"/>
  <c r="W1511" i="1" s="1"/>
  <c r="U1511" i="1"/>
  <c r="R1511" i="1"/>
  <c r="S1511" i="1" s="1"/>
  <c r="Q1511" i="1"/>
  <c r="O1511" i="1"/>
  <c r="N1511" i="1"/>
  <c r="M1511" i="1"/>
  <c r="K1511" i="1"/>
  <c r="J1511" i="1"/>
  <c r="I1511" i="1"/>
  <c r="F1511" i="1"/>
  <c r="G1511" i="1" s="1"/>
  <c r="E1511" i="1"/>
  <c r="BN1510" i="1"/>
  <c r="BL1510" i="1"/>
  <c r="BJ1510" i="1"/>
  <c r="BM1510" i="1" s="1"/>
  <c r="BI1510" i="1"/>
  <c r="BF1510" i="1"/>
  <c r="BG1510" i="1" s="1"/>
  <c r="BE1510" i="1"/>
  <c r="BB1510" i="1"/>
  <c r="BC1510" i="1" s="1"/>
  <c r="BA1510" i="1"/>
  <c r="AY1510" i="1"/>
  <c r="AX1510" i="1"/>
  <c r="AW1510" i="1"/>
  <c r="AT1510" i="1"/>
  <c r="AU1510" i="1" s="1"/>
  <c r="AS1510" i="1"/>
  <c r="AP1510" i="1"/>
  <c r="AQ1510" i="1" s="1"/>
  <c r="AO1510" i="1"/>
  <c r="AL1510" i="1"/>
  <c r="AK1510" i="1"/>
  <c r="AI1510" i="1"/>
  <c r="AH1510" i="1"/>
  <c r="AG1510" i="1"/>
  <c r="AE1510" i="1"/>
  <c r="AD1510" i="1"/>
  <c r="AC1510" i="1"/>
  <c r="Z1510" i="1"/>
  <c r="AA1510" i="1" s="1"/>
  <c r="Y1510" i="1"/>
  <c r="V1510" i="1"/>
  <c r="W1510" i="1" s="1"/>
  <c r="U1510" i="1"/>
  <c r="S1510" i="1"/>
  <c r="R1510" i="1"/>
  <c r="Q1510" i="1"/>
  <c r="N1510" i="1"/>
  <c r="O1510" i="1" s="1"/>
  <c r="M1510" i="1"/>
  <c r="J1510" i="1"/>
  <c r="K1510" i="1" s="1"/>
  <c r="I1510" i="1"/>
  <c r="F1510" i="1"/>
  <c r="G1510" i="1" s="1"/>
  <c r="E1510" i="1"/>
  <c r="BN1509" i="1"/>
  <c r="BL1509" i="1"/>
  <c r="BJ1509" i="1"/>
  <c r="BM1509" i="1" s="1"/>
  <c r="BI1509" i="1"/>
  <c r="BF1509" i="1"/>
  <c r="BE1509" i="1"/>
  <c r="BC1509" i="1"/>
  <c r="BB1509" i="1"/>
  <c r="BA1509" i="1"/>
  <c r="AY1509" i="1"/>
  <c r="AX1509" i="1"/>
  <c r="AW1509" i="1"/>
  <c r="AT1509" i="1"/>
  <c r="AU1509" i="1" s="1"/>
  <c r="AS1509" i="1"/>
  <c r="AP1509" i="1"/>
  <c r="AQ1509" i="1" s="1"/>
  <c r="AO1509" i="1"/>
  <c r="AM1509" i="1"/>
  <c r="AL1509" i="1"/>
  <c r="AK1509" i="1"/>
  <c r="AH1509" i="1"/>
  <c r="AI1509" i="1" s="1"/>
  <c r="AG1509" i="1"/>
  <c r="AD1509" i="1"/>
  <c r="AE1509" i="1" s="1"/>
  <c r="AC1509" i="1"/>
  <c r="Z1509" i="1"/>
  <c r="Y1509" i="1"/>
  <c r="W1509" i="1"/>
  <c r="V1509" i="1"/>
  <c r="U1509" i="1"/>
  <c r="S1509" i="1"/>
  <c r="R1509" i="1"/>
  <c r="Q1509" i="1"/>
  <c r="N1509" i="1"/>
  <c r="O1509" i="1" s="1"/>
  <c r="M1509" i="1"/>
  <c r="J1509" i="1"/>
  <c r="K1509" i="1" s="1"/>
  <c r="I1509" i="1"/>
  <c r="G1509" i="1"/>
  <c r="F1509" i="1"/>
  <c r="D1509" i="1"/>
  <c r="E1509" i="1" s="1"/>
  <c r="BN1508" i="1"/>
  <c r="BL1508" i="1"/>
  <c r="BJ1508" i="1"/>
  <c r="BM1508" i="1" s="1"/>
  <c r="BI1508" i="1"/>
  <c r="BF1508" i="1"/>
  <c r="BG1508" i="1" s="1"/>
  <c r="BE1508" i="1"/>
  <c r="BC1508" i="1"/>
  <c r="BB1508" i="1"/>
  <c r="BA1508" i="1"/>
  <c r="AY1508" i="1"/>
  <c r="AX1508" i="1"/>
  <c r="AW1508" i="1"/>
  <c r="AT1508" i="1"/>
  <c r="AU1508" i="1" s="1"/>
  <c r="AS1508" i="1"/>
  <c r="AP1508" i="1"/>
  <c r="AQ1508" i="1" s="1"/>
  <c r="AO1508" i="1"/>
  <c r="AM1508" i="1"/>
  <c r="AL1508" i="1"/>
  <c r="AK1508" i="1"/>
  <c r="AH1508" i="1"/>
  <c r="AI1508" i="1" s="1"/>
  <c r="AG1508" i="1"/>
  <c r="AD1508" i="1"/>
  <c r="AE1508" i="1" s="1"/>
  <c r="AC1508" i="1"/>
  <c r="Z1508" i="1"/>
  <c r="AA1508" i="1" s="1"/>
  <c r="Y1508" i="1"/>
  <c r="W1508" i="1"/>
  <c r="V1508" i="1"/>
  <c r="U1508" i="1"/>
  <c r="S1508" i="1"/>
  <c r="R1508" i="1"/>
  <c r="Q1508" i="1"/>
  <c r="N1508" i="1"/>
  <c r="O1508" i="1" s="1"/>
  <c r="M1508" i="1"/>
  <c r="J1508" i="1"/>
  <c r="K1508" i="1" s="1"/>
  <c r="I1508" i="1"/>
  <c r="G1508" i="1"/>
  <c r="F1508" i="1"/>
  <c r="D1508" i="1"/>
  <c r="E1508" i="1" s="1"/>
  <c r="BN1507" i="1"/>
  <c r="BL1507" i="1"/>
  <c r="BJ1507" i="1"/>
  <c r="BM1507" i="1" s="1"/>
  <c r="BI1507" i="1"/>
  <c r="BF1507" i="1"/>
  <c r="BE1507" i="1"/>
  <c r="BC1507" i="1"/>
  <c r="BB1507" i="1"/>
  <c r="BA1507" i="1"/>
  <c r="AY1507" i="1"/>
  <c r="AX1507" i="1"/>
  <c r="AW1507" i="1"/>
  <c r="AT1507" i="1"/>
  <c r="AU1507" i="1" s="1"/>
  <c r="AS1507" i="1"/>
  <c r="AP1507" i="1"/>
  <c r="AQ1507" i="1" s="1"/>
  <c r="AO1507" i="1"/>
  <c r="AM1507" i="1"/>
  <c r="AL1507" i="1"/>
  <c r="AK1507" i="1"/>
  <c r="AH1507" i="1"/>
  <c r="AI1507" i="1" s="1"/>
  <c r="AG1507" i="1"/>
  <c r="AD1507" i="1"/>
  <c r="AE1507" i="1" s="1"/>
  <c r="AC1507" i="1"/>
  <c r="Z1507" i="1"/>
  <c r="Y1507" i="1"/>
  <c r="W1507" i="1"/>
  <c r="V1507" i="1"/>
  <c r="U1507" i="1"/>
  <c r="S1507" i="1"/>
  <c r="R1507" i="1"/>
  <c r="Q1507" i="1"/>
  <c r="N1507" i="1"/>
  <c r="O1507" i="1" s="1"/>
  <c r="M1507" i="1"/>
  <c r="J1507" i="1"/>
  <c r="K1507" i="1" s="1"/>
  <c r="I1507" i="1"/>
  <c r="G1507" i="1"/>
  <c r="F1507" i="1"/>
  <c r="D1507" i="1"/>
  <c r="E1507" i="1" s="1"/>
  <c r="BN1506" i="1"/>
  <c r="BL1506" i="1"/>
  <c r="BJ1506" i="1"/>
  <c r="BM1506" i="1" s="1"/>
  <c r="BI1506" i="1"/>
  <c r="BF1506" i="1"/>
  <c r="BG1506" i="1" s="1"/>
  <c r="BE1506" i="1"/>
  <c r="BC1506" i="1"/>
  <c r="BB1506" i="1"/>
  <c r="BA1506" i="1"/>
  <c r="AY1506" i="1"/>
  <c r="AX1506" i="1"/>
  <c r="AW1506" i="1"/>
  <c r="AT1506" i="1"/>
  <c r="AU1506" i="1" s="1"/>
  <c r="AS1506" i="1"/>
  <c r="AP1506" i="1"/>
  <c r="AQ1506" i="1" s="1"/>
  <c r="AO1506" i="1"/>
  <c r="AM1506" i="1"/>
  <c r="AL1506" i="1"/>
  <c r="AK1506" i="1"/>
  <c r="AH1506" i="1"/>
  <c r="AI1506" i="1" s="1"/>
  <c r="AG1506" i="1"/>
  <c r="AD1506" i="1"/>
  <c r="AE1506" i="1" s="1"/>
  <c r="AC1506" i="1"/>
  <c r="Z1506" i="1"/>
  <c r="AA1506" i="1" s="1"/>
  <c r="Y1506" i="1"/>
  <c r="W1506" i="1"/>
  <c r="V1506" i="1"/>
  <c r="U1506" i="1"/>
  <c r="S1506" i="1"/>
  <c r="R1506" i="1"/>
  <c r="Q1506" i="1"/>
  <c r="N1506" i="1"/>
  <c r="O1506" i="1" s="1"/>
  <c r="M1506" i="1"/>
  <c r="J1506" i="1"/>
  <c r="K1506" i="1" s="1"/>
  <c r="I1506" i="1"/>
  <c r="G1506" i="1"/>
  <c r="F1506" i="1"/>
  <c r="E1506" i="1"/>
  <c r="BN1505" i="1"/>
  <c r="BM1505" i="1"/>
  <c r="BL1505" i="1"/>
  <c r="BJ1505" i="1"/>
  <c r="BI1505" i="1"/>
  <c r="BG1505" i="1"/>
  <c r="BF1505" i="1"/>
  <c r="BE1505" i="1"/>
  <c r="BB1505" i="1"/>
  <c r="BC1505" i="1" s="1"/>
  <c r="BA1505" i="1"/>
  <c r="AX1505" i="1"/>
  <c r="AY1505" i="1" s="1"/>
  <c r="AW1505" i="1"/>
  <c r="AT1505" i="1"/>
  <c r="AS1505" i="1"/>
  <c r="AQ1505" i="1"/>
  <c r="AP1505" i="1"/>
  <c r="AO1505" i="1"/>
  <c r="AM1505" i="1"/>
  <c r="AL1505" i="1"/>
  <c r="AK1505" i="1"/>
  <c r="AH1505" i="1"/>
  <c r="AI1505" i="1" s="1"/>
  <c r="AG1505" i="1"/>
  <c r="AD1505" i="1"/>
  <c r="AE1505" i="1" s="1"/>
  <c r="AC1505" i="1"/>
  <c r="AA1505" i="1"/>
  <c r="Z1505" i="1"/>
  <c r="Y1505" i="1"/>
  <c r="V1505" i="1"/>
  <c r="W1505" i="1" s="1"/>
  <c r="U1505" i="1"/>
  <c r="R1505" i="1"/>
  <c r="S1505" i="1" s="1"/>
  <c r="Q1505" i="1"/>
  <c r="N1505" i="1"/>
  <c r="M1505" i="1"/>
  <c r="K1505" i="1"/>
  <c r="J1505" i="1"/>
  <c r="I1505" i="1"/>
  <c r="G1505" i="1"/>
  <c r="F1505" i="1"/>
  <c r="E1505" i="1"/>
  <c r="BN1504" i="1"/>
  <c r="BM1504" i="1"/>
  <c r="BL1504" i="1"/>
  <c r="BJ1504" i="1"/>
  <c r="BI1504" i="1"/>
  <c r="BG1504" i="1"/>
  <c r="BF1504" i="1"/>
  <c r="BE1504" i="1"/>
  <c r="BB1504" i="1"/>
  <c r="BC1504" i="1" s="1"/>
  <c r="BA1504" i="1"/>
  <c r="AX1504" i="1"/>
  <c r="AY1504" i="1" s="1"/>
  <c r="AW1504" i="1"/>
  <c r="AU1504" i="1"/>
  <c r="AT1504" i="1"/>
  <c r="AS1504" i="1"/>
  <c r="AP1504" i="1"/>
  <c r="AQ1504" i="1" s="1"/>
  <c r="AO1504" i="1"/>
  <c r="AL1504" i="1"/>
  <c r="AM1504" i="1" s="1"/>
  <c r="AK1504" i="1"/>
  <c r="AH1504" i="1"/>
  <c r="AI1504" i="1" s="1"/>
  <c r="AG1504" i="1"/>
  <c r="AE1504" i="1"/>
  <c r="AD1504" i="1"/>
  <c r="AC1504" i="1"/>
  <c r="AA1504" i="1"/>
  <c r="Z1504" i="1"/>
  <c r="Y1504" i="1"/>
  <c r="V1504" i="1"/>
  <c r="W1504" i="1" s="1"/>
  <c r="U1504" i="1"/>
  <c r="R1504" i="1"/>
  <c r="S1504" i="1" s="1"/>
  <c r="Q1504" i="1"/>
  <c r="O1504" i="1"/>
  <c r="N1504" i="1"/>
  <c r="M1504" i="1"/>
  <c r="J1504" i="1"/>
  <c r="K1504" i="1" s="1"/>
  <c r="I1504" i="1"/>
  <c r="F1504" i="1"/>
  <c r="G1504" i="1" s="1"/>
  <c r="E1504" i="1"/>
  <c r="BN1503" i="1"/>
  <c r="BL1503" i="1"/>
  <c r="BJ1503" i="1"/>
  <c r="BM1503" i="1" s="1"/>
  <c r="BI1503" i="1"/>
  <c r="BF1503" i="1"/>
  <c r="BG1503" i="1" s="1"/>
  <c r="BE1503" i="1"/>
  <c r="BB1503" i="1"/>
  <c r="BA1503" i="1"/>
  <c r="AY1503" i="1"/>
  <c r="AX1503" i="1"/>
  <c r="AW1503" i="1"/>
  <c r="AU1503" i="1"/>
  <c r="AT1503" i="1"/>
  <c r="AS1503" i="1"/>
  <c r="AP1503" i="1"/>
  <c r="AQ1503" i="1" s="1"/>
  <c r="AO1503" i="1"/>
  <c r="AL1503" i="1"/>
  <c r="AM1503" i="1" s="1"/>
  <c r="AK1503" i="1"/>
  <c r="AI1503" i="1"/>
  <c r="AH1503" i="1"/>
  <c r="AG1503" i="1"/>
  <c r="AD1503" i="1"/>
  <c r="AE1503" i="1" s="1"/>
  <c r="AC1503" i="1"/>
  <c r="Z1503" i="1"/>
  <c r="AA1503" i="1" s="1"/>
  <c r="Y1503" i="1"/>
  <c r="V1503" i="1"/>
  <c r="W1503" i="1" s="1"/>
  <c r="U1503" i="1"/>
  <c r="S1503" i="1"/>
  <c r="R1503" i="1"/>
  <c r="Q1503" i="1"/>
  <c r="O1503" i="1"/>
  <c r="N1503" i="1"/>
  <c r="M1503" i="1"/>
  <c r="J1503" i="1"/>
  <c r="K1503" i="1" s="1"/>
  <c r="I1503" i="1"/>
  <c r="F1503" i="1"/>
  <c r="G1503" i="1" s="1"/>
  <c r="E1503" i="1"/>
  <c r="BN1502" i="1"/>
  <c r="BL1502" i="1"/>
  <c r="BJ1502" i="1"/>
  <c r="BM1502" i="1" s="1"/>
  <c r="BI1502" i="1"/>
  <c r="BF1502" i="1"/>
  <c r="BG1502" i="1" s="1"/>
  <c r="BE1502" i="1"/>
  <c r="BC1502" i="1"/>
  <c r="BB1502" i="1"/>
  <c r="BA1502" i="1"/>
  <c r="AX1502" i="1"/>
  <c r="AY1502" i="1" s="1"/>
  <c r="AW1502" i="1"/>
  <c r="AT1502" i="1"/>
  <c r="AU1502" i="1" s="1"/>
  <c r="AS1502" i="1"/>
  <c r="AP1502" i="1"/>
  <c r="AO1502" i="1"/>
  <c r="AM1502" i="1"/>
  <c r="AL1502" i="1"/>
  <c r="AK1502" i="1"/>
  <c r="AI1502" i="1"/>
  <c r="AH1502" i="1"/>
  <c r="AG1502" i="1"/>
  <c r="AD1502" i="1"/>
  <c r="AE1502" i="1" s="1"/>
  <c r="AC1502" i="1"/>
  <c r="Z1502" i="1"/>
  <c r="AA1502" i="1" s="1"/>
  <c r="Y1502" i="1"/>
  <c r="W1502" i="1"/>
  <c r="V1502" i="1"/>
  <c r="U1502" i="1"/>
  <c r="R1502" i="1"/>
  <c r="S1502" i="1" s="1"/>
  <c r="Q1502" i="1"/>
  <c r="N1502" i="1"/>
  <c r="O1502" i="1" s="1"/>
  <c r="M1502" i="1"/>
  <c r="J1502" i="1"/>
  <c r="K1502" i="1" s="1"/>
  <c r="I1502" i="1"/>
  <c r="G1502" i="1"/>
  <c r="F1502" i="1"/>
  <c r="E1502" i="1"/>
  <c r="BN1501" i="1"/>
  <c r="BM1501" i="1" s="1"/>
  <c r="BL1501" i="1"/>
  <c r="BJ1501" i="1"/>
  <c r="BI1501" i="1"/>
  <c r="BG1501" i="1"/>
  <c r="BF1501" i="1"/>
  <c r="BE1501" i="1"/>
  <c r="BC1501" i="1"/>
  <c r="BB1501" i="1"/>
  <c r="BA1501" i="1"/>
  <c r="AX1501" i="1"/>
  <c r="AY1501" i="1" s="1"/>
  <c r="AW1501" i="1"/>
  <c r="AT1501" i="1"/>
  <c r="AU1501" i="1" s="1"/>
  <c r="AS1501" i="1"/>
  <c r="AQ1501" i="1"/>
  <c r="AP1501" i="1"/>
  <c r="AO1501" i="1"/>
  <c r="AL1501" i="1"/>
  <c r="AM1501" i="1" s="1"/>
  <c r="AK1501" i="1"/>
  <c r="AH1501" i="1"/>
  <c r="AG1501" i="1"/>
  <c r="AD1501" i="1"/>
  <c r="AC1501" i="1"/>
  <c r="AA1501" i="1"/>
  <c r="Z1501" i="1"/>
  <c r="Y1501" i="1"/>
  <c r="W1501" i="1"/>
  <c r="V1501" i="1"/>
  <c r="U1501" i="1"/>
  <c r="R1501" i="1"/>
  <c r="S1501" i="1" s="1"/>
  <c r="Q1501" i="1"/>
  <c r="N1501" i="1"/>
  <c r="O1501" i="1" s="1"/>
  <c r="M1501" i="1"/>
  <c r="K1501" i="1"/>
  <c r="J1501" i="1"/>
  <c r="I1501" i="1"/>
  <c r="F1501" i="1"/>
  <c r="G1501" i="1" s="1"/>
  <c r="E1501" i="1"/>
  <c r="BN1500" i="1"/>
  <c r="BM1500" i="1"/>
  <c r="BL1500" i="1"/>
  <c r="BJ1500" i="1"/>
  <c r="BI1500" i="1"/>
  <c r="BF1500" i="1"/>
  <c r="BG1500" i="1" s="1"/>
  <c r="BE1500" i="1"/>
  <c r="BB1500" i="1"/>
  <c r="BC1500" i="1" s="1"/>
  <c r="BA1500" i="1"/>
  <c r="AX1500" i="1"/>
  <c r="AY1500" i="1" s="1"/>
  <c r="AW1500" i="1"/>
  <c r="AU1500" i="1"/>
  <c r="AT1500" i="1"/>
  <c r="AS1500" i="1"/>
  <c r="AQ1500" i="1"/>
  <c r="AP1500" i="1"/>
  <c r="AO1500" i="1"/>
  <c r="AL1500" i="1"/>
  <c r="AM1500" i="1" s="1"/>
  <c r="AK1500" i="1"/>
  <c r="AH1500" i="1"/>
  <c r="AI1500" i="1" s="1"/>
  <c r="AG1500" i="1"/>
  <c r="AE1500" i="1"/>
  <c r="AD1500" i="1"/>
  <c r="AC1500" i="1"/>
  <c r="Z1500" i="1"/>
  <c r="AA1500" i="1" s="1"/>
  <c r="Y1500" i="1"/>
  <c r="V1500" i="1"/>
  <c r="W1500" i="1" s="1"/>
  <c r="U1500" i="1"/>
  <c r="R1500" i="1"/>
  <c r="S1500" i="1" s="1"/>
  <c r="Q1500" i="1"/>
  <c r="O1500" i="1"/>
  <c r="N1500" i="1"/>
  <c r="M1500" i="1"/>
  <c r="K1500" i="1"/>
  <c r="J1500" i="1"/>
  <c r="I1500" i="1"/>
  <c r="F1500" i="1"/>
  <c r="G1500" i="1" s="1"/>
  <c r="E1500" i="1"/>
  <c r="BN1499" i="1"/>
  <c r="BL1499" i="1"/>
  <c r="BJ1499" i="1"/>
  <c r="BM1499" i="1" s="1"/>
  <c r="BI1499" i="1"/>
  <c r="BF1499" i="1"/>
  <c r="BG1499" i="1" s="1"/>
  <c r="BE1499" i="1"/>
  <c r="BB1499" i="1"/>
  <c r="BC1499" i="1" s="1"/>
  <c r="BA1499" i="1"/>
  <c r="AY1499" i="1"/>
  <c r="AX1499" i="1"/>
  <c r="AW1499" i="1"/>
  <c r="AT1499" i="1"/>
  <c r="AU1499" i="1" s="1"/>
  <c r="AS1499" i="1"/>
  <c r="AP1499" i="1"/>
  <c r="AO1499" i="1"/>
  <c r="AL1499" i="1"/>
  <c r="AK1499" i="1"/>
  <c r="AI1499" i="1"/>
  <c r="AH1499" i="1"/>
  <c r="AG1499" i="1"/>
  <c r="AE1499" i="1"/>
  <c r="AD1499" i="1"/>
  <c r="AC1499" i="1"/>
  <c r="Z1499" i="1"/>
  <c r="AA1499" i="1" s="1"/>
  <c r="Y1499" i="1"/>
  <c r="V1499" i="1"/>
  <c r="W1499" i="1" s="1"/>
  <c r="U1499" i="1"/>
  <c r="S1499" i="1"/>
  <c r="R1499" i="1"/>
  <c r="Q1499" i="1"/>
  <c r="N1499" i="1"/>
  <c r="O1499" i="1" s="1"/>
  <c r="M1499" i="1"/>
  <c r="J1499" i="1"/>
  <c r="I1499" i="1"/>
  <c r="F1499" i="1"/>
  <c r="E1499" i="1"/>
  <c r="BN1498" i="1"/>
  <c r="BL1498" i="1"/>
  <c r="BJ1498" i="1"/>
  <c r="BI1498" i="1"/>
  <c r="BF1498" i="1"/>
  <c r="BE1498" i="1"/>
  <c r="BC1498" i="1"/>
  <c r="BB1498" i="1"/>
  <c r="BA1498" i="1"/>
  <c r="AY1498" i="1"/>
  <c r="AX1498" i="1"/>
  <c r="AW1498" i="1"/>
  <c r="AT1498" i="1"/>
  <c r="AU1498" i="1" s="1"/>
  <c r="AS1498" i="1"/>
  <c r="AP1498" i="1"/>
  <c r="AQ1498" i="1" s="1"/>
  <c r="AO1498" i="1"/>
  <c r="AM1498" i="1"/>
  <c r="AL1498" i="1"/>
  <c r="AK1498" i="1"/>
  <c r="AH1498" i="1"/>
  <c r="AI1498" i="1" s="1"/>
  <c r="AG1498" i="1"/>
  <c r="AD1498" i="1"/>
  <c r="AC1498" i="1"/>
  <c r="Z1498" i="1"/>
  <c r="Y1498" i="1"/>
  <c r="W1498" i="1"/>
  <c r="V1498" i="1"/>
  <c r="U1498" i="1"/>
  <c r="S1498" i="1"/>
  <c r="R1498" i="1"/>
  <c r="Q1498" i="1"/>
  <c r="N1498" i="1"/>
  <c r="O1498" i="1" s="1"/>
  <c r="M1498" i="1"/>
  <c r="J1498" i="1"/>
  <c r="K1498" i="1" s="1"/>
  <c r="I1498" i="1"/>
  <c r="G1498" i="1"/>
  <c r="F1498" i="1"/>
  <c r="E1498" i="1"/>
  <c r="BN1497" i="1"/>
  <c r="BK1497" i="1"/>
  <c r="BL1497" i="1" s="1"/>
  <c r="BJ1497" i="1"/>
  <c r="BI1497" i="1"/>
  <c r="BF1497" i="1"/>
  <c r="BE1497" i="1"/>
  <c r="BC1497" i="1"/>
  <c r="BB1497" i="1"/>
  <c r="BA1497" i="1"/>
  <c r="AY1497" i="1"/>
  <c r="AX1497" i="1"/>
  <c r="AW1497" i="1"/>
  <c r="AT1497" i="1"/>
  <c r="AU1497" i="1" s="1"/>
  <c r="AS1497" i="1"/>
  <c r="AP1497" i="1"/>
  <c r="AQ1497" i="1" s="1"/>
  <c r="AO1497" i="1"/>
  <c r="AM1497" i="1"/>
  <c r="AL1497" i="1"/>
  <c r="AK1497" i="1"/>
  <c r="AH1497" i="1"/>
  <c r="AI1497" i="1" s="1"/>
  <c r="AG1497" i="1"/>
  <c r="AD1497" i="1"/>
  <c r="AC1497" i="1"/>
  <c r="Z1497" i="1"/>
  <c r="Y1497" i="1"/>
  <c r="W1497" i="1"/>
  <c r="V1497" i="1"/>
  <c r="U1497" i="1"/>
  <c r="S1497" i="1"/>
  <c r="R1497" i="1"/>
  <c r="Q1497" i="1"/>
  <c r="N1497" i="1"/>
  <c r="O1497" i="1" s="1"/>
  <c r="M1497" i="1"/>
  <c r="J1497" i="1"/>
  <c r="K1497" i="1" s="1"/>
  <c r="I1497" i="1"/>
  <c r="G1497" i="1"/>
  <c r="F1497" i="1"/>
  <c r="E1497" i="1"/>
  <c r="BN1496" i="1"/>
  <c r="BK1496" i="1"/>
  <c r="BL1496" i="1" s="1"/>
  <c r="BJ1496" i="1"/>
  <c r="BI1496" i="1"/>
  <c r="BF1496" i="1"/>
  <c r="BE1496" i="1"/>
  <c r="BC1496" i="1"/>
  <c r="BB1496" i="1"/>
  <c r="BA1496" i="1"/>
  <c r="AY1496" i="1"/>
  <c r="AX1496" i="1"/>
  <c r="AW1496" i="1"/>
  <c r="AT1496" i="1"/>
  <c r="AU1496" i="1" s="1"/>
  <c r="AS1496" i="1"/>
  <c r="AP1496" i="1"/>
  <c r="AQ1496" i="1" s="1"/>
  <c r="AO1496" i="1"/>
  <c r="AM1496" i="1"/>
  <c r="AL1496" i="1"/>
  <c r="AK1496" i="1"/>
  <c r="AH1496" i="1"/>
  <c r="AI1496" i="1" s="1"/>
  <c r="AG1496" i="1"/>
  <c r="AD1496" i="1"/>
  <c r="AC1496" i="1"/>
  <c r="Z1496" i="1"/>
  <c r="Y1496" i="1"/>
  <c r="W1496" i="1"/>
  <c r="V1496" i="1"/>
  <c r="U1496" i="1"/>
  <c r="S1496" i="1"/>
  <c r="R1496" i="1"/>
  <c r="Q1496" i="1"/>
  <c r="N1496" i="1"/>
  <c r="O1496" i="1" s="1"/>
  <c r="M1496" i="1"/>
  <c r="J1496" i="1"/>
  <c r="K1496" i="1" s="1"/>
  <c r="I1496" i="1"/>
  <c r="G1496" i="1"/>
  <c r="F1496" i="1"/>
  <c r="E1496" i="1"/>
  <c r="BN1495" i="1"/>
  <c r="BK1495" i="1"/>
  <c r="BL1495" i="1" s="1"/>
  <c r="BJ1495" i="1"/>
  <c r="BI1495" i="1"/>
  <c r="BF1495" i="1"/>
  <c r="BE1495" i="1"/>
  <c r="BC1495" i="1"/>
  <c r="BB1495" i="1"/>
  <c r="BA1495" i="1"/>
  <c r="AY1495" i="1"/>
  <c r="AX1495" i="1"/>
  <c r="AW1495" i="1"/>
  <c r="AT1495" i="1"/>
  <c r="AU1495" i="1" s="1"/>
  <c r="AS1495" i="1"/>
  <c r="AP1495" i="1"/>
  <c r="AQ1495" i="1" s="1"/>
  <c r="AO1495" i="1"/>
  <c r="AM1495" i="1"/>
  <c r="AL1495" i="1"/>
  <c r="AK1495" i="1"/>
  <c r="AH1495" i="1"/>
  <c r="AI1495" i="1" s="1"/>
  <c r="AG1495" i="1"/>
  <c r="AD1495" i="1"/>
  <c r="AC1495" i="1"/>
  <c r="Z1495" i="1"/>
  <c r="Y1495" i="1"/>
  <c r="W1495" i="1"/>
  <c r="V1495" i="1"/>
  <c r="U1495" i="1"/>
  <c r="S1495" i="1"/>
  <c r="R1495" i="1"/>
  <c r="Q1495" i="1"/>
  <c r="N1495" i="1"/>
  <c r="O1495" i="1" s="1"/>
  <c r="M1495" i="1"/>
  <c r="J1495" i="1"/>
  <c r="K1495" i="1" s="1"/>
  <c r="I1495" i="1"/>
  <c r="G1495" i="1"/>
  <c r="F1495" i="1"/>
  <c r="E1495" i="1"/>
  <c r="BN1494" i="1"/>
  <c r="BM1494" i="1"/>
  <c r="BL1494" i="1"/>
  <c r="BJ1494" i="1"/>
  <c r="BI1494" i="1"/>
  <c r="BG1494" i="1"/>
  <c r="BF1494" i="1"/>
  <c r="BE1494" i="1"/>
  <c r="BB1494" i="1"/>
  <c r="BC1494" i="1" s="1"/>
  <c r="BA1494" i="1"/>
  <c r="AX1494" i="1"/>
  <c r="AW1494" i="1"/>
  <c r="AT1494" i="1"/>
  <c r="AS1494" i="1"/>
  <c r="AQ1494" i="1"/>
  <c r="AP1494" i="1"/>
  <c r="AO1494" i="1"/>
  <c r="AM1494" i="1"/>
  <c r="AL1494" i="1"/>
  <c r="AK1494" i="1"/>
  <c r="AH1494" i="1"/>
  <c r="AI1494" i="1" s="1"/>
  <c r="AG1494" i="1"/>
  <c r="AD1494" i="1"/>
  <c r="AE1494" i="1" s="1"/>
  <c r="AC1494" i="1"/>
  <c r="AA1494" i="1"/>
  <c r="Z1494" i="1"/>
  <c r="Y1494" i="1"/>
  <c r="V1494" i="1"/>
  <c r="W1494" i="1" s="1"/>
  <c r="U1494" i="1"/>
  <c r="R1494" i="1"/>
  <c r="Q1494" i="1"/>
  <c r="N1494" i="1"/>
  <c r="M1494" i="1"/>
  <c r="K1494" i="1"/>
  <c r="J1494" i="1"/>
  <c r="I1494" i="1"/>
  <c r="G1494" i="1"/>
  <c r="F1494" i="1"/>
  <c r="E1494" i="1"/>
  <c r="BN1493" i="1"/>
  <c r="BM1493" i="1"/>
  <c r="BL1493" i="1"/>
  <c r="BJ1493" i="1"/>
  <c r="BI1493" i="1"/>
  <c r="BG1493" i="1"/>
  <c r="BF1493" i="1"/>
  <c r="BE1493" i="1"/>
  <c r="BB1493" i="1"/>
  <c r="BC1493" i="1" s="1"/>
  <c r="BA1493" i="1"/>
  <c r="AX1493" i="1"/>
  <c r="AY1493" i="1" s="1"/>
  <c r="AW1493" i="1"/>
  <c r="AU1493" i="1"/>
  <c r="AT1493" i="1"/>
  <c r="AS1493" i="1"/>
  <c r="AP1493" i="1"/>
  <c r="AQ1493" i="1" s="1"/>
  <c r="AO1493" i="1"/>
  <c r="AL1493" i="1"/>
  <c r="AK1493" i="1"/>
  <c r="AH1493" i="1"/>
  <c r="AG1493" i="1"/>
  <c r="AE1493" i="1"/>
  <c r="AD1493" i="1"/>
  <c r="AC1493" i="1"/>
  <c r="AA1493" i="1"/>
  <c r="Z1493" i="1"/>
  <c r="Y1493" i="1"/>
  <c r="V1493" i="1"/>
  <c r="W1493" i="1" s="1"/>
  <c r="U1493" i="1"/>
  <c r="R1493" i="1"/>
  <c r="S1493" i="1" s="1"/>
  <c r="Q1493" i="1"/>
  <c r="O1493" i="1"/>
  <c r="N1493" i="1"/>
  <c r="M1493" i="1"/>
  <c r="J1493" i="1"/>
  <c r="K1493" i="1" s="1"/>
  <c r="I1493" i="1"/>
  <c r="F1493" i="1"/>
  <c r="G1493" i="1" s="1"/>
  <c r="E1493" i="1"/>
  <c r="BN1492" i="1"/>
  <c r="BL1492" i="1"/>
  <c r="BJ1492" i="1"/>
  <c r="BM1492" i="1" s="1"/>
  <c r="BI1492" i="1"/>
  <c r="BF1492" i="1"/>
  <c r="BE1492" i="1"/>
  <c r="BB1492" i="1"/>
  <c r="BA1492" i="1"/>
  <c r="AY1492" i="1"/>
  <c r="AX1492" i="1"/>
  <c r="AW1492" i="1"/>
  <c r="AU1492" i="1"/>
  <c r="AT1492" i="1"/>
  <c r="AS1492" i="1"/>
  <c r="AP1492" i="1"/>
  <c r="AQ1492" i="1" s="1"/>
  <c r="AO1492" i="1"/>
  <c r="AL1492" i="1"/>
  <c r="AM1492" i="1" s="1"/>
  <c r="AK1492" i="1"/>
  <c r="AI1492" i="1"/>
  <c r="AH1492" i="1"/>
  <c r="AG1492" i="1"/>
  <c r="AD1492" i="1"/>
  <c r="AE1492" i="1" s="1"/>
  <c r="AC1492" i="1"/>
  <c r="Z1492" i="1"/>
  <c r="Y1492" i="1"/>
  <c r="V1492" i="1"/>
  <c r="U1492" i="1"/>
  <c r="S1492" i="1"/>
  <c r="R1492" i="1"/>
  <c r="Q1492" i="1"/>
  <c r="O1492" i="1"/>
  <c r="N1492" i="1"/>
  <c r="M1492" i="1"/>
  <c r="J1492" i="1"/>
  <c r="K1492" i="1" s="1"/>
  <c r="I1492" i="1"/>
  <c r="F1492" i="1"/>
  <c r="G1492" i="1" s="1"/>
  <c r="E1492" i="1"/>
  <c r="BN1491" i="1"/>
  <c r="BL1491" i="1"/>
  <c r="BJ1491" i="1"/>
  <c r="BM1491" i="1" s="1"/>
  <c r="BI1491" i="1"/>
  <c r="BF1491" i="1"/>
  <c r="BG1491" i="1" s="1"/>
  <c r="BE1491" i="1"/>
  <c r="BC1491" i="1"/>
  <c r="BB1491" i="1"/>
  <c r="BA1491" i="1"/>
  <c r="AX1491" i="1"/>
  <c r="AY1491" i="1" s="1"/>
  <c r="AW1491" i="1"/>
  <c r="AT1491" i="1"/>
  <c r="AS1491" i="1"/>
  <c r="AP1491" i="1"/>
  <c r="AO1491" i="1"/>
  <c r="AM1491" i="1"/>
  <c r="AL1491" i="1"/>
  <c r="AK1491" i="1"/>
  <c r="AI1491" i="1"/>
  <c r="AH1491" i="1"/>
  <c r="AG1491" i="1"/>
  <c r="AD1491" i="1"/>
  <c r="AE1491" i="1" s="1"/>
  <c r="AC1491" i="1"/>
  <c r="Z1491" i="1"/>
  <c r="AA1491" i="1" s="1"/>
  <c r="Y1491" i="1"/>
  <c r="W1491" i="1"/>
  <c r="V1491" i="1"/>
  <c r="U1491" i="1"/>
  <c r="R1491" i="1"/>
  <c r="S1491" i="1" s="1"/>
  <c r="Q1491" i="1"/>
  <c r="N1491" i="1"/>
  <c r="M1491" i="1"/>
  <c r="J1491" i="1"/>
  <c r="I1491" i="1"/>
  <c r="G1491" i="1"/>
  <c r="F1491" i="1"/>
  <c r="E1491" i="1"/>
  <c r="BN1490" i="1"/>
  <c r="BM1490" i="1" s="1"/>
  <c r="BL1490" i="1"/>
  <c r="BJ1490" i="1"/>
  <c r="BI1490" i="1"/>
  <c r="BG1490" i="1"/>
  <c r="BF1490" i="1"/>
  <c r="BE1490" i="1"/>
  <c r="BC1490" i="1"/>
  <c r="BB1490" i="1"/>
  <c r="BA1490" i="1"/>
  <c r="AX1490" i="1"/>
  <c r="AY1490" i="1" s="1"/>
  <c r="AW1490" i="1"/>
  <c r="AT1490" i="1"/>
  <c r="AU1490" i="1" s="1"/>
  <c r="AS1490" i="1"/>
  <c r="AQ1490" i="1"/>
  <c r="AP1490" i="1"/>
  <c r="AO1490" i="1"/>
  <c r="AL1490" i="1"/>
  <c r="AM1490" i="1" s="1"/>
  <c r="AK1490" i="1"/>
  <c r="AH1490" i="1"/>
  <c r="AG1490" i="1"/>
  <c r="AD1490" i="1"/>
  <c r="AC1490" i="1"/>
  <c r="AA1490" i="1"/>
  <c r="Z1490" i="1"/>
  <c r="Y1490" i="1"/>
  <c r="W1490" i="1"/>
  <c r="V1490" i="1"/>
  <c r="U1490" i="1"/>
  <c r="R1490" i="1"/>
  <c r="S1490" i="1" s="1"/>
  <c r="Q1490" i="1"/>
  <c r="N1490" i="1"/>
  <c r="O1490" i="1" s="1"/>
  <c r="M1490" i="1"/>
  <c r="K1490" i="1"/>
  <c r="J1490" i="1"/>
  <c r="I1490" i="1"/>
  <c r="F1490" i="1"/>
  <c r="G1490" i="1" s="1"/>
  <c r="E1490" i="1"/>
  <c r="BN1489" i="1"/>
  <c r="BM1489" i="1"/>
  <c r="BL1489" i="1"/>
  <c r="BJ1489" i="1"/>
  <c r="BI1489" i="1"/>
  <c r="BF1489" i="1"/>
  <c r="BG1489" i="1" s="1"/>
  <c r="BE1489" i="1"/>
  <c r="BB1489" i="1"/>
  <c r="BA1489" i="1"/>
  <c r="AX1489" i="1"/>
  <c r="AW1489" i="1"/>
  <c r="AU1489" i="1"/>
  <c r="AT1489" i="1"/>
  <c r="AS1489" i="1"/>
  <c r="AQ1489" i="1"/>
  <c r="AP1489" i="1"/>
  <c r="AO1489" i="1"/>
  <c r="AL1489" i="1"/>
  <c r="AM1489" i="1" s="1"/>
  <c r="AK1489" i="1"/>
  <c r="AH1489" i="1"/>
  <c r="AI1489" i="1" s="1"/>
  <c r="AG1489" i="1"/>
  <c r="AE1489" i="1"/>
  <c r="AD1489" i="1"/>
  <c r="AC1489" i="1"/>
  <c r="Z1489" i="1"/>
  <c r="AA1489" i="1" s="1"/>
  <c r="Y1489" i="1"/>
  <c r="V1489" i="1"/>
  <c r="U1489" i="1"/>
  <c r="R1489" i="1"/>
  <c r="Q1489" i="1"/>
  <c r="O1489" i="1"/>
  <c r="N1489" i="1"/>
  <c r="M1489" i="1"/>
  <c r="K1489" i="1"/>
  <c r="J1489" i="1"/>
  <c r="I1489" i="1"/>
  <c r="F1489" i="1"/>
  <c r="G1489" i="1" s="1"/>
  <c r="E1489" i="1"/>
  <c r="BN1488" i="1"/>
  <c r="BL1488" i="1"/>
  <c r="BJ1488" i="1"/>
  <c r="BM1488" i="1" s="1"/>
  <c r="BI1488" i="1"/>
  <c r="BF1488" i="1"/>
  <c r="BG1488" i="1" s="1"/>
  <c r="BE1488" i="1"/>
  <c r="BB1488" i="1"/>
  <c r="BC1488" i="1" s="1"/>
  <c r="BA1488" i="1"/>
  <c r="AY1488" i="1"/>
  <c r="AX1488" i="1"/>
  <c r="AW1488" i="1"/>
  <c r="AT1488" i="1"/>
  <c r="AU1488" i="1" s="1"/>
  <c r="AS1488" i="1"/>
  <c r="AP1488" i="1"/>
  <c r="AO1488" i="1"/>
  <c r="AL1488" i="1"/>
  <c r="AK1488" i="1"/>
  <c r="AI1488" i="1"/>
  <c r="AH1488" i="1"/>
  <c r="AG1488" i="1"/>
  <c r="AE1488" i="1"/>
  <c r="AD1488" i="1"/>
  <c r="AC1488" i="1"/>
  <c r="Z1488" i="1"/>
  <c r="AA1488" i="1" s="1"/>
  <c r="Y1488" i="1"/>
  <c r="V1488" i="1"/>
  <c r="W1488" i="1" s="1"/>
  <c r="U1488" i="1"/>
  <c r="S1488" i="1"/>
  <c r="R1488" i="1"/>
  <c r="Q1488" i="1"/>
  <c r="N1488" i="1"/>
  <c r="O1488" i="1" s="1"/>
  <c r="M1488" i="1"/>
  <c r="J1488" i="1"/>
  <c r="I1488" i="1"/>
  <c r="F1488" i="1"/>
  <c r="E1488" i="1"/>
  <c r="BN1487" i="1"/>
  <c r="BL1487" i="1"/>
  <c r="BJ1487" i="1"/>
  <c r="BI1487" i="1"/>
  <c r="BF1487" i="1"/>
  <c r="BE1487" i="1"/>
  <c r="BC1487" i="1"/>
  <c r="BB1487" i="1"/>
  <c r="BA1487" i="1"/>
  <c r="AY1487" i="1"/>
  <c r="AX1487" i="1"/>
  <c r="AW1487" i="1"/>
  <c r="AT1487" i="1"/>
  <c r="AU1487" i="1" s="1"/>
  <c r="AS1487" i="1"/>
  <c r="AP1487" i="1"/>
  <c r="AQ1487" i="1" s="1"/>
  <c r="AO1487" i="1"/>
  <c r="AM1487" i="1"/>
  <c r="AL1487" i="1"/>
  <c r="AK1487" i="1"/>
  <c r="AH1487" i="1"/>
  <c r="AI1487" i="1" s="1"/>
  <c r="AG1487" i="1"/>
  <c r="AD1487" i="1"/>
  <c r="AC1487" i="1"/>
  <c r="Z1487" i="1"/>
  <c r="Y1487" i="1"/>
  <c r="W1487" i="1"/>
  <c r="V1487" i="1"/>
  <c r="U1487" i="1"/>
  <c r="S1487" i="1"/>
  <c r="R1487" i="1"/>
  <c r="Q1487" i="1"/>
  <c r="N1487" i="1"/>
  <c r="O1487" i="1" s="1"/>
  <c r="M1487" i="1"/>
  <c r="J1487" i="1"/>
  <c r="K1487" i="1" s="1"/>
  <c r="I1487" i="1"/>
  <c r="G1487" i="1"/>
  <c r="F1487" i="1"/>
  <c r="E1487" i="1"/>
  <c r="BN1486" i="1"/>
  <c r="BM1486" i="1"/>
  <c r="BL1486" i="1"/>
  <c r="BJ1486" i="1"/>
  <c r="BI1486" i="1"/>
  <c r="BG1486" i="1"/>
  <c r="BF1486" i="1"/>
  <c r="BE1486" i="1"/>
  <c r="BB1486" i="1"/>
  <c r="BC1486" i="1" s="1"/>
  <c r="BA1486" i="1"/>
  <c r="AX1486" i="1"/>
  <c r="AW1486" i="1"/>
  <c r="AT1486" i="1"/>
  <c r="AS1486" i="1"/>
  <c r="AQ1486" i="1"/>
  <c r="AP1486" i="1"/>
  <c r="AO1486" i="1"/>
  <c r="AM1486" i="1"/>
  <c r="AL1486" i="1"/>
  <c r="AK1486" i="1"/>
  <c r="AH1486" i="1"/>
  <c r="AI1486" i="1" s="1"/>
  <c r="AG1486" i="1"/>
  <c r="AD1486" i="1"/>
  <c r="AE1486" i="1" s="1"/>
  <c r="AC1486" i="1"/>
  <c r="AA1486" i="1"/>
  <c r="Z1486" i="1"/>
  <c r="Y1486" i="1"/>
  <c r="V1486" i="1"/>
  <c r="W1486" i="1" s="1"/>
  <c r="U1486" i="1"/>
  <c r="R1486" i="1"/>
  <c r="Q1486" i="1"/>
  <c r="N1486" i="1"/>
  <c r="M1486" i="1"/>
  <c r="K1486" i="1"/>
  <c r="J1486" i="1"/>
  <c r="I1486" i="1"/>
  <c r="G1486" i="1"/>
  <c r="F1486" i="1"/>
  <c r="E1486" i="1"/>
  <c r="BL1485" i="1"/>
  <c r="BJ1485" i="1"/>
  <c r="BM1485" i="1" s="1"/>
  <c r="BI1485" i="1"/>
  <c r="BF1485" i="1"/>
  <c r="BE1485" i="1"/>
  <c r="BB1485" i="1"/>
  <c r="BA1485" i="1"/>
  <c r="AY1485" i="1"/>
  <c r="AX1485" i="1"/>
  <c r="AW1485" i="1"/>
  <c r="AU1485" i="1"/>
  <c r="AT1485" i="1"/>
  <c r="AS1485" i="1"/>
  <c r="AP1485" i="1"/>
  <c r="AQ1485" i="1" s="1"/>
  <c r="AO1485" i="1"/>
  <c r="AL1485" i="1"/>
  <c r="AM1485" i="1" s="1"/>
  <c r="AK1485" i="1"/>
  <c r="AI1485" i="1"/>
  <c r="AH1485" i="1"/>
  <c r="AF1485" i="1"/>
  <c r="AG1485" i="1" s="1"/>
  <c r="AE1485" i="1"/>
  <c r="AD1485" i="1"/>
  <c r="AC1485" i="1"/>
  <c r="AA1485" i="1"/>
  <c r="Z1485" i="1"/>
  <c r="Y1485" i="1"/>
  <c r="V1485" i="1"/>
  <c r="W1485" i="1" s="1"/>
  <c r="U1485" i="1"/>
  <c r="R1485" i="1"/>
  <c r="S1485" i="1" s="1"/>
  <c r="Q1485" i="1"/>
  <c r="O1485" i="1"/>
  <c r="N1485" i="1"/>
  <c r="M1485" i="1"/>
  <c r="J1485" i="1"/>
  <c r="K1485" i="1" s="1"/>
  <c r="I1485" i="1"/>
  <c r="F1485" i="1"/>
  <c r="E1485" i="1"/>
  <c r="BL1484" i="1"/>
  <c r="BJ1484" i="1"/>
  <c r="BM1484" i="1" s="1"/>
  <c r="BI1484" i="1"/>
  <c r="BF1484" i="1"/>
  <c r="BG1484" i="1" s="1"/>
  <c r="BE1484" i="1"/>
  <c r="BC1484" i="1"/>
  <c r="BB1484" i="1"/>
  <c r="BA1484" i="1"/>
  <c r="AX1484" i="1"/>
  <c r="AY1484" i="1" s="1"/>
  <c r="AW1484" i="1"/>
  <c r="AT1484" i="1"/>
  <c r="AS1484" i="1"/>
  <c r="AP1484" i="1"/>
  <c r="AO1484" i="1"/>
  <c r="AM1484" i="1"/>
  <c r="AL1484" i="1"/>
  <c r="AK1484" i="1"/>
  <c r="AI1484" i="1"/>
  <c r="AH1484" i="1"/>
  <c r="AG1484" i="1"/>
  <c r="AF1484" i="1"/>
  <c r="AD1484" i="1"/>
  <c r="AE1484" i="1" s="1"/>
  <c r="AC1484" i="1"/>
  <c r="Z1484" i="1"/>
  <c r="Y1484" i="1"/>
  <c r="V1484" i="1"/>
  <c r="U1484" i="1"/>
  <c r="S1484" i="1"/>
  <c r="R1484" i="1"/>
  <c r="Q1484" i="1"/>
  <c r="O1484" i="1"/>
  <c r="N1484" i="1"/>
  <c r="M1484" i="1"/>
  <c r="J1484" i="1"/>
  <c r="K1484" i="1" s="1"/>
  <c r="I1484" i="1"/>
  <c r="F1484" i="1"/>
  <c r="G1484" i="1" s="1"/>
  <c r="E1484" i="1"/>
  <c r="BM1483" i="1"/>
  <c r="BL1483" i="1"/>
  <c r="BJ1483" i="1"/>
  <c r="BI1483" i="1"/>
  <c r="BG1483" i="1"/>
  <c r="BF1483" i="1"/>
  <c r="BE1483" i="1"/>
  <c r="BC1483" i="1"/>
  <c r="BB1483" i="1"/>
  <c r="BA1483" i="1"/>
  <c r="AX1483" i="1"/>
  <c r="AW1483" i="1"/>
  <c r="AT1483" i="1"/>
  <c r="AU1483" i="1" s="1"/>
  <c r="AS1483" i="1"/>
  <c r="AQ1483" i="1"/>
  <c r="AP1483" i="1"/>
  <c r="AO1483" i="1"/>
  <c r="AL1483" i="1"/>
  <c r="AM1483" i="1" s="1"/>
  <c r="AK1483" i="1"/>
  <c r="AH1483" i="1"/>
  <c r="AG1483" i="1"/>
  <c r="AF1483" i="1"/>
  <c r="AD1483" i="1"/>
  <c r="AC1483" i="1"/>
  <c r="Z1483" i="1"/>
  <c r="AA1483" i="1" s="1"/>
  <c r="Y1483" i="1"/>
  <c r="W1483" i="1"/>
  <c r="V1483" i="1"/>
  <c r="U1483" i="1"/>
  <c r="R1483" i="1"/>
  <c r="S1483" i="1" s="1"/>
  <c r="Q1483" i="1"/>
  <c r="N1483" i="1"/>
  <c r="M1483" i="1"/>
  <c r="J1483" i="1"/>
  <c r="I1483" i="1"/>
  <c r="G1483" i="1"/>
  <c r="F1483" i="1"/>
  <c r="E1483" i="1"/>
  <c r="BM1482" i="1"/>
  <c r="BL1482" i="1"/>
  <c r="BJ1482" i="1"/>
  <c r="BI1482" i="1"/>
  <c r="BF1482" i="1"/>
  <c r="BG1482" i="1" s="1"/>
  <c r="BE1482" i="1"/>
  <c r="BB1482" i="1"/>
  <c r="BA1482" i="1"/>
  <c r="AX1482" i="1"/>
  <c r="AW1482" i="1"/>
  <c r="AU1482" i="1"/>
  <c r="AT1482" i="1"/>
  <c r="AS1482" i="1"/>
  <c r="AP1482" i="1"/>
  <c r="AQ1482" i="1" s="1"/>
  <c r="AO1482" i="1"/>
  <c r="AL1482" i="1"/>
  <c r="AK1482" i="1"/>
  <c r="AH1482" i="1"/>
  <c r="AI1482" i="1" s="1"/>
  <c r="AG1482" i="1"/>
  <c r="AE1482" i="1"/>
  <c r="AD1482" i="1"/>
  <c r="AC1482" i="1"/>
  <c r="Z1482" i="1"/>
  <c r="AA1482" i="1" s="1"/>
  <c r="Y1482" i="1"/>
  <c r="V1482" i="1"/>
  <c r="U1482" i="1"/>
  <c r="R1482" i="1"/>
  <c r="Q1482" i="1"/>
  <c r="O1482" i="1"/>
  <c r="N1482" i="1"/>
  <c r="M1482" i="1"/>
  <c r="J1482" i="1"/>
  <c r="K1482" i="1" s="1"/>
  <c r="I1482" i="1"/>
  <c r="F1482" i="1"/>
  <c r="E1482" i="1"/>
  <c r="BN1481" i="1"/>
  <c r="BL1481" i="1"/>
  <c r="BJ1481" i="1"/>
  <c r="BM1481" i="1" s="1"/>
  <c r="BI1481" i="1"/>
  <c r="BF1481" i="1"/>
  <c r="BG1481" i="1" s="1"/>
  <c r="BE1481" i="1"/>
  <c r="BB1481" i="1"/>
  <c r="BC1481" i="1" s="1"/>
  <c r="BA1481" i="1"/>
  <c r="AY1481" i="1"/>
  <c r="AX1481" i="1"/>
  <c r="AW1481" i="1"/>
  <c r="AT1481" i="1"/>
  <c r="AU1481" i="1" s="1"/>
  <c r="AS1481" i="1"/>
  <c r="AP1481" i="1"/>
  <c r="AO1481" i="1"/>
  <c r="AL1481" i="1"/>
  <c r="AK1481" i="1"/>
  <c r="AI1481" i="1"/>
  <c r="AH1481" i="1"/>
  <c r="AG1481" i="1"/>
  <c r="AE1481" i="1"/>
  <c r="AD1481" i="1"/>
  <c r="AC1481" i="1"/>
  <c r="Z1481" i="1"/>
  <c r="Y1481" i="1"/>
  <c r="V1481" i="1"/>
  <c r="W1481" i="1" s="1"/>
  <c r="U1481" i="1"/>
  <c r="S1481" i="1"/>
  <c r="R1481" i="1"/>
  <c r="Q1481" i="1"/>
  <c r="N1481" i="1"/>
  <c r="O1481" i="1" s="1"/>
  <c r="M1481" i="1"/>
  <c r="J1481" i="1"/>
  <c r="I1481" i="1"/>
  <c r="F1481" i="1"/>
  <c r="E1481" i="1"/>
  <c r="BN1480" i="1"/>
  <c r="BL1480" i="1"/>
  <c r="BJ1480" i="1"/>
  <c r="BI1480" i="1"/>
  <c r="BF1480" i="1"/>
  <c r="BE1480" i="1"/>
  <c r="BC1480" i="1"/>
  <c r="BB1480" i="1"/>
  <c r="BA1480" i="1"/>
  <c r="AX1480" i="1"/>
  <c r="AY1480" i="1" s="1"/>
  <c r="AW1480" i="1"/>
  <c r="AT1480" i="1"/>
  <c r="AS1480" i="1"/>
  <c r="AP1480" i="1"/>
  <c r="AQ1480" i="1" s="1"/>
  <c r="AO1480" i="1"/>
  <c r="AM1480" i="1"/>
  <c r="AL1480" i="1"/>
  <c r="AK1480" i="1"/>
  <c r="AH1480" i="1"/>
  <c r="AI1480" i="1" s="1"/>
  <c r="AG1480" i="1"/>
  <c r="AD1480" i="1"/>
  <c r="AC1480" i="1"/>
  <c r="Z1480" i="1"/>
  <c r="Y1480" i="1"/>
  <c r="W1480" i="1"/>
  <c r="V1480" i="1"/>
  <c r="U1480" i="1"/>
  <c r="R1480" i="1"/>
  <c r="S1480" i="1" s="1"/>
  <c r="Q1480" i="1"/>
  <c r="N1480" i="1"/>
  <c r="M1480" i="1"/>
  <c r="J1480" i="1"/>
  <c r="K1480" i="1" s="1"/>
  <c r="I1480" i="1"/>
  <c r="G1480" i="1"/>
  <c r="F1480" i="1"/>
  <c r="E1480" i="1"/>
  <c r="BN1479" i="1"/>
  <c r="BM1479" i="1"/>
  <c r="BL1479" i="1"/>
  <c r="BJ1479" i="1"/>
  <c r="BI1479" i="1"/>
  <c r="BG1479" i="1"/>
  <c r="BF1479" i="1"/>
  <c r="BE1479" i="1"/>
  <c r="BB1479" i="1"/>
  <c r="BC1479" i="1" s="1"/>
  <c r="BA1479" i="1"/>
  <c r="AX1479" i="1"/>
  <c r="AW1479" i="1"/>
  <c r="AT1479" i="1"/>
  <c r="AS1479" i="1"/>
  <c r="AQ1479" i="1"/>
  <c r="AP1479" i="1"/>
  <c r="AO1479" i="1"/>
  <c r="AL1479" i="1"/>
  <c r="AM1479" i="1" s="1"/>
  <c r="AK1479" i="1"/>
  <c r="AH1479" i="1"/>
  <c r="AG1479" i="1"/>
  <c r="AD1479" i="1"/>
  <c r="AE1479" i="1" s="1"/>
  <c r="AC1479" i="1"/>
  <c r="AA1479" i="1"/>
  <c r="Z1479" i="1"/>
  <c r="Y1479" i="1"/>
  <c r="V1479" i="1"/>
  <c r="W1479" i="1" s="1"/>
  <c r="U1479" i="1"/>
  <c r="R1479" i="1"/>
  <c r="Q1479" i="1"/>
  <c r="N1479" i="1"/>
  <c r="M1479" i="1"/>
  <c r="K1479" i="1"/>
  <c r="J1479" i="1"/>
  <c r="I1479" i="1"/>
  <c r="G1479" i="1"/>
  <c r="F1479" i="1"/>
  <c r="E1479" i="1"/>
  <c r="BN1478" i="1"/>
  <c r="BM1478" i="1"/>
  <c r="BL1478" i="1"/>
  <c r="BJ1478" i="1"/>
  <c r="BI1478" i="1"/>
  <c r="BG1478" i="1"/>
  <c r="BF1478" i="1"/>
  <c r="BE1478" i="1"/>
  <c r="BB1478" i="1"/>
  <c r="BC1478" i="1" s="1"/>
  <c r="BA1478" i="1"/>
  <c r="AX1478" i="1"/>
  <c r="AY1478" i="1" s="1"/>
  <c r="AW1478" i="1"/>
  <c r="AU1478" i="1"/>
  <c r="AT1478" i="1"/>
  <c r="AS1478" i="1"/>
  <c r="AP1478" i="1"/>
  <c r="AQ1478" i="1" s="1"/>
  <c r="AO1478" i="1"/>
  <c r="AL1478" i="1"/>
  <c r="AK1478" i="1"/>
  <c r="AH1478" i="1"/>
  <c r="AG1478" i="1"/>
  <c r="AE1478" i="1"/>
  <c r="AD1478" i="1"/>
  <c r="AC1478" i="1"/>
  <c r="AA1478" i="1"/>
  <c r="Z1478" i="1"/>
  <c r="Y1478" i="1"/>
  <c r="V1478" i="1"/>
  <c r="W1478" i="1" s="1"/>
  <c r="U1478" i="1"/>
  <c r="R1478" i="1"/>
  <c r="Q1478" i="1"/>
  <c r="O1478" i="1"/>
  <c r="N1478" i="1"/>
  <c r="M1478" i="1"/>
  <c r="J1478" i="1"/>
  <c r="K1478" i="1" s="1"/>
  <c r="I1478" i="1"/>
  <c r="F1478" i="1"/>
  <c r="E1478" i="1"/>
  <c r="BN1477" i="1"/>
  <c r="BL1477" i="1"/>
  <c r="BJ1477" i="1"/>
  <c r="BM1477" i="1" s="1"/>
  <c r="BI1477" i="1"/>
  <c r="BF1477" i="1"/>
  <c r="BE1477" i="1"/>
  <c r="BB1477" i="1"/>
  <c r="BA1477" i="1"/>
  <c r="AY1477" i="1"/>
  <c r="AX1477" i="1"/>
  <c r="AW1477" i="1"/>
  <c r="AT1477" i="1"/>
  <c r="AU1477" i="1" s="1"/>
  <c r="AS1477" i="1"/>
  <c r="AP1477" i="1"/>
  <c r="AO1477" i="1"/>
  <c r="AL1477" i="1"/>
  <c r="AK1477" i="1"/>
  <c r="AI1477" i="1"/>
  <c r="AH1477" i="1"/>
  <c r="AF1477" i="1"/>
  <c r="AG1477" i="1" s="1"/>
  <c r="AE1477" i="1"/>
  <c r="AD1477" i="1"/>
  <c r="AB1477" i="1"/>
  <c r="AC1477" i="1" s="1"/>
  <c r="AA1477" i="1"/>
  <c r="Z1477" i="1"/>
  <c r="Y1477" i="1"/>
  <c r="V1477" i="1"/>
  <c r="W1477" i="1" s="1"/>
  <c r="U1477" i="1"/>
  <c r="R1477" i="1"/>
  <c r="Q1477" i="1"/>
  <c r="N1477" i="1"/>
  <c r="M1477" i="1"/>
  <c r="K1477" i="1"/>
  <c r="J1477" i="1"/>
  <c r="I1477" i="1"/>
  <c r="F1477" i="1"/>
  <c r="G1477" i="1" s="1"/>
  <c r="E1477" i="1"/>
  <c r="BN1476" i="1"/>
  <c r="BM1476" i="1"/>
  <c r="BL1476" i="1"/>
  <c r="BJ1476" i="1"/>
  <c r="BI1476" i="1"/>
  <c r="BF1476" i="1"/>
  <c r="BG1476" i="1" s="1"/>
  <c r="BE1476" i="1"/>
  <c r="BB1476" i="1"/>
  <c r="BA1476" i="1"/>
  <c r="AX1476" i="1"/>
  <c r="AY1476" i="1" s="1"/>
  <c r="AW1476" i="1"/>
  <c r="AU1476" i="1"/>
  <c r="AT1476" i="1"/>
  <c r="AS1476" i="1"/>
  <c r="AP1476" i="1"/>
  <c r="AQ1476" i="1" s="1"/>
  <c r="AO1476" i="1"/>
  <c r="AL1476" i="1"/>
  <c r="AK1476" i="1"/>
  <c r="AH1476" i="1"/>
  <c r="AF1476" i="1"/>
  <c r="AG1476" i="1" s="1"/>
  <c r="AD1476" i="1"/>
  <c r="AA1476" i="1" s="1"/>
  <c r="AB1476" i="1"/>
  <c r="AC1476" i="1" s="1"/>
  <c r="Z1476" i="1"/>
  <c r="Y1476" i="1"/>
  <c r="W1476" i="1"/>
  <c r="V1476" i="1"/>
  <c r="U1476" i="1"/>
  <c r="R1476" i="1"/>
  <c r="S1476" i="1" s="1"/>
  <c r="Q1476" i="1"/>
  <c r="N1476" i="1"/>
  <c r="O1476" i="1" s="1"/>
  <c r="M1476" i="1"/>
  <c r="J1476" i="1"/>
  <c r="K1476" i="1" s="1"/>
  <c r="I1476" i="1"/>
  <c r="G1476" i="1"/>
  <c r="F1476" i="1"/>
  <c r="E1476" i="1"/>
  <c r="BN1475" i="1"/>
  <c r="BM1475" i="1" s="1"/>
  <c r="BL1475" i="1"/>
  <c r="BJ1475" i="1"/>
  <c r="BI1475" i="1"/>
  <c r="BG1475" i="1"/>
  <c r="BF1475" i="1"/>
  <c r="BE1475" i="1"/>
  <c r="BC1475" i="1"/>
  <c r="BB1475" i="1"/>
  <c r="BA1475" i="1"/>
  <c r="AX1475" i="1"/>
  <c r="AW1475" i="1"/>
  <c r="AT1475" i="1"/>
  <c r="AS1475" i="1"/>
  <c r="AQ1475" i="1"/>
  <c r="AP1475" i="1"/>
  <c r="AO1475" i="1"/>
  <c r="AL1475" i="1"/>
  <c r="AM1475" i="1" s="1"/>
  <c r="AK1475" i="1"/>
  <c r="AH1475" i="1"/>
  <c r="AG1475" i="1"/>
  <c r="AF1475" i="1"/>
  <c r="AD1475" i="1"/>
  <c r="AE1475" i="1" s="1"/>
  <c r="AC1475" i="1"/>
  <c r="AB1475" i="1"/>
  <c r="Z1475" i="1"/>
  <c r="Y1475" i="1"/>
  <c r="V1475" i="1"/>
  <c r="U1475" i="1"/>
  <c r="S1475" i="1"/>
  <c r="R1475" i="1"/>
  <c r="Q1475" i="1"/>
  <c r="N1475" i="1"/>
  <c r="O1475" i="1" s="1"/>
  <c r="M1475" i="1"/>
  <c r="J1475" i="1"/>
  <c r="I1475" i="1"/>
  <c r="F1475" i="1"/>
  <c r="E1475" i="1"/>
  <c r="BN1474" i="1"/>
  <c r="BL1474" i="1"/>
  <c r="BJ1474" i="1"/>
  <c r="BI1474" i="1"/>
  <c r="BF1474" i="1"/>
  <c r="BE1474" i="1"/>
  <c r="BC1474" i="1"/>
  <c r="BB1474" i="1"/>
  <c r="BA1474" i="1"/>
  <c r="AX1474" i="1"/>
  <c r="AY1474" i="1" s="1"/>
  <c r="AW1474" i="1"/>
  <c r="AT1474" i="1"/>
  <c r="AS1474" i="1"/>
  <c r="AP1474" i="1"/>
  <c r="AO1474" i="1"/>
  <c r="AM1474" i="1"/>
  <c r="AL1474" i="1"/>
  <c r="AK1474" i="1"/>
  <c r="AH1474" i="1"/>
  <c r="AI1474" i="1" s="1"/>
  <c r="AG1474" i="1"/>
  <c r="AD1474" i="1"/>
  <c r="AC1474" i="1"/>
  <c r="Z1474" i="1"/>
  <c r="Y1474" i="1"/>
  <c r="W1474" i="1"/>
  <c r="V1474" i="1"/>
  <c r="U1474" i="1"/>
  <c r="R1474" i="1"/>
  <c r="S1474" i="1" s="1"/>
  <c r="Q1474" i="1"/>
  <c r="N1474" i="1"/>
  <c r="O1474" i="1" s="1"/>
  <c r="M1474" i="1"/>
  <c r="J1474" i="1"/>
  <c r="K1474" i="1" s="1"/>
  <c r="I1474" i="1"/>
  <c r="G1474" i="1"/>
  <c r="F1474" i="1"/>
  <c r="E1474" i="1"/>
  <c r="BN1473" i="1"/>
  <c r="BM1473" i="1" s="1"/>
  <c r="BL1473" i="1"/>
  <c r="BJ1473" i="1"/>
  <c r="BI1473" i="1"/>
  <c r="BG1473" i="1"/>
  <c r="BF1473" i="1"/>
  <c r="BE1473" i="1"/>
  <c r="BC1473" i="1"/>
  <c r="BB1473" i="1"/>
  <c r="BA1473" i="1"/>
  <c r="AX1473" i="1"/>
  <c r="AW1473" i="1"/>
  <c r="AT1473" i="1"/>
  <c r="AS1473" i="1"/>
  <c r="AQ1473" i="1"/>
  <c r="AP1473" i="1"/>
  <c r="AO1473" i="1"/>
  <c r="AL1473" i="1"/>
  <c r="AM1473" i="1" s="1"/>
  <c r="AK1473" i="1"/>
  <c r="AH1473" i="1"/>
  <c r="AG1473" i="1"/>
  <c r="AD1473" i="1"/>
  <c r="AC1473" i="1"/>
  <c r="AA1473" i="1"/>
  <c r="Z1473" i="1"/>
  <c r="Y1473" i="1"/>
  <c r="V1473" i="1"/>
  <c r="W1473" i="1" s="1"/>
  <c r="U1473" i="1"/>
  <c r="R1473" i="1"/>
  <c r="Q1473" i="1"/>
  <c r="N1473" i="1"/>
  <c r="M1473" i="1"/>
  <c r="K1473" i="1"/>
  <c r="J1473" i="1"/>
  <c r="I1473" i="1"/>
  <c r="F1473" i="1"/>
  <c r="G1473" i="1" s="1"/>
  <c r="E1473" i="1"/>
  <c r="BN1472" i="1"/>
  <c r="BM1472" i="1"/>
  <c r="BL1472" i="1"/>
  <c r="BJ1472" i="1"/>
  <c r="BI1472" i="1"/>
  <c r="BF1472" i="1"/>
  <c r="BG1472" i="1" s="1"/>
  <c r="BE1472" i="1"/>
  <c r="BB1472" i="1"/>
  <c r="BC1472" i="1" s="1"/>
  <c r="BA1472" i="1"/>
  <c r="AX1472" i="1"/>
  <c r="AY1472" i="1" s="1"/>
  <c r="AW1472" i="1"/>
  <c r="AU1472" i="1"/>
  <c r="AT1472" i="1"/>
  <c r="AS1472" i="1"/>
  <c r="AQ1472" i="1"/>
  <c r="AP1472" i="1"/>
  <c r="AO1472" i="1"/>
  <c r="AL1472" i="1"/>
  <c r="AK1472" i="1"/>
  <c r="AH1472" i="1"/>
  <c r="AG1472" i="1"/>
  <c r="AE1472" i="1"/>
  <c r="AD1472" i="1"/>
  <c r="AC1472" i="1"/>
  <c r="Z1472" i="1"/>
  <c r="AA1472" i="1" s="1"/>
  <c r="Y1472" i="1"/>
  <c r="V1472" i="1"/>
  <c r="U1472" i="1"/>
  <c r="R1472" i="1"/>
  <c r="Q1472" i="1"/>
  <c r="O1472" i="1"/>
  <c r="N1472" i="1"/>
  <c r="M1472" i="1"/>
  <c r="J1472" i="1"/>
  <c r="K1472" i="1" s="1"/>
  <c r="I1472" i="1"/>
  <c r="F1472" i="1"/>
  <c r="E1472" i="1"/>
  <c r="BN1471" i="1"/>
  <c r="BL1471" i="1"/>
  <c r="BJ1471" i="1"/>
  <c r="BM1471" i="1" s="1"/>
  <c r="BI1471" i="1"/>
  <c r="BF1471" i="1"/>
  <c r="BE1471" i="1"/>
  <c r="BB1471" i="1"/>
  <c r="BA1471" i="1"/>
  <c r="AY1471" i="1"/>
  <c r="AX1471" i="1"/>
  <c r="AW1471" i="1"/>
  <c r="AT1471" i="1"/>
  <c r="AU1471" i="1" s="1"/>
  <c r="AS1471" i="1"/>
  <c r="AP1471" i="1"/>
  <c r="AO1471" i="1"/>
  <c r="AL1471" i="1"/>
  <c r="AM1471" i="1" s="1"/>
  <c r="AK1471" i="1"/>
  <c r="AI1471" i="1"/>
  <c r="AH1471" i="1"/>
  <c r="AG1471" i="1"/>
  <c r="AD1471" i="1"/>
  <c r="AE1471" i="1" s="1"/>
  <c r="AC1471" i="1"/>
  <c r="Z1471" i="1"/>
  <c r="Y1471" i="1"/>
  <c r="V1471" i="1"/>
  <c r="U1471" i="1"/>
  <c r="S1471" i="1"/>
  <c r="R1471" i="1"/>
  <c r="Q1471" i="1"/>
  <c r="O1471" i="1"/>
  <c r="N1471" i="1"/>
  <c r="M1471" i="1"/>
  <c r="J1471" i="1"/>
  <c r="K1471" i="1" s="1"/>
  <c r="I1471" i="1"/>
  <c r="F1471" i="1"/>
  <c r="E1471" i="1"/>
  <c r="BN1470" i="1"/>
  <c r="BL1470" i="1"/>
  <c r="BJ1470" i="1"/>
  <c r="BM1470" i="1" s="1"/>
  <c r="BI1470" i="1"/>
  <c r="BF1470" i="1"/>
  <c r="BG1470" i="1" s="1"/>
  <c r="BE1470" i="1"/>
  <c r="BC1470" i="1"/>
  <c r="BB1470" i="1"/>
  <c r="BA1470" i="1"/>
  <c r="AY1470" i="1"/>
  <c r="AX1470" i="1"/>
  <c r="AW1470" i="1"/>
  <c r="AT1470" i="1"/>
  <c r="AS1470" i="1"/>
  <c r="AP1470" i="1"/>
  <c r="AO1470" i="1"/>
  <c r="AM1470" i="1"/>
  <c r="AL1470" i="1"/>
  <c r="AK1470" i="1"/>
  <c r="AH1470" i="1"/>
  <c r="AI1470" i="1" s="1"/>
  <c r="AG1470" i="1"/>
  <c r="AD1470" i="1"/>
  <c r="AC1470" i="1"/>
  <c r="Z1470" i="1"/>
  <c r="Y1470" i="1"/>
  <c r="W1470" i="1"/>
  <c r="V1470" i="1"/>
  <c r="U1470" i="1"/>
  <c r="S1470" i="1"/>
  <c r="R1470" i="1"/>
  <c r="Q1470" i="1"/>
  <c r="N1470" i="1"/>
  <c r="M1470" i="1"/>
  <c r="J1470" i="1"/>
  <c r="I1470" i="1"/>
  <c r="G1470" i="1"/>
  <c r="F1470" i="1"/>
  <c r="E1470" i="1"/>
  <c r="BN1469" i="1"/>
  <c r="BM1469" i="1" s="1"/>
  <c r="BL1469" i="1"/>
  <c r="BJ1469" i="1"/>
  <c r="BI1469" i="1"/>
  <c r="BG1469" i="1"/>
  <c r="BF1469" i="1"/>
  <c r="BE1469" i="1"/>
  <c r="BC1469" i="1"/>
  <c r="BB1469" i="1"/>
  <c r="BA1469" i="1"/>
  <c r="AX1469" i="1"/>
  <c r="AY1469" i="1" s="1"/>
  <c r="AW1469" i="1"/>
  <c r="AT1469" i="1"/>
  <c r="AU1469" i="1" s="1"/>
  <c r="AS1469" i="1"/>
  <c r="AQ1469" i="1"/>
  <c r="AP1469" i="1"/>
  <c r="AO1469" i="1"/>
  <c r="AM1469" i="1"/>
  <c r="AL1469" i="1"/>
  <c r="AK1469" i="1"/>
  <c r="AH1469" i="1"/>
  <c r="AG1469" i="1"/>
  <c r="AD1469" i="1"/>
  <c r="AC1469" i="1"/>
  <c r="AA1469" i="1"/>
  <c r="Z1469" i="1"/>
  <c r="Y1469" i="1"/>
  <c r="W1469" i="1"/>
  <c r="V1469" i="1"/>
  <c r="U1469" i="1"/>
  <c r="R1469" i="1"/>
  <c r="Q1469" i="1"/>
  <c r="N1469" i="1"/>
  <c r="M1469" i="1"/>
  <c r="K1469" i="1"/>
  <c r="J1469" i="1"/>
  <c r="I1469" i="1"/>
  <c r="G1469" i="1"/>
  <c r="F1469" i="1"/>
  <c r="E1469" i="1"/>
  <c r="BN1468" i="1"/>
  <c r="BM1468" i="1"/>
  <c r="BL1468" i="1"/>
  <c r="BJ1468" i="1"/>
  <c r="BI1468" i="1"/>
  <c r="BG1468" i="1"/>
  <c r="BF1468" i="1"/>
  <c r="BE1468" i="1"/>
  <c r="BB1468" i="1"/>
  <c r="BA1468" i="1"/>
  <c r="AX1468" i="1"/>
  <c r="AW1468" i="1"/>
  <c r="AU1468" i="1"/>
  <c r="AT1468" i="1"/>
  <c r="AS1468" i="1"/>
  <c r="AQ1468" i="1"/>
  <c r="AP1468" i="1"/>
  <c r="AO1468" i="1"/>
  <c r="AL1468" i="1"/>
  <c r="AM1468" i="1" s="1"/>
  <c r="AK1468" i="1"/>
  <c r="AH1468" i="1"/>
  <c r="AI1468" i="1" s="1"/>
  <c r="AG1468" i="1"/>
  <c r="AE1468" i="1"/>
  <c r="AD1468" i="1"/>
  <c r="AC1468" i="1"/>
  <c r="AA1468" i="1"/>
  <c r="Z1468" i="1"/>
  <c r="Y1468" i="1"/>
  <c r="V1468" i="1"/>
  <c r="U1468" i="1"/>
  <c r="R1468" i="1"/>
  <c r="Q1468" i="1"/>
  <c r="O1468" i="1"/>
  <c r="N1468" i="1"/>
  <c r="M1468" i="1"/>
  <c r="K1468" i="1"/>
  <c r="J1468" i="1"/>
  <c r="I1468" i="1"/>
  <c r="F1468" i="1"/>
  <c r="E1468" i="1"/>
  <c r="BN1467" i="1"/>
  <c r="BL1467" i="1"/>
  <c r="BJ1467" i="1"/>
  <c r="BM1467" i="1" s="1"/>
  <c r="BI1467" i="1"/>
  <c r="BF1467" i="1"/>
  <c r="BG1467" i="1" s="1"/>
  <c r="BE1467" i="1"/>
  <c r="BB1467" i="1"/>
  <c r="BA1467" i="1"/>
  <c r="AY1467" i="1"/>
  <c r="AX1467" i="1"/>
  <c r="AW1467" i="1"/>
  <c r="AU1467" i="1"/>
  <c r="AT1467" i="1"/>
  <c r="AS1467" i="1"/>
  <c r="AP1467" i="1"/>
  <c r="AO1467" i="1"/>
  <c r="AL1467" i="1"/>
  <c r="AK1467" i="1"/>
  <c r="AI1467" i="1"/>
  <c r="AH1467" i="1"/>
  <c r="AG1467" i="1"/>
  <c r="AE1467" i="1"/>
  <c r="AD1467" i="1"/>
  <c r="AC1467" i="1"/>
  <c r="Z1467" i="1"/>
  <c r="Y1467" i="1"/>
  <c r="V1467" i="1"/>
  <c r="W1467" i="1" s="1"/>
  <c r="U1467" i="1"/>
  <c r="S1467" i="1"/>
  <c r="R1467" i="1"/>
  <c r="Q1467" i="1"/>
  <c r="O1467" i="1"/>
  <c r="N1467" i="1"/>
  <c r="M1467" i="1"/>
  <c r="J1467" i="1"/>
  <c r="I1467" i="1"/>
  <c r="F1467" i="1"/>
  <c r="E1467" i="1"/>
  <c r="BN1466" i="1"/>
  <c r="BL1466" i="1"/>
  <c r="BJ1466" i="1"/>
  <c r="BI1466" i="1"/>
  <c r="BF1466" i="1"/>
  <c r="BE1466" i="1"/>
  <c r="BC1466" i="1"/>
  <c r="BB1466" i="1"/>
  <c r="BA1466" i="1"/>
  <c r="AY1466" i="1"/>
  <c r="AX1466" i="1"/>
  <c r="AW1466" i="1"/>
  <c r="AT1466" i="1"/>
  <c r="AU1466" i="1" s="1"/>
  <c r="AS1466" i="1"/>
  <c r="AP1466" i="1"/>
  <c r="AQ1466" i="1" s="1"/>
  <c r="AO1466" i="1"/>
  <c r="AM1466" i="1"/>
  <c r="AL1466" i="1"/>
  <c r="AK1466" i="1"/>
  <c r="AI1466" i="1"/>
  <c r="AH1466" i="1"/>
  <c r="AG1466" i="1"/>
  <c r="AD1466" i="1"/>
  <c r="AC1466" i="1"/>
  <c r="Z1466" i="1"/>
  <c r="Y1466" i="1"/>
  <c r="W1466" i="1"/>
  <c r="V1466" i="1"/>
  <c r="U1466" i="1"/>
  <c r="S1466" i="1"/>
  <c r="R1466" i="1"/>
  <c r="Q1466" i="1"/>
  <c r="N1466" i="1"/>
  <c r="M1466" i="1"/>
  <c r="J1466" i="1"/>
  <c r="I1466" i="1"/>
  <c r="G1466" i="1"/>
  <c r="F1466" i="1"/>
  <c r="E1466" i="1"/>
  <c r="BN1465" i="1"/>
  <c r="BM1465" i="1" s="1"/>
  <c r="BL1465" i="1"/>
  <c r="BJ1465" i="1"/>
  <c r="BI1465" i="1"/>
  <c r="BG1465" i="1"/>
  <c r="BF1465" i="1"/>
  <c r="BE1465" i="1"/>
  <c r="BC1465" i="1"/>
  <c r="BB1465" i="1"/>
  <c r="BA1465" i="1"/>
  <c r="AX1465" i="1"/>
  <c r="AW1465" i="1"/>
  <c r="AT1465" i="1"/>
  <c r="AS1465" i="1"/>
  <c r="AQ1465" i="1"/>
  <c r="AP1465" i="1"/>
  <c r="AO1465" i="1"/>
  <c r="AM1465" i="1"/>
  <c r="AL1465" i="1"/>
  <c r="AK1465" i="1"/>
  <c r="AH1465" i="1"/>
  <c r="AI1465" i="1" s="1"/>
  <c r="AG1465" i="1"/>
  <c r="AD1465" i="1"/>
  <c r="AE1465" i="1" s="1"/>
  <c r="AC1465" i="1"/>
  <c r="AA1465" i="1"/>
  <c r="Z1465" i="1"/>
  <c r="Y1465" i="1"/>
  <c r="W1465" i="1"/>
  <c r="V1465" i="1"/>
  <c r="U1465" i="1"/>
  <c r="R1465" i="1"/>
  <c r="Q1465" i="1"/>
  <c r="N1465" i="1"/>
  <c r="M1465" i="1"/>
  <c r="K1465" i="1"/>
  <c r="J1465" i="1"/>
  <c r="I1465" i="1"/>
  <c r="G1465" i="1"/>
  <c r="F1465" i="1"/>
  <c r="E1465" i="1"/>
  <c r="BN1464" i="1"/>
  <c r="BM1464" i="1"/>
  <c r="BL1464" i="1"/>
  <c r="BJ1464" i="1"/>
  <c r="BI1464" i="1"/>
  <c r="BG1464" i="1"/>
  <c r="BF1464" i="1"/>
  <c r="BE1464" i="1"/>
  <c r="BB1464" i="1"/>
  <c r="BA1464" i="1"/>
  <c r="AX1464" i="1"/>
  <c r="AW1464" i="1"/>
  <c r="AU1464" i="1"/>
  <c r="AT1464" i="1"/>
  <c r="AS1464" i="1"/>
  <c r="AQ1464" i="1"/>
  <c r="AP1464" i="1"/>
  <c r="AO1464" i="1"/>
  <c r="AL1464" i="1"/>
  <c r="AK1464" i="1"/>
  <c r="AH1464" i="1"/>
  <c r="AG1464" i="1"/>
  <c r="AE1464" i="1"/>
  <c r="AD1464" i="1"/>
  <c r="AC1464" i="1"/>
  <c r="AA1464" i="1"/>
  <c r="Z1464" i="1"/>
  <c r="Y1464" i="1"/>
  <c r="V1464" i="1"/>
  <c r="W1464" i="1" s="1"/>
  <c r="U1464" i="1"/>
  <c r="R1464" i="1"/>
  <c r="S1464" i="1" s="1"/>
  <c r="Q1464" i="1"/>
  <c r="O1464" i="1"/>
  <c r="N1464" i="1"/>
  <c r="M1464" i="1"/>
  <c r="K1464" i="1"/>
  <c r="J1464" i="1"/>
  <c r="I1464" i="1"/>
  <c r="F1464" i="1"/>
  <c r="G1464" i="1" s="1"/>
  <c r="E1464" i="1"/>
  <c r="BN1463" i="1"/>
  <c r="BL1463" i="1"/>
  <c r="BJ1463" i="1"/>
  <c r="BM1463" i="1" s="1"/>
  <c r="BI1463" i="1"/>
  <c r="BF1463" i="1"/>
  <c r="BE1463" i="1"/>
  <c r="BB1463" i="1"/>
  <c r="BA1463" i="1"/>
  <c r="AY1463" i="1"/>
  <c r="AX1463" i="1"/>
  <c r="AW1463" i="1"/>
  <c r="AU1463" i="1"/>
  <c r="AT1463" i="1"/>
  <c r="AS1463" i="1"/>
  <c r="AP1463" i="1"/>
  <c r="AQ1463" i="1" s="1"/>
  <c r="AO1463" i="1"/>
  <c r="AL1463" i="1"/>
  <c r="AK1463" i="1"/>
  <c r="AI1463" i="1"/>
  <c r="AH1463" i="1"/>
  <c r="AG1463" i="1"/>
  <c r="AE1463" i="1"/>
  <c r="AD1463" i="1"/>
  <c r="AC1463" i="1"/>
  <c r="Z1463" i="1"/>
  <c r="Y1463" i="1"/>
  <c r="V1463" i="1"/>
  <c r="U1463" i="1"/>
  <c r="S1463" i="1"/>
  <c r="R1463" i="1"/>
  <c r="Q1463" i="1"/>
  <c r="O1463" i="1"/>
  <c r="N1463" i="1"/>
  <c r="M1463" i="1"/>
  <c r="J1463" i="1"/>
  <c r="I1463" i="1"/>
  <c r="F1463" i="1"/>
  <c r="G1463" i="1" s="1"/>
  <c r="E1463" i="1"/>
  <c r="BN1462" i="1"/>
  <c r="BL1462" i="1"/>
  <c r="BJ1462" i="1"/>
  <c r="BI1462" i="1"/>
  <c r="BF1462" i="1"/>
  <c r="BE1462" i="1"/>
  <c r="BC1462" i="1"/>
  <c r="BB1462" i="1"/>
  <c r="BA1462" i="1"/>
  <c r="AY1462" i="1"/>
  <c r="AX1462" i="1"/>
  <c r="AW1462" i="1"/>
  <c r="AT1462" i="1"/>
  <c r="AS1462" i="1"/>
  <c r="AP1462" i="1"/>
  <c r="AO1462" i="1"/>
  <c r="AM1462" i="1"/>
  <c r="AL1462" i="1"/>
  <c r="AK1462" i="1"/>
  <c r="AI1462" i="1"/>
  <c r="AH1462" i="1"/>
  <c r="AG1462" i="1"/>
  <c r="AD1462" i="1"/>
  <c r="AE1462" i="1" s="1"/>
  <c r="AC1462" i="1"/>
  <c r="Z1462" i="1"/>
  <c r="AA1462" i="1" s="1"/>
  <c r="Y1462" i="1"/>
  <c r="W1462" i="1"/>
  <c r="V1462" i="1"/>
  <c r="U1462" i="1"/>
  <c r="S1462" i="1"/>
  <c r="R1462" i="1"/>
  <c r="Q1462" i="1"/>
  <c r="N1462" i="1"/>
  <c r="M1462" i="1"/>
  <c r="J1462" i="1"/>
  <c r="I1462" i="1"/>
  <c r="G1462" i="1"/>
  <c r="F1462" i="1"/>
  <c r="E1462" i="1"/>
  <c r="BN1461" i="1"/>
  <c r="BM1461" i="1" s="1"/>
  <c r="BL1461" i="1"/>
  <c r="BK1461" i="1"/>
  <c r="BJ1461" i="1"/>
  <c r="BI1461" i="1"/>
  <c r="BH1461" i="1"/>
  <c r="BF1461" i="1"/>
  <c r="BG1461" i="1" s="1"/>
  <c r="BE1461" i="1"/>
  <c r="BD1461" i="1"/>
  <c r="BB1461" i="1"/>
  <c r="BC1461" i="1" s="1"/>
  <c r="BA1461" i="1"/>
  <c r="AX1461" i="1"/>
  <c r="AW1461" i="1"/>
  <c r="AU1461" i="1"/>
  <c r="AT1461" i="1"/>
  <c r="AS1461" i="1"/>
  <c r="AP1461" i="1"/>
  <c r="AQ1461" i="1" s="1"/>
  <c r="AO1461" i="1"/>
  <c r="AL1461" i="1"/>
  <c r="AK1461" i="1"/>
  <c r="AH1461" i="1"/>
  <c r="AG1461" i="1"/>
  <c r="AE1461" i="1"/>
  <c r="AD1461" i="1"/>
  <c r="AC1461" i="1"/>
  <c r="AA1461" i="1"/>
  <c r="Z1461" i="1"/>
  <c r="Y1461" i="1"/>
  <c r="V1461" i="1"/>
  <c r="W1461" i="1" s="1"/>
  <c r="U1461" i="1"/>
  <c r="R1461" i="1"/>
  <c r="Q1461" i="1"/>
  <c r="O1461" i="1"/>
  <c r="N1461" i="1"/>
  <c r="M1461" i="1"/>
  <c r="J1461" i="1"/>
  <c r="K1461" i="1" s="1"/>
  <c r="I1461" i="1"/>
  <c r="F1461" i="1"/>
  <c r="E1461" i="1"/>
  <c r="BN1460" i="1"/>
  <c r="BM1460" i="1" s="1"/>
  <c r="BL1460" i="1"/>
  <c r="BK1460" i="1"/>
  <c r="BJ1460" i="1"/>
  <c r="BH1460" i="1"/>
  <c r="BI1460" i="1" s="1"/>
  <c r="BG1460" i="1"/>
  <c r="BF1460" i="1"/>
  <c r="BE1460" i="1"/>
  <c r="BC1460" i="1"/>
  <c r="BB1460" i="1"/>
  <c r="BA1460" i="1"/>
  <c r="AX1460" i="1"/>
  <c r="AW1460" i="1"/>
  <c r="AT1460" i="1"/>
  <c r="AS1460" i="1"/>
  <c r="AQ1460" i="1"/>
  <c r="AP1460" i="1"/>
  <c r="AO1460" i="1"/>
  <c r="AL1460" i="1"/>
  <c r="AM1460" i="1" s="1"/>
  <c r="AK1460" i="1"/>
  <c r="AH1460" i="1"/>
  <c r="AG1460" i="1"/>
  <c r="AD1460" i="1"/>
  <c r="AE1460" i="1" s="1"/>
  <c r="AC1460" i="1"/>
  <c r="Z1460" i="1"/>
  <c r="Y1460" i="1"/>
  <c r="V1460" i="1"/>
  <c r="W1460" i="1" s="1"/>
  <c r="U1460" i="1"/>
  <c r="S1460" i="1"/>
  <c r="R1460" i="1"/>
  <c r="O1460" i="1" s="1"/>
  <c r="Q1460" i="1"/>
  <c r="N1460" i="1"/>
  <c r="M1460" i="1"/>
  <c r="K1460" i="1"/>
  <c r="J1460" i="1"/>
  <c r="I1460" i="1"/>
  <c r="G1460" i="1"/>
  <c r="F1460" i="1"/>
  <c r="E1460" i="1"/>
  <c r="BN1459" i="1"/>
  <c r="BM1459" i="1"/>
  <c r="BL1459" i="1"/>
  <c r="BK1459" i="1"/>
  <c r="BJ1459" i="1"/>
  <c r="BG1459" i="1" s="1"/>
  <c r="BI1459" i="1"/>
  <c r="BH1459" i="1"/>
  <c r="BF1459" i="1"/>
  <c r="BD1459" i="1"/>
  <c r="BE1459" i="1" s="1"/>
  <c r="BB1459" i="1"/>
  <c r="BC1459" i="1" s="1"/>
  <c r="BA1459" i="1"/>
  <c r="AY1459" i="1"/>
  <c r="AX1459" i="1"/>
  <c r="AW1459" i="1"/>
  <c r="AU1459" i="1"/>
  <c r="AT1459" i="1"/>
  <c r="AS1459" i="1"/>
  <c r="AP1459" i="1"/>
  <c r="AM1459" i="1" s="1"/>
  <c r="AO1459" i="1"/>
  <c r="AL1459" i="1"/>
  <c r="AK1459" i="1"/>
  <c r="AI1459" i="1"/>
  <c r="AH1459" i="1"/>
  <c r="AG1459" i="1"/>
  <c r="AD1459" i="1"/>
  <c r="AE1459" i="1" s="1"/>
  <c r="AC1459" i="1"/>
  <c r="Z1459" i="1"/>
  <c r="AA1459" i="1" s="1"/>
  <c r="Y1459" i="1"/>
  <c r="V1459" i="1"/>
  <c r="U1459" i="1"/>
  <c r="S1459" i="1"/>
  <c r="R1459" i="1"/>
  <c r="Q1459" i="1"/>
  <c r="N1459" i="1"/>
  <c r="O1459" i="1" s="1"/>
  <c r="M1459" i="1"/>
  <c r="J1459" i="1"/>
  <c r="I1459" i="1"/>
  <c r="G1459" i="1"/>
  <c r="F1459" i="1"/>
  <c r="E1459" i="1"/>
  <c r="BN1458" i="1"/>
  <c r="BL1458" i="1"/>
  <c r="BJ1458" i="1"/>
  <c r="BI1458" i="1"/>
  <c r="BG1458" i="1"/>
  <c r="BF1458" i="1"/>
  <c r="BE1458" i="1"/>
  <c r="BC1458" i="1"/>
  <c r="BB1458" i="1"/>
  <c r="BA1458" i="1"/>
  <c r="AY1458" i="1"/>
  <c r="AX1458" i="1"/>
  <c r="AW1458" i="1"/>
  <c r="AT1458" i="1"/>
  <c r="AU1458" i="1" s="1"/>
  <c r="AS1458" i="1"/>
  <c r="AP1458" i="1"/>
  <c r="AQ1458" i="1" s="1"/>
  <c r="AO1458" i="1"/>
  <c r="AM1458" i="1"/>
  <c r="AL1458" i="1"/>
  <c r="AK1458" i="1"/>
  <c r="AI1458" i="1"/>
  <c r="AH1458" i="1"/>
  <c r="AG1458" i="1"/>
  <c r="AD1458" i="1"/>
  <c r="AE1458" i="1" s="1"/>
  <c r="AC1458" i="1"/>
  <c r="Z1458" i="1"/>
  <c r="Y1458" i="1"/>
  <c r="W1458" i="1"/>
  <c r="V1458" i="1"/>
  <c r="U1458" i="1"/>
  <c r="S1458" i="1"/>
  <c r="R1458" i="1"/>
  <c r="Q1458" i="1"/>
  <c r="N1458" i="1"/>
  <c r="M1458" i="1"/>
  <c r="J1458" i="1"/>
  <c r="K1458" i="1" s="1"/>
  <c r="I1458" i="1"/>
  <c r="F1458" i="1"/>
  <c r="G1458" i="1" s="1"/>
  <c r="E1458" i="1"/>
  <c r="BN1457" i="1"/>
  <c r="BL1457" i="1"/>
  <c r="BJ1457" i="1"/>
  <c r="BM1457" i="1" s="1"/>
  <c r="BI1457" i="1"/>
  <c r="BF1457" i="1"/>
  <c r="BG1457" i="1" s="1"/>
  <c r="BE1457" i="1"/>
  <c r="BB1457" i="1"/>
  <c r="BA1457" i="1"/>
  <c r="AX1457" i="1"/>
  <c r="AY1457" i="1" s="1"/>
  <c r="AW1457" i="1"/>
  <c r="AT1457" i="1"/>
  <c r="AQ1457" i="1" s="1"/>
  <c r="AS1457" i="1"/>
  <c r="AP1457" i="1"/>
  <c r="AO1457" i="1"/>
  <c r="AM1457" i="1"/>
  <c r="AL1457" i="1"/>
  <c r="AI1457" i="1" s="1"/>
  <c r="AK1457" i="1"/>
  <c r="AH1457" i="1"/>
  <c r="AG1457" i="1"/>
  <c r="AD1457" i="1"/>
  <c r="AC1457" i="1"/>
  <c r="Z1457" i="1"/>
  <c r="W1457" i="1" s="1"/>
  <c r="Y1457" i="1"/>
  <c r="V1457" i="1"/>
  <c r="U1457" i="1"/>
  <c r="S1457" i="1"/>
  <c r="R1457" i="1"/>
  <c r="Q1457" i="1"/>
  <c r="N1457" i="1"/>
  <c r="O1457" i="1" s="1"/>
  <c r="M1457" i="1"/>
  <c r="J1457" i="1"/>
  <c r="I1457" i="1"/>
  <c r="F1457" i="1"/>
  <c r="G1457" i="1" s="1"/>
  <c r="E1457" i="1"/>
  <c r="BN1456" i="1"/>
  <c r="BM1456" i="1" s="1"/>
  <c r="BL1456" i="1"/>
  <c r="BJ1456" i="1"/>
  <c r="BI1456" i="1"/>
  <c r="BF1456" i="1"/>
  <c r="BG1456" i="1" s="1"/>
  <c r="BE1456" i="1"/>
  <c r="BB1456" i="1"/>
  <c r="BA1456" i="1"/>
  <c r="AX1456" i="1"/>
  <c r="AW1456" i="1"/>
  <c r="AT1456" i="1"/>
  <c r="AU1456" i="1" s="1"/>
  <c r="AS1456" i="1"/>
  <c r="AP1456" i="1"/>
  <c r="AO1456" i="1"/>
  <c r="AL1456" i="1"/>
  <c r="AK1456" i="1"/>
  <c r="AH1456" i="1"/>
  <c r="AE1456" i="1" s="1"/>
  <c r="AG1456" i="1"/>
  <c r="AD1456" i="1"/>
  <c r="AC1456" i="1"/>
  <c r="AA1456" i="1"/>
  <c r="Z1456" i="1"/>
  <c r="Y1456" i="1"/>
  <c r="V1456" i="1"/>
  <c r="W1456" i="1" s="1"/>
  <c r="U1456" i="1"/>
  <c r="R1456" i="1"/>
  <c r="Q1456" i="1"/>
  <c r="O1456" i="1"/>
  <c r="N1456" i="1"/>
  <c r="M1456" i="1"/>
  <c r="J1456" i="1"/>
  <c r="K1456" i="1" s="1"/>
  <c r="I1456" i="1"/>
  <c r="F1456" i="1"/>
  <c r="E1456" i="1"/>
  <c r="BN1455" i="1"/>
  <c r="BM1455" i="1"/>
  <c r="BL1455" i="1"/>
  <c r="BJ1455" i="1"/>
  <c r="BG1455" i="1" s="1"/>
  <c r="BI1455" i="1"/>
  <c r="BF1455" i="1"/>
  <c r="BE1455" i="1"/>
  <c r="BB1455" i="1"/>
  <c r="BC1455" i="1" s="1"/>
  <c r="BA1455" i="1"/>
  <c r="AX1455" i="1"/>
  <c r="AW1455" i="1"/>
  <c r="AT1455" i="1"/>
  <c r="AS1455" i="1"/>
  <c r="AP1455" i="1"/>
  <c r="AO1455" i="1"/>
  <c r="AL1455" i="1"/>
  <c r="AK1455" i="1"/>
  <c r="AH1455" i="1"/>
  <c r="AG1455" i="1"/>
  <c r="AD1455" i="1"/>
  <c r="AA1455" i="1" s="1"/>
  <c r="AC1455" i="1"/>
  <c r="Z1455" i="1"/>
  <c r="Y1455" i="1"/>
  <c r="W1455" i="1"/>
  <c r="V1455" i="1"/>
  <c r="U1455" i="1"/>
  <c r="R1455" i="1"/>
  <c r="S1455" i="1" s="1"/>
  <c r="Q1455" i="1"/>
  <c r="N1455" i="1"/>
  <c r="M1455" i="1"/>
  <c r="J1455" i="1"/>
  <c r="K1455" i="1" s="1"/>
  <c r="I1455" i="1"/>
  <c r="F1455" i="1"/>
  <c r="E1455" i="1"/>
  <c r="BN1454" i="1"/>
  <c r="BM1454" i="1"/>
  <c r="BL1454" i="1"/>
  <c r="BJ1454" i="1"/>
  <c r="BG1454" i="1" s="1"/>
  <c r="BI1454" i="1"/>
  <c r="BF1454" i="1"/>
  <c r="BE1454" i="1"/>
  <c r="BB1454" i="1"/>
  <c r="BA1454" i="1"/>
  <c r="AX1454" i="1"/>
  <c r="AU1454" i="1" s="1"/>
  <c r="AW1454" i="1"/>
  <c r="AT1454" i="1"/>
  <c r="AS1454" i="1"/>
  <c r="AQ1454" i="1"/>
  <c r="AP1454" i="1"/>
  <c r="AO1454" i="1"/>
  <c r="AL1454" i="1"/>
  <c r="AM1454" i="1" s="1"/>
  <c r="AK1454" i="1"/>
  <c r="AH1454" i="1"/>
  <c r="AG1454" i="1"/>
  <c r="AD1454" i="1"/>
  <c r="AE1454" i="1" s="1"/>
  <c r="AC1454" i="1"/>
  <c r="Z1454" i="1"/>
  <c r="Y1454" i="1"/>
  <c r="V1454" i="1"/>
  <c r="U1454" i="1"/>
  <c r="R1454" i="1"/>
  <c r="O1454" i="1" s="1"/>
  <c r="Q1454" i="1"/>
  <c r="N1454" i="1"/>
  <c r="M1454" i="1"/>
  <c r="K1454" i="1"/>
  <c r="J1454" i="1"/>
  <c r="I1454" i="1"/>
  <c r="F1454" i="1"/>
  <c r="G1454" i="1" s="1"/>
  <c r="E1454" i="1"/>
  <c r="BN1453" i="1"/>
  <c r="BL1453" i="1"/>
  <c r="BJ1453" i="1"/>
  <c r="BM1453" i="1" s="1"/>
  <c r="BI1453" i="1"/>
  <c r="BF1453" i="1"/>
  <c r="BG1453" i="1" s="1"/>
  <c r="BE1453" i="1"/>
  <c r="BB1453" i="1"/>
  <c r="BA1453" i="1"/>
  <c r="AX1453" i="1"/>
  <c r="AY1453" i="1" s="1"/>
  <c r="AW1453" i="1"/>
  <c r="AT1453" i="1"/>
  <c r="AS1453" i="1"/>
  <c r="AP1453" i="1"/>
  <c r="AO1453" i="1"/>
  <c r="AL1453" i="1"/>
  <c r="AK1453" i="1"/>
  <c r="AI1453" i="1"/>
  <c r="AH1453" i="1"/>
  <c r="AG1453" i="1"/>
  <c r="AE1453" i="1"/>
  <c r="AD1453" i="1"/>
  <c r="AC1453" i="1"/>
  <c r="Z1453" i="1"/>
  <c r="AA1453" i="1" s="1"/>
  <c r="Y1453" i="1"/>
  <c r="V1453" i="1"/>
  <c r="U1453" i="1"/>
  <c r="R1453" i="1"/>
  <c r="S1453" i="1" s="1"/>
  <c r="Q1453" i="1"/>
  <c r="N1453" i="1"/>
  <c r="M1453" i="1"/>
  <c r="J1453" i="1"/>
  <c r="I1453" i="1"/>
  <c r="F1453" i="1"/>
  <c r="E1453" i="1"/>
  <c r="BN1452" i="1"/>
  <c r="BL1452" i="1"/>
  <c r="BJ1452" i="1"/>
  <c r="BI1452" i="1"/>
  <c r="BF1452" i="1"/>
  <c r="BE1452" i="1"/>
  <c r="BC1452" i="1"/>
  <c r="BB1452" i="1"/>
  <c r="BA1452" i="1"/>
  <c r="AY1452" i="1"/>
  <c r="AX1452" i="1"/>
  <c r="AW1452" i="1"/>
  <c r="AT1452" i="1"/>
  <c r="AU1452" i="1" s="1"/>
  <c r="AS1452" i="1"/>
  <c r="AP1452" i="1"/>
  <c r="AO1452" i="1"/>
  <c r="AL1452" i="1"/>
  <c r="AM1452" i="1" s="1"/>
  <c r="AK1452" i="1"/>
  <c r="AH1452" i="1"/>
  <c r="AG1452" i="1"/>
  <c r="AD1452" i="1"/>
  <c r="AC1452" i="1"/>
  <c r="Z1452" i="1"/>
  <c r="Y1452" i="1"/>
  <c r="W1452" i="1"/>
  <c r="V1452" i="1"/>
  <c r="U1452" i="1"/>
  <c r="S1452" i="1"/>
  <c r="R1452" i="1"/>
  <c r="Q1452" i="1"/>
  <c r="N1452" i="1"/>
  <c r="O1452" i="1" s="1"/>
  <c r="M1452" i="1"/>
  <c r="J1452" i="1"/>
  <c r="I1452" i="1"/>
  <c r="F1452" i="1"/>
  <c r="G1452" i="1" s="1"/>
  <c r="E1452" i="1"/>
  <c r="BN1451" i="1"/>
  <c r="BM1451" i="1" s="1"/>
  <c r="BL1451" i="1"/>
  <c r="BJ1451" i="1"/>
  <c r="BI1451" i="1"/>
  <c r="BF1451" i="1"/>
  <c r="BG1451" i="1" s="1"/>
  <c r="BE1451" i="1"/>
  <c r="BB1451" i="1"/>
  <c r="BA1451" i="1"/>
  <c r="AX1451" i="1"/>
  <c r="AW1451" i="1"/>
  <c r="AT1451" i="1"/>
  <c r="AS1451" i="1"/>
  <c r="AQ1451" i="1"/>
  <c r="AP1451" i="1"/>
  <c r="AO1451" i="1"/>
  <c r="AM1451" i="1"/>
  <c r="AL1451" i="1"/>
  <c r="AK1451" i="1"/>
  <c r="AH1451" i="1"/>
  <c r="AI1451" i="1" s="1"/>
  <c r="AG1451" i="1"/>
  <c r="AD1451" i="1"/>
  <c r="AC1451" i="1"/>
  <c r="Z1451" i="1"/>
  <c r="AA1451" i="1" s="1"/>
  <c r="Y1451" i="1"/>
  <c r="V1451" i="1"/>
  <c r="U1451" i="1"/>
  <c r="R1451" i="1"/>
  <c r="Q1451" i="1"/>
  <c r="N1451" i="1"/>
  <c r="M1451" i="1"/>
  <c r="K1451" i="1"/>
  <c r="J1451" i="1"/>
  <c r="I1451" i="1"/>
  <c r="G1451" i="1"/>
  <c r="F1451" i="1"/>
  <c r="E1451" i="1"/>
  <c r="BN1450" i="1"/>
  <c r="BM1450" i="1"/>
  <c r="BL1450" i="1"/>
  <c r="BJ1450" i="1"/>
  <c r="BI1450" i="1"/>
  <c r="BG1450" i="1"/>
  <c r="BF1450" i="1"/>
  <c r="BE1450" i="1"/>
  <c r="BB1450" i="1"/>
  <c r="BC1450" i="1" s="1"/>
  <c r="BA1450" i="1"/>
  <c r="AX1450" i="1"/>
  <c r="AW1450" i="1"/>
  <c r="AT1450" i="1"/>
  <c r="AU1450" i="1" s="1"/>
  <c r="AS1450" i="1"/>
  <c r="AP1450" i="1"/>
  <c r="AQ1450" i="1" s="1"/>
  <c r="AO1450" i="1"/>
  <c r="AL1450" i="1"/>
  <c r="AK1450" i="1"/>
  <c r="AH1450" i="1"/>
  <c r="AG1450" i="1"/>
  <c r="AE1450" i="1"/>
  <c r="AD1450" i="1"/>
  <c r="AC1450" i="1"/>
  <c r="AA1450" i="1"/>
  <c r="Z1450" i="1"/>
  <c r="Y1450" i="1"/>
  <c r="V1450" i="1"/>
  <c r="W1450" i="1" s="1"/>
  <c r="U1450" i="1"/>
  <c r="R1450" i="1"/>
  <c r="Q1450" i="1"/>
  <c r="N1450" i="1"/>
  <c r="O1450" i="1" s="1"/>
  <c r="M1450" i="1"/>
  <c r="J1450" i="1"/>
  <c r="K1450" i="1" s="1"/>
  <c r="I1450" i="1"/>
  <c r="F1450" i="1"/>
  <c r="G1450" i="1" s="1"/>
  <c r="E1450" i="1"/>
  <c r="BM1449" i="1"/>
  <c r="BL1449" i="1"/>
  <c r="BJ1449" i="1"/>
  <c r="BG1449" i="1" s="1"/>
  <c r="BI1449" i="1"/>
  <c r="BF1449" i="1"/>
  <c r="BE1449" i="1"/>
  <c r="BB1449" i="1"/>
  <c r="BC1449" i="1" s="1"/>
  <c r="BA1449" i="1"/>
  <c r="AX1449" i="1"/>
  <c r="AY1449" i="1" s="1"/>
  <c r="AW1449" i="1"/>
  <c r="AT1449" i="1"/>
  <c r="AS1449" i="1"/>
  <c r="AP1449" i="1"/>
  <c r="AO1449" i="1"/>
  <c r="AM1449" i="1"/>
  <c r="AL1449" i="1"/>
  <c r="AK1449" i="1"/>
  <c r="AI1449" i="1"/>
  <c r="AH1449" i="1"/>
  <c r="AG1449" i="1"/>
  <c r="AD1449" i="1"/>
  <c r="AE1449" i="1" s="1"/>
  <c r="AC1449" i="1"/>
  <c r="Z1449" i="1"/>
  <c r="Y1449" i="1"/>
  <c r="V1449" i="1"/>
  <c r="W1449" i="1" s="1"/>
  <c r="U1449" i="1"/>
  <c r="R1449" i="1"/>
  <c r="S1449" i="1" s="1"/>
  <c r="Q1449" i="1"/>
  <c r="N1449" i="1"/>
  <c r="M1449" i="1"/>
  <c r="J1449" i="1"/>
  <c r="I1449" i="1"/>
  <c r="G1449" i="1"/>
  <c r="F1449" i="1"/>
  <c r="E1449" i="1"/>
  <c r="BM1448" i="1"/>
  <c r="BL1448" i="1"/>
  <c r="BJ1448" i="1"/>
  <c r="BI1448" i="1"/>
  <c r="BF1448" i="1"/>
  <c r="BG1448" i="1" s="1"/>
  <c r="BE1448" i="1"/>
  <c r="BB1448" i="1"/>
  <c r="BA1448" i="1"/>
  <c r="AX1448" i="1"/>
  <c r="AW1448" i="1"/>
  <c r="AU1448" i="1"/>
  <c r="AT1448" i="1"/>
  <c r="AS1448" i="1"/>
  <c r="AQ1448" i="1"/>
  <c r="AP1448" i="1"/>
  <c r="AO1448" i="1"/>
  <c r="AL1448" i="1"/>
  <c r="AM1448" i="1" s="1"/>
  <c r="AK1448" i="1"/>
  <c r="AH1448" i="1"/>
  <c r="AG1448" i="1"/>
  <c r="AD1448" i="1"/>
  <c r="AE1448" i="1" s="1"/>
  <c r="AC1448" i="1"/>
  <c r="Z1448" i="1"/>
  <c r="AA1448" i="1" s="1"/>
  <c r="Y1448" i="1"/>
  <c r="V1448" i="1"/>
  <c r="U1448" i="1"/>
  <c r="R1448" i="1"/>
  <c r="Q1448" i="1"/>
  <c r="O1448" i="1"/>
  <c r="N1448" i="1"/>
  <c r="M1448" i="1"/>
  <c r="K1448" i="1"/>
  <c r="J1448" i="1"/>
  <c r="I1448" i="1"/>
  <c r="F1448" i="1"/>
  <c r="G1448" i="1" s="1"/>
  <c r="E1448" i="1"/>
  <c r="BL1447" i="1"/>
  <c r="BJ1447" i="1"/>
  <c r="BI1447" i="1"/>
  <c r="BF1447" i="1"/>
  <c r="BE1447" i="1"/>
  <c r="BC1447" i="1"/>
  <c r="BB1447" i="1"/>
  <c r="BA1447" i="1"/>
  <c r="AY1447" i="1"/>
  <c r="AX1447" i="1"/>
  <c r="AW1447" i="1"/>
  <c r="AT1447" i="1"/>
  <c r="AU1447" i="1" s="1"/>
  <c r="AS1447" i="1"/>
  <c r="AP1447" i="1"/>
  <c r="AO1447" i="1"/>
  <c r="AL1447" i="1"/>
  <c r="AM1447" i="1" s="1"/>
  <c r="AK1447" i="1"/>
  <c r="AH1447" i="1"/>
  <c r="AI1447" i="1" s="1"/>
  <c r="AG1447" i="1"/>
  <c r="AD1447" i="1"/>
  <c r="AC1447" i="1"/>
  <c r="Z1447" i="1"/>
  <c r="Y1447" i="1"/>
  <c r="W1447" i="1"/>
  <c r="V1447" i="1"/>
  <c r="U1447" i="1"/>
  <c r="S1447" i="1"/>
  <c r="R1447" i="1"/>
  <c r="Q1447" i="1"/>
  <c r="N1447" i="1"/>
  <c r="O1447" i="1" s="1"/>
  <c r="M1447" i="1"/>
  <c r="J1447" i="1"/>
  <c r="I1447" i="1"/>
  <c r="F1447" i="1"/>
  <c r="G1447" i="1" s="1"/>
  <c r="E1447" i="1"/>
  <c r="BM1446" i="1"/>
  <c r="BL1446" i="1"/>
  <c r="BJ1446" i="1"/>
  <c r="BI1446" i="1"/>
  <c r="BG1446" i="1"/>
  <c r="BF1446" i="1"/>
  <c r="BE1446" i="1"/>
  <c r="BB1446" i="1"/>
  <c r="BC1446" i="1" s="1"/>
  <c r="BA1446" i="1"/>
  <c r="AX1446" i="1"/>
  <c r="AW1446" i="1"/>
  <c r="AT1446" i="1"/>
  <c r="AU1446" i="1" s="1"/>
  <c r="AS1446" i="1"/>
  <c r="AQ1446" i="1"/>
  <c r="AP1446" i="1"/>
  <c r="AO1446" i="1"/>
  <c r="AL1446" i="1"/>
  <c r="AK1446" i="1"/>
  <c r="AH1446" i="1"/>
  <c r="AG1446" i="1"/>
  <c r="AE1446" i="1"/>
  <c r="AD1446" i="1"/>
  <c r="AC1446" i="1"/>
  <c r="AA1446" i="1"/>
  <c r="Z1446" i="1"/>
  <c r="Y1446" i="1"/>
  <c r="V1446" i="1"/>
  <c r="W1446" i="1" s="1"/>
  <c r="U1446" i="1"/>
  <c r="R1446" i="1"/>
  <c r="Q1446" i="1"/>
  <c r="N1446" i="1"/>
  <c r="O1446" i="1" s="1"/>
  <c r="M1446" i="1"/>
  <c r="K1446" i="1"/>
  <c r="J1446" i="1"/>
  <c r="I1446" i="1"/>
  <c r="F1446" i="1"/>
  <c r="G1446" i="1" s="1"/>
  <c r="E1446" i="1"/>
  <c r="BN1445" i="1"/>
  <c r="BL1445" i="1"/>
  <c r="BJ1445" i="1"/>
  <c r="BM1445" i="1" s="1"/>
  <c r="BI1445" i="1"/>
  <c r="BF1445" i="1"/>
  <c r="BE1445" i="1"/>
  <c r="BB1445" i="1"/>
  <c r="BA1445" i="1"/>
  <c r="AY1445" i="1"/>
  <c r="AX1445" i="1"/>
  <c r="AW1445" i="1"/>
  <c r="AU1445" i="1"/>
  <c r="AT1445" i="1"/>
  <c r="AS1445" i="1"/>
  <c r="AP1445" i="1"/>
  <c r="AQ1445" i="1" s="1"/>
  <c r="AO1445" i="1"/>
  <c r="AL1445" i="1"/>
  <c r="AK1445" i="1"/>
  <c r="AH1445" i="1"/>
  <c r="AI1445" i="1" s="1"/>
  <c r="AG1445" i="1"/>
  <c r="AE1445" i="1"/>
  <c r="AD1445" i="1"/>
  <c r="AC1445" i="1"/>
  <c r="Z1445" i="1"/>
  <c r="Y1445" i="1"/>
  <c r="V1445" i="1"/>
  <c r="U1445" i="1"/>
  <c r="S1445" i="1"/>
  <c r="R1445" i="1"/>
  <c r="Q1445" i="1"/>
  <c r="O1445" i="1"/>
  <c r="N1445" i="1"/>
  <c r="M1445" i="1"/>
  <c r="J1445" i="1"/>
  <c r="K1445" i="1" s="1"/>
  <c r="I1445" i="1"/>
  <c r="F1445" i="1"/>
  <c r="E1445" i="1"/>
  <c r="BN1444" i="1"/>
  <c r="BL1444" i="1"/>
  <c r="BJ1444" i="1"/>
  <c r="BM1444" i="1" s="1"/>
  <c r="BI1444" i="1"/>
  <c r="BF1444" i="1"/>
  <c r="BE1444" i="1"/>
  <c r="BB1444" i="1"/>
  <c r="BC1444" i="1" s="1"/>
  <c r="BA1444" i="1"/>
  <c r="AY1444" i="1"/>
  <c r="AX1444" i="1"/>
  <c r="AW1444" i="1"/>
  <c r="AT1444" i="1"/>
  <c r="AS1444" i="1"/>
  <c r="AP1444" i="1"/>
  <c r="AO1444" i="1"/>
  <c r="AM1444" i="1"/>
  <c r="AL1444" i="1"/>
  <c r="AK1444" i="1"/>
  <c r="AI1444" i="1"/>
  <c r="AH1444" i="1"/>
  <c r="AG1444" i="1"/>
  <c r="AD1444" i="1"/>
  <c r="AE1444" i="1" s="1"/>
  <c r="AC1444" i="1"/>
  <c r="Z1444" i="1"/>
  <c r="Y1444" i="1"/>
  <c r="V1444" i="1"/>
  <c r="W1444" i="1" s="1"/>
  <c r="U1444" i="1"/>
  <c r="S1444" i="1"/>
  <c r="R1444" i="1"/>
  <c r="Q1444" i="1"/>
  <c r="N1444" i="1"/>
  <c r="M1444" i="1"/>
  <c r="J1444" i="1"/>
  <c r="I1444" i="1"/>
  <c r="G1444" i="1"/>
  <c r="F1444" i="1"/>
  <c r="E1444" i="1"/>
  <c r="BN1443" i="1"/>
  <c r="BL1443" i="1"/>
  <c r="BJ1443" i="1"/>
  <c r="BM1443" i="1" s="1"/>
  <c r="BI1443" i="1"/>
  <c r="BG1443" i="1"/>
  <c r="BF1443" i="1"/>
  <c r="BE1443" i="1"/>
  <c r="BC1443" i="1"/>
  <c r="BB1443" i="1"/>
  <c r="BA1443" i="1"/>
  <c r="AX1443" i="1"/>
  <c r="AY1443" i="1" s="1"/>
  <c r="AW1443" i="1"/>
  <c r="AT1443" i="1"/>
  <c r="AS1443" i="1"/>
  <c r="AP1443" i="1"/>
  <c r="AQ1443" i="1" s="1"/>
  <c r="AO1443" i="1"/>
  <c r="AM1443" i="1"/>
  <c r="AL1443" i="1"/>
  <c r="AK1443" i="1"/>
  <c r="AH1443" i="1"/>
  <c r="AG1443" i="1"/>
  <c r="AD1443" i="1"/>
  <c r="AC1443" i="1"/>
  <c r="AA1443" i="1"/>
  <c r="Z1443" i="1"/>
  <c r="Y1443" i="1"/>
  <c r="W1443" i="1"/>
  <c r="V1443" i="1"/>
  <c r="U1443" i="1"/>
  <c r="R1443" i="1"/>
  <c r="S1443" i="1" s="1"/>
  <c r="Q1443" i="1"/>
  <c r="N1443" i="1"/>
  <c r="M1443" i="1"/>
  <c r="J1443" i="1"/>
  <c r="K1443" i="1" s="1"/>
  <c r="I1443" i="1"/>
  <c r="G1443" i="1"/>
  <c r="F1443" i="1"/>
  <c r="E1443" i="1"/>
  <c r="BN1442" i="1"/>
  <c r="BM1442" i="1"/>
  <c r="BL1442" i="1"/>
  <c r="BJ1442" i="1"/>
  <c r="BI1442" i="1"/>
  <c r="BG1442" i="1"/>
  <c r="BF1442" i="1"/>
  <c r="BE1442" i="1"/>
  <c r="BB1442" i="1"/>
  <c r="BA1442" i="1"/>
  <c r="AX1442" i="1"/>
  <c r="AW1442" i="1"/>
  <c r="AU1442" i="1"/>
  <c r="AT1442" i="1"/>
  <c r="AS1442" i="1"/>
  <c r="AQ1442" i="1"/>
  <c r="AP1442" i="1"/>
  <c r="AO1442" i="1"/>
  <c r="AL1442" i="1"/>
  <c r="AM1442" i="1" s="1"/>
  <c r="AK1442" i="1"/>
  <c r="AH1442" i="1"/>
  <c r="AG1442" i="1"/>
  <c r="AD1442" i="1"/>
  <c r="AE1442" i="1" s="1"/>
  <c r="AC1442" i="1"/>
  <c r="AA1442" i="1"/>
  <c r="Z1442" i="1"/>
  <c r="Y1442" i="1"/>
  <c r="V1442" i="1"/>
  <c r="U1442" i="1"/>
  <c r="R1442" i="1"/>
  <c r="Q1442" i="1"/>
  <c r="O1442" i="1"/>
  <c r="N1442" i="1"/>
  <c r="M1442" i="1"/>
  <c r="K1442" i="1"/>
  <c r="J1442" i="1"/>
  <c r="I1442" i="1"/>
  <c r="F1442" i="1"/>
  <c r="G1442" i="1" s="1"/>
  <c r="E1442" i="1"/>
  <c r="BN1441" i="1"/>
  <c r="BL1441" i="1"/>
  <c r="BJ1441" i="1"/>
  <c r="BM1441" i="1" s="1"/>
  <c r="BI1441" i="1"/>
  <c r="BF1441" i="1"/>
  <c r="BG1441" i="1" s="1"/>
  <c r="BE1441" i="1"/>
  <c r="BB1441" i="1"/>
  <c r="BA1441" i="1"/>
  <c r="AX1441" i="1"/>
  <c r="AY1441" i="1" s="1"/>
  <c r="AW1441" i="1"/>
  <c r="AU1441" i="1"/>
  <c r="AT1441" i="1"/>
  <c r="AS1441" i="1"/>
  <c r="AP1441" i="1"/>
  <c r="AO1441" i="1"/>
  <c r="AL1441" i="1"/>
  <c r="AK1441" i="1"/>
  <c r="AI1441" i="1"/>
  <c r="AH1441" i="1"/>
  <c r="AG1441" i="1"/>
  <c r="AE1441" i="1"/>
  <c r="AD1441" i="1"/>
  <c r="AC1441" i="1"/>
  <c r="Z1441" i="1"/>
  <c r="AA1441" i="1" s="1"/>
  <c r="Y1441" i="1"/>
  <c r="V1441" i="1"/>
  <c r="U1441" i="1"/>
  <c r="R1441" i="1"/>
  <c r="S1441" i="1" s="1"/>
  <c r="Q1441" i="1"/>
  <c r="O1441" i="1"/>
  <c r="N1441" i="1"/>
  <c r="M1441" i="1"/>
  <c r="J1441" i="1"/>
  <c r="I1441" i="1"/>
  <c r="F1441" i="1"/>
  <c r="E1441" i="1"/>
  <c r="BN1440" i="1"/>
  <c r="BL1440" i="1"/>
  <c r="BJ1440" i="1"/>
  <c r="BI1440" i="1"/>
  <c r="BF1440" i="1"/>
  <c r="BE1440" i="1"/>
  <c r="BC1440" i="1"/>
  <c r="BB1440" i="1"/>
  <c r="BA1440" i="1"/>
  <c r="AY1440" i="1"/>
  <c r="AX1440" i="1"/>
  <c r="AW1440" i="1"/>
  <c r="AT1440" i="1"/>
  <c r="AU1440" i="1" s="1"/>
  <c r="AS1440" i="1"/>
  <c r="AP1440" i="1"/>
  <c r="AO1440" i="1"/>
  <c r="AL1440" i="1"/>
  <c r="AM1440" i="1" s="1"/>
  <c r="AK1440" i="1"/>
  <c r="AI1440" i="1"/>
  <c r="AH1440" i="1"/>
  <c r="AG1440" i="1"/>
  <c r="AD1440" i="1"/>
  <c r="AC1440" i="1"/>
  <c r="Z1440" i="1"/>
  <c r="Y1440" i="1"/>
  <c r="W1440" i="1"/>
  <c r="V1440" i="1"/>
  <c r="U1440" i="1"/>
  <c r="S1440" i="1"/>
  <c r="R1440" i="1"/>
  <c r="Q1440" i="1"/>
  <c r="N1440" i="1"/>
  <c r="O1440" i="1" s="1"/>
  <c r="M1440" i="1"/>
  <c r="J1440" i="1"/>
  <c r="I1440" i="1"/>
  <c r="F1440" i="1"/>
  <c r="G1440" i="1" s="1"/>
  <c r="E1440" i="1"/>
  <c r="BN1439" i="1"/>
  <c r="BM1439" i="1" s="1"/>
  <c r="BL1439" i="1"/>
  <c r="BJ1439" i="1"/>
  <c r="BI1439" i="1"/>
  <c r="BF1439" i="1"/>
  <c r="BG1439" i="1" s="1"/>
  <c r="BE1439" i="1"/>
  <c r="BC1439" i="1"/>
  <c r="BB1439" i="1"/>
  <c r="BA1439" i="1"/>
  <c r="AX1439" i="1"/>
  <c r="AW1439" i="1"/>
  <c r="AT1439" i="1"/>
  <c r="AS1439" i="1"/>
  <c r="AQ1439" i="1"/>
  <c r="AP1439" i="1"/>
  <c r="AO1439" i="1"/>
  <c r="AM1439" i="1"/>
  <c r="AL1439" i="1"/>
  <c r="AK1439" i="1"/>
  <c r="AH1439" i="1"/>
  <c r="AI1439" i="1" s="1"/>
  <c r="AG1439" i="1"/>
  <c r="AD1439" i="1"/>
  <c r="AC1439" i="1"/>
  <c r="Z1439" i="1"/>
  <c r="AA1439" i="1" s="1"/>
  <c r="Y1439" i="1"/>
  <c r="W1439" i="1"/>
  <c r="V1439" i="1"/>
  <c r="U1439" i="1"/>
  <c r="R1439" i="1"/>
  <c r="Q1439" i="1"/>
  <c r="N1439" i="1"/>
  <c r="M1439" i="1"/>
  <c r="K1439" i="1"/>
  <c r="J1439" i="1"/>
  <c r="I1439" i="1"/>
  <c r="G1439" i="1"/>
  <c r="F1439" i="1"/>
  <c r="E1439" i="1"/>
  <c r="BN1438" i="1"/>
  <c r="BM1438" i="1"/>
  <c r="BL1438" i="1"/>
  <c r="BJ1438" i="1"/>
  <c r="BI1438" i="1"/>
  <c r="BG1438" i="1"/>
  <c r="BF1438" i="1"/>
  <c r="BE1438" i="1"/>
  <c r="BB1438" i="1"/>
  <c r="BC1438" i="1" s="1"/>
  <c r="BA1438" i="1"/>
  <c r="AX1438" i="1"/>
  <c r="AW1438" i="1"/>
  <c r="AT1438" i="1"/>
  <c r="AU1438" i="1" s="1"/>
  <c r="AS1438" i="1"/>
  <c r="AQ1438" i="1"/>
  <c r="AP1438" i="1"/>
  <c r="AO1438" i="1"/>
  <c r="AL1438" i="1"/>
  <c r="AK1438" i="1"/>
  <c r="AH1438" i="1"/>
  <c r="AG1438" i="1"/>
  <c r="AE1438" i="1"/>
  <c r="AD1438" i="1"/>
  <c r="AC1438" i="1"/>
  <c r="AA1438" i="1"/>
  <c r="Z1438" i="1"/>
  <c r="Y1438" i="1"/>
  <c r="V1438" i="1"/>
  <c r="W1438" i="1" s="1"/>
  <c r="U1438" i="1"/>
  <c r="R1438" i="1"/>
  <c r="Q1438" i="1"/>
  <c r="N1438" i="1"/>
  <c r="O1438" i="1" s="1"/>
  <c r="M1438" i="1"/>
  <c r="K1438" i="1"/>
  <c r="J1438" i="1"/>
  <c r="I1438" i="1"/>
  <c r="F1438" i="1"/>
  <c r="G1438" i="1" s="1"/>
  <c r="E1438" i="1"/>
  <c r="BN1437" i="1"/>
  <c r="BL1437" i="1"/>
  <c r="BJ1437" i="1"/>
  <c r="BM1437" i="1" s="1"/>
  <c r="BI1437" i="1"/>
  <c r="BF1437" i="1"/>
  <c r="BE1437" i="1"/>
  <c r="BB1437" i="1"/>
  <c r="BA1437" i="1"/>
  <c r="AY1437" i="1"/>
  <c r="AX1437" i="1"/>
  <c r="AW1437" i="1"/>
  <c r="AU1437" i="1"/>
  <c r="AT1437" i="1"/>
  <c r="AS1437" i="1"/>
  <c r="AP1437" i="1"/>
  <c r="AQ1437" i="1" s="1"/>
  <c r="AO1437" i="1"/>
  <c r="AL1437" i="1"/>
  <c r="AK1437" i="1"/>
  <c r="AH1437" i="1"/>
  <c r="AI1437" i="1" s="1"/>
  <c r="AG1437" i="1"/>
  <c r="AE1437" i="1"/>
  <c r="AD1437" i="1"/>
  <c r="AC1437" i="1"/>
  <c r="Z1437" i="1"/>
  <c r="Y1437" i="1"/>
  <c r="V1437" i="1"/>
  <c r="U1437" i="1"/>
  <c r="S1437" i="1"/>
  <c r="R1437" i="1"/>
  <c r="Q1437" i="1"/>
  <c r="O1437" i="1"/>
  <c r="N1437" i="1"/>
  <c r="M1437" i="1"/>
  <c r="J1437" i="1"/>
  <c r="K1437" i="1" s="1"/>
  <c r="I1437" i="1"/>
  <c r="F1437" i="1"/>
  <c r="E1437" i="1"/>
  <c r="BN1436" i="1"/>
  <c r="BL1436" i="1"/>
  <c r="BJ1436" i="1"/>
  <c r="BM1436" i="1" s="1"/>
  <c r="BI1436" i="1"/>
  <c r="BF1436" i="1"/>
  <c r="BE1436" i="1"/>
  <c r="BB1436" i="1"/>
  <c r="BC1436" i="1" s="1"/>
  <c r="BA1436" i="1"/>
  <c r="AY1436" i="1"/>
  <c r="AX1436" i="1"/>
  <c r="AW1436" i="1"/>
  <c r="AT1436" i="1"/>
  <c r="AS1436" i="1"/>
  <c r="AP1436" i="1"/>
  <c r="AO1436" i="1"/>
  <c r="AM1436" i="1"/>
  <c r="AL1436" i="1"/>
  <c r="AK1436" i="1"/>
  <c r="AI1436" i="1"/>
  <c r="AH1436" i="1"/>
  <c r="AG1436" i="1"/>
  <c r="AD1436" i="1"/>
  <c r="AE1436" i="1" s="1"/>
  <c r="AC1436" i="1"/>
  <c r="Z1436" i="1"/>
  <c r="Y1436" i="1"/>
  <c r="V1436" i="1"/>
  <c r="W1436" i="1" s="1"/>
  <c r="U1436" i="1"/>
  <c r="S1436" i="1"/>
  <c r="R1436" i="1"/>
  <c r="Q1436" i="1"/>
  <c r="N1436" i="1"/>
  <c r="M1436" i="1"/>
  <c r="J1436" i="1"/>
  <c r="I1436" i="1"/>
  <c r="G1436" i="1"/>
  <c r="F1436" i="1"/>
  <c r="E1436" i="1"/>
  <c r="BN1435" i="1"/>
  <c r="BL1435" i="1"/>
  <c r="BJ1435" i="1"/>
  <c r="BM1435" i="1" s="1"/>
  <c r="BI1435" i="1"/>
  <c r="BG1435" i="1"/>
  <c r="BF1435" i="1"/>
  <c r="BE1435" i="1"/>
  <c r="BC1435" i="1"/>
  <c r="BB1435" i="1"/>
  <c r="BA1435" i="1"/>
  <c r="AX1435" i="1"/>
  <c r="AY1435" i="1" s="1"/>
  <c r="AW1435" i="1"/>
  <c r="AT1435" i="1"/>
  <c r="AS1435" i="1"/>
  <c r="AP1435" i="1"/>
  <c r="AQ1435" i="1" s="1"/>
  <c r="AO1435" i="1"/>
  <c r="AM1435" i="1"/>
  <c r="AL1435" i="1"/>
  <c r="AK1435" i="1"/>
  <c r="AH1435" i="1"/>
  <c r="AG1435" i="1"/>
  <c r="AD1435" i="1"/>
  <c r="AC1435" i="1"/>
  <c r="AA1435" i="1"/>
  <c r="Z1435" i="1"/>
  <c r="Y1435" i="1"/>
  <c r="W1435" i="1"/>
  <c r="V1435" i="1"/>
  <c r="U1435" i="1"/>
  <c r="R1435" i="1"/>
  <c r="S1435" i="1" s="1"/>
  <c r="Q1435" i="1"/>
  <c r="N1435" i="1"/>
  <c r="M1435" i="1"/>
  <c r="J1435" i="1"/>
  <c r="K1435" i="1" s="1"/>
  <c r="I1435" i="1"/>
  <c r="G1435" i="1"/>
  <c r="F1435" i="1"/>
  <c r="E1435" i="1"/>
  <c r="BN1434" i="1"/>
  <c r="BM1434" i="1"/>
  <c r="BL1434" i="1"/>
  <c r="BJ1434" i="1"/>
  <c r="BI1434" i="1"/>
  <c r="BG1434" i="1"/>
  <c r="BF1434" i="1"/>
  <c r="BE1434" i="1"/>
  <c r="BB1434" i="1"/>
  <c r="BA1434" i="1"/>
  <c r="AX1434" i="1"/>
  <c r="AW1434" i="1"/>
  <c r="AU1434" i="1"/>
  <c r="AT1434" i="1"/>
  <c r="AS1434" i="1"/>
  <c r="AQ1434" i="1"/>
  <c r="AP1434" i="1"/>
  <c r="AO1434" i="1"/>
  <c r="AL1434" i="1"/>
  <c r="AM1434" i="1" s="1"/>
  <c r="AK1434" i="1"/>
  <c r="AH1434" i="1"/>
  <c r="AG1434" i="1"/>
  <c r="AD1434" i="1"/>
  <c r="AE1434" i="1" s="1"/>
  <c r="AC1434" i="1"/>
  <c r="AA1434" i="1"/>
  <c r="Z1434" i="1"/>
  <c r="Y1434" i="1"/>
  <c r="V1434" i="1"/>
  <c r="U1434" i="1"/>
  <c r="R1434" i="1"/>
  <c r="Q1434" i="1"/>
  <c r="O1434" i="1"/>
  <c r="N1434" i="1"/>
  <c r="M1434" i="1"/>
  <c r="K1434" i="1"/>
  <c r="J1434" i="1"/>
  <c r="I1434" i="1"/>
  <c r="F1434" i="1"/>
  <c r="G1434" i="1" s="1"/>
  <c r="E1434" i="1"/>
  <c r="BN1433" i="1"/>
  <c r="BL1433" i="1"/>
  <c r="BJ1433" i="1"/>
  <c r="BM1433" i="1" s="1"/>
  <c r="BI1433" i="1"/>
  <c r="BF1433" i="1"/>
  <c r="BG1433" i="1" s="1"/>
  <c r="BE1433" i="1"/>
  <c r="BB1433" i="1"/>
  <c r="BA1433" i="1"/>
  <c r="AX1433" i="1"/>
  <c r="AY1433" i="1" s="1"/>
  <c r="AW1433" i="1"/>
  <c r="AT1433" i="1"/>
  <c r="AU1433" i="1" s="1"/>
  <c r="AS1433" i="1"/>
  <c r="AP1433" i="1"/>
  <c r="AO1433" i="1"/>
  <c r="AL1433" i="1"/>
  <c r="AK1433" i="1"/>
  <c r="AI1433" i="1"/>
  <c r="AH1433" i="1"/>
  <c r="AG1433" i="1"/>
  <c r="AE1433" i="1"/>
  <c r="AD1433" i="1"/>
  <c r="AC1433" i="1"/>
  <c r="Z1433" i="1"/>
  <c r="AA1433" i="1" s="1"/>
  <c r="Y1433" i="1"/>
  <c r="V1433" i="1"/>
  <c r="U1433" i="1"/>
  <c r="R1433" i="1"/>
  <c r="S1433" i="1" s="1"/>
  <c r="Q1433" i="1"/>
  <c r="N1433" i="1"/>
  <c r="O1433" i="1" s="1"/>
  <c r="M1433" i="1"/>
  <c r="J1433" i="1"/>
  <c r="I1433" i="1"/>
  <c r="F1433" i="1"/>
  <c r="E1433" i="1"/>
  <c r="BN1432" i="1"/>
  <c r="BL1432" i="1"/>
  <c r="BJ1432" i="1"/>
  <c r="BI1432" i="1"/>
  <c r="BF1432" i="1"/>
  <c r="BE1432" i="1"/>
  <c r="BC1432" i="1"/>
  <c r="BB1432" i="1"/>
  <c r="BA1432" i="1"/>
  <c r="AY1432" i="1"/>
  <c r="AX1432" i="1"/>
  <c r="AW1432" i="1"/>
  <c r="AT1432" i="1"/>
  <c r="AU1432" i="1" s="1"/>
  <c r="AS1432" i="1"/>
  <c r="AP1432" i="1"/>
  <c r="AO1432" i="1"/>
  <c r="AL1432" i="1"/>
  <c r="AM1432" i="1" s="1"/>
  <c r="AK1432" i="1"/>
  <c r="AH1432" i="1"/>
  <c r="AI1432" i="1" s="1"/>
  <c r="AG1432" i="1"/>
  <c r="AD1432" i="1"/>
  <c r="AC1432" i="1"/>
  <c r="Z1432" i="1"/>
  <c r="Y1432" i="1"/>
  <c r="W1432" i="1"/>
  <c r="V1432" i="1"/>
  <c r="U1432" i="1"/>
  <c r="S1432" i="1"/>
  <c r="R1432" i="1"/>
  <c r="Q1432" i="1"/>
  <c r="N1432" i="1"/>
  <c r="O1432" i="1" s="1"/>
  <c r="M1432" i="1"/>
  <c r="J1432" i="1"/>
  <c r="I1432" i="1"/>
  <c r="F1432" i="1"/>
  <c r="G1432" i="1" s="1"/>
  <c r="E1432" i="1"/>
  <c r="BN1431" i="1"/>
  <c r="BM1431" i="1"/>
  <c r="BL1431" i="1"/>
  <c r="BJ1431" i="1"/>
  <c r="BI1431" i="1"/>
  <c r="BF1431" i="1"/>
  <c r="BG1431" i="1" s="1"/>
  <c r="BE1431" i="1"/>
  <c r="BB1431" i="1"/>
  <c r="BC1431" i="1" s="1"/>
  <c r="BA1431" i="1"/>
  <c r="AX1431" i="1"/>
  <c r="AW1431" i="1"/>
  <c r="AT1431" i="1"/>
  <c r="AS1431" i="1"/>
  <c r="AQ1431" i="1"/>
  <c r="AP1431" i="1"/>
  <c r="AO1431" i="1"/>
  <c r="AM1431" i="1"/>
  <c r="AL1431" i="1"/>
  <c r="AK1431" i="1"/>
  <c r="AH1431" i="1"/>
  <c r="AI1431" i="1" s="1"/>
  <c r="AG1431" i="1"/>
  <c r="AD1431" i="1"/>
  <c r="AC1431" i="1"/>
  <c r="Z1431" i="1"/>
  <c r="AA1431" i="1" s="1"/>
  <c r="Y1431" i="1"/>
  <c r="V1431" i="1"/>
  <c r="W1431" i="1" s="1"/>
  <c r="U1431" i="1"/>
  <c r="R1431" i="1"/>
  <c r="Q1431" i="1"/>
  <c r="N1431" i="1"/>
  <c r="M1431" i="1"/>
  <c r="K1431" i="1"/>
  <c r="J1431" i="1"/>
  <c r="I1431" i="1"/>
  <c r="G1431" i="1"/>
  <c r="F1431" i="1"/>
  <c r="E1431" i="1"/>
  <c r="BN1430" i="1"/>
  <c r="BM1430" i="1"/>
  <c r="BL1430" i="1"/>
  <c r="BJ1430" i="1"/>
  <c r="BI1430" i="1"/>
  <c r="BG1430" i="1"/>
  <c r="BF1430" i="1"/>
  <c r="BE1430" i="1"/>
  <c r="BB1430" i="1"/>
  <c r="BC1430" i="1" s="1"/>
  <c r="BA1430" i="1"/>
  <c r="AX1430" i="1"/>
  <c r="AW1430" i="1"/>
  <c r="AT1430" i="1"/>
  <c r="AU1430" i="1" s="1"/>
  <c r="AS1430" i="1"/>
  <c r="AP1430" i="1"/>
  <c r="AQ1430" i="1" s="1"/>
  <c r="AO1430" i="1"/>
  <c r="AL1430" i="1"/>
  <c r="AK1430" i="1"/>
  <c r="AH1430" i="1"/>
  <c r="AG1430" i="1"/>
  <c r="AE1430" i="1"/>
  <c r="AD1430" i="1"/>
  <c r="AC1430" i="1"/>
  <c r="AA1430" i="1"/>
  <c r="Z1430" i="1"/>
  <c r="Y1430" i="1"/>
  <c r="V1430" i="1"/>
  <c r="W1430" i="1" s="1"/>
  <c r="U1430" i="1"/>
  <c r="R1430" i="1"/>
  <c r="Q1430" i="1"/>
  <c r="N1430" i="1"/>
  <c r="O1430" i="1" s="1"/>
  <c r="M1430" i="1"/>
  <c r="J1430" i="1"/>
  <c r="K1430" i="1" s="1"/>
  <c r="I1430" i="1"/>
  <c r="F1430" i="1"/>
  <c r="G1430" i="1" s="1"/>
  <c r="E1430" i="1"/>
  <c r="BN1429" i="1"/>
  <c r="BL1429" i="1"/>
  <c r="BJ1429" i="1"/>
  <c r="BM1429" i="1" s="1"/>
  <c r="BI1429" i="1"/>
  <c r="BF1429" i="1"/>
  <c r="BE1429" i="1"/>
  <c r="BB1429" i="1"/>
  <c r="BA1429" i="1"/>
  <c r="AY1429" i="1"/>
  <c r="AX1429" i="1"/>
  <c r="AW1429" i="1"/>
  <c r="AU1429" i="1"/>
  <c r="AT1429" i="1"/>
  <c r="AS1429" i="1"/>
  <c r="AP1429" i="1"/>
  <c r="AQ1429" i="1" s="1"/>
  <c r="AO1429" i="1"/>
  <c r="AL1429" i="1"/>
  <c r="AK1429" i="1"/>
  <c r="AH1429" i="1"/>
  <c r="AI1429" i="1" s="1"/>
  <c r="AG1429" i="1"/>
  <c r="AD1429" i="1"/>
  <c r="AE1429" i="1" s="1"/>
  <c r="AC1429" i="1"/>
  <c r="Z1429" i="1"/>
  <c r="Y1429" i="1"/>
  <c r="V1429" i="1"/>
  <c r="U1429" i="1"/>
  <c r="S1429" i="1"/>
  <c r="R1429" i="1"/>
  <c r="Q1429" i="1"/>
  <c r="O1429" i="1"/>
  <c r="N1429" i="1"/>
  <c r="M1429" i="1"/>
  <c r="J1429" i="1"/>
  <c r="K1429" i="1" s="1"/>
  <c r="I1429" i="1"/>
  <c r="F1429" i="1"/>
  <c r="E1429" i="1"/>
  <c r="BN1428" i="1"/>
  <c r="BL1428" i="1"/>
  <c r="BJ1428" i="1"/>
  <c r="BM1428" i="1" s="1"/>
  <c r="BI1428" i="1"/>
  <c r="BF1428" i="1"/>
  <c r="BE1428" i="1"/>
  <c r="BB1428" i="1"/>
  <c r="BC1428" i="1" s="1"/>
  <c r="BA1428" i="1"/>
  <c r="AX1428" i="1"/>
  <c r="AY1428" i="1" s="1"/>
  <c r="AW1428" i="1"/>
  <c r="AT1428" i="1"/>
  <c r="AS1428" i="1"/>
  <c r="AP1428" i="1"/>
  <c r="AO1428" i="1"/>
  <c r="AM1428" i="1"/>
  <c r="AL1428" i="1"/>
  <c r="AK1428" i="1"/>
  <c r="AI1428" i="1"/>
  <c r="AH1428" i="1"/>
  <c r="AG1428" i="1"/>
  <c r="AD1428" i="1"/>
  <c r="AE1428" i="1" s="1"/>
  <c r="AC1428" i="1"/>
  <c r="Z1428" i="1"/>
  <c r="Y1428" i="1"/>
  <c r="V1428" i="1"/>
  <c r="W1428" i="1" s="1"/>
  <c r="U1428" i="1"/>
  <c r="R1428" i="1"/>
  <c r="S1428" i="1" s="1"/>
  <c r="Q1428" i="1"/>
  <c r="N1428" i="1"/>
  <c r="M1428" i="1"/>
  <c r="J1428" i="1"/>
  <c r="I1428" i="1"/>
  <c r="G1428" i="1"/>
  <c r="F1428" i="1"/>
  <c r="E1428" i="1"/>
  <c r="BN1427" i="1"/>
  <c r="BL1427" i="1"/>
  <c r="BJ1427" i="1"/>
  <c r="BM1427" i="1" s="1"/>
  <c r="BI1427" i="1"/>
  <c r="BG1427" i="1"/>
  <c r="BF1427" i="1"/>
  <c r="BE1427" i="1"/>
  <c r="BC1427" i="1"/>
  <c r="BB1427" i="1"/>
  <c r="BA1427" i="1"/>
  <c r="AX1427" i="1"/>
  <c r="AY1427" i="1" s="1"/>
  <c r="AW1427" i="1"/>
  <c r="AT1427" i="1"/>
  <c r="AS1427" i="1"/>
  <c r="AP1427" i="1"/>
  <c r="AQ1427" i="1" s="1"/>
  <c r="AO1427" i="1"/>
  <c r="AL1427" i="1"/>
  <c r="AM1427" i="1" s="1"/>
  <c r="AK1427" i="1"/>
  <c r="AH1427" i="1"/>
  <c r="AG1427" i="1"/>
  <c r="AD1427" i="1"/>
  <c r="AC1427" i="1"/>
  <c r="AA1427" i="1"/>
  <c r="Z1427" i="1"/>
  <c r="Y1427" i="1"/>
  <c r="W1427" i="1"/>
  <c r="V1427" i="1"/>
  <c r="U1427" i="1"/>
  <c r="R1427" i="1"/>
  <c r="S1427" i="1" s="1"/>
  <c r="Q1427" i="1"/>
  <c r="N1427" i="1"/>
  <c r="M1427" i="1"/>
  <c r="J1427" i="1"/>
  <c r="K1427" i="1" s="1"/>
  <c r="I1427" i="1"/>
  <c r="F1427" i="1"/>
  <c r="G1427" i="1" s="1"/>
  <c r="E1427" i="1"/>
  <c r="BN1426" i="1"/>
  <c r="BM1426" i="1"/>
  <c r="BL1426" i="1"/>
  <c r="BJ1426" i="1"/>
  <c r="BI1426" i="1"/>
  <c r="BF1426" i="1"/>
  <c r="BG1426" i="1" s="1"/>
  <c r="BE1426" i="1"/>
  <c r="BB1426" i="1"/>
  <c r="BA1426" i="1"/>
  <c r="AX1426" i="1"/>
  <c r="AW1426" i="1"/>
  <c r="AU1426" i="1"/>
  <c r="AT1426" i="1"/>
  <c r="AS1426" i="1"/>
  <c r="AQ1426" i="1"/>
  <c r="AP1426" i="1"/>
  <c r="AO1426" i="1"/>
  <c r="AL1426" i="1"/>
  <c r="AM1426" i="1" s="1"/>
  <c r="AK1426" i="1"/>
  <c r="AH1426" i="1"/>
  <c r="AG1426" i="1"/>
  <c r="AD1426" i="1"/>
  <c r="AE1426" i="1" s="1"/>
  <c r="AC1426" i="1"/>
  <c r="Z1426" i="1"/>
  <c r="AA1426" i="1" s="1"/>
  <c r="Y1426" i="1"/>
  <c r="V1426" i="1"/>
  <c r="U1426" i="1"/>
  <c r="R1426" i="1"/>
  <c r="Q1426" i="1"/>
  <c r="O1426" i="1"/>
  <c r="N1426" i="1"/>
  <c r="M1426" i="1"/>
  <c r="K1426" i="1"/>
  <c r="J1426" i="1"/>
  <c r="I1426" i="1"/>
  <c r="F1426" i="1"/>
  <c r="G1426" i="1" s="1"/>
  <c r="E1426" i="1"/>
  <c r="BN1425" i="1"/>
  <c r="BL1425" i="1"/>
  <c r="BJ1425" i="1"/>
  <c r="BM1425" i="1" s="1"/>
  <c r="BI1425" i="1"/>
  <c r="BF1425" i="1"/>
  <c r="BG1425" i="1" s="1"/>
  <c r="BE1425" i="1"/>
  <c r="BB1425" i="1"/>
  <c r="BA1425" i="1"/>
  <c r="AX1425" i="1"/>
  <c r="AY1425" i="1" s="1"/>
  <c r="AW1425" i="1"/>
  <c r="AT1425" i="1"/>
  <c r="AU1425" i="1" s="1"/>
  <c r="AS1425" i="1"/>
  <c r="AP1425" i="1"/>
  <c r="AO1425" i="1"/>
  <c r="AL1425" i="1"/>
  <c r="AK1425" i="1"/>
  <c r="AI1425" i="1"/>
  <c r="AH1425" i="1"/>
  <c r="AG1425" i="1"/>
  <c r="AE1425" i="1"/>
  <c r="AD1425" i="1"/>
  <c r="AC1425" i="1"/>
  <c r="Z1425" i="1"/>
  <c r="AA1425" i="1" s="1"/>
  <c r="Y1425" i="1"/>
  <c r="V1425" i="1"/>
  <c r="U1425" i="1"/>
  <c r="R1425" i="1"/>
  <c r="S1425" i="1" s="1"/>
  <c r="Q1425" i="1"/>
  <c r="N1425" i="1"/>
  <c r="O1425" i="1" s="1"/>
  <c r="M1425" i="1"/>
  <c r="J1425" i="1"/>
  <c r="I1425" i="1"/>
  <c r="F1425" i="1"/>
  <c r="E1425" i="1"/>
  <c r="BN1424" i="1"/>
  <c r="BL1424" i="1"/>
  <c r="BJ1424" i="1"/>
  <c r="BI1424" i="1"/>
  <c r="BF1424" i="1"/>
  <c r="BE1424" i="1"/>
  <c r="BC1424" i="1"/>
  <c r="BB1424" i="1"/>
  <c r="BA1424" i="1"/>
  <c r="AY1424" i="1"/>
  <c r="AX1424" i="1"/>
  <c r="AW1424" i="1"/>
  <c r="AT1424" i="1"/>
  <c r="AU1424" i="1" s="1"/>
  <c r="AS1424" i="1"/>
  <c r="AP1424" i="1"/>
  <c r="AO1424" i="1"/>
  <c r="AL1424" i="1"/>
  <c r="AM1424" i="1" s="1"/>
  <c r="AK1424" i="1"/>
  <c r="AH1424" i="1"/>
  <c r="AI1424" i="1" s="1"/>
  <c r="AG1424" i="1"/>
  <c r="AD1424" i="1"/>
  <c r="AC1424" i="1"/>
  <c r="Z1424" i="1"/>
  <c r="Y1424" i="1"/>
  <c r="W1424" i="1"/>
  <c r="V1424" i="1"/>
  <c r="U1424" i="1"/>
  <c r="S1424" i="1"/>
  <c r="R1424" i="1"/>
  <c r="Q1424" i="1"/>
  <c r="N1424" i="1"/>
  <c r="O1424" i="1" s="1"/>
  <c r="M1424" i="1"/>
  <c r="J1424" i="1"/>
  <c r="I1424" i="1"/>
  <c r="F1424" i="1"/>
  <c r="G1424" i="1" s="1"/>
  <c r="E1424" i="1"/>
  <c r="BN1423" i="1"/>
  <c r="BM1423" i="1"/>
  <c r="BL1423" i="1"/>
  <c r="BJ1423" i="1"/>
  <c r="BI1423" i="1"/>
  <c r="BF1423" i="1"/>
  <c r="BG1423" i="1" s="1"/>
  <c r="BE1423" i="1"/>
  <c r="BB1423" i="1"/>
  <c r="BC1423" i="1" s="1"/>
  <c r="BA1423" i="1"/>
  <c r="AX1423" i="1"/>
  <c r="AW1423" i="1"/>
  <c r="AT1423" i="1"/>
  <c r="AS1423" i="1"/>
  <c r="AQ1423" i="1"/>
  <c r="AP1423" i="1"/>
  <c r="AO1423" i="1"/>
  <c r="AM1423" i="1"/>
  <c r="AL1423" i="1"/>
  <c r="AK1423" i="1"/>
  <c r="AH1423" i="1"/>
  <c r="AI1423" i="1" s="1"/>
  <c r="AG1423" i="1"/>
  <c r="AD1423" i="1"/>
  <c r="AC1423" i="1"/>
  <c r="Z1423" i="1"/>
  <c r="AA1423" i="1" s="1"/>
  <c r="Y1423" i="1"/>
  <c r="V1423" i="1"/>
  <c r="W1423" i="1" s="1"/>
  <c r="U1423" i="1"/>
  <c r="R1423" i="1"/>
  <c r="Q1423" i="1"/>
  <c r="N1423" i="1"/>
  <c r="M1423" i="1"/>
  <c r="K1423" i="1"/>
  <c r="J1423" i="1"/>
  <c r="I1423" i="1"/>
  <c r="G1423" i="1"/>
  <c r="F1423" i="1"/>
  <c r="E1423" i="1"/>
  <c r="BN1422" i="1"/>
  <c r="BM1422" i="1"/>
  <c r="BL1422" i="1"/>
  <c r="BJ1422" i="1"/>
  <c r="BI1422" i="1"/>
  <c r="BG1422" i="1"/>
  <c r="BF1422" i="1"/>
  <c r="BE1422" i="1"/>
  <c r="BB1422" i="1"/>
  <c r="BC1422" i="1" s="1"/>
  <c r="BA1422" i="1"/>
  <c r="AX1422" i="1"/>
  <c r="AW1422" i="1"/>
  <c r="AT1422" i="1"/>
  <c r="AU1422" i="1" s="1"/>
  <c r="AS1422" i="1"/>
  <c r="AP1422" i="1"/>
  <c r="AQ1422" i="1" s="1"/>
  <c r="AO1422" i="1"/>
  <c r="AL1422" i="1"/>
  <c r="AK1422" i="1"/>
  <c r="AH1422" i="1"/>
  <c r="AG1422" i="1"/>
  <c r="AE1422" i="1"/>
  <c r="AD1422" i="1"/>
  <c r="AC1422" i="1"/>
  <c r="AA1422" i="1"/>
  <c r="Z1422" i="1"/>
  <c r="Y1422" i="1"/>
  <c r="V1422" i="1"/>
  <c r="W1422" i="1" s="1"/>
  <c r="U1422" i="1"/>
  <c r="R1422" i="1"/>
  <c r="Q1422" i="1"/>
  <c r="N1422" i="1"/>
  <c r="O1422" i="1" s="1"/>
  <c r="M1422" i="1"/>
  <c r="J1422" i="1"/>
  <c r="K1422" i="1" s="1"/>
  <c r="I1422" i="1"/>
  <c r="F1422" i="1"/>
  <c r="G1422" i="1" s="1"/>
  <c r="E1422" i="1"/>
  <c r="BN1421" i="1"/>
  <c r="BL1421" i="1"/>
  <c r="BJ1421" i="1"/>
  <c r="BM1421" i="1" s="1"/>
  <c r="BI1421" i="1"/>
  <c r="BF1421" i="1"/>
  <c r="BE1421" i="1"/>
  <c r="BB1421" i="1"/>
  <c r="BA1421" i="1"/>
  <c r="AY1421" i="1"/>
  <c r="AX1421" i="1"/>
  <c r="AW1421" i="1"/>
  <c r="AU1421" i="1"/>
  <c r="AT1421" i="1"/>
  <c r="AS1421" i="1"/>
  <c r="AP1421" i="1"/>
  <c r="AQ1421" i="1" s="1"/>
  <c r="AO1421" i="1"/>
  <c r="AL1421" i="1"/>
  <c r="AK1421" i="1"/>
  <c r="AH1421" i="1"/>
  <c r="AI1421" i="1" s="1"/>
  <c r="AF1421" i="1"/>
  <c r="AG1421" i="1" s="1"/>
  <c r="AE1421" i="1"/>
  <c r="AD1421" i="1"/>
  <c r="AC1421" i="1"/>
  <c r="AA1421" i="1"/>
  <c r="Z1421" i="1"/>
  <c r="Y1421" i="1"/>
  <c r="V1421" i="1"/>
  <c r="W1421" i="1" s="1"/>
  <c r="U1421" i="1"/>
  <c r="R1421" i="1"/>
  <c r="Q1421" i="1"/>
  <c r="N1421" i="1"/>
  <c r="O1421" i="1" s="1"/>
  <c r="M1421" i="1"/>
  <c r="J1421" i="1"/>
  <c r="K1421" i="1" s="1"/>
  <c r="I1421" i="1"/>
  <c r="F1421" i="1"/>
  <c r="G1421" i="1" s="1"/>
  <c r="E1421" i="1"/>
  <c r="BN1420" i="1"/>
  <c r="BL1420" i="1"/>
  <c r="BJ1420" i="1"/>
  <c r="BM1420" i="1" s="1"/>
  <c r="BI1420" i="1"/>
  <c r="BF1420" i="1"/>
  <c r="BE1420" i="1"/>
  <c r="BB1420" i="1"/>
  <c r="BA1420" i="1"/>
  <c r="AY1420" i="1"/>
  <c r="AX1420" i="1"/>
  <c r="AW1420" i="1"/>
  <c r="AU1420" i="1"/>
  <c r="AT1420" i="1"/>
  <c r="AS1420" i="1"/>
  <c r="AP1420" i="1"/>
  <c r="AQ1420" i="1" s="1"/>
  <c r="AO1420" i="1"/>
  <c r="AL1420" i="1"/>
  <c r="AK1420" i="1"/>
  <c r="AH1420" i="1"/>
  <c r="AI1420" i="1" s="1"/>
  <c r="AF1420" i="1"/>
  <c r="AG1420" i="1" s="1"/>
  <c r="AE1420" i="1"/>
  <c r="AD1420" i="1"/>
  <c r="AC1420" i="1"/>
  <c r="AA1420" i="1"/>
  <c r="Z1420" i="1"/>
  <c r="Y1420" i="1"/>
  <c r="V1420" i="1"/>
  <c r="W1420" i="1" s="1"/>
  <c r="U1420" i="1"/>
  <c r="R1420" i="1"/>
  <c r="Q1420" i="1"/>
  <c r="N1420" i="1"/>
  <c r="O1420" i="1" s="1"/>
  <c r="M1420" i="1"/>
  <c r="J1420" i="1"/>
  <c r="K1420" i="1" s="1"/>
  <c r="I1420" i="1"/>
  <c r="F1420" i="1"/>
  <c r="G1420" i="1" s="1"/>
  <c r="E1420" i="1"/>
  <c r="BN1419" i="1"/>
  <c r="BL1419" i="1"/>
  <c r="BJ1419" i="1"/>
  <c r="BM1419" i="1" s="1"/>
  <c r="BI1419" i="1"/>
  <c r="BF1419" i="1"/>
  <c r="BE1419" i="1"/>
  <c r="BB1419" i="1"/>
  <c r="BA1419" i="1"/>
  <c r="AY1419" i="1"/>
  <c r="AX1419" i="1"/>
  <c r="AW1419" i="1"/>
  <c r="AU1419" i="1"/>
  <c r="AT1419" i="1"/>
  <c r="AS1419" i="1"/>
  <c r="AP1419" i="1"/>
  <c r="AQ1419" i="1" s="1"/>
  <c r="AO1419" i="1"/>
  <c r="AL1419" i="1"/>
  <c r="AK1419" i="1"/>
  <c r="AH1419" i="1"/>
  <c r="AI1419" i="1" s="1"/>
  <c r="AF1419" i="1"/>
  <c r="AG1419" i="1" s="1"/>
  <c r="AE1419" i="1"/>
  <c r="AD1419" i="1"/>
  <c r="AC1419" i="1"/>
  <c r="AA1419" i="1"/>
  <c r="Z1419" i="1"/>
  <c r="Y1419" i="1"/>
  <c r="V1419" i="1"/>
  <c r="W1419" i="1" s="1"/>
  <c r="U1419" i="1"/>
  <c r="R1419" i="1"/>
  <c r="Q1419" i="1"/>
  <c r="N1419" i="1"/>
  <c r="O1419" i="1" s="1"/>
  <c r="M1419" i="1"/>
  <c r="J1419" i="1"/>
  <c r="K1419" i="1" s="1"/>
  <c r="I1419" i="1"/>
  <c r="F1419" i="1"/>
  <c r="G1419" i="1" s="1"/>
  <c r="E1419" i="1"/>
  <c r="BN1418" i="1"/>
  <c r="BL1418" i="1"/>
  <c r="BJ1418" i="1"/>
  <c r="BM1418" i="1" s="1"/>
  <c r="BI1418" i="1"/>
  <c r="BF1418" i="1"/>
  <c r="BE1418" i="1"/>
  <c r="BB1418" i="1"/>
  <c r="BA1418" i="1"/>
  <c r="AY1418" i="1"/>
  <c r="AX1418" i="1"/>
  <c r="AW1418" i="1"/>
  <c r="AU1418" i="1"/>
  <c r="AT1418" i="1"/>
  <c r="AS1418" i="1"/>
  <c r="AP1418" i="1"/>
  <c r="AQ1418" i="1" s="1"/>
  <c r="AO1418" i="1"/>
  <c r="AL1418" i="1"/>
  <c r="AK1418" i="1"/>
  <c r="AH1418" i="1"/>
  <c r="AI1418" i="1" s="1"/>
  <c r="AG1418" i="1"/>
  <c r="AD1418" i="1"/>
  <c r="AE1418" i="1" s="1"/>
  <c r="AC1418" i="1"/>
  <c r="Z1418" i="1"/>
  <c r="Y1418" i="1"/>
  <c r="V1418" i="1"/>
  <c r="U1418" i="1"/>
  <c r="S1418" i="1"/>
  <c r="R1418" i="1"/>
  <c r="Q1418" i="1"/>
  <c r="O1418" i="1"/>
  <c r="N1418" i="1"/>
  <c r="M1418" i="1"/>
  <c r="J1418" i="1"/>
  <c r="K1418" i="1" s="1"/>
  <c r="I1418" i="1"/>
  <c r="F1418" i="1"/>
  <c r="E1418" i="1"/>
  <c r="BN1417" i="1"/>
  <c r="BL1417" i="1"/>
  <c r="BJ1417" i="1"/>
  <c r="BM1417" i="1" s="1"/>
  <c r="BI1417" i="1"/>
  <c r="BF1417" i="1"/>
  <c r="BE1417" i="1"/>
  <c r="BB1417" i="1"/>
  <c r="BC1417" i="1" s="1"/>
  <c r="BA1417" i="1"/>
  <c r="AX1417" i="1"/>
  <c r="AY1417" i="1" s="1"/>
  <c r="AW1417" i="1"/>
  <c r="AT1417" i="1"/>
  <c r="AS1417" i="1"/>
  <c r="AP1417" i="1"/>
  <c r="AO1417" i="1"/>
  <c r="AM1417" i="1"/>
  <c r="AL1417" i="1"/>
  <c r="AK1417" i="1"/>
  <c r="AI1417" i="1"/>
  <c r="AH1417" i="1"/>
  <c r="AG1417" i="1"/>
  <c r="AD1417" i="1"/>
  <c r="AE1417" i="1" s="1"/>
  <c r="AC1417" i="1"/>
  <c r="Z1417" i="1"/>
  <c r="Y1417" i="1"/>
  <c r="V1417" i="1"/>
  <c r="W1417" i="1" s="1"/>
  <c r="U1417" i="1"/>
  <c r="R1417" i="1"/>
  <c r="S1417" i="1" s="1"/>
  <c r="Q1417" i="1"/>
  <c r="N1417" i="1"/>
  <c r="M1417" i="1"/>
  <c r="J1417" i="1"/>
  <c r="I1417" i="1"/>
  <c r="G1417" i="1"/>
  <c r="F1417" i="1"/>
  <c r="E1417" i="1"/>
  <c r="BN1416" i="1"/>
  <c r="BL1416" i="1"/>
  <c r="BJ1416" i="1"/>
  <c r="BI1416" i="1"/>
  <c r="BG1416" i="1"/>
  <c r="BF1416" i="1"/>
  <c r="BE1416" i="1"/>
  <c r="BC1416" i="1"/>
  <c r="BB1416" i="1"/>
  <c r="BA1416" i="1"/>
  <c r="AX1416" i="1"/>
  <c r="AY1416" i="1" s="1"/>
  <c r="AW1416" i="1"/>
  <c r="AT1416" i="1"/>
  <c r="AS1416" i="1"/>
  <c r="AP1416" i="1"/>
  <c r="AQ1416" i="1" s="1"/>
  <c r="AO1416" i="1"/>
  <c r="AL1416" i="1"/>
  <c r="AM1416" i="1" s="1"/>
  <c r="AK1416" i="1"/>
  <c r="AH1416" i="1"/>
  <c r="AG1416" i="1"/>
  <c r="AD1416" i="1"/>
  <c r="AC1416" i="1"/>
  <c r="AA1416" i="1"/>
  <c r="Z1416" i="1"/>
  <c r="Y1416" i="1"/>
  <c r="W1416" i="1"/>
  <c r="V1416" i="1"/>
  <c r="U1416" i="1"/>
  <c r="R1416" i="1"/>
  <c r="S1416" i="1" s="1"/>
  <c r="Q1416" i="1"/>
  <c r="N1416" i="1"/>
  <c r="M1416" i="1"/>
  <c r="J1416" i="1"/>
  <c r="K1416" i="1" s="1"/>
  <c r="I1416" i="1"/>
  <c r="F1416" i="1"/>
  <c r="G1416" i="1" s="1"/>
  <c r="E1416" i="1"/>
  <c r="BN1415" i="1"/>
  <c r="BM1415" i="1"/>
  <c r="BL1415" i="1"/>
  <c r="BJ1415" i="1"/>
  <c r="BI1415" i="1"/>
  <c r="BF1415" i="1"/>
  <c r="BG1415" i="1" s="1"/>
  <c r="BE1415" i="1"/>
  <c r="BB1415" i="1"/>
  <c r="BA1415" i="1"/>
  <c r="AX1415" i="1"/>
  <c r="AW1415" i="1"/>
  <c r="AU1415" i="1"/>
  <c r="AT1415" i="1"/>
  <c r="AS1415" i="1"/>
  <c r="AQ1415" i="1"/>
  <c r="AP1415" i="1"/>
  <c r="AO1415" i="1"/>
  <c r="AL1415" i="1"/>
  <c r="AM1415" i="1" s="1"/>
  <c r="AK1415" i="1"/>
  <c r="AH1415" i="1"/>
  <c r="AG1415" i="1"/>
  <c r="AD1415" i="1"/>
  <c r="AE1415" i="1" s="1"/>
  <c r="AC1415" i="1"/>
  <c r="Z1415" i="1"/>
  <c r="AA1415" i="1" s="1"/>
  <c r="Y1415" i="1"/>
  <c r="V1415" i="1"/>
  <c r="U1415" i="1"/>
  <c r="R1415" i="1"/>
  <c r="Q1415" i="1"/>
  <c r="O1415" i="1"/>
  <c r="N1415" i="1"/>
  <c r="M1415" i="1"/>
  <c r="K1415" i="1"/>
  <c r="J1415" i="1"/>
  <c r="I1415" i="1"/>
  <c r="F1415" i="1"/>
  <c r="G1415" i="1" s="1"/>
  <c r="E1415" i="1"/>
  <c r="BN1414" i="1"/>
  <c r="BL1414" i="1"/>
  <c r="BJ1414" i="1"/>
  <c r="BM1414" i="1" s="1"/>
  <c r="BI1414" i="1"/>
  <c r="BF1414" i="1"/>
  <c r="BG1414" i="1" s="1"/>
  <c r="BE1414" i="1"/>
  <c r="BB1414" i="1"/>
  <c r="BA1414" i="1"/>
  <c r="AX1414" i="1"/>
  <c r="AY1414" i="1" s="1"/>
  <c r="AW1414" i="1"/>
  <c r="AT1414" i="1"/>
  <c r="AU1414" i="1" s="1"/>
  <c r="AS1414" i="1"/>
  <c r="AP1414" i="1"/>
  <c r="AO1414" i="1"/>
  <c r="AL1414" i="1"/>
  <c r="AK1414" i="1"/>
  <c r="AI1414" i="1"/>
  <c r="AH1414" i="1"/>
  <c r="AG1414" i="1"/>
  <c r="AE1414" i="1"/>
  <c r="AD1414" i="1"/>
  <c r="AC1414" i="1"/>
  <c r="Z1414" i="1"/>
  <c r="AA1414" i="1" s="1"/>
  <c r="Y1414" i="1"/>
  <c r="V1414" i="1"/>
  <c r="U1414" i="1"/>
  <c r="R1414" i="1"/>
  <c r="S1414" i="1" s="1"/>
  <c r="Q1414" i="1"/>
  <c r="N1414" i="1"/>
  <c r="O1414" i="1" s="1"/>
  <c r="M1414" i="1"/>
  <c r="J1414" i="1"/>
  <c r="I1414" i="1"/>
  <c r="F1414" i="1"/>
  <c r="E1414" i="1"/>
  <c r="BN1413" i="1"/>
  <c r="BL1413" i="1"/>
  <c r="BJ1413" i="1"/>
  <c r="BI1413" i="1"/>
  <c r="BF1413" i="1"/>
  <c r="BE1413" i="1"/>
  <c r="BC1413" i="1"/>
  <c r="BB1413" i="1"/>
  <c r="BA1413" i="1"/>
  <c r="AY1413" i="1"/>
  <c r="AX1413" i="1"/>
  <c r="AW1413" i="1"/>
  <c r="AT1413" i="1"/>
  <c r="AU1413" i="1" s="1"/>
  <c r="AS1413" i="1"/>
  <c r="AP1413" i="1"/>
  <c r="AO1413" i="1"/>
  <c r="AL1413" i="1"/>
  <c r="AM1413" i="1" s="1"/>
  <c r="AK1413" i="1"/>
  <c r="AH1413" i="1"/>
  <c r="AI1413" i="1" s="1"/>
  <c r="AG1413" i="1"/>
  <c r="AD1413" i="1"/>
  <c r="AC1413" i="1"/>
  <c r="Z1413" i="1"/>
  <c r="Y1413" i="1"/>
  <c r="W1413" i="1"/>
  <c r="V1413" i="1"/>
  <c r="U1413" i="1"/>
  <c r="S1413" i="1"/>
  <c r="R1413" i="1"/>
  <c r="Q1413" i="1"/>
  <c r="N1413" i="1"/>
  <c r="O1413" i="1" s="1"/>
  <c r="M1413" i="1"/>
  <c r="J1413" i="1"/>
  <c r="I1413" i="1"/>
  <c r="F1413" i="1"/>
  <c r="G1413" i="1" s="1"/>
  <c r="E1413" i="1"/>
  <c r="BN1412" i="1"/>
  <c r="BM1412" i="1"/>
  <c r="BL1412" i="1"/>
  <c r="BJ1412" i="1"/>
  <c r="BI1412" i="1"/>
  <c r="BF1412" i="1"/>
  <c r="BG1412" i="1" s="1"/>
  <c r="BE1412" i="1"/>
  <c r="BB1412" i="1"/>
  <c r="BC1412" i="1" s="1"/>
  <c r="BA1412" i="1"/>
  <c r="AX1412" i="1"/>
  <c r="AW1412" i="1"/>
  <c r="AT1412" i="1"/>
  <c r="AS1412" i="1"/>
  <c r="AQ1412" i="1"/>
  <c r="AP1412" i="1"/>
  <c r="AO1412" i="1"/>
  <c r="AM1412" i="1"/>
  <c r="AL1412" i="1"/>
  <c r="AK1412" i="1"/>
  <c r="AH1412" i="1"/>
  <c r="AI1412" i="1" s="1"/>
  <c r="AG1412" i="1"/>
  <c r="AD1412" i="1"/>
  <c r="AC1412" i="1"/>
  <c r="Z1412" i="1"/>
  <c r="AA1412" i="1" s="1"/>
  <c r="Y1412" i="1"/>
  <c r="V1412" i="1"/>
  <c r="W1412" i="1" s="1"/>
  <c r="U1412" i="1"/>
  <c r="R1412" i="1"/>
  <c r="Q1412" i="1"/>
  <c r="N1412" i="1"/>
  <c r="M1412" i="1"/>
  <c r="K1412" i="1"/>
  <c r="J1412" i="1"/>
  <c r="I1412" i="1"/>
  <c r="G1412" i="1"/>
  <c r="F1412" i="1"/>
  <c r="E1412" i="1"/>
  <c r="BN1411" i="1"/>
  <c r="BM1411" i="1"/>
  <c r="BL1411" i="1"/>
  <c r="BJ1411" i="1"/>
  <c r="BI1411" i="1"/>
  <c r="BG1411" i="1"/>
  <c r="BF1411" i="1"/>
  <c r="BE1411" i="1"/>
  <c r="BB1411" i="1"/>
  <c r="BC1411" i="1" s="1"/>
  <c r="BA1411" i="1"/>
  <c r="AX1411" i="1"/>
  <c r="AW1411" i="1"/>
  <c r="AT1411" i="1"/>
  <c r="AU1411" i="1" s="1"/>
  <c r="AS1411" i="1"/>
  <c r="AP1411" i="1"/>
  <c r="AQ1411" i="1" s="1"/>
  <c r="AO1411" i="1"/>
  <c r="AL1411" i="1"/>
  <c r="AK1411" i="1"/>
  <c r="AH1411" i="1"/>
  <c r="AG1411" i="1"/>
  <c r="AE1411" i="1"/>
  <c r="AD1411" i="1"/>
  <c r="AC1411" i="1"/>
  <c r="AA1411" i="1"/>
  <c r="Z1411" i="1"/>
  <c r="Y1411" i="1"/>
  <c r="V1411" i="1"/>
  <c r="W1411" i="1" s="1"/>
  <c r="U1411" i="1"/>
  <c r="R1411" i="1"/>
  <c r="Q1411" i="1"/>
  <c r="N1411" i="1"/>
  <c r="O1411" i="1" s="1"/>
  <c r="M1411" i="1"/>
  <c r="J1411" i="1"/>
  <c r="K1411" i="1" s="1"/>
  <c r="I1411" i="1"/>
  <c r="F1411" i="1"/>
  <c r="G1411" i="1" s="1"/>
  <c r="E1411" i="1"/>
  <c r="BN1410" i="1"/>
  <c r="BL1410" i="1"/>
  <c r="BJ1410" i="1"/>
  <c r="BM1410" i="1" s="1"/>
  <c r="BI1410" i="1"/>
  <c r="BF1410" i="1"/>
  <c r="BE1410" i="1"/>
  <c r="BB1410" i="1"/>
  <c r="BA1410" i="1"/>
  <c r="AY1410" i="1"/>
  <c r="AX1410" i="1"/>
  <c r="AW1410" i="1"/>
  <c r="AU1410" i="1"/>
  <c r="AT1410" i="1"/>
  <c r="AS1410" i="1"/>
  <c r="AP1410" i="1"/>
  <c r="AQ1410" i="1" s="1"/>
  <c r="AO1410" i="1"/>
  <c r="AL1410" i="1"/>
  <c r="AK1410" i="1"/>
  <c r="AH1410" i="1"/>
  <c r="AI1410" i="1" s="1"/>
  <c r="AG1410" i="1"/>
  <c r="AD1410" i="1"/>
  <c r="AE1410" i="1" s="1"/>
  <c r="AC1410" i="1"/>
  <c r="Z1410" i="1"/>
  <c r="Y1410" i="1"/>
  <c r="V1410" i="1"/>
  <c r="U1410" i="1"/>
  <c r="S1410" i="1"/>
  <c r="R1410" i="1"/>
  <c r="Q1410" i="1"/>
  <c r="O1410" i="1"/>
  <c r="N1410" i="1"/>
  <c r="M1410" i="1"/>
  <c r="J1410" i="1"/>
  <c r="K1410" i="1" s="1"/>
  <c r="I1410" i="1"/>
  <c r="F1410" i="1"/>
  <c r="E1410" i="1"/>
  <c r="BN1409" i="1"/>
  <c r="BL1409" i="1"/>
  <c r="BJ1409" i="1"/>
  <c r="BM1409" i="1" s="1"/>
  <c r="BI1409" i="1"/>
  <c r="BF1409" i="1"/>
  <c r="BE1409" i="1"/>
  <c r="BB1409" i="1"/>
  <c r="BC1409" i="1" s="1"/>
  <c r="BA1409" i="1"/>
  <c r="AX1409" i="1"/>
  <c r="AY1409" i="1" s="1"/>
  <c r="AW1409" i="1"/>
  <c r="AT1409" i="1"/>
  <c r="AS1409" i="1"/>
  <c r="AP1409" i="1"/>
  <c r="AO1409" i="1"/>
  <c r="AM1409" i="1"/>
  <c r="AL1409" i="1"/>
  <c r="AK1409" i="1"/>
  <c r="AI1409" i="1"/>
  <c r="AH1409" i="1"/>
  <c r="AG1409" i="1"/>
  <c r="AD1409" i="1"/>
  <c r="AE1409" i="1" s="1"/>
  <c r="AC1409" i="1"/>
  <c r="Z1409" i="1"/>
  <c r="Y1409" i="1"/>
  <c r="V1409" i="1"/>
  <c r="W1409" i="1" s="1"/>
  <c r="U1409" i="1"/>
  <c r="R1409" i="1"/>
  <c r="S1409" i="1" s="1"/>
  <c r="Q1409" i="1"/>
  <c r="N1409" i="1"/>
  <c r="M1409" i="1"/>
  <c r="J1409" i="1"/>
  <c r="I1409" i="1"/>
  <c r="G1409" i="1"/>
  <c r="F1409" i="1"/>
  <c r="E1409" i="1"/>
  <c r="BN1408" i="1"/>
  <c r="BL1408" i="1"/>
  <c r="BJ1408" i="1"/>
  <c r="BI1408" i="1"/>
  <c r="BG1408" i="1"/>
  <c r="BF1408" i="1"/>
  <c r="BE1408" i="1"/>
  <c r="BC1408" i="1"/>
  <c r="BB1408" i="1"/>
  <c r="BA1408" i="1"/>
  <c r="AX1408" i="1"/>
  <c r="AY1408" i="1" s="1"/>
  <c r="AW1408" i="1"/>
  <c r="AT1408" i="1"/>
  <c r="AS1408" i="1"/>
  <c r="AP1408" i="1"/>
  <c r="AQ1408" i="1" s="1"/>
  <c r="AO1408" i="1"/>
  <c r="AL1408" i="1"/>
  <c r="AM1408" i="1" s="1"/>
  <c r="AK1408" i="1"/>
  <c r="AH1408" i="1"/>
  <c r="AG1408" i="1"/>
  <c r="AD1408" i="1"/>
  <c r="AC1408" i="1"/>
  <c r="AA1408" i="1"/>
  <c r="Z1408" i="1"/>
  <c r="Y1408" i="1"/>
  <c r="W1408" i="1"/>
  <c r="V1408" i="1"/>
  <c r="U1408" i="1"/>
  <c r="R1408" i="1"/>
  <c r="S1408" i="1" s="1"/>
  <c r="Q1408" i="1"/>
  <c r="N1408" i="1"/>
  <c r="M1408" i="1"/>
  <c r="J1408" i="1"/>
  <c r="K1408" i="1" s="1"/>
  <c r="I1408" i="1"/>
  <c r="F1408" i="1"/>
  <c r="G1408" i="1" s="1"/>
  <c r="E1408" i="1"/>
  <c r="BN1407" i="1"/>
  <c r="BM1407" i="1"/>
  <c r="BL1407" i="1"/>
  <c r="BJ1407" i="1"/>
  <c r="BI1407" i="1"/>
  <c r="BF1407" i="1"/>
  <c r="BG1407" i="1" s="1"/>
  <c r="BE1407" i="1"/>
  <c r="BB1407" i="1"/>
  <c r="BA1407" i="1"/>
  <c r="AX1407" i="1"/>
  <c r="AW1407" i="1"/>
  <c r="AU1407" i="1"/>
  <c r="AT1407" i="1"/>
  <c r="AS1407" i="1"/>
  <c r="AQ1407" i="1"/>
  <c r="AP1407" i="1"/>
  <c r="AO1407" i="1"/>
  <c r="AL1407" i="1"/>
  <c r="AM1407" i="1" s="1"/>
  <c r="AK1407" i="1"/>
  <c r="AH1407" i="1"/>
  <c r="AG1407" i="1"/>
  <c r="AD1407" i="1"/>
  <c r="AE1407" i="1" s="1"/>
  <c r="AC1407" i="1"/>
  <c r="Z1407" i="1"/>
  <c r="AA1407" i="1" s="1"/>
  <c r="Y1407" i="1"/>
  <c r="V1407" i="1"/>
  <c r="U1407" i="1"/>
  <c r="R1407" i="1"/>
  <c r="Q1407" i="1"/>
  <c r="O1407" i="1"/>
  <c r="N1407" i="1"/>
  <c r="M1407" i="1"/>
  <c r="K1407" i="1"/>
  <c r="J1407" i="1"/>
  <c r="I1407" i="1"/>
  <c r="F1407" i="1"/>
  <c r="G1407" i="1" s="1"/>
  <c r="E1407" i="1"/>
  <c r="BN1406" i="1"/>
  <c r="BL1406" i="1"/>
  <c r="BJ1406" i="1"/>
  <c r="BM1406" i="1" s="1"/>
  <c r="BI1406" i="1"/>
  <c r="BF1406" i="1"/>
  <c r="BG1406" i="1" s="1"/>
  <c r="BE1406" i="1"/>
  <c r="BB1406" i="1"/>
  <c r="BA1406" i="1"/>
  <c r="AX1406" i="1"/>
  <c r="AY1406" i="1" s="1"/>
  <c r="AW1406" i="1"/>
  <c r="AT1406" i="1"/>
  <c r="AU1406" i="1" s="1"/>
  <c r="AS1406" i="1"/>
  <c r="AP1406" i="1"/>
  <c r="AO1406" i="1"/>
  <c r="AL1406" i="1"/>
  <c r="AK1406" i="1"/>
  <c r="AI1406" i="1"/>
  <c r="AH1406" i="1"/>
  <c r="AG1406" i="1"/>
  <c r="AE1406" i="1"/>
  <c r="AD1406" i="1"/>
  <c r="AC1406" i="1"/>
  <c r="Z1406" i="1"/>
  <c r="AA1406" i="1" s="1"/>
  <c r="Y1406" i="1"/>
  <c r="V1406" i="1"/>
  <c r="U1406" i="1"/>
  <c r="R1406" i="1"/>
  <c r="S1406" i="1" s="1"/>
  <c r="Q1406" i="1"/>
  <c r="N1406" i="1"/>
  <c r="O1406" i="1" s="1"/>
  <c r="M1406" i="1"/>
  <c r="J1406" i="1"/>
  <c r="I1406" i="1"/>
  <c r="F1406" i="1"/>
  <c r="E1406" i="1"/>
  <c r="BN1405" i="1"/>
  <c r="BL1405" i="1"/>
  <c r="BJ1405" i="1"/>
  <c r="BI1405" i="1"/>
  <c r="BF1405" i="1"/>
  <c r="BE1405" i="1"/>
  <c r="BC1405" i="1"/>
  <c r="BB1405" i="1"/>
  <c r="BA1405" i="1"/>
  <c r="AY1405" i="1"/>
  <c r="AX1405" i="1"/>
  <c r="AW1405" i="1"/>
  <c r="AT1405" i="1"/>
  <c r="AU1405" i="1" s="1"/>
  <c r="AS1405" i="1"/>
  <c r="AP1405" i="1"/>
  <c r="AO1405" i="1"/>
  <c r="AL1405" i="1"/>
  <c r="AM1405" i="1" s="1"/>
  <c r="AK1405" i="1"/>
  <c r="AH1405" i="1"/>
  <c r="AI1405" i="1" s="1"/>
  <c r="AG1405" i="1"/>
  <c r="AD1405" i="1"/>
  <c r="AC1405" i="1"/>
  <c r="Z1405" i="1"/>
  <c r="Y1405" i="1"/>
  <c r="W1405" i="1"/>
  <c r="V1405" i="1"/>
  <c r="U1405" i="1"/>
  <c r="S1405" i="1"/>
  <c r="R1405" i="1"/>
  <c r="Q1405" i="1"/>
  <c r="N1405" i="1"/>
  <c r="O1405" i="1" s="1"/>
  <c r="M1405" i="1"/>
  <c r="J1405" i="1"/>
  <c r="I1405" i="1"/>
  <c r="F1405" i="1"/>
  <c r="G1405" i="1" s="1"/>
  <c r="E1405" i="1"/>
  <c r="BN1404" i="1"/>
  <c r="BM1404" i="1"/>
  <c r="BL1404" i="1"/>
  <c r="BJ1404" i="1"/>
  <c r="BI1404" i="1"/>
  <c r="BF1404" i="1"/>
  <c r="BG1404" i="1" s="1"/>
  <c r="BE1404" i="1"/>
  <c r="BB1404" i="1"/>
  <c r="BC1404" i="1" s="1"/>
  <c r="BA1404" i="1"/>
  <c r="AX1404" i="1"/>
  <c r="AW1404" i="1"/>
  <c r="AT1404" i="1"/>
  <c r="AS1404" i="1"/>
  <c r="AQ1404" i="1"/>
  <c r="AP1404" i="1"/>
  <c r="AO1404" i="1"/>
  <c r="AM1404" i="1"/>
  <c r="AL1404" i="1"/>
  <c r="AK1404" i="1"/>
  <c r="AH1404" i="1"/>
  <c r="AI1404" i="1" s="1"/>
  <c r="AG1404" i="1"/>
  <c r="AD1404" i="1"/>
  <c r="AC1404" i="1"/>
  <c r="Z1404" i="1"/>
  <c r="AA1404" i="1" s="1"/>
  <c r="Y1404" i="1"/>
  <c r="V1404" i="1"/>
  <c r="W1404" i="1" s="1"/>
  <c r="U1404" i="1"/>
  <c r="R1404" i="1"/>
  <c r="Q1404" i="1"/>
  <c r="N1404" i="1"/>
  <c r="M1404" i="1"/>
  <c r="K1404" i="1"/>
  <c r="J1404" i="1"/>
  <c r="I1404" i="1"/>
  <c r="G1404" i="1"/>
  <c r="F1404" i="1"/>
  <c r="E1404" i="1"/>
  <c r="BN1403" i="1"/>
  <c r="BM1403" i="1"/>
  <c r="BL1403" i="1"/>
  <c r="BJ1403" i="1"/>
  <c r="BI1403" i="1"/>
  <c r="BG1403" i="1"/>
  <c r="BF1403" i="1"/>
  <c r="BE1403" i="1"/>
  <c r="BB1403" i="1"/>
  <c r="BC1403" i="1" s="1"/>
  <c r="BA1403" i="1"/>
  <c r="AX1403" i="1"/>
  <c r="AW1403" i="1"/>
  <c r="AT1403" i="1"/>
  <c r="AU1403" i="1" s="1"/>
  <c r="AS1403" i="1"/>
  <c r="AP1403" i="1"/>
  <c r="AQ1403" i="1" s="1"/>
  <c r="AO1403" i="1"/>
  <c r="AL1403" i="1"/>
  <c r="AK1403" i="1"/>
  <c r="AH1403" i="1"/>
  <c r="AG1403" i="1"/>
  <c r="AE1403" i="1"/>
  <c r="AD1403" i="1"/>
  <c r="AC1403" i="1"/>
  <c r="AA1403" i="1"/>
  <c r="Z1403" i="1"/>
  <c r="Y1403" i="1"/>
  <c r="V1403" i="1"/>
  <c r="W1403" i="1" s="1"/>
  <c r="U1403" i="1"/>
  <c r="R1403" i="1"/>
  <c r="Q1403" i="1"/>
  <c r="N1403" i="1"/>
  <c r="O1403" i="1" s="1"/>
  <c r="M1403" i="1"/>
  <c r="J1403" i="1"/>
  <c r="K1403" i="1" s="1"/>
  <c r="I1403" i="1"/>
  <c r="F1403" i="1"/>
  <c r="G1403" i="1" s="1"/>
  <c r="E1403" i="1"/>
  <c r="BN1402" i="1"/>
  <c r="BL1402" i="1"/>
  <c r="BJ1402" i="1"/>
  <c r="BM1402" i="1" s="1"/>
  <c r="BI1402" i="1"/>
  <c r="BF1402" i="1"/>
  <c r="BE1402" i="1"/>
  <c r="BB1402" i="1"/>
  <c r="BA1402" i="1"/>
  <c r="AY1402" i="1"/>
  <c r="AX1402" i="1"/>
  <c r="AW1402" i="1"/>
  <c r="AU1402" i="1"/>
  <c r="AT1402" i="1"/>
  <c r="AS1402" i="1"/>
  <c r="AP1402" i="1"/>
  <c r="AQ1402" i="1" s="1"/>
  <c r="AO1402" i="1"/>
  <c r="AL1402" i="1"/>
  <c r="AK1402" i="1"/>
  <c r="AH1402" i="1"/>
  <c r="AI1402" i="1" s="1"/>
  <c r="AG1402" i="1"/>
  <c r="AD1402" i="1"/>
  <c r="AE1402" i="1" s="1"/>
  <c r="AC1402" i="1"/>
  <c r="Z1402" i="1"/>
  <c r="Y1402" i="1"/>
  <c r="V1402" i="1"/>
  <c r="U1402" i="1"/>
  <c r="S1402" i="1"/>
  <c r="R1402" i="1"/>
  <c r="Q1402" i="1"/>
  <c r="O1402" i="1"/>
  <c r="N1402" i="1"/>
  <c r="M1402" i="1"/>
  <c r="J1402" i="1"/>
  <c r="K1402" i="1" s="1"/>
  <c r="I1402" i="1"/>
  <c r="F1402" i="1"/>
  <c r="E1402" i="1"/>
  <c r="BN1401" i="1"/>
  <c r="BK1401" i="1"/>
  <c r="BL1401" i="1" s="1"/>
  <c r="BJ1401" i="1"/>
  <c r="BM1401" i="1" s="1"/>
  <c r="BI1401" i="1"/>
  <c r="BF1401" i="1"/>
  <c r="BE1401" i="1"/>
  <c r="BB1401" i="1"/>
  <c r="BA1401" i="1"/>
  <c r="AY1401" i="1"/>
  <c r="AX1401" i="1"/>
  <c r="AV1401" i="1"/>
  <c r="AW1401" i="1" s="1"/>
  <c r="AT1401" i="1"/>
  <c r="AU1401" i="1" s="1"/>
  <c r="AS1401" i="1"/>
  <c r="AP1401" i="1"/>
  <c r="AQ1401" i="1" s="1"/>
  <c r="AO1401" i="1"/>
  <c r="AL1401" i="1"/>
  <c r="AK1401" i="1"/>
  <c r="AH1401" i="1"/>
  <c r="AF1401" i="1"/>
  <c r="AG1401" i="1" s="1"/>
  <c r="AE1401" i="1"/>
  <c r="AD1401" i="1"/>
  <c r="AC1401" i="1"/>
  <c r="Z1401" i="1"/>
  <c r="AA1401" i="1" s="1"/>
  <c r="Y1401" i="1"/>
  <c r="V1401" i="1"/>
  <c r="W1401" i="1" s="1"/>
  <c r="U1401" i="1"/>
  <c r="R1401" i="1"/>
  <c r="S1401" i="1" s="1"/>
  <c r="P1401" i="1"/>
  <c r="Q1401" i="1" s="1"/>
  <c r="N1401" i="1"/>
  <c r="O1401" i="1" s="1"/>
  <c r="M1401" i="1"/>
  <c r="L1401" i="1"/>
  <c r="J1401" i="1"/>
  <c r="K1401" i="1" s="1"/>
  <c r="H1401" i="1"/>
  <c r="I1401" i="1" s="1"/>
  <c r="F1401" i="1"/>
  <c r="G1401" i="1" s="1"/>
  <c r="E1401" i="1"/>
  <c r="BN1400" i="1"/>
  <c r="BL1400" i="1"/>
  <c r="BK1400" i="1"/>
  <c r="BJ1400" i="1"/>
  <c r="BM1400" i="1" s="1"/>
  <c r="BI1400" i="1"/>
  <c r="BF1400" i="1"/>
  <c r="BG1400" i="1" s="1"/>
  <c r="BE1400" i="1"/>
  <c r="BB1400" i="1"/>
  <c r="BA1400" i="1"/>
  <c r="AX1400" i="1"/>
  <c r="AV1400" i="1"/>
  <c r="AW1400" i="1" s="1"/>
  <c r="AU1400" i="1"/>
  <c r="AT1400" i="1"/>
  <c r="AS1400" i="1"/>
  <c r="AP1400" i="1"/>
  <c r="AQ1400" i="1" s="1"/>
  <c r="AO1400" i="1"/>
  <c r="AL1400" i="1"/>
  <c r="AM1400" i="1" s="1"/>
  <c r="AK1400" i="1"/>
  <c r="AH1400" i="1"/>
  <c r="AI1400" i="1" s="1"/>
  <c r="AF1400" i="1"/>
  <c r="AG1400" i="1" s="1"/>
  <c r="AD1400" i="1"/>
  <c r="AC1400" i="1"/>
  <c r="Z1400" i="1"/>
  <c r="Y1400" i="1"/>
  <c r="V1400" i="1"/>
  <c r="W1400" i="1" s="1"/>
  <c r="U1400" i="1"/>
  <c r="R1400" i="1"/>
  <c r="S1400" i="1" s="1"/>
  <c r="Q1400" i="1"/>
  <c r="P1400" i="1"/>
  <c r="O1400" i="1"/>
  <c r="N1400" i="1"/>
  <c r="M1400" i="1"/>
  <c r="L1400" i="1"/>
  <c r="J1400" i="1"/>
  <c r="K1400" i="1" s="1"/>
  <c r="I1400" i="1"/>
  <c r="H1400" i="1"/>
  <c r="G1400" i="1"/>
  <c r="F1400" i="1"/>
  <c r="E1400" i="1"/>
  <c r="BN1399" i="1"/>
  <c r="BM1399" i="1"/>
  <c r="BL1399" i="1"/>
  <c r="BK1399" i="1"/>
  <c r="BJ1399" i="1"/>
  <c r="BI1399" i="1"/>
  <c r="BF1399" i="1"/>
  <c r="BG1399" i="1" s="1"/>
  <c r="BE1399" i="1"/>
  <c r="BB1399" i="1"/>
  <c r="BC1399" i="1" s="1"/>
  <c r="BA1399" i="1"/>
  <c r="AX1399" i="1"/>
  <c r="AY1399" i="1" s="1"/>
  <c r="AV1399" i="1"/>
  <c r="AW1399" i="1" s="1"/>
  <c r="AT1399" i="1"/>
  <c r="AS1399" i="1"/>
  <c r="AP1399" i="1"/>
  <c r="AO1399" i="1"/>
  <c r="AL1399" i="1"/>
  <c r="AM1399" i="1" s="1"/>
  <c r="AK1399" i="1"/>
  <c r="AH1399" i="1"/>
  <c r="AI1399" i="1" s="1"/>
  <c r="AG1399" i="1"/>
  <c r="AF1399" i="1"/>
  <c r="AE1399" i="1"/>
  <c r="AD1399" i="1"/>
  <c r="AC1399" i="1"/>
  <c r="Z1399" i="1"/>
  <c r="AA1399" i="1" s="1"/>
  <c r="Y1399" i="1"/>
  <c r="V1399" i="1"/>
  <c r="U1399" i="1"/>
  <c r="R1399" i="1"/>
  <c r="S1399" i="1" s="1"/>
  <c r="P1399" i="1"/>
  <c r="Q1399" i="1" s="1"/>
  <c r="O1399" i="1"/>
  <c r="N1399" i="1"/>
  <c r="L1399" i="1"/>
  <c r="M1399" i="1" s="1"/>
  <c r="J1399" i="1"/>
  <c r="K1399" i="1" s="1"/>
  <c r="H1399" i="1"/>
  <c r="I1399" i="1" s="1"/>
  <c r="G1399" i="1"/>
  <c r="F1399" i="1"/>
  <c r="E1399" i="1"/>
  <c r="BN1398" i="1"/>
  <c r="BL1398" i="1"/>
  <c r="BJ1398" i="1"/>
  <c r="BM1398" i="1" s="1"/>
  <c r="BI1398" i="1"/>
  <c r="BG1398" i="1"/>
  <c r="BF1398" i="1"/>
  <c r="BE1398" i="1"/>
  <c r="BC1398" i="1"/>
  <c r="BB1398" i="1"/>
  <c r="BA1398" i="1"/>
  <c r="AX1398" i="1"/>
  <c r="AY1398" i="1" s="1"/>
  <c r="AW1398" i="1"/>
  <c r="AT1398" i="1"/>
  <c r="AS1398" i="1"/>
  <c r="AP1398" i="1"/>
  <c r="AQ1398" i="1" s="1"/>
  <c r="AO1398" i="1"/>
  <c r="AL1398" i="1"/>
  <c r="AM1398" i="1" s="1"/>
  <c r="AK1398" i="1"/>
  <c r="AH1398" i="1"/>
  <c r="AG1398" i="1"/>
  <c r="AD1398" i="1"/>
  <c r="AC1398" i="1"/>
  <c r="AA1398" i="1"/>
  <c r="Z1398" i="1"/>
  <c r="Y1398" i="1"/>
  <c r="W1398" i="1"/>
  <c r="V1398" i="1"/>
  <c r="U1398" i="1"/>
  <c r="R1398" i="1"/>
  <c r="S1398" i="1" s="1"/>
  <c r="Q1398" i="1"/>
  <c r="N1398" i="1"/>
  <c r="M1398" i="1"/>
  <c r="J1398" i="1"/>
  <c r="K1398" i="1" s="1"/>
  <c r="I1398" i="1"/>
  <c r="F1398" i="1"/>
  <c r="G1398" i="1" s="1"/>
  <c r="E1398" i="1"/>
  <c r="BN1397" i="1"/>
  <c r="BM1397" i="1"/>
  <c r="BL1397" i="1"/>
  <c r="BJ1397" i="1"/>
  <c r="BI1397" i="1"/>
  <c r="BF1397" i="1"/>
  <c r="BG1397" i="1" s="1"/>
  <c r="BE1397" i="1"/>
  <c r="BB1397" i="1"/>
  <c r="BA1397" i="1"/>
  <c r="AX1397" i="1"/>
  <c r="AW1397" i="1"/>
  <c r="AU1397" i="1"/>
  <c r="AT1397" i="1"/>
  <c r="AS1397" i="1"/>
  <c r="AQ1397" i="1"/>
  <c r="AP1397" i="1"/>
  <c r="AO1397" i="1"/>
  <c r="AL1397" i="1"/>
  <c r="AM1397" i="1" s="1"/>
  <c r="AK1397" i="1"/>
  <c r="AH1397" i="1"/>
  <c r="AG1397" i="1"/>
  <c r="AD1397" i="1"/>
  <c r="AE1397" i="1" s="1"/>
  <c r="AC1397" i="1"/>
  <c r="Z1397" i="1"/>
  <c r="AA1397" i="1" s="1"/>
  <c r="Y1397" i="1"/>
  <c r="V1397" i="1"/>
  <c r="U1397" i="1"/>
  <c r="R1397" i="1"/>
  <c r="Q1397" i="1"/>
  <c r="O1397" i="1"/>
  <c r="N1397" i="1"/>
  <c r="M1397" i="1"/>
  <c r="K1397" i="1"/>
  <c r="J1397" i="1"/>
  <c r="I1397" i="1"/>
  <c r="F1397" i="1"/>
  <c r="G1397" i="1" s="1"/>
  <c r="E1397" i="1"/>
  <c r="BN1396" i="1"/>
  <c r="BL1396" i="1"/>
  <c r="BJ1396" i="1"/>
  <c r="BM1396" i="1" s="1"/>
  <c r="BI1396" i="1"/>
  <c r="BF1396" i="1"/>
  <c r="BG1396" i="1" s="1"/>
  <c r="BE1396" i="1"/>
  <c r="BB1396" i="1"/>
  <c r="BA1396" i="1"/>
  <c r="AX1396" i="1"/>
  <c r="AY1396" i="1" s="1"/>
  <c r="AW1396" i="1"/>
  <c r="AT1396" i="1"/>
  <c r="AU1396" i="1" s="1"/>
  <c r="AS1396" i="1"/>
  <c r="AP1396" i="1"/>
  <c r="AO1396" i="1"/>
  <c r="AL1396" i="1"/>
  <c r="AK1396" i="1"/>
  <c r="AI1396" i="1"/>
  <c r="AH1396" i="1"/>
  <c r="AG1396" i="1"/>
  <c r="AE1396" i="1"/>
  <c r="AD1396" i="1"/>
  <c r="AC1396" i="1"/>
  <c r="Z1396" i="1"/>
  <c r="AA1396" i="1" s="1"/>
  <c r="Y1396" i="1"/>
  <c r="V1396" i="1"/>
  <c r="U1396" i="1"/>
  <c r="R1396" i="1"/>
  <c r="S1396" i="1" s="1"/>
  <c r="Q1396" i="1"/>
  <c r="N1396" i="1"/>
  <c r="O1396" i="1" s="1"/>
  <c r="M1396" i="1"/>
  <c r="J1396" i="1"/>
  <c r="I1396" i="1"/>
  <c r="F1396" i="1"/>
  <c r="E1396" i="1"/>
  <c r="BN1395" i="1"/>
  <c r="BL1395" i="1"/>
  <c r="BJ1395" i="1"/>
  <c r="BI1395" i="1"/>
  <c r="BF1395" i="1"/>
  <c r="BE1395" i="1"/>
  <c r="BC1395" i="1"/>
  <c r="BB1395" i="1"/>
  <c r="BA1395" i="1"/>
  <c r="AY1395" i="1"/>
  <c r="AX1395" i="1"/>
  <c r="AW1395" i="1"/>
  <c r="AT1395" i="1"/>
  <c r="AU1395" i="1" s="1"/>
  <c r="AS1395" i="1"/>
  <c r="AP1395" i="1"/>
  <c r="AO1395" i="1"/>
  <c r="AL1395" i="1"/>
  <c r="AM1395" i="1" s="1"/>
  <c r="AK1395" i="1"/>
  <c r="AH1395" i="1"/>
  <c r="AI1395" i="1" s="1"/>
  <c r="AG1395" i="1"/>
  <c r="AD1395" i="1"/>
  <c r="AC1395" i="1"/>
  <c r="Z1395" i="1"/>
  <c r="Y1395" i="1"/>
  <c r="W1395" i="1"/>
  <c r="V1395" i="1"/>
  <c r="U1395" i="1"/>
  <c r="S1395" i="1"/>
  <c r="R1395" i="1"/>
  <c r="Q1395" i="1"/>
  <c r="N1395" i="1"/>
  <c r="O1395" i="1" s="1"/>
  <c r="M1395" i="1"/>
  <c r="J1395" i="1"/>
  <c r="I1395" i="1"/>
  <c r="F1395" i="1"/>
  <c r="G1395" i="1" s="1"/>
  <c r="E1395" i="1"/>
  <c r="BN1394" i="1"/>
  <c r="BM1394" i="1"/>
  <c r="BL1394" i="1"/>
  <c r="BJ1394" i="1"/>
  <c r="BI1394" i="1"/>
  <c r="BF1394" i="1"/>
  <c r="BG1394" i="1" s="1"/>
  <c r="BE1394" i="1"/>
  <c r="BB1394" i="1"/>
  <c r="BC1394" i="1" s="1"/>
  <c r="BA1394" i="1"/>
  <c r="AX1394" i="1"/>
  <c r="AW1394" i="1"/>
  <c r="AT1394" i="1"/>
  <c r="AS1394" i="1"/>
  <c r="AQ1394" i="1"/>
  <c r="AP1394" i="1"/>
  <c r="AO1394" i="1"/>
  <c r="AM1394" i="1"/>
  <c r="AL1394" i="1"/>
  <c r="AK1394" i="1"/>
  <c r="AH1394" i="1"/>
  <c r="AI1394" i="1" s="1"/>
  <c r="AG1394" i="1"/>
  <c r="AD1394" i="1"/>
  <c r="AC1394" i="1"/>
  <c r="Z1394" i="1"/>
  <c r="AA1394" i="1" s="1"/>
  <c r="Y1394" i="1"/>
  <c r="V1394" i="1"/>
  <c r="W1394" i="1" s="1"/>
  <c r="U1394" i="1"/>
  <c r="R1394" i="1"/>
  <c r="Q1394" i="1"/>
  <c r="N1394" i="1"/>
  <c r="M1394" i="1"/>
  <c r="K1394" i="1"/>
  <c r="J1394" i="1"/>
  <c r="I1394" i="1"/>
  <c r="G1394" i="1"/>
  <c r="F1394" i="1"/>
  <c r="E1394" i="1"/>
  <c r="BN1393" i="1"/>
  <c r="BM1393" i="1"/>
  <c r="BL1393" i="1"/>
  <c r="BJ1393" i="1"/>
  <c r="BI1393" i="1"/>
  <c r="BG1393" i="1"/>
  <c r="BF1393" i="1"/>
  <c r="BE1393" i="1"/>
  <c r="BB1393" i="1"/>
  <c r="BC1393" i="1" s="1"/>
  <c r="BA1393" i="1"/>
  <c r="AX1393" i="1"/>
  <c r="AW1393" i="1"/>
  <c r="AT1393" i="1"/>
  <c r="AU1393" i="1" s="1"/>
  <c r="AS1393" i="1"/>
  <c r="AP1393" i="1"/>
  <c r="AQ1393" i="1" s="1"/>
  <c r="AO1393" i="1"/>
  <c r="AL1393" i="1"/>
  <c r="AK1393" i="1"/>
  <c r="AH1393" i="1"/>
  <c r="AG1393" i="1"/>
  <c r="AE1393" i="1"/>
  <c r="AD1393" i="1"/>
  <c r="AC1393" i="1"/>
  <c r="AA1393" i="1"/>
  <c r="Z1393" i="1"/>
  <c r="Y1393" i="1"/>
  <c r="V1393" i="1"/>
  <c r="W1393" i="1" s="1"/>
  <c r="U1393" i="1"/>
  <c r="R1393" i="1"/>
  <c r="Q1393" i="1"/>
  <c r="N1393" i="1"/>
  <c r="O1393" i="1" s="1"/>
  <c r="M1393" i="1"/>
  <c r="J1393" i="1"/>
  <c r="K1393" i="1" s="1"/>
  <c r="I1393" i="1"/>
  <c r="F1393" i="1"/>
  <c r="G1393" i="1" s="1"/>
  <c r="E1393" i="1"/>
  <c r="BN1392" i="1"/>
  <c r="BL1392" i="1"/>
  <c r="BJ1392" i="1"/>
  <c r="BM1392" i="1" s="1"/>
  <c r="BI1392" i="1"/>
  <c r="BF1392" i="1"/>
  <c r="BE1392" i="1"/>
  <c r="BB1392" i="1"/>
  <c r="BA1392" i="1"/>
  <c r="AY1392" i="1"/>
  <c r="AX1392" i="1"/>
  <c r="AW1392" i="1"/>
  <c r="AU1392" i="1"/>
  <c r="AT1392" i="1"/>
  <c r="AS1392" i="1"/>
  <c r="AP1392" i="1"/>
  <c r="AQ1392" i="1" s="1"/>
  <c r="AO1392" i="1"/>
  <c r="AL1392" i="1"/>
  <c r="AK1392" i="1"/>
  <c r="AH1392" i="1"/>
  <c r="AI1392" i="1" s="1"/>
  <c r="AG1392" i="1"/>
  <c r="AD1392" i="1"/>
  <c r="AE1392" i="1" s="1"/>
  <c r="AC1392" i="1"/>
  <c r="Z1392" i="1"/>
  <c r="Y1392" i="1"/>
  <c r="V1392" i="1"/>
  <c r="U1392" i="1"/>
  <c r="S1392" i="1"/>
  <c r="R1392" i="1"/>
  <c r="Q1392" i="1"/>
  <c r="O1392" i="1"/>
  <c r="N1392" i="1"/>
  <c r="M1392" i="1"/>
  <c r="J1392" i="1"/>
  <c r="K1392" i="1" s="1"/>
  <c r="I1392" i="1"/>
  <c r="F1392" i="1"/>
  <c r="E1392" i="1"/>
  <c r="BN1391" i="1"/>
  <c r="BL1391" i="1"/>
  <c r="BJ1391" i="1"/>
  <c r="BM1391" i="1" s="1"/>
  <c r="BI1391" i="1"/>
  <c r="BF1391" i="1"/>
  <c r="BE1391" i="1"/>
  <c r="BB1391" i="1"/>
  <c r="BC1391" i="1" s="1"/>
  <c r="BA1391" i="1"/>
  <c r="AX1391" i="1"/>
  <c r="AY1391" i="1" s="1"/>
  <c r="AW1391" i="1"/>
  <c r="AT1391" i="1"/>
  <c r="AS1391" i="1"/>
  <c r="AP1391" i="1"/>
  <c r="AO1391" i="1"/>
  <c r="AM1391" i="1"/>
  <c r="AL1391" i="1"/>
  <c r="AK1391" i="1"/>
  <c r="AI1391" i="1"/>
  <c r="AH1391" i="1"/>
  <c r="AG1391" i="1"/>
  <c r="AD1391" i="1"/>
  <c r="AE1391" i="1" s="1"/>
  <c r="AC1391" i="1"/>
  <c r="Z1391" i="1"/>
  <c r="Y1391" i="1"/>
  <c r="V1391" i="1"/>
  <c r="W1391" i="1" s="1"/>
  <c r="U1391" i="1"/>
  <c r="R1391" i="1"/>
  <c r="S1391" i="1" s="1"/>
  <c r="Q1391" i="1"/>
  <c r="N1391" i="1"/>
  <c r="O1391" i="1" s="1"/>
  <c r="M1391" i="1"/>
  <c r="J1391" i="1"/>
  <c r="K1391" i="1" s="1"/>
  <c r="I1391" i="1"/>
  <c r="G1391" i="1"/>
  <c r="F1391" i="1"/>
  <c r="E1391" i="1"/>
  <c r="BN1390" i="1"/>
  <c r="BL1390" i="1"/>
  <c r="BJ1390" i="1"/>
  <c r="BM1390" i="1" s="1"/>
  <c r="BI1390" i="1"/>
  <c r="BG1390" i="1"/>
  <c r="BF1390" i="1"/>
  <c r="BE1390" i="1"/>
  <c r="BC1390" i="1"/>
  <c r="BB1390" i="1"/>
  <c r="BA1390" i="1"/>
  <c r="AX1390" i="1"/>
  <c r="AY1390" i="1" s="1"/>
  <c r="AW1390" i="1"/>
  <c r="AT1390" i="1"/>
  <c r="AS1390" i="1"/>
  <c r="AP1390" i="1"/>
  <c r="AQ1390" i="1" s="1"/>
  <c r="AO1390" i="1"/>
  <c r="AL1390" i="1"/>
  <c r="AM1390" i="1" s="1"/>
  <c r="AK1390" i="1"/>
  <c r="AH1390" i="1"/>
  <c r="AG1390" i="1"/>
  <c r="AD1390" i="1"/>
  <c r="AC1390" i="1"/>
  <c r="AA1390" i="1"/>
  <c r="Z1390" i="1"/>
  <c r="Y1390" i="1"/>
  <c r="W1390" i="1"/>
  <c r="V1390" i="1"/>
  <c r="U1390" i="1"/>
  <c r="R1390" i="1"/>
  <c r="S1390" i="1" s="1"/>
  <c r="Q1390" i="1"/>
  <c r="N1390" i="1"/>
  <c r="M1390" i="1"/>
  <c r="J1390" i="1"/>
  <c r="K1390" i="1" s="1"/>
  <c r="I1390" i="1"/>
  <c r="F1390" i="1"/>
  <c r="G1390" i="1" s="1"/>
  <c r="E1390" i="1"/>
  <c r="BN1389" i="1"/>
  <c r="BM1389" i="1"/>
  <c r="BL1389" i="1"/>
  <c r="BJ1389" i="1"/>
  <c r="BI1389" i="1"/>
  <c r="BF1389" i="1"/>
  <c r="BG1389" i="1" s="1"/>
  <c r="BE1389" i="1"/>
  <c r="BB1389" i="1"/>
  <c r="BA1389" i="1"/>
  <c r="AX1389" i="1"/>
  <c r="AW1389" i="1"/>
  <c r="AU1389" i="1"/>
  <c r="AT1389" i="1"/>
  <c r="AS1389" i="1"/>
  <c r="AQ1389" i="1"/>
  <c r="AP1389" i="1"/>
  <c r="AO1389" i="1"/>
  <c r="AL1389" i="1"/>
  <c r="AM1389" i="1" s="1"/>
  <c r="AK1389" i="1"/>
  <c r="AH1389" i="1"/>
  <c r="AG1389" i="1"/>
  <c r="AD1389" i="1"/>
  <c r="AE1389" i="1" s="1"/>
  <c r="AC1389" i="1"/>
  <c r="Z1389" i="1"/>
  <c r="AA1389" i="1" s="1"/>
  <c r="Y1389" i="1"/>
  <c r="V1389" i="1"/>
  <c r="W1389" i="1" s="1"/>
  <c r="U1389" i="1"/>
  <c r="R1389" i="1"/>
  <c r="Q1389" i="1"/>
  <c r="O1389" i="1"/>
  <c r="N1389" i="1"/>
  <c r="M1389" i="1"/>
  <c r="K1389" i="1"/>
  <c r="J1389" i="1"/>
  <c r="I1389" i="1"/>
  <c r="F1389" i="1"/>
  <c r="G1389" i="1" s="1"/>
  <c r="E1389" i="1"/>
  <c r="BN1388" i="1"/>
  <c r="BL1388" i="1"/>
  <c r="BJ1388" i="1"/>
  <c r="BM1388" i="1" s="1"/>
  <c r="BI1388" i="1"/>
  <c r="BF1388" i="1"/>
  <c r="BG1388" i="1" s="1"/>
  <c r="BE1388" i="1"/>
  <c r="BB1388" i="1"/>
  <c r="BA1388" i="1"/>
  <c r="AX1388" i="1"/>
  <c r="AY1388" i="1" s="1"/>
  <c r="AW1388" i="1"/>
  <c r="AT1388" i="1"/>
  <c r="AU1388" i="1" s="1"/>
  <c r="AS1388" i="1"/>
  <c r="AP1388" i="1"/>
  <c r="AQ1388" i="1" s="1"/>
  <c r="AO1388" i="1"/>
  <c r="AL1388" i="1"/>
  <c r="AK1388" i="1"/>
  <c r="AI1388" i="1"/>
  <c r="AH1388" i="1"/>
  <c r="AG1388" i="1"/>
  <c r="AE1388" i="1"/>
  <c r="AD1388" i="1"/>
  <c r="AC1388" i="1"/>
  <c r="Z1388" i="1"/>
  <c r="AA1388" i="1" s="1"/>
  <c r="Y1388" i="1"/>
  <c r="V1388" i="1"/>
  <c r="U1388" i="1"/>
  <c r="R1388" i="1"/>
  <c r="S1388" i="1" s="1"/>
  <c r="Q1388" i="1"/>
  <c r="N1388" i="1"/>
  <c r="O1388" i="1" s="1"/>
  <c r="M1388" i="1"/>
  <c r="J1388" i="1"/>
  <c r="K1388" i="1" s="1"/>
  <c r="I1388" i="1"/>
  <c r="F1388" i="1"/>
  <c r="E1388" i="1"/>
  <c r="BN1387" i="1"/>
  <c r="BL1387" i="1"/>
  <c r="BJ1387" i="1"/>
  <c r="BM1387" i="1" s="1"/>
  <c r="BI1387" i="1"/>
  <c r="BF1387" i="1"/>
  <c r="BE1387" i="1"/>
  <c r="BC1387" i="1"/>
  <c r="BB1387" i="1"/>
  <c r="BA1387" i="1"/>
  <c r="AY1387" i="1"/>
  <c r="AX1387" i="1"/>
  <c r="AW1387" i="1"/>
  <c r="AT1387" i="1"/>
  <c r="AU1387" i="1" s="1"/>
  <c r="AS1387" i="1"/>
  <c r="AP1387" i="1"/>
  <c r="AO1387" i="1"/>
  <c r="AL1387" i="1"/>
  <c r="AM1387" i="1" s="1"/>
  <c r="AK1387" i="1"/>
  <c r="AH1387" i="1"/>
  <c r="AI1387" i="1" s="1"/>
  <c r="AG1387" i="1"/>
  <c r="AD1387" i="1"/>
  <c r="AE1387" i="1" s="1"/>
  <c r="AC1387" i="1"/>
  <c r="Z1387" i="1"/>
  <c r="Y1387" i="1"/>
  <c r="W1387" i="1"/>
  <c r="V1387" i="1"/>
  <c r="U1387" i="1"/>
  <c r="S1387" i="1"/>
  <c r="R1387" i="1"/>
  <c r="Q1387" i="1"/>
  <c r="N1387" i="1"/>
  <c r="O1387" i="1" s="1"/>
  <c r="M1387" i="1"/>
  <c r="J1387" i="1"/>
  <c r="I1387" i="1"/>
  <c r="F1387" i="1"/>
  <c r="G1387" i="1" s="1"/>
  <c r="E1387" i="1"/>
  <c r="BN1386" i="1"/>
  <c r="BM1386" i="1"/>
  <c r="BL1386" i="1"/>
  <c r="BJ1386" i="1"/>
  <c r="BI1386" i="1"/>
  <c r="BF1386" i="1"/>
  <c r="BG1386" i="1" s="1"/>
  <c r="BE1386" i="1"/>
  <c r="BB1386" i="1"/>
  <c r="BC1386" i="1" s="1"/>
  <c r="BA1386" i="1"/>
  <c r="AX1386" i="1"/>
  <c r="AY1386" i="1" s="1"/>
  <c r="AW1386" i="1"/>
  <c r="AT1386" i="1"/>
  <c r="AU1386" i="1" s="1"/>
  <c r="AS1386" i="1"/>
  <c r="AQ1386" i="1"/>
  <c r="AP1386" i="1"/>
  <c r="AO1386" i="1"/>
  <c r="AM1386" i="1"/>
  <c r="AL1386" i="1"/>
  <c r="AK1386" i="1"/>
  <c r="AH1386" i="1"/>
  <c r="AI1386" i="1" s="1"/>
  <c r="AG1386" i="1"/>
  <c r="AD1386" i="1"/>
  <c r="AC1386" i="1"/>
  <c r="Z1386" i="1"/>
  <c r="AA1386" i="1" s="1"/>
  <c r="Y1386" i="1"/>
  <c r="V1386" i="1"/>
  <c r="W1386" i="1" s="1"/>
  <c r="U1386" i="1"/>
  <c r="R1386" i="1"/>
  <c r="S1386" i="1" s="1"/>
  <c r="Q1386" i="1"/>
  <c r="N1386" i="1"/>
  <c r="M1386" i="1"/>
  <c r="K1386" i="1"/>
  <c r="J1386" i="1"/>
  <c r="I1386" i="1"/>
  <c r="G1386" i="1"/>
  <c r="F1386" i="1"/>
  <c r="E1386" i="1"/>
  <c r="BN1385" i="1"/>
  <c r="BM1385" i="1"/>
  <c r="BL1385" i="1"/>
  <c r="BJ1385" i="1"/>
  <c r="BI1385" i="1"/>
  <c r="BG1385" i="1"/>
  <c r="BF1385" i="1"/>
  <c r="BE1385" i="1"/>
  <c r="BB1385" i="1"/>
  <c r="BC1385" i="1" s="1"/>
  <c r="BA1385" i="1"/>
  <c r="AX1385" i="1"/>
  <c r="AW1385" i="1"/>
  <c r="AT1385" i="1"/>
  <c r="AU1385" i="1" s="1"/>
  <c r="AS1385" i="1"/>
  <c r="AP1385" i="1"/>
  <c r="AQ1385" i="1" s="1"/>
  <c r="AO1385" i="1"/>
  <c r="AL1385" i="1"/>
  <c r="AK1385" i="1"/>
  <c r="AH1385" i="1"/>
  <c r="AG1385" i="1"/>
  <c r="AE1385" i="1"/>
  <c r="AD1385" i="1"/>
  <c r="AC1385" i="1"/>
  <c r="AA1385" i="1"/>
  <c r="Z1385" i="1"/>
  <c r="Y1385" i="1"/>
  <c r="V1385" i="1"/>
  <c r="W1385" i="1" s="1"/>
  <c r="U1385" i="1"/>
  <c r="R1385" i="1"/>
  <c r="Q1385" i="1"/>
  <c r="N1385" i="1"/>
  <c r="O1385" i="1" s="1"/>
  <c r="M1385" i="1"/>
  <c r="J1385" i="1"/>
  <c r="K1385" i="1" s="1"/>
  <c r="I1385" i="1"/>
  <c r="F1385" i="1"/>
  <c r="G1385" i="1" s="1"/>
  <c r="E1385" i="1"/>
  <c r="BN1384" i="1"/>
  <c r="BL1384" i="1"/>
  <c r="BJ1384" i="1"/>
  <c r="BM1384" i="1" s="1"/>
  <c r="BI1384" i="1"/>
  <c r="BF1384" i="1"/>
  <c r="BE1384" i="1"/>
  <c r="BB1384" i="1"/>
  <c r="BA1384" i="1"/>
  <c r="AY1384" i="1"/>
  <c r="AX1384" i="1"/>
  <c r="AW1384" i="1"/>
  <c r="AU1384" i="1"/>
  <c r="AT1384" i="1"/>
  <c r="AS1384" i="1"/>
  <c r="AP1384" i="1"/>
  <c r="AQ1384" i="1" s="1"/>
  <c r="AO1384" i="1"/>
  <c r="AL1384" i="1"/>
  <c r="AK1384" i="1"/>
  <c r="AH1384" i="1"/>
  <c r="AI1384" i="1" s="1"/>
  <c r="AG1384" i="1"/>
  <c r="AD1384" i="1"/>
  <c r="AE1384" i="1" s="1"/>
  <c r="AC1384" i="1"/>
  <c r="Z1384" i="1"/>
  <c r="Y1384" i="1"/>
  <c r="V1384" i="1"/>
  <c r="U1384" i="1"/>
  <c r="S1384" i="1"/>
  <c r="R1384" i="1"/>
  <c r="Q1384" i="1"/>
  <c r="O1384" i="1"/>
  <c r="N1384" i="1"/>
  <c r="M1384" i="1"/>
  <c r="J1384" i="1"/>
  <c r="K1384" i="1" s="1"/>
  <c r="I1384" i="1"/>
  <c r="F1384" i="1"/>
  <c r="E1384" i="1"/>
  <c r="BN1383" i="1"/>
  <c r="BL1383" i="1"/>
  <c r="BJ1383" i="1"/>
  <c r="BM1383" i="1" s="1"/>
  <c r="BI1383" i="1"/>
  <c r="BF1383" i="1"/>
  <c r="BE1383" i="1"/>
  <c r="BB1383" i="1"/>
  <c r="BC1383" i="1" s="1"/>
  <c r="BA1383" i="1"/>
  <c r="AX1383" i="1"/>
  <c r="AY1383" i="1" s="1"/>
  <c r="AW1383" i="1"/>
  <c r="AT1383" i="1"/>
  <c r="AS1383" i="1"/>
  <c r="AP1383" i="1"/>
  <c r="AO1383" i="1"/>
  <c r="AM1383" i="1"/>
  <c r="AL1383" i="1"/>
  <c r="AK1383" i="1"/>
  <c r="AI1383" i="1"/>
  <c r="AH1383" i="1"/>
  <c r="AG1383" i="1"/>
  <c r="AD1383" i="1"/>
  <c r="AE1383" i="1" s="1"/>
  <c r="AC1383" i="1"/>
  <c r="Z1383" i="1"/>
  <c r="Y1383" i="1"/>
  <c r="V1383" i="1"/>
  <c r="W1383" i="1" s="1"/>
  <c r="U1383" i="1"/>
  <c r="R1383" i="1"/>
  <c r="S1383" i="1" s="1"/>
  <c r="Q1383" i="1"/>
  <c r="N1383" i="1"/>
  <c r="M1383" i="1"/>
  <c r="J1383" i="1"/>
  <c r="I1383" i="1"/>
  <c r="G1383" i="1"/>
  <c r="F1383" i="1"/>
  <c r="E1383" i="1"/>
  <c r="BN1382" i="1"/>
  <c r="BL1382" i="1"/>
  <c r="BJ1382" i="1"/>
  <c r="BI1382" i="1"/>
  <c r="BG1382" i="1"/>
  <c r="BF1382" i="1"/>
  <c r="BE1382" i="1"/>
  <c r="BC1382" i="1"/>
  <c r="BB1382" i="1"/>
  <c r="BA1382" i="1"/>
  <c r="AX1382" i="1"/>
  <c r="AY1382" i="1" s="1"/>
  <c r="AW1382" i="1"/>
  <c r="AT1382" i="1"/>
  <c r="AS1382" i="1"/>
  <c r="AP1382" i="1"/>
  <c r="AQ1382" i="1" s="1"/>
  <c r="AO1382" i="1"/>
  <c r="AL1382" i="1"/>
  <c r="AM1382" i="1" s="1"/>
  <c r="AK1382" i="1"/>
  <c r="AH1382" i="1"/>
  <c r="AG1382" i="1"/>
  <c r="AD1382" i="1"/>
  <c r="AC1382" i="1"/>
  <c r="AA1382" i="1"/>
  <c r="Z1382" i="1"/>
  <c r="Y1382" i="1"/>
  <c r="W1382" i="1"/>
  <c r="V1382" i="1"/>
  <c r="U1382" i="1"/>
  <c r="R1382" i="1"/>
  <c r="S1382" i="1" s="1"/>
  <c r="Q1382" i="1"/>
  <c r="N1382" i="1"/>
  <c r="M1382" i="1"/>
  <c r="J1382" i="1"/>
  <c r="K1382" i="1" s="1"/>
  <c r="I1382" i="1"/>
  <c r="F1382" i="1"/>
  <c r="G1382" i="1" s="1"/>
  <c r="E1382" i="1"/>
  <c r="BN1381" i="1"/>
  <c r="BM1381" i="1"/>
  <c r="BL1381" i="1"/>
  <c r="BJ1381" i="1"/>
  <c r="BI1381" i="1"/>
  <c r="BF1381" i="1"/>
  <c r="BG1381" i="1" s="1"/>
  <c r="BE1381" i="1"/>
  <c r="BB1381" i="1"/>
  <c r="BA1381" i="1"/>
  <c r="AX1381" i="1"/>
  <c r="AW1381" i="1"/>
  <c r="AU1381" i="1"/>
  <c r="AT1381" i="1"/>
  <c r="AS1381" i="1"/>
  <c r="AQ1381" i="1"/>
  <c r="AP1381" i="1"/>
  <c r="AO1381" i="1"/>
  <c r="AL1381" i="1"/>
  <c r="AM1381" i="1" s="1"/>
  <c r="AK1381" i="1"/>
  <c r="AH1381" i="1"/>
  <c r="AG1381" i="1"/>
  <c r="AD1381" i="1"/>
  <c r="AE1381" i="1" s="1"/>
  <c r="AC1381" i="1"/>
  <c r="Z1381" i="1"/>
  <c r="AA1381" i="1" s="1"/>
  <c r="Y1381" i="1"/>
  <c r="V1381" i="1"/>
  <c r="U1381" i="1"/>
  <c r="R1381" i="1"/>
  <c r="Q1381" i="1"/>
  <c r="O1381" i="1"/>
  <c r="N1381" i="1"/>
  <c r="M1381" i="1"/>
  <c r="K1381" i="1"/>
  <c r="J1381" i="1"/>
  <c r="I1381" i="1"/>
  <c r="F1381" i="1"/>
  <c r="G1381" i="1" s="1"/>
  <c r="E1381" i="1"/>
  <c r="BN1380" i="1"/>
  <c r="BL1380" i="1"/>
  <c r="BJ1380" i="1"/>
  <c r="BM1380" i="1" s="1"/>
  <c r="BI1380" i="1"/>
  <c r="BF1380" i="1"/>
  <c r="BG1380" i="1" s="1"/>
  <c r="BE1380" i="1"/>
  <c r="BB1380" i="1"/>
  <c r="BA1380" i="1"/>
  <c r="AX1380" i="1"/>
  <c r="AY1380" i="1" s="1"/>
  <c r="AW1380" i="1"/>
  <c r="AT1380" i="1"/>
  <c r="AU1380" i="1" s="1"/>
  <c r="AS1380" i="1"/>
  <c r="AP1380" i="1"/>
  <c r="AO1380" i="1"/>
  <c r="AL1380" i="1"/>
  <c r="AK1380" i="1"/>
  <c r="AI1380" i="1"/>
  <c r="AH1380" i="1"/>
  <c r="AG1380" i="1"/>
  <c r="AE1380" i="1"/>
  <c r="AD1380" i="1"/>
  <c r="AC1380" i="1"/>
  <c r="Z1380" i="1"/>
  <c r="AA1380" i="1" s="1"/>
  <c r="Y1380" i="1"/>
  <c r="V1380" i="1"/>
  <c r="U1380" i="1"/>
  <c r="R1380" i="1"/>
  <c r="S1380" i="1" s="1"/>
  <c r="Q1380" i="1"/>
  <c r="N1380" i="1"/>
  <c r="O1380" i="1" s="1"/>
  <c r="M1380" i="1"/>
  <c r="J1380" i="1"/>
  <c r="I1380" i="1"/>
  <c r="F1380" i="1"/>
  <c r="E1380" i="1"/>
  <c r="BN1379" i="1"/>
  <c r="BL1379" i="1"/>
  <c r="BJ1379" i="1"/>
  <c r="BI1379" i="1"/>
  <c r="BF1379" i="1"/>
  <c r="BE1379" i="1"/>
  <c r="BC1379" i="1"/>
  <c r="BB1379" i="1"/>
  <c r="BA1379" i="1"/>
  <c r="AY1379" i="1"/>
  <c r="AX1379" i="1"/>
  <c r="AW1379" i="1"/>
  <c r="AT1379" i="1"/>
  <c r="AU1379" i="1" s="1"/>
  <c r="AS1379" i="1"/>
  <c r="AP1379" i="1"/>
  <c r="AO1379" i="1"/>
  <c r="AL1379" i="1"/>
  <c r="AM1379" i="1" s="1"/>
  <c r="AK1379" i="1"/>
  <c r="AH1379" i="1"/>
  <c r="AI1379" i="1" s="1"/>
  <c r="AG1379" i="1"/>
  <c r="AD1379" i="1"/>
  <c r="AC1379" i="1"/>
  <c r="Z1379" i="1"/>
  <c r="Y1379" i="1"/>
  <c r="W1379" i="1"/>
  <c r="V1379" i="1"/>
  <c r="U1379" i="1"/>
  <c r="S1379" i="1"/>
  <c r="R1379" i="1"/>
  <c r="Q1379" i="1"/>
  <c r="N1379" i="1"/>
  <c r="O1379" i="1" s="1"/>
  <c r="M1379" i="1"/>
  <c r="J1379" i="1"/>
  <c r="I1379" i="1"/>
  <c r="F1379" i="1"/>
  <c r="G1379" i="1" s="1"/>
  <c r="E1379" i="1"/>
  <c r="BN1378" i="1"/>
  <c r="BM1378" i="1"/>
  <c r="BL1378" i="1"/>
  <c r="BJ1378" i="1"/>
  <c r="BI1378" i="1"/>
  <c r="BF1378" i="1"/>
  <c r="BG1378" i="1" s="1"/>
  <c r="BE1378" i="1"/>
  <c r="BB1378" i="1"/>
  <c r="BC1378" i="1" s="1"/>
  <c r="BA1378" i="1"/>
  <c r="AX1378" i="1"/>
  <c r="AW1378" i="1"/>
  <c r="AT1378" i="1"/>
  <c r="AS1378" i="1"/>
  <c r="AQ1378" i="1"/>
  <c r="AP1378" i="1"/>
  <c r="AO1378" i="1"/>
  <c r="AM1378" i="1"/>
  <c r="AL1378" i="1"/>
  <c r="AK1378" i="1"/>
  <c r="AH1378" i="1"/>
  <c r="AI1378" i="1" s="1"/>
  <c r="AG1378" i="1"/>
  <c r="AD1378" i="1"/>
  <c r="AC1378" i="1"/>
  <c r="Z1378" i="1"/>
  <c r="AA1378" i="1" s="1"/>
  <c r="Y1378" i="1"/>
  <c r="V1378" i="1"/>
  <c r="W1378" i="1" s="1"/>
  <c r="U1378" i="1"/>
  <c r="R1378" i="1"/>
  <c r="Q1378" i="1"/>
  <c r="N1378" i="1"/>
  <c r="M1378" i="1"/>
  <c r="K1378" i="1"/>
  <c r="J1378" i="1"/>
  <c r="I1378" i="1"/>
  <c r="G1378" i="1"/>
  <c r="F1378" i="1"/>
  <c r="E1378" i="1"/>
  <c r="BN1377" i="1"/>
  <c r="BM1377" i="1"/>
  <c r="BL1377" i="1"/>
  <c r="BJ1377" i="1"/>
  <c r="BI1377" i="1"/>
  <c r="BG1377" i="1"/>
  <c r="BF1377" i="1"/>
  <c r="BE1377" i="1"/>
  <c r="BB1377" i="1"/>
  <c r="BC1377" i="1" s="1"/>
  <c r="BA1377" i="1"/>
  <c r="AX1377" i="1"/>
  <c r="AW1377" i="1"/>
  <c r="AT1377" i="1"/>
  <c r="AU1377" i="1" s="1"/>
  <c r="AS1377" i="1"/>
  <c r="AP1377" i="1"/>
  <c r="AQ1377" i="1" s="1"/>
  <c r="AO1377" i="1"/>
  <c r="AL1377" i="1"/>
  <c r="AK1377" i="1"/>
  <c r="AH1377" i="1"/>
  <c r="AG1377" i="1"/>
  <c r="AE1377" i="1"/>
  <c r="AD1377" i="1"/>
  <c r="AC1377" i="1"/>
  <c r="AA1377" i="1"/>
  <c r="Z1377" i="1"/>
  <c r="Y1377" i="1"/>
  <c r="V1377" i="1"/>
  <c r="W1377" i="1" s="1"/>
  <c r="U1377" i="1"/>
  <c r="R1377" i="1"/>
  <c r="Q1377" i="1"/>
  <c r="N1377" i="1"/>
  <c r="O1377" i="1" s="1"/>
  <c r="M1377" i="1"/>
  <c r="J1377" i="1"/>
  <c r="K1377" i="1" s="1"/>
  <c r="I1377" i="1"/>
  <c r="F1377" i="1"/>
  <c r="G1377" i="1" s="1"/>
  <c r="E1377" i="1"/>
  <c r="BN1376" i="1"/>
  <c r="BL1376" i="1"/>
  <c r="BJ1376" i="1"/>
  <c r="BM1376" i="1" s="1"/>
  <c r="BI1376" i="1"/>
  <c r="BF1376" i="1"/>
  <c r="BE1376" i="1"/>
  <c r="BB1376" i="1"/>
  <c r="BA1376" i="1"/>
  <c r="AY1376" i="1"/>
  <c r="AX1376" i="1"/>
  <c r="AW1376" i="1"/>
  <c r="AU1376" i="1"/>
  <c r="AT1376" i="1"/>
  <c r="AS1376" i="1"/>
  <c r="AP1376" i="1"/>
  <c r="AQ1376" i="1" s="1"/>
  <c r="AO1376" i="1"/>
  <c r="AL1376" i="1"/>
  <c r="AK1376" i="1"/>
  <c r="AH1376" i="1"/>
  <c r="AI1376" i="1" s="1"/>
  <c r="AG1376" i="1"/>
  <c r="AD1376" i="1"/>
  <c r="AE1376" i="1" s="1"/>
  <c r="AC1376" i="1"/>
  <c r="Z1376" i="1"/>
  <c r="Y1376" i="1"/>
  <c r="V1376" i="1"/>
  <c r="U1376" i="1"/>
  <c r="S1376" i="1"/>
  <c r="R1376" i="1"/>
  <c r="Q1376" i="1"/>
  <c r="O1376" i="1"/>
  <c r="N1376" i="1"/>
  <c r="M1376" i="1"/>
  <c r="J1376" i="1"/>
  <c r="K1376" i="1" s="1"/>
  <c r="I1376" i="1"/>
  <c r="F1376" i="1"/>
  <c r="E1376" i="1"/>
  <c r="BN1375" i="1"/>
  <c r="BL1375" i="1"/>
  <c r="BJ1375" i="1"/>
  <c r="BM1375" i="1" s="1"/>
  <c r="BI1375" i="1"/>
  <c r="BF1375" i="1"/>
  <c r="BE1375" i="1"/>
  <c r="BB1375" i="1"/>
  <c r="BC1375" i="1" s="1"/>
  <c r="BA1375" i="1"/>
  <c r="AX1375" i="1"/>
  <c r="AY1375" i="1" s="1"/>
  <c r="AW1375" i="1"/>
  <c r="AT1375" i="1"/>
  <c r="AS1375" i="1"/>
  <c r="AP1375" i="1"/>
  <c r="AO1375" i="1"/>
  <c r="AM1375" i="1"/>
  <c r="AL1375" i="1"/>
  <c r="AK1375" i="1"/>
  <c r="AI1375" i="1"/>
  <c r="AH1375" i="1"/>
  <c r="AG1375" i="1"/>
  <c r="AD1375" i="1"/>
  <c r="AE1375" i="1" s="1"/>
  <c r="AC1375" i="1"/>
  <c r="Z1375" i="1"/>
  <c r="Y1375" i="1"/>
  <c r="V1375" i="1"/>
  <c r="W1375" i="1" s="1"/>
  <c r="U1375" i="1"/>
  <c r="R1375" i="1"/>
  <c r="S1375" i="1" s="1"/>
  <c r="Q1375" i="1"/>
  <c r="N1375" i="1"/>
  <c r="M1375" i="1"/>
  <c r="J1375" i="1"/>
  <c r="I1375" i="1"/>
  <c r="G1375" i="1"/>
  <c r="F1375" i="1"/>
  <c r="E1375" i="1"/>
  <c r="BN1374" i="1"/>
  <c r="BL1374" i="1"/>
  <c r="BJ1374" i="1"/>
  <c r="BI1374" i="1"/>
  <c r="BG1374" i="1"/>
  <c r="BF1374" i="1"/>
  <c r="BE1374" i="1"/>
  <c r="BC1374" i="1"/>
  <c r="BB1374" i="1"/>
  <c r="BA1374" i="1"/>
  <c r="AX1374" i="1"/>
  <c r="AY1374" i="1" s="1"/>
  <c r="AW1374" i="1"/>
  <c r="AT1374" i="1"/>
  <c r="AS1374" i="1"/>
  <c r="AP1374" i="1"/>
  <c r="AQ1374" i="1" s="1"/>
  <c r="AO1374" i="1"/>
  <c r="AL1374" i="1"/>
  <c r="AM1374" i="1" s="1"/>
  <c r="AK1374" i="1"/>
  <c r="AH1374" i="1"/>
  <c r="AG1374" i="1"/>
  <c r="AD1374" i="1"/>
  <c r="AC1374" i="1"/>
  <c r="AA1374" i="1"/>
  <c r="Z1374" i="1"/>
  <c r="Y1374" i="1"/>
  <c r="W1374" i="1"/>
  <c r="V1374" i="1"/>
  <c r="U1374" i="1"/>
  <c r="R1374" i="1"/>
  <c r="S1374" i="1" s="1"/>
  <c r="Q1374" i="1"/>
  <c r="N1374" i="1"/>
  <c r="M1374" i="1"/>
  <c r="J1374" i="1"/>
  <c r="K1374" i="1" s="1"/>
  <c r="I1374" i="1"/>
  <c r="F1374" i="1"/>
  <c r="G1374" i="1" s="1"/>
  <c r="E1374" i="1"/>
  <c r="BN1373" i="1"/>
  <c r="BM1373" i="1"/>
  <c r="BL1373" i="1"/>
  <c r="BJ1373" i="1"/>
  <c r="BI1373" i="1"/>
  <c r="BF1373" i="1"/>
  <c r="BG1373" i="1" s="1"/>
  <c r="BE1373" i="1"/>
  <c r="BB1373" i="1"/>
  <c r="BA1373" i="1"/>
  <c r="AX1373" i="1"/>
  <c r="AW1373" i="1"/>
  <c r="AU1373" i="1"/>
  <c r="AT1373" i="1"/>
  <c r="AS1373" i="1"/>
  <c r="AQ1373" i="1"/>
  <c r="AP1373" i="1"/>
  <c r="AO1373" i="1"/>
  <c r="AL1373" i="1"/>
  <c r="AM1373" i="1" s="1"/>
  <c r="AK1373" i="1"/>
  <c r="AH1373" i="1"/>
  <c r="AG1373" i="1"/>
  <c r="AD1373" i="1"/>
  <c r="AE1373" i="1" s="1"/>
  <c r="AC1373" i="1"/>
  <c r="Z1373" i="1"/>
  <c r="AA1373" i="1" s="1"/>
  <c r="Y1373" i="1"/>
  <c r="V1373" i="1"/>
  <c r="U1373" i="1"/>
  <c r="R1373" i="1"/>
  <c r="Q1373" i="1"/>
  <c r="O1373" i="1"/>
  <c r="N1373" i="1"/>
  <c r="M1373" i="1"/>
  <c r="K1373" i="1"/>
  <c r="J1373" i="1"/>
  <c r="I1373" i="1"/>
  <c r="F1373" i="1"/>
  <c r="G1373" i="1" s="1"/>
  <c r="E1373" i="1"/>
  <c r="BN1372" i="1"/>
  <c r="BL1372" i="1"/>
  <c r="BJ1372" i="1"/>
  <c r="BM1372" i="1" s="1"/>
  <c r="BI1372" i="1"/>
  <c r="BF1372" i="1"/>
  <c r="BG1372" i="1" s="1"/>
  <c r="BE1372" i="1"/>
  <c r="BB1372" i="1"/>
  <c r="BA1372" i="1"/>
  <c r="AX1372" i="1"/>
  <c r="AY1372" i="1" s="1"/>
  <c r="AW1372" i="1"/>
  <c r="AT1372" i="1"/>
  <c r="AU1372" i="1" s="1"/>
  <c r="AS1372" i="1"/>
  <c r="AP1372" i="1"/>
  <c r="AO1372" i="1"/>
  <c r="AL1372" i="1"/>
  <c r="AK1372" i="1"/>
  <c r="AI1372" i="1"/>
  <c r="AH1372" i="1"/>
  <c r="AG1372" i="1"/>
  <c r="AE1372" i="1"/>
  <c r="AD1372" i="1"/>
  <c r="AC1372" i="1"/>
  <c r="Z1372" i="1"/>
  <c r="AA1372" i="1" s="1"/>
  <c r="Y1372" i="1"/>
  <c r="V1372" i="1"/>
  <c r="U1372" i="1"/>
  <c r="R1372" i="1"/>
  <c r="S1372" i="1" s="1"/>
  <c r="Q1372" i="1"/>
  <c r="N1372" i="1"/>
  <c r="O1372" i="1" s="1"/>
  <c r="M1372" i="1"/>
  <c r="J1372" i="1"/>
  <c r="I1372" i="1"/>
  <c r="F1372" i="1"/>
  <c r="E1372" i="1"/>
  <c r="BN1371" i="1"/>
  <c r="BL1371" i="1"/>
  <c r="BJ1371" i="1"/>
  <c r="BI1371" i="1"/>
  <c r="BF1371" i="1"/>
  <c r="BE1371" i="1"/>
  <c r="BC1371" i="1"/>
  <c r="BB1371" i="1"/>
  <c r="BA1371" i="1"/>
  <c r="AY1371" i="1"/>
  <c r="AX1371" i="1"/>
  <c r="AW1371" i="1"/>
  <c r="AT1371" i="1"/>
  <c r="AU1371" i="1" s="1"/>
  <c r="AS1371" i="1"/>
  <c r="AP1371" i="1"/>
  <c r="AO1371" i="1"/>
  <c r="AL1371" i="1"/>
  <c r="AM1371" i="1" s="1"/>
  <c r="AK1371" i="1"/>
  <c r="AH1371" i="1"/>
  <c r="AI1371" i="1" s="1"/>
  <c r="AG1371" i="1"/>
  <c r="AD1371" i="1"/>
  <c r="AC1371" i="1"/>
  <c r="Z1371" i="1"/>
  <c r="Y1371" i="1"/>
  <c r="W1371" i="1"/>
  <c r="V1371" i="1"/>
  <c r="U1371" i="1"/>
  <c r="S1371" i="1"/>
  <c r="R1371" i="1"/>
  <c r="Q1371" i="1"/>
  <c r="N1371" i="1"/>
  <c r="O1371" i="1" s="1"/>
  <c r="M1371" i="1"/>
  <c r="J1371" i="1"/>
  <c r="I1371" i="1"/>
  <c r="F1371" i="1"/>
  <c r="G1371" i="1" s="1"/>
  <c r="E1371" i="1"/>
  <c r="BN1370" i="1"/>
  <c r="BM1370" i="1"/>
  <c r="BL1370" i="1"/>
  <c r="BJ1370" i="1"/>
  <c r="BI1370" i="1"/>
  <c r="BF1370" i="1"/>
  <c r="BG1370" i="1" s="1"/>
  <c r="BE1370" i="1"/>
  <c r="BB1370" i="1"/>
  <c r="BC1370" i="1" s="1"/>
  <c r="BA1370" i="1"/>
  <c r="AX1370" i="1"/>
  <c r="AY1370" i="1" s="1"/>
  <c r="AW1370" i="1"/>
  <c r="AT1370" i="1"/>
  <c r="AS1370" i="1"/>
  <c r="AQ1370" i="1"/>
  <c r="AP1370" i="1"/>
  <c r="AO1370" i="1"/>
  <c r="AM1370" i="1"/>
  <c r="AL1370" i="1"/>
  <c r="AK1370" i="1"/>
  <c r="AH1370" i="1"/>
  <c r="AI1370" i="1" s="1"/>
  <c r="AG1370" i="1"/>
  <c r="AD1370" i="1"/>
  <c r="AC1370" i="1"/>
  <c r="Z1370" i="1"/>
  <c r="AA1370" i="1" s="1"/>
  <c r="Y1370" i="1"/>
  <c r="V1370" i="1"/>
  <c r="W1370" i="1" s="1"/>
  <c r="U1370" i="1"/>
  <c r="R1370" i="1"/>
  <c r="Q1370" i="1"/>
  <c r="N1370" i="1"/>
  <c r="O1370" i="1" s="1"/>
  <c r="M1370" i="1"/>
  <c r="K1370" i="1"/>
  <c r="J1370" i="1"/>
  <c r="I1370" i="1"/>
  <c r="G1370" i="1"/>
  <c r="F1370" i="1"/>
  <c r="E1370" i="1"/>
  <c r="BN1369" i="1"/>
  <c r="BM1369" i="1"/>
  <c r="BL1369" i="1"/>
  <c r="BJ1369" i="1"/>
  <c r="BI1369" i="1"/>
  <c r="BG1369" i="1"/>
  <c r="BF1369" i="1"/>
  <c r="BE1369" i="1"/>
  <c r="BB1369" i="1"/>
  <c r="BC1369" i="1" s="1"/>
  <c r="BA1369" i="1"/>
  <c r="AX1369" i="1"/>
  <c r="AW1369" i="1"/>
  <c r="AT1369" i="1"/>
  <c r="AU1369" i="1" s="1"/>
  <c r="AS1369" i="1"/>
  <c r="AP1369" i="1"/>
  <c r="AQ1369" i="1" s="1"/>
  <c r="AO1369" i="1"/>
  <c r="AL1369" i="1"/>
  <c r="AM1369" i="1" s="1"/>
  <c r="AK1369" i="1"/>
  <c r="AH1369" i="1"/>
  <c r="AF1369" i="1"/>
  <c r="AG1369" i="1" s="1"/>
  <c r="AD1369" i="1"/>
  <c r="AC1369" i="1"/>
  <c r="Z1369" i="1"/>
  <c r="AA1369" i="1" s="1"/>
  <c r="Y1369" i="1"/>
  <c r="V1369" i="1"/>
  <c r="W1369" i="1" s="1"/>
  <c r="U1369" i="1"/>
  <c r="R1369" i="1"/>
  <c r="Q1369" i="1"/>
  <c r="N1369" i="1"/>
  <c r="O1369" i="1" s="1"/>
  <c r="M1369" i="1"/>
  <c r="K1369" i="1"/>
  <c r="J1369" i="1"/>
  <c r="I1369" i="1"/>
  <c r="G1369" i="1"/>
  <c r="F1369" i="1"/>
  <c r="E1369" i="1"/>
  <c r="BN1368" i="1"/>
  <c r="BM1368" i="1"/>
  <c r="BL1368" i="1"/>
  <c r="BJ1368" i="1"/>
  <c r="BI1368" i="1"/>
  <c r="BG1368" i="1"/>
  <c r="BF1368" i="1"/>
  <c r="BE1368" i="1"/>
  <c r="BB1368" i="1"/>
  <c r="BC1368" i="1" s="1"/>
  <c r="BA1368" i="1"/>
  <c r="AX1368" i="1"/>
  <c r="AW1368" i="1"/>
  <c r="AT1368" i="1"/>
  <c r="AU1368" i="1" s="1"/>
  <c r="AS1368" i="1"/>
  <c r="AP1368" i="1"/>
  <c r="AQ1368" i="1" s="1"/>
  <c r="AO1368" i="1"/>
  <c r="AL1368" i="1"/>
  <c r="AK1368" i="1"/>
  <c r="AH1368" i="1"/>
  <c r="AE1368" i="1" s="1"/>
  <c r="AF1368" i="1"/>
  <c r="AG1368" i="1" s="1"/>
  <c r="AD1368" i="1"/>
  <c r="AC1368" i="1"/>
  <c r="Z1368" i="1"/>
  <c r="AA1368" i="1" s="1"/>
  <c r="Y1368" i="1"/>
  <c r="V1368" i="1"/>
  <c r="W1368" i="1" s="1"/>
  <c r="U1368" i="1"/>
  <c r="R1368" i="1"/>
  <c r="Q1368" i="1"/>
  <c r="N1368" i="1"/>
  <c r="O1368" i="1" s="1"/>
  <c r="M1368" i="1"/>
  <c r="K1368" i="1"/>
  <c r="J1368" i="1"/>
  <c r="I1368" i="1"/>
  <c r="G1368" i="1"/>
  <c r="F1368" i="1"/>
  <c r="E1368" i="1"/>
  <c r="BN1367" i="1"/>
  <c r="BM1367" i="1"/>
  <c r="BL1367" i="1"/>
  <c r="BJ1367" i="1"/>
  <c r="BI1367" i="1"/>
  <c r="BG1367" i="1"/>
  <c r="BF1367" i="1"/>
  <c r="BE1367" i="1"/>
  <c r="BB1367" i="1"/>
  <c r="BC1367" i="1" s="1"/>
  <c r="BA1367" i="1"/>
  <c r="AX1367" i="1"/>
  <c r="AW1367" i="1"/>
  <c r="AT1367" i="1"/>
  <c r="AU1367" i="1" s="1"/>
  <c r="AS1367" i="1"/>
  <c r="AP1367" i="1"/>
  <c r="AQ1367" i="1" s="1"/>
  <c r="AO1367" i="1"/>
  <c r="AL1367" i="1"/>
  <c r="AK1367" i="1"/>
  <c r="AH1367" i="1"/>
  <c r="AE1367" i="1" s="1"/>
  <c r="AF1367" i="1"/>
  <c r="AG1367" i="1" s="1"/>
  <c r="AD1367" i="1"/>
  <c r="AC1367" i="1"/>
  <c r="Z1367" i="1"/>
  <c r="AA1367" i="1" s="1"/>
  <c r="Y1367" i="1"/>
  <c r="V1367" i="1"/>
  <c r="W1367" i="1" s="1"/>
  <c r="U1367" i="1"/>
  <c r="R1367" i="1"/>
  <c r="Q1367" i="1"/>
  <c r="N1367" i="1"/>
  <c r="O1367" i="1" s="1"/>
  <c r="M1367" i="1"/>
  <c r="K1367" i="1"/>
  <c r="J1367" i="1"/>
  <c r="I1367" i="1"/>
  <c r="G1367" i="1"/>
  <c r="F1367" i="1"/>
  <c r="E1367" i="1"/>
  <c r="BN1366" i="1"/>
  <c r="BM1366" i="1"/>
  <c r="BL1366" i="1"/>
  <c r="BJ1366" i="1"/>
  <c r="BI1366" i="1"/>
  <c r="BG1366" i="1"/>
  <c r="BF1366" i="1"/>
  <c r="BE1366" i="1"/>
  <c r="BB1366" i="1"/>
  <c r="BC1366" i="1" s="1"/>
  <c r="BA1366" i="1"/>
  <c r="AX1366" i="1"/>
  <c r="AW1366" i="1"/>
  <c r="AT1366" i="1"/>
  <c r="AU1366" i="1" s="1"/>
  <c r="AS1366" i="1"/>
  <c r="AP1366" i="1"/>
  <c r="AQ1366" i="1" s="1"/>
  <c r="AO1366" i="1"/>
  <c r="AL1366" i="1"/>
  <c r="AK1366" i="1"/>
  <c r="AH1366" i="1"/>
  <c r="AG1366" i="1"/>
  <c r="AE1366" i="1"/>
  <c r="AD1366" i="1"/>
  <c r="AC1366" i="1"/>
  <c r="AA1366" i="1"/>
  <c r="Z1366" i="1"/>
  <c r="Y1366" i="1"/>
  <c r="V1366" i="1"/>
  <c r="W1366" i="1" s="1"/>
  <c r="U1366" i="1"/>
  <c r="R1366" i="1"/>
  <c r="Q1366" i="1"/>
  <c r="N1366" i="1"/>
  <c r="O1366" i="1" s="1"/>
  <c r="M1366" i="1"/>
  <c r="J1366" i="1"/>
  <c r="K1366" i="1" s="1"/>
  <c r="I1366" i="1"/>
  <c r="F1366" i="1"/>
  <c r="E1366" i="1"/>
  <c r="BN1365" i="1"/>
  <c r="BL1365" i="1"/>
  <c r="BJ1365" i="1"/>
  <c r="BM1365" i="1" s="1"/>
  <c r="BI1365" i="1"/>
  <c r="BF1365" i="1"/>
  <c r="BE1365" i="1"/>
  <c r="BB1365" i="1"/>
  <c r="BA1365" i="1"/>
  <c r="AY1365" i="1"/>
  <c r="AX1365" i="1"/>
  <c r="AW1365" i="1"/>
  <c r="AU1365" i="1"/>
  <c r="AT1365" i="1"/>
  <c r="AS1365" i="1"/>
  <c r="AP1365" i="1"/>
  <c r="AQ1365" i="1" s="1"/>
  <c r="AO1365" i="1"/>
  <c r="AL1365" i="1"/>
  <c r="AK1365" i="1"/>
  <c r="AH1365" i="1"/>
  <c r="AI1365" i="1" s="1"/>
  <c r="AG1365" i="1"/>
  <c r="AD1365" i="1"/>
  <c r="AE1365" i="1" s="1"/>
  <c r="AC1365" i="1"/>
  <c r="Z1365" i="1"/>
  <c r="Y1365" i="1"/>
  <c r="V1365" i="1"/>
  <c r="W1365" i="1" s="1"/>
  <c r="U1365" i="1"/>
  <c r="S1365" i="1"/>
  <c r="R1365" i="1"/>
  <c r="Q1365" i="1"/>
  <c r="O1365" i="1"/>
  <c r="N1365" i="1"/>
  <c r="M1365" i="1"/>
  <c r="J1365" i="1"/>
  <c r="K1365" i="1" s="1"/>
  <c r="I1365" i="1"/>
  <c r="F1365" i="1"/>
  <c r="E1365" i="1"/>
  <c r="BN1364" i="1"/>
  <c r="BL1364" i="1"/>
  <c r="BJ1364" i="1"/>
  <c r="BM1364" i="1" s="1"/>
  <c r="BI1364" i="1"/>
  <c r="BF1364" i="1"/>
  <c r="BE1364" i="1"/>
  <c r="BB1364" i="1"/>
  <c r="BC1364" i="1" s="1"/>
  <c r="BA1364" i="1"/>
  <c r="AX1364" i="1"/>
  <c r="AY1364" i="1" s="1"/>
  <c r="AW1364" i="1"/>
  <c r="AT1364" i="1"/>
  <c r="AS1364" i="1"/>
  <c r="AP1364" i="1"/>
  <c r="AQ1364" i="1" s="1"/>
  <c r="AO1364" i="1"/>
  <c r="AM1364" i="1"/>
  <c r="AL1364" i="1"/>
  <c r="AK1364" i="1"/>
  <c r="AI1364" i="1"/>
  <c r="AH1364" i="1"/>
  <c r="AG1364" i="1"/>
  <c r="AD1364" i="1"/>
  <c r="AE1364" i="1" s="1"/>
  <c r="AC1364" i="1"/>
  <c r="Z1364" i="1"/>
  <c r="Y1364" i="1"/>
  <c r="V1364" i="1"/>
  <c r="W1364" i="1" s="1"/>
  <c r="U1364" i="1"/>
  <c r="R1364" i="1"/>
  <c r="S1364" i="1" s="1"/>
  <c r="Q1364" i="1"/>
  <c r="N1364" i="1"/>
  <c r="O1364" i="1" s="1"/>
  <c r="M1364" i="1"/>
  <c r="J1364" i="1"/>
  <c r="I1364" i="1"/>
  <c r="G1364" i="1"/>
  <c r="F1364" i="1"/>
  <c r="E1364" i="1"/>
  <c r="BN1363" i="1"/>
  <c r="BL1363" i="1"/>
  <c r="BJ1363" i="1"/>
  <c r="BM1363" i="1" s="1"/>
  <c r="BI1363" i="1"/>
  <c r="BG1363" i="1"/>
  <c r="BF1363" i="1"/>
  <c r="BE1363" i="1"/>
  <c r="BC1363" i="1"/>
  <c r="BB1363" i="1"/>
  <c r="BA1363" i="1"/>
  <c r="AX1363" i="1"/>
  <c r="AY1363" i="1" s="1"/>
  <c r="AW1363" i="1"/>
  <c r="AT1363" i="1"/>
  <c r="AS1363" i="1"/>
  <c r="AP1363" i="1"/>
  <c r="AQ1363" i="1" s="1"/>
  <c r="AO1363" i="1"/>
  <c r="AL1363" i="1"/>
  <c r="AM1363" i="1" s="1"/>
  <c r="AK1363" i="1"/>
  <c r="AH1363" i="1"/>
  <c r="AI1363" i="1" s="1"/>
  <c r="AG1363" i="1"/>
  <c r="AD1363" i="1"/>
  <c r="AE1363" i="1" s="1"/>
  <c r="AC1363" i="1"/>
  <c r="AA1363" i="1"/>
  <c r="Z1363" i="1"/>
  <c r="Y1363" i="1"/>
  <c r="W1363" i="1"/>
  <c r="V1363" i="1"/>
  <c r="U1363" i="1"/>
  <c r="R1363" i="1"/>
  <c r="S1363" i="1" s="1"/>
  <c r="Q1363" i="1"/>
  <c r="N1363" i="1"/>
  <c r="M1363" i="1"/>
  <c r="J1363" i="1"/>
  <c r="K1363" i="1" s="1"/>
  <c r="I1363" i="1"/>
  <c r="F1363" i="1"/>
  <c r="G1363" i="1" s="1"/>
  <c r="E1363" i="1"/>
  <c r="BN1362" i="1"/>
  <c r="BM1362" i="1"/>
  <c r="BL1362" i="1"/>
  <c r="BJ1362" i="1"/>
  <c r="BI1362" i="1"/>
  <c r="BF1362" i="1"/>
  <c r="BG1362" i="1" s="1"/>
  <c r="BE1362" i="1"/>
  <c r="BB1362" i="1"/>
  <c r="BA1362" i="1"/>
  <c r="AX1362" i="1"/>
  <c r="AY1362" i="1" s="1"/>
  <c r="AW1362" i="1"/>
  <c r="AU1362" i="1"/>
  <c r="AT1362" i="1"/>
  <c r="AS1362" i="1"/>
  <c r="AQ1362" i="1"/>
  <c r="AP1362" i="1"/>
  <c r="AO1362" i="1"/>
  <c r="AL1362" i="1"/>
  <c r="AM1362" i="1" s="1"/>
  <c r="AK1362" i="1"/>
  <c r="AH1362" i="1"/>
  <c r="AG1362" i="1"/>
  <c r="AD1362" i="1"/>
  <c r="AE1362" i="1" s="1"/>
  <c r="AC1362" i="1"/>
  <c r="Z1362" i="1"/>
  <c r="AA1362" i="1" s="1"/>
  <c r="Y1362" i="1"/>
  <c r="V1362" i="1"/>
  <c r="W1362" i="1" s="1"/>
  <c r="U1362" i="1"/>
  <c r="R1362" i="1"/>
  <c r="Q1362" i="1"/>
  <c r="O1362" i="1"/>
  <c r="N1362" i="1"/>
  <c r="M1362" i="1"/>
  <c r="K1362" i="1"/>
  <c r="J1362" i="1"/>
  <c r="I1362" i="1"/>
  <c r="F1362" i="1"/>
  <c r="G1362" i="1" s="1"/>
  <c r="E1362" i="1"/>
  <c r="BN1361" i="1"/>
  <c r="BL1361" i="1"/>
  <c r="BJ1361" i="1"/>
  <c r="BM1361" i="1" s="1"/>
  <c r="BI1361" i="1"/>
  <c r="BF1361" i="1"/>
  <c r="BG1361" i="1" s="1"/>
  <c r="BE1361" i="1"/>
  <c r="BB1361" i="1"/>
  <c r="BA1361" i="1"/>
  <c r="AX1361" i="1"/>
  <c r="AY1361" i="1" s="1"/>
  <c r="AW1361" i="1"/>
  <c r="AT1361" i="1"/>
  <c r="AU1361" i="1" s="1"/>
  <c r="AS1361" i="1"/>
  <c r="AP1361" i="1"/>
  <c r="AQ1361" i="1" s="1"/>
  <c r="AO1361" i="1"/>
  <c r="AL1361" i="1"/>
  <c r="AK1361" i="1"/>
  <c r="AI1361" i="1"/>
  <c r="AH1361" i="1"/>
  <c r="AF1361" i="1"/>
  <c r="AG1361" i="1" s="1"/>
  <c r="AD1361" i="1"/>
  <c r="AE1361" i="1" s="1"/>
  <c r="AB1361" i="1"/>
  <c r="AC1361" i="1" s="1"/>
  <c r="AA1361" i="1"/>
  <c r="Z1361" i="1"/>
  <c r="X1361" i="1"/>
  <c r="Y1361" i="1" s="1"/>
  <c r="V1361" i="1"/>
  <c r="W1361" i="1" s="1"/>
  <c r="T1361" i="1"/>
  <c r="U1361" i="1" s="1"/>
  <c r="S1361" i="1"/>
  <c r="R1361" i="1"/>
  <c r="P1361" i="1"/>
  <c r="Q1361" i="1" s="1"/>
  <c r="N1361" i="1"/>
  <c r="O1361" i="1" s="1"/>
  <c r="M1361" i="1"/>
  <c r="J1361" i="1"/>
  <c r="K1361" i="1" s="1"/>
  <c r="I1361" i="1"/>
  <c r="H1361" i="1"/>
  <c r="F1361" i="1"/>
  <c r="D1361" i="1"/>
  <c r="E1361" i="1" s="1"/>
  <c r="BN1360" i="1"/>
  <c r="BM1360" i="1"/>
  <c r="BL1360" i="1"/>
  <c r="BJ1360" i="1"/>
  <c r="BI1360" i="1"/>
  <c r="BF1360" i="1"/>
  <c r="BG1360" i="1" s="1"/>
  <c r="BE1360" i="1"/>
  <c r="BB1360" i="1"/>
  <c r="BC1360" i="1" s="1"/>
  <c r="BA1360" i="1"/>
  <c r="AX1360" i="1"/>
  <c r="AW1360" i="1"/>
  <c r="AT1360" i="1"/>
  <c r="AU1360" i="1" s="1"/>
  <c r="AS1360" i="1"/>
  <c r="AQ1360" i="1"/>
  <c r="AP1360" i="1"/>
  <c r="AO1360" i="1"/>
  <c r="AM1360" i="1"/>
  <c r="AL1360" i="1"/>
  <c r="AK1360" i="1"/>
  <c r="AH1360" i="1"/>
  <c r="AI1360" i="1" s="1"/>
  <c r="AG1360" i="1"/>
  <c r="AF1360" i="1"/>
  <c r="AD1360" i="1"/>
  <c r="AE1360" i="1" s="1"/>
  <c r="AB1360" i="1"/>
  <c r="AC1360" i="1" s="1"/>
  <c r="Z1360" i="1"/>
  <c r="Y1360" i="1"/>
  <c r="X1360" i="1"/>
  <c r="V1360" i="1"/>
  <c r="W1360" i="1" s="1"/>
  <c r="T1360" i="1"/>
  <c r="U1360" i="1" s="1"/>
  <c r="R1360" i="1"/>
  <c r="Q1360" i="1"/>
  <c r="P1360" i="1"/>
  <c r="N1360" i="1"/>
  <c r="O1360" i="1" s="1"/>
  <c r="M1360" i="1"/>
  <c r="J1360" i="1"/>
  <c r="K1360" i="1" s="1"/>
  <c r="H1360" i="1"/>
  <c r="I1360" i="1" s="1"/>
  <c r="F1360" i="1"/>
  <c r="E1360" i="1"/>
  <c r="D1360" i="1"/>
  <c r="BN1359" i="1"/>
  <c r="BL1359" i="1"/>
  <c r="BJ1359" i="1"/>
  <c r="BM1359" i="1" s="1"/>
  <c r="BI1359" i="1"/>
  <c r="BF1359" i="1"/>
  <c r="BG1359" i="1" s="1"/>
  <c r="BE1359" i="1"/>
  <c r="BB1359" i="1"/>
  <c r="BA1359" i="1"/>
  <c r="AY1359" i="1"/>
  <c r="AX1359" i="1"/>
  <c r="AW1359" i="1"/>
  <c r="AU1359" i="1"/>
  <c r="AT1359" i="1"/>
  <c r="AS1359" i="1"/>
  <c r="AP1359" i="1"/>
  <c r="AQ1359" i="1" s="1"/>
  <c r="AO1359" i="1"/>
  <c r="AL1359" i="1"/>
  <c r="AK1359" i="1"/>
  <c r="AH1359" i="1"/>
  <c r="AI1359" i="1" s="1"/>
  <c r="AF1359" i="1"/>
  <c r="AG1359" i="1" s="1"/>
  <c r="AE1359" i="1"/>
  <c r="AD1359" i="1"/>
  <c r="AB1359" i="1"/>
  <c r="AC1359" i="1" s="1"/>
  <c r="Z1359" i="1"/>
  <c r="AA1359" i="1" s="1"/>
  <c r="X1359" i="1"/>
  <c r="Y1359" i="1" s="1"/>
  <c r="W1359" i="1"/>
  <c r="V1359" i="1"/>
  <c r="T1359" i="1"/>
  <c r="U1359" i="1" s="1"/>
  <c r="R1359" i="1"/>
  <c r="S1359" i="1" s="1"/>
  <c r="P1359" i="1"/>
  <c r="Q1359" i="1" s="1"/>
  <c r="O1359" i="1"/>
  <c r="N1359" i="1"/>
  <c r="M1359" i="1"/>
  <c r="K1359" i="1"/>
  <c r="J1359" i="1"/>
  <c r="H1359" i="1"/>
  <c r="I1359" i="1" s="1"/>
  <c r="F1359" i="1"/>
  <c r="G1359" i="1" s="1"/>
  <c r="E1359" i="1"/>
  <c r="D1359" i="1"/>
  <c r="BN1358" i="1"/>
  <c r="BL1358" i="1"/>
  <c r="BJ1358" i="1"/>
  <c r="BI1358" i="1"/>
  <c r="BG1358" i="1"/>
  <c r="BF1358" i="1"/>
  <c r="BE1358" i="1"/>
  <c r="BC1358" i="1"/>
  <c r="BB1358" i="1"/>
  <c r="BA1358" i="1"/>
  <c r="AX1358" i="1"/>
  <c r="AY1358" i="1" s="1"/>
  <c r="AW1358" i="1"/>
  <c r="AT1358" i="1"/>
  <c r="AS1358" i="1"/>
  <c r="AP1358" i="1"/>
  <c r="AQ1358" i="1" s="1"/>
  <c r="AO1358" i="1"/>
  <c r="AL1358" i="1"/>
  <c r="AM1358" i="1" s="1"/>
  <c r="AK1358" i="1"/>
  <c r="AH1358" i="1"/>
  <c r="AG1358" i="1"/>
  <c r="AD1358" i="1"/>
  <c r="AE1358" i="1" s="1"/>
  <c r="AC1358" i="1"/>
  <c r="AA1358" i="1"/>
  <c r="Z1358" i="1"/>
  <c r="Y1358" i="1"/>
  <c r="W1358" i="1"/>
  <c r="V1358" i="1"/>
  <c r="U1358" i="1"/>
  <c r="R1358" i="1"/>
  <c r="S1358" i="1" s="1"/>
  <c r="Q1358" i="1"/>
  <c r="N1358" i="1"/>
  <c r="M1358" i="1"/>
  <c r="J1358" i="1"/>
  <c r="K1358" i="1" s="1"/>
  <c r="I1358" i="1"/>
  <c r="F1358" i="1"/>
  <c r="G1358" i="1" s="1"/>
  <c r="E1358" i="1"/>
  <c r="BN1357" i="1"/>
  <c r="BM1357" i="1"/>
  <c r="BL1357" i="1"/>
  <c r="BJ1357" i="1"/>
  <c r="BI1357" i="1"/>
  <c r="BF1357" i="1"/>
  <c r="BG1357" i="1" s="1"/>
  <c r="BE1357" i="1"/>
  <c r="BB1357" i="1"/>
  <c r="BA1357" i="1"/>
  <c r="AX1357" i="1"/>
  <c r="AY1357" i="1" s="1"/>
  <c r="AW1357" i="1"/>
  <c r="AU1357" i="1"/>
  <c r="AT1357" i="1"/>
  <c r="AS1357" i="1"/>
  <c r="AQ1357" i="1"/>
  <c r="AP1357" i="1"/>
  <c r="AO1357" i="1"/>
  <c r="AL1357" i="1"/>
  <c r="AM1357" i="1" s="1"/>
  <c r="AK1357" i="1"/>
  <c r="AH1357" i="1"/>
  <c r="AG1357" i="1"/>
  <c r="AD1357" i="1"/>
  <c r="AE1357" i="1" s="1"/>
  <c r="AC1357" i="1"/>
  <c r="Z1357" i="1"/>
  <c r="AA1357" i="1" s="1"/>
  <c r="Y1357" i="1"/>
  <c r="V1357" i="1"/>
  <c r="W1357" i="1" s="1"/>
  <c r="U1357" i="1"/>
  <c r="R1357" i="1"/>
  <c r="Q1357" i="1"/>
  <c r="O1357" i="1"/>
  <c r="N1357" i="1"/>
  <c r="M1357" i="1"/>
  <c r="K1357" i="1"/>
  <c r="J1357" i="1"/>
  <c r="I1357" i="1"/>
  <c r="F1357" i="1"/>
  <c r="G1357" i="1" s="1"/>
  <c r="E1357" i="1"/>
  <c r="BN1356" i="1"/>
  <c r="BL1356" i="1"/>
  <c r="BJ1356" i="1"/>
  <c r="BM1356" i="1" s="1"/>
  <c r="BI1356" i="1"/>
  <c r="BF1356" i="1"/>
  <c r="BG1356" i="1" s="1"/>
  <c r="BE1356" i="1"/>
  <c r="BB1356" i="1"/>
  <c r="BA1356" i="1"/>
  <c r="AX1356" i="1"/>
  <c r="AY1356" i="1" s="1"/>
  <c r="AW1356" i="1"/>
  <c r="AT1356" i="1"/>
  <c r="AU1356" i="1" s="1"/>
  <c r="AS1356" i="1"/>
  <c r="AP1356" i="1"/>
  <c r="AQ1356" i="1" s="1"/>
  <c r="AO1356" i="1"/>
  <c r="AL1356" i="1"/>
  <c r="AK1356" i="1"/>
  <c r="AI1356" i="1"/>
  <c r="AH1356" i="1"/>
  <c r="AG1356" i="1"/>
  <c r="AE1356" i="1"/>
  <c r="AD1356" i="1"/>
  <c r="AC1356" i="1"/>
  <c r="Z1356" i="1"/>
  <c r="Y1356" i="1"/>
  <c r="V1356" i="1"/>
  <c r="U1356" i="1"/>
  <c r="R1356" i="1"/>
  <c r="S1356" i="1" s="1"/>
  <c r="Q1356" i="1"/>
  <c r="O1356" i="1"/>
  <c r="N1356" i="1"/>
  <c r="M1356" i="1"/>
  <c r="J1356" i="1"/>
  <c r="K1356" i="1" s="1"/>
  <c r="I1356" i="1"/>
  <c r="F1356" i="1"/>
  <c r="E1356" i="1"/>
  <c r="BN1355" i="1"/>
  <c r="BL1355" i="1"/>
  <c r="BJ1355" i="1"/>
  <c r="BM1355" i="1" s="1"/>
  <c r="BI1355" i="1"/>
  <c r="BF1355" i="1"/>
  <c r="BG1355" i="1" s="1"/>
  <c r="BE1355" i="1"/>
  <c r="BC1355" i="1"/>
  <c r="BB1355" i="1"/>
  <c r="BA1355" i="1"/>
  <c r="AY1355" i="1"/>
  <c r="AX1355" i="1"/>
  <c r="AW1355" i="1"/>
  <c r="AT1355" i="1"/>
  <c r="AS1355" i="1"/>
  <c r="AP1355" i="1"/>
  <c r="AO1355" i="1"/>
  <c r="AL1355" i="1"/>
  <c r="AM1355" i="1" s="1"/>
  <c r="AK1355" i="1"/>
  <c r="AI1355" i="1"/>
  <c r="AH1355" i="1"/>
  <c r="AG1355" i="1"/>
  <c r="AD1355" i="1"/>
  <c r="AE1355" i="1" s="1"/>
  <c r="AC1355" i="1"/>
  <c r="Z1355" i="1"/>
  <c r="Y1355" i="1"/>
  <c r="W1355" i="1"/>
  <c r="V1355" i="1"/>
  <c r="U1355" i="1"/>
  <c r="S1355" i="1"/>
  <c r="R1355" i="1"/>
  <c r="Q1355" i="1"/>
  <c r="N1355" i="1"/>
  <c r="M1355" i="1"/>
  <c r="J1355" i="1"/>
  <c r="I1355" i="1"/>
  <c r="F1355" i="1"/>
  <c r="G1355" i="1" s="1"/>
  <c r="E1355" i="1"/>
  <c r="BN1354" i="1"/>
  <c r="BM1354" i="1" s="1"/>
  <c r="BL1354" i="1"/>
  <c r="BJ1354" i="1"/>
  <c r="BI1354" i="1"/>
  <c r="BF1354" i="1"/>
  <c r="BG1354" i="1" s="1"/>
  <c r="BE1354" i="1"/>
  <c r="BC1354" i="1"/>
  <c r="BB1354" i="1"/>
  <c r="BA1354" i="1"/>
  <c r="AX1354" i="1"/>
  <c r="AW1354" i="1"/>
  <c r="AT1354" i="1"/>
  <c r="AU1354" i="1" s="1"/>
  <c r="AS1354" i="1"/>
  <c r="AQ1354" i="1"/>
  <c r="AP1354" i="1"/>
  <c r="AO1354" i="1"/>
  <c r="AM1354" i="1"/>
  <c r="AL1354" i="1"/>
  <c r="AK1354" i="1"/>
  <c r="AH1354" i="1"/>
  <c r="AG1354" i="1"/>
  <c r="AD1354" i="1"/>
  <c r="AC1354" i="1"/>
  <c r="Z1354" i="1"/>
  <c r="AA1354" i="1" s="1"/>
  <c r="Y1354" i="1"/>
  <c r="V1354" i="1"/>
  <c r="W1354" i="1" s="1"/>
  <c r="U1354" i="1"/>
  <c r="R1354" i="1"/>
  <c r="S1354" i="1" s="1"/>
  <c r="Q1354" i="1"/>
  <c r="N1354" i="1"/>
  <c r="O1354" i="1" s="1"/>
  <c r="M1354" i="1"/>
  <c r="K1354" i="1"/>
  <c r="J1354" i="1"/>
  <c r="I1354" i="1"/>
  <c r="G1354" i="1"/>
  <c r="F1354" i="1"/>
  <c r="E1354" i="1"/>
  <c r="BN1353" i="1"/>
  <c r="BM1353" i="1"/>
  <c r="BL1353" i="1"/>
  <c r="BJ1353" i="1"/>
  <c r="BI1353" i="1"/>
  <c r="BG1353" i="1"/>
  <c r="BF1353" i="1"/>
  <c r="BE1353" i="1"/>
  <c r="BB1353" i="1"/>
  <c r="BA1353" i="1"/>
  <c r="AX1353" i="1"/>
  <c r="AW1353" i="1"/>
  <c r="AT1353" i="1"/>
  <c r="AU1353" i="1" s="1"/>
  <c r="AS1353" i="1"/>
  <c r="AQ1353" i="1"/>
  <c r="AP1353" i="1"/>
  <c r="AO1353" i="1"/>
  <c r="AL1353" i="1"/>
  <c r="AM1353" i="1" s="1"/>
  <c r="AK1353" i="1"/>
  <c r="AH1353" i="1"/>
  <c r="AG1353" i="1"/>
  <c r="AE1353" i="1"/>
  <c r="AD1353" i="1"/>
  <c r="AC1353" i="1"/>
  <c r="AA1353" i="1"/>
  <c r="Z1353" i="1"/>
  <c r="Y1353" i="1"/>
  <c r="V1353" i="1"/>
  <c r="S1353" i="1" s="1"/>
  <c r="U1353" i="1"/>
  <c r="R1353" i="1"/>
  <c r="Q1353" i="1"/>
  <c r="N1353" i="1"/>
  <c r="M1353" i="1"/>
  <c r="J1353" i="1"/>
  <c r="I1353" i="1"/>
  <c r="F1353" i="1"/>
  <c r="G1353" i="1" s="1"/>
  <c r="E1353" i="1"/>
  <c r="BN1352" i="1"/>
  <c r="BM1352" i="1"/>
  <c r="BL1352" i="1"/>
  <c r="BJ1352" i="1"/>
  <c r="BI1352" i="1"/>
  <c r="BF1352" i="1"/>
  <c r="BG1352" i="1" s="1"/>
  <c r="BE1352" i="1"/>
  <c r="BC1352" i="1"/>
  <c r="BB1352" i="1"/>
  <c r="BA1352" i="1"/>
  <c r="AY1352" i="1"/>
  <c r="AX1352" i="1"/>
  <c r="AW1352" i="1"/>
  <c r="AU1352" i="1"/>
  <c r="AT1352" i="1"/>
  <c r="AS1352" i="1"/>
  <c r="AP1352" i="1"/>
  <c r="AO1352" i="1"/>
  <c r="AL1352" i="1"/>
  <c r="AK1352" i="1"/>
  <c r="AH1352" i="1"/>
  <c r="AI1352" i="1" s="1"/>
  <c r="AG1352" i="1"/>
  <c r="AD1352" i="1"/>
  <c r="AE1352" i="1" s="1"/>
  <c r="AC1352" i="1"/>
  <c r="Z1352" i="1"/>
  <c r="Y1352" i="1"/>
  <c r="V1352" i="1"/>
  <c r="W1352" i="1" s="1"/>
  <c r="U1352" i="1"/>
  <c r="R1352" i="1"/>
  <c r="Q1352" i="1"/>
  <c r="N1352" i="1"/>
  <c r="M1352" i="1"/>
  <c r="J1352" i="1"/>
  <c r="K1352" i="1" s="1"/>
  <c r="I1352" i="1"/>
  <c r="G1352" i="1"/>
  <c r="F1352" i="1"/>
  <c r="E1352" i="1"/>
  <c r="BN1351" i="1"/>
  <c r="BL1351" i="1"/>
  <c r="BJ1351" i="1"/>
  <c r="BM1351" i="1" s="1"/>
  <c r="BI1351" i="1"/>
  <c r="BG1351" i="1"/>
  <c r="BF1351" i="1"/>
  <c r="BE1351" i="1"/>
  <c r="BB1351" i="1"/>
  <c r="BC1351" i="1" s="1"/>
  <c r="BA1351" i="1"/>
  <c r="AY1351" i="1"/>
  <c r="AX1351" i="1"/>
  <c r="AW1351" i="1"/>
  <c r="AT1351" i="1"/>
  <c r="AS1351" i="1"/>
  <c r="AP1351" i="1"/>
  <c r="AO1351" i="1"/>
  <c r="AM1351" i="1"/>
  <c r="AL1351" i="1"/>
  <c r="AK1351" i="1"/>
  <c r="AI1351" i="1"/>
  <c r="AH1351" i="1"/>
  <c r="AG1351" i="1"/>
  <c r="AD1351" i="1"/>
  <c r="AE1351" i="1" s="1"/>
  <c r="AC1351" i="1"/>
  <c r="AA1351" i="1"/>
  <c r="Z1351" i="1"/>
  <c r="Y1351" i="1"/>
  <c r="W1351" i="1"/>
  <c r="V1351" i="1"/>
  <c r="U1351" i="1"/>
  <c r="R1351" i="1"/>
  <c r="S1351" i="1" s="1"/>
  <c r="Q1351" i="1"/>
  <c r="N1351" i="1"/>
  <c r="M1351" i="1"/>
  <c r="K1351" i="1"/>
  <c r="J1351" i="1"/>
  <c r="I1351" i="1"/>
  <c r="F1351" i="1"/>
  <c r="G1351" i="1" s="1"/>
  <c r="E1351" i="1"/>
  <c r="BN1350" i="1"/>
  <c r="BM1350" i="1"/>
  <c r="BL1350" i="1"/>
  <c r="BJ1350" i="1"/>
  <c r="BI1350" i="1"/>
  <c r="BF1350" i="1"/>
  <c r="BG1350" i="1" s="1"/>
  <c r="BE1350" i="1"/>
  <c r="BB1350" i="1"/>
  <c r="BA1350" i="1"/>
  <c r="AX1350" i="1"/>
  <c r="AW1350" i="1"/>
  <c r="AU1350" i="1"/>
  <c r="AT1350" i="1"/>
  <c r="AS1350" i="1"/>
  <c r="AQ1350" i="1"/>
  <c r="AP1350" i="1"/>
  <c r="AO1350" i="1"/>
  <c r="AL1350" i="1"/>
  <c r="AM1350" i="1" s="1"/>
  <c r="AK1350" i="1"/>
  <c r="AH1350" i="1"/>
  <c r="AI1350" i="1" s="1"/>
  <c r="AG1350" i="1"/>
  <c r="AE1350" i="1"/>
  <c r="AD1350" i="1"/>
  <c r="AC1350" i="1"/>
  <c r="Z1350" i="1"/>
  <c r="AA1350" i="1" s="1"/>
  <c r="Y1350" i="1"/>
  <c r="W1350" i="1"/>
  <c r="V1350" i="1"/>
  <c r="U1350" i="1"/>
  <c r="S1350" i="1"/>
  <c r="R1350" i="1"/>
  <c r="Q1350" i="1"/>
  <c r="O1350" i="1"/>
  <c r="N1350" i="1"/>
  <c r="M1350" i="1"/>
  <c r="J1350" i="1"/>
  <c r="I1350" i="1"/>
  <c r="F1350" i="1"/>
  <c r="E1350" i="1"/>
  <c r="BN1349" i="1"/>
  <c r="BL1349" i="1"/>
  <c r="BJ1349" i="1"/>
  <c r="BI1349" i="1"/>
  <c r="BF1349" i="1"/>
  <c r="BE1349" i="1"/>
  <c r="BB1349" i="1"/>
  <c r="BC1349" i="1" s="1"/>
  <c r="BA1349" i="1"/>
  <c r="AX1349" i="1"/>
  <c r="AW1349" i="1"/>
  <c r="AT1349" i="1"/>
  <c r="AS1349" i="1"/>
  <c r="AQ1349" i="1"/>
  <c r="AP1349" i="1"/>
  <c r="AO1349" i="1"/>
  <c r="AM1349" i="1"/>
  <c r="AL1349" i="1"/>
  <c r="AI1349" i="1" s="1"/>
  <c r="AK1349" i="1"/>
  <c r="AH1349" i="1"/>
  <c r="AG1349" i="1"/>
  <c r="AE1349" i="1"/>
  <c r="AD1349" i="1"/>
  <c r="AC1349" i="1"/>
  <c r="AA1349" i="1"/>
  <c r="Z1349" i="1"/>
  <c r="Y1349" i="1"/>
  <c r="V1349" i="1"/>
  <c r="W1349" i="1" s="1"/>
  <c r="U1349" i="1"/>
  <c r="S1349" i="1"/>
  <c r="R1349" i="1"/>
  <c r="Q1349" i="1"/>
  <c r="O1349" i="1"/>
  <c r="N1349" i="1"/>
  <c r="M1349" i="1"/>
  <c r="J1349" i="1"/>
  <c r="K1349" i="1" s="1"/>
  <c r="I1349" i="1"/>
  <c r="F1349" i="1"/>
  <c r="G1349" i="1" s="1"/>
  <c r="E1349" i="1"/>
  <c r="BN1348" i="1"/>
  <c r="BL1348" i="1"/>
  <c r="BJ1348" i="1"/>
  <c r="BM1348" i="1" s="1"/>
  <c r="BI1348" i="1"/>
  <c r="BG1348" i="1"/>
  <c r="BF1348" i="1"/>
  <c r="BE1348" i="1"/>
  <c r="BC1348" i="1"/>
  <c r="BB1348" i="1"/>
  <c r="BA1348" i="1"/>
  <c r="AX1348" i="1"/>
  <c r="AY1348" i="1" s="1"/>
  <c r="AW1348" i="1"/>
  <c r="AT1348" i="1"/>
  <c r="AU1348" i="1" s="1"/>
  <c r="AS1348" i="1"/>
  <c r="AP1348" i="1"/>
  <c r="AO1348" i="1"/>
  <c r="AL1348" i="1"/>
  <c r="AM1348" i="1" s="1"/>
  <c r="AK1348" i="1"/>
  <c r="AH1348" i="1"/>
  <c r="AG1348" i="1"/>
  <c r="AD1348" i="1"/>
  <c r="AC1348" i="1"/>
  <c r="AA1348" i="1"/>
  <c r="Z1348" i="1"/>
  <c r="Y1348" i="1"/>
  <c r="W1348" i="1"/>
  <c r="V1348" i="1"/>
  <c r="U1348" i="1"/>
  <c r="R1348" i="1"/>
  <c r="S1348" i="1" s="1"/>
  <c r="Q1348" i="1"/>
  <c r="O1348" i="1"/>
  <c r="N1348" i="1"/>
  <c r="M1348" i="1"/>
  <c r="J1348" i="1"/>
  <c r="K1348" i="1" s="1"/>
  <c r="I1348" i="1"/>
  <c r="F1348" i="1"/>
  <c r="G1348" i="1" s="1"/>
  <c r="E1348" i="1"/>
  <c r="BN1347" i="1"/>
  <c r="BL1347" i="1"/>
  <c r="BJ1347" i="1"/>
  <c r="BM1347" i="1" s="1"/>
  <c r="BI1347" i="1"/>
  <c r="BF1347" i="1"/>
  <c r="BG1347" i="1" s="1"/>
  <c r="BE1347" i="1"/>
  <c r="BC1347" i="1"/>
  <c r="BB1347" i="1"/>
  <c r="BA1347" i="1"/>
  <c r="AY1347" i="1"/>
  <c r="AX1347" i="1"/>
  <c r="AW1347" i="1"/>
  <c r="AT1347" i="1"/>
  <c r="AU1347" i="1" s="1"/>
  <c r="AS1347" i="1"/>
  <c r="AP1347" i="1"/>
  <c r="AO1347" i="1"/>
  <c r="AM1347" i="1"/>
  <c r="AL1347" i="1"/>
  <c r="AK1347" i="1"/>
  <c r="AI1347" i="1"/>
  <c r="AH1347" i="1"/>
  <c r="AG1347" i="1"/>
  <c r="AD1347" i="1"/>
  <c r="AC1347" i="1"/>
  <c r="Z1347" i="1"/>
  <c r="Y1347" i="1"/>
  <c r="W1347" i="1"/>
  <c r="V1347" i="1"/>
  <c r="U1347" i="1"/>
  <c r="S1347" i="1"/>
  <c r="R1347" i="1"/>
  <c r="Q1347" i="1"/>
  <c r="N1347" i="1"/>
  <c r="O1347" i="1" s="1"/>
  <c r="M1347" i="1"/>
  <c r="K1347" i="1"/>
  <c r="J1347" i="1"/>
  <c r="I1347" i="1"/>
  <c r="G1347" i="1"/>
  <c r="F1347" i="1"/>
  <c r="E1347" i="1"/>
  <c r="BN1346" i="1"/>
  <c r="BM1346" i="1"/>
  <c r="BL1346" i="1"/>
  <c r="BJ1346" i="1"/>
  <c r="BI1346" i="1"/>
  <c r="BG1346" i="1"/>
  <c r="BF1346" i="1"/>
  <c r="BE1346" i="1"/>
  <c r="BB1346" i="1"/>
  <c r="BC1346" i="1" s="1"/>
  <c r="BA1346" i="1"/>
  <c r="AX1346" i="1"/>
  <c r="AW1346" i="1"/>
  <c r="AT1346" i="1"/>
  <c r="AS1346" i="1"/>
  <c r="AQ1346" i="1"/>
  <c r="AP1346" i="1"/>
  <c r="AO1346" i="1"/>
  <c r="AM1346" i="1"/>
  <c r="AL1346" i="1"/>
  <c r="AK1346" i="1"/>
  <c r="AH1346" i="1"/>
  <c r="AI1346" i="1" s="1"/>
  <c r="AG1346" i="1"/>
  <c r="AE1346" i="1"/>
  <c r="AD1346" i="1"/>
  <c r="AC1346" i="1"/>
  <c r="AA1346" i="1"/>
  <c r="Z1346" i="1"/>
  <c r="Y1346" i="1"/>
  <c r="V1346" i="1"/>
  <c r="W1346" i="1" s="1"/>
  <c r="U1346" i="1"/>
  <c r="R1346" i="1"/>
  <c r="Q1346" i="1"/>
  <c r="N1346" i="1"/>
  <c r="M1346" i="1"/>
  <c r="K1346" i="1"/>
  <c r="J1346" i="1"/>
  <c r="I1346" i="1"/>
  <c r="G1346" i="1"/>
  <c r="F1346" i="1"/>
  <c r="E1346" i="1"/>
  <c r="BN1345" i="1"/>
  <c r="BL1345" i="1"/>
  <c r="BJ1345" i="1"/>
  <c r="BM1345" i="1" s="1"/>
  <c r="BI1345" i="1"/>
  <c r="BG1345" i="1"/>
  <c r="BF1345" i="1"/>
  <c r="BE1345" i="1"/>
  <c r="BB1345" i="1"/>
  <c r="BC1345" i="1" s="1"/>
  <c r="BA1345" i="1"/>
  <c r="AY1345" i="1"/>
  <c r="AX1345" i="1"/>
  <c r="AW1345" i="1"/>
  <c r="AU1345" i="1"/>
  <c r="AT1345" i="1"/>
  <c r="AS1345" i="1"/>
  <c r="AP1345" i="1"/>
  <c r="AQ1345" i="1" s="1"/>
  <c r="AO1345" i="1"/>
  <c r="AL1345" i="1"/>
  <c r="AK1345" i="1"/>
  <c r="AH1345" i="1"/>
  <c r="AG1345" i="1"/>
  <c r="AE1345" i="1"/>
  <c r="AD1345" i="1"/>
  <c r="AC1345" i="1"/>
  <c r="AA1345" i="1"/>
  <c r="Z1345" i="1"/>
  <c r="Y1345" i="1"/>
  <c r="V1345" i="1"/>
  <c r="W1345" i="1" s="1"/>
  <c r="U1345" i="1"/>
  <c r="S1345" i="1"/>
  <c r="R1345" i="1"/>
  <c r="Q1345" i="1"/>
  <c r="O1345" i="1"/>
  <c r="N1345" i="1"/>
  <c r="M1345" i="1"/>
  <c r="J1345" i="1"/>
  <c r="K1345" i="1" s="1"/>
  <c r="I1345" i="1"/>
  <c r="F1345" i="1"/>
  <c r="G1345" i="1" s="1"/>
  <c r="E1345" i="1"/>
  <c r="BN1344" i="1"/>
  <c r="BL1344" i="1"/>
  <c r="BJ1344" i="1"/>
  <c r="BM1344" i="1" s="1"/>
  <c r="BI1344" i="1"/>
  <c r="BF1344" i="1"/>
  <c r="BE1344" i="1"/>
  <c r="BB1344" i="1"/>
  <c r="BA1344" i="1"/>
  <c r="AY1344" i="1"/>
  <c r="AX1344" i="1"/>
  <c r="AW1344" i="1"/>
  <c r="AU1344" i="1"/>
  <c r="AT1344" i="1"/>
  <c r="AS1344" i="1"/>
  <c r="AP1344" i="1"/>
  <c r="AQ1344" i="1" s="1"/>
  <c r="AO1344" i="1"/>
  <c r="AM1344" i="1"/>
  <c r="AL1344" i="1"/>
  <c r="AK1344" i="1"/>
  <c r="AI1344" i="1"/>
  <c r="AH1344" i="1"/>
  <c r="AG1344" i="1"/>
  <c r="AD1344" i="1"/>
  <c r="AE1344" i="1" s="1"/>
  <c r="AC1344" i="1"/>
  <c r="Z1344" i="1"/>
  <c r="Y1344" i="1"/>
  <c r="V1344" i="1"/>
  <c r="U1344" i="1"/>
  <c r="S1344" i="1"/>
  <c r="R1344" i="1"/>
  <c r="Q1344" i="1"/>
  <c r="O1344" i="1"/>
  <c r="N1344" i="1"/>
  <c r="M1344" i="1"/>
  <c r="J1344" i="1"/>
  <c r="K1344" i="1" s="1"/>
  <c r="I1344" i="1"/>
  <c r="G1344" i="1"/>
  <c r="F1344" i="1"/>
  <c r="E1344" i="1"/>
  <c r="BN1343" i="1"/>
  <c r="BL1343" i="1"/>
  <c r="BJ1343" i="1"/>
  <c r="BM1343" i="1" s="1"/>
  <c r="BI1343" i="1"/>
  <c r="BG1343" i="1"/>
  <c r="BF1343" i="1"/>
  <c r="BE1343" i="1"/>
  <c r="BC1343" i="1"/>
  <c r="BB1343" i="1"/>
  <c r="BA1343" i="1"/>
  <c r="AX1343" i="1"/>
  <c r="AY1343" i="1" s="1"/>
  <c r="AW1343" i="1"/>
  <c r="AT1343" i="1"/>
  <c r="AS1343" i="1"/>
  <c r="AP1343" i="1"/>
  <c r="AO1343" i="1"/>
  <c r="AM1343" i="1"/>
  <c r="AL1343" i="1"/>
  <c r="AK1343" i="1"/>
  <c r="AI1343" i="1"/>
  <c r="AH1343" i="1"/>
  <c r="AG1343" i="1"/>
  <c r="AD1343" i="1"/>
  <c r="AE1343" i="1" s="1"/>
  <c r="AC1343" i="1"/>
  <c r="AA1343" i="1"/>
  <c r="Z1343" i="1"/>
  <c r="Y1343" i="1"/>
  <c r="W1343" i="1"/>
  <c r="V1343" i="1"/>
  <c r="U1343" i="1"/>
  <c r="R1343" i="1"/>
  <c r="S1343" i="1" s="1"/>
  <c r="Q1343" i="1"/>
  <c r="N1343" i="1"/>
  <c r="M1343" i="1"/>
  <c r="J1343" i="1"/>
  <c r="I1343" i="1"/>
  <c r="G1343" i="1"/>
  <c r="F1343" i="1"/>
  <c r="E1343" i="1"/>
  <c r="BN1342" i="1"/>
  <c r="BM1342" i="1" s="1"/>
  <c r="BL1342" i="1"/>
  <c r="BJ1342" i="1"/>
  <c r="BI1342" i="1"/>
  <c r="BG1342" i="1"/>
  <c r="BF1342" i="1"/>
  <c r="BE1342" i="1"/>
  <c r="BC1342" i="1"/>
  <c r="BB1342" i="1"/>
  <c r="BA1342" i="1"/>
  <c r="AX1342" i="1"/>
  <c r="AY1342" i="1" s="1"/>
  <c r="AW1342" i="1"/>
  <c r="AU1342" i="1"/>
  <c r="AT1342" i="1"/>
  <c r="AS1342" i="1"/>
  <c r="AQ1342" i="1"/>
  <c r="AP1342" i="1"/>
  <c r="AO1342" i="1"/>
  <c r="AL1342" i="1"/>
  <c r="AM1342" i="1" s="1"/>
  <c r="AK1342" i="1"/>
  <c r="AH1342" i="1"/>
  <c r="AG1342" i="1"/>
  <c r="AD1342" i="1"/>
  <c r="AC1342" i="1"/>
  <c r="AA1342" i="1"/>
  <c r="Z1342" i="1"/>
  <c r="Y1342" i="1"/>
  <c r="W1342" i="1"/>
  <c r="V1342" i="1"/>
  <c r="U1342" i="1"/>
  <c r="R1342" i="1"/>
  <c r="S1342" i="1" s="1"/>
  <c r="Q1342" i="1"/>
  <c r="O1342" i="1"/>
  <c r="N1342" i="1"/>
  <c r="M1342" i="1"/>
  <c r="K1342" i="1"/>
  <c r="J1342" i="1"/>
  <c r="I1342" i="1"/>
  <c r="F1342" i="1"/>
  <c r="G1342" i="1" s="1"/>
  <c r="E1342" i="1"/>
  <c r="BN1341" i="1"/>
  <c r="BM1341" i="1"/>
  <c r="BL1341" i="1"/>
  <c r="BJ1341" i="1"/>
  <c r="BI1341" i="1"/>
  <c r="BF1341" i="1"/>
  <c r="BG1341" i="1" s="1"/>
  <c r="BE1341" i="1"/>
  <c r="BB1341" i="1"/>
  <c r="BA1341" i="1"/>
  <c r="AX1341" i="1"/>
  <c r="AW1341" i="1"/>
  <c r="AU1341" i="1"/>
  <c r="AT1341" i="1"/>
  <c r="AS1341" i="1"/>
  <c r="AQ1341" i="1"/>
  <c r="AP1341" i="1"/>
  <c r="AO1341" i="1"/>
  <c r="AL1341" i="1"/>
  <c r="AM1341" i="1" s="1"/>
  <c r="AK1341" i="1"/>
  <c r="AI1341" i="1"/>
  <c r="AH1341" i="1"/>
  <c r="AG1341" i="1"/>
  <c r="AE1341" i="1"/>
  <c r="AD1341" i="1"/>
  <c r="AC1341" i="1"/>
  <c r="Z1341" i="1"/>
  <c r="AA1341" i="1" s="1"/>
  <c r="Y1341" i="1"/>
  <c r="V1341" i="1"/>
  <c r="U1341" i="1"/>
  <c r="R1341" i="1"/>
  <c r="Q1341" i="1"/>
  <c r="O1341" i="1"/>
  <c r="N1341" i="1"/>
  <c r="M1341" i="1"/>
  <c r="K1341" i="1"/>
  <c r="J1341" i="1"/>
  <c r="I1341" i="1"/>
  <c r="F1341" i="1"/>
  <c r="G1341" i="1" s="1"/>
  <c r="E1341" i="1"/>
  <c r="BN1340" i="1"/>
  <c r="BL1340" i="1"/>
  <c r="BJ1340" i="1"/>
  <c r="BM1340" i="1" s="1"/>
  <c r="BI1340" i="1"/>
  <c r="BF1340" i="1"/>
  <c r="BG1340" i="1" s="1"/>
  <c r="BE1340" i="1"/>
  <c r="BC1340" i="1"/>
  <c r="BB1340" i="1"/>
  <c r="BA1340" i="1"/>
  <c r="AY1340" i="1"/>
  <c r="AX1340" i="1"/>
  <c r="AW1340" i="1"/>
  <c r="AT1340" i="1"/>
  <c r="AU1340" i="1" s="1"/>
  <c r="AS1340" i="1"/>
  <c r="AP1340" i="1"/>
  <c r="AO1340" i="1"/>
  <c r="AL1340" i="1"/>
  <c r="AK1340" i="1"/>
  <c r="AI1340" i="1"/>
  <c r="AH1340" i="1"/>
  <c r="AG1340" i="1"/>
  <c r="AE1340" i="1"/>
  <c r="AD1340" i="1"/>
  <c r="AC1340" i="1"/>
  <c r="Z1340" i="1"/>
  <c r="AA1340" i="1" s="1"/>
  <c r="Y1340" i="1"/>
  <c r="W1340" i="1"/>
  <c r="V1340" i="1"/>
  <c r="U1340" i="1"/>
  <c r="S1340" i="1"/>
  <c r="R1340" i="1"/>
  <c r="Q1340" i="1"/>
  <c r="N1340" i="1"/>
  <c r="O1340" i="1" s="1"/>
  <c r="M1340" i="1"/>
  <c r="J1340" i="1"/>
  <c r="I1340" i="1"/>
  <c r="F1340" i="1"/>
  <c r="E1340" i="1"/>
  <c r="BN1339" i="1"/>
  <c r="BL1339" i="1"/>
  <c r="BJ1339" i="1"/>
  <c r="BI1339" i="1"/>
  <c r="BF1339" i="1"/>
  <c r="BE1339" i="1"/>
  <c r="BC1339" i="1"/>
  <c r="BB1339" i="1"/>
  <c r="BA1339" i="1"/>
  <c r="AY1339" i="1"/>
  <c r="AX1339" i="1"/>
  <c r="AW1339" i="1"/>
  <c r="AT1339" i="1"/>
  <c r="AU1339" i="1" s="1"/>
  <c r="AS1339" i="1"/>
  <c r="AQ1339" i="1"/>
  <c r="AP1339" i="1"/>
  <c r="AO1339" i="1"/>
  <c r="AM1339" i="1"/>
  <c r="AL1339" i="1"/>
  <c r="AK1339" i="1"/>
  <c r="AH1339" i="1"/>
  <c r="AI1339" i="1" s="1"/>
  <c r="AG1339" i="1"/>
  <c r="AD1339" i="1"/>
  <c r="AC1339" i="1"/>
  <c r="Z1339" i="1"/>
  <c r="Y1339" i="1"/>
  <c r="W1339" i="1"/>
  <c r="V1339" i="1"/>
  <c r="U1339" i="1"/>
  <c r="S1339" i="1"/>
  <c r="R1339" i="1"/>
  <c r="Q1339" i="1"/>
  <c r="N1339" i="1"/>
  <c r="O1339" i="1" s="1"/>
  <c r="M1339" i="1"/>
  <c r="K1339" i="1"/>
  <c r="J1339" i="1"/>
  <c r="I1339" i="1"/>
  <c r="G1339" i="1"/>
  <c r="F1339" i="1"/>
  <c r="E1339" i="1"/>
  <c r="BN1338" i="1"/>
  <c r="BM1338" i="1"/>
  <c r="BL1338" i="1"/>
  <c r="BJ1338" i="1"/>
  <c r="BI1338" i="1"/>
  <c r="BG1338" i="1"/>
  <c r="BF1338" i="1"/>
  <c r="BE1338" i="1"/>
  <c r="BB1338" i="1"/>
  <c r="BC1338" i="1" s="1"/>
  <c r="BA1338" i="1"/>
  <c r="AX1338" i="1"/>
  <c r="AW1338" i="1"/>
  <c r="AT1338" i="1"/>
  <c r="AS1338" i="1"/>
  <c r="AQ1338" i="1"/>
  <c r="AP1338" i="1"/>
  <c r="AO1338" i="1"/>
  <c r="AM1338" i="1"/>
  <c r="AL1338" i="1"/>
  <c r="AK1338" i="1"/>
  <c r="AH1338" i="1"/>
  <c r="AI1338" i="1" s="1"/>
  <c r="AG1338" i="1"/>
  <c r="AE1338" i="1"/>
  <c r="AD1338" i="1"/>
  <c r="AC1338" i="1"/>
  <c r="AA1338" i="1"/>
  <c r="Z1338" i="1"/>
  <c r="Y1338" i="1"/>
  <c r="V1338" i="1"/>
  <c r="W1338" i="1" s="1"/>
  <c r="U1338" i="1"/>
  <c r="R1338" i="1"/>
  <c r="Q1338" i="1"/>
  <c r="N1338" i="1"/>
  <c r="M1338" i="1"/>
  <c r="K1338" i="1"/>
  <c r="J1338" i="1"/>
  <c r="I1338" i="1"/>
  <c r="G1338" i="1"/>
  <c r="F1338" i="1"/>
  <c r="E1338" i="1"/>
  <c r="BN1337" i="1"/>
  <c r="BL1337" i="1"/>
  <c r="BJ1337" i="1"/>
  <c r="BM1337" i="1" s="1"/>
  <c r="BI1337" i="1"/>
  <c r="BG1337" i="1"/>
  <c r="BF1337" i="1"/>
  <c r="BE1337" i="1"/>
  <c r="BB1337" i="1"/>
  <c r="BC1337" i="1" s="1"/>
  <c r="BA1337" i="1"/>
  <c r="AY1337" i="1"/>
  <c r="AX1337" i="1"/>
  <c r="AW1337" i="1"/>
  <c r="AU1337" i="1"/>
  <c r="AT1337" i="1"/>
  <c r="AS1337" i="1"/>
  <c r="AP1337" i="1"/>
  <c r="AQ1337" i="1" s="1"/>
  <c r="AO1337" i="1"/>
  <c r="AL1337" i="1"/>
  <c r="AK1337" i="1"/>
  <c r="AH1337" i="1"/>
  <c r="AG1337" i="1"/>
  <c r="AE1337" i="1"/>
  <c r="AD1337" i="1"/>
  <c r="AC1337" i="1"/>
  <c r="AA1337" i="1"/>
  <c r="Z1337" i="1"/>
  <c r="Y1337" i="1"/>
  <c r="V1337" i="1"/>
  <c r="W1337" i="1" s="1"/>
  <c r="U1337" i="1"/>
  <c r="S1337" i="1"/>
  <c r="R1337" i="1"/>
  <c r="Q1337" i="1"/>
  <c r="O1337" i="1"/>
  <c r="N1337" i="1"/>
  <c r="M1337" i="1"/>
  <c r="J1337" i="1"/>
  <c r="K1337" i="1" s="1"/>
  <c r="I1337" i="1"/>
  <c r="F1337" i="1"/>
  <c r="G1337" i="1" s="1"/>
  <c r="E1337" i="1"/>
  <c r="BN1336" i="1"/>
  <c r="BL1336" i="1"/>
  <c r="BJ1336" i="1"/>
  <c r="BM1336" i="1" s="1"/>
  <c r="BI1336" i="1"/>
  <c r="BF1336" i="1"/>
  <c r="BE1336" i="1"/>
  <c r="BB1336" i="1"/>
  <c r="BA1336" i="1"/>
  <c r="AY1336" i="1"/>
  <c r="AX1336" i="1"/>
  <c r="AW1336" i="1"/>
  <c r="AU1336" i="1"/>
  <c r="AT1336" i="1"/>
  <c r="AS1336" i="1"/>
  <c r="AP1336" i="1"/>
  <c r="AQ1336" i="1" s="1"/>
  <c r="AO1336" i="1"/>
  <c r="AM1336" i="1"/>
  <c r="AL1336" i="1"/>
  <c r="AK1336" i="1"/>
  <c r="AI1336" i="1"/>
  <c r="AH1336" i="1"/>
  <c r="AG1336" i="1"/>
  <c r="AD1336" i="1"/>
  <c r="AE1336" i="1" s="1"/>
  <c r="AC1336" i="1"/>
  <c r="Z1336" i="1"/>
  <c r="Y1336" i="1"/>
  <c r="V1336" i="1"/>
  <c r="U1336" i="1"/>
  <c r="S1336" i="1"/>
  <c r="R1336" i="1"/>
  <c r="Q1336" i="1"/>
  <c r="O1336" i="1"/>
  <c r="N1336" i="1"/>
  <c r="M1336" i="1"/>
  <c r="J1336" i="1"/>
  <c r="K1336" i="1" s="1"/>
  <c r="I1336" i="1"/>
  <c r="G1336" i="1"/>
  <c r="F1336" i="1"/>
  <c r="E1336" i="1"/>
  <c r="BN1335" i="1"/>
  <c r="BL1335" i="1"/>
  <c r="BJ1335" i="1"/>
  <c r="BM1335" i="1" s="1"/>
  <c r="BI1335" i="1"/>
  <c r="BG1335" i="1"/>
  <c r="BF1335" i="1"/>
  <c r="BE1335" i="1"/>
  <c r="BC1335" i="1"/>
  <c r="BB1335" i="1"/>
  <c r="BA1335" i="1"/>
  <c r="AX1335" i="1"/>
  <c r="AY1335" i="1" s="1"/>
  <c r="AW1335" i="1"/>
  <c r="AT1335" i="1"/>
  <c r="AS1335" i="1"/>
  <c r="AP1335" i="1"/>
  <c r="AO1335" i="1"/>
  <c r="AM1335" i="1"/>
  <c r="AL1335" i="1"/>
  <c r="AK1335" i="1"/>
  <c r="AI1335" i="1"/>
  <c r="AH1335" i="1"/>
  <c r="AG1335" i="1"/>
  <c r="AD1335" i="1"/>
  <c r="AE1335" i="1" s="1"/>
  <c r="AC1335" i="1"/>
  <c r="AA1335" i="1"/>
  <c r="Z1335" i="1"/>
  <c r="Y1335" i="1"/>
  <c r="W1335" i="1"/>
  <c r="V1335" i="1"/>
  <c r="U1335" i="1"/>
  <c r="R1335" i="1"/>
  <c r="S1335" i="1" s="1"/>
  <c r="Q1335" i="1"/>
  <c r="N1335" i="1"/>
  <c r="M1335" i="1"/>
  <c r="J1335" i="1"/>
  <c r="I1335" i="1"/>
  <c r="G1335" i="1"/>
  <c r="F1335" i="1"/>
  <c r="E1335" i="1"/>
  <c r="BN1334" i="1"/>
  <c r="BM1334" i="1" s="1"/>
  <c r="BL1334" i="1"/>
  <c r="BJ1334" i="1"/>
  <c r="BI1334" i="1"/>
  <c r="BG1334" i="1"/>
  <c r="BF1334" i="1"/>
  <c r="BE1334" i="1"/>
  <c r="BC1334" i="1"/>
  <c r="BB1334" i="1"/>
  <c r="BA1334" i="1"/>
  <c r="AX1334" i="1"/>
  <c r="AY1334" i="1" s="1"/>
  <c r="AW1334" i="1"/>
  <c r="AU1334" i="1"/>
  <c r="AT1334" i="1"/>
  <c r="AS1334" i="1"/>
  <c r="AQ1334" i="1"/>
  <c r="AP1334" i="1"/>
  <c r="AO1334" i="1"/>
  <c r="AL1334" i="1"/>
  <c r="AM1334" i="1" s="1"/>
  <c r="AK1334" i="1"/>
  <c r="AH1334" i="1"/>
  <c r="AG1334" i="1"/>
  <c r="AD1334" i="1"/>
  <c r="AC1334" i="1"/>
  <c r="AA1334" i="1"/>
  <c r="Z1334" i="1"/>
  <c r="Y1334" i="1"/>
  <c r="W1334" i="1"/>
  <c r="V1334" i="1"/>
  <c r="U1334" i="1"/>
  <c r="R1334" i="1"/>
  <c r="S1334" i="1" s="1"/>
  <c r="Q1334" i="1"/>
  <c r="O1334" i="1"/>
  <c r="N1334" i="1"/>
  <c r="M1334" i="1"/>
  <c r="K1334" i="1"/>
  <c r="J1334" i="1"/>
  <c r="I1334" i="1"/>
  <c r="F1334" i="1"/>
  <c r="G1334" i="1" s="1"/>
  <c r="E1334" i="1"/>
  <c r="BN1333" i="1"/>
  <c r="BM1333" i="1"/>
  <c r="BL1333" i="1"/>
  <c r="BJ1333" i="1"/>
  <c r="BI1333" i="1"/>
  <c r="BF1333" i="1"/>
  <c r="BG1333" i="1" s="1"/>
  <c r="BE1333" i="1"/>
  <c r="BB1333" i="1"/>
  <c r="BA1333" i="1"/>
  <c r="AX1333" i="1"/>
  <c r="AW1333" i="1"/>
  <c r="AU1333" i="1"/>
  <c r="AT1333" i="1"/>
  <c r="AS1333" i="1"/>
  <c r="AQ1333" i="1"/>
  <c r="AP1333" i="1"/>
  <c r="AO1333" i="1"/>
  <c r="AL1333" i="1"/>
  <c r="AM1333" i="1" s="1"/>
  <c r="AK1333" i="1"/>
  <c r="AI1333" i="1"/>
  <c r="AH1333" i="1"/>
  <c r="AG1333" i="1"/>
  <c r="AE1333" i="1"/>
  <c r="AD1333" i="1"/>
  <c r="AC1333" i="1"/>
  <c r="Z1333" i="1"/>
  <c r="AA1333" i="1" s="1"/>
  <c r="Y1333" i="1"/>
  <c r="V1333" i="1"/>
  <c r="U1333" i="1"/>
  <c r="R1333" i="1"/>
  <c r="Q1333" i="1"/>
  <c r="O1333" i="1"/>
  <c r="N1333" i="1"/>
  <c r="M1333" i="1"/>
  <c r="K1333" i="1"/>
  <c r="J1333" i="1"/>
  <c r="I1333" i="1"/>
  <c r="F1333" i="1"/>
  <c r="G1333" i="1" s="1"/>
  <c r="E1333" i="1"/>
  <c r="BN1332" i="1"/>
  <c r="BL1332" i="1"/>
  <c r="BJ1332" i="1"/>
  <c r="BM1332" i="1" s="1"/>
  <c r="BI1332" i="1"/>
  <c r="BF1332" i="1"/>
  <c r="BG1332" i="1" s="1"/>
  <c r="BE1332" i="1"/>
  <c r="BC1332" i="1"/>
  <c r="BB1332" i="1"/>
  <c r="BA1332" i="1"/>
  <c r="AY1332" i="1"/>
  <c r="AX1332" i="1"/>
  <c r="AW1332" i="1"/>
  <c r="AT1332" i="1"/>
  <c r="AU1332" i="1" s="1"/>
  <c r="AS1332" i="1"/>
  <c r="AP1332" i="1"/>
  <c r="AO1332" i="1"/>
  <c r="AL1332" i="1"/>
  <c r="AK1332" i="1"/>
  <c r="AI1332" i="1"/>
  <c r="AH1332" i="1"/>
  <c r="AG1332" i="1"/>
  <c r="AE1332" i="1"/>
  <c r="AD1332" i="1"/>
  <c r="AC1332" i="1"/>
  <c r="Z1332" i="1"/>
  <c r="AA1332" i="1" s="1"/>
  <c r="Y1332" i="1"/>
  <c r="W1332" i="1"/>
  <c r="V1332" i="1"/>
  <c r="U1332" i="1"/>
  <c r="S1332" i="1"/>
  <c r="R1332" i="1"/>
  <c r="Q1332" i="1"/>
  <c r="N1332" i="1"/>
  <c r="O1332" i="1" s="1"/>
  <c r="M1332" i="1"/>
  <c r="J1332" i="1"/>
  <c r="I1332" i="1"/>
  <c r="F1332" i="1"/>
  <c r="E1332" i="1"/>
  <c r="BN1331" i="1"/>
  <c r="BL1331" i="1"/>
  <c r="BJ1331" i="1"/>
  <c r="BI1331" i="1"/>
  <c r="BF1331" i="1"/>
  <c r="BE1331" i="1"/>
  <c r="BC1331" i="1"/>
  <c r="BB1331" i="1"/>
  <c r="BA1331" i="1"/>
  <c r="AY1331" i="1"/>
  <c r="AX1331" i="1"/>
  <c r="AW1331" i="1"/>
  <c r="AT1331" i="1"/>
  <c r="AU1331" i="1" s="1"/>
  <c r="AS1331" i="1"/>
  <c r="AQ1331" i="1"/>
  <c r="AP1331" i="1"/>
  <c r="AO1331" i="1"/>
  <c r="AM1331" i="1"/>
  <c r="AL1331" i="1"/>
  <c r="AK1331" i="1"/>
  <c r="AH1331" i="1"/>
  <c r="AI1331" i="1" s="1"/>
  <c r="AG1331" i="1"/>
  <c r="AD1331" i="1"/>
  <c r="AC1331" i="1"/>
  <c r="Z1331" i="1"/>
  <c r="Y1331" i="1"/>
  <c r="W1331" i="1"/>
  <c r="V1331" i="1"/>
  <c r="U1331" i="1"/>
  <c r="S1331" i="1"/>
  <c r="R1331" i="1"/>
  <c r="Q1331" i="1"/>
  <c r="N1331" i="1"/>
  <c r="O1331" i="1" s="1"/>
  <c r="M1331" i="1"/>
  <c r="K1331" i="1"/>
  <c r="J1331" i="1"/>
  <c r="I1331" i="1"/>
  <c r="G1331" i="1"/>
  <c r="F1331" i="1"/>
  <c r="E1331" i="1"/>
  <c r="BN1330" i="1"/>
  <c r="BM1330" i="1"/>
  <c r="BL1330" i="1"/>
  <c r="BJ1330" i="1"/>
  <c r="BI1330" i="1"/>
  <c r="BG1330" i="1"/>
  <c r="BF1330" i="1"/>
  <c r="BE1330" i="1"/>
  <c r="BB1330" i="1"/>
  <c r="BC1330" i="1" s="1"/>
  <c r="BA1330" i="1"/>
  <c r="AX1330" i="1"/>
  <c r="AW1330" i="1"/>
  <c r="AT1330" i="1"/>
  <c r="AS1330" i="1"/>
  <c r="AQ1330" i="1"/>
  <c r="AP1330" i="1"/>
  <c r="AO1330" i="1"/>
  <c r="AM1330" i="1"/>
  <c r="AL1330" i="1"/>
  <c r="AK1330" i="1"/>
  <c r="AH1330" i="1"/>
  <c r="AI1330" i="1" s="1"/>
  <c r="AG1330" i="1"/>
  <c r="AE1330" i="1"/>
  <c r="AD1330" i="1"/>
  <c r="AC1330" i="1"/>
  <c r="AA1330" i="1"/>
  <c r="Z1330" i="1"/>
  <c r="Y1330" i="1"/>
  <c r="V1330" i="1"/>
  <c r="W1330" i="1" s="1"/>
  <c r="U1330" i="1"/>
  <c r="R1330" i="1"/>
  <c r="Q1330" i="1"/>
  <c r="N1330" i="1"/>
  <c r="M1330" i="1"/>
  <c r="K1330" i="1"/>
  <c r="J1330" i="1"/>
  <c r="I1330" i="1"/>
  <c r="G1330" i="1"/>
  <c r="F1330" i="1"/>
  <c r="E1330" i="1"/>
  <c r="BN1329" i="1"/>
  <c r="BL1329" i="1"/>
  <c r="BJ1329" i="1"/>
  <c r="BM1329" i="1" s="1"/>
  <c r="BI1329" i="1"/>
  <c r="BG1329" i="1"/>
  <c r="BF1329" i="1"/>
  <c r="BE1329" i="1"/>
  <c r="BB1329" i="1"/>
  <c r="BC1329" i="1" s="1"/>
  <c r="BA1329" i="1"/>
  <c r="AY1329" i="1"/>
  <c r="AX1329" i="1"/>
  <c r="AW1329" i="1"/>
  <c r="AU1329" i="1"/>
  <c r="AT1329" i="1"/>
  <c r="AS1329" i="1"/>
  <c r="AP1329" i="1"/>
  <c r="AQ1329" i="1" s="1"/>
  <c r="AO1329" i="1"/>
  <c r="AL1329" i="1"/>
  <c r="AK1329" i="1"/>
  <c r="AH1329" i="1"/>
  <c r="AG1329" i="1"/>
  <c r="AE1329" i="1"/>
  <c r="AD1329" i="1"/>
  <c r="AC1329" i="1"/>
  <c r="AA1329" i="1"/>
  <c r="Z1329" i="1"/>
  <c r="Y1329" i="1"/>
  <c r="V1329" i="1"/>
  <c r="W1329" i="1" s="1"/>
  <c r="U1329" i="1"/>
  <c r="S1329" i="1"/>
  <c r="R1329" i="1"/>
  <c r="Q1329" i="1"/>
  <c r="O1329" i="1"/>
  <c r="N1329" i="1"/>
  <c r="M1329" i="1"/>
  <c r="J1329" i="1"/>
  <c r="K1329" i="1" s="1"/>
  <c r="I1329" i="1"/>
  <c r="F1329" i="1"/>
  <c r="G1329" i="1" s="1"/>
  <c r="E1329" i="1"/>
  <c r="BN1328" i="1"/>
  <c r="BL1328" i="1"/>
  <c r="BJ1328" i="1"/>
  <c r="BM1328" i="1" s="1"/>
  <c r="BI1328" i="1"/>
  <c r="BF1328" i="1"/>
  <c r="BE1328" i="1"/>
  <c r="BB1328" i="1"/>
  <c r="BA1328" i="1"/>
  <c r="AY1328" i="1"/>
  <c r="AX1328" i="1"/>
  <c r="AW1328" i="1"/>
  <c r="AU1328" i="1"/>
  <c r="AT1328" i="1"/>
  <c r="AS1328" i="1"/>
  <c r="AP1328" i="1"/>
  <c r="AQ1328" i="1" s="1"/>
  <c r="AO1328" i="1"/>
  <c r="AM1328" i="1"/>
  <c r="AL1328" i="1"/>
  <c r="AK1328" i="1"/>
  <c r="AI1328" i="1"/>
  <c r="AH1328" i="1"/>
  <c r="AG1328" i="1"/>
  <c r="AD1328" i="1"/>
  <c r="AE1328" i="1" s="1"/>
  <c r="AC1328" i="1"/>
  <c r="Z1328" i="1"/>
  <c r="Y1328" i="1"/>
  <c r="V1328" i="1"/>
  <c r="U1328" i="1"/>
  <c r="S1328" i="1"/>
  <c r="R1328" i="1"/>
  <c r="Q1328" i="1"/>
  <c r="O1328" i="1"/>
  <c r="N1328" i="1"/>
  <c r="M1328" i="1"/>
  <c r="J1328" i="1"/>
  <c r="K1328" i="1" s="1"/>
  <c r="I1328" i="1"/>
  <c r="G1328" i="1"/>
  <c r="F1328" i="1"/>
  <c r="E1328" i="1"/>
  <c r="BN1327" i="1"/>
  <c r="BL1327" i="1"/>
  <c r="BJ1327" i="1"/>
  <c r="BM1327" i="1" s="1"/>
  <c r="BI1327" i="1"/>
  <c r="BG1327" i="1"/>
  <c r="BF1327" i="1"/>
  <c r="BE1327" i="1"/>
  <c r="BC1327" i="1"/>
  <c r="BB1327" i="1"/>
  <c r="BA1327" i="1"/>
  <c r="AX1327" i="1"/>
  <c r="AY1327" i="1" s="1"/>
  <c r="AW1327" i="1"/>
  <c r="AT1327" i="1"/>
  <c r="AS1327" i="1"/>
  <c r="AP1327" i="1"/>
  <c r="AO1327" i="1"/>
  <c r="AM1327" i="1"/>
  <c r="AL1327" i="1"/>
  <c r="AK1327" i="1"/>
  <c r="AI1327" i="1"/>
  <c r="AH1327" i="1"/>
  <c r="AG1327" i="1"/>
  <c r="AD1327" i="1"/>
  <c r="AE1327" i="1" s="1"/>
  <c r="AC1327" i="1"/>
  <c r="AA1327" i="1"/>
  <c r="Z1327" i="1"/>
  <c r="Y1327" i="1"/>
  <c r="W1327" i="1"/>
  <c r="V1327" i="1"/>
  <c r="U1327" i="1"/>
  <c r="R1327" i="1"/>
  <c r="S1327" i="1" s="1"/>
  <c r="Q1327" i="1"/>
  <c r="N1327" i="1"/>
  <c r="M1327" i="1"/>
  <c r="J1327" i="1"/>
  <c r="I1327" i="1"/>
  <c r="G1327" i="1"/>
  <c r="F1327" i="1"/>
  <c r="E1327" i="1"/>
  <c r="BN1326" i="1"/>
  <c r="BM1326" i="1" s="1"/>
  <c r="BL1326" i="1"/>
  <c r="BJ1326" i="1"/>
  <c r="BI1326" i="1"/>
  <c r="BG1326" i="1"/>
  <c r="BF1326" i="1"/>
  <c r="BE1326" i="1"/>
  <c r="BC1326" i="1"/>
  <c r="BB1326" i="1"/>
  <c r="BA1326" i="1"/>
  <c r="AX1326" i="1"/>
  <c r="AY1326" i="1" s="1"/>
  <c r="AW1326" i="1"/>
  <c r="AU1326" i="1"/>
  <c r="AT1326" i="1"/>
  <c r="AS1326" i="1"/>
  <c r="AQ1326" i="1"/>
  <c r="AP1326" i="1"/>
  <c r="AO1326" i="1"/>
  <c r="AL1326" i="1"/>
  <c r="AM1326" i="1" s="1"/>
  <c r="AK1326" i="1"/>
  <c r="AH1326" i="1"/>
  <c r="AG1326" i="1"/>
  <c r="AD1326" i="1"/>
  <c r="AC1326" i="1"/>
  <c r="AA1326" i="1"/>
  <c r="Z1326" i="1"/>
  <c r="Y1326" i="1"/>
  <c r="W1326" i="1"/>
  <c r="V1326" i="1"/>
  <c r="U1326" i="1"/>
  <c r="R1326" i="1"/>
  <c r="S1326" i="1" s="1"/>
  <c r="Q1326" i="1"/>
  <c r="O1326" i="1"/>
  <c r="N1326" i="1"/>
  <c r="M1326" i="1"/>
  <c r="K1326" i="1"/>
  <c r="J1326" i="1"/>
  <c r="I1326" i="1"/>
  <c r="F1326" i="1"/>
  <c r="G1326" i="1" s="1"/>
  <c r="E1326" i="1"/>
  <c r="BN1325" i="1"/>
  <c r="BM1325" i="1"/>
  <c r="BL1325" i="1"/>
  <c r="BK1325" i="1"/>
  <c r="BJ1325" i="1"/>
  <c r="BH1325" i="1"/>
  <c r="BI1325" i="1" s="1"/>
  <c r="BG1325" i="1"/>
  <c r="BF1325" i="1"/>
  <c r="BE1325" i="1"/>
  <c r="BD1325" i="1"/>
  <c r="BC1325" i="1"/>
  <c r="BB1325" i="1"/>
  <c r="AZ1325" i="1"/>
  <c r="BA1325" i="1" s="1"/>
  <c r="AY1325" i="1"/>
  <c r="AX1325" i="1"/>
  <c r="AW1325" i="1"/>
  <c r="AU1325" i="1"/>
  <c r="AT1325" i="1"/>
  <c r="AS1325" i="1"/>
  <c r="AP1325" i="1"/>
  <c r="AQ1325" i="1" s="1"/>
  <c r="AO1325" i="1"/>
  <c r="AL1325" i="1"/>
  <c r="AK1325" i="1"/>
  <c r="AH1325" i="1"/>
  <c r="AG1325" i="1"/>
  <c r="AE1325" i="1"/>
  <c r="AD1325" i="1"/>
  <c r="AC1325" i="1"/>
  <c r="AA1325" i="1"/>
  <c r="Z1325" i="1"/>
  <c r="Y1325" i="1"/>
  <c r="V1325" i="1"/>
  <c r="W1325" i="1" s="1"/>
  <c r="U1325" i="1"/>
  <c r="S1325" i="1"/>
  <c r="R1325" i="1"/>
  <c r="Q1325" i="1"/>
  <c r="O1325" i="1"/>
  <c r="N1325" i="1"/>
  <c r="M1325" i="1"/>
  <c r="J1325" i="1"/>
  <c r="K1325" i="1" s="1"/>
  <c r="I1325" i="1"/>
  <c r="F1325" i="1"/>
  <c r="G1325" i="1" s="1"/>
  <c r="E1325" i="1"/>
  <c r="BN1324" i="1"/>
  <c r="BK1324" i="1"/>
  <c r="BL1324" i="1" s="1"/>
  <c r="BJ1324" i="1"/>
  <c r="BM1324" i="1" s="1"/>
  <c r="BH1324" i="1"/>
  <c r="BI1324" i="1" s="1"/>
  <c r="BG1324" i="1"/>
  <c r="BF1324" i="1"/>
  <c r="BD1324" i="1"/>
  <c r="BE1324" i="1" s="1"/>
  <c r="BC1324" i="1"/>
  <c r="BB1324" i="1"/>
  <c r="AZ1324" i="1"/>
  <c r="BA1324" i="1" s="1"/>
  <c r="AY1324" i="1"/>
  <c r="AX1324" i="1"/>
  <c r="AW1324" i="1"/>
  <c r="AT1324" i="1"/>
  <c r="AU1324" i="1" s="1"/>
  <c r="AS1324" i="1"/>
  <c r="AP1324" i="1"/>
  <c r="AO1324" i="1"/>
  <c r="AL1324" i="1"/>
  <c r="AK1324" i="1"/>
  <c r="AI1324" i="1"/>
  <c r="AH1324" i="1"/>
  <c r="AG1324" i="1"/>
  <c r="AE1324" i="1"/>
  <c r="AD1324" i="1"/>
  <c r="AC1324" i="1"/>
  <c r="Z1324" i="1"/>
  <c r="AA1324" i="1" s="1"/>
  <c r="Y1324" i="1"/>
  <c r="W1324" i="1"/>
  <c r="V1324" i="1"/>
  <c r="U1324" i="1"/>
  <c r="S1324" i="1"/>
  <c r="R1324" i="1"/>
  <c r="Q1324" i="1"/>
  <c r="N1324" i="1"/>
  <c r="O1324" i="1" s="1"/>
  <c r="M1324" i="1"/>
  <c r="J1324" i="1"/>
  <c r="I1324" i="1"/>
  <c r="F1324" i="1"/>
  <c r="E1324" i="1"/>
  <c r="BN1323" i="1"/>
  <c r="BK1323" i="1"/>
  <c r="BL1323" i="1" s="1"/>
  <c r="BJ1323" i="1"/>
  <c r="BM1323" i="1" s="1"/>
  <c r="BI1323" i="1"/>
  <c r="BH1323" i="1"/>
  <c r="BF1323" i="1"/>
  <c r="BG1323" i="1" s="1"/>
  <c r="BE1323" i="1"/>
  <c r="BD1323" i="1"/>
  <c r="BC1323" i="1"/>
  <c r="BB1323" i="1"/>
  <c r="BA1323" i="1"/>
  <c r="AZ1323" i="1"/>
  <c r="AX1323" i="1"/>
  <c r="AY1323" i="1" s="1"/>
  <c r="AW1323" i="1"/>
  <c r="AT1323" i="1"/>
  <c r="AS1323" i="1"/>
  <c r="AP1323" i="1"/>
  <c r="AO1323" i="1"/>
  <c r="AM1323" i="1"/>
  <c r="AL1323" i="1"/>
  <c r="AK1323" i="1"/>
  <c r="AI1323" i="1"/>
  <c r="AH1323" i="1"/>
  <c r="AG1323" i="1"/>
  <c r="AD1323" i="1"/>
  <c r="AE1323" i="1" s="1"/>
  <c r="AC1323" i="1"/>
  <c r="AA1323" i="1"/>
  <c r="Z1323" i="1"/>
  <c r="Y1323" i="1"/>
  <c r="W1323" i="1"/>
  <c r="V1323" i="1"/>
  <c r="U1323" i="1"/>
  <c r="R1323" i="1"/>
  <c r="S1323" i="1" s="1"/>
  <c r="Q1323" i="1"/>
  <c r="N1323" i="1"/>
  <c r="M1323" i="1"/>
  <c r="J1323" i="1"/>
  <c r="I1323" i="1"/>
  <c r="G1323" i="1"/>
  <c r="F1323" i="1"/>
  <c r="E1323" i="1"/>
  <c r="BN1322" i="1"/>
  <c r="BM1322" i="1" s="1"/>
  <c r="BL1322" i="1"/>
  <c r="BJ1322" i="1"/>
  <c r="BI1322" i="1"/>
  <c r="BG1322" i="1"/>
  <c r="BF1322" i="1"/>
  <c r="BE1322" i="1"/>
  <c r="BC1322" i="1"/>
  <c r="BB1322" i="1"/>
  <c r="BA1322" i="1"/>
  <c r="AX1322" i="1"/>
  <c r="AY1322" i="1" s="1"/>
  <c r="AW1322" i="1"/>
  <c r="AU1322" i="1"/>
  <c r="AT1322" i="1"/>
  <c r="AS1322" i="1"/>
  <c r="AQ1322" i="1"/>
  <c r="AP1322" i="1"/>
  <c r="AO1322" i="1"/>
  <c r="AL1322" i="1"/>
  <c r="AM1322" i="1" s="1"/>
  <c r="AK1322" i="1"/>
  <c r="AH1322" i="1"/>
  <c r="AG1322" i="1"/>
  <c r="AD1322" i="1"/>
  <c r="AC1322" i="1"/>
  <c r="AA1322" i="1"/>
  <c r="Z1322" i="1"/>
  <c r="Y1322" i="1"/>
  <c r="W1322" i="1"/>
  <c r="V1322" i="1"/>
  <c r="U1322" i="1"/>
  <c r="R1322" i="1"/>
  <c r="S1322" i="1" s="1"/>
  <c r="Q1322" i="1"/>
  <c r="O1322" i="1"/>
  <c r="N1322" i="1"/>
  <c r="M1322" i="1"/>
  <c r="K1322" i="1"/>
  <c r="J1322" i="1"/>
  <c r="I1322" i="1"/>
  <c r="F1322" i="1"/>
  <c r="G1322" i="1" s="1"/>
  <c r="E1322" i="1"/>
  <c r="BN1321" i="1"/>
  <c r="BM1321" i="1"/>
  <c r="BL1321" i="1"/>
  <c r="BJ1321" i="1"/>
  <c r="BI1321" i="1"/>
  <c r="BF1321" i="1"/>
  <c r="BG1321" i="1" s="1"/>
  <c r="BE1321" i="1"/>
  <c r="BB1321" i="1"/>
  <c r="BA1321" i="1"/>
  <c r="AX1321" i="1"/>
  <c r="AW1321" i="1"/>
  <c r="AU1321" i="1"/>
  <c r="AT1321" i="1"/>
  <c r="AS1321" i="1"/>
  <c r="AQ1321" i="1"/>
  <c r="AP1321" i="1"/>
  <c r="AO1321" i="1"/>
  <c r="AL1321" i="1"/>
  <c r="AM1321" i="1" s="1"/>
  <c r="AK1321" i="1"/>
  <c r="AI1321" i="1"/>
  <c r="AH1321" i="1"/>
  <c r="AG1321" i="1"/>
  <c r="AE1321" i="1"/>
  <c r="AD1321" i="1"/>
  <c r="AC1321" i="1"/>
  <c r="Z1321" i="1"/>
  <c r="AA1321" i="1" s="1"/>
  <c r="Y1321" i="1"/>
  <c r="V1321" i="1"/>
  <c r="U1321" i="1"/>
  <c r="R1321" i="1"/>
  <c r="Q1321" i="1"/>
  <c r="O1321" i="1"/>
  <c r="N1321" i="1"/>
  <c r="M1321" i="1"/>
  <c r="K1321" i="1"/>
  <c r="J1321" i="1"/>
  <c r="I1321" i="1"/>
  <c r="F1321" i="1"/>
  <c r="G1321" i="1" s="1"/>
  <c r="E1321" i="1"/>
  <c r="BN1320" i="1"/>
  <c r="BL1320" i="1"/>
  <c r="BJ1320" i="1"/>
  <c r="BM1320" i="1" s="1"/>
  <c r="BI1320" i="1"/>
  <c r="BF1320" i="1"/>
  <c r="BG1320" i="1" s="1"/>
  <c r="BE1320" i="1"/>
  <c r="BC1320" i="1"/>
  <c r="BB1320" i="1"/>
  <c r="BA1320" i="1"/>
  <c r="AY1320" i="1"/>
  <c r="AX1320" i="1"/>
  <c r="AW1320" i="1"/>
  <c r="AT1320" i="1"/>
  <c r="AU1320" i="1" s="1"/>
  <c r="AS1320" i="1"/>
  <c r="AP1320" i="1"/>
  <c r="AO1320" i="1"/>
  <c r="AL1320" i="1"/>
  <c r="AK1320" i="1"/>
  <c r="AI1320" i="1"/>
  <c r="AH1320" i="1"/>
  <c r="AG1320" i="1"/>
  <c r="AE1320" i="1"/>
  <c r="AD1320" i="1"/>
  <c r="AC1320" i="1"/>
  <c r="Z1320" i="1"/>
  <c r="AA1320" i="1" s="1"/>
  <c r="Y1320" i="1"/>
  <c r="W1320" i="1"/>
  <c r="V1320" i="1"/>
  <c r="U1320" i="1"/>
  <c r="S1320" i="1"/>
  <c r="R1320" i="1"/>
  <c r="Q1320" i="1"/>
  <c r="N1320" i="1"/>
  <c r="O1320" i="1" s="1"/>
  <c r="M1320" i="1"/>
  <c r="J1320" i="1"/>
  <c r="I1320" i="1"/>
  <c r="F1320" i="1"/>
  <c r="E1320" i="1"/>
  <c r="BN1319" i="1"/>
  <c r="BL1319" i="1"/>
  <c r="BJ1319" i="1"/>
  <c r="BI1319" i="1"/>
  <c r="BF1319" i="1"/>
  <c r="BE1319" i="1"/>
  <c r="BC1319" i="1"/>
  <c r="BB1319" i="1"/>
  <c r="BA1319" i="1"/>
  <c r="AY1319" i="1"/>
  <c r="AX1319" i="1"/>
  <c r="AW1319" i="1"/>
  <c r="AT1319" i="1"/>
  <c r="AU1319" i="1" s="1"/>
  <c r="AS1319" i="1"/>
  <c r="AQ1319" i="1"/>
  <c r="AP1319" i="1"/>
  <c r="AO1319" i="1"/>
  <c r="AM1319" i="1"/>
  <c r="AL1319" i="1"/>
  <c r="AK1319" i="1"/>
  <c r="AH1319" i="1"/>
  <c r="AI1319" i="1" s="1"/>
  <c r="AG1319" i="1"/>
  <c r="AD1319" i="1"/>
  <c r="AC1319" i="1"/>
  <c r="Z1319" i="1"/>
  <c r="Y1319" i="1"/>
  <c r="W1319" i="1"/>
  <c r="V1319" i="1"/>
  <c r="U1319" i="1"/>
  <c r="S1319" i="1"/>
  <c r="R1319" i="1"/>
  <c r="Q1319" i="1"/>
  <c r="N1319" i="1"/>
  <c r="O1319" i="1" s="1"/>
  <c r="M1319" i="1"/>
  <c r="K1319" i="1"/>
  <c r="J1319" i="1"/>
  <c r="I1319" i="1"/>
  <c r="G1319" i="1"/>
  <c r="F1319" i="1"/>
  <c r="E1319" i="1"/>
  <c r="BN1318" i="1"/>
  <c r="BM1318" i="1"/>
  <c r="BL1318" i="1"/>
  <c r="BJ1318" i="1"/>
  <c r="BI1318" i="1"/>
  <c r="BG1318" i="1"/>
  <c r="BF1318" i="1"/>
  <c r="BE1318" i="1"/>
  <c r="BB1318" i="1"/>
  <c r="BC1318" i="1" s="1"/>
  <c r="BA1318" i="1"/>
  <c r="AX1318" i="1"/>
  <c r="AW1318" i="1"/>
  <c r="AT1318" i="1"/>
  <c r="AS1318" i="1"/>
  <c r="AQ1318" i="1"/>
  <c r="AP1318" i="1"/>
  <c r="AO1318" i="1"/>
  <c r="AM1318" i="1"/>
  <c r="AL1318" i="1"/>
  <c r="AK1318" i="1"/>
  <c r="AH1318" i="1"/>
  <c r="AI1318" i="1" s="1"/>
  <c r="AG1318" i="1"/>
  <c r="AE1318" i="1"/>
  <c r="AD1318" i="1"/>
  <c r="AC1318" i="1"/>
  <c r="AA1318" i="1"/>
  <c r="Z1318" i="1"/>
  <c r="Y1318" i="1"/>
  <c r="V1318" i="1"/>
  <c r="W1318" i="1" s="1"/>
  <c r="U1318" i="1"/>
  <c r="R1318" i="1"/>
  <c r="Q1318" i="1"/>
  <c r="N1318" i="1"/>
  <c r="M1318" i="1"/>
  <c r="K1318" i="1"/>
  <c r="J1318" i="1"/>
  <c r="I1318" i="1"/>
  <c r="G1318" i="1"/>
  <c r="F1318" i="1"/>
  <c r="E1318" i="1"/>
  <c r="BN1317" i="1"/>
  <c r="BL1317" i="1"/>
  <c r="BJ1317" i="1"/>
  <c r="BM1317" i="1" s="1"/>
  <c r="BI1317" i="1"/>
  <c r="BG1317" i="1"/>
  <c r="BF1317" i="1"/>
  <c r="BE1317" i="1"/>
  <c r="BB1317" i="1"/>
  <c r="BC1317" i="1" s="1"/>
  <c r="BA1317" i="1"/>
  <c r="AY1317" i="1"/>
  <c r="AX1317" i="1"/>
  <c r="AW1317" i="1"/>
  <c r="AU1317" i="1"/>
  <c r="AT1317" i="1"/>
  <c r="AS1317" i="1"/>
  <c r="AP1317" i="1"/>
  <c r="AQ1317" i="1" s="1"/>
  <c r="AO1317" i="1"/>
  <c r="AL1317" i="1"/>
  <c r="AK1317" i="1"/>
  <c r="AH1317" i="1"/>
  <c r="AG1317" i="1"/>
  <c r="AE1317" i="1"/>
  <c r="AD1317" i="1"/>
  <c r="AC1317" i="1"/>
  <c r="AA1317" i="1"/>
  <c r="Z1317" i="1"/>
  <c r="Y1317" i="1"/>
  <c r="V1317" i="1"/>
  <c r="W1317" i="1" s="1"/>
  <c r="U1317" i="1"/>
  <c r="S1317" i="1"/>
  <c r="R1317" i="1"/>
  <c r="Q1317" i="1"/>
  <c r="O1317" i="1"/>
  <c r="N1317" i="1"/>
  <c r="M1317" i="1"/>
  <c r="J1317" i="1"/>
  <c r="K1317" i="1" s="1"/>
  <c r="I1317" i="1"/>
  <c r="F1317" i="1"/>
  <c r="G1317" i="1" s="1"/>
  <c r="E1317" i="1"/>
  <c r="BN1316" i="1"/>
  <c r="BL1316" i="1"/>
  <c r="BJ1316" i="1"/>
  <c r="BM1316" i="1" s="1"/>
  <c r="BI1316" i="1"/>
  <c r="BF1316" i="1"/>
  <c r="BE1316" i="1"/>
  <c r="BB1316" i="1"/>
  <c r="BA1316" i="1"/>
  <c r="AY1316" i="1"/>
  <c r="AX1316" i="1"/>
  <c r="AW1316" i="1"/>
  <c r="AU1316" i="1"/>
  <c r="AT1316" i="1"/>
  <c r="AS1316" i="1"/>
  <c r="AP1316" i="1"/>
  <c r="AQ1316" i="1" s="1"/>
  <c r="AO1316" i="1"/>
  <c r="AM1316" i="1"/>
  <c r="AL1316" i="1"/>
  <c r="AK1316" i="1"/>
  <c r="AI1316" i="1"/>
  <c r="AH1316" i="1"/>
  <c r="AG1316" i="1"/>
  <c r="AD1316" i="1"/>
  <c r="AE1316" i="1" s="1"/>
  <c r="AC1316" i="1"/>
  <c r="Z1316" i="1"/>
  <c r="Y1316" i="1"/>
  <c r="V1316" i="1"/>
  <c r="U1316" i="1"/>
  <c r="S1316" i="1"/>
  <c r="R1316" i="1"/>
  <c r="Q1316" i="1"/>
  <c r="O1316" i="1"/>
  <c r="N1316" i="1"/>
  <c r="M1316" i="1"/>
  <c r="J1316" i="1"/>
  <c r="K1316" i="1" s="1"/>
  <c r="I1316" i="1"/>
  <c r="G1316" i="1"/>
  <c r="F1316" i="1"/>
  <c r="E1316" i="1"/>
  <c r="BN1315" i="1"/>
  <c r="BL1315" i="1"/>
  <c r="BJ1315" i="1"/>
  <c r="BM1315" i="1" s="1"/>
  <c r="BI1315" i="1"/>
  <c r="BG1315" i="1"/>
  <c r="BF1315" i="1"/>
  <c r="BE1315" i="1"/>
  <c r="BC1315" i="1"/>
  <c r="BB1315" i="1"/>
  <c r="BA1315" i="1"/>
  <c r="AX1315" i="1"/>
  <c r="AY1315" i="1" s="1"/>
  <c r="AW1315" i="1"/>
  <c r="AT1315" i="1"/>
  <c r="AS1315" i="1"/>
  <c r="AP1315" i="1"/>
  <c r="AO1315" i="1"/>
  <c r="AM1315" i="1"/>
  <c r="AL1315" i="1"/>
  <c r="AK1315" i="1"/>
  <c r="AI1315" i="1"/>
  <c r="AH1315" i="1"/>
  <c r="AG1315" i="1"/>
  <c r="AD1315" i="1"/>
  <c r="AE1315" i="1" s="1"/>
  <c r="AC1315" i="1"/>
  <c r="AA1315" i="1"/>
  <c r="Z1315" i="1"/>
  <c r="Y1315" i="1"/>
  <c r="W1315" i="1"/>
  <c r="V1315" i="1"/>
  <c r="U1315" i="1"/>
  <c r="R1315" i="1"/>
  <c r="S1315" i="1" s="1"/>
  <c r="Q1315" i="1"/>
  <c r="N1315" i="1"/>
  <c r="M1315" i="1"/>
  <c r="J1315" i="1"/>
  <c r="I1315" i="1"/>
  <c r="G1315" i="1"/>
  <c r="F1315" i="1"/>
  <c r="E1315" i="1"/>
  <c r="BN1314" i="1"/>
  <c r="BM1314" i="1" s="1"/>
  <c r="BL1314" i="1"/>
  <c r="BJ1314" i="1"/>
  <c r="BI1314" i="1"/>
  <c r="BG1314" i="1"/>
  <c r="BF1314" i="1"/>
  <c r="BE1314" i="1"/>
  <c r="BC1314" i="1"/>
  <c r="BB1314" i="1"/>
  <c r="BA1314" i="1"/>
  <c r="AX1314" i="1"/>
  <c r="AY1314" i="1" s="1"/>
  <c r="AW1314" i="1"/>
  <c r="AU1314" i="1"/>
  <c r="AT1314" i="1"/>
  <c r="AS1314" i="1"/>
  <c r="AQ1314" i="1"/>
  <c r="AP1314" i="1"/>
  <c r="AO1314" i="1"/>
  <c r="AL1314" i="1"/>
  <c r="AM1314" i="1" s="1"/>
  <c r="AK1314" i="1"/>
  <c r="AH1314" i="1"/>
  <c r="AG1314" i="1"/>
  <c r="AD1314" i="1"/>
  <c r="AC1314" i="1"/>
  <c r="AA1314" i="1"/>
  <c r="Z1314" i="1"/>
  <c r="Y1314" i="1"/>
  <c r="W1314" i="1"/>
  <c r="V1314" i="1"/>
  <c r="U1314" i="1"/>
  <c r="R1314" i="1"/>
  <c r="S1314" i="1" s="1"/>
  <c r="Q1314" i="1"/>
  <c r="O1314" i="1"/>
  <c r="N1314" i="1"/>
  <c r="M1314" i="1"/>
  <c r="K1314" i="1"/>
  <c r="J1314" i="1"/>
  <c r="I1314" i="1"/>
  <c r="F1314" i="1"/>
  <c r="G1314" i="1" s="1"/>
  <c r="E1314" i="1"/>
  <c r="BN1313" i="1"/>
  <c r="BM1313" i="1"/>
  <c r="BL1313" i="1"/>
  <c r="BJ1313" i="1"/>
  <c r="BI1313" i="1"/>
  <c r="BF1313" i="1"/>
  <c r="BG1313" i="1" s="1"/>
  <c r="BE1313" i="1"/>
  <c r="BB1313" i="1"/>
  <c r="BA1313" i="1"/>
  <c r="AX1313" i="1"/>
  <c r="AW1313" i="1"/>
  <c r="AU1313" i="1"/>
  <c r="AT1313" i="1"/>
  <c r="AS1313" i="1"/>
  <c r="AQ1313" i="1"/>
  <c r="AP1313" i="1"/>
  <c r="AO1313" i="1"/>
  <c r="AL1313" i="1"/>
  <c r="AM1313" i="1" s="1"/>
  <c r="AK1313" i="1"/>
  <c r="AI1313" i="1"/>
  <c r="AH1313" i="1"/>
  <c r="AG1313" i="1"/>
  <c r="AE1313" i="1"/>
  <c r="AD1313" i="1"/>
  <c r="AC1313" i="1"/>
  <c r="Z1313" i="1"/>
  <c r="AA1313" i="1" s="1"/>
  <c r="Y1313" i="1"/>
  <c r="V1313" i="1"/>
  <c r="U1313" i="1"/>
  <c r="R1313" i="1"/>
  <c r="Q1313" i="1"/>
  <c r="O1313" i="1"/>
  <c r="N1313" i="1"/>
  <c r="M1313" i="1"/>
  <c r="K1313" i="1"/>
  <c r="J1313" i="1"/>
  <c r="I1313" i="1"/>
  <c r="F1313" i="1"/>
  <c r="G1313" i="1" s="1"/>
  <c r="E1313" i="1"/>
  <c r="BN1312" i="1"/>
  <c r="BL1312" i="1"/>
  <c r="BJ1312" i="1"/>
  <c r="BM1312" i="1" s="1"/>
  <c r="BI1312" i="1"/>
  <c r="BF1312" i="1"/>
  <c r="BG1312" i="1" s="1"/>
  <c r="BE1312" i="1"/>
  <c r="BC1312" i="1"/>
  <c r="BB1312" i="1"/>
  <c r="BA1312" i="1"/>
  <c r="AY1312" i="1"/>
  <c r="AX1312" i="1"/>
  <c r="AW1312" i="1"/>
  <c r="AT1312" i="1"/>
  <c r="AU1312" i="1" s="1"/>
  <c r="AS1312" i="1"/>
  <c r="AP1312" i="1"/>
  <c r="AO1312" i="1"/>
  <c r="AL1312" i="1"/>
  <c r="AK1312" i="1"/>
  <c r="AI1312" i="1"/>
  <c r="AH1312" i="1"/>
  <c r="AG1312" i="1"/>
  <c r="AE1312" i="1"/>
  <c r="AD1312" i="1"/>
  <c r="AC1312" i="1"/>
  <c r="Z1312" i="1"/>
  <c r="AA1312" i="1" s="1"/>
  <c r="Y1312" i="1"/>
  <c r="W1312" i="1"/>
  <c r="V1312" i="1"/>
  <c r="U1312" i="1"/>
  <c r="S1312" i="1"/>
  <c r="R1312" i="1"/>
  <c r="Q1312" i="1"/>
  <c r="N1312" i="1"/>
  <c r="O1312" i="1" s="1"/>
  <c r="M1312" i="1"/>
  <c r="J1312" i="1"/>
  <c r="I1312" i="1"/>
  <c r="F1312" i="1"/>
  <c r="E1312" i="1"/>
  <c r="BN1311" i="1"/>
  <c r="BL1311" i="1"/>
  <c r="BJ1311" i="1"/>
  <c r="BI1311" i="1"/>
  <c r="BF1311" i="1"/>
  <c r="BE1311" i="1"/>
  <c r="BC1311" i="1"/>
  <c r="BB1311" i="1"/>
  <c r="BA1311" i="1"/>
  <c r="AY1311" i="1"/>
  <c r="AX1311" i="1"/>
  <c r="AW1311" i="1"/>
  <c r="AT1311" i="1"/>
  <c r="AU1311" i="1" s="1"/>
  <c r="AS1311" i="1"/>
  <c r="AQ1311" i="1"/>
  <c r="AP1311" i="1"/>
  <c r="AO1311" i="1"/>
  <c r="AM1311" i="1"/>
  <c r="AL1311" i="1"/>
  <c r="AK1311" i="1"/>
  <c r="AH1311" i="1"/>
  <c r="AI1311" i="1" s="1"/>
  <c r="AG1311" i="1"/>
  <c r="AD1311" i="1"/>
  <c r="AC1311" i="1"/>
  <c r="Z1311" i="1"/>
  <c r="Y1311" i="1"/>
  <c r="W1311" i="1"/>
  <c r="V1311" i="1"/>
  <c r="U1311" i="1"/>
  <c r="S1311" i="1"/>
  <c r="R1311" i="1"/>
  <c r="Q1311" i="1"/>
  <c r="N1311" i="1"/>
  <c r="O1311" i="1" s="1"/>
  <c r="M1311" i="1"/>
  <c r="K1311" i="1"/>
  <c r="J1311" i="1"/>
  <c r="I1311" i="1"/>
  <c r="G1311" i="1"/>
  <c r="F1311" i="1"/>
  <c r="E1311" i="1"/>
  <c r="BN1310" i="1"/>
  <c r="BM1310" i="1"/>
  <c r="BL1310" i="1"/>
  <c r="BJ1310" i="1"/>
  <c r="BI1310" i="1"/>
  <c r="BG1310" i="1"/>
  <c r="BF1310" i="1"/>
  <c r="BE1310" i="1"/>
  <c r="BB1310" i="1"/>
  <c r="BC1310" i="1" s="1"/>
  <c r="BA1310" i="1"/>
  <c r="AX1310" i="1"/>
  <c r="AW1310" i="1"/>
  <c r="AT1310" i="1"/>
  <c r="AS1310" i="1"/>
  <c r="AQ1310" i="1"/>
  <c r="AP1310" i="1"/>
  <c r="AO1310" i="1"/>
  <c r="AM1310" i="1"/>
  <c r="AL1310" i="1"/>
  <c r="AK1310" i="1"/>
  <c r="AH1310" i="1"/>
  <c r="AI1310" i="1" s="1"/>
  <c r="AG1310" i="1"/>
  <c r="AE1310" i="1"/>
  <c r="AD1310" i="1"/>
  <c r="AC1310" i="1"/>
  <c r="AA1310" i="1"/>
  <c r="Z1310" i="1"/>
  <c r="Y1310" i="1"/>
  <c r="V1310" i="1"/>
  <c r="W1310" i="1" s="1"/>
  <c r="U1310" i="1"/>
  <c r="R1310" i="1"/>
  <c r="Q1310" i="1"/>
  <c r="N1310" i="1"/>
  <c r="M1310" i="1"/>
  <c r="K1310" i="1"/>
  <c r="J1310" i="1"/>
  <c r="I1310" i="1"/>
  <c r="G1310" i="1"/>
  <c r="F1310" i="1"/>
  <c r="E1310" i="1"/>
  <c r="BN1309" i="1"/>
  <c r="BL1309" i="1"/>
  <c r="BJ1309" i="1"/>
  <c r="BM1309" i="1" s="1"/>
  <c r="BI1309" i="1"/>
  <c r="BG1309" i="1"/>
  <c r="BF1309" i="1"/>
  <c r="BE1309" i="1"/>
  <c r="BB1309" i="1"/>
  <c r="BC1309" i="1" s="1"/>
  <c r="BA1309" i="1"/>
  <c r="AY1309" i="1"/>
  <c r="AX1309" i="1"/>
  <c r="AW1309" i="1"/>
  <c r="AU1309" i="1"/>
  <c r="AT1309" i="1"/>
  <c r="AS1309" i="1"/>
  <c r="AP1309" i="1"/>
  <c r="AQ1309" i="1" s="1"/>
  <c r="AO1309" i="1"/>
  <c r="AL1309" i="1"/>
  <c r="AK1309" i="1"/>
  <c r="AH1309" i="1"/>
  <c r="AG1309" i="1"/>
  <c r="AE1309" i="1"/>
  <c r="AD1309" i="1"/>
  <c r="AC1309" i="1"/>
  <c r="AA1309" i="1"/>
  <c r="Z1309" i="1"/>
  <c r="Y1309" i="1"/>
  <c r="V1309" i="1"/>
  <c r="W1309" i="1" s="1"/>
  <c r="U1309" i="1"/>
  <c r="S1309" i="1"/>
  <c r="R1309" i="1"/>
  <c r="Q1309" i="1"/>
  <c r="O1309" i="1"/>
  <c r="N1309" i="1"/>
  <c r="M1309" i="1"/>
  <c r="J1309" i="1"/>
  <c r="K1309" i="1" s="1"/>
  <c r="I1309" i="1"/>
  <c r="F1309" i="1"/>
  <c r="G1309" i="1" s="1"/>
  <c r="E1309" i="1"/>
  <c r="BN1308" i="1"/>
  <c r="BL1308" i="1"/>
  <c r="BJ1308" i="1"/>
  <c r="BM1308" i="1" s="1"/>
  <c r="BI1308" i="1"/>
  <c r="BF1308" i="1"/>
  <c r="BE1308" i="1"/>
  <c r="BB1308" i="1"/>
  <c r="BA1308" i="1"/>
  <c r="AY1308" i="1"/>
  <c r="AX1308" i="1"/>
  <c r="AW1308" i="1"/>
  <c r="AU1308" i="1"/>
  <c r="AT1308" i="1"/>
  <c r="AS1308" i="1"/>
  <c r="AP1308" i="1"/>
  <c r="AQ1308" i="1" s="1"/>
  <c r="AO1308" i="1"/>
  <c r="AM1308" i="1"/>
  <c r="AL1308" i="1"/>
  <c r="AK1308" i="1"/>
  <c r="AI1308" i="1"/>
  <c r="AH1308" i="1"/>
  <c r="AG1308" i="1"/>
  <c r="AD1308" i="1"/>
  <c r="AE1308" i="1" s="1"/>
  <c r="AC1308" i="1"/>
  <c r="Z1308" i="1"/>
  <c r="Y1308" i="1"/>
  <c r="V1308" i="1"/>
  <c r="U1308" i="1"/>
  <c r="S1308" i="1"/>
  <c r="R1308" i="1"/>
  <c r="Q1308" i="1"/>
  <c r="O1308" i="1"/>
  <c r="N1308" i="1"/>
  <c r="M1308" i="1"/>
  <c r="J1308" i="1"/>
  <c r="K1308" i="1" s="1"/>
  <c r="I1308" i="1"/>
  <c r="G1308" i="1"/>
  <c r="F1308" i="1"/>
  <c r="E1308" i="1"/>
  <c r="BN1307" i="1"/>
  <c r="BL1307" i="1"/>
  <c r="BJ1307" i="1"/>
  <c r="BM1307" i="1" s="1"/>
  <c r="BI1307" i="1"/>
  <c r="BG1307" i="1"/>
  <c r="BF1307" i="1"/>
  <c r="BE1307" i="1"/>
  <c r="BC1307" i="1"/>
  <c r="BB1307" i="1"/>
  <c r="BA1307" i="1"/>
  <c r="AX1307" i="1"/>
  <c r="AY1307" i="1" s="1"/>
  <c r="AW1307" i="1"/>
  <c r="AT1307" i="1"/>
  <c r="AS1307" i="1"/>
  <c r="AP1307" i="1"/>
  <c r="AO1307" i="1"/>
  <c r="AM1307" i="1"/>
  <c r="AL1307" i="1"/>
  <c r="AK1307" i="1"/>
  <c r="AI1307" i="1"/>
  <c r="AH1307" i="1"/>
  <c r="AG1307" i="1"/>
  <c r="AD1307" i="1"/>
  <c r="AE1307" i="1" s="1"/>
  <c r="AC1307" i="1"/>
  <c r="AA1307" i="1"/>
  <c r="Z1307" i="1"/>
  <c r="Y1307" i="1"/>
  <c r="W1307" i="1"/>
  <c r="V1307" i="1"/>
  <c r="U1307" i="1"/>
  <c r="R1307" i="1"/>
  <c r="S1307" i="1" s="1"/>
  <c r="Q1307" i="1"/>
  <c r="N1307" i="1"/>
  <c r="M1307" i="1"/>
  <c r="J1307" i="1"/>
  <c r="I1307" i="1"/>
  <c r="G1307" i="1"/>
  <c r="F1307" i="1"/>
  <c r="E1307" i="1"/>
  <c r="BN1306" i="1"/>
  <c r="BM1306" i="1" s="1"/>
  <c r="BL1306" i="1"/>
  <c r="BJ1306" i="1"/>
  <c r="BI1306" i="1"/>
  <c r="BG1306" i="1"/>
  <c r="BF1306" i="1"/>
  <c r="BE1306" i="1"/>
  <c r="BC1306" i="1"/>
  <c r="BB1306" i="1"/>
  <c r="BA1306" i="1"/>
  <c r="AX1306" i="1"/>
  <c r="AY1306" i="1" s="1"/>
  <c r="AW1306" i="1"/>
  <c r="AU1306" i="1"/>
  <c r="AT1306" i="1"/>
  <c r="AS1306" i="1"/>
  <c r="AQ1306" i="1"/>
  <c r="AP1306" i="1"/>
  <c r="AO1306" i="1"/>
  <c r="AL1306" i="1"/>
  <c r="AM1306" i="1" s="1"/>
  <c r="AK1306" i="1"/>
  <c r="AH1306" i="1"/>
  <c r="AG1306" i="1"/>
  <c r="AD1306" i="1"/>
  <c r="AC1306" i="1"/>
  <c r="AA1306" i="1"/>
  <c r="Z1306" i="1"/>
  <c r="Y1306" i="1"/>
  <c r="W1306" i="1"/>
  <c r="V1306" i="1"/>
  <c r="U1306" i="1"/>
  <c r="R1306" i="1"/>
  <c r="S1306" i="1" s="1"/>
  <c r="Q1306" i="1"/>
  <c r="O1306" i="1"/>
  <c r="N1306" i="1"/>
  <c r="M1306" i="1"/>
  <c r="K1306" i="1"/>
  <c r="J1306" i="1"/>
  <c r="I1306" i="1"/>
  <c r="F1306" i="1"/>
  <c r="G1306" i="1" s="1"/>
  <c r="E1306" i="1"/>
  <c r="BN1305" i="1"/>
  <c r="BM1305" i="1"/>
  <c r="BL1305" i="1"/>
  <c r="BJ1305" i="1"/>
  <c r="BI1305" i="1"/>
  <c r="BF1305" i="1"/>
  <c r="BG1305" i="1" s="1"/>
  <c r="BE1305" i="1"/>
  <c r="BB1305" i="1"/>
  <c r="BA1305" i="1"/>
  <c r="AX1305" i="1"/>
  <c r="AW1305" i="1"/>
  <c r="AU1305" i="1"/>
  <c r="AT1305" i="1"/>
  <c r="AS1305" i="1"/>
  <c r="AQ1305" i="1"/>
  <c r="AP1305" i="1"/>
  <c r="AO1305" i="1"/>
  <c r="AL1305" i="1"/>
  <c r="AM1305" i="1" s="1"/>
  <c r="AK1305" i="1"/>
  <c r="AI1305" i="1"/>
  <c r="AH1305" i="1"/>
  <c r="AG1305" i="1"/>
  <c r="AE1305" i="1"/>
  <c r="AD1305" i="1"/>
  <c r="AC1305" i="1"/>
  <c r="Z1305" i="1"/>
  <c r="AA1305" i="1" s="1"/>
  <c r="Y1305" i="1"/>
  <c r="V1305" i="1"/>
  <c r="U1305" i="1"/>
  <c r="R1305" i="1"/>
  <c r="Q1305" i="1"/>
  <c r="O1305" i="1"/>
  <c r="N1305" i="1"/>
  <c r="M1305" i="1"/>
  <c r="K1305" i="1"/>
  <c r="J1305" i="1"/>
  <c r="I1305" i="1"/>
  <c r="F1305" i="1"/>
  <c r="G1305" i="1" s="1"/>
  <c r="E1305" i="1"/>
  <c r="BN1304" i="1"/>
  <c r="BL1304" i="1"/>
  <c r="BJ1304" i="1"/>
  <c r="BM1304" i="1" s="1"/>
  <c r="BI1304" i="1"/>
  <c r="BF1304" i="1"/>
  <c r="BG1304" i="1" s="1"/>
  <c r="BE1304" i="1"/>
  <c r="BC1304" i="1"/>
  <c r="BB1304" i="1"/>
  <c r="BA1304" i="1"/>
  <c r="AY1304" i="1"/>
  <c r="AX1304" i="1"/>
  <c r="AW1304" i="1"/>
  <c r="AT1304" i="1"/>
  <c r="AU1304" i="1" s="1"/>
  <c r="AS1304" i="1"/>
  <c r="AP1304" i="1"/>
  <c r="AO1304" i="1"/>
  <c r="AL1304" i="1"/>
  <c r="AK1304" i="1"/>
  <c r="AI1304" i="1"/>
  <c r="AH1304" i="1"/>
  <c r="AG1304" i="1"/>
  <c r="AE1304" i="1"/>
  <c r="AD1304" i="1"/>
  <c r="AC1304" i="1"/>
  <c r="Z1304" i="1"/>
  <c r="AA1304" i="1" s="1"/>
  <c r="Y1304" i="1"/>
  <c r="W1304" i="1"/>
  <c r="V1304" i="1"/>
  <c r="U1304" i="1"/>
  <c r="S1304" i="1"/>
  <c r="R1304" i="1"/>
  <c r="Q1304" i="1"/>
  <c r="N1304" i="1"/>
  <c r="O1304" i="1" s="1"/>
  <c r="M1304" i="1"/>
  <c r="J1304" i="1"/>
  <c r="I1304" i="1"/>
  <c r="F1304" i="1"/>
  <c r="E1304" i="1"/>
  <c r="BN1303" i="1"/>
  <c r="BL1303" i="1"/>
  <c r="BJ1303" i="1"/>
  <c r="BI1303" i="1"/>
  <c r="BF1303" i="1"/>
  <c r="BE1303" i="1"/>
  <c r="BC1303" i="1"/>
  <c r="BB1303" i="1"/>
  <c r="BA1303" i="1"/>
  <c r="AY1303" i="1"/>
  <c r="AX1303" i="1"/>
  <c r="AW1303" i="1"/>
  <c r="AT1303" i="1"/>
  <c r="AU1303" i="1" s="1"/>
  <c r="AS1303" i="1"/>
  <c r="AQ1303" i="1"/>
  <c r="AP1303" i="1"/>
  <c r="AO1303" i="1"/>
  <c r="AM1303" i="1"/>
  <c r="AL1303" i="1"/>
  <c r="AK1303" i="1"/>
  <c r="AH1303" i="1"/>
  <c r="AI1303" i="1" s="1"/>
  <c r="AG1303" i="1"/>
  <c r="AD1303" i="1"/>
  <c r="AC1303" i="1"/>
  <c r="Z1303" i="1"/>
  <c r="Y1303" i="1"/>
  <c r="W1303" i="1"/>
  <c r="V1303" i="1"/>
  <c r="U1303" i="1"/>
  <c r="S1303" i="1"/>
  <c r="R1303" i="1"/>
  <c r="Q1303" i="1"/>
  <c r="N1303" i="1"/>
  <c r="O1303" i="1" s="1"/>
  <c r="M1303" i="1"/>
  <c r="K1303" i="1"/>
  <c r="J1303" i="1"/>
  <c r="I1303" i="1"/>
  <c r="G1303" i="1"/>
  <c r="F1303" i="1"/>
  <c r="E1303" i="1"/>
  <c r="BN1302" i="1"/>
  <c r="BM1302" i="1"/>
  <c r="BL1302" i="1"/>
  <c r="BJ1302" i="1"/>
  <c r="BI1302" i="1"/>
  <c r="BG1302" i="1"/>
  <c r="BF1302" i="1"/>
  <c r="BE1302" i="1"/>
  <c r="BB1302" i="1"/>
  <c r="BC1302" i="1" s="1"/>
  <c r="BA1302" i="1"/>
  <c r="AX1302" i="1"/>
  <c r="AW1302" i="1"/>
  <c r="AT1302" i="1"/>
  <c r="AS1302" i="1"/>
  <c r="AQ1302" i="1"/>
  <c r="AP1302" i="1"/>
  <c r="AO1302" i="1"/>
  <c r="AM1302" i="1"/>
  <c r="AL1302" i="1"/>
  <c r="AK1302" i="1"/>
  <c r="AH1302" i="1"/>
  <c r="AI1302" i="1" s="1"/>
  <c r="AG1302" i="1"/>
  <c r="AE1302" i="1"/>
  <c r="AD1302" i="1"/>
  <c r="AC1302" i="1"/>
  <c r="AA1302" i="1"/>
  <c r="Z1302" i="1"/>
  <c r="Y1302" i="1"/>
  <c r="V1302" i="1"/>
  <c r="W1302" i="1" s="1"/>
  <c r="U1302" i="1"/>
  <c r="R1302" i="1"/>
  <c r="Q1302" i="1"/>
  <c r="N1302" i="1"/>
  <c r="M1302" i="1"/>
  <c r="K1302" i="1"/>
  <c r="J1302" i="1"/>
  <c r="I1302" i="1"/>
  <c r="G1302" i="1"/>
  <c r="F1302" i="1"/>
  <c r="E1302" i="1"/>
  <c r="BN1301" i="1"/>
  <c r="BL1301" i="1"/>
  <c r="BJ1301" i="1"/>
  <c r="BM1301" i="1" s="1"/>
  <c r="BI1301" i="1"/>
  <c r="BG1301" i="1"/>
  <c r="BF1301" i="1"/>
  <c r="BE1301" i="1"/>
  <c r="BB1301" i="1"/>
  <c r="BC1301" i="1" s="1"/>
  <c r="BA1301" i="1"/>
  <c r="AY1301" i="1"/>
  <c r="AX1301" i="1"/>
  <c r="AW1301" i="1"/>
  <c r="AU1301" i="1"/>
  <c r="AT1301" i="1"/>
  <c r="AS1301" i="1"/>
  <c r="AP1301" i="1"/>
  <c r="AQ1301" i="1" s="1"/>
  <c r="AO1301" i="1"/>
  <c r="AL1301" i="1"/>
  <c r="AK1301" i="1"/>
  <c r="AH1301" i="1"/>
  <c r="AG1301" i="1"/>
  <c r="AE1301" i="1"/>
  <c r="AD1301" i="1"/>
  <c r="AC1301" i="1"/>
  <c r="AA1301" i="1"/>
  <c r="Z1301" i="1"/>
  <c r="Y1301" i="1"/>
  <c r="V1301" i="1"/>
  <c r="W1301" i="1" s="1"/>
  <c r="U1301" i="1"/>
  <c r="S1301" i="1"/>
  <c r="R1301" i="1"/>
  <c r="Q1301" i="1"/>
  <c r="O1301" i="1"/>
  <c r="N1301" i="1"/>
  <c r="M1301" i="1"/>
  <c r="J1301" i="1"/>
  <c r="K1301" i="1" s="1"/>
  <c r="I1301" i="1"/>
  <c r="F1301" i="1"/>
  <c r="G1301" i="1" s="1"/>
  <c r="E1301" i="1"/>
  <c r="BN1300" i="1"/>
  <c r="BL1300" i="1"/>
  <c r="BJ1300" i="1"/>
  <c r="BM1300" i="1" s="1"/>
  <c r="BI1300" i="1"/>
  <c r="BF1300" i="1"/>
  <c r="BE1300" i="1"/>
  <c r="BB1300" i="1"/>
  <c r="BA1300" i="1"/>
  <c r="AY1300" i="1"/>
  <c r="AX1300" i="1"/>
  <c r="AW1300" i="1"/>
  <c r="AU1300" i="1"/>
  <c r="AT1300" i="1"/>
  <c r="AS1300" i="1"/>
  <c r="AP1300" i="1"/>
  <c r="AQ1300" i="1" s="1"/>
  <c r="AO1300" i="1"/>
  <c r="AM1300" i="1"/>
  <c r="AL1300" i="1"/>
  <c r="AK1300" i="1"/>
  <c r="AI1300" i="1"/>
  <c r="AH1300" i="1"/>
  <c r="AG1300" i="1"/>
  <c r="AD1300" i="1"/>
  <c r="AE1300" i="1" s="1"/>
  <c r="AC1300" i="1"/>
  <c r="Z1300" i="1"/>
  <c r="Y1300" i="1"/>
  <c r="V1300" i="1"/>
  <c r="U1300" i="1"/>
  <c r="S1300" i="1"/>
  <c r="R1300" i="1"/>
  <c r="Q1300" i="1"/>
  <c r="O1300" i="1"/>
  <c r="N1300" i="1"/>
  <c r="M1300" i="1"/>
  <c r="J1300" i="1"/>
  <c r="K1300" i="1" s="1"/>
  <c r="I1300" i="1"/>
  <c r="G1300" i="1"/>
  <c r="F1300" i="1"/>
  <c r="E1300" i="1"/>
  <c r="BN1299" i="1"/>
  <c r="BL1299" i="1"/>
  <c r="BJ1299" i="1"/>
  <c r="BM1299" i="1" s="1"/>
  <c r="BI1299" i="1"/>
  <c r="BG1299" i="1"/>
  <c r="BF1299" i="1"/>
  <c r="BE1299" i="1"/>
  <c r="BC1299" i="1"/>
  <c r="BB1299" i="1"/>
  <c r="BA1299" i="1"/>
  <c r="AX1299" i="1"/>
  <c r="AY1299" i="1" s="1"/>
  <c r="AW1299" i="1"/>
  <c r="AT1299" i="1"/>
  <c r="AS1299" i="1"/>
  <c r="AP1299" i="1"/>
  <c r="AO1299" i="1"/>
  <c r="AM1299" i="1"/>
  <c r="AL1299" i="1"/>
  <c r="AK1299" i="1"/>
  <c r="AI1299" i="1"/>
  <c r="AH1299" i="1"/>
  <c r="AG1299" i="1"/>
  <c r="AD1299" i="1"/>
  <c r="AE1299" i="1" s="1"/>
  <c r="AC1299" i="1"/>
  <c r="AA1299" i="1"/>
  <c r="Z1299" i="1"/>
  <c r="Y1299" i="1"/>
  <c r="W1299" i="1"/>
  <c r="V1299" i="1"/>
  <c r="U1299" i="1"/>
  <c r="R1299" i="1"/>
  <c r="S1299" i="1" s="1"/>
  <c r="Q1299" i="1"/>
  <c r="N1299" i="1"/>
  <c r="M1299" i="1"/>
  <c r="J1299" i="1"/>
  <c r="I1299" i="1"/>
  <c r="G1299" i="1"/>
  <c r="F1299" i="1"/>
  <c r="E1299" i="1"/>
  <c r="BN1298" i="1"/>
  <c r="BM1298" i="1" s="1"/>
  <c r="BL1298" i="1"/>
  <c r="BJ1298" i="1"/>
  <c r="BI1298" i="1"/>
  <c r="BG1298" i="1"/>
  <c r="BF1298" i="1"/>
  <c r="BE1298" i="1"/>
  <c r="BC1298" i="1"/>
  <c r="BB1298" i="1"/>
  <c r="BA1298" i="1"/>
  <c r="AX1298" i="1"/>
  <c r="AY1298" i="1" s="1"/>
  <c r="AW1298" i="1"/>
  <c r="AU1298" i="1"/>
  <c r="AT1298" i="1"/>
  <c r="AS1298" i="1"/>
  <c r="AQ1298" i="1"/>
  <c r="AP1298" i="1"/>
  <c r="AO1298" i="1"/>
  <c r="AL1298" i="1"/>
  <c r="AM1298" i="1" s="1"/>
  <c r="AK1298" i="1"/>
  <c r="AH1298" i="1"/>
  <c r="AG1298" i="1"/>
  <c r="AD1298" i="1"/>
  <c r="AC1298" i="1"/>
  <c r="AA1298" i="1"/>
  <c r="Z1298" i="1"/>
  <c r="Y1298" i="1"/>
  <c r="W1298" i="1"/>
  <c r="V1298" i="1"/>
  <c r="U1298" i="1"/>
  <c r="R1298" i="1"/>
  <c r="S1298" i="1" s="1"/>
  <c r="Q1298" i="1"/>
  <c r="O1298" i="1"/>
  <c r="N1298" i="1"/>
  <c r="M1298" i="1"/>
  <c r="K1298" i="1"/>
  <c r="J1298" i="1"/>
  <c r="I1298" i="1"/>
  <c r="F1298" i="1"/>
  <c r="G1298" i="1" s="1"/>
  <c r="E1298" i="1"/>
  <c r="BN1297" i="1"/>
  <c r="BM1297" i="1"/>
  <c r="BL1297" i="1"/>
  <c r="BJ1297" i="1"/>
  <c r="BI1297" i="1"/>
  <c r="BF1297" i="1"/>
  <c r="BG1297" i="1" s="1"/>
  <c r="BE1297" i="1"/>
  <c r="BB1297" i="1"/>
  <c r="BA1297" i="1"/>
  <c r="AX1297" i="1"/>
  <c r="AW1297" i="1"/>
  <c r="AU1297" i="1"/>
  <c r="AT1297" i="1"/>
  <c r="AS1297" i="1"/>
  <c r="AQ1297" i="1"/>
  <c r="AP1297" i="1"/>
  <c r="AO1297" i="1"/>
  <c r="AL1297" i="1"/>
  <c r="AM1297" i="1" s="1"/>
  <c r="AK1297" i="1"/>
  <c r="AI1297" i="1"/>
  <c r="AH1297" i="1"/>
  <c r="AG1297" i="1"/>
  <c r="AE1297" i="1"/>
  <c r="AD1297" i="1"/>
  <c r="AC1297" i="1"/>
  <c r="Z1297" i="1"/>
  <c r="AA1297" i="1" s="1"/>
  <c r="Y1297" i="1"/>
  <c r="V1297" i="1"/>
  <c r="U1297" i="1"/>
  <c r="R1297" i="1"/>
  <c r="Q1297" i="1"/>
  <c r="O1297" i="1"/>
  <c r="N1297" i="1"/>
  <c r="M1297" i="1"/>
  <c r="K1297" i="1"/>
  <c r="J1297" i="1"/>
  <c r="I1297" i="1"/>
  <c r="F1297" i="1"/>
  <c r="G1297" i="1" s="1"/>
  <c r="E1297" i="1"/>
  <c r="BN1296" i="1"/>
  <c r="BL1296" i="1"/>
  <c r="BJ1296" i="1"/>
  <c r="BM1296" i="1" s="1"/>
  <c r="BI1296" i="1"/>
  <c r="BF1296" i="1"/>
  <c r="BG1296" i="1" s="1"/>
  <c r="BE1296" i="1"/>
  <c r="BC1296" i="1"/>
  <c r="BB1296" i="1"/>
  <c r="BA1296" i="1"/>
  <c r="AY1296" i="1"/>
  <c r="AX1296" i="1"/>
  <c r="AW1296" i="1"/>
  <c r="AT1296" i="1"/>
  <c r="AU1296" i="1" s="1"/>
  <c r="AS1296" i="1"/>
  <c r="AP1296" i="1"/>
  <c r="AO1296" i="1"/>
  <c r="AL1296" i="1"/>
  <c r="AK1296" i="1"/>
  <c r="AI1296" i="1"/>
  <c r="AH1296" i="1"/>
  <c r="AG1296" i="1"/>
  <c r="AE1296" i="1"/>
  <c r="AD1296" i="1"/>
  <c r="AC1296" i="1"/>
  <c r="Z1296" i="1"/>
  <c r="AA1296" i="1" s="1"/>
  <c r="Y1296" i="1"/>
  <c r="W1296" i="1"/>
  <c r="V1296" i="1"/>
  <c r="U1296" i="1"/>
  <c r="S1296" i="1"/>
  <c r="R1296" i="1"/>
  <c r="Q1296" i="1"/>
  <c r="N1296" i="1"/>
  <c r="O1296" i="1" s="1"/>
  <c r="M1296" i="1"/>
  <c r="J1296" i="1"/>
  <c r="I1296" i="1"/>
  <c r="F1296" i="1"/>
  <c r="E1296" i="1"/>
  <c r="BN1295" i="1"/>
  <c r="BL1295" i="1"/>
  <c r="BJ1295" i="1"/>
  <c r="BI1295" i="1"/>
  <c r="BF1295" i="1"/>
  <c r="BE1295" i="1"/>
  <c r="BC1295" i="1"/>
  <c r="BB1295" i="1"/>
  <c r="BA1295" i="1"/>
  <c r="AY1295" i="1"/>
  <c r="AX1295" i="1"/>
  <c r="AW1295" i="1"/>
  <c r="AT1295" i="1"/>
  <c r="AU1295" i="1" s="1"/>
  <c r="AS1295" i="1"/>
  <c r="AQ1295" i="1"/>
  <c r="AP1295" i="1"/>
  <c r="AO1295" i="1"/>
  <c r="AM1295" i="1"/>
  <c r="AL1295" i="1"/>
  <c r="AK1295" i="1"/>
  <c r="AH1295" i="1"/>
  <c r="AI1295" i="1" s="1"/>
  <c r="AG1295" i="1"/>
  <c r="AD1295" i="1"/>
  <c r="AC1295" i="1"/>
  <c r="Z1295" i="1"/>
  <c r="Y1295" i="1"/>
  <c r="W1295" i="1"/>
  <c r="V1295" i="1"/>
  <c r="U1295" i="1"/>
  <c r="S1295" i="1"/>
  <c r="R1295" i="1"/>
  <c r="Q1295" i="1"/>
  <c r="N1295" i="1"/>
  <c r="O1295" i="1" s="1"/>
  <c r="M1295" i="1"/>
  <c r="K1295" i="1"/>
  <c r="J1295" i="1"/>
  <c r="I1295" i="1"/>
  <c r="G1295" i="1"/>
  <c r="F1295" i="1"/>
  <c r="E1295" i="1"/>
  <c r="BN1294" i="1"/>
  <c r="BM1294" i="1"/>
  <c r="BL1294" i="1"/>
  <c r="BJ1294" i="1"/>
  <c r="BI1294" i="1"/>
  <c r="BG1294" i="1"/>
  <c r="BF1294" i="1"/>
  <c r="BE1294" i="1"/>
  <c r="BB1294" i="1"/>
  <c r="BC1294" i="1" s="1"/>
  <c r="BA1294" i="1"/>
  <c r="AX1294" i="1"/>
  <c r="AW1294" i="1"/>
  <c r="AT1294" i="1"/>
  <c r="AS1294" i="1"/>
  <c r="AQ1294" i="1"/>
  <c r="AP1294" i="1"/>
  <c r="AO1294" i="1"/>
  <c r="AM1294" i="1"/>
  <c r="AL1294" i="1"/>
  <c r="AK1294" i="1"/>
  <c r="AH1294" i="1"/>
  <c r="AI1294" i="1" s="1"/>
  <c r="AG1294" i="1"/>
  <c r="AE1294" i="1"/>
  <c r="AD1294" i="1"/>
  <c r="AC1294" i="1"/>
  <c r="AA1294" i="1"/>
  <c r="Z1294" i="1"/>
  <c r="Y1294" i="1"/>
  <c r="V1294" i="1"/>
  <c r="W1294" i="1" s="1"/>
  <c r="U1294" i="1"/>
  <c r="R1294" i="1"/>
  <c r="Q1294" i="1"/>
  <c r="N1294" i="1"/>
  <c r="M1294" i="1"/>
  <c r="K1294" i="1"/>
  <c r="J1294" i="1"/>
  <c r="I1294" i="1"/>
  <c r="G1294" i="1"/>
  <c r="F1294" i="1"/>
  <c r="E1294" i="1"/>
  <c r="BN1293" i="1"/>
  <c r="BL1293" i="1"/>
  <c r="BJ1293" i="1"/>
  <c r="BM1293" i="1" s="1"/>
  <c r="BI1293" i="1"/>
  <c r="BG1293" i="1"/>
  <c r="BF1293" i="1"/>
  <c r="BE1293" i="1"/>
  <c r="BB1293" i="1"/>
  <c r="BC1293" i="1" s="1"/>
  <c r="BA1293" i="1"/>
  <c r="AY1293" i="1"/>
  <c r="AX1293" i="1"/>
  <c r="AW1293" i="1"/>
  <c r="AU1293" i="1"/>
  <c r="AT1293" i="1"/>
  <c r="AS1293" i="1"/>
  <c r="AP1293" i="1"/>
  <c r="AQ1293" i="1" s="1"/>
  <c r="AO1293" i="1"/>
  <c r="AL1293" i="1"/>
  <c r="AK1293" i="1"/>
  <c r="AH1293" i="1"/>
  <c r="AG1293" i="1"/>
  <c r="AE1293" i="1"/>
  <c r="AD1293" i="1"/>
  <c r="AC1293" i="1"/>
  <c r="AA1293" i="1"/>
  <c r="Z1293" i="1"/>
  <c r="Y1293" i="1"/>
  <c r="V1293" i="1"/>
  <c r="W1293" i="1" s="1"/>
  <c r="U1293" i="1"/>
  <c r="S1293" i="1"/>
  <c r="R1293" i="1"/>
  <c r="Q1293" i="1"/>
  <c r="O1293" i="1"/>
  <c r="N1293" i="1"/>
  <c r="M1293" i="1"/>
  <c r="J1293" i="1"/>
  <c r="K1293" i="1" s="1"/>
  <c r="I1293" i="1"/>
  <c r="F1293" i="1"/>
  <c r="G1293" i="1" s="1"/>
  <c r="E1293" i="1"/>
  <c r="BN1292" i="1"/>
  <c r="BL1292" i="1"/>
  <c r="BJ1292" i="1"/>
  <c r="BM1292" i="1" s="1"/>
  <c r="BI1292" i="1"/>
  <c r="BF1292" i="1"/>
  <c r="BE1292" i="1"/>
  <c r="BB1292" i="1"/>
  <c r="BA1292" i="1"/>
  <c r="AY1292" i="1"/>
  <c r="AX1292" i="1"/>
  <c r="AW1292" i="1"/>
  <c r="AU1292" i="1"/>
  <c r="AT1292" i="1"/>
  <c r="AS1292" i="1"/>
  <c r="AP1292" i="1"/>
  <c r="AQ1292" i="1" s="1"/>
  <c r="AO1292" i="1"/>
  <c r="AM1292" i="1"/>
  <c r="AL1292" i="1"/>
  <c r="AK1292" i="1"/>
  <c r="AI1292" i="1"/>
  <c r="AH1292" i="1"/>
  <c r="AG1292" i="1"/>
  <c r="AD1292" i="1"/>
  <c r="AE1292" i="1" s="1"/>
  <c r="AC1292" i="1"/>
  <c r="Z1292" i="1"/>
  <c r="Y1292" i="1"/>
  <c r="V1292" i="1"/>
  <c r="U1292" i="1"/>
  <c r="S1292" i="1"/>
  <c r="R1292" i="1"/>
  <c r="Q1292" i="1"/>
  <c r="O1292" i="1"/>
  <c r="N1292" i="1"/>
  <c r="M1292" i="1"/>
  <c r="J1292" i="1"/>
  <c r="K1292" i="1" s="1"/>
  <c r="I1292" i="1"/>
  <c r="G1292" i="1"/>
  <c r="F1292" i="1"/>
  <c r="E1292" i="1"/>
  <c r="BN1291" i="1"/>
  <c r="BL1291" i="1"/>
  <c r="BJ1291" i="1"/>
  <c r="BM1291" i="1" s="1"/>
  <c r="BI1291" i="1"/>
  <c r="BG1291" i="1"/>
  <c r="BF1291" i="1"/>
  <c r="BE1291" i="1"/>
  <c r="BC1291" i="1"/>
  <c r="BB1291" i="1"/>
  <c r="BA1291" i="1"/>
  <c r="AX1291" i="1"/>
  <c r="AY1291" i="1" s="1"/>
  <c r="AW1291" i="1"/>
  <c r="AT1291" i="1"/>
  <c r="AS1291" i="1"/>
  <c r="AP1291" i="1"/>
  <c r="AO1291" i="1"/>
  <c r="AM1291" i="1"/>
  <c r="AL1291" i="1"/>
  <c r="AK1291" i="1"/>
  <c r="AI1291" i="1"/>
  <c r="AH1291" i="1"/>
  <c r="AG1291" i="1"/>
  <c r="AD1291" i="1"/>
  <c r="AE1291" i="1" s="1"/>
  <c r="AC1291" i="1"/>
  <c r="AA1291" i="1"/>
  <c r="Z1291" i="1"/>
  <c r="Y1291" i="1"/>
  <c r="W1291" i="1"/>
  <c r="V1291" i="1"/>
  <c r="U1291" i="1"/>
  <c r="R1291" i="1"/>
  <c r="S1291" i="1" s="1"/>
  <c r="Q1291" i="1"/>
  <c r="N1291" i="1"/>
  <c r="M1291" i="1"/>
  <c r="J1291" i="1"/>
  <c r="I1291" i="1"/>
  <c r="G1291" i="1"/>
  <c r="F1291" i="1"/>
  <c r="E1291" i="1"/>
  <c r="BN1290" i="1"/>
  <c r="BM1290" i="1" s="1"/>
  <c r="BL1290" i="1"/>
  <c r="BJ1290" i="1"/>
  <c r="BI1290" i="1"/>
  <c r="BG1290" i="1"/>
  <c r="BF1290" i="1"/>
  <c r="BE1290" i="1"/>
  <c r="BC1290" i="1"/>
  <c r="BB1290" i="1"/>
  <c r="BA1290" i="1"/>
  <c r="AX1290" i="1"/>
  <c r="AY1290" i="1" s="1"/>
  <c r="AW1290" i="1"/>
  <c r="AU1290" i="1"/>
  <c r="AT1290" i="1"/>
  <c r="AS1290" i="1"/>
  <c r="AQ1290" i="1"/>
  <c r="AP1290" i="1"/>
  <c r="AO1290" i="1"/>
  <c r="AL1290" i="1"/>
  <c r="AM1290" i="1" s="1"/>
  <c r="AK1290" i="1"/>
  <c r="AH1290" i="1"/>
  <c r="AG1290" i="1"/>
  <c r="AD1290" i="1"/>
  <c r="AC1290" i="1"/>
  <c r="AA1290" i="1"/>
  <c r="Z1290" i="1"/>
  <c r="Y1290" i="1"/>
  <c r="W1290" i="1"/>
  <c r="V1290" i="1"/>
  <c r="U1290" i="1"/>
  <c r="R1290" i="1"/>
  <c r="S1290" i="1" s="1"/>
  <c r="Q1290" i="1"/>
  <c r="O1290" i="1"/>
  <c r="N1290" i="1"/>
  <c r="M1290" i="1"/>
  <c r="K1290" i="1"/>
  <c r="J1290" i="1"/>
  <c r="I1290" i="1"/>
  <c r="F1290" i="1"/>
  <c r="G1290" i="1" s="1"/>
  <c r="E1290" i="1"/>
  <c r="BN1289" i="1"/>
  <c r="BM1289" i="1"/>
  <c r="BL1289" i="1"/>
  <c r="BJ1289" i="1"/>
  <c r="BI1289" i="1"/>
  <c r="BF1289" i="1"/>
  <c r="BG1289" i="1" s="1"/>
  <c r="BE1289" i="1"/>
  <c r="BB1289" i="1"/>
  <c r="BA1289" i="1"/>
  <c r="AX1289" i="1"/>
  <c r="AW1289" i="1"/>
  <c r="AU1289" i="1"/>
  <c r="AT1289" i="1"/>
  <c r="AS1289" i="1"/>
  <c r="AQ1289" i="1"/>
  <c r="AP1289" i="1"/>
  <c r="AO1289" i="1"/>
  <c r="AL1289" i="1"/>
  <c r="AM1289" i="1" s="1"/>
  <c r="AK1289" i="1"/>
  <c r="AI1289" i="1"/>
  <c r="AH1289" i="1"/>
  <c r="AG1289" i="1"/>
  <c r="AE1289" i="1"/>
  <c r="AD1289" i="1"/>
  <c r="AC1289" i="1"/>
  <c r="Z1289" i="1"/>
  <c r="AA1289" i="1" s="1"/>
  <c r="Y1289" i="1"/>
  <c r="V1289" i="1"/>
  <c r="U1289" i="1"/>
  <c r="R1289" i="1"/>
  <c r="Q1289" i="1"/>
  <c r="O1289" i="1"/>
  <c r="N1289" i="1"/>
  <c r="M1289" i="1"/>
  <c r="K1289" i="1"/>
  <c r="J1289" i="1"/>
  <c r="I1289" i="1"/>
  <c r="F1289" i="1"/>
  <c r="G1289" i="1" s="1"/>
  <c r="E1289" i="1"/>
  <c r="BN1288" i="1"/>
  <c r="BL1288" i="1"/>
  <c r="BJ1288" i="1"/>
  <c r="BM1288" i="1" s="1"/>
  <c r="BI1288" i="1"/>
  <c r="BF1288" i="1"/>
  <c r="BG1288" i="1" s="1"/>
  <c r="BE1288" i="1"/>
  <c r="BC1288" i="1"/>
  <c r="BB1288" i="1"/>
  <c r="BA1288" i="1"/>
  <c r="AY1288" i="1"/>
  <c r="AX1288" i="1"/>
  <c r="AW1288" i="1"/>
  <c r="AT1288" i="1"/>
  <c r="AU1288" i="1" s="1"/>
  <c r="AS1288" i="1"/>
  <c r="AP1288" i="1"/>
  <c r="AO1288" i="1"/>
  <c r="AL1288" i="1"/>
  <c r="AK1288" i="1"/>
  <c r="AI1288" i="1"/>
  <c r="AH1288" i="1"/>
  <c r="AG1288" i="1"/>
  <c r="AE1288" i="1"/>
  <c r="AD1288" i="1"/>
  <c r="AC1288" i="1"/>
  <c r="Z1288" i="1"/>
  <c r="AA1288" i="1" s="1"/>
  <c r="Y1288" i="1"/>
  <c r="W1288" i="1"/>
  <c r="V1288" i="1"/>
  <c r="U1288" i="1"/>
  <c r="S1288" i="1"/>
  <c r="R1288" i="1"/>
  <c r="Q1288" i="1"/>
  <c r="N1288" i="1"/>
  <c r="O1288" i="1" s="1"/>
  <c r="M1288" i="1"/>
  <c r="J1288" i="1"/>
  <c r="I1288" i="1"/>
  <c r="F1288" i="1"/>
  <c r="E1288" i="1"/>
  <c r="BN1287" i="1"/>
  <c r="BL1287" i="1"/>
  <c r="BJ1287" i="1"/>
  <c r="BI1287" i="1"/>
  <c r="BF1287" i="1"/>
  <c r="BE1287" i="1"/>
  <c r="BC1287" i="1"/>
  <c r="BB1287" i="1"/>
  <c r="BA1287" i="1"/>
  <c r="AY1287" i="1"/>
  <c r="AX1287" i="1"/>
  <c r="AW1287" i="1"/>
  <c r="AT1287" i="1"/>
  <c r="AU1287" i="1" s="1"/>
  <c r="AS1287" i="1"/>
  <c r="AQ1287" i="1"/>
  <c r="AP1287" i="1"/>
  <c r="AO1287" i="1"/>
  <c r="AM1287" i="1"/>
  <c r="AL1287" i="1"/>
  <c r="AK1287" i="1"/>
  <c r="AH1287" i="1"/>
  <c r="AI1287" i="1" s="1"/>
  <c r="AG1287" i="1"/>
  <c r="AD1287" i="1"/>
  <c r="AC1287" i="1"/>
  <c r="Z1287" i="1"/>
  <c r="Y1287" i="1"/>
  <c r="W1287" i="1"/>
  <c r="V1287" i="1"/>
  <c r="U1287" i="1"/>
  <c r="S1287" i="1"/>
  <c r="R1287" i="1"/>
  <c r="Q1287" i="1"/>
  <c r="N1287" i="1"/>
  <c r="O1287" i="1" s="1"/>
  <c r="M1287" i="1"/>
  <c r="K1287" i="1"/>
  <c r="J1287" i="1"/>
  <c r="I1287" i="1"/>
  <c r="G1287" i="1"/>
  <c r="F1287" i="1"/>
  <c r="E1287" i="1"/>
  <c r="BN1286" i="1"/>
  <c r="BM1286" i="1"/>
  <c r="BL1286" i="1"/>
  <c r="BJ1286" i="1"/>
  <c r="BI1286" i="1"/>
  <c r="BG1286" i="1"/>
  <c r="BF1286" i="1"/>
  <c r="BE1286" i="1"/>
  <c r="BB1286" i="1"/>
  <c r="BC1286" i="1" s="1"/>
  <c r="BA1286" i="1"/>
  <c r="AX1286" i="1"/>
  <c r="AW1286" i="1"/>
  <c r="AT1286" i="1"/>
  <c r="AS1286" i="1"/>
  <c r="AQ1286" i="1"/>
  <c r="AP1286" i="1"/>
  <c r="AO1286" i="1"/>
  <c r="AM1286" i="1"/>
  <c r="AL1286" i="1"/>
  <c r="AK1286" i="1"/>
  <c r="AH1286" i="1"/>
  <c r="AI1286" i="1" s="1"/>
  <c r="AG1286" i="1"/>
  <c r="AE1286" i="1"/>
  <c r="AD1286" i="1"/>
  <c r="AC1286" i="1"/>
  <c r="AA1286" i="1"/>
  <c r="Z1286" i="1"/>
  <c r="Y1286" i="1"/>
  <c r="V1286" i="1"/>
  <c r="W1286" i="1" s="1"/>
  <c r="U1286" i="1"/>
  <c r="R1286" i="1"/>
  <c r="Q1286" i="1"/>
  <c r="N1286" i="1"/>
  <c r="M1286" i="1"/>
  <c r="K1286" i="1"/>
  <c r="J1286" i="1"/>
  <c r="I1286" i="1"/>
  <c r="G1286" i="1"/>
  <c r="F1286" i="1"/>
  <c r="E1286" i="1"/>
  <c r="BN1285" i="1"/>
  <c r="BM1285" i="1"/>
  <c r="BL1285" i="1"/>
  <c r="BK1285" i="1"/>
  <c r="BJ1285" i="1"/>
  <c r="BI1285" i="1"/>
  <c r="BG1285" i="1"/>
  <c r="BF1285" i="1"/>
  <c r="BE1285" i="1"/>
  <c r="BB1285" i="1"/>
  <c r="BC1285" i="1" s="1"/>
  <c r="BA1285" i="1"/>
  <c r="AX1285" i="1"/>
  <c r="AY1285" i="1" s="1"/>
  <c r="AW1285" i="1"/>
  <c r="AV1285" i="1"/>
  <c r="AT1285" i="1"/>
  <c r="AU1285" i="1" s="1"/>
  <c r="AS1285" i="1"/>
  <c r="AQ1285" i="1"/>
  <c r="AP1285" i="1"/>
  <c r="AO1285" i="1"/>
  <c r="AM1285" i="1"/>
  <c r="AL1285" i="1"/>
  <c r="AK1285" i="1"/>
  <c r="AH1285" i="1"/>
  <c r="AI1285" i="1" s="1"/>
  <c r="AG1285" i="1"/>
  <c r="AF1285" i="1"/>
  <c r="AE1285" i="1"/>
  <c r="AD1285" i="1"/>
  <c r="AC1285" i="1"/>
  <c r="Z1285" i="1"/>
  <c r="AA1285" i="1" s="1"/>
  <c r="Y1285" i="1"/>
  <c r="W1285" i="1"/>
  <c r="V1285" i="1"/>
  <c r="U1285" i="1"/>
  <c r="S1285" i="1"/>
  <c r="R1285" i="1"/>
  <c r="Q1285" i="1"/>
  <c r="N1285" i="1"/>
  <c r="O1285" i="1" s="1"/>
  <c r="M1285" i="1"/>
  <c r="J1285" i="1"/>
  <c r="I1285" i="1"/>
  <c r="F1285" i="1"/>
  <c r="E1285" i="1"/>
  <c r="BN1284" i="1"/>
  <c r="BK1284" i="1"/>
  <c r="BL1284" i="1" s="1"/>
  <c r="BJ1284" i="1"/>
  <c r="BM1284" i="1" s="1"/>
  <c r="BI1284" i="1"/>
  <c r="BF1284" i="1"/>
  <c r="BG1284" i="1" s="1"/>
  <c r="BE1284" i="1"/>
  <c r="BC1284" i="1"/>
  <c r="BB1284" i="1"/>
  <c r="BA1284" i="1"/>
  <c r="AY1284" i="1"/>
  <c r="AX1284" i="1"/>
  <c r="AV1284" i="1"/>
  <c r="AW1284" i="1" s="1"/>
  <c r="AU1284" i="1"/>
  <c r="AT1284" i="1"/>
  <c r="AS1284" i="1"/>
  <c r="AQ1284" i="1"/>
  <c r="AP1284" i="1"/>
  <c r="AO1284" i="1"/>
  <c r="AL1284" i="1"/>
  <c r="AM1284" i="1" s="1"/>
  <c r="AK1284" i="1"/>
  <c r="AI1284" i="1"/>
  <c r="AH1284" i="1"/>
  <c r="AG1284" i="1"/>
  <c r="AF1284" i="1"/>
  <c r="AE1284" i="1"/>
  <c r="AD1284" i="1"/>
  <c r="AC1284" i="1"/>
  <c r="AA1284" i="1"/>
  <c r="Z1284" i="1"/>
  <c r="Y1284" i="1"/>
  <c r="W1284" i="1"/>
  <c r="V1284" i="1"/>
  <c r="U1284" i="1"/>
  <c r="R1284" i="1"/>
  <c r="S1284" i="1" s="1"/>
  <c r="Q1284" i="1"/>
  <c r="O1284" i="1"/>
  <c r="N1284" i="1"/>
  <c r="M1284" i="1"/>
  <c r="K1284" i="1"/>
  <c r="J1284" i="1"/>
  <c r="I1284" i="1"/>
  <c r="F1284" i="1"/>
  <c r="G1284" i="1" s="1"/>
  <c r="E1284" i="1"/>
  <c r="BN1283" i="1"/>
  <c r="BM1283" i="1"/>
  <c r="BL1283" i="1"/>
  <c r="BK1283" i="1"/>
  <c r="BJ1283" i="1"/>
  <c r="BI1283" i="1"/>
  <c r="BG1283" i="1"/>
  <c r="BF1283" i="1"/>
  <c r="BE1283" i="1"/>
  <c r="BC1283" i="1"/>
  <c r="BB1283" i="1"/>
  <c r="BA1283" i="1"/>
  <c r="AX1283" i="1"/>
  <c r="AY1283" i="1" s="1"/>
  <c r="AW1283" i="1"/>
  <c r="AV1283" i="1"/>
  <c r="AT1283" i="1"/>
  <c r="AS1283" i="1"/>
  <c r="AP1283" i="1"/>
  <c r="AO1283" i="1"/>
  <c r="AM1283" i="1"/>
  <c r="AL1283" i="1"/>
  <c r="AK1283" i="1"/>
  <c r="AI1283" i="1"/>
  <c r="AH1283" i="1"/>
  <c r="AG1283" i="1"/>
  <c r="AF1283" i="1"/>
  <c r="AD1283" i="1"/>
  <c r="AE1283" i="1" s="1"/>
  <c r="AC1283" i="1"/>
  <c r="Z1283" i="1"/>
  <c r="Y1283" i="1"/>
  <c r="V1283" i="1"/>
  <c r="U1283" i="1"/>
  <c r="S1283" i="1"/>
  <c r="R1283" i="1"/>
  <c r="Q1283" i="1"/>
  <c r="O1283" i="1"/>
  <c r="N1283" i="1"/>
  <c r="M1283" i="1"/>
  <c r="J1283" i="1"/>
  <c r="K1283" i="1" s="1"/>
  <c r="I1283" i="1"/>
  <c r="G1283" i="1"/>
  <c r="F1283" i="1"/>
  <c r="E1283" i="1"/>
  <c r="BN1282" i="1"/>
  <c r="BL1282" i="1"/>
  <c r="BJ1282" i="1"/>
  <c r="BM1282" i="1" s="1"/>
  <c r="BI1282" i="1"/>
  <c r="BG1282" i="1"/>
  <c r="BF1282" i="1"/>
  <c r="BE1282" i="1"/>
  <c r="BC1282" i="1"/>
  <c r="BB1282" i="1"/>
  <c r="BA1282" i="1"/>
  <c r="AX1282" i="1"/>
  <c r="AY1282" i="1" s="1"/>
  <c r="AW1282" i="1"/>
  <c r="AT1282" i="1"/>
  <c r="AS1282" i="1"/>
  <c r="AP1282" i="1"/>
  <c r="AO1282" i="1"/>
  <c r="AM1282" i="1"/>
  <c r="AL1282" i="1"/>
  <c r="AK1282" i="1"/>
  <c r="AI1282" i="1"/>
  <c r="AH1282" i="1"/>
  <c r="AG1282" i="1"/>
  <c r="AD1282" i="1"/>
  <c r="AE1282" i="1" s="1"/>
  <c r="AC1282" i="1"/>
  <c r="AA1282" i="1"/>
  <c r="Z1282" i="1"/>
  <c r="Y1282" i="1"/>
  <c r="W1282" i="1"/>
  <c r="V1282" i="1"/>
  <c r="U1282" i="1"/>
  <c r="R1282" i="1"/>
  <c r="S1282" i="1" s="1"/>
  <c r="Q1282" i="1"/>
  <c r="N1282" i="1"/>
  <c r="M1282" i="1"/>
  <c r="J1282" i="1"/>
  <c r="I1282" i="1"/>
  <c r="G1282" i="1"/>
  <c r="F1282" i="1"/>
  <c r="E1282" i="1"/>
  <c r="BN1281" i="1"/>
  <c r="BM1281" i="1" s="1"/>
  <c r="BL1281" i="1"/>
  <c r="BK1281" i="1"/>
  <c r="BJ1281" i="1"/>
  <c r="BI1281" i="1"/>
  <c r="BH1281" i="1"/>
  <c r="BF1281" i="1"/>
  <c r="BE1281" i="1"/>
  <c r="BB1281" i="1"/>
  <c r="BA1281" i="1"/>
  <c r="AY1281" i="1"/>
  <c r="AX1281" i="1"/>
  <c r="AW1281" i="1"/>
  <c r="AU1281" i="1"/>
  <c r="AT1281" i="1"/>
  <c r="AS1281" i="1"/>
  <c r="AP1281" i="1"/>
  <c r="AQ1281" i="1" s="1"/>
  <c r="AO1281" i="1"/>
  <c r="AM1281" i="1"/>
  <c r="AL1281" i="1"/>
  <c r="AK1281" i="1"/>
  <c r="AI1281" i="1"/>
  <c r="AH1281" i="1"/>
  <c r="AF1281" i="1"/>
  <c r="AG1281" i="1" s="1"/>
  <c r="AE1281" i="1"/>
  <c r="AD1281" i="1"/>
  <c r="AB1281" i="1"/>
  <c r="AC1281" i="1" s="1"/>
  <c r="AA1281" i="1"/>
  <c r="Z1281" i="1"/>
  <c r="X1281" i="1"/>
  <c r="Y1281" i="1" s="1"/>
  <c r="W1281" i="1"/>
  <c r="V1281" i="1"/>
  <c r="U1281" i="1"/>
  <c r="S1281" i="1"/>
  <c r="R1281" i="1"/>
  <c r="Q1281" i="1"/>
  <c r="P1281" i="1"/>
  <c r="N1281" i="1"/>
  <c r="O1281" i="1" s="1"/>
  <c r="M1281" i="1"/>
  <c r="L1281" i="1"/>
  <c r="K1281" i="1"/>
  <c r="J1281" i="1"/>
  <c r="I1281" i="1"/>
  <c r="H1281" i="1"/>
  <c r="F1281" i="1"/>
  <c r="G1281" i="1" s="1"/>
  <c r="E1281" i="1"/>
  <c r="BN1280" i="1"/>
  <c r="BM1280" i="1"/>
  <c r="BL1280" i="1"/>
  <c r="BK1280" i="1"/>
  <c r="BJ1280" i="1"/>
  <c r="BH1280" i="1"/>
  <c r="BI1280" i="1" s="1"/>
  <c r="BG1280" i="1"/>
  <c r="BF1280" i="1"/>
  <c r="BE1280" i="1"/>
  <c r="BC1280" i="1"/>
  <c r="BB1280" i="1"/>
  <c r="BA1280" i="1"/>
  <c r="AX1280" i="1"/>
  <c r="AY1280" i="1" s="1"/>
  <c r="AW1280" i="1"/>
  <c r="AT1280" i="1"/>
  <c r="AS1280" i="1"/>
  <c r="AP1280" i="1"/>
  <c r="AO1280" i="1"/>
  <c r="AM1280" i="1"/>
  <c r="AL1280" i="1"/>
  <c r="AK1280" i="1"/>
  <c r="AI1280" i="1"/>
  <c r="AH1280" i="1"/>
  <c r="AG1280" i="1"/>
  <c r="AF1280" i="1"/>
  <c r="AD1280" i="1"/>
  <c r="AE1280" i="1" s="1"/>
  <c r="AC1280" i="1"/>
  <c r="AB1280" i="1"/>
  <c r="AA1280" i="1"/>
  <c r="Z1280" i="1"/>
  <c r="Y1280" i="1"/>
  <c r="X1280" i="1"/>
  <c r="V1280" i="1"/>
  <c r="W1280" i="1" s="1"/>
  <c r="U1280" i="1"/>
  <c r="R1280" i="1"/>
  <c r="S1280" i="1" s="1"/>
  <c r="Q1280" i="1"/>
  <c r="P1280" i="1"/>
  <c r="N1280" i="1"/>
  <c r="M1280" i="1"/>
  <c r="L1280" i="1"/>
  <c r="J1280" i="1"/>
  <c r="K1280" i="1" s="1"/>
  <c r="I1280" i="1"/>
  <c r="H1280" i="1"/>
  <c r="F1280" i="1"/>
  <c r="G1280" i="1" s="1"/>
  <c r="E1280" i="1"/>
  <c r="BN1279" i="1"/>
  <c r="BL1279" i="1"/>
  <c r="BK1279" i="1"/>
  <c r="BJ1279" i="1"/>
  <c r="BM1279" i="1" s="1"/>
  <c r="BH1279" i="1"/>
  <c r="BI1279" i="1" s="1"/>
  <c r="BG1279" i="1"/>
  <c r="BF1279" i="1"/>
  <c r="BD1279" i="1"/>
  <c r="BE1279" i="1" s="1"/>
  <c r="BC1279" i="1"/>
  <c r="BB1279" i="1"/>
  <c r="BA1279" i="1"/>
  <c r="AX1279" i="1"/>
  <c r="AY1279" i="1" s="1"/>
  <c r="AW1279" i="1"/>
  <c r="AT1279" i="1"/>
  <c r="AS1279" i="1"/>
  <c r="AP1279" i="1"/>
  <c r="AO1279" i="1"/>
  <c r="AM1279" i="1"/>
  <c r="AL1279" i="1"/>
  <c r="AJ1279" i="1"/>
  <c r="AK1279" i="1" s="1"/>
  <c r="AI1279" i="1"/>
  <c r="AH1279" i="1"/>
  <c r="AF1279" i="1"/>
  <c r="AG1279" i="1" s="1"/>
  <c r="AE1279" i="1"/>
  <c r="AD1279" i="1"/>
  <c r="AB1279" i="1"/>
  <c r="AC1279" i="1" s="1"/>
  <c r="AA1279" i="1"/>
  <c r="Z1279" i="1"/>
  <c r="X1279" i="1"/>
  <c r="Y1279" i="1" s="1"/>
  <c r="W1279" i="1"/>
  <c r="V1279" i="1"/>
  <c r="T1279" i="1"/>
  <c r="U1279" i="1" s="1"/>
  <c r="S1279" i="1"/>
  <c r="R1279" i="1"/>
  <c r="P1279" i="1"/>
  <c r="Q1279" i="1" s="1"/>
  <c r="O1279" i="1"/>
  <c r="N1279" i="1"/>
  <c r="L1279" i="1"/>
  <c r="M1279" i="1" s="1"/>
  <c r="K1279" i="1"/>
  <c r="J1279" i="1"/>
  <c r="H1279" i="1"/>
  <c r="I1279" i="1" s="1"/>
  <c r="G1279" i="1"/>
  <c r="F1279" i="1"/>
  <c r="D1279" i="1"/>
  <c r="E1279" i="1" s="1"/>
  <c r="BN1278" i="1"/>
  <c r="BL1278" i="1"/>
  <c r="BJ1278" i="1"/>
  <c r="BM1278" i="1" s="1"/>
  <c r="BI1278" i="1"/>
  <c r="BG1278" i="1"/>
  <c r="BF1278" i="1"/>
  <c r="BE1278" i="1"/>
  <c r="BC1278" i="1"/>
  <c r="BB1278" i="1"/>
  <c r="BA1278" i="1"/>
  <c r="AX1278" i="1"/>
  <c r="AY1278" i="1" s="1"/>
  <c r="AW1278" i="1"/>
  <c r="AT1278" i="1"/>
  <c r="AS1278" i="1"/>
  <c r="AP1278" i="1"/>
  <c r="AO1278" i="1"/>
  <c r="AM1278" i="1"/>
  <c r="AL1278" i="1"/>
  <c r="AK1278" i="1"/>
  <c r="AI1278" i="1"/>
  <c r="AH1278" i="1"/>
  <c r="AG1278" i="1"/>
  <c r="AD1278" i="1"/>
  <c r="AE1278" i="1" s="1"/>
  <c r="AC1278" i="1"/>
  <c r="AA1278" i="1"/>
  <c r="Z1278" i="1"/>
  <c r="Y1278" i="1"/>
  <c r="W1278" i="1"/>
  <c r="V1278" i="1"/>
  <c r="U1278" i="1"/>
  <c r="R1278" i="1"/>
  <c r="S1278" i="1" s="1"/>
  <c r="Q1278" i="1"/>
  <c r="N1278" i="1"/>
  <c r="M1278" i="1"/>
  <c r="J1278" i="1"/>
  <c r="I1278" i="1"/>
  <c r="G1278" i="1"/>
  <c r="F1278" i="1"/>
  <c r="E1278" i="1"/>
  <c r="BN1277" i="1"/>
  <c r="BM1277" i="1" s="1"/>
  <c r="BL1277" i="1"/>
  <c r="BJ1277" i="1"/>
  <c r="BI1277" i="1"/>
  <c r="BG1277" i="1"/>
  <c r="BF1277" i="1"/>
  <c r="BE1277" i="1"/>
  <c r="BC1277" i="1"/>
  <c r="BB1277" i="1"/>
  <c r="BA1277" i="1"/>
  <c r="AX1277" i="1"/>
  <c r="AY1277" i="1" s="1"/>
  <c r="AW1277" i="1"/>
  <c r="AU1277" i="1"/>
  <c r="AT1277" i="1"/>
  <c r="AS1277" i="1"/>
  <c r="AQ1277" i="1"/>
  <c r="AP1277" i="1"/>
  <c r="AO1277" i="1"/>
  <c r="AL1277" i="1"/>
  <c r="AM1277" i="1" s="1"/>
  <c r="AK1277" i="1"/>
  <c r="AH1277" i="1"/>
  <c r="AG1277" i="1"/>
  <c r="AD1277" i="1"/>
  <c r="AC1277" i="1"/>
  <c r="AA1277" i="1"/>
  <c r="Z1277" i="1"/>
  <c r="Y1277" i="1"/>
  <c r="W1277" i="1"/>
  <c r="V1277" i="1"/>
  <c r="U1277" i="1"/>
  <c r="R1277" i="1"/>
  <c r="S1277" i="1" s="1"/>
  <c r="Q1277" i="1"/>
  <c r="O1277" i="1"/>
  <c r="N1277" i="1"/>
  <c r="M1277" i="1"/>
  <c r="K1277" i="1"/>
  <c r="J1277" i="1"/>
  <c r="I1277" i="1"/>
  <c r="F1277" i="1"/>
  <c r="G1277" i="1" s="1"/>
  <c r="E1277" i="1"/>
  <c r="BN1276" i="1"/>
  <c r="BM1276" i="1"/>
  <c r="BL1276" i="1"/>
  <c r="BJ1276" i="1"/>
  <c r="BI1276" i="1"/>
  <c r="BF1276" i="1"/>
  <c r="BG1276" i="1" s="1"/>
  <c r="BE1276" i="1"/>
  <c r="BB1276" i="1"/>
  <c r="BA1276" i="1"/>
  <c r="AX1276" i="1"/>
  <c r="AW1276" i="1"/>
  <c r="AU1276" i="1"/>
  <c r="AT1276" i="1"/>
  <c r="AS1276" i="1"/>
  <c r="AQ1276" i="1"/>
  <c r="AP1276" i="1"/>
  <c r="AO1276" i="1"/>
  <c r="AL1276" i="1"/>
  <c r="AM1276" i="1" s="1"/>
  <c r="AK1276" i="1"/>
  <c r="AI1276" i="1"/>
  <c r="AH1276" i="1"/>
  <c r="AG1276" i="1"/>
  <c r="AE1276" i="1"/>
  <c r="AD1276" i="1"/>
  <c r="AC1276" i="1"/>
  <c r="Z1276" i="1"/>
  <c r="AA1276" i="1" s="1"/>
  <c r="Y1276" i="1"/>
  <c r="V1276" i="1"/>
  <c r="U1276" i="1"/>
  <c r="R1276" i="1"/>
  <c r="Q1276" i="1"/>
  <c r="O1276" i="1"/>
  <c r="N1276" i="1"/>
  <c r="M1276" i="1"/>
  <c r="K1276" i="1"/>
  <c r="J1276" i="1"/>
  <c r="I1276" i="1"/>
  <c r="F1276" i="1"/>
  <c r="G1276" i="1" s="1"/>
  <c r="E1276" i="1"/>
  <c r="BN1275" i="1"/>
  <c r="BL1275" i="1"/>
  <c r="BJ1275" i="1"/>
  <c r="BM1275" i="1" s="1"/>
  <c r="BI1275" i="1"/>
  <c r="BF1275" i="1"/>
  <c r="BG1275" i="1" s="1"/>
  <c r="BE1275" i="1"/>
  <c r="BC1275" i="1"/>
  <c r="BB1275" i="1"/>
  <c r="BA1275" i="1"/>
  <c r="AY1275" i="1"/>
  <c r="AX1275" i="1"/>
  <c r="AW1275" i="1"/>
  <c r="AT1275" i="1"/>
  <c r="AU1275" i="1" s="1"/>
  <c r="AS1275" i="1"/>
  <c r="AP1275" i="1"/>
  <c r="AO1275" i="1"/>
  <c r="AL1275" i="1"/>
  <c r="AK1275" i="1"/>
  <c r="AI1275" i="1"/>
  <c r="AH1275" i="1"/>
  <c r="AG1275" i="1"/>
  <c r="AE1275" i="1"/>
  <c r="AD1275" i="1"/>
  <c r="AC1275" i="1"/>
  <c r="Z1275" i="1"/>
  <c r="AA1275" i="1" s="1"/>
  <c r="Y1275" i="1"/>
  <c r="W1275" i="1"/>
  <c r="V1275" i="1"/>
  <c r="U1275" i="1"/>
  <c r="S1275" i="1"/>
  <c r="R1275" i="1"/>
  <c r="Q1275" i="1"/>
  <c r="N1275" i="1"/>
  <c r="O1275" i="1" s="1"/>
  <c r="M1275" i="1"/>
  <c r="J1275" i="1"/>
  <c r="I1275" i="1"/>
  <c r="F1275" i="1"/>
  <c r="E1275" i="1"/>
  <c r="BN1274" i="1"/>
  <c r="BL1274" i="1"/>
  <c r="BJ1274" i="1"/>
  <c r="BI1274" i="1"/>
  <c r="BF1274" i="1"/>
  <c r="BE1274" i="1"/>
  <c r="BC1274" i="1"/>
  <c r="BB1274" i="1"/>
  <c r="BA1274" i="1"/>
  <c r="AY1274" i="1"/>
  <c r="AX1274" i="1"/>
  <c r="AW1274" i="1"/>
  <c r="AT1274" i="1"/>
  <c r="AU1274" i="1" s="1"/>
  <c r="AS1274" i="1"/>
  <c r="AQ1274" i="1"/>
  <c r="AP1274" i="1"/>
  <c r="AO1274" i="1"/>
  <c r="AM1274" i="1"/>
  <c r="AL1274" i="1"/>
  <c r="AK1274" i="1"/>
  <c r="AH1274" i="1"/>
  <c r="AI1274" i="1" s="1"/>
  <c r="AG1274" i="1"/>
  <c r="AD1274" i="1"/>
  <c r="AC1274" i="1"/>
  <c r="Z1274" i="1"/>
  <c r="Y1274" i="1"/>
  <c r="W1274" i="1"/>
  <c r="V1274" i="1"/>
  <c r="U1274" i="1"/>
  <c r="S1274" i="1"/>
  <c r="R1274" i="1"/>
  <c r="Q1274" i="1"/>
  <c r="N1274" i="1"/>
  <c r="O1274" i="1" s="1"/>
  <c r="M1274" i="1"/>
  <c r="K1274" i="1"/>
  <c r="J1274" i="1"/>
  <c r="I1274" i="1"/>
  <c r="G1274" i="1"/>
  <c r="F1274" i="1"/>
  <c r="E1274" i="1"/>
  <c r="BN1273" i="1"/>
  <c r="BM1273" i="1"/>
  <c r="BL1273" i="1"/>
  <c r="BJ1273" i="1"/>
  <c r="BI1273" i="1"/>
  <c r="BG1273" i="1"/>
  <c r="BF1273" i="1"/>
  <c r="BE1273" i="1"/>
  <c r="BB1273" i="1"/>
  <c r="BC1273" i="1" s="1"/>
  <c r="BA1273" i="1"/>
  <c r="AX1273" i="1"/>
  <c r="AW1273" i="1"/>
  <c r="AT1273" i="1"/>
  <c r="AS1273" i="1"/>
  <c r="AQ1273" i="1"/>
  <c r="AP1273" i="1"/>
  <c r="AO1273" i="1"/>
  <c r="AM1273" i="1"/>
  <c r="AL1273" i="1"/>
  <c r="AK1273" i="1"/>
  <c r="AH1273" i="1"/>
  <c r="AI1273" i="1" s="1"/>
  <c r="AG1273" i="1"/>
  <c r="AF1273" i="1"/>
  <c r="AD1273" i="1"/>
  <c r="AE1273" i="1" s="1"/>
  <c r="AC1273" i="1"/>
  <c r="AB1273" i="1"/>
  <c r="Z1273" i="1"/>
  <c r="AA1273" i="1" s="1"/>
  <c r="Y1273" i="1"/>
  <c r="X1273" i="1"/>
  <c r="V1273" i="1"/>
  <c r="W1273" i="1" s="1"/>
  <c r="U1273" i="1"/>
  <c r="T1273" i="1"/>
  <c r="R1273" i="1"/>
  <c r="Q1273" i="1"/>
  <c r="P1273" i="1"/>
  <c r="N1273" i="1"/>
  <c r="O1273" i="1" s="1"/>
  <c r="M1273" i="1"/>
  <c r="L1273" i="1"/>
  <c r="J1273" i="1"/>
  <c r="K1273" i="1" s="1"/>
  <c r="I1273" i="1"/>
  <c r="H1273" i="1"/>
  <c r="F1273" i="1"/>
  <c r="G1273" i="1" s="1"/>
  <c r="E1273" i="1"/>
  <c r="D1273" i="1"/>
  <c r="BN1272" i="1"/>
  <c r="BL1272" i="1"/>
  <c r="BJ1272" i="1"/>
  <c r="BM1272" i="1" s="1"/>
  <c r="BI1272" i="1"/>
  <c r="BG1272" i="1"/>
  <c r="BF1272" i="1"/>
  <c r="BE1272" i="1"/>
  <c r="BB1272" i="1"/>
  <c r="BC1272" i="1" s="1"/>
  <c r="BA1272" i="1"/>
  <c r="AY1272" i="1"/>
  <c r="AX1272" i="1"/>
  <c r="AW1272" i="1"/>
  <c r="AU1272" i="1"/>
  <c r="AT1272" i="1"/>
  <c r="AS1272" i="1"/>
  <c r="AP1272" i="1"/>
  <c r="AQ1272" i="1" s="1"/>
  <c r="AO1272" i="1"/>
  <c r="AL1272" i="1"/>
  <c r="AK1272" i="1"/>
  <c r="AH1272" i="1"/>
  <c r="AF1272" i="1"/>
  <c r="AG1272" i="1" s="1"/>
  <c r="AE1272" i="1"/>
  <c r="AD1272" i="1"/>
  <c r="AC1272" i="1"/>
  <c r="AB1272" i="1"/>
  <c r="AA1272" i="1"/>
  <c r="Z1272" i="1"/>
  <c r="X1272" i="1"/>
  <c r="Y1272" i="1" s="1"/>
  <c r="W1272" i="1"/>
  <c r="V1272" i="1"/>
  <c r="U1272" i="1"/>
  <c r="T1272" i="1"/>
  <c r="S1272" i="1"/>
  <c r="R1272" i="1"/>
  <c r="P1272" i="1"/>
  <c r="Q1272" i="1" s="1"/>
  <c r="O1272" i="1"/>
  <c r="N1272" i="1"/>
  <c r="M1272" i="1"/>
  <c r="L1272" i="1"/>
  <c r="K1272" i="1"/>
  <c r="J1272" i="1"/>
  <c r="H1272" i="1"/>
  <c r="I1272" i="1" s="1"/>
  <c r="G1272" i="1"/>
  <c r="F1272" i="1"/>
  <c r="E1272" i="1"/>
  <c r="D1272" i="1"/>
  <c r="BN1271" i="1"/>
  <c r="BL1271" i="1"/>
  <c r="BJ1271" i="1"/>
  <c r="BM1271" i="1" s="1"/>
  <c r="BI1271" i="1"/>
  <c r="BF1271" i="1"/>
  <c r="BE1271" i="1"/>
  <c r="BB1271" i="1"/>
  <c r="BA1271" i="1"/>
  <c r="AY1271" i="1"/>
  <c r="AX1271" i="1"/>
  <c r="AW1271" i="1"/>
  <c r="AU1271" i="1"/>
  <c r="AT1271" i="1"/>
  <c r="AS1271" i="1"/>
  <c r="AP1271" i="1"/>
  <c r="AQ1271" i="1" s="1"/>
  <c r="AO1271" i="1"/>
  <c r="AM1271" i="1"/>
  <c r="AL1271" i="1"/>
  <c r="AK1271" i="1"/>
  <c r="AI1271" i="1"/>
  <c r="AH1271" i="1"/>
  <c r="AF1271" i="1"/>
  <c r="AG1271" i="1" s="1"/>
  <c r="AE1271" i="1"/>
  <c r="AD1271" i="1"/>
  <c r="AB1271" i="1"/>
  <c r="AC1271" i="1" s="1"/>
  <c r="AA1271" i="1"/>
  <c r="Z1271" i="1"/>
  <c r="X1271" i="1"/>
  <c r="Y1271" i="1" s="1"/>
  <c r="W1271" i="1"/>
  <c r="V1271" i="1"/>
  <c r="T1271" i="1"/>
  <c r="U1271" i="1" s="1"/>
  <c r="S1271" i="1"/>
  <c r="R1271" i="1"/>
  <c r="P1271" i="1"/>
  <c r="Q1271" i="1" s="1"/>
  <c r="O1271" i="1"/>
  <c r="N1271" i="1"/>
  <c r="L1271" i="1"/>
  <c r="M1271" i="1" s="1"/>
  <c r="K1271" i="1"/>
  <c r="J1271" i="1"/>
  <c r="H1271" i="1"/>
  <c r="I1271" i="1" s="1"/>
  <c r="G1271" i="1"/>
  <c r="F1271" i="1"/>
  <c r="D1271" i="1"/>
  <c r="E1271" i="1" s="1"/>
  <c r="BN1270" i="1"/>
  <c r="BL1270" i="1"/>
  <c r="BJ1270" i="1"/>
  <c r="BM1270" i="1" s="1"/>
  <c r="BI1270" i="1"/>
  <c r="BG1270" i="1"/>
  <c r="BF1270" i="1"/>
  <c r="BE1270" i="1"/>
  <c r="BC1270" i="1"/>
  <c r="BB1270" i="1"/>
  <c r="BA1270" i="1"/>
  <c r="AX1270" i="1"/>
  <c r="AY1270" i="1" s="1"/>
  <c r="AW1270" i="1"/>
  <c r="AT1270" i="1"/>
  <c r="AS1270" i="1"/>
  <c r="AP1270" i="1"/>
  <c r="AO1270" i="1"/>
  <c r="AM1270" i="1"/>
  <c r="AL1270" i="1"/>
  <c r="AK1270" i="1"/>
  <c r="AI1270" i="1"/>
  <c r="AH1270" i="1"/>
  <c r="AG1270" i="1"/>
  <c r="AD1270" i="1"/>
  <c r="AE1270" i="1" s="1"/>
  <c r="AC1270" i="1"/>
  <c r="AA1270" i="1"/>
  <c r="Z1270" i="1"/>
  <c r="Y1270" i="1"/>
  <c r="W1270" i="1"/>
  <c r="V1270" i="1"/>
  <c r="U1270" i="1"/>
  <c r="R1270" i="1"/>
  <c r="S1270" i="1" s="1"/>
  <c r="Q1270" i="1"/>
  <c r="N1270" i="1"/>
  <c r="M1270" i="1"/>
  <c r="J1270" i="1"/>
  <c r="I1270" i="1"/>
  <c r="G1270" i="1"/>
  <c r="F1270" i="1"/>
  <c r="E1270" i="1"/>
  <c r="BN1269" i="1"/>
  <c r="BM1269" i="1" s="1"/>
  <c r="BL1269" i="1"/>
  <c r="BJ1269" i="1"/>
  <c r="BI1269" i="1"/>
  <c r="BG1269" i="1"/>
  <c r="BF1269" i="1"/>
  <c r="BE1269" i="1"/>
  <c r="BC1269" i="1"/>
  <c r="BB1269" i="1"/>
  <c r="BA1269" i="1"/>
  <c r="AX1269" i="1"/>
  <c r="AY1269" i="1" s="1"/>
  <c r="AW1269" i="1"/>
  <c r="AU1269" i="1"/>
  <c r="AT1269" i="1"/>
  <c r="AS1269" i="1"/>
  <c r="AQ1269" i="1"/>
  <c r="AP1269" i="1"/>
  <c r="AO1269" i="1"/>
  <c r="AL1269" i="1"/>
  <c r="AM1269" i="1" s="1"/>
  <c r="AK1269" i="1"/>
  <c r="AH1269" i="1"/>
  <c r="AI1269" i="1" s="1"/>
  <c r="AG1269" i="1"/>
  <c r="AF1269" i="1"/>
  <c r="AD1269" i="1"/>
  <c r="AC1269" i="1"/>
  <c r="AB1269" i="1"/>
  <c r="Z1269" i="1"/>
  <c r="Y1269" i="1"/>
  <c r="V1269" i="1"/>
  <c r="U1269" i="1"/>
  <c r="S1269" i="1"/>
  <c r="R1269" i="1"/>
  <c r="Q1269" i="1"/>
  <c r="O1269" i="1"/>
  <c r="N1269" i="1"/>
  <c r="M1269" i="1"/>
  <c r="J1269" i="1"/>
  <c r="K1269" i="1" s="1"/>
  <c r="I1269" i="1"/>
  <c r="G1269" i="1"/>
  <c r="F1269" i="1"/>
  <c r="E1269" i="1"/>
  <c r="BN1268" i="1"/>
  <c r="BL1268" i="1"/>
  <c r="BJ1268" i="1"/>
  <c r="BM1268" i="1" s="1"/>
  <c r="BI1268" i="1"/>
  <c r="BG1268" i="1"/>
  <c r="BF1268" i="1"/>
  <c r="BE1268" i="1"/>
  <c r="BC1268" i="1"/>
  <c r="BB1268" i="1"/>
  <c r="BA1268" i="1"/>
  <c r="AX1268" i="1"/>
  <c r="AY1268" i="1" s="1"/>
  <c r="AW1268" i="1"/>
  <c r="AT1268" i="1"/>
  <c r="AS1268" i="1"/>
  <c r="AP1268" i="1"/>
  <c r="AO1268" i="1"/>
  <c r="AM1268" i="1"/>
  <c r="AL1268" i="1"/>
  <c r="AK1268" i="1"/>
  <c r="AI1268" i="1"/>
  <c r="AH1268" i="1"/>
  <c r="AG1268" i="1"/>
  <c r="AF1268" i="1"/>
  <c r="AD1268" i="1"/>
  <c r="AE1268" i="1" s="1"/>
  <c r="AC1268" i="1"/>
  <c r="AB1268" i="1"/>
  <c r="AA1268" i="1"/>
  <c r="Z1268" i="1"/>
  <c r="Y1268" i="1"/>
  <c r="V1268" i="1"/>
  <c r="W1268" i="1" s="1"/>
  <c r="U1268" i="1"/>
  <c r="S1268" i="1"/>
  <c r="R1268" i="1"/>
  <c r="Q1268" i="1"/>
  <c r="O1268" i="1"/>
  <c r="N1268" i="1"/>
  <c r="M1268" i="1"/>
  <c r="J1268" i="1"/>
  <c r="K1268" i="1" s="1"/>
  <c r="I1268" i="1"/>
  <c r="F1268" i="1"/>
  <c r="G1268" i="1" s="1"/>
  <c r="E1268" i="1"/>
  <c r="BN1267" i="1"/>
  <c r="BL1267" i="1"/>
  <c r="BJ1267" i="1"/>
  <c r="BM1267" i="1" s="1"/>
  <c r="BI1267" i="1"/>
  <c r="BF1267" i="1"/>
  <c r="BE1267" i="1"/>
  <c r="BB1267" i="1"/>
  <c r="BA1267" i="1"/>
  <c r="AY1267" i="1"/>
  <c r="AX1267" i="1"/>
  <c r="AW1267" i="1"/>
  <c r="AU1267" i="1"/>
  <c r="AT1267" i="1"/>
  <c r="AS1267" i="1"/>
  <c r="AP1267" i="1"/>
  <c r="AQ1267" i="1" s="1"/>
  <c r="AO1267" i="1"/>
  <c r="AM1267" i="1"/>
  <c r="AL1267" i="1"/>
  <c r="AK1267" i="1"/>
  <c r="AI1267" i="1"/>
  <c r="AH1267" i="1"/>
  <c r="AF1267" i="1"/>
  <c r="AG1267" i="1" s="1"/>
  <c r="AE1267" i="1"/>
  <c r="AD1267" i="1"/>
  <c r="AB1267" i="1"/>
  <c r="AC1267" i="1" s="1"/>
  <c r="AA1267" i="1"/>
  <c r="Z1267" i="1"/>
  <c r="Y1267" i="1"/>
  <c r="V1267" i="1"/>
  <c r="W1267" i="1" s="1"/>
  <c r="U1267" i="1"/>
  <c r="R1267" i="1"/>
  <c r="Q1267" i="1"/>
  <c r="N1267" i="1"/>
  <c r="M1267" i="1"/>
  <c r="K1267" i="1"/>
  <c r="J1267" i="1"/>
  <c r="I1267" i="1"/>
  <c r="G1267" i="1"/>
  <c r="F1267" i="1"/>
  <c r="E1267" i="1"/>
  <c r="BN1266" i="1"/>
  <c r="BL1266" i="1"/>
  <c r="BJ1266" i="1"/>
  <c r="BM1266" i="1" s="1"/>
  <c r="BI1266" i="1"/>
  <c r="BG1266" i="1"/>
  <c r="BF1266" i="1"/>
  <c r="BE1266" i="1"/>
  <c r="BB1266" i="1"/>
  <c r="BC1266" i="1" s="1"/>
  <c r="BA1266" i="1"/>
  <c r="AY1266" i="1"/>
  <c r="AX1266" i="1"/>
  <c r="AW1266" i="1"/>
  <c r="AU1266" i="1"/>
  <c r="AT1266" i="1"/>
  <c r="AS1266" i="1"/>
  <c r="AP1266" i="1"/>
  <c r="AQ1266" i="1" s="1"/>
  <c r="AO1266" i="1"/>
  <c r="AL1266" i="1"/>
  <c r="AK1266" i="1"/>
  <c r="AH1266" i="1"/>
  <c r="AG1266" i="1"/>
  <c r="AE1266" i="1"/>
  <c r="AD1266" i="1"/>
  <c r="AC1266" i="1"/>
  <c r="AA1266" i="1"/>
  <c r="Z1266" i="1"/>
  <c r="Y1266" i="1"/>
  <c r="V1266" i="1"/>
  <c r="W1266" i="1" s="1"/>
  <c r="U1266" i="1"/>
  <c r="S1266" i="1"/>
  <c r="R1266" i="1"/>
  <c r="Q1266" i="1"/>
  <c r="O1266" i="1"/>
  <c r="N1266" i="1"/>
  <c r="M1266" i="1"/>
  <c r="J1266" i="1"/>
  <c r="K1266" i="1" s="1"/>
  <c r="I1266" i="1"/>
  <c r="F1266" i="1"/>
  <c r="E1266" i="1"/>
  <c r="BN1265" i="1"/>
  <c r="BL1265" i="1"/>
  <c r="BJ1265" i="1"/>
  <c r="BM1265" i="1" s="1"/>
  <c r="BI1265" i="1"/>
  <c r="BF1265" i="1"/>
  <c r="BE1265" i="1"/>
  <c r="BB1265" i="1"/>
  <c r="BA1265" i="1"/>
  <c r="AY1265" i="1"/>
  <c r="AX1265" i="1"/>
  <c r="AW1265" i="1"/>
  <c r="AU1265" i="1"/>
  <c r="AT1265" i="1"/>
  <c r="AS1265" i="1"/>
  <c r="AP1265" i="1"/>
  <c r="AQ1265" i="1" s="1"/>
  <c r="AO1265" i="1"/>
  <c r="AM1265" i="1"/>
  <c r="AL1265" i="1"/>
  <c r="AK1265" i="1"/>
  <c r="AI1265" i="1"/>
  <c r="AH1265" i="1"/>
  <c r="AG1265" i="1"/>
  <c r="AD1265" i="1"/>
  <c r="AE1265" i="1" s="1"/>
  <c r="AC1265" i="1"/>
  <c r="Z1265" i="1"/>
  <c r="Y1265" i="1"/>
  <c r="V1265" i="1"/>
  <c r="U1265" i="1"/>
  <c r="S1265" i="1"/>
  <c r="R1265" i="1"/>
  <c r="Q1265" i="1"/>
  <c r="O1265" i="1"/>
  <c r="N1265" i="1"/>
  <c r="M1265" i="1"/>
  <c r="J1265" i="1"/>
  <c r="K1265" i="1" s="1"/>
  <c r="I1265" i="1"/>
  <c r="G1265" i="1"/>
  <c r="F1265" i="1"/>
  <c r="E1265" i="1"/>
  <c r="BN1264" i="1"/>
  <c r="BL1264" i="1"/>
  <c r="BJ1264" i="1"/>
  <c r="BM1264" i="1" s="1"/>
  <c r="BI1264" i="1"/>
  <c r="BG1264" i="1"/>
  <c r="BF1264" i="1"/>
  <c r="BE1264" i="1"/>
  <c r="BC1264" i="1"/>
  <c r="BB1264" i="1"/>
  <c r="BA1264" i="1"/>
  <c r="AX1264" i="1"/>
  <c r="AY1264" i="1" s="1"/>
  <c r="AW1264" i="1"/>
  <c r="AT1264" i="1"/>
  <c r="AS1264" i="1"/>
  <c r="AP1264" i="1"/>
  <c r="AO1264" i="1"/>
  <c r="AM1264" i="1"/>
  <c r="AL1264" i="1"/>
  <c r="AK1264" i="1"/>
  <c r="AI1264" i="1"/>
  <c r="AH1264" i="1"/>
  <c r="AG1264" i="1"/>
  <c r="AD1264" i="1"/>
  <c r="AE1264" i="1" s="1"/>
  <c r="AC1264" i="1"/>
  <c r="AA1264" i="1"/>
  <c r="Z1264" i="1"/>
  <c r="Y1264" i="1"/>
  <c r="W1264" i="1"/>
  <c r="V1264" i="1"/>
  <c r="U1264" i="1"/>
  <c r="R1264" i="1"/>
  <c r="S1264" i="1" s="1"/>
  <c r="Q1264" i="1"/>
  <c r="N1264" i="1"/>
  <c r="M1264" i="1"/>
  <c r="J1264" i="1"/>
  <c r="I1264" i="1"/>
  <c r="G1264" i="1"/>
  <c r="F1264" i="1"/>
  <c r="E1264" i="1"/>
  <c r="BN1263" i="1"/>
  <c r="BM1263" i="1" s="1"/>
  <c r="BL1263" i="1"/>
  <c r="BJ1263" i="1"/>
  <c r="BI1263" i="1"/>
  <c r="BG1263" i="1"/>
  <c r="BF1263" i="1"/>
  <c r="BE1263" i="1"/>
  <c r="BC1263" i="1"/>
  <c r="BB1263" i="1"/>
  <c r="BA1263" i="1"/>
  <c r="AX1263" i="1"/>
  <c r="AY1263" i="1" s="1"/>
  <c r="AW1263" i="1"/>
  <c r="AU1263" i="1"/>
  <c r="AT1263" i="1"/>
  <c r="AS1263" i="1"/>
  <c r="AQ1263" i="1"/>
  <c r="AP1263" i="1"/>
  <c r="AO1263" i="1"/>
  <c r="AL1263" i="1"/>
  <c r="AM1263" i="1" s="1"/>
  <c r="AK1263" i="1"/>
  <c r="AH1263" i="1"/>
  <c r="AG1263" i="1"/>
  <c r="AD1263" i="1"/>
  <c r="AC1263" i="1"/>
  <c r="AA1263" i="1"/>
  <c r="Z1263" i="1"/>
  <c r="Y1263" i="1"/>
  <c r="W1263" i="1"/>
  <c r="V1263" i="1"/>
  <c r="U1263" i="1"/>
  <c r="R1263" i="1"/>
  <c r="S1263" i="1" s="1"/>
  <c r="Q1263" i="1"/>
  <c r="O1263" i="1"/>
  <c r="N1263" i="1"/>
  <c r="M1263" i="1"/>
  <c r="K1263" i="1"/>
  <c r="J1263" i="1"/>
  <c r="I1263" i="1"/>
  <c r="F1263" i="1"/>
  <c r="G1263" i="1" s="1"/>
  <c r="E1263" i="1"/>
  <c r="BN1262" i="1"/>
  <c r="BM1262" i="1"/>
  <c r="BL1262" i="1"/>
  <c r="BJ1262" i="1"/>
  <c r="BI1262" i="1"/>
  <c r="BF1262" i="1"/>
  <c r="BG1262" i="1" s="1"/>
  <c r="BE1262" i="1"/>
  <c r="BB1262" i="1"/>
  <c r="BA1262" i="1"/>
  <c r="AX1262" i="1"/>
  <c r="AW1262" i="1"/>
  <c r="AU1262" i="1"/>
  <c r="AT1262" i="1"/>
  <c r="AS1262" i="1"/>
  <c r="AQ1262" i="1"/>
  <c r="AP1262" i="1"/>
  <c r="AO1262" i="1"/>
  <c r="AL1262" i="1"/>
  <c r="AM1262" i="1" s="1"/>
  <c r="AK1262" i="1"/>
  <c r="AI1262" i="1"/>
  <c r="AH1262" i="1"/>
  <c r="AG1262" i="1"/>
  <c r="AE1262" i="1"/>
  <c r="AD1262" i="1"/>
  <c r="AC1262" i="1"/>
  <c r="Z1262" i="1"/>
  <c r="AA1262" i="1" s="1"/>
  <c r="Y1262" i="1"/>
  <c r="V1262" i="1"/>
  <c r="U1262" i="1"/>
  <c r="R1262" i="1"/>
  <c r="Q1262" i="1"/>
  <c r="O1262" i="1"/>
  <c r="N1262" i="1"/>
  <c r="M1262" i="1"/>
  <c r="K1262" i="1"/>
  <c r="J1262" i="1"/>
  <c r="I1262" i="1"/>
  <c r="F1262" i="1"/>
  <c r="G1262" i="1" s="1"/>
  <c r="E1262" i="1"/>
  <c r="BN1261" i="1"/>
  <c r="BL1261" i="1"/>
  <c r="BK1261" i="1"/>
  <c r="BJ1261" i="1"/>
  <c r="BM1261" i="1" s="1"/>
  <c r="BH1261" i="1"/>
  <c r="BI1261" i="1" s="1"/>
  <c r="BG1261" i="1"/>
  <c r="BF1261" i="1"/>
  <c r="BD1261" i="1"/>
  <c r="BE1261" i="1" s="1"/>
  <c r="BC1261" i="1"/>
  <c r="BB1261" i="1"/>
  <c r="BA1261" i="1"/>
  <c r="AX1261" i="1"/>
  <c r="AW1261" i="1"/>
  <c r="AV1261" i="1"/>
  <c r="AT1261" i="1"/>
  <c r="AS1261" i="1"/>
  <c r="AP1261" i="1"/>
  <c r="AQ1261" i="1" s="1"/>
  <c r="AO1261" i="1"/>
  <c r="AM1261" i="1"/>
  <c r="AL1261" i="1"/>
  <c r="AK1261" i="1"/>
  <c r="AI1261" i="1"/>
  <c r="AH1261" i="1"/>
  <c r="AF1261" i="1"/>
  <c r="AG1261" i="1" s="1"/>
  <c r="AE1261" i="1"/>
  <c r="AD1261" i="1"/>
  <c r="AC1261" i="1"/>
  <c r="AA1261" i="1"/>
  <c r="Z1261" i="1"/>
  <c r="Y1261" i="1"/>
  <c r="V1261" i="1"/>
  <c r="W1261" i="1" s="1"/>
  <c r="U1261" i="1"/>
  <c r="S1261" i="1"/>
  <c r="R1261" i="1"/>
  <c r="Q1261" i="1"/>
  <c r="P1261" i="1"/>
  <c r="O1261" i="1"/>
  <c r="N1261" i="1"/>
  <c r="L1261" i="1"/>
  <c r="M1261" i="1" s="1"/>
  <c r="K1261" i="1"/>
  <c r="J1261" i="1"/>
  <c r="I1261" i="1"/>
  <c r="H1261" i="1"/>
  <c r="G1261" i="1"/>
  <c r="F1261" i="1"/>
  <c r="E1261" i="1"/>
  <c r="BN1260" i="1"/>
  <c r="BK1260" i="1"/>
  <c r="BL1260" i="1" s="1"/>
  <c r="BJ1260" i="1"/>
  <c r="BI1260" i="1"/>
  <c r="BH1260" i="1"/>
  <c r="BF1260" i="1"/>
  <c r="BG1260" i="1" s="1"/>
  <c r="BE1260" i="1"/>
  <c r="BD1260" i="1"/>
  <c r="BC1260" i="1"/>
  <c r="BB1260" i="1"/>
  <c r="BA1260" i="1"/>
  <c r="AX1260" i="1"/>
  <c r="AY1260" i="1" s="1"/>
  <c r="AW1260" i="1"/>
  <c r="AV1260" i="1"/>
  <c r="AT1260" i="1"/>
  <c r="AS1260" i="1"/>
  <c r="AP1260" i="1"/>
  <c r="AO1260" i="1"/>
  <c r="AM1260" i="1"/>
  <c r="AL1260" i="1"/>
  <c r="AK1260" i="1"/>
  <c r="AI1260" i="1"/>
  <c r="AH1260" i="1"/>
  <c r="AG1260" i="1"/>
  <c r="AF1260" i="1"/>
  <c r="AD1260" i="1"/>
  <c r="AE1260" i="1" s="1"/>
  <c r="AC1260" i="1"/>
  <c r="Z1260" i="1"/>
  <c r="Y1260" i="1"/>
  <c r="V1260" i="1"/>
  <c r="U1260" i="1"/>
  <c r="S1260" i="1"/>
  <c r="R1260" i="1"/>
  <c r="P1260" i="1"/>
  <c r="Q1260" i="1" s="1"/>
  <c r="O1260" i="1"/>
  <c r="N1260" i="1"/>
  <c r="L1260" i="1"/>
  <c r="M1260" i="1" s="1"/>
  <c r="K1260" i="1"/>
  <c r="J1260" i="1"/>
  <c r="H1260" i="1"/>
  <c r="I1260" i="1" s="1"/>
  <c r="G1260" i="1"/>
  <c r="F1260" i="1"/>
  <c r="E1260" i="1"/>
  <c r="BN1259" i="1"/>
  <c r="BM1259" i="1"/>
  <c r="BL1259" i="1"/>
  <c r="BK1259" i="1"/>
  <c r="BJ1259" i="1"/>
  <c r="BI1259" i="1"/>
  <c r="BH1259" i="1"/>
  <c r="BF1259" i="1"/>
  <c r="BE1259" i="1"/>
  <c r="BD1259" i="1"/>
  <c r="BB1259" i="1"/>
  <c r="BA1259" i="1"/>
  <c r="AX1259" i="1"/>
  <c r="AV1259" i="1"/>
  <c r="AW1259" i="1" s="1"/>
  <c r="AU1259" i="1"/>
  <c r="AT1259" i="1"/>
  <c r="AS1259" i="1"/>
  <c r="AQ1259" i="1"/>
  <c r="AP1259" i="1"/>
  <c r="AO1259" i="1"/>
  <c r="AL1259" i="1"/>
  <c r="AM1259" i="1" s="1"/>
  <c r="AK1259" i="1"/>
  <c r="AH1259" i="1"/>
  <c r="AI1259" i="1" s="1"/>
  <c r="AG1259" i="1"/>
  <c r="AF1259" i="1"/>
  <c r="AD1259" i="1"/>
  <c r="AE1259" i="1" s="1"/>
  <c r="AC1259" i="1"/>
  <c r="AA1259" i="1"/>
  <c r="Z1259" i="1"/>
  <c r="Y1259" i="1"/>
  <c r="W1259" i="1"/>
  <c r="V1259" i="1"/>
  <c r="U1259" i="1"/>
  <c r="R1259" i="1"/>
  <c r="Q1259" i="1"/>
  <c r="P1259" i="1"/>
  <c r="N1259" i="1"/>
  <c r="M1259" i="1"/>
  <c r="L1259" i="1"/>
  <c r="J1259" i="1"/>
  <c r="K1259" i="1" s="1"/>
  <c r="I1259" i="1"/>
  <c r="H1259" i="1"/>
  <c r="F1259" i="1"/>
  <c r="E1259" i="1"/>
  <c r="BN1258" i="1"/>
  <c r="BL1258" i="1"/>
  <c r="BJ1258" i="1"/>
  <c r="BM1258" i="1" s="1"/>
  <c r="BI1258" i="1"/>
  <c r="BG1258" i="1"/>
  <c r="BF1258" i="1"/>
  <c r="BE1258" i="1"/>
  <c r="BB1258" i="1"/>
  <c r="BC1258" i="1" s="1"/>
  <c r="BA1258" i="1"/>
  <c r="AY1258" i="1"/>
  <c r="AX1258" i="1"/>
  <c r="AW1258" i="1"/>
  <c r="AU1258" i="1"/>
  <c r="AT1258" i="1"/>
  <c r="AS1258" i="1"/>
  <c r="AP1258" i="1"/>
  <c r="AQ1258" i="1" s="1"/>
  <c r="AO1258" i="1"/>
  <c r="AL1258" i="1"/>
  <c r="AK1258" i="1"/>
  <c r="AH1258" i="1"/>
  <c r="AG1258" i="1"/>
  <c r="AE1258" i="1"/>
  <c r="AD1258" i="1"/>
  <c r="AC1258" i="1"/>
  <c r="AA1258" i="1"/>
  <c r="Z1258" i="1"/>
  <c r="Y1258" i="1"/>
  <c r="V1258" i="1"/>
  <c r="W1258" i="1" s="1"/>
  <c r="U1258" i="1"/>
  <c r="S1258" i="1"/>
  <c r="R1258" i="1"/>
  <c r="Q1258" i="1"/>
  <c r="O1258" i="1"/>
  <c r="N1258" i="1"/>
  <c r="M1258" i="1"/>
  <c r="J1258" i="1"/>
  <c r="K1258" i="1" s="1"/>
  <c r="I1258" i="1"/>
  <c r="F1258" i="1"/>
  <c r="E1258" i="1"/>
  <c r="BN1257" i="1"/>
  <c r="BL1257" i="1"/>
  <c r="BJ1257" i="1"/>
  <c r="BM1257" i="1" s="1"/>
  <c r="BI1257" i="1"/>
  <c r="BF1257" i="1"/>
  <c r="BE1257" i="1"/>
  <c r="BB1257" i="1"/>
  <c r="BA1257" i="1"/>
  <c r="AY1257" i="1"/>
  <c r="AX1257" i="1"/>
  <c r="AW1257" i="1"/>
  <c r="AU1257" i="1"/>
  <c r="AT1257" i="1"/>
  <c r="AS1257" i="1"/>
  <c r="AP1257" i="1"/>
  <c r="AQ1257" i="1" s="1"/>
  <c r="AO1257" i="1"/>
  <c r="AM1257" i="1"/>
  <c r="AL1257" i="1"/>
  <c r="AK1257" i="1"/>
  <c r="AI1257" i="1"/>
  <c r="AH1257" i="1"/>
  <c r="AF1257" i="1"/>
  <c r="AG1257" i="1" s="1"/>
  <c r="AE1257" i="1"/>
  <c r="AD1257" i="1"/>
  <c r="AB1257" i="1"/>
  <c r="AC1257" i="1" s="1"/>
  <c r="AA1257" i="1"/>
  <c r="Z1257" i="1"/>
  <c r="X1257" i="1"/>
  <c r="Y1257" i="1" s="1"/>
  <c r="W1257" i="1"/>
  <c r="V1257" i="1"/>
  <c r="T1257" i="1"/>
  <c r="U1257" i="1" s="1"/>
  <c r="S1257" i="1"/>
  <c r="R1257" i="1"/>
  <c r="Q1257" i="1"/>
  <c r="N1257" i="1"/>
  <c r="O1257" i="1" s="1"/>
  <c r="M1257" i="1"/>
  <c r="J1257" i="1"/>
  <c r="I1257" i="1"/>
  <c r="F1257" i="1"/>
  <c r="D1257" i="1"/>
  <c r="E1257" i="1" s="1"/>
  <c r="BN1256" i="1"/>
  <c r="BL1256" i="1"/>
  <c r="BJ1256" i="1"/>
  <c r="BM1256" i="1" s="1"/>
  <c r="BI1256" i="1"/>
  <c r="BF1256" i="1"/>
  <c r="BG1256" i="1" s="1"/>
  <c r="BE1256" i="1"/>
  <c r="BC1256" i="1"/>
  <c r="BB1256" i="1"/>
  <c r="BA1256" i="1"/>
  <c r="AY1256" i="1"/>
  <c r="AX1256" i="1"/>
  <c r="AW1256" i="1"/>
  <c r="AT1256" i="1"/>
  <c r="AU1256" i="1" s="1"/>
  <c r="AS1256" i="1"/>
  <c r="AP1256" i="1"/>
  <c r="AO1256" i="1"/>
  <c r="AL1256" i="1"/>
  <c r="AK1256" i="1"/>
  <c r="AI1256" i="1"/>
  <c r="AH1256" i="1"/>
  <c r="AF1256" i="1"/>
  <c r="AG1256" i="1" s="1"/>
  <c r="AE1256" i="1"/>
  <c r="AD1256" i="1"/>
  <c r="AB1256" i="1"/>
  <c r="AC1256" i="1" s="1"/>
  <c r="AA1256" i="1"/>
  <c r="Z1256" i="1"/>
  <c r="Y1256" i="1"/>
  <c r="W1256" i="1"/>
  <c r="V1256" i="1"/>
  <c r="U1256" i="1"/>
  <c r="T1256" i="1"/>
  <c r="R1256" i="1"/>
  <c r="S1256" i="1" s="1"/>
  <c r="Q1256" i="1"/>
  <c r="N1256" i="1"/>
  <c r="M1256" i="1"/>
  <c r="J1256" i="1"/>
  <c r="I1256" i="1"/>
  <c r="G1256" i="1"/>
  <c r="F1256" i="1"/>
  <c r="D1256" i="1"/>
  <c r="E1256" i="1" s="1"/>
  <c r="BN1255" i="1"/>
  <c r="BL1255" i="1"/>
  <c r="BJ1255" i="1"/>
  <c r="BM1255" i="1" s="1"/>
  <c r="BI1255" i="1"/>
  <c r="BG1255" i="1"/>
  <c r="BF1255" i="1"/>
  <c r="BE1255" i="1"/>
  <c r="BC1255" i="1"/>
  <c r="BB1255" i="1"/>
  <c r="BA1255" i="1"/>
  <c r="AX1255" i="1"/>
  <c r="AY1255" i="1" s="1"/>
  <c r="AW1255" i="1"/>
  <c r="AT1255" i="1"/>
  <c r="AS1255" i="1"/>
  <c r="AP1255" i="1"/>
  <c r="AO1255" i="1"/>
  <c r="AM1255" i="1"/>
  <c r="AL1255" i="1"/>
  <c r="AK1255" i="1"/>
  <c r="AI1255" i="1"/>
  <c r="AH1255" i="1"/>
  <c r="AG1255" i="1"/>
  <c r="AF1255" i="1"/>
  <c r="AD1255" i="1"/>
  <c r="AE1255" i="1" s="1"/>
  <c r="AC1255" i="1"/>
  <c r="AB1255" i="1"/>
  <c r="Z1255" i="1"/>
  <c r="Y1255" i="1"/>
  <c r="X1255" i="1"/>
  <c r="V1255" i="1"/>
  <c r="W1255" i="1" s="1"/>
  <c r="U1255" i="1"/>
  <c r="T1255" i="1"/>
  <c r="S1255" i="1"/>
  <c r="R1255" i="1"/>
  <c r="Q1255" i="1"/>
  <c r="N1255" i="1"/>
  <c r="O1255" i="1" s="1"/>
  <c r="M1255" i="1"/>
  <c r="K1255" i="1"/>
  <c r="J1255" i="1"/>
  <c r="I1255" i="1"/>
  <c r="G1255" i="1"/>
  <c r="F1255" i="1"/>
  <c r="D1255" i="1"/>
  <c r="E1255" i="1" s="1"/>
  <c r="BN1254" i="1"/>
  <c r="BL1254" i="1"/>
  <c r="BJ1254" i="1"/>
  <c r="BI1254" i="1"/>
  <c r="BF1254" i="1"/>
  <c r="BE1254" i="1"/>
  <c r="BC1254" i="1"/>
  <c r="BB1254" i="1"/>
  <c r="BA1254" i="1"/>
  <c r="AY1254" i="1"/>
  <c r="AX1254" i="1"/>
  <c r="AW1254" i="1"/>
  <c r="AT1254" i="1"/>
  <c r="AU1254" i="1" s="1"/>
  <c r="AS1254" i="1"/>
  <c r="AQ1254" i="1"/>
  <c r="AP1254" i="1"/>
  <c r="AO1254" i="1"/>
  <c r="AM1254" i="1"/>
  <c r="AL1254" i="1"/>
  <c r="AK1254" i="1"/>
  <c r="AH1254" i="1"/>
  <c r="AI1254" i="1" s="1"/>
  <c r="AG1254" i="1"/>
  <c r="AD1254" i="1"/>
  <c r="AC1254" i="1"/>
  <c r="Z1254" i="1"/>
  <c r="Y1254" i="1"/>
  <c r="W1254" i="1"/>
  <c r="V1254" i="1"/>
  <c r="U1254" i="1"/>
  <c r="S1254" i="1"/>
  <c r="R1254" i="1"/>
  <c r="Q1254" i="1"/>
  <c r="N1254" i="1"/>
  <c r="O1254" i="1" s="1"/>
  <c r="M1254" i="1"/>
  <c r="K1254" i="1"/>
  <c r="J1254" i="1"/>
  <c r="I1254" i="1"/>
  <c r="G1254" i="1"/>
  <c r="F1254" i="1"/>
  <c r="E1254" i="1"/>
  <c r="BN1253" i="1"/>
  <c r="BM1253" i="1"/>
  <c r="BL1253" i="1"/>
  <c r="BJ1253" i="1"/>
  <c r="BI1253" i="1"/>
  <c r="BG1253" i="1"/>
  <c r="BF1253" i="1"/>
  <c r="BE1253" i="1"/>
  <c r="BB1253" i="1"/>
  <c r="BC1253" i="1" s="1"/>
  <c r="BA1253" i="1"/>
  <c r="AX1253" i="1"/>
  <c r="AW1253" i="1"/>
  <c r="AT1253" i="1"/>
  <c r="AS1253" i="1"/>
  <c r="AQ1253" i="1"/>
  <c r="AP1253" i="1"/>
  <c r="AO1253" i="1"/>
  <c r="AM1253" i="1"/>
  <c r="AL1253" i="1"/>
  <c r="AK1253" i="1"/>
  <c r="AH1253" i="1"/>
  <c r="AI1253" i="1" s="1"/>
  <c r="AG1253" i="1"/>
  <c r="AE1253" i="1"/>
  <c r="AD1253" i="1"/>
  <c r="AC1253" i="1"/>
  <c r="AA1253" i="1"/>
  <c r="Z1253" i="1"/>
  <c r="Y1253" i="1"/>
  <c r="V1253" i="1"/>
  <c r="W1253" i="1" s="1"/>
  <c r="U1253" i="1"/>
  <c r="R1253" i="1"/>
  <c r="Q1253" i="1"/>
  <c r="N1253" i="1"/>
  <c r="M1253" i="1"/>
  <c r="K1253" i="1"/>
  <c r="J1253" i="1"/>
  <c r="I1253" i="1"/>
  <c r="G1253" i="1"/>
  <c r="F1253" i="1"/>
  <c r="E1253" i="1"/>
  <c r="BN1252" i="1"/>
  <c r="BL1252" i="1"/>
  <c r="BJ1252" i="1"/>
  <c r="BM1252" i="1" s="1"/>
  <c r="BI1252" i="1"/>
  <c r="BG1252" i="1"/>
  <c r="BF1252" i="1"/>
  <c r="BE1252" i="1"/>
  <c r="BB1252" i="1"/>
  <c r="BC1252" i="1" s="1"/>
  <c r="BA1252" i="1"/>
  <c r="AY1252" i="1"/>
  <c r="AX1252" i="1"/>
  <c r="AW1252" i="1"/>
  <c r="AU1252" i="1"/>
  <c r="AT1252" i="1"/>
  <c r="AS1252" i="1"/>
  <c r="AP1252" i="1"/>
  <c r="AQ1252" i="1" s="1"/>
  <c r="AO1252" i="1"/>
  <c r="AL1252" i="1"/>
  <c r="AK1252" i="1"/>
  <c r="AH1252" i="1"/>
  <c r="AG1252" i="1"/>
  <c r="AE1252" i="1"/>
  <c r="AD1252" i="1"/>
  <c r="AC1252" i="1"/>
  <c r="AA1252" i="1"/>
  <c r="Z1252" i="1"/>
  <c r="Y1252" i="1"/>
  <c r="V1252" i="1"/>
  <c r="W1252" i="1" s="1"/>
  <c r="U1252" i="1"/>
  <c r="S1252" i="1"/>
  <c r="R1252" i="1"/>
  <c r="Q1252" i="1"/>
  <c r="O1252" i="1"/>
  <c r="N1252" i="1"/>
  <c r="M1252" i="1"/>
  <c r="J1252" i="1"/>
  <c r="K1252" i="1" s="1"/>
  <c r="I1252" i="1"/>
  <c r="F1252" i="1"/>
  <c r="G1252" i="1" s="1"/>
  <c r="E1252" i="1"/>
  <c r="BN1251" i="1"/>
  <c r="BL1251" i="1"/>
  <c r="BJ1251" i="1"/>
  <c r="BM1251" i="1" s="1"/>
  <c r="BI1251" i="1"/>
  <c r="BF1251" i="1"/>
  <c r="BE1251" i="1"/>
  <c r="BB1251" i="1"/>
  <c r="BA1251" i="1"/>
  <c r="AY1251" i="1"/>
  <c r="AX1251" i="1"/>
  <c r="AW1251" i="1"/>
  <c r="AU1251" i="1"/>
  <c r="AT1251" i="1"/>
  <c r="AS1251" i="1"/>
  <c r="AP1251" i="1"/>
  <c r="AQ1251" i="1" s="1"/>
  <c r="AO1251" i="1"/>
  <c r="AM1251" i="1"/>
  <c r="AL1251" i="1"/>
  <c r="AK1251" i="1"/>
  <c r="AI1251" i="1"/>
  <c r="AH1251" i="1"/>
  <c r="AG1251" i="1"/>
  <c r="AD1251" i="1"/>
  <c r="AE1251" i="1" s="1"/>
  <c r="AC1251" i="1"/>
  <c r="Z1251" i="1"/>
  <c r="Y1251" i="1"/>
  <c r="V1251" i="1"/>
  <c r="U1251" i="1"/>
  <c r="S1251" i="1"/>
  <c r="R1251" i="1"/>
  <c r="Q1251" i="1"/>
  <c r="O1251" i="1"/>
  <c r="N1251" i="1"/>
  <c r="M1251" i="1"/>
  <c r="J1251" i="1"/>
  <c r="K1251" i="1" s="1"/>
  <c r="I1251" i="1"/>
  <c r="G1251" i="1"/>
  <c r="F1251" i="1"/>
  <c r="E1251" i="1"/>
  <c r="BN1250" i="1"/>
  <c r="BM1250" i="1" s="1"/>
  <c r="BL1250" i="1"/>
  <c r="BJ1250" i="1"/>
  <c r="BI1250" i="1"/>
  <c r="BG1250" i="1"/>
  <c r="BF1250" i="1"/>
  <c r="BE1250" i="1"/>
  <c r="BC1250" i="1"/>
  <c r="BB1250" i="1"/>
  <c r="BA1250" i="1"/>
  <c r="AX1250" i="1"/>
  <c r="AY1250" i="1" s="1"/>
  <c r="AW1250" i="1"/>
  <c r="AT1250" i="1"/>
  <c r="AS1250" i="1"/>
  <c r="AP1250" i="1"/>
  <c r="AO1250" i="1"/>
  <c r="AM1250" i="1"/>
  <c r="AL1250" i="1"/>
  <c r="AK1250" i="1"/>
  <c r="AI1250" i="1"/>
  <c r="AH1250" i="1"/>
  <c r="AG1250" i="1"/>
  <c r="AD1250" i="1"/>
  <c r="AE1250" i="1" s="1"/>
  <c r="AC1250" i="1"/>
  <c r="AA1250" i="1"/>
  <c r="Z1250" i="1"/>
  <c r="Y1250" i="1"/>
  <c r="W1250" i="1"/>
  <c r="V1250" i="1"/>
  <c r="U1250" i="1"/>
  <c r="R1250" i="1"/>
  <c r="S1250" i="1" s="1"/>
  <c r="Q1250" i="1"/>
  <c r="N1250" i="1"/>
  <c r="M1250" i="1"/>
  <c r="J1250" i="1"/>
  <c r="I1250" i="1"/>
  <c r="G1250" i="1"/>
  <c r="F1250" i="1"/>
  <c r="E1250" i="1"/>
  <c r="BN1249" i="1"/>
  <c r="BM1249" i="1" s="1"/>
  <c r="BL1249" i="1"/>
  <c r="BJ1249" i="1"/>
  <c r="BI1249" i="1"/>
  <c r="BG1249" i="1"/>
  <c r="BF1249" i="1"/>
  <c r="BE1249" i="1"/>
  <c r="BC1249" i="1"/>
  <c r="BB1249" i="1"/>
  <c r="BA1249" i="1"/>
  <c r="AX1249" i="1"/>
  <c r="AY1249" i="1" s="1"/>
  <c r="AW1249" i="1"/>
  <c r="AU1249" i="1"/>
  <c r="AT1249" i="1"/>
  <c r="AS1249" i="1"/>
  <c r="AQ1249" i="1"/>
  <c r="AP1249" i="1"/>
  <c r="AO1249" i="1"/>
  <c r="AL1249" i="1"/>
  <c r="AM1249" i="1" s="1"/>
  <c r="AK1249" i="1"/>
  <c r="AH1249" i="1"/>
  <c r="AG1249" i="1"/>
  <c r="AD1249" i="1"/>
  <c r="AC1249" i="1"/>
  <c r="AA1249" i="1"/>
  <c r="Z1249" i="1"/>
  <c r="Y1249" i="1"/>
  <c r="W1249" i="1"/>
  <c r="V1249" i="1"/>
  <c r="U1249" i="1"/>
  <c r="R1249" i="1"/>
  <c r="S1249" i="1" s="1"/>
  <c r="Q1249" i="1"/>
  <c r="O1249" i="1"/>
  <c r="N1249" i="1"/>
  <c r="M1249" i="1"/>
  <c r="K1249" i="1"/>
  <c r="J1249" i="1"/>
  <c r="I1249" i="1"/>
  <c r="F1249" i="1"/>
  <c r="G1249" i="1" s="1"/>
  <c r="E1249" i="1"/>
  <c r="BN1248" i="1"/>
  <c r="BM1248" i="1"/>
  <c r="BL1248" i="1"/>
  <c r="BJ1248" i="1"/>
  <c r="BI1248" i="1"/>
  <c r="BF1248" i="1"/>
  <c r="BG1248" i="1" s="1"/>
  <c r="BE1248" i="1"/>
  <c r="BB1248" i="1"/>
  <c r="BA1248" i="1"/>
  <c r="AX1248" i="1"/>
  <c r="AW1248" i="1"/>
  <c r="AU1248" i="1"/>
  <c r="AT1248" i="1"/>
  <c r="AS1248" i="1"/>
  <c r="AQ1248" i="1"/>
  <c r="AP1248" i="1"/>
  <c r="AO1248" i="1"/>
  <c r="AL1248" i="1"/>
  <c r="AM1248" i="1" s="1"/>
  <c r="AK1248" i="1"/>
  <c r="AI1248" i="1"/>
  <c r="AH1248" i="1"/>
  <c r="AG1248" i="1"/>
  <c r="AE1248" i="1"/>
  <c r="AD1248" i="1"/>
  <c r="AC1248" i="1"/>
  <c r="Z1248" i="1"/>
  <c r="AA1248" i="1" s="1"/>
  <c r="Y1248" i="1"/>
  <c r="V1248" i="1"/>
  <c r="U1248" i="1"/>
  <c r="R1248" i="1"/>
  <c r="Q1248" i="1"/>
  <c r="O1248" i="1"/>
  <c r="N1248" i="1"/>
  <c r="M1248" i="1"/>
  <c r="K1248" i="1"/>
  <c r="J1248" i="1"/>
  <c r="I1248" i="1"/>
  <c r="F1248" i="1"/>
  <c r="G1248" i="1" s="1"/>
  <c r="E1248" i="1"/>
  <c r="BN1247" i="1"/>
  <c r="BL1247" i="1"/>
  <c r="BJ1247" i="1"/>
  <c r="BM1247" i="1" s="1"/>
  <c r="BI1247" i="1"/>
  <c r="BF1247" i="1"/>
  <c r="BG1247" i="1" s="1"/>
  <c r="BE1247" i="1"/>
  <c r="BC1247" i="1"/>
  <c r="BB1247" i="1"/>
  <c r="BA1247" i="1"/>
  <c r="AY1247" i="1"/>
  <c r="AX1247" i="1"/>
  <c r="AW1247" i="1"/>
  <c r="AT1247" i="1"/>
  <c r="AU1247" i="1" s="1"/>
  <c r="AS1247" i="1"/>
  <c r="AP1247" i="1"/>
  <c r="AO1247" i="1"/>
  <c r="AL1247" i="1"/>
  <c r="AK1247" i="1"/>
  <c r="AI1247" i="1"/>
  <c r="AH1247" i="1"/>
  <c r="AG1247" i="1"/>
  <c r="AE1247" i="1"/>
  <c r="AD1247" i="1"/>
  <c r="AC1247" i="1"/>
  <c r="Z1247" i="1"/>
  <c r="AA1247" i="1" s="1"/>
  <c r="Y1247" i="1"/>
  <c r="W1247" i="1"/>
  <c r="V1247" i="1"/>
  <c r="U1247" i="1"/>
  <c r="S1247" i="1"/>
  <c r="R1247" i="1"/>
  <c r="Q1247" i="1"/>
  <c r="N1247" i="1"/>
  <c r="O1247" i="1" s="1"/>
  <c r="M1247" i="1"/>
  <c r="J1247" i="1"/>
  <c r="I1247" i="1"/>
  <c r="F1247" i="1"/>
  <c r="E1247" i="1"/>
  <c r="BN1246" i="1"/>
  <c r="BL1246" i="1"/>
  <c r="BJ1246" i="1"/>
  <c r="BI1246" i="1"/>
  <c r="BF1246" i="1"/>
  <c r="BE1246" i="1"/>
  <c r="BC1246" i="1"/>
  <c r="BB1246" i="1"/>
  <c r="BA1246" i="1"/>
  <c r="AY1246" i="1"/>
  <c r="AX1246" i="1"/>
  <c r="AW1246" i="1"/>
  <c r="AT1246" i="1"/>
  <c r="AU1246" i="1" s="1"/>
  <c r="AS1246" i="1"/>
  <c r="AQ1246" i="1"/>
  <c r="AP1246" i="1"/>
  <c r="AO1246" i="1"/>
  <c r="AM1246" i="1"/>
  <c r="AL1246" i="1"/>
  <c r="AK1246" i="1"/>
  <c r="AH1246" i="1"/>
  <c r="AI1246" i="1" s="1"/>
  <c r="AG1246" i="1"/>
  <c r="AD1246" i="1"/>
  <c r="AC1246" i="1"/>
  <c r="Z1246" i="1"/>
  <c r="Y1246" i="1"/>
  <c r="W1246" i="1"/>
  <c r="V1246" i="1"/>
  <c r="U1246" i="1"/>
  <c r="S1246" i="1"/>
  <c r="R1246" i="1"/>
  <c r="Q1246" i="1"/>
  <c r="N1246" i="1"/>
  <c r="O1246" i="1" s="1"/>
  <c r="M1246" i="1"/>
  <c r="K1246" i="1"/>
  <c r="J1246" i="1"/>
  <c r="I1246" i="1"/>
  <c r="G1246" i="1"/>
  <c r="F1246" i="1"/>
  <c r="E1246" i="1"/>
  <c r="BN1245" i="1"/>
  <c r="BM1245" i="1"/>
  <c r="BL1245" i="1"/>
  <c r="BJ1245" i="1"/>
  <c r="BI1245" i="1"/>
  <c r="BH1245" i="1"/>
  <c r="BG1245" i="1"/>
  <c r="BF1245" i="1"/>
  <c r="BD1245" i="1"/>
  <c r="BE1245" i="1" s="1"/>
  <c r="BC1245" i="1"/>
  <c r="BB1245" i="1"/>
  <c r="BA1245" i="1"/>
  <c r="AZ1245" i="1"/>
  <c r="AY1245" i="1"/>
  <c r="AX1245" i="1"/>
  <c r="AW1245" i="1"/>
  <c r="AU1245" i="1"/>
  <c r="AT1245" i="1"/>
  <c r="AS1245" i="1"/>
  <c r="AQ1245" i="1"/>
  <c r="AP1245" i="1"/>
  <c r="AO1245" i="1"/>
  <c r="AL1245" i="1"/>
  <c r="AM1245" i="1" s="1"/>
  <c r="AK1245" i="1"/>
  <c r="AI1245" i="1"/>
  <c r="AH1245" i="1"/>
  <c r="AG1245" i="1"/>
  <c r="AE1245" i="1"/>
  <c r="AD1245" i="1"/>
  <c r="AC1245" i="1"/>
  <c r="Z1245" i="1"/>
  <c r="AA1245" i="1" s="1"/>
  <c r="Y1245" i="1"/>
  <c r="V1245" i="1"/>
  <c r="U1245" i="1"/>
  <c r="R1245" i="1"/>
  <c r="Q1245" i="1"/>
  <c r="O1245" i="1"/>
  <c r="N1245" i="1"/>
  <c r="M1245" i="1"/>
  <c r="K1245" i="1"/>
  <c r="J1245" i="1"/>
  <c r="I1245" i="1"/>
  <c r="F1245" i="1"/>
  <c r="G1245" i="1" s="1"/>
  <c r="E1245" i="1"/>
  <c r="BN1244" i="1"/>
  <c r="BL1244" i="1"/>
  <c r="BJ1244" i="1"/>
  <c r="BM1244" i="1" s="1"/>
  <c r="BI1244" i="1"/>
  <c r="BH1244" i="1"/>
  <c r="BF1244" i="1"/>
  <c r="BG1244" i="1" s="1"/>
  <c r="BE1244" i="1"/>
  <c r="BD1244" i="1"/>
  <c r="BB1244" i="1"/>
  <c r="BA1244" i="1"/>
  <c r="AZ1244" i="1"/>
  <c r="AX1244" i="1"/>
  <c r="AY1244" i="1" s="1"/>
  <c r="AW1244" i="1"/>
  <c r="AT1244" i="1"/>
  <c r="AS1244" i="1"/>
  <c r="AP1244" i="1"/>
  <c r="AO1244" i="1"/>
  <c r="AM1244" i="1"/>
  <c r="AL1244" i="1"/>
  <c r="AK1244" i="1"/>
  <c r="AI1244" i="1"/>
  <c r="AH1244" i="1"/>
  <c r="AG1244" i="1"/>
  <c r="AD1244" i="1"/>
  <c r="AE1244" i="1" s="1"/>
  <c r="AC1244" i="1"/>
  <c r="AA1244" i="1"/>
  <c r="Z1244" i="1"/>
  <c r="Y1244" i="1"/>
  <c r="W1244" i="1"/>
  <c r="V1244" i="1"/>
  <c r="U1244" i="1"/>
  <c r="R1244" i="1"/>
  <c r="S1244" i="1" s="1"/>
  <c r="Q1244" i="1"/>
  <c r="N1244" i="1"/>
  <c r="M1244" i="1"/>
  <c r="J1244" i="1"/>
  <c r="I1244" i="1"/>
  <c r="G1244" i="1"/>
  <c r="F1244" i="1"/>
  <c r="E1244" i="1"/>
  <c r="BN1243" i="1"/>
  <c r="BM1243" i="1" s="1"/>
  <c r="BL1243" i="1"/>
  <c r="BJ1243" i="1"/>
  <c r="BH1243" i="1"/>
  <c r="BI1243" i="1" s="1"/>
  <c r="BG1243" i="1"/>
  <c r="BF1243" i="1"/>
  <c r="BE1243" i="1"/>
  <c r="BD1243" i="1"/>
  <c r="BC1243" i="1"/>
  <c r="BB1243" i="1"/>
  <c r="AZ1243" i="1"/>
  <c r="BA1243" i="1" s="1"/>
  <c r="AY1243" i="1"/>
  <c r="AX1243" i="1"/>
  <c r="AW1243" i="1"/>
  <c r="AU1243" i="1"/>
  <c r="AT1243" i="1"/>
  <c r="AS1243" i="1"/>
  <c r="AP1243" i="1"/>
  <c r="AQ1243" i="1" s="1"/>
  <c r="AO1243" i="1"/>
  <c r="AL1243" i="1"/>
  <c r="AK1243" i="1"/>
  <c r="AH1243" i="1"/>
  <c r="AG1243" i="1"/>
  <c r="AE1243" i="1"/>
  <c r="AD1243" i="1"/>
  <c r="AC1243" i="1"/>
  <c r="AA1243" i="1"/>
  <c r="Z1243" i="1"/>
  <c r="Y1243" i="1"/>
  <c r="V1243" i="1"/>
  <c r="W1243" i="1" s="1"/>
  <c r="U1243" i="1"/>
  <c r="S1243" i="1"/>
  <c r="R1243" i="1"/>
  <c r="Q1243" i="1"/>
  <c r="O1243" i="1"/>
  <c r="N1243" i="1"/>
  <c r="M1243" i="1"/>
  <c r="J1243" i="1"/>
  <c r="K1243" i="1" s="1"/>
  <c r="I1243" i="1"/>
  <c r="F1243" i="1"/>
  <c r="E1243" i="1"/>
  <c r="BN1242" i="1"/>
  <c r="BL1242" i="1"/>
  <c r="BJ1242" i="1"/>
  <c r="BM1242" i="1" s="1"/>
  <c r="BI1242" i="1"/>
  <c r="BF1242" i="1"/>
  <c r="BE1242" i="1"/>
  <c r="BB1242" i="1"/>
  <c r="BA1242" i="1"/>
  <c r="AY1242" i="1"/>
  <c r="AX1242" i="1"/>
  <c r="AW1242" i="1"/>
  <c r="AU1242" i="1"/>
  <c r="AT1242" i="1"/>
  <c r="AS1242" i="1"/>
  <c r="AP1242" i="1"/>
  <c r="AQ1242" i="1" s="1"/>
  <c r="AO1242" i="1"/>
  <c r="AM1242" i="1"/>
  <c r="AL1242" i="1"/>
  <c r="AK1242" i="1"/>
  <c r="AI1242" i="1"/>
  <c r="AH1242" i="1"/>
  <c r="AG1242" i="1"/>
  <c r="AD1242" i="1"/>
  <c r="AE1242" i="1" s="1"/>
  <c r="AC1242" i="1"/>
  <c r="Z1242" i="1"/>
  <c r="Y1242" i="1"/>
  <c r="V1242" i="1"/>
  <c r="U1242" i="1"/>
  <c r="S1242" i="1"/>
  <c r="R1242" i="1"/>
  <c r="Q1242" i="1"/>
  <c r="O1242" i="1"/>
  <c r="N1242" i="1"/>
  <c r="M1242" i="1"/>
  <c r="J1242" i="1"/>
  <c r="K1242" i="1" s="1"/>
  <c r="I1242" i="1"/>
  <c r="G1242" i="1"/>
  <c r="F1242" i="1"/>
  <c r="E1242" i="1"/>
  <c r="BN1241" i="1"/>
  <c r="BL1241" i="1"/>
  <c r="BJ1241" i="1"/>
  <c r="BM1241" i="1" s="1"/>
  <c r="BI1241" i="1"/>
  <c r="BG1241" i="1"/>
  <c r="BF1241" i="1"/>
  <c r="BE1241" i="1"/>
  <c r="BC1241" i="1"/>
  <c r="BB1241" i="1"/>
  <c r="BA1241" i="1"/>
  <c r="AX1241" i="1"/>
  <c r="AY1241" i="1" s="1"/>
  <c r="AW1241" i="1"/>
  <c r="AT1241" i="1"/>
  <c r="AS1241" i="1"/>
  <c r="AP1241" i="1"/>
  <c r="AO1241" i="1"/>
  <c r="AM1241" i="1"/>
  <c r="AL1241" i="1"/>
  <c r="AK1241" i="1"/>
  <c r="AI1241" i="1"/>
  <c r="AH1241" i="1"/>
  <c r="AG1241" i="1"/>
  <c r="AD1241" i="1"/>
  <c r="AE1241" i="1" s="1"/>
  <c r="AC1241" i="1"/>
  <c r="AA1241" i="1"/>
  <c r="Z1241" i="1"/>
  <c r="Y1241" i="1"/>
  <c r="W1241" i="1"/>
  <c r="V1241" i="1"/>
  <c r="U1241" i="1"/>
  <c r="R1241" i="1"/>
  <c r="S1241" i="1" s="1"/>
  <c r="Q1241" i="1"/>
  <c r="N1241" i="1"/>
  <c r="M1241" i="1"/>
  <c r="J1241" i="1"/>
  <c r="I1241" i="1"/>
  <c r="G1241" i="1"/>
  <c r="F1241" i="1"/>
  <c r="E1241" i="1"/>
  <c r="BN1240" i="1"/>
  <c r="BM1240" i="1" s="1"/>
  <c r="BL1240" i="1"/>
  <c r="BJ1240" i="1"/>
  <c r="BI1240" i="1"/>
  <c r="BG1240" i="1"/>
  <c r="BF1240" i="1"/>
  <c r="BE1240" i="1"/>
  <c r="BC1240" i="1"/>
  <c r="BB1240" i="1"/>
  <c r="BA1240" i="1"/>
  <c r="AX1240" i="1"/>
  <c r="AY1240" i="1" s="1"/>
  <c r="AW1240" i="1"/>
  <c r="AU1240" i="1"/>
  <c r="AT1240" i="1"/>
  <c r="AS1240" i="1"/>
  <c r="AQ1240" i="1"/>
  <c r="AP1240" i="1"/>
  <c r="AO1240" i="1"/>
  <c r="AL1240" i="1"/>
  <c r="AM1240" i="1" s="1"/>
  <c r="AK1240" i="1"/>
  <c r="AH1240" i="1"/>
  <c r="AG1240" i="1"/>
  <c r="AD1240" i="1"/>
  <c r="AC1240" i="1"/>
  <c r="AA1240" i="1"/>
  <c r="Z1240" i="1"/>
  <c r="Y1240" i="1"/>
  <c r="W1240" i="1"/>
  <c r="V1240" i="1"/>
  <c r="U1240" i="1"/>
  <c r="R1240" i="1"/>
  <c r="S1240" i="1" s="1"/>
  <c r="Q1240" i="1"/>
  <c r="O1240" i="1"/>
  <c r="N1240" i="1"/>
  <c r="M1240" i="1"/>
  <c r="K1240" i="1"/>
  <c r="J1240" i="1"/>
  <c r="I1240" i="1"/>
  <c r="F1240" i="1"/>
  <c r="G1240" i="1" s="1"/>
  <c r="E1240" i="1"/>
  <c r="BN1239" i="1"/>
  <c r="BM1239" i="1"/>
  <c r="BL1239" i="1"/>
  <c r="BJ1239" i="1"/>
  <c r="BI1239" i="1"/>
  <c r="BF1239" i="1"/>
  <c r="BG1239" i="1" s="1"/>
  <c r="BE1239" i="1"/>
  <c r="BB1239" i="1"/>
  <c r="BA1239" i="1"/>
  <c r="AX1239" i="1"/>
  <c r="AW1239" i="1"/>
  <c r="AU1239" i="1"/>
  <c r="AT1239" i="1"/>
  <c r="AS1239" i="1"/>
  <c r="AQ1239" i="1"/>
  <c r="AP1239" i="1"/>
  <c r="AO1239" i="1"/>
  <c r="AL1239" i="1"/>
  <c r="AM1239" i="1" s="1"/>
  <c r="AK1239" i="1"/>
  <c r="AI1239" i="1"/>
  <c r="AH1239" i="1"/>
  <c r="AG1239" i="1"/>
  <c r="AE1239" i="1"/>
  <c r="AD1239" i="1"/>
  <c r="AC1239" i="1"/>
  <c r="Z1239" i="1"/>
  <c r="AA1239" i="1" s="1"/>
  <c r="Y1239" i="1"/>
  <c r="V1239" i="1"/>
  <c r="U1239" i="1"/>
  <c r="R1239" i="1"/>
  <c r="Q1239" i="1"/>
  <c r="O1239" i="1"/>
  <c r="N1239" i="1"/>
  <c r="M1239" i="1"/>
  <c r="K1239" i="1"/>
  <c r="J1239" i="1"/>
  <c r="I1239" i="1"/>
  <c r="F1239" i="1"/>
  <c r="G1239" i="1" s="1"/>
  <c r="E1239" i="1"/>
  <c r="BN1238" i="1"/>
  <c r="BL1238" i="1"/>
  <c r="BJ1238" i="1"/>
  <c r="BM1238" i="1" s="1"/>
  <c r="BI1238" i="1"/>
  <c r="BF1238" i="1"/>
  <c r="BG1238" i="1" s="1"/>
  <c r="BE1238" i="1"/>
  <c r="BC1238" i="1"/>
  <c r="BB1238" i="1"/>
  <c r="BA1238" i="1"/>
  <c r="AY1238" i="1"/>
  <c r="AX1238" i="1"/>
  <c r="AW1238" i="1"/>
  <c r="AT1238" i="1"/>
  <c r="AU1238" i="1" s="1"/>
  <c r="AS1238" i="1"/>
  <c r="AP1238" i="1"/>
  <c r="AO1238" i="1"/>
  <c r="AL1238" i="1"/>
  <c r="AK1238" i="1"/>
  <c r="AI1238" i="1"/>
  <c r="AH1238" i="1"/>
  <c r="AG1238" i="1"/>
  <c r="AE1238" i="1"/>
  <c r="AD1238" i="1"/>
  <c r="AC1238" i="1"/>
  <c r="Z1238" i="1"/>
  <c r="AA1238" i="1" s="1"/>
  <c r="Y1238" i="1"/>
  <c r="W1238" i="1"/>
  <c r="V1238" i="1"/>
  <c r="U1238" i="1"/>
  <c r="S1238" i="1"/>
  <c r="R1238" i="1"/>
  <c r="Q1238" i="1"/>
  <c r="N1238" i="1"/>
  <c r="O1238" i="1" s="1"/>
  <c r="M1238" i="1"/>
  <c r="J1238" i="1"/>
  <c r="I1238" i="1"/>
  <c r="F1238" i="1"/>
  <c r="E1238" i="1"/>
  <c r="BN1237" i="1"/>
  <c r="BL1237" i="1"/>
  <c r="BJ1237" i="1"/>
  <c r="BI1237" i="1"/>
  <c r="BF1237" i="1"/>
  <c r="BE1237" i="1"/>
  <c r="BC1237" i="1"/>
  <c r="BB1237" i="1"/>
  <c r="BA1237" i="1"/>
  <c r="AY1237" i="1"/>
  <c r="AX1237" i="1"/>
  <c r="AW1237" i="1"/>
  <c r="AT1237" i="1"/>
  <c r="AU1237" i="1" s="1"/>
  <c r="AS1237" i="1"/>
  <c r="AQ1237" i="1"/>
  <c r="AP1237" i="1"/>
  <c r="AO1237" i="1"/>
  <c r="AM1237" i="1"/>
  <c r="AL1237" i="1"/>
  <c r="AK1237" i="1"/>
  <c r="AH1237" i="1"/>
  <c r="AI1237" i="1" s="1"/>
  <c r="AG1237" i="1"/>
  <c r="AD1237" i="1"/>
  <c r="AC1237" i="1"/>
  <c r="Z1237" i="1"/>
  <c r="Y1237" i="1"/>
  <c r="W1237" i="1"/>
  <c r="V1237" i="1"/>
  <c r="U1237" i="1"/>
  <c r="S1237" i="1"/>
  <c r="R1237" i="1"/>
  <c r="Q1237" i="1"/>
  <c r="N1237" i="1"/>
  <c r="O1237" i="1" s="1"/>
  <c r="M1237" i="1"/>
  <c r="K1237" i="1"/>
  <c r="J1237" i="1"/>
  <c r="I1237" i="1"/>
  <c r="G1237" i="1"/>
  <c r="F1237" i="1"/>
  <c r="E1237" i="1"/>
  <c r="BN1236" i="1"/>
  <c r="BM1236" i="1"/>
  <c r="BL1236" i="1"/>
  <c r="BJ1236" i="1"/>
  <c r="BI1236" i="1"/>
  <c r="BG1236" i="1"/>
  <c r="BF1236" i="1"/>
  <c r="BE1236" i="1"/>
  <c r="BB1236" i="1"/>
  <c r="BC1236" i="1" s="1"/>
  <c r="BA1236" i="1"/>
  <c r="AX1236" i="1"/>
  <c r="AW1236" i="1"/>
  <c r="AT1236" i="1"/>
  <c r="AS1236" i="1"/>
  <c r="AQ1236" i="1"/>
  <c r="AP1236" i="1"/>
  <c r="AO1236" i="1"/>
  <c r="AM1236" i="1"/>
  <c r="AL1236" i="1"/>
  <c r="AK1236" i="1"/>
  <c r="AH1236" i="1"/>
  <c r="AI1236" i="1" s="1"/>
  <c r="AG1236" i="1"/>
  <c r="AE1236" i="1"/>
  <c r="AD1236" i="1"/>
  <c r="AC1236" i="1"/>
  <c r="AA1236" i="1"/>
  <c r="Z1236" i="1"/>
  <c r="Y1236" i="1"/>
  <c r="V1236" i="1"/>
  <c r="W1236" i="1" s="1"/>
  <c r="U1236" i="1"/>
  <c r="R1236" i="1"/>
  <c r="Q1236" i="1"/>
  <c r="N1236" i="1"/>
  <c r="M1236" i="1"/>
  <c r="K1236" i="1"/>
  <c r="J1236" i="1"/>
  <c r="I1236" i="1"/>
  <c r="G1236" i="1"/>
  <c r="F1236" i="1"/>
  <c r="E1236" i="1"/>
  <c r="BN1235" i="1"/>
  <c r="BL1235" i="1"/>
  <c r="BJ1235" i="1"/>
  <c r="BM1235" i="1" s="1"/>
  <c r="BI1235" i="1"/>
  <c r="BG1235" i="1"/>
  <c r="BF1235" i="1"/>
  <c r="BE1235" i="1"/>
  <c r="BB1235" i="1"/>
  <c r="BC1235" i="1" s="1"/>
  <c r="BA1235" i="1"/>
  <c r="AY1235" i="1"/>
  <c r="AX1235" i="1"/>
  <c r="AW1235" i="1"/>
  <c r="AU1235" i="1"/>
  <c r="AT1235" i="1"/>
  <c r="AS1235" i="1"/>
  <c r="AP1235" i="1"/>
  <c r="AQ1235" i="1" s="1"/>
  <c r="AO1235" i="1"/>
  <c r="AL1235" i="1"/>
  <c r="AK1235" i="1"/>
  <c r="AH1235" i="1"/>
  <c r="AG1235" i="1"/>
  <c r="AE1235" i="1"/>
  <c r="AD1235" i="1"/>
  <c r="AC1235" i="1"/>
  <c r="AA1235" i="1"/>
  <c r="Z1235" i="1"/>
  <c r="Y1235" i="1"/>
  <c r="V1235" i="1"/>
  <c r="W1235" i="1" s="1"/>
  <c r="U1235" i="1"/>
  <c r="S1235" i="1"/>
  <c r="R1235" i="1"/>
  <c r="Q1235" i="1"/>
  <c r="O1235" i="1"/>
  <c r="N1235" i="1"/>
  <c r="M1235" i="1"/>
  <c r="J1235" i="1"/>
  <c r="K1235" i="1" s="1"/>
  <c r="I1235" i="1"/>
  <c r="F1235" i="1"/>
  <c r="G1235" i="1" s="1"/>
  <c r="E1235" i="1"/>
  <c r="BN1234" i="1"/>
  <c r="BL1234" i="1"/>
  <c r="BJ1234" i="1"/>
  <c r="BM1234" i="1" s="1"/>
  <c r="BI1234" i="1"/>
  <c r="BF1234" i="1"/>
  <c r="BE1234" i="1"/>
  <c r="BB1234" i="1"/>
  <c r="BA1234" i="1"/>
  <c r="AY1234" i="1"/>
  <c r="AX1234" i="1"/>
  <c r="AW1234" i="1"/>
  <c r="AU1234" i="1"/>
  <c r="AT1234" i="1"/>
  <c r="AS1234" i="1"/>
  <c r="AP1234" i="1"/>
  <c r="AQ1234" i="1" s="1"/>
  <c r="AO1234" i="1"/>
  <c r="AM1234" i="1"/>
  <c r="AL1234" i="1"/>
  <c r="AK1234" i="1"/>
  <c r="AI1234" i="1"/>
  <c r="AH1234" i="1"/>
  <c r="AG1234" i="1"/>
  <c r="AD1234" i="1"/>
  <c r="AE1234" i="1" s="1"/>
  <c r="AC1234" i="1"/>
  <c r="Z1234" i="1"/>
  <c r="Y1234" i="1"/>
  <c r="V1234" i="1"/>
  <c r="U1234" i="1"/>
  <c r="S1234" i="1"/>
  <c r="R1234" i="1"/>
  <c r="Q1234" i="1"/>
  <c r="O1234" i="1"/>
  <c r="N1234" i="1"/>
  <c r="M1234" i="1"/>
  <c r="J1234" i="1"/>
  <c r="K1234" i="1" s="1"/>
  <c r="I1234" i="1"/>
  <c r="G1234" i="1"/>
  <c r="F1234" i="1"/>
  <c r="E1234" i="1"/>
  <c r="BN1233" i="1"/>
  <c r="BL1233" i="1"/>
  <c r="BJ1233" i="1"/>
  <c r="BM1233" i="1" s="1"/>
  <c r="BI1233" i="1"/>
  <c r="BG1233" i="1"/>
  <c r="BF1233" i="1"/>
  <c r="BE1233" i="1"/>
  <c r="BC1233" i="1"/>
  <c r="BB1233" i="1"/>
  <c r="BA1233" i="1"/>
  <c r="AX1233" i="1"/>
  <c r="AY1233" i="1" s="1"/>
  <c r="AW1233" i="1"/>
  <c r="AT1233" i="1"/>
  <c r="AS1233" i="1"/>
  <c r="AP1233" i="1"/>
  <c r="AO1233" i="1"/>
  <c r="AM1233" i="1"/>
  <c r="AL1233" i="1"/>
  <c r="AK1233" i="1"/>
  <c r="AI1233" i="1"/>
  <c r="AH1233" i="1"/>
  <c r="AG1233" i="1"/>
  <c r="AD1233" i="1"/>
  <c r="AE1233" i="1" s="1"/>
  <c r="AC1233" i="1"/>
  <c r="AA1233" i="1"/>
  <c r="Z1233" i="1"/>
  <c r="Y1233" i="1"/>
  <c r="W1233" i="1"/>
  <c r="V1233" i="1"/>
  <c r="U1233" i="1"/>
  <c r="R1233" i="1"/>
  <c r="S1233" i="1" s="1"/>
  <c r="Q1233" i="1"/>
  <c r="N1233" i="1"/>
  <c r="M1233" i="1"/>
  <c r="J1233" i="1"/>
  <c r="I1233" i="1"/>
  <c r="G1233" i="1"/>
  <c r="F1233" i="1"/>
  <c r="E1233" i="1"/>
  <c r="BN1232" i="1"/>
  <c r="BM1232" i="1" s="1"/>
  <c r="BL1232" i="1"/>
  <c r="BJ1232" i="1"/>
  <c r="BI1232" i="1"/>
  <c r="BG1232" i="1"/>
  <c r="BF1232" i="1"/>
  <c r="BE1232" i="1"/>
  <c r="BC1232" i="1"/>
  <c r="BB1232" i="1"/>
  <c r="BA1232" i="1"/>
  <c r="AX1232" i="1"/>
  <c r="AY1232" i="1" s="1"/>
  <c r="AW1232" i="1"/>
  <c r="AU1232" i="1"/>
  <c r="AT1232" i="1"/>
  <c r="AS1232" i="1"/>
  <c r="AQ1232" i="1"/>
  <c r="AP1232" i="1"/>
  <c r="AO1232" i="1"/>
  <c r="AL1232" i="1"/>
  <c r="AM1232" i="1" s="1"/>
  <c r="AK1232" i="1"/>
  <c r="AH1232" i="1"/>
  <c r="AG1232" i="1"/>
  <c r="AD1232" i="1"/>
  <c r="AC1232" i="1"/>
  <c r="AA1232" i="1"/>
  <c r="Z1232" i="1"/>
  <c r="Y1232" i="1"/>
  <c r="W1232" i="1"/>
  <c r="V1232" i="1"/>
  <c r="U1232" i="1"/>
  <c r="R1232" i="1"/>
  <c r="S1232" i="1" s="1"/>
  <c r="Q1232" i="1"/>
  <c r="O1232" i="1"/>
  <c r="N1232" i="1"/>
  <c r="M1232" i="1"/>
  <c r="K1232" i="1"/>
  <c r="J1232" i="1"/>
  <c r="I1232" i="1"/>
  <c r="F1232" i="1"/>
  <c r="G1232" i="1" s="1"/>
  <c r="E1232" i="1"/>
  <c r="BN1231" i="1"/>
  <c r="BM1231" i="1"/>
  <c r="BL1231" i="1"/>
  <c r="BJ1231" i="1"/>
  <c r="BI1231" i="1"/>
  <c r="BF1231" i="1"/>
  <c r="BG1231" i="1" s="1"/>
  <c r="BE1231" i="1"/>
  <c r="BB1231" i="1"/>
  <c r="BA1231" i="1"/>
  <c r="AX1231" i="1"/>
  <c r="AW1231" i="1"/>
  <c r="AU1231" i="1"/>
  <c r="AT1231" i="1"/>
  <c r="AS1231" i="1"/>
  <c r="AQ1231" i="1"/>
  <c r="AP1231" i="1"/>
  <c r="AO1231" i="1"/>
  <c r="AL1231" i="1"/>
  <c r="AM1231" i="1" s="1"/>
  <c r="AK1231" i="1"/>
  <c r="AI1231" i="1"/>
  <c r="AH1231" i="1"/>
  <c r="AG1231" i="1"/>
  <c r="AE1231" i="1"/>
  <c r="AD1231" i="1"/>
  <c r="AC1231" i="1"/>
  <c r="Z1231" i="1"/>
  <c r="AA1231" i="1" s="1"/>
  <c r="Y1231" i="1"/>
  <c r="V1231" i="1"/>
  <c r="U1231" i="1"/>
  <c r="R1231" i="1"/>
  <c r="Q1231" i="1"/>
  <c r="O1231" i="1"/>
  <c r="N1231" i="1"/>
  <c r="M1231" i="1"/>
  <c r="J1231" i="1"/>
  <c r="K1231" i="1" s="1"/>
  <c r="I1231" i="1"/>
  <c r="F1231" i="1"/>
  <c r="G1231" i="1" s="1"/>
  <c r="E1231" i="1"/>
  <c r="BN1230" i="1"/>
  <c r="BL1230" i="1"/>
  <c r="BJ1230" i="1"/>
  <c r="BM1230" i="1" s="1"/>
  <c r="BI1230" i="1"/>
  <c r="BF1230" i="1"/>
  <c r="BG1230" i="1" s="1"/>
  <c r="BE1230" i="1"/>
  <c r="BC1230" i="1"/>
  <c r="BB1230" i="1"/>
  <c r="BA1230" i="1"/>
  <c r="AY1230" i="1"/>
  <c r="AX1230" i="1"/>
  <c r="AW1230" i="1"/>
  <c r="AT1230" i="1"/>
  <c r="AU1230" i="1" s="1"/>
  <c r="AS1230" i="1"/>
  <c r="AP1230" i="1"/>
  <c r="AO1230" i="1"/>
  <c r="AL1230" i="1"/>
  <c r="AK1230" i="1"/>
  <c r="AI1230" i="1"/>
  <c r="AH1230" i="1"/>
  <c r="AG1230" i="1"/>
  <c r="AD1230" i="1"/>
  <c r="AE1230" i="1" s="1"/>
  <c r="AC1230" i="1"/>
  <c r="Z1230" i="1"/>
  <c r="Y1230" i="1"/>
  <c r="W1230" i="1"/>
  <c r="V1230" i="1"/>
  <c r="U1230" i="1"/>
  <c r="S1230" i="1"/>
  <c r="R1230" i="1"/>
  <c r="Q1230" i="1"/>
  <c r="N1230" i="1"/>
  <c r="O1230" i="1" s="1"/>
  <c r="M1230" i="1"/>
  <c r="J1230" i="1"/>
  <c r="I1230" i="1"/>
  <c r="F1230" i="1"/>
  <c r="E1230" i="1"/>
  <c r="BN1229" i="1"/>
  <c r="BL1229" i="1"/>
  <c r="BJ1229" i="1"/>
  <c r="BI1229" i="1"/>
  <c r="BF1229" i="1"/>
  <c r="BE1229" i="1"/>
  <c r="BC1229" i="1"/>
  <c r="BB1229" i="1"/>
  <c r="BA1229" i="1"/>
  <c r="AX1229" i="1"/>
  <c r="AY1229" i="1" s="1"/>
  <c r="AW1229" i="1"/>
  <c r="AT1229" i="1"/>
  <c r="AS1229" i="1"/>
  <c r="AR1229" i="1"/>
  <c r="AP1229" i="1"/>
  <c r="AO1229" i="1"/>
  <c r="AL1229" i="1"/>
  <c r="AK1229" i="1"/>
  <c r="AI1229" i="1"/>
  <c r="AH1229" i="1"/>
  <c r="AF1229" i="1"/>
  <c r="AG1229" i="1" s="1"/>
  <c r="AE1229" i="1"/>
  <c r="AD1229" i="1"/>
  <c r="AB1229" i="1"/>
  <c r="AC1229" i="1" s="1"/>
  <c r="AA1229" i="1"/>
  <c r="Z1229" i="1"/>
  <c r="Y1229" i="1"/>
  <c r="W1229" i="1"/>
  <c r="V1229" i="1"/>
  <c r="U1229" i="1"/>
  <c r="R1229" i="1"/>
  <c r="S1229" i="1" s="1"/>
  <c r="Q1229" i="1"/>
  <c r="O1229" i="1"/>
  <c r="N1229" i="1"/>
  <c r="M1229" i="1"/>
  <c r="K1229" i="1"/>
  <c r="J1229" i="1"/>
  <c r="I1229" i="1"/>
  <c r="F1229" i="1"/>
  <c r="G1229" i="1" s="1"/>
  <c r="E1229" i="1"/>
  <c r="BN1228" i="1"/>
  <c r="BM1228" i="1"/>
  <c r="BL1228" i="1"/>
  <c r="BJ1228" i="1"/>
  <c r="BI1228" i="1"/>
  <c r="BF1228" i="1"/>
  <c r="BG1228" i="1" s="1"/>
  <c r="BE1228" i="1"/>
  <c r="BB1228" i="1"/>
  <c r="BA1228" i="1"/>
  <c r="AX1228" i="1"/>
  <c r="AW1228" i="1"/>
  <c r="AU1228" i="1"/>
  <c r="AT1228" i="1"/>
  <c r="AR1228" i="1"/>
  <c r="AS1228" i="1" s="1"/>
  <c r="AQ1228" i="1"/>
  <c r="AP1228" i="1"/>
  <c r="AO1228" i="1"/>
  <c r="AL1228" i="1"/>
  <c r="AM1228" i="1" s="1"/>
  <c r="AK1228" i="1"/>
  <c r="AH1228" i="1"/>
  <c r="AG1228" i="1"/>
  <c r="AF1228" i="1"/>
  <c r="AD1228" i="1"/>
  <c r="AE1228" i="1" s="1"/>
  <c r="AC1228" i="1"/>
  <c r="AB1228" i="1"/>
  <c r="Z1228" i="1"/>
  <c r="Y1228" i="1"/>
  <c r="V1228" i="1"/>
  <c r="U1228" i="1"/>
  <c r="S1228" i="1"/>
  <c r="R1228" i="1"/>
  <c r="Q1228" i="1"/>
  <c r="N1228" i="1"/>
  <c r="O1228" i="1" s="1"/>
  <c r="M1228" i="1"/>
  <c r="J1228" i="1"/>
  <c r="I1228" i="1"/>
  <c r="G1228" i="1"/>
  <c r="F1228" i="1"/>
  <c r="E1228" i="1"/>
  <c r="BN1227" i="1"/>
  <c r="BL1227" i="1"/>
  <c r="BJ1227" i="1"/>
  <c r="BM1227" i="1" s="1"/>
  <c r="BI1227" i="1"/>
  <c r="BG1227" i="1"/>
  <c r="BF1227" i="1"/>
  <c r="BE1227" i="1"/>
  <c r="BC1227" i="1"/>
  <c r="BB1227" i="1"/>
  <c r="BA1227" i="1"/>
  <c r="AX1227" i="1"/>
  <c r="AY1227" i="1" s="1"/>
  <c r="AW1227" i="1"/>
  <c r="AT1227" i="1"/>
  <c r="AS1227" i="1"/>
  <c r="AR1227" i="1"/>
  <c r="AP1227" i="1"/>
  <c r="AQ1227" i="1" s="1"/>
  <c r="AO1227" i="1"/>
  <c r="AM1227" i="1"/>
  <c r="AL1227" i="1"/>
  <c r="AK1227" i="1"/>
  <c r="AI1227" i="1"/>
  <c r="AH1227" i="1"/>
  <c r="AF1227" i="1"/>
  <c r="AG1227" i="1" s="1"/>
  <c r="AE1227" i="1"/>
  <c r="AD1227" i="1"/>
  <c r="AB1227" i="1"/>
  <c r="AC1227" i="1" s="1"/>
  <c r="AA1227" i="1"/>
  <c r="Z1227" i="1"/>
  <c r="Y1227" i="1"/>
  <c r="V1227" i="1"/>
  <c r="W1227" i="1" s="1"/>
  <c r="U1227" i="1"/>
  <c r="R1227" i="1"/>
  <c r="Q1227" i="1"/>
  <c r="N1227" i="1"/>
  <c r="M1227" i="1"/>
  <c r="K1227" i="1"/>
  <c r="J1227" i="1"/>
  <c r="I1227" i="1"/>
  <c r="F1227" i="1"/>
  <c r="G1227" i="1" s="1"/>
  <c r="E1227" i="1"/>
  <c r="BN1226" i="1"/>
  <c r="BL1226" i="1"/>
  <c r="BJ1226" i="1"/>
  <c r="BM1226" i="1" s="1"/>
  <c r="BI1226" i="1"/>
  <c r="BG1226" i="1"/>
  <c r="BF1226" i="1"/>
  <c r="BE1226" i="1"/>
  <c r="BB1226" i="1"/>
  <c r="BA1226" i="1"/>
  <c r="AY1226" i="1"/>
  <c r="AX1226" i="1"/>
  <c r="AW1226" i="1"/>
  <c r="AU1226" i="1"/>
  <c r="AT1226" i="1"/>
  <c r="AS1226" i="1"/>
  <c r="AP1226" i="1"/>
  <c r="AQ1226" i="1" s="1"/>
  <c r="AO1226" i="1"/>
  <c r="AL1226" i="1"/>
  <c r="AK1226" i="1"/>
  <c r="AH1226" i="1"/>
  <c r="AG1226" i="1"/>
  <c r="AE1226" i="1"/>
  <c r="AD1226" i="1"/>
  <c r="AC1226" i="1"/>
  <c r="Z1226" i="1"/>
  <c r="AA1226" i="1" s="1"/>
  <c r="Y1226" i="1"/>
  <c r="V1226" i="1"/>
  <c r="U1226" i="1"/>
  <c r="S1226" i="1"/>
  <c r="R1226" i="1"/>
  <c r="Q1226" i="1"/>
  <c r="O1226" i="1"/>
  <c r="N1226" i="1"/>
  <c r="M1226" i="1"/>
  <c r="J1226" i="1"/>
  <c r="K1226" i="1" s="1"/>
  <c r="I1226" i="1"/>
  <c r="F1226" i="1"/>
  <c r="G1226" i="1" s="1"/>
  <c r="E1226" i="1"/>
  <c r="BN1225" i="1"/>
  <c r="BL1225" i="1"/>
  <c r="BJ1225" i="1"/>
  <c r="BM1225" i="1" s="1"/>
  <c r="BI1225" i="1"/>
  <c r="BF1225" i="1"/>
  <c r="BE1225" i="1"/>
  <c r="BB1225" i="1"/>
  <c r="BA1225" i="1"/>
  <c r="AY1225" i="1"/>
  <c r="AX1225" i="1"/>
  <c r="AW1225" i="1"/>
  <c r="AU1225" i="1"/>
  <c r="AT1225" i="1"/>
  <c r="AS1225" i="1"/>
  <c r="AP1225" i="1"/>
  <c r="AQ1225" i="1" s="1"/>
  <c r="AO1225" i="1"/>
  <c r="AM1225" i="1"/>
  <c r="AL1225" i="1"/>
  <c r="AK1225" i="1"/>
  <c r="AI1225" i="1"/>
  <c r="AH1225" i="1"/>
  <c r="AG1225" i="1"/>
  <c r="AD1225" i="1"/>
  <c r="AE1225" i="1" s="1"/>
  <c r="AC1225" i="1"/>
  <c r="Z1225" i="1"/>
  <c r="Y1225" i="1"/>
  <c r="V1225" i="1"/>
  <c r="U1225" i="1"/>
  <c r="S1225" i="1"/>
  <c r="R1225" i="1"/>
  <c r="Q1225" i="1"/>
  <c r="O1225" i="1"/>
  <c r="N1225" i="1"/>
  <c r="M1225" i="1"/>
  <c r="J1225" i="1"/>
  <c r="K1225" i="1" s="1"/>
  <c r="I1225" i="1"/>
  <c r="G1225" i="1"/>
  <c r="F1225" i="1"/>
  <c r="E1225" i="1"/>
  <c r="BN1224" i="1"/>
  <c r="BL1224" i="1"/>
  <c r="BJ1224" i="1"/>
  <c r="BI1224" i="1"/>
  <c r="BG1224" i="1"/>
  <c r="BF1224" i="1"/>
  <c r="BE1224" i="1"/>
  <c r="BC1224" i="1"/>
  <c r="BB1224" i="1"/>
  <c r="BA1224" i="1"/>
  <c r="AX1224" i="1"/>
  <c r="AY1224" i="1" s="1"/>
  <c r="AW1224" i="1"/>
  <c r="AT1224" i="1"/>
  <c r="AS1224" i="1"/>
  <c r="AP1224" i="1"/>
  <c r="AO1224" i="1"/>
  <c r="AM1224" i="1"/>
  <c r="AL1224" i="1"/>
  <c r="AK1224" i="1"/>
  <c r="AI1224" i="1"/>
  <c r="AH1224" i="1"/>
  <c r="AG1224" i="1"/>
  <c r="AD1224" i="1"/>
  <c r="AE1224" i="1" s="1"/>
  <c r="AC1224" i="1"/>
  <c r="AA1224" i="1"/>
  <c r="Z1224" i="1"/>
  <c r="Y1224" i="1"/>
  <c r="W1224" i="1"/>
  <c r="V1224" i="1"/>
  <c r="U1224" i="1"/>
  <c r="R1224" i="1"/>
  <c r="S1224" i="1" s="1"/>
  <c r="Q1224" i="1"/>
  <c r="N1224" i="1"/>
  <c r="M1224" i="1"/>
  <c r="J1224" i="1"/>
  <c r="I1224" i="1"/>
  <c r="G1224" i="1"/>
  <c r="F1224" i="1"/>
  <c r="E1224" i="1"/>
  <c r="BN1223" i="1"/>
  <c r="BM1223" i="1"/>
  <c r="BL1223" i="1"/>
  <c r="BJ1223" i="1"/>
  <c r="BI1223" i="1"/>
  <c r="BG1223" i="1"/>
  <c r="BF1223" i="1"/>
  <c r="BE1223" i="1"/>
  <c r="BB1223" i="1"/>
  <c r="BC1223" i="1" s="1"/>
  <c r="BA1223" i="1"/>
  <c r="AX1223" i="1"/>
  <c r="AW1223" i="1"/>
  <c r="AU1223" i="1"/>
  <c r="AT1223" i="1"/>
  <c r="AS1223" i="1"/>
  <c r="AQ1223" i="1"/>
  <c r="AP1223" i="1"/>
  <c r="AO1223" i="1"/>
  <c r="AL1223" i="1"/>
  <c r="AM1223" i="1" s="1"/>
  <c r="AK1223" i="1"/>
  <c r="AH1223" i="1"/>
  <c r="AG1223" i="1"/>
  <c r="AD1223" i="1"/>
  <c r="AC1223" i="1"/>
  <c r="AA1223" i="1"/>
  <c r="Z1223" i="1"/>
  <c r="Y1223" i="1"/>
  <c r="W1223" i="1"/>
  <c r="V1223" i="1"/>
  <c r="U1223" i="1"/>
  <c r="R1223" i="1"/>
  <c r="S1223" i="1" s="1"/>
  <c r="Q1223" i="1"/>
  <c r="O1223" i="1"/>
  <c r="N1223" i="1"/>
  <c r="M1223" i="1"/>
  <c r="K1223" i="1"/>
  <c r="J1223" i="1"/>
  <c r="I1223" i="1"/>
  <c r="F1223" i="1"/>
  <c r="G1223" i="1" s="1"/>
  <c r="E1223" i="1"/>
  <c r="BN1222" i="1"/>
  <c r="BM1222" i="1"/>
  <c r="BL1222" i="1"/>
  <c r="BJ1222" i="1"/>
  <c r="BI1222" i="1"/>
  <c r="BF1222" i="1"/>
  <c r="BG1222" i="1" s="1"/>
  <c r="BE1222" i="1"/>
  <c r="BB1222" i="1"/>
  <c r="BA1222" i="1"/>
  <c r="AX1222" i="1"/>
  <c r="AW1222" i="1"/>
  <c r="AU1222" i="1"/>
  <c r="AT1222" i="1"/>
  <c r="AS1222" i="1"/>
  <c r="AQ1222" i="1"/>
  <c r="AP1222" i="1"/>
  <c r="AO1222" i="1"/>
  <c r="AL1222" i="1"/>
  <c r="AK1222" i="1"/>
  <c r="AI1222" i="1"/>
  <c r="AH1222" i="1"/>
  <c r="AG1222" i="1"/>
  <c r="AE1222" i="1"/>
  <c r="AD1222" i="1"/>
  <c r="AC1222" i="1"/>
  <c r="Z1222" i="1"/>
  <c r="AA1222" i="1" s="1"/>
  <c r="Y1222" i="1"/>
  <c r="V1222" i="1"/>
  <c r="U1222" i="1"/>
  <c r="R1222" i="1"/>
  <c r="Q1222" i="1"/>
  <c r="N1222" i="1"/>
  <c r="O1222" i="1" s="1"/>
  <c r="M1222" i="1"/>
  <c r="J1222" i="1"/>
  <c r="K1222" i="1" s="1"/>
  <c r="I1222" i="1"/>
  <c r="F1222" i="1"/>
  <c r="E1222" i="1"/>
  <c r="BN1221" i="1"/>
  <c r="BL1221" i="1"/>
  <c r="BJ1221" i="1"/>
  <c r="BI1221" i="1"/>
  <c r="BF1221" i="1"/>
  <c r="BG1221" i="1" s="1"/>
  <c r="BE1221" i="1"/>
  <c r="BC1221" i="1"/>
  <c r="BB1221" i="1"/>
  <c r="BA1221" i="1"/>
  <c r="AY1221" i="1"/>
  <c r="AX1221" i="1"/>
  <c r="AW1221" i="1"/>
  <c r="AT1221" i="1"/>
  <c r="AU1221" i="1" s="1"/>
  <c r="AS1221" i="1"/>
  <c r="AP1221" i="1"/>
  <c r="AO1221" i="1"/>
  <c r="AL1221" i="1"/>
  <c r="AK1221" i="1"/>
  <c r="AH1221" i="1"/>
  <c r="AE1221" i="1" s="1"/>
  <c r="AG1221" i="1"/>
  <c r="AD1221" i="1"/>
  <c r="AC1221" i="1"/>
  <c r="Z1221" i="1"/>
  <c r="AA1221" i="1" s="1"/>
  <c r="Y1221" i="1"/>
  <c r="W1221" i="1"/>
  <c r="V1221" i="1"/>
  <c r="U1221" i="1"/>
  <c r="S1221" i="1"/>
  <c r="R1221" i="1"/>
  <c r="Q1221" i="1"/>
  <c r="N1221" i="1"/>
  <c r="O1221" i="1" s="1"/>
  <c r="M1221" i="1"/>
  <c r="J1221" i="1"/>
  <c r="I1221" i="1"/>
  <c r="F1221" i="1"/>
  <c r="E1221" i="1"/>
  <c r="BN1220" i="1"/>
  <c r="BL1220" i="1"/>
  <c r="BJ1220" i="1"/>
  <c r="BG1220" i="1" s="1"/>
  <c r="BI1220" i="1"/>
  <c r="BF1220" i="1"/>
  <c r="BE1220" i="1"/>
  <c r="BC1220" i="1"/>
  <c r="BB1220" i="1"/>
  <c r="BA1220" i="1"/>
  <c r="AX1220" i="1"/>
  <c r="AY1220" i="1" s="1"/>
  <c r="AW1220" i="1"/>
  <c r="AT1220" i="1"/>
  <c r="AS1220" i="1"/>
  <c r="AP1220" i="1"/>
  <c r="AO1220" i="1"/>
  <c r="AM1220" i="1"/>
  <c r="AL1220" i="1"/>
  <c r="AK1220" i="1"/>
  <c r="AH1220" i="1"/>
  <c r="AI1220" i="1" s="1"/>
  <c r="AG1220" i="1"/>
  <c r="AD1220" i="1"/>
  <c r="AC1220" i="1"/>
  <c r="Z1220" i="1"/>
  <c r="Y1220" i="1"/>
  <c r="V1220" i="1"/>
  <c r="S1220" i="1" s="1"/>
  <c r="U1220" i="1"/>
  <c r="R1220" i="1"/>
  <c r="Q1220" i="1"/>
  <c r="N1220" i="1"/>
  <c r="O1220" i="1" s="1"/>
  <c r="M1220" i="1"/>
  <c r="J1220" i="1"/>
  <c r="I1220" i="1"/>
  <c r="G1220" i="1"/>
  <c r="F1220" i="1"/>
  <c r="E1220" i="1"/>
  <c r="BN1219" i="1"/>
  <c r="BM1219" i="1"/>
  <c r="BL1219" i="1"/>
  <c r="BJ1219" i="1"/>
  <c r="BI1219" i="1"/>
  <c r="BG1219" i="1"/>
  <c r="BF1219" i="1"/>
  <c r="BE1219" i="1"/>
  <c r="BB1219" i="1"/>
  <c r="BC1219" i="1" s="1"/>
  <c r="BA1219" i="1"/>
  <c r="AX1219" i="1"/>
  <c r="AW1219" i="1"/>
  <c r="AT1219" i="1"/>
  <c r="AS1219" i="1"/>
  <c r="AQ1219" i="1"/>
  <c r="AP1219" i="1"/>
  <c r="AO1219" i="1"/>
  <c r="AL1219" i="1"/>
  <c r="AM1219" i="1" s="1"/>
  <c r="AK1219" i="1"/>
  <c r="AH1219" i="1"/>
  <c r="AG1219" i="1"/>
  <c r="AE1219" i="1"/>
  <c r="AD1219" i="1"/>
  <c r="AC1219" i="1"/>
  <c r="AA1219" i="1"/>
  <c r="Z1219" i="1"/>
  <c r="Y1219" i="1"/>
  <c r="W1219" i="1"/>
  <c r="V1219" i="1"/>
  <c r="U1219" i="1"/>
  <c r="R1219" i="1"/>
  <c r="Q1219" i="1"/>
  <c r="N1219" i="1"/>
  <c r="M1219" i="1"/>
  <c r="K1219" i="1"/>
  <c r="J1219" i="1"/>
  <c r="I1219" i="1"/>
  <c r="G1219" i="1"/>
  <c r="F1219" i="1"/>
  <c r="E1219" i="1"/>
  <c r="BN1218" i="1"/>
  <c r="BM1218" i="1"/>
  <c r="BL1218" i="1"/>
  <c r="BJ1218" i="1"/>
  <c r="BI1218" i="1"/>
  <c r="BG1218" i="1"/>
  <c r="BF1218" i="1"/>
  <c r="BE1218" i="1"/>
  <c r="BB1218" i="1"/>
  <c r="BA1218" i="1"/>
  <c r="AY1218" i="1"/>
  <c r="AX1218" i="1"/>
  <c r="AW1218" i="1"/>
  <c r="AU1218" i="1"/>
  <c r="AT1218" i="1"/>
  <c r="AS1218" i="1"/>
  <c r="AP1218" i="1"/>
  <c r="AQ1218" i="1" s="1"/>
  <c r="AO1218" i="1"/>
  <c r="AL1218" i="1"/>
  <c r="AK1218" i="1"/>
  <c r="AI1218" i="1"/>
  <c r="AH1218" i="1"/>
  <c r="AG1218" i="1"/>
  <c r="AD1218" i="1"/>
  <c r="AA1218" i="1" s="1"/>
  <c r="AC1218" i="1"/>
  <c r="Z1218" i="1"/>
  <c r="Y1218" i="1"/>
  <c r="V1218" i="1"/>
  <c r="W1218" i="1" s="1"/>
  <c r="U1218" i="1"/>
  <c r="R1218" i="1"/>
  <c r="Q1218" i="1"/>
  <c r="O1218" i="1"/>
  <c r="N1218" i="1"/>
  <c r="M1218" i="1"/>
  <c r="J1218" i="1"/>
  <c r="K1218" i="1" s="1"/>
  <c r="I1218" i="1"/>
  <c r="F1218" i="1"/>
  <c r="E1218" i="1"/>
  <c r="BN1217" i="1"/>
  <c r="BL1217" i="1"/>
  <c r="BJ1217" i="1"/>
  <c r="BM1217" i="1" s="1"/>
  <c r="BI1217" i="1"/>
  <c r="BF1217" i="1"/>
  <c r="BG1217" i="1" s="1"/>
  <c r="BE1217" i="1"/>
  <c r="BB1217" i="1"/>
  <c r="BA1217" i="1"/>
  <c r="AX1217" i="1"/>
  <c r="AY1217" i="1" s="1"/>
  <c r="AW1217" i="1"/>
  <c r="AU1217" i="1"/>
  <c r="AT1217" i="1"/>
  <c r="AS1217" i="1"/>
  <c r="AP1217" i="1"/>
  <c r="AO1217" i="1"/>
  <c r="AL1217" i="1"/>
  <c r="AK1217" i="1"/>
  <c r="AI1217" i="1"/>
  <c r="AH1217" i="1"/>
  <c r="AG1217" i="1"/>
  <c r="AE1217" i="1"/>
  <c r="AD1217" i="1"/>
  <c r="AC1217" i="1"/>
  <c r="Z1217" i="1"/>
  <c r="AA1217" i="1" s="1"/>
  <c r="Y1217" i="1"/>
  <c r="W1217" i="1"/>
  <c r="V1217" i="1"/>
  <c r="U1217" i="1"/>
  <c r="S1217" i="1"/>
  <c r="R1217" i="1"/>
  <c r="Q1217" i="1"/>
  <c r="O1217" i="1"/>
  <c r="N1217" i="1"/>
  <c r="M1217" i="1"/>
  <c r="J1217" i="1"/>
  <c r="I1217" i="1"/>
  <c r="G1217" i="1"/>
  <c r="F1217" i="1"/>
  <c r="E1217" i="1"/>
  <c r="BN1216" i="1"/>
  <c r="BM1216" i="1" s="1"/>
  <c r="BL1216" i="1"/>
  <c r="BJ1216" i="1"/>
  <c r="BI1216" i="1"/>
  <c r="BG1216" i="1"/>
  <c r="BF1216" i="1"/>
  <c r="BE1216" i="1"/>
  <c r="BC1216" i="1"/>
  <c r="BB1216" i="1"/>
  <c r="BA1216" i="1"/>
  <c r="AX1216" i="1"/>
  <c r="AY1216" i="1" s="1"/>
  <c r="AW1216" i="1"/>
  <c r="AT1216" i="1"/>
  <c r="AS1216" i="1"/>
  <c r="AQ1216" i="1"/>
  <c r="AP1216" i="1"/>
  <c r="AO1216" i="1"/>
  <c r="AL1216" i="1"/>
  <c r="AI1216" i="1" s="1"/>
  <c r="AK1216" i="1"/>
  <c r="AH1216" i="1"/>
  <c r="AG1216" i="1"/>
  <c r="AD1216" i="1"/>
  <c r="AE1216" i="1" s="1"/>
  <c r="AC1216" i="1"/>
  <c r="Z1216" i="1"/>
  <c r="Y1216" i="1"/>
  <c r="W1216" i="1"/>
  <c r="V1216" i="1"/>
  <c r="U1216" i="1"/>
  <c r="R1216" i="1"/>
  <c r="S1216" i="1" s="1"/>
  <c r="Q1216" i="1"/>
  <c r="N1216" i="1"/>
  <c r="M1216" i="1"/>
  <c r="J1216" i="1"/>
  <c r="I1216" i="1"/>
  <c r="F1216" i="1"/>
  <c r="G1216" i="1" s="1"/>
  <c r="E1216" i="1"/>
  <c r="BN1215" i="1"/>
  <c r="BM1215" i="1"/>
  <c r="BL1215" i="1"/>
  <c r="BJ1215" i="1"/>
  <c r="BI1215" i="1"/>
  <c r="BF1215" i="1"/>
  <c r="BG1215" i="1" s="1"/>
  <c r="BE1215" i="1"/>
  <c r="BB1215" i="1"/>
  <c r="BC1215" i="1" s="1"/>
  <c r="BA1215" i="1"/>
  <c r="AX1215" i="1"/>
  <c r="AW1215" i="1"/>
  <c r="AU1215" i="1"/>
  <c r="AT1215" i="1"/>
  <c r="AS1215" i="1"/>
  <c r="AP1215" i="1"/>
  <c r="AQ1215" i="1" s="1"/>
  <c r="AO1215" i="1"/>
  <c r="AL1215" i="1"/>
  <c r="AM1215" i="1" s="1"/>
  <c r="AK1215" i="1"/>
  <c r="AH1215" i="1"/>
  <c r="AI1215" i="1" s="1"/>
  <c r="AG1215" i="1"/>
  <c r="AD1215" i="1"/>
  <c r="AC1215" i="1"/>
  <c r="Z1215" i="1"/>
  <c r="AA1215" i="1" s="1"/>
  <c r="Y1215" i="1"/>
  <c r="W1215" i="1"/>
  <c r="V1215" i="1"/>
  <c r="U1215" i="1"/>
  <c r="R1215" i="1"/>
  <c r="Q1215" i="1"/>
  <c r="N1215" i="1"/>
  <c r="M1215" i="1"/>
  <c r="K1215" i="1"/>
  <c r="J1215" i="1"/>
  <c r="I1215" i="1"/>
  <c r="G1215" i="1"/>
  <c r="F1215" i="1"/>
  <c r="E1215" i="1"/>
  <c r="BN1214" i="1"/>
  <c r="BM1214" i="1"/>
  <c r="BL1214" i="1"/>
  <c r="BJ1214" i="1"/>
  <c r="BI1214" i="1"/>
  <c r="BG1214" i="1"/>
  <c r="BF1214" i="1"/>
  <c r="BE1214" i="1"/>
  <c r="BB1214" i="1"/>
  <c r="BC1214" i="1" s="1"/>
  <c r="BA1214" i="1"/>
  <c r="AY1214" i="1"/>
  <c r="AX1214" i="1"/>
  <c r="AW1214" i="1"/>
  <c r="AU1214" i="1"/>
  <c r="AT1214" i="1"/>
  <c r="AS1214" i="1"/>
  <c r="AQ1214" i="1"/>
  <c r="AP1214" i="1"/>
  <c r="AO1214" i="1"/>
  <c r="AL1214" i="1"/>
  <c r="AK1214" i="1"/>
  <c r="AI1214" i="1"/>
  <c r="AH1214" i="1"/>
  <c r="AG1214" i="1"/>
  <c r="AE1214" i="1"/>
  <c r="AD1214" i="1"/>
  <c r="AC1214" i="1"/>
  <c r="Z1214" i="1"/>
  <c r="AA1214" i="1" s="1"/>
  <c r="Y1214" i="1"/>
  <c r="V1214" i="1"/>
  <c r="U1214" i="1"/>
  <c r="S1214" i="1"/>
  <c r="R1214" i="1"/>
  <c r="Q1214" i="1"/>
  <c r="N1214" i="1"/>
  <c r="K1214" i="1" s="1"/>
  <c r="M1214" i="1"/>
  <c r="J1214" i="1"/>
  <c r="I1214" i="1"/>
  <c r="F1214" i="1"/>
  <c r="G1214" i="1" s="1"/>
  <c r="E1214" i="1"/>
  <c r="BN1213" i="1"/>
  <c r="BL1213" i="1"/>
  <c r="BJ1213" i="1"/>
  <c r="BM1213" i="1" s="1"/>
  <c r="BI1213" i="1"/>
  <c r="BF1213" i="1"/>
  <c r="BE1213" i="1"/>
  <c r="BC1213" i="1"/>
  <c r="BB1213" i="1"/>
  <c r="BA1213" i="1"/>
  <c r="AX1213" i="1"/>
  <c r="AY1213" i="1" s="1"/>
  <c r="AW1213" i="1"/>
  <c r="AT1213" i="1"/>
  <c r="AU1213" i="1" s="1"/>
  <c r="AS1213" i="1"/>
  <c r="AP1213" i="1"/>
  <c r="AQ1213" i="1" s="1"/>
  <c r="AO1213" i="1"/>
  <c r="AL1213" i="1"/>
  <c r="AK1213" i="1"/>
  <c r="AH1213" i="1"/>
  <c r="AI1213" i="1" s="1"/>
  <c r="AG1213" i="1"/>
  <c r="AE1213" i="1"/>
  <c r="AD1213" i="1"/>
  <c r="AC1213" i="1"/>
  <c r="Z1213" i="1"/>
  <c r="Y1213" i="1"/>
  <c r="V1213" i="1"/>
  <c r="U1213" i="1"/>
  <c r="S1213" i="1"/>
  <c r="R1213" i="1"/>
  <c r="Q1213" i="1"/>
  <c r="O1213" i="1"/>
  <c r="N1213" i="1"/>
  <c r="M1213" i="1"/>
  <c r="J1213" i="1"/>
  <c r="K1213" i="1" s="1"/>
  <c r="I1213" i="1"/>
  <c r="G1213" i="1"/>
  <c r="F1213" i="1"/>
  <c r="E1213" i="1"/>
  <c r="BN1212" i="1"/>
  <c r="BL1212" i="1"/>
  <c r="BJ1212" i="1"/>
  <c r="BI1212" i="1"/>
  <c r="BG1212" i="1"/>
  <c r="BF1212" i="1"/>
  <c r="BE1212" i="1"/>
  <c r="BC1212" i="1"/>
  <c r="BB1212" i="1"/>
  <c r="BA1212" i="1"/>
  <c r="AX1212" i="1"/>
  <c r="AY1212" i="1" s="1"/>
  <c r="AW1212" i="1"/>
  <c r="AT1212" i="1"/>
  <c r="AS1212" i="1"/>
  <c r="AQ1212" i="1"/>
  <c r="AP1212" i="1"/>
  <c r="AO1212" i="1"/>
  <c r="AL1212" i="1"/>
  <c r="AM1212" i="1" s="1"/>
  <c r="AK1212" i="1"/>
  <c r="AH1212" i="1"/>
  <c r="AI1212" i="1" s="1"/>
  <c r="AG1212" i="1"/>
  <c r="AD1212" i="1"/>
  <c r="AC1212" i="1"/>
  <c r="AA1212" i="1"/>
  <c r="Z1212" i="1"/>
  <c r="Y1212" i="1"/>
  <c r="V1212" i="1"/>
  <c r="S1212" i="1" s="1"/>
  <c r="U1212" i="1"/>
  <c r="R1212" i="1"/>
  <c r="Q1212" i="1"/>
  <c r="N1212" i="1"/>
  <c r="O1212" i="1" s="1"/>
  <c r="M1212" i="1"/>
  <c r="J1212" i="1"/>
  <c r="I1212" i="1"/>
  <c r="G1212" i="1"/>
  <c r="F1212" i="1"/>
  <c r="E1212" i="1"/>
  <c r="BN1211" i="1"/>
  <c r="BM1211" i="1"/>
  <c r="BL1211" i="1"/>
  <c r="BJ1211" i="1"/>
  <c r="BI1211" i="1"/>
  <c r="BG1211" i="1"/>
  <c r="BF1211" i="1"/>
  <c r="BE1211" i="1"/>
  <c r="BB1211" i="1"/>
  <c r="BC1211" i="1" s="1"/>
  <c r="BA1211" i="1"/>
  <c r="AX1211" i="1"/>
  <c r="AW1211" i="1"/>
  <c r="AT1211" i="1"/>
  <c r="AS1211" i="1"/>
  <c r="AP1211" i="1"/>
  <c r="AQ1211" i="1" s="1"/>
  <c r="AO1211" i="1"/>
  <c r="AL1211" i="1"/>
  <c r="AM1211" i="1" s="1"/>
  <c r="AK1211" i="1"/>
  <c r="AH1211" i="1"/>
  <c r="AG1211" i="1"/>
  <c r="AE1211" i="1"/>
  <c r="AD1211" i="1"/>
  <c r="AC1211" i="1"/>
  <c r="Z1211" i="1"/>
  <c r="AA1211" i="1" s="1"/>
  <c r="Y1211" i="1"/>
  <c r="V1211" i="1"/>
  <c r="W1211" i="1" s="1"/>
  <c r="U1211" i="1"/>
  <c r="R1211" i="1"/>
  <c r="S1211" i="1" s="1"/>
  <c r="Q1211" i="1"/>
  <c r="N1211" i="1"/>
  <c r="M1211" i="1"/>
  <c r="J1211" i="1"/>
  <c r="K1211" i="1" s="1"/>
  <c r="I1211" i="1"/>
  <c r="G1211" i="1"/>
  <c r="F1211" i="1"/>
  <c r="E1211" i="1"/>
  <c r="BN1210" i="1"/>
  <c r="BL1210" i="1"/>
  <c r="BJ1210" i="1"/>
  <c r="BM1210" i="1" s="1"/>
  <c r="BI1210" i="1"/>
  <c r="BG1210" i="1"/>
  <c r="BF1210" i="1"/>
  <c r="BE1210" i="1"/>
  <c r="BB1210" i="1"/>
  <c r="BA1210" i="1"/>
  <c r="AX1210" i="1"/>
  <c r="AW1210" i="1"/>
  <c r="AU1210" i="1"/>
  <c r="AT1210" i="1"/>
  <c r="AS1210" i="1"/>
  <c r="AQ1210" i="1"/>
  <c r="AP1210" i="1"/>
  <c r="AO1210" i="1"/>
  <c r="AL1210" i="1"/>
  <c r="AK1210" i="1"/>
  <c r="AI1210" i="1"/>
  <c r="AH1210" i="1"/>
  <c r="AG1210" i="1"/>
  <c r="AE1210" i="1"/>
  <c r="AD1210" i="1"/>
  <c r="AC1210" i="1"/>
  <c r="Z1210" i="1"/>
  <c r="AA1210" i="1" s="1"/>
  <c r="Y1210" i="1"/>
  <c r="V1210" i="1"/>
  <c r="U1210" i="1"/>
  <c r="S1210" i="1"/>
  <c r="R1210" i="1"/>
  <c r="Q1210" i="1"/>
  <c r="N1210" i="1"/>
  <c r="O1210" i="1" s="1"/>
  <c r="M1210" i="1"/>
  <c r="J1210" i="1"/>
  <c r="K1210" i="1" s="1"/>
  <c r="I1210" i="1"/>
  <c r="F1210" i="1"/>
  <c r="E1210" i="1"/>
  <c r="BN1209" i="1"/>
  <c r="BL1209" i="1"/>
  <c r="BJ1209" i="1"/>
  <c r="BM1209" i="1" s="1"/>
  <c r="BI1209" i="1"/>
  <c r="BF1209" i="1"/>
  <c r="BE1209" i="1"/>
  <c r="BB1209" i="1"/>
  <c r="BA1209" i="1"/>
  <c r="AX1209" i="1"/>
  <c r="AY1209" i="1" s="1"/>
  <c r="AW1209" i="1"/>
  <c r="AT1209" i="1"/>
  <c r="AU1209" i="1" s="1"/>
  <c r="AS1209" i="1"/>
  <c r="AP1209" i="1"/>
  <c r="AO1209" i="1"/>
  <c r="AM1209" i="1"/>
  <c r="AL1209" i="1"/>
  <c r="AK1209" i="1"/>
  <c r="AH1209" i="1"/>
  <c r="AI1209" i="1" s="1"/>
  <c r="AG1209" i="1"/>
  <c r="AD1209" i="1"/>
  <c r="AC1209" i="1"/>
  <c r="Z1209" i="1"/>
  <c r="AA1209" i="1" s="1"/>
  <c r="Y1209" i="1"/>
  <c r="V1209" i="1"/>
  <c r="U1209" i="1"/>
  <c r="R1209" i="1"/>
  <c r="S1209" i="1" s="1"/>
  <c r="Q1209" i="1"/>
  <c r="O1209" i="1"/>
  <c r="N1209" i="1"/>
  <c r="M1209" i="1"/>
  <c r="J1209" i="1"/>
  <c r="I1209" i="1"/>
  <c r="F1209" i="1"/>
  <c r="E1209" i="1"/>
  <c r="BN1208" i="1"/>
  <c r="BL1208" i="1"/>
  <c r="BJ1208" i="1"/>
  <c r="BI1208" i="1"/>
  <c r="BF1208" i="1"/>
  <c r="BE1208" i="1"/>
  <c r="BC1208" i="1"/>
  <c r="BB1208" i="1"/>
  <c r="BA1208" i="1"/>
  <c r="AY1208" i="1"/>
  <c r="AX1208" i="1"/>
  <c r="AW1208" i="1"/>
  <c r="AT1208" i="1"/>
  <c r="AS1208" i="1"/>
  <c r="AQ1208" i="1"/>
  <c r="AP1208" i="1"/>
  <c r="AO1208" i="1"/>
  <c r="AM1208" i="1"/>
  <c r="AL1208" i="1"/>
  <c r="AK1208" i="1"/>
  <c r="AH1208" i="1"/>
  <c r="AI1208" i="1" s="1"/>
  <c r="AG1208" i="1"/>
  <c r="AD1208" i="1"/>
  <c r="AC1208" i="1"/>
  <c r="AA1208" i="1"/>
  <c r="Z1208" i="1"/>
  <c r="Y1208" i="1"/>
  <c r="V1208" i="1"/>
  <c r="W1208" i="1" s="1"/>
  <c r="U1208" i="1"/>
  <c r="R1208" i="1"/>
  <c r="S1208" i="1" s="1"/>
  <c r="Q1208" i="1"/>
  <c r="N1208" i="1"/>
  <c r="K1208" i="1" s="1"/>
  <c r="M1208" i="1"/>
  <c r="J1208" i="1"/>
  <c r="I1208" i="1"/>
  <c r="F1208" i="1"/>
  <c r="G1208" i="1" s="1"/>
  <c r="E1208" i="1"/>
  <c r="BN1207" i="1"/>
  <c r="BM1207" i="1" s="1"/>
  <c r="BL1207" i="1"/>
  <c r="BJ1207" i="1"/>
  <c r="BI1207" i="1"/>
  <c r="BF1207" i="1"/>
  <c r="BC1207" i="1" s="1"/>
  <c r="BE1207" i="1"/>
  <c r="BB1207" i="1"/>
  <c r="BA1207" i="1"/>
  <c r="AX1207" i="1"/>
  <c r="AY1207" i="1" s="1"/>
  <c r="AW1207" i="1"/>
  <c r="AT1207" i="1"/>
  <c r="AS1207" i="1"/>
  <c r="AQ1207" i="1"/>
  <c r="AP1207" i="1"/>
  <c r="AO1207" i="1"/>
  <c r="AL1207" i="1"/>
  <c r="AM1207" i="1" s="1"/>
  <c r="AK1207" i="1"/>
  <c r="AH1207" i="1"/>
  <c r="AG1207" i="1"/>
  <c r="AD1207" i="1"/>
  <c r="AC1207" i="1"/>
  <c r="Z1207" i="1"/>
  <c r="AA1207" i="1" s="1"/>
  <c r="Y1207" i="1"/>
  <c r="V1207" i="1"/>
  <c r="W1207" i="1" s="1"/>
  <c r="U1207" i="1"/>
  <c r="R1207" i="1"/>
  <c r="Q1207" i="1"/>
  <c r="O1207" i="1"/>
  <c r="N1207" i="1"/>
  <c r="M1207" i="1"/>
  <c r="J1207" i="1"/>
  <c r="K1207" i="1" s="1"/>
  <c r="I1207" i="1"/>
  <c r="F1207" i="1"/>
  <c r="G1207" i="1" s="1"/>
  <c r="E1207" i="1"/>
  <c r="BN1206" i="1"/>
  <c r="BL1206" i="1"/>
  <c r="BJ1206" i="1"/>
  <c r="BM1206" i="1" s="1"/>
  <c r="BI1206" i="1"/>
  <c r="BF1206" i="1"/>
  <c r="BG1206" i="1" s="1"/>
  <c r="BE1206" i="1"/>
  <c r="BB1206" i="1"/>
  <c r="BC1206" i="1" s="1"/>
  <c r="BA1206" i="1"/>
  <c r="AX1206" i="1"/>
  <c r="AW1206" i="1"/>
  <c r="AT1206" i="1"/>
  <c r="AU1206" i="1" s="1"/>
  <c r="AS1206" i="1"/>
  <c r="AQ1206" i="1"/>
  <c r="AP1206" i="1"/>
  <c r="AO1206" i="1"/>
  <c r="AL1206" i="1"/>
  <c r="AK1206" i="1"/>
  <c r="AH1206" i="1"/>
  <c r="AG1206" i="1"/>
  <c r="AE1206" i="1"/>
  <c r="AD1206" i="1"/>
  <c r="AC1206" i="1"/>
  <c r="AA1206" i="1"/>
  <c r="Z1206" i="1"/>
  <c r="Y1206" i="1"/>
  <c r="V1206" i="1"/>
  <c r="U1206" i="1"/>
  <c r="S1206" i="1"/>
  <c r="R1206" i="1"/>
  <c r="Q1206" i="1"/>
  <c r="O1206" i="1"/>
  <c r="N1206" i="1"/>
  <c r="M1206" i="1"/>
  <c r="J1206" i="1"/>
  <c r="K1206" i="1" s="1"/>
  <c r="I1206" i="1"/>
  <c r="F1206" i="1"/>
  <c r="E1206" i="1"/>
  <c r="BN1205" i="1"/>
  <c r="BL1205" i="1"/>
  <c r="BJ1205" i="1"/>
  <c r="BI1205" i="1"/>
  <c r="BF1205" i="1"/>
  <c r="BG1205" i="1" s="1"/>
  <c r="BE1205" i="1"/>
  <c r="BB1205" i="1"/>
  <c r="BA1205" i="1"/>
  <c r="AY1205" i="1"/>
  <c r="AX1205" i="1"/>
  <c r="AW1205" i="1"/>
  <c r="AT1205" i="1"/>
  <c r="AU1205" i="1" s="1"/>
  <c r="AS1205" i="1"/>
  <c r="AP1205" i="1"/>
  <c r="AO1205" i="1"/>
  <c r="AL1205" i="1"/>
  <c r="AK1205" i="1"/>
  <c r="AH1205" i="1"/>
  <c r="AI1205" i="1" s="1"/>
  <c r="AG1205" i="1"/>
  <c r="AD1205" i="1"/>
  <c r="AE1205" i="1" s="1"/>
  <c r="AC1205" i="1"/>
  <c r="Z1205" i="1"/>
  <c r="Y1205" i="1"/>
  <c r="W1205" i="1"/>
  <c r="V1205" i="1"/>
  <c r="U1205" i="1"/>
  <c r="R1205" i="1"/>
  <c r="S1205" i="1" s="1"/>
  <c r="Q1205" i="1"/>
  <c r="N1205" i="1"/>
  <c r="M1205" i="1"/>
  <c r="J1205" i="1"/>
  <c r="K1205" i="1" s="1"/>
  <c r="I1205" i="1"/>
  <c r="F1205" i="1"/>
  <c r="E1205" i="1"/>
  <c r="BN1204" i="1"/>
  <c r="BL1204" i="1"/>
  <c r="BJ1204" i="1"/>
  <c r="BM1204" i="1" s="1"/>
  <c r="BI1204" i="1"/>
  <c r="BF1204" i="1"/>
  <c r="BE1204" i="1"/>
  <c r="BB1204" i="1"/>
  <c r="BC1204" i="1" s="1"/>
  <c r="BA1204" i="1"/>
  <c r="AY1204" i="1"/>
  <c r="AX1204" i="1"/>
  <c r="AW1204" i="1"/>
  <c r="AT1204" i="1"/>
  <c r="AS1204" i="1"/>
  <c r="AP1204" i="1"/>
  <c r="AO1204" i="1"/>
  <c r="AM1204" i="1"/>
  <c r="AL1204" i="1"/>
  <c r="AK1204" i="1"/>
  <c r="AI1204" i="1"/>
  <c r="AH1204" i="1"/>
  <c r="AG1204" i="1"/>
  <c r="AD1204" i="1"/>
  <c r="AC1204" i="1"/>
  <c r="AA1204" i="1"/>
  <c r="Z1204" i="1"/>
  <c r="Y1204" i="1"/>
  <c r="W1204" i="1"/>
  <c r="V1204" i="1"/>
  <c r="U1204" i="1"/>
  <c r="R1204" i="1"/>
  <c r="S1204" i="1" s="1"/>
  <c r="Q1204" i="1"/>
  <c r="N1204" i="1"/>
  <c r="M1204" i="1"/>
  <c r="K1204" i="1"/>
  <c r="J1204" i="1"/>
  <c r="I1204" i="1"/>
  <c r="F1204" i="1"/>
  <c r="G1204" i="1" s="1"/>
  <c r="E1204" i="1"/>
  <c r="BN1203" i="1"/>
  <c r="BM1203" i="1"/>
  <c r="BL1203" i="1"/>
  <c r="BJ1203" i="1"/>
  <c r="BI1203" i="1"/>
  <c r="BF1203" i="1"/>
  <c r="BG1203" i="1" s="1"/>
  <c r="BE1203" i="1"/>
  <c r="BB1203" i="1"/>
  <c r="BC1203" i="1" s="1"/>
  <c r="BA1203" i="1"/>
  <c r="AX1203" i="1"/>
  <c r="AU1203" i="1" s="1"/>
  <c r="AW1203" i="1"/>
  <c r="AT1203" i="1"/>
  <c r="AS1203" i="1"/>
  <c r="AP1203" i="1"/>
  <c r="AM1203" i="1" s="1"/>
  <c r="AO1203" i="1"/>
  <c r="AL1203" i="1"/>
  <c r="AK1203" i="1"/>
  <c r="AH1203" i="1"/>
  <c r="AI1203" i="1" s="1"/>
  <c r="AG1203" i="1"/>
  <c r="AD1203" i="1"/>
  <c r="AC1203" i="1"/>
  <c r="AA1203" i="1"/>
  <c r="Z1203" i="1"/>
  <c r="Y1203" i="1"/>
  <c r="V1203" i="1"/>
  <c r="W1203" i="1" s="1"/>
  <c r="U1203" i="1"/>
  <c r="R1203" i="1"/>
  <c r="Q1203" i="1"/>
  <c r="N1203" i="1"/>
  <c r="M1203" i="1"/>
  <c r="J1203" i="1"/>
  <c r="K1203" i="1" s="1"/>
  <c r="I1203" i="1"/>
  <c r="F1203" i="1"/>
  <c r="G1203" i="1" s="1"/>
  <c r="E1203" i="1"/>
  <c r="BN1202" i="1"/>
  <c r="BL1202" i="1"/>
  <c r="BJ1202" i="1"/>
  <c r="BM1202" i="1" s="1"/>
  <c r="BI1202" i="1"/>
  <c r="BF1202" i="1"/>
  <c r="BG1202" i="1" s="1"/>
  <c r="BE1202" i="1"/>
  <c r="BB1202" i="1"/>
  <c r="BA1202" i="1"/>
  <c r="AY1202" i="1"/>
  <c r="AX1202" i="1"/>
  <c r="AW1202" i="1"/>
  <c r="AT1202" i="1"/>
  <c r="AU1202" i="1" s="1"/>
  <c r="AS1202" i="1"/>
  <c r="AP1202" i="1"/>
  <c r="AQ1202" i="1" s="1"/>
  <c r="AO1202" i="1"/>
  <c r="AL1202" i="1"/>
  <c r="AM1202" i="1" s="1"/>
  <c r="AK1202" i="1"/>
  <c r="AH1202" i="1"/>
  <c r="AG1202" i="1"/>
  <c r="AD1202" i="1"/>
  <c r="AE1202" i="1" s="1"/>
  <c r="AC1202" i="1"/>
  <c r="AA1202" i="1"/>
  <c r="Z1202" i="1"/>
  <c r="Y1202" i="1"/>
  <c r="V1202" i="1"/>
  <c r="U1202" i="1"/>
  <c r="R1202" i="1"/>
  <c r="Q1202" i="1"/>
  <c r="O1202" i="1"/>
  <c r="N1202" i="1"/>
  <c r="M1202" i="1"/>
  <c r="K1202" i="1"/>
  <c r="J1202" i="1"/>
  <c r="I1202" i="1"/>
  <c r="F1202" i="1"/>
  <c r="E1202" i="1"/>
  <c r="BN1201" i="1"/>
  <c r="BL1201" i="1"/>
  <c r="BJ1201" i="1"/>
  <c r="BI1201" i="1"/>
  <c r="BF1201" i="1"/>
  <c r="BC1201" i="1" s="1"/>
  <c r="BE1201" i="1"/>
  <c r="BB1201" i="1"/>
  <c r="BA1201" i="1"/>
  <c r="AX1201" i="1"/>
  <c r="AU1201" i="1" s="1"/>
  <c r="AW1201" i="1"/>
  <c r="AT1201" i="1"/>
  <c r="AS1201" i="1"/>
  <c r="AP1201" i="1"/>
  <c r="AQ1201" i="1" s="1"/>
  <c r="AO1201" i="1"/>
  <c r="AL1201" i="1"/>
  <c r="AK1201" i="1"/>
  <c r="AI1201" i="1"/>
  <c r="AH1201" i="1"/>
  <c r="AF1201" i="1"/>
  <c r="AG1201" i="1" s="1"/>
  <c r="AD1201" i="1"/>
  <c r="AE1201" i="1" s="1"/>
  <c r="AC1201" i="1"/>
  <c r="Z1201" i="1"/>
  <c r="AA1201" i="1" s="1"/>
  <c r="Y1201" i="1"/>
  <c r="V1201" i="1"/>
  <c r="U1201" i="1"/>
  <c r="S1201" i="1"/>
  <c r="R1201" i="1"/>
  <c r="Q1201" i="1"/>
  <c r="N1201" i="1"/>
  <c r="O1201" i="1" s="1"/>
  <c r="M1201" i="1"/>
  <c r="J1201" i="1"/>
  <c r="I1201" i="1"/>
  <c r="F1201" i="1"/>
  <c r="G1201" i="1" s="1"/>
  <c r="E1201" i="1"/>
  <c r="BN1200" i="1"/>
  <c r="BL1200" i="1"/>
  <c r="BJ1200" i="1"/>
  <c r="BI1200" i="1"/>
  <c r="BF1200" i="1"/>
  <c r="BE1200" i="1"/>
  <c r="BC1200" i="1"/>
  <c r="BB1200" i="1"/>
  <c r="BA1200" i="1"/>
  <c r="AY1200" i="1"/>
  <c r="AX1200" i="1"/>
  <c r="AW1200" i="1"/>
  <c r="AT1200" i="1"/>
  <c r="AU1200" i="1" s="1"/>
  <c r="AS1200" i="1"/>
  <c r="AP1200" i="1"/>
  <c r="AO1200" i="1"/>
  <c r="AM1200" i="1"/>
  <c r="AL1200" i="1"/>
  <c r="AK1200" i="1"/>
  <c r="AH1200" i="1"/>
  <c r="AI1200" i="1" s="1"/>
  <c r="AF1200" i="1"/>
  <c r="AG1200" i="1" s="1"/>
  <c r="AD1200" i="1"/>
  <c r="AA1200" i="1" s="1"/>
  <c r="AC1200" i="1"/>
  <c r="Z1200" i="1"/>
  <c r="Y1200" i="1"/>
  <c r="V1200" i="1"/>
  <c r="W1200" i="1" s="1"/>
  <c r="U1200" i="1"/>
  <c r="R1200" i="1"/>
  <c r="Q1200" i="1"/>
  <c r="O1200" i="1"/>
  <c r="N1200" i="1"/>
  <c r="M1200" i="1"/>
  <c r="J1200" i="1"/>
  <c r="K1200" i="1" s="1"/>
  <c r="I1200" i="1"/>
  <c r="F1200" i="1"/>
  <c r="E1200" i="1"/>
  <c r="BN1199" i="1"/>
  <c r="BL1199" i="1"/>
  <c r="BJ1199" i="1"/>
  <c r="BI1199" i="1"/>
  <c r="BF1199" i="1"/>
  <c r="BG1199" i="1" s="1"/>
  <c r="BE1199" i="1"/>
  <c r="BB1199" i="1"/>
  <c r="BA1199" i="1"/>
  <c r="AX1199" i="1"/>
  <c r="AY1199" i="1" s="1"/>
  <c r="AW1199" i="1"/>
  <c r="AU1199" i="1"/>
  <c r="AT1199" i="1"/>
  <c r="AS1199" i="1"/>
  <c r="AP1199" i="1"/>
  <c r="AO1199" i="1"/>
  <c r="AL1199" i="1"/>
  <c r="AK1199" i="1"/>
  <c r="AI1199" i="1"/>
  <c r="AH1199" i="1"/>
  <c r="AF1199" i="1"/>
  <c r="AG1199" i="1" s="1"/>
  <c r="AE1199" i="1"/>
  <c r="AD1199" i="1"/>
  <c r="AC1199" i="1"/>
  <c r="Z1199" i="1"/>
  <c r="AA1199" i="1" s="1"/>
  <c r="Y1199" i="1"/>
  <c r="V1199" i="1"/>
  <c r="U1199" i="1"/>
  <c r="S1199" i="1"/>
  <c r="R1199" i="1"/>
  <c r="Q1199" i="1"/>
  <c r="N1199" i="1"/>
  <c r="O1199" i="1" s="1"/>
  <c r="M1199" i="1"/>
  <c r="J1199" i="1"/>
  <c r="K1199" i="1" s="1"/>
  <c r="I1199" i="1"/>
  <c r="F1199" i="1"/>
  <c r="E1199" i="1"/>
  <c r="BN1198" i="1"/>
  <c r="BL1198" i="1"/>
  <c r="BJ1198" i="1"/>
  <c r="BM1198" i="1" s="1"/>
  <c r="BI1198" i="1"/>
  <c r="BF1198" i="1"/>
  <c r="BE1198" i="1"/>
  <c r="BB1198" i="1"/>
  <c r="BA1198" i="1"/>
  <c r="AX1198" i="1"/>
  <c r="AY1198" i="1" s="1"/>
  <c r="AW1198" i="1"/>
  <c r="AT1198" i="1"/>
  <c r="AU1198" i="1" s="1"/>
  <c r="AS1198" i="1"/>
  <c r="AP1198" i="1"/>
  <c r="AO1198" i="1"/>
  <c r="AM1198" i="1"/>
  <c r="AL1198" i="1"/>
  <c r="AK1198" i="1"/>
  <c r="AH1198" i="1"/>
  <c r="AI1198" i="1" s="1"/>
  <c r="AG1198" i="1"/>
  <c r="AD1198" i="1"/>
  <c r="AE1198" i="1" s="1"/>
  <c r="AC1198" i="1"/>
  <c r="Z1198" i="1"/>
  <c r="AA1198" i="1" s="1"/>
  <c r="Y1198" i="1"/>
  <c r="V1198" i="1"/>
  <c r="U1198" i="1"/>
  <c r="R1198" i="1"/>
  <c r="S1198" i="1" s="1"/>
  <c r="Q1198" i="1"/>
  <c r="O1198" i="1"/>
  <c r="N1198" i="1"/>
  <c r="M1198" i="1"/>
  <c r="J1198" i="1"/>
  <c r="I1198" i="1"/>
  <c r="F1198" i="1"/>
  <c r="E1198" i="1"/>
  <c r="BN1197" i="1"/>
  <c r="BL1197" i="1"/>
  <c r="BJ1197" i="1"/>
  <c r="BI1197" i="1"/>
  <c r="BF1197" i="1"/>
  <c r="BE1197" i="1"/>
  <c r="BC1197" i="1"/>
  <c r="BB1197" i="1"/>
  <c r="BA1197" i="1"/>
  <c r="AY1197" i="1"/>
  <c r="AX1197" i="1"/>
  <c r="AW1197" i="1"/>
  <c r="AT1197" i="1"/>
  <c r="AS1197" i="1"/>
  <c r="AQ1197" i="1"/>
  <c r="AP1197" i="1"/>
  <c r="AO1197" i="1"/>
  <c r="AM1197" i="1"/>
  <c r="AL1197" i="1"/>
  <c r="AJ1197" i="1"/>
  <c r="AK1197" i="1" s="1"/>
  <c r="AH1197" i="1"/>
  <c r="AI1197" i="1" s="1"/>
  <c r="AG1197" i="1"/>
  <c r="AD1197" i="1"/>
  <c r="AE1197" i="1" s="1"/>
  <c r="AC1197" i="1"/>
  <c r="Z1197" i="1"/>
  <c r="W1197" i="1" s="1"/>
  <c r="Y1197" i="1"/>
  <c r="V1197" i="1"/>
  <c r="U1197" i="1"/>
  <c r="R1197" i="1"/>
  <c r="O1197" i="1" s="1"/>
  <c r="Q1197" i="1"/>
  <c r="N1197" i="1"/>
  <c r="M1197" i="1"/>
  <c r="J1197" i="1"/>
  <c r="K1197" i="1" s="1"/>
  <c r="I1197" i="1"/>
  <c r="F1197" i="1"/>
  <c r="E1197" i="1"/>
  <c r="BN1196" i="1"/>
  <c r="BL1196" i="1"/>
  <c r="BJ1196" i="1"/>
  <c r="BM1196" i="1" s="1"/>
  <c r="BI1196" i="1"/>
  <c r="BF1196" i="1"/>
  <c r="BE1196" i="1"/>
  <c r="BC1196" i="1"/>
  <c r="BB1196" i="1"/>
  <c r="BA1196" i="1"/>
  <c r="AX1196" i="1"/>
  <c r="AY1196" i="1" s="1"/>
  <c r="AW1196" i="1"/>
  <c r="AT1196" i="1"/>
  <c r="AS1196" i="1"/>
  <c r="AP1196" i="1"/>
  <c r="AO1196" i="1"/>
  <c r="AL1196" i="1"/>
  <c r="AM1196" i="1" s="1"/>
  <c r="AJ1196" i="1"/>
  <c r="AK1196" i="1" s="1"/>
  <c r="AH1196" i="1"/>
  <c r="AI1196" i="1" s="1"/>
  <c r="AG1196" i="1"/>
  <c r="AD1196" i="1"/>
  <c r="AE1196" i="1" s="1"/>
  <c r="AC1196" i="1"/>
  <c r="Z1196" i="1"/>
  <c r="AA1196" i="1" s="1"/>
  <c r="Y1196" i="1"/>
  <c r="V1196" i="1"/>
  <c r="W1196" i="1" s="1"/>
  <c r="U1196" i="1"/>
  <c r="R1196" i="1"/>
  <c r="S1196" i="1" s="1"/>
  <c r="Q1196" i="1"/>
  <c r="O1196" i="1"/>
  <c r="N1196" i="1"/>
  <c r="M1196" i="1"/>
  <c r="K1196" i="1"/>
  <c r="J1196" i="1"/>
  <c r="I1196" i="1"/>
  <c r="F1196" i="1"/>
  <c r="G1196" i="1" s="1"/>
  <c r="E1196" i="1"/>
  <c r="BN1195" i="1"/>
  <c r="BM1195" i="1"/>
  <c r="BL1195" i="1"/>
  <c r="BJ1195" i="1"/>
  <c r="BI1195" i="1"/>
  <c r="BF1195" i="1"/>
  <c r="BG1195" i="1" s="1"/>
  <c r="BE1195" i="1"/>
  <c r="BB1195" i="1"/>
  <c r="AY1195" i="1" s="1"/>
  <c r="BA1195" i="1"/>
  <c r="AX1195" i="1"/>
  <c r="AW1195" i="1"/>
  <c r="AT1195" i="1"/>
  <c r="AU1195" i="1" s="1"/>
  <c r="AS1195" i="1"/>
  <c r="AP1195" i="1"/>
  <c r="AQ1195" i="1" s="1"/>
  <c r="AO1195" i="1"/>
  <c r="AL1195" i="1"/>
  <c r="AM1195" i="1" s="1"/>
  <c r="AJ1195" i="1"/>
  <c r="AK1195" i="1" s="1"/>
  <c r="AH1195" i="1"/>
  <c r="AE1195" i="1" s="1"/>
  <c r="AG1195" i="1"/>
  <c r="AD1195" i="1"/>
  <c r="AC1195" i="1"/>
  <c r="Z1195" i="1"/>
  <c r="AA1195" i="1" s="1"/>
  <c r="Y1195" i="1"/>
  <c r="V1195" i="1"/>
  <c r="W1195" i="1" s="1"/>
  <c r="U1195" i="1"/>
  <c r="R1195" i="1"/>
  <c r="Q1195" i="1"/>
  <c r="O1195" i="1"/>
  <c r="N1195" i="1"/>
  <c r="M1195" i="1"/>
  <c r="K1195" i="1"/>
  <c r="J1195" i="1"/>
  <c r="I1195" i="1"/>
  <c r="F1195" i="1"/>
  <c r="G1195" i="1" s="1"/>
  <c r="E1195" i="1"/>
  <c r="BN1194" i="1"/>
  <c r="BM1194" i="1"/>
  <c r="BL1194" i="1"/>
  <c r="BJ1194" i="1"/>
  <c r="BI1194" i="1"/>
  <c r="BF1194" i="1"/>
  <c r="BG1194" i="1" s="1"/>
  <c r="BE1194" i="1"/>
  <c r="BB1194" i="1"/>
  <c r="AY1194" i="1" s="1"/>
  <c r="BA1194" i="1"/>
  <c r="AX1194" i="1"/>
  <c r="AW1194" i="1"/>
  <c r="AT1194" i="1"/>
  <c r="AU1194" i="1" s="1"/>
  <c r="AS1194" i="1"/>
  <c r="AP1194" i="1"/>
  <c r="AQ1194" i="1" s="1"/>
  <c r="AO1194" i="1"/>
  <c r="AL1194" i="1"/>
  <c r="AM1194" i="1" s="1"/>
  <c r="AK1194" i="1"/>
  <c r="AI1194" i="1"/>
  <c r="AH1194" i="1"/>
  <c r="AG1194" i="1"/>
  <c r="AE1194" i="1"/>
  <c r="AD1194" i="1"/>
  <c r="AC1194" i="1"/>
  <c r="Z1194" i="1"/>
  <c r="AA1194" i="1" s="1"/>
  <c r="Y1194" i="1"/>
  <c r="V1194" i="1"/>
  <c r="S1194" i="1" s="1"/>
  <c r="U1194" i="1"/>
  <c r="R1194" i="1"/>
  <c r="Q1194" i="1"/>
  <c r="N1194" i="1"/>
  <c r="O1194" i="1" s="1"/>
  <c r="M1194" i="1"/>
  <c r="J1194" i="1"/>
  <c r="K1194" i="1" s="1"/>
  <c r="I1194" i="1"/>
  <c r="F1194" i="1"/>
  <c r="E1194" i="1"/>
  <c r="BN1193" i="1"/>
  <c r="BL1193" i="1"/>
  <c r="BJ1193" i="1"/>
  <c r="BM1193" i="1" s="1"/>
  <c r="BI1193" i="1"/>
  <c r="BF1193" i="1"/>
  <c r="BG1193" i="1" s="1"/>
  <c r="BE1193" i="1"/>
  <c r="BC1193" i="1"/>
  <c r="BB1193" i="1"/>
  <c r="BA1193" i="1"/>
  <c r="AY1193" i="1"/>
  <c r="AX1193" i="1"/>
  <c r="AW1193" i="1"/>
  <c r="AT1193" i="1"/>
  <c r="AU1193" i="1" s="1"/>
  <c r="AS1193" i="1"/>
  <c r="AP1193" i="1"/>
  <c r="AM1193" i="1" s="1"/>
  <c r="AO1193" i="1"/>
  <c r="AL1193" i="1"/>
  <c r="AK1193" i="1"/>
  <c r="AH1193" i="1"/>
  <c r="AI1193" i="1" s="1"/>
  <c r="AG1193" i="1"/>
  <c r="AD1193" i="1"/>
  <c r="AE1193" i="1" s="1"/>
  <c r="AC1193" i="1"/>
  <c r="Z1193" i="1"/>
  <c r="Y1193" i="1"/>
  <c r="W1193" i="1"/>
  <c r="V1193" i="1"/>
  <c r="U1193" i="1"/>
  <c r="S1193" i="1"/>
  <c r="R1193" i="1"/>
  <c r="Q1193" i="1"/>
  <c r="N1193" i="1"/>
  <c r="O1193" i="1" s="1"/>
  <c r="M1193" i="1"/>
  <c r="J1193" i="1"/>
  <c r="G1193" i="1" s="1"/>
  <c r="I1193" i="1"/>
  <c r="F1193" i="1"/>
  <c r="E1193" i="1"/>
  <c r="BN1192" i="1"/>
  <c r="BM1192" i="1"/>
  <c r="BL1192" i="1"/>
  <c r="BJ1192" i="1"/>
  <c r="BG1192" i="1" s="1"/>
  <c r="BI1192" i="1"/>
  <c r="BF1192" i="1"/>
  <c r="BE1192" i="1"/>
  <c r="BB1192" i="1"/>
  <c r="BC1192" i="1" s="1"/>
  <c r="BA1192" i="1"/>
  <c r="AX1192" i="1"/>
  <c r="AY1192" i="1" s="1"/>
  <c r="AW1192" i="1"/>
  <c r="AT1192" i="1"/>
  <c r="AU1192" i="1" s="1"/>
  <c r="AS1192" i="1"/>
  <c r="AQ1192" i="1"/>
  <c r="AP1192" i="1"/>
  <c r="AO1192" i="1"/>
  <c r="AM1192" i="1"/>
  <c r="AL1192" i="1"/>
  <c r="AK1192" i="1"/>
  <c r="AH1192" i="1"/>
  <c r="AI1192" i="1" s="1"/>
  <c r="AG1192" i="1"/>
  <c r="AD1192" i="1"/>
  <c r="AA1192" i="1" s="1"/>
  <c r="AC1192" i="1"/>
  <c r="Z1192" i="1"/>
  <c r="Y1192" i="1"/>
  <c r="V1192" i="1"/>
  <c r="W1192" i="1" s="1"/>
  <c r="U1192" i="1"/>
  <c r="R1192" i="1"/>
  <c r="S1192" i="1" s="1"/>
  <c r="Q1192" i="1"/>
  <c r="N1192" i="1"/>
  <c r="O1192" i="1" s="1"/>
  <c r="M1192" i="1"/>
  <c r="K1192" i="1"/>
  <c r="J1192" i="1"/>
  <c r="I1192" i="1"/>
  <c r="G1192" i="1"/>
  <c r="F1192" i="1"/>
  <c r="E1192" i="1"/>
  <c r="BN1191" i="1"/>
  <c r="BM1191" i="1"/>
  <c r="BL1191" i="1"/>
  <c r="BJ1191" i="1"/>
  <c r="BI1191" i="1"/>
  <c r="BG1191" i="1"/>
  <c r="BF1191" i="1"/>
  <c r="BE1191" i="1"/>
  <c r="BB1191" i="1"/>
  <c r="BC1191" i="1" s="1"/>
  <c r="BA1191" i="1"/>
  <c r="AX1191" i="1"/>
  <c r="AU1191" i="1" s="1"/>
  <c r="AW1191" i="1"/>
  <c r="AT1191" i="1"/>
  <c r="AS1191" i="1"/>
  <c r="AP1191" i="1"/>
  <c r="AQ1191" i="1" s="1"/>
  <c r="AO1191" i="1"/>
  <c r="AL1191" i="1"/>
  <c r="AM1191" i="1" s="1"/>
  <c r="AK1191" i="1"/>
  <c r="AH1191" i="1"/>
  <c r="AG1191" i="1"/>
  <c r="AE1191" i="1"/>
  <c r="AD1191" i="1"/>
  <c r="AC1191" i="1"/>
  <c r="AA1191" i="1"/>
  <c r="Z1191" i="1"/>
  <c r="Y1191" i="1"/>
  <c r="V1191" i="1"/>
  <c r="W1191" i="1" s="1"/>
  <c r="U1191" i="1"/>
  <c r="R1191" i="1"/>
  <c r="O1191" i="1" s="1"/>
  <c r="Q1191" i="1"/>
  <c r="N1191" i="1"/>
  <c r="M1191" i="1"/>
  <c r="J1191" i="1"/>
  <c r="K1191" i="1" s="1"/>
  <c r="I1191" i="1"/>
  <c r="F1191" i="1"/>
  <c r="G1191" i="1" s="1"/>
  <c r="E1191" i="1"/>
  <c r="BN1190" i="1"/>
  <c r="BL1190" i="1"/>
  <c r="BJ1190" i="1"/>
  <c r="BM1190" i="1" s="1"/>
  <c r="BI1190" i="1"/>
  <c r="BF1190" i="1"/>
  <c r="BG1190" i="1" s="1"/>
  <c r="BE1190" i="1"/>
  <c r="BB1190" i="1"/>
  <c r="BA1190" i="1"/>
  <c r="AY1190" i="1"/>
  <c r="AX1190" i="1"/>
  <c r="AW1190" i="1"/>
  <c r="AU1190" i="1"/>
  <c r="AT1190" i="1"/>
  <c r="AS1190" i="1"/>
  <c r="AP1190" i="1"/>
  <c r="AQ1190" i="1" s="1"/>
  <c r="AO1190" i="1"/>
  <c r="AL1190" i="1"/>
  <c r="AI1190" i="1" s="1"/>
  <c r="AK1190" i="1"/>
  <c r="AH1190" i="1"/>
  <c r="AG1190" i="1"/>
  <c r="AD1190" i="1"/>
  <c r="AE1190" i="1" s="1"/>
  <c r="AC1190" i="1"/>
  <c r="Z1190" i="1"/>
  <c r="AA1190" i="1" s="1"/>
  <c r="Y1190" i="1"/>
  <c r="V1190" i="1"/>
  <c r="U1190" i="1"/>
  <c r="S1190" i="1"/>
  <c r="R1190" i="1"/>
  <c r="Q1190" i="1"/>
  <c r="O1190" i="1"/>
  <c r="N1190" i="1"/>
  <c r="M1190" i="1"/>
  <c r="J1190" i="1"/>
  <c r="K1190" i="1" s="1"/>
  <c r="I1190" i="1"/>
  <c r="F1190" i="1"/>
  <c r="G1190" i="1" s="1"/>
  <c r="E1190" i="1"/>
  <c r="BN1189" i="1"/>
  <c r="BL1189" i="1"/>
  <c r="BJ1189" i="1"/>
  <c r="BM1189" i="1" s="1"/>
  <c r="BI1189" i="1"/>
  <c r="BF1189" i="1"/>
  <c r="BC1189" i="1" s="1"/>
  <c r="BE1189" i="1"/>
  <c r="BB1189" i="1"/>
  <c r="BA1189" i="1"/>
  <c r="AX1189" i="1"/>
  <c r="AY1189" i="1" s="1"/>
  <c r="AW1189" i="1"/>
  <c r="AT1189" i="1"/>
  <c r="AU1189" i="1" s="1"/>
  <c r="AS1189" i="1"/>
  <c r="AP1189" i="1"/>
  <c r="AO1189" i="1"/>
  <c r="AM1189" i="1"/>
  <c r="AL1189" i="1"/>
  <c r="AK1189" i="1"/>
  <c r="AI1189" i="1"/>
  <c r="AH1189" i="1"/>
  <c r="AG1189" i="1"/>
  <c r="AD1189" i="1"/>
  <c r="AE1189" i="1" s="1"/>
  <c r="AC1189" i="1"/>
  <c r="Z1189" i="1"/>
  <c r="W1189" i="1" s="1"/>
  <c r="Y1189" i="1"/>
  <c r="V1189" i="1"/>
  <c r="U1189" i="1"/>
  <c r="R1189" i="1"/>
  <c r="S1189" i="1" s="1"/>
  <c r="Q1189" i="1"/>
  <c r="N1189" i="1"/>
  <c r="O1189" i="1" s="1"/>
  <c r="M1189" i="1"/>
  <c r="J1189" i="1"/>
  <c r="K1189" i="1" s="1"/>
  <c r="I1189" i="1"/>
  <c r="G1189" i="1"/>
  <c r="F1189" i="1"/>
  <c r="E1189" i="1"/>
  <c r="BN1188" i="1"/>
  <c r="BM1188" i="1" s="1"/>
  <c r="BL1188" i="1"/>
  <c r="BJ1188" i="1"/>
  <c r="BI1188" i="1"/>
  <c r="BG1188" i="1"/>
  <c r="BF1188" i="1"/>
  <c r="BE1188" i="1"/>
  <c r="BC1188" i="1"/>
  <c r="BB1188" i="1"/>
  <c r="BA1188" i="1"/>
  <c r="AX1188" i="1"/>
  <c r="AY1188" i="1" s="1"/>
  <c r="AW1188" i="1"/>
  <c r="AT1188" i="1"/>
  <c r="AQ1188" i="1" s="1"/>
  <c r="AS1188" i="1"/>
  <c r="AP1188" i="1"/>
  <c r="AO1188" i="1"/>
  <c r="AL1188" i="1"/>
  <c r="AM1188" i="1" s="1"/>
  <c r="AK1188" i="1"/>
  <c r="AH1188" i="1"/>
  <c r="AI1188" i="1" s="1"/>
  <c r="AG1188" i="1"/>
  <c r="AD1188" i="1"/>
  <c r="AE1188" i="1" s="1"/>
  <c r="AC1188" i="1"/>
  <c r="AA1188" i="1"/>
  <c r="Z1188" i="1"/>
  <c r="Y1188" i="1"/>
  <c r="W1188" i="1"/>
  <c r="V1188" i="1"/>
  <c r="U1188" i="1"/>
  <c r="R1188" i="1"/>
  <c r="S1188" i="1" s="1"/>
  <c r="Q1188" i="1"/>
  <c r="N1188" i="1"/>
  <c r="K1188" i="1" s="1"/>
  <c r="M1188" i="1"/>
  <c r="J1188" i="1"/>
  <c r="I1188" i="1"/>
  <c r="F1188" i="1"/>
  <c r="G1188" i="1" s="1"/>
  <c r="E1188" i="1"/>
  <c r="BN1187" i="1"/>
  <c r="BM1187" i="1"/>
  <c r="BL1187" i="1"/>
  <c r="BJ1187" i="1"/>
  <c r="BI1187" i="1"/>
  <c r="BF1187" i="1"/>
  <c r="BG1187" i="1" s="1"/>
  <c r="BE1187" i="1"/>
  <c r="BB1187" i="1"/>
  <c r="BC1187" i="1" s="1"/>
  <c r="BA1187" i="1"/>
  <c r="AX1187" i="1"/>
  <c r="AY1187" i="1" s="1"/>
  <c r="AW1187" i="1"/>
  <c r="AU1187" i="1"/>
  <c r="AT1187" i="1"/>
  <c r="AS1187" i="1"/>
  <c r="AQ1187" i="1"/>
  <c r="AP1187" i="1"/>
  <c r="AO1187" i="1"/>
  <c r="AL1187" i="1"/>
  <c r="AM1187" i="1" s="1"/>
  <c r="AK1187" i="1"/>
  <c r="AH1187" i="1"/>
  <c r="AE1187" i="1" s="1"/>
  <c r="AG1187" i="1"/>
  <c r="AD1187" i="1"/>
  <c r="AC1187" i="1"/>
  <c r="Z1187" i="1"/>
  <c r="AA1187" i="1" s="1"/>
  <c r="Y1187" i="1"/>
  <c r="V1187" i="1"/>
  <c r="W1187" i="1" s="1"/>
  <c r="U1187" i="1"/>
  <c r="R1187" i="1"/>
  <c r="Q1187" i="1"/>
  <c r="O1187" i="1"/>
  <c r="N1187" i="1"/>
  <c r="M1187" i="1"/>
  <c r="K1187" i="1"/>
  <c r="J1187" i="1"/>
  <c r="I1187" i="1"/>
  <c r="F1187" i="1"/>
  <c r="G1187" i="1" s="1"/>
  <c r="E1187" i="1"/>
  <c r="BN1186" i="1"/>
  <c r="BM1186" i="1"/>
  <c r="BL1186" i="1"/>
  <c r="BJ1186" i="1"/>
  <c r="BI1186" i="1"/>
  <c r="BF1186" i="1"/>
  <c r="BG1186" i="1" s="1"/>
  <c r="BE1186" i="1"/>
  <c r="BB1186" i="1"/>
  <c r="AY1186" i="1" s="1"/>
  <c r="BA1186" i="1"/>
  <c r="AX1186" i="1"/>
  <c r="AW1186" i="1"/>
  <c r="AT1186" i="1"/>
  <c r="AU1186" i="1" s="1"/>
  <c r="AS1186" i="1"/>
  <c r="AP1186" i="1"/>
  <c r="AQ1186" i="1" s="1"/>
  <c r="AO1186" i="1"/>
  <c r="AL1186" i="1"/>
  <c r="AM1186" i="1" s="1"/>
  <c r="AK1186" i="1"/>
  <c r="AI1186" i="1"/>
  <c r="AH1186" i="1"/>
  <c r="AG1186" i="1"/>
  <c r="AE1186" i="1"/>
  <c r="AD1186" i="1"/>
  <c r="AC1186" i="1"/>
  <c r="Z1186" i="1"/>
  <c r="AA1186" i="1" s="1"/>
  <c r="Y1186" i="1"/>
  <c r="V1186" i="1"/>
  <c r="S1186" i="1" s="1"/>
  <c r="U1186" i="1"/>
  <c r="R1186" i="1"/>
  <c r="Q1186" i="1"/>
  <c r="N1186" i="1"/>
  <c r="O1186" i="1" s="1"/>
  <c r="M1186" i="1"/>
  <c r="J1186" i="1"/>
  <c r="K1186" i="1" s="1"/>
  <c r="I1186" i="1"/>
  <c r="F1186" i="1"/>
  <c r="E1186" i="1"/>
  <c r="BN1185" i="1"/>
  <c r="BL1185" i="1"/>
  <c r="BJ1185" i="1"/>
  <c r="BM1185" i="1" s="1"/>
  <c r="BI1185" i="1"/>
  <c r="BF1185" i="1"/>
  <c r="BG1185" i="1" s="1"/>
  <c r="BE1185" i="1"/>
  <c r="BC1185" i="1"/>
  <c r="BB1185" i="1"/>
  <c r="BA1185" i="1"/>
  <c r="AY1185" i="1"/>
  <c r="AX1185" i="1"/>
  <c r="AW1185" i="1"/>
  <c r="AT1185" i="1"/>
  <c r="AU1185" i="1" s="1"/>
  <c r="AS1185" i="1"/>
  <c r="AP1185" i="1"/>
  <c r="AM1185" i="1" s="1"/>
  <c r="AO1185" i="1"/>
  <c r="AL1185" i="1"/>
  <c r="AK1185" i="1"/>
  <c r="AH1185" i="1"/>
  <c r="AI1185" i="1" s="1"/>
  <c r="AG1185" i="1"/>
  <c r="AD1185" i="1"/>
  <c r="AE1185" i="1" s="1"/>
  <c r="AC1185" i="1"/>
  <c r="Z1185" i="1"/>
  <c r="Y1185" i="1"/>
  <c r="W1185" i="1"/>
  <c r="V1185" i="1"/>
  <c r="U1185" i="1"/>
  <c r="S1185" i="1"/>
  <c r="R1185" i="1"/>
  <c r="Q1185" i="1"/>
  <c r="N1185" i="1"/>
  <c r="O1185" i="1" s="1"/>
  <c r="M1185" i="1"/>
  <c r="J1185" i="1"/>
  <c r="G1185" i="1" s="1"/>
  <c r="I1185" i="1"/>
  <c r="F1185" i="1"/>
  <c r="E1185" i="1"/>
  <c r="BN1184" i="1"/>
  <c r="BM1184" i="1"/>
  <c r="BL1184" i="1"/>
  <c r="BJ1184" i="1"/>
  <c r="BG1184" i="1" s="1"/>
  <c r="BI1184" i="1"/>
  <c r="BF1184" i="1"/>
  <c r="BE1184" i="1"/>
  <c r="BB1184" i="1"/>
  <c r="BC1184" i="1" s="1"/>
  <c r="BA1184" i="1"/>
  <c r="AX1184" i="1"/>
  <c r="AY1184" i="1" s="1"/>
  <c r="AW1184" i="1"/>
  <c r="AT1184" i="1"/>
  <c r="AU1184" i="1" s="1"/>
  <c r="AS1184" i="1"/>
  <c r="AQ1184" i="1"/>
  <c r="AP1184" i="1"/>
  <c r="AO1184" i="1"/>
  <c r="AM1184" i="1"/>
  <c r="AL1184" i="1"/>
  <c r="AK1184" i="1"/>
  <c r="AH1184" i="1"/>
  <c r="AI1184" i="1" s="1"/>
  <c r="AG1184" i="1"/>
  <c r="AD1184" i="1"/>
  <c r="AA1184" i="1" s="1"/>
  <c r="AC1184" i="1"/>
  <c r="Z1184" i="1"/>
  <c r="Y1184" i="1"/>
  <c r="V1184" i="1"/>
  <c r="W1184" i="1" s="1"/>
  <c r="U1184" i="1"/>
  <c r="R1184" i="1"/>
  <c r="S1184" i="1" s="1"/>
  <c r="Q1184" i="1"/>
  <c r="N1184" i="1"/>
  <c r="O1184" i="1" s="1"/>
  <c r="M1184" i="1"/>
  <c r="K1184" i="1"/>
  <c r="J1184" i="1"/>
  <c r="I1184" i="1"/>
  <c r="G1184" i="1"/>
  <c r="F1184" i="1"/>
  <c r="E1184" i="1"/>
  <c r="BN1183" i="1"/>
  <c r="BM1183" i="1"/>
  <c r="BL1183" i="1"/>
  <c r="BJ1183" i="1"/>
  <c r="BI1183" i="1"/>
  <c r="BG1183" i="1"/>
  <c r="BF1183" i="1"/>
  <c r="BE1183" i="1"/>
  <c r="BB1183" i="1"/>
  <c r="BC1183" i="1" s="1"/>
  <c r="BA1183" i="1"/>
  <c r="AX1183" i="1"/>
  <c r="AU1183" i="1" s="1"/>
  <c r="AW1183" i="1"/>
  <c r="AT1183" i="1"/>
  <c r="AS1183" i="1"/>
  <c r="AP1183" i="1"/>
  <c r="AQ1183" i="1" s="1"/>
  <c r="AO1183" i="1"/>
  <c r="AL1183" i="1"/>
  <c r="AM1183" i="1" s="1"/>
  <c r="AK1183" i="1"/>
  <c r="AH1183" i="1"/>
  <c r="AG1183" i="1"/>
  <c r="AE1183" i="1"/>
  <c r="AD1183" i="1"/>
  <c r="AC1183" i="1"/>
  <c r="AA1183" i="1"/>
  <c r="Z1183" i="1"/>
  <c r="Y1183" i="1"/>
  <c r="V1183" i="1"/>
  <c r="W1183" i="1" s="1"/>
  <c r="U1183" i="1"/>
  <c r="R1183" i="1"/>
  <c r="O1183" i="1" s="1"/>
  <c r="Q1183" i="1"/>
  <c r="N1183" i="1"/>
  <c r="M1183" i="1"/>
  <c r="J1183" i="1"/>
  <c r="K1183" i="1" s="1"/>
  <c r="I1183" i="1"/>
  <c r="F1183" i="1"/>
  <c r="G1183" i="1" s="1"/>
  <c r="E1183" i="1"/>
  <c r="BN1182" i="1"/>
  <c r="BL1182" i="1"/>
  <c r="BJ1182" i="1"/>
  <c r="BM1182" i="1" s="1"/>
  <c r="BI1182" i="1"/>
  <c r="BF1182" i="1"/>
  <c r="BG1182" i="1" s="1"/>
  <c r="BE1182" i="1"/>
  <c r="BB1182" i="1"/>
  <c r="BA1182" i="1"/>
  <c r="AY1182" i="1"/>
  <c r="AX1182" i="1"/>
  <c r="AW1182" i="1"/>
  <c r="AU1182" i="1"/>
  <c r="AT1182" i="1"/>
  <c r="AS1182" i="1"/>
  <c r="AP1182" i="1"/>
  <c r="AQ1182" i="1" s="1"/>
  <c r="AO1182" i="1"/>
  <c r="AL1182" i="1"/>
  <c r="AI1182" i="1" s="1"/>
  <c r="AK1182" i="1"/>
  <c r="AH1182" i="1"/>
  <c r="AG1182" i="1"/>
  <c r="AD1182" i="1"/>
  <c r="AE1182" i="1" s="1"/>
  <c r="AC1182" i="1"/>
  <c r="Z1182" i="1"/>
  <c r="AA1182" i="1" s="1"/>
  <c r="Y1182" i="1"/>
  <c r="V1182" i="1"/>
  <c r="U1182" i="1"/>
  <c r="S1182" i="1"/>
  <c r="R1182" i="1"/>
  <c r="Q1182" i="1"/>
  <c r="O1182" i="1"/>
  <c r="N1182" i="1"/>
  <c r="M1182" i="1"/>
  <c r="J1182" i="1"/>
  <c r="K1182" i="1" s="1"/>
  <c r="I1182" i="1"/>
  <c r="F1182" i="1"/>
  <c r="G1182" i="1" s="1"/>
  <c r="E1182" i="1"/>
  <c r="BN1181" i="1"/>
  <c r="BL1181" i="1"/>
  <c r="BJ1181" i="1"/>
  <c r="BM1181" i="1" s="1"/>
  <c r="BI1181" i="1"/>
  <c r="BF1181" i="1"/>
  <c r="BC1181" i="1" s="1"/>
  <c r="BE1181" i="1"/>
  <c r="BB1181" i="1"/>
  <c r="BA1181" i="1"/>
  <c r="AX1181" i="1"/>
  <c r="AY1181" i="1" s="1"/>
  <c r="AW1181" i="1"/>
  <c r="AT1181" i="1"/>
  <c r="AU1181" i="1" s="1"/>
  <c r="AS1181" i="1"/>
  <c r="AP1181" i="1"/>
  <c r="AO1181" i="1"/>
  <c r="AM1181" i="1"/>
  <c r="AL1181" i="1"/>
  <c r="AK1181" i="1"/>
  <c r="AI1181" i="1"/>
  <c r="AH1181" i="1"/>
  <c r="AG1181" i="1"/>
  <c r="AD1181" i="1"/>
  <c r="AE1181" i="1" s="1"/>
  <c r="AC1181" i="1"/>
  <c r="Z1181" i="1"/>
  <c r="W1181" i="1" s="1"/>
  <c r="Y1181" i="1"/>
  <c r="V1181" i="1"/>
  <c r="U1181" i="1"/>
  <c r="R1181" i="1"/>
  <c r="S1181" i="1" s="1"/>
  <c r="Q1181" i="1"/>
  <c r="N1181" i="1"/>
  <c r="O1181" i="1" s="1"/>
  <c r="M1181" i="1"/>
  <c r="J1181" i="1"/>
  <c r="K1181" i="1" s="1"/>
  <c r="I1181" i="1"/>
  <c r="G1181" i="1"/>
  <c r="F1181" i="1"/>
  <c r="D1181" i="1"/>
  <c r="E1181" i="1" s="1"/>
  <c r="BN1180" i="1"/>
  <c r="BL1180" i="1"/>
  <c r="BJ1180" i="1"/>
  <c r="BM1180" i="1" s="1"/>
  <c r="BI1180" i="1"/>
  <c r="BF1180" i="1"/>
  <c r="BG1180" i="1" s="1"/>
  <c r="BE1180" i="1"/>
  <c r="BC1180" i="1"/>
  <c r="BB1180" i="1"/>
  <c r="BA1180" i="1"/>
  <c r="AX1180" i="1"/>
  <c r="AY1180" i="1" s="1"/>
  <c r="AW1180" i="1"/>
  <c r="AT1180" i="1"/>
  <c r="AU1180" i="1" s="1"/>
  <c r="AS1180" i="1"/>
  <c r="AP1180" i="1"/>
  <c r="AQ1180" i="1" s="1"/>
  <c r="AO1180" i="1"/>
  <c r="AM1180" i="1"/>
  <c r="AL1180" i="1"/>
  <c r="AK1180" i="1"/>
  <c r="AI1180" i="1"/>
  <c r="AH1180" i="1"/>
  <c r="AG1180" i="1"/>
  <c r="AD1180" i="1"/>
  <c r="AE1180" i="1" s="1"/>
  <c r="AC1180" i="1"/>
  <c r="Z1180" i="1"/>
  <c r="AA1180" i="1" s="1"/>
  <c r="Y1180" i="1"/>
  <c r="W1180" i="1"/>
  <c r="V1180" i="1"/>
  <c r="U1180" i="1"/>
  <c r="R1180" i="1"/>
  <c r="S1180" i="1" s="1"/>
  <c r="Q1180" i="1"/>
  <c r="N1180" i="1"/>
  <c r="O1180" i="1" s="1"/>
  <c r="M1180" i="1"/>
  <c r="J1180" i="1"/>
  <c r="K1180" i="1" s="1"/>
  <c r="I1180" i="1"/>
  <c r="G1180" i="1"/>
  <c r="F1180" i="1"/>
  <c r="D1180" i="1"/>
  <c r="E1180" i="1" s="1"/>
  <c r="BN1179" i="1"/>
  <c r="BL1179" i="1"/>
  <c r="BJ1179" i="1"/>
  <c r="BM1179" i="1" s="1"/>
  <c r="BI1179" i="1"/>
  <c r="BF1179" i="1"/>
  <c r="BG1179" i="1" s="1"/>
  <c r="BE1179" i="1"/>
  <c r="BC1179" i="1"/>
  <c r="BB1179" i="1"/>
  <c r="BA1179" i="1"/>
  <c r="AX1179" i="1"/>
  <c r="AY1179" i="1" s="1"/>
  <c r="AW1179" i="1"/>
  <c r="AT1179" i="1"/>
  <c r="AU1179" i="1" s="1"/>
  <c r="AS1179" i="1"/>
  <c r="AP1179" i="1"/>
  <c r="AO1179" i="1"/>
  <c r="AM1179" i="1"/>
  <c r="AL1179" i="1"/>
  <c r="AK1179" i="1"/>
  <c r="AI1179" i="1"/>
  <c r="AH1179" i="1"/>
  <c r="AG1179" i="1"/>
  <c r="AD1179" i="1"/>
  <c r="AE1179" i="1" s="1"/>
  <c r="AC1179" i="1"/>
  <c r="Z1179" i="1"/>
  <c r="AA1179" i="1" s="1"/>
  <c r="Y1179" i="1"/>
  <c r="W1179" i="1"/>
  <c r="V1179" i="1"/>
  <c r="U1179" i="1"/>
  <c r="R1179" i="1"/>
  <c r="S1179" i="1" s="1"/>
  <c r="Q1179" i="1"/>
  <c r="N1179" i="1"/>
  <c r="O1179" i="1" s="1"/>
  <c r="M1179" i="1"/>
  <c r="J1179" i="1"/>
  <c r="K1179" i="1" s="1"/>
  <c r="I1179" i="1"/>
  <c r="G1179" i="1"/>
  <c r="F1179" i="1"/>
  <c r="D1179" i="1"/>
  <c r="E1179" i="1" s="1"/>
  <c r="BN1178" i="1"/>
  <c r="BL1178" i="1"/>
  <c r="BJ1178" i="1"/>
  <c r="BM1178" i="1" s="1"/>
  <c r="BI1178" i="1"/>
  <c r="BF1178" i="1"/>
  <c r="BG1178" i="1" s="1"/>
  <c r="BE1178" i="1"/>
  <c r="BC1178" i="1"/>
  <c r="BB1178" i="1"/>
  <c r="BA1178" i="1"/>
  <c r="AX1178" i="1"/>
  <c r="AY1178" i="1" s="1"/>
  <c r="AW1178" i="1"/>
  <c r="AT1178" i="1"/>
  <c r="AU1178" i="1" s="1"/>
  <c r="AS1178" i="1"/>
  <c r="AP1178" i="1"/>
  <c r="AO1178" i="1"/>
  <c r="AM1178" i="1"/>
  <c r="AL1178" i="1"/>
  <c r="AK1178" i="1"/>
  <c r="AI1178" i="1"/>
  <c r="AH1178" i="1"/>
  <c r="AG1178" i="1"/>
  <c r="AD1178" i="1"/>
  <c r="AE1178" i="1" s="1"/>
  <c r="AC1178" i="1"/>
  <c r="Z1178" i="1"/>
  <c r="AA1178" i="1" s="1"/>
  <c r="Y1178" i="1"/>
  <c r="W1178" i="1"/>
  <c r="V1178" i="1"/>
  <c r="U1178" i="1"/>
  <c r="R1178" i="1"/>
  <c r="S1178" i="1" s="1"/>
  <c r="Q1178" i="1"/>
  <c r="N1178" i="1"/>
  <c r="O1178" i="1" s="1"/>
  <c r="M1178" i="1"/>
  <c r="J1178" i="1"/>
  <c r="I1178" i="1"/>
  <c r="G1178" i="1"/>
  <c r="F1178" i="1"/>
  <c r="E1178" i="1"/>
  <c r="BN1177" i="1"/>
  <c r="BM1177" i="1" s="1"/>
  <c r="BL1177" i="1"/>
  <c r="BJ1177" i="1"/>
  <c r="BI1177" i="1"/>
  <c r="BG1177" i="1"/>
  <c r="BF1177" i="1"/>
  <c r="BE1177" i="1"/>
  <c r="BC1177" i="1"/>
  <c r="BB1177" i="1"/>
  <c r="BA1177" i="1"/>
  <c r="AX1177" i="1"/>
  <c r="AY1177" i="1" s="1"/>
  <c r="AW1177" i="1"/>
  <c r="AT1177" i="1"/>
  <c r="AU1177" i="1" s="1"/>
  <c r="AS1177" i="1"/>
  <c r="AQ1177" i="1"/>
  <c r="AP1177" i="1"/>
  <c r="AO1177" i="1"/>
  <c r="AL1177" i="1"/>
  <c r="AM1177" i="1" s="1"/>
  <c r="AK1177" i="1"/>
  <c r="AH1177" i="1"/>
  <c r="AI1177" i="1" s="1"/>
  <c r="AG1177" i="1"/>
  <c r="AD1177" i="1"/>
  <c r="AE1177" i="1" s="1"/>
  <c r="AC1177" i="1"/>
  <c r="AA1177" i="1"/>
  <c r="Z1177" i="1"/>
  <c r="Y1177" i="1"/>
  <c r="W1177" i="1"/>
  <c r="V1177" i="1"/>
  <c r="U1177" i="1"/>
  <c r="R1177" i="1"/>
  <c r="S1177" i="1" s="1"/>
  <c r="Q1177" i="1"/>
  <c r="N1177" i="1"/>
  <c r="K1177" i="1" s="1"/>
  <c r="M1177" i="1"/>
  <c r="J1177" i="1"/>
  <c r="I1177" i="1"/>
  <c r="F1177" i="1"/>
  <c r="G1177" i="1" s="1"/>
  <c r="E1177" i="1"/>
  <c r="BN1176" i="1"/>
  <c r="BM1176" i="1"/>
  <c r="BL1176" i="1"/>
  <c r="BJ1176" i="1"/>
  <c r="BI1176" i="1"/>
  <c r="BF1176" i="1"/>
  <c r="BG1176" i="1" s="1"/>
  <c r="BE1176" i="1"/>
  <c r="BB1176" i="1"/>
  <c r="BC1176" i="1" s="1"/>
  <c r="BA1176" i="1"/>
  <c r="AX1176" i="1"/>
  <c r="AY1176" i="1" s="1"/>
  <c r="AW1176" i="1"/>
  <c r="AU1176" i="1"/>
  <c r="AT1176" i="1"/>
  <c r="AS1176" i="1"/>
  <c r="AQ1176" i="1"/>
  <c r="AP1176" i="1"/>
  <c r="AO1176" i="1"/>
  <c r="AL1176" i="1"/>
  <c r="AM1176" i="1" s="1"/>
  <c r="AK1176" i="1"/>
  <c r="AH1176" i="1"/>
  <c r="AI1176" i="1" s="1"/>
  <c r="AG1176" i="1"/>
  <c r="AE1176" i="1"/>
  <c r="AD1176" i="1"/>
  <c r="AC1176" i="1"/>
  <c r="Z1176" i="1"/>
  <c r="AA1176" i="1" s="1"/>
  <c r="Y1176" i="1"/>
  <c r="V1176" i="1"/>
  <c r="W1176" i="1" s="1"/>
  <c r="U1176" i="1"/>
  <c r="R1176" i="1"/>
  <c r="S1176" i="1" s="1"/>
  <c r="Q1176" i="1"/>
  <c r="O1176" i="1"/>
  <c r="N1176" i="1"/>
  <c r="M1176" i="1"/>
  <c r="K1176" i="1"/>
  <c r="J1176" i="1"/>
  <c r="I1176" i="1"/>
  <c r="F1176" i="1"/>
  <c r="G1176" i="1" s="1"/>
  <c r="E1176" i="1"/>
  <c r="BN1175" i="1"/>
  <c r="BL1175" i="1"/>
  <c r="BJ1175" i="1"/>
  <c r="BM1175" i="1" s="1"/>
  <c r="BI1175" i="1"/>
  <c r="BF1175" i="1"/>
  <c r="BG1175" i="1" s="1"/>
  <c r="BE1175" i="1"/>
  <c r="BB1175" i="1"/>
  <c r="BC1175" i="1" s="1"/>
  <c r="BA1175" i="1"/>
  <c r="AY1175" i="1"/>
  <c r="AX1175" i="1"/>
  <c r="AW1175" i="1"/>
  <c r="AT1175" i="1"/>
  <c r="AU1175" i="1" s="1"/>
  <c r="AS1175" i="1"/>
  <c r="AP1175" i="1"/>
  <c r="AQ1175" i="1" s="1"/>
  <c r="AO1175" i="1"/>
  <c r="AL1175" i="1"/>
  <c r="AK1175" i="1"/>
  <c r="AI1175" i="1"/>
  <c r="AH1175" i="1"/>
  <c r="AG1175" i="1"/>
  <c r="AE1175" i="1"/>
  <c r="AD1175" i="1"/>
  <c r="AC1175" i="1"/>
  <c r="Z1175" i="1"/>
  <c r="AA1175" i="1" s="1"/>
  <c r="Y1175" i="1"/>
  <c r="V1175" i="1"/>
  <c r="W1175" i="1" s="1"/>
  <c r="U1175" i="1"/>
  <c r="S1175" i="1"/>
  <c r="R1175" i="1"/>
  <c r="Q1175" i="1"/>
  <c r="N1175" i="1"/>
  <c r="O1175" i="1" s="1"/>
  <c r="M1175" i="1"/>
  <c r="J1175" i="1"/>
  <c r="K1175" i="1" s="1"/>
  <c r="I1175" i="1"/>
  <c r="F1175" i="1"/>
  <c r="G1175" i="1" s="1"/>
  <c r="E1175" i="1"/>
  <c r="BN1174" i="1"/>
  <c r="BL1174" i="1"/>
  <c r="BJ1174" i="1"/>
  <c r="BM1174" i="1" s="1"/>
  <c r="BI1174" i="1"/>
  <c r="BF1174" i="1"/>
  <c r="BE1174" i="1"/>
  <c r="BC1174" i="1"/>
  <c r="BB1174" i="1"/>
  <c r="BA1174" i="1"/>
  <c r="AY1174" i="1"/>
  <c r="AX1174" i="1"/>
  <c r="AW1174" i="1"/>
  <c r="AT1174" i="1"/>
  <c r="AU1174" i="1" s="1"/>
  <c r="AS1174" i="1"/>
  <c r="AP1174" i="1"/>
  <c r="AQ1174" i="1" s="1"/>
  <c r="AO1174" i="1"/>
  <c r="AM1174" i="1"/>
  <c r="AL1174" i="1"/>
  <c r="AK1174" i="1"/>
  <c r="AH1174" i="1"/>
  <c r="AI1174" i="1" s="1"/>
  <c r="AG1174" i="1"/>
  <c r="AD1174" i="1"/>
  <c r="AE1174" i="1" s="1"/>
  <c r="AC1174" i="1"/>
  <c r="Z1174" i="1"/>
  <c r="AA1174" i="1" s="1"/>
  <c r="Y1174" i="1"/>
  <c r="W1174" i="1"/>
  <c r="V1174" i="1"/>
  <c r="U1174" i="1"/>
  <c r="S1174" i="1"/>
  <c r="R1174" i="1"/>
  <c r="Q1174" i="1"/>
  <c r="N1174" i="1"/>
  <c r="O1174" i="1" s="1"/>
  <c r="M1174" i="1"/>
  <c r="J1174" i="1"/>
  <c r="K1174" i="1" s="1"/>
  <c r="I1174" i="1"/>
  <c r="G1174" i="1"/>
  <c r="F1174" i="1"/>
  <c r="E1174" i="1"/>
  <c r="BN1173" i="1"/>
  <c r="BM1173" i="1"/>
  <c r="BL1173" i="1"/>
  <c r="BJ1173" i="1"/>
  <c r="BI1173" i="1"/>
  <c r="BG1173" i="1"/>
  <c r="BF1173" i="1"/>
  <c r="BE1173" i="1"/>
  <c r="BB1173" i="1"/>
  <c r="BC1173" i="1" s="1"/>
  <c r="BA1173" i="1"/>
  <c r="AX1173" i="1"/>
  <c r="AY1173" i="1" s="1"/>
  <c r="AW1173" i="1"/>
  <c r="AV1173" i="1"/>
  <c r="AT1173" i="1"/>
  <c r="AS1173" i="1"/>
  <c r="AP1173" i="1"/>
  <c r="AQ1173" i="1" s="1"/>
  <c r="AO1173" i="1"/>
  <c r="AM1173" i="1"/>
  <c r="AL1173" i="1"/>
  <c r="AK1173" i="1"/>
  <c r="AH1173" i="1"/>
  <c r="AI1173" i="1" s="1"/>
  <c r="AG1173" i="1"/>
  <c r="AD1173" i="1"/>
  <c r="AE1173" i="1" s="1"/>
  <c r="AC1173" i="1"/>
  <c r="Z1173" i="1"/>
  <c r="AA1173" i="1" s="1"/>
  <c r="Y1173" i="1"/>
  <c r="W1173" i="1"/>
  <c r="V1173" i="1"/>
  <c r="U1173" i="1"/>
  <c r="S1173" i="1"/>
  <c r="R1173" i="1"/>
  <c r="Q1173" i="1"/>
  <c r="N1173" i="1"/>
  <c r="O1173" i="1" s="1"/>
  <c r="M1173" i="1"/>
  <c r="J1173" i="1"/>
  <c r="K1173" i="1" s="1"/>
  <c r="I1173" i="1"/>
  <c r="G1173" i="1"/>
  <c r="F1173" i="1"/>
  <c r="E1173" i="1"/>
  <c r="BN1172" i="1"/>
  <c r="BM1172" i="1"/>
  <c r="BL1172" i="1"/>
  <c r="BJ1172" i="1"/>
  <c r="BI1172" i="1"/>
  <c r="BG1172" i="1"/>
  <c r="BF1172" i="1"/>
  <c r="BE1172" i="1"/>
  <c r="BB1172" i="1"/>
  <c r="BC1172" i="1" s="1"/>
  <c r="BA1172" i="1"/>
  <c r="AX1172" i="1"/>
  <c r="AY1172" i="1" s="1"/>
  <c r="AW1172" i="1"/>
  <c r="AV1172" i="1"/>
  <c r="AT1172" i="1"/>
  <c r="AU1172" i="1" s="1"/>
  <c r="AS1172" i="1"/>
  <c r="AP1172" i="1"/>
  <c r="AQ1172" i="1" s="1"/>
  <c r="AO1172" i="1"/>
  <c r="AM1172" i="1"/>
  <c r="AL1172" i="1"/>
  <c r="AK1172" i="1"/>
  <c r="AH1172" i="1"/>
  <c r="AI1172" i="1" s="1"/>
  <c r="AG1172" i="1"/>
  <c r="AD1172" i="1"/>
  <c r="AE1172" i="1" s="1"/>
  <c r="AC1172" i="1"/>
  <c r="Z1172" i="1"/>
  <c r="AA1172" i="1" s="1"/>
  <c r="Y1172" i="1"/>
  <c r="W1172" i="1"/>
  <c r="V1172" i="1"/>
  <c r="U1172" i="1"/>
  <c r="S1172" i="1"/>
  <c r="R1172" i="1"/>
  <c r="Q1172" i="1"/>
  <c r="N1172" i="1"/>
  <c r="O1172" i="1" s="1"/>
  <c r="M1172" i="1"/>
  <c r="J1172" i="1"/>
  <c r="K1172" i="1" s="1"/>
  <c r="I1172" i="1"/>
  <c r="G1172" i="1"/>
  <c r="F1172" i="1"/>
  <c r="E1172" i="1"/>
  <c r="BN1171" i="1"/>
  <c r="BM1171" i="1"/>
  <c r="BL1171" i="1"/>
  <c r="BJ1171" i="1"/>
  <c r="BI1171" i="1"/>
  <c r="BG1171" i="1"/>
  <c r="BF1171" i="1"/>
  <c r="BE1171" i="1"/>
  <c r="BB1171" i="1"/>
  <c r="BC1171" i="1" s="1"/>
  <c r="BA1171" i="1"/>
  <c r="AX1171" i="1"/>
  <c r="AW1171" i="1"/>
  <c r="AV1171" i="1"/>
  <c r="AT1171" i="1"/>
  <c r="AS1171" i="1"/>
  <c r="AP1171" i="1"/>
  <c r="AQ1171" i="1" s="1"/>
  <c r="AO1171" i="1"/>
  <c r="AM1171" i="1"/>
  <c r="AL1171" i="1"/>
  <c r="AK1171" i="1"/>
  <c r="AH1171" i="1"/>
  <c r="AI1171" i="1" s="1"/>
  <c r="AG1171" i="1"/>
  <c r="AD1171" i="1"/>
  <c r="AE1171" i="1" s="1"/>
  <c r="AC1171" i="1"/>
  <c r="Z1171" i="1"/>
  <c r="Y1171" i="1"/>
  <c r="W1171" i="1"/>
  <c r="V1171" i="1"/>
  <c r="U1171" i="1"/>
  <c r="S1171" i="1"/>
  <c r="R1171" i="1"/>
  <c r="O1171" i="1" s="1"/>
  <c r="Q1171" i="1"/>
  <c r="N1171" i="1"/>
  <c r="M1171" i="1"/>
  <c r="J1171" i="1"/>
  <c r="K1171" i="1" s="1"/>
  <c r="I1171" i="1"/>
  <c r="G1171" i="1"/>
  <c r="F1171" i="1"/>
  <c r="E1171" i="1"/>
  <c r="BN1170" i="1"/>
  <c r="BM1170" i="1"/>
  <c r="BL1170" i="1"/>
  <c r="BJ1170" i="1"/>
  <c r="BI1170" i="1"/>
  <c r="BG1170" i="1"/>
  <c r="BF1170" i="1"/>
  <c r="BE1170" i="1"/>
  <c r="BB1170" i="1"/>
  <c r="BC1170" i="1" s="1"/>
  <c r="BA1170" i="1"/>
  <c r="AX1170" i="1"/>
  <c r="AY1170" i="1" s="1"/>
  <c r="AW1170" i="1"/>
  <c r="AT1170" i="1"/>
  <c r="AU1170" i="1" s="1"/>
  <c r="AS1170" i="1"/>
  <c r="AQ1170" i="1"/>
  <c r="AP1170" i="1"/>
  <c r="AO1170" i="1"/>
  <c r="AM1170" i="1"/>
  <c r="AL1170" i="1"/>
  <c r="AI1170" i="1" s="1"/>
  <c r="AK1170" i="1"/>
  <c r="AH1170" i="1"/>
  <c r="AG1170" i="1"/>
  <c r="AD1170" i="1"/>
  <c r="AE1170" i="1" s="1"/>
  <c r="AC1170" i="1"/>
  <c r="AA1170" i="1"/>
  <c r="Z1170" i="1"/>
  <c r="Y1170" i="1"/>
  <c r="V1170" i="1"/>
  <c r="W1170" i="1" s="1"/>
  <c r="U1170" i="1"/>
  <c r="R1170" i="1"/>
  <c r="S1170" i="1" s="1"/>
  <c r="Q1170" i="1"/>
  <c r="N1170" i="1"/>
  <c r="O1170" i="1" s="1"/>
  <c r="M1170" i="1"/>
  <c r="K1170" i="1"/>
  <c r="J1170" i="1"/>
  <c r="I1170" i="1"/>
  <c r="G1170" i="1"/>
  <c r="F1170" i="1"/>
  <c r="E1170" i="1"/>
  <c r="BN1169" i="1"/>
  <c r="BM1169" i="1" s="1"/>
  <c r="BL1169" i="1"/>
  <c r="BJ1169" i="1"/>
  <c r="BI1169" i="1"/>
  <c r="BG1169" i="1"/>
  <c r="BF1169" i="1"/>
  <c r="BC1169" i="1" s="1"/>
  <c r="BE1169" i="1"/>
  <c r="BB1169" i="1"/>
  <c r="BA1169" i="1"/>
  <c r="AX1169" i="1"/>
  <c r="AY1169" i="1" s="1"/>
  <c r="AW1169" i="1"/>
  <c r="AU1169" i="1"/>
  <c r="AT1169" i="1"/>
  <c r="AS1169" i="1"/>
  <c r="AP1169" i="1"/>
  <c r="AQ1169" i="1" s="1"/>
  <c r="AO1169" i="1"/>
  <c r="AL1169" i="1"/>
  <c r="AM1169" i="1" s="1"/>
  <c r="AK1169" i="1"/>
  <c r="AH1169" i="1"/>
  <c r="AG1169" i="1"/>
  <c r="AE1169" i="1"/>
  <c r="AD1169" i="1"/>
  <c r="AC1169" i="1"/>
  <c r="AA1169" i="1"/>
  <c r="Z1169" i="1"/>
  <c r="W1169" i="1" s="1"/>
  <c r="Y1169" i="1"/>
  <c r="V1169" i="1"/>
  <c r="U1169" i="1"/>
  <c r="T1169" i="1"/>
  <c r="R1169" i="1"/>
  <c r="S1169" i="1" s="1"/>
  <c r="Q1169" i="1"/>
  <c r="N1169" i="1"/>
  <c r="M1169" i="1"/>
  <c r="K1169" i="1"/>
  <c r="J1169" i="1"/>
  <c r="I1169" i="1"/>
  <c r="G1169" i="1"/>
  <c r="F1169" i="1"/>
  <c r="D1169" i="1"/>
  <c r="E1169" i="1" s="1"/>
  <c r="BN1168" i="1"/>
  <c r="BM1168" i="1"/>
  <c r="BL1168" i="1"/>
  <c r="BJ1168" i="1"/>
  <c r="BI1168" i="1"/>
  <c r="BG1168" i="1"/>
  <c r="BF1168" i="1"/>
  <c r="BE1168" i="1"/>
  <c r="BB1168" i="1"/>
  <c r="BC1168" i="1" s="1"/>
  <c r="BA1168" i="1"/>
  <c r="AX1168" i="1"/>
  <c r="AY1168" i="1" s="1"/>
  <c r="AW1168" i="1"/>
  <c r="AT1168" i="1"/>
  <c r="AU1168" i="1" s="1"/>
  <c r="AS1168" i="1"/>
  <c r="AQ1168" i="1"/>
  <c r="AP1168" i="1"/>
  <c r="AO1168" i="1"/>
  <c r="AM1168" i="1"/>
  <c r="AL1168" i="1"/>
  <c r="AI1168" i="1" s="1"/>
  <c r="AK1168" i="1"/>
  <c r="AH1168" i="1"/>
  <c r="AG1168" i="1"/>
  <c r="AD1168" i="1"/>
  <c r="AE1168" i="1" s="1"/>
  <c r="AC1168" i="1"/>
  <c r="AA1168" i="1"/>
  <c r="Z1168" i="1"/>
  <c r="Y1168" i="1"/>
  <c r="V1168" i="1"/>
  <c r="W1168" i="1" s="1"/>
  <c r="T1168" i="1"/>
  <c r="U1168" i="1" s="1"/>
  <c r="S1168" i="1"/>
  <c r="R1168" i="1"/>
  <c r="O1168" i="1" s="1"/>
  <c r="Q1168" i="1"/>
  <c r="N1168" i="1"/>
  <c r="M1168" i="1"/>
  <c r="J1168" i="1"/>
  <c r="K1168" i="1" s="1"/>
  <c r="I1168" i="1"/>
  <c r="G1168" i="1"/>
  <c r="F1168" i="1"/>
  <c r="E1168" i="1"/>
  <c r="D1168" i="1"/>
  <c r="BN1167" i="1"/>
  <c r="BL1167" i="1"/>
  <c r="BJ1167" i="1"/>
  <c r="BM1167" i="1" s="1"/>
  <c r="BI1167" i="1"/>
  <c r="BF1167" i="1"/>
  <c r="BG1167" i="1" s="1"/>
  <c r="BE1167" i="1"/>
  <c r="BC1167" i="1"/>
  <c r="BB1167" i="1"/>
  <c r="BA1167" i="1"/>
  <c r="AY1167" i="1"/>
  <c r="AX1167" i="1"/>
  <c r="AU1167" i="1" s="1"/>
  <c r="AW1167" i="1"/>
  <c r="AT1167" i="1"/>
  <c r="AS1167" i="1"/>
  <c r="AP1167" i="1"/>
  <c r="AQ1167" i="1" s="1"/>
  <c r="AO1167" i="1"/>
  <c r="AM1167" i="1"/>
  <c r="AL1167" i="1"/>
  <c r="AK1167" i="1"/>
  <c r="AH1167" i="1"/>
  <c r="AI1167" i="1" s="1"/>
  <c r="AG1167" i="1"/>
  <c r="AD1167" i="1"/>
  <c r="AE1167" i="1" s="1"/>
  <c r="AC1167" i="1"/>
  <c r="Z1167" i="1"/>
  <c r="AA1167" i="1" s="1"/>
  <c r="Y1167" i="1"/>
  <c r="W1167" i="1"/>
  <c r="V1167" i="1"/>
  <c r="T1167" i="1"/>
  <c r="U1167" i="1" s="1"/>
  <c r="S1167" i="1"/>
  <c r="R1167" i="1"/>
  <c r="Q1167" i="1"/>
  <c r="N1167" i="1"/>
  <c r="O1167" i="1" s="1"/>
  <c r="M1167" i="1"/>
  <c r="J1167" i="1"/>
  <c r="I1167" i="1"/>
  <c r="H1167" i="1"/>
  <c r="F1167" i="1"/>
  <c r="E1167" i="1"/>
  <c r="D1167" i="1"/>
  <c r="BN1166" i="1"/>
  <c r="BM1166" i="1"/>
  <c r="BL1166" i="1"/>
  <c r="BJ1166" i="1"/>
  <c r="BI1166" i="1"/>
  <c r="BF1166" i="1"/>
  <c r="BG1166" i="1" s="1"/>
  <c r="BE1166" i="1"/>
  <c r="BB1166" i="1"/>
  <c r="BC1166" i="1" s="1"/>
  <c r="BA1166" i="1"/>
  <c r="AX1166" i="1"/>
  <c r="AW1166" i="1"/>
  <c r="AU1166" i="1"/>
  <c r="AT1166" i="1"/>
  <c r="AS1166" i="1"/>
  <c r="AQ1166" i="1"/>
  <c r="AP1166" i="1"/>
  <c r="AM1166" i="1" s="1"/>
  <c r="AO1166" i="1"/>
  <c r="AL1166" i="1"/>
  <c r="AK1166" i="1"/>
  <c r="AH1166" i="1"/>
  <c r="AI1166" i="1" s="1"/>
  <c r="AG1166" i="1"/>
  <c r="AE1166" i="1"/>
  <c r="AD1166" i="1"/>
  <c r="AC1166" i="1"/>
  <c r="Z1166" i="1"/>
  <c r="AA1166" i="1" s="1"/>
  <c r="Y1166" i="1"/>
  <c r="V1166" i="1"/>
  <c r="W1166" i="1" s="1"/>
  <c r="U1166" i="1"/>
  <c r="R1166" i="1"/>
  <c r="Q1166" i="1"/>
  <c r="O1166" i="1"/>
  <c r="N1166" i="1"/>
  <c r="M1166" i="1"/>
  <c r="K1166" i="1"/>
  <c r="J1166" i="1"/>
  <c r="G1166" i="1" s="1"/>
  <c r="I1166" i="1"/>
  <c r="F1166" i="1"/>
  <c r="E1166" i="1"/>
  <c r="BN1165" i="1"/>
  <c r="BL1165" i="1"/>
  <c r="BJ1165" i="1"/>
  <c r="BG1165" i="1" s="1"/>
  <c r="BI1165" i="1"/>
  <c r="BF1165" i="1"/>
  <c r="BE1165" i="1"/>
  <c r="BB1165" i="1"/>
  <c r="BC1165" i="1" s="1"/>
  <c r="BA1165" i="1"/>
  <c r="AY1165" i="1"/>
  <c r="AX1165" i="1"/>
  <c r="AW1165" i="1"/>
  <c r="AT1165" i="1"/>
  <c r="AU1165" i="1" s="1"/>
  <c r="AS1165" i="1"/>
  <c r="AP1165" i="1"/>
  <c r="AQ1165" i="1" s="1"/>
  <c r="AO1165" i="1"/>
  <c r="AL1165" i="1"/>
  <c r="AM1165" i="1" s="1"/>
  <c r="AK1165" i="1"/>
  <c r="AI1165" i="1"/>
  <c r="AH1165" i="1"/>
  <c r="AG1165" i="1"/>
  <c r="AE1165" i="1"/>
  <c r="AD1165" i="1"/>
  <c r="AA1165" i="1" s="1"/>
  <c r="AC1165" i="1"/>
  <c r="Z1165" i="1"/>
  <c r="Y1165" i="1"/>
  <c r="V1165" i="1"/>
  <c r="W1165" i="1" s="1"/>
  <c r="U1165" i="1"/>
  <c r="S1165" i="1"/>
  <c r="R1165" i="1"/>
  <c r="Q1165" i="1"/>
  <c r="N1165" i="1"/>
  <c r="O1165" i="1" s="1"/>
  <c r="M1165" i="1"/>
  <c r="J1165" i="1"/>
  <c r="K1165" i="1" s="1"/>
  <c r="I1165" i="1"/>
  <c r="F1165" i="1"/>
  <c r="G1165" i="1" s="1"/>
  <c r="E1165" i="1"/>
  <c r="BN1164" i="1"/>
  <c r="BL1164" i="1"/>
  <c r="BJ1164" i="1"/>
  <c r="BM1164" i="1" s="1"/>
  <c r="BI1164" i="1"/>
  <c r="BF1164" i="1"/>
  <c r="BG1164" i="1" s="1"/>
  <c r="BE1164" i="1"/>
  <c r="BC1164" i="1"/>
  <c r="BB1164" i="1"/>
  <c r="BA1164" i="1"/>
  <c r="AY1164" i="1"/>
  <c r="AX1164" i="1"/>
  <c r="AW1164" i="1"/>
  <c r="AT1164" i="1"/>
  <c r="AU1164" i="1" s="1"/>
  <c r="AS1164" i="1"/>
  <c r="AP1164" i="1"/>
  <c r="AQ1164" i="1" s="1"/>
  <c r="AO1164" i="1"/>
  <c r="AM1164" i="1"/>
  <c r="AL1164" i="1"/>
  <c r="AK1164" i="1"/>
  <c r="AH1164" i="1"/>
  <c r="AI1164" i="1" s="1"/>
  <c r="AG1164" i="1"/>
  <c r="AD1164" i="1"/>
  <c r="AE1164" i="1" s="1"/>
  <c r="AC1164" i="1"/>
  <c r="Z1164" i="1"/>
  <c r="Y1164" i="1"/>
  <c r="W1164" i="1"/>
  <c r="V1164" i="1"/>
  <c r="U1164" i="1"/>
  <c r="S1164" i="1"/>
  <c r="R1164" i="1"/>
  <c r="Q1164" i="1"/>
  <c r="N1164" i="1"/>
  <c r="O1164" i="1" s="1"/>
  <c r="M1164" i="1"/>
  <c r="J1164" i="1"/>
  <c r="K1164" i="1" s="1"/>
  <c r="I1164" i="1"/>
  <c r="G1164" i="1"/>
  <c r="F1164" i="1"/>
  <c r="E1164" i="1"/>
  <c r="BN1163" i="1"/>
  <c r="BM1163" i="1"/>
  <c r="BL1163" i="1"/>
  <c r="BJ1163" i="1"/>
  <c r="BI1163" i="1"/>
  <c r="BG1163" i="1"/>
  <c r="BF1163" i="1"/>
  <c r="BE1163" i="1"/>
  <c r="BB1163" i="1"/>
  <c r="BC1163" i="1" s="1"/>
  <c r="BA1163" i="1"/>
  <c r="AX1163" i="1"/>
  <c r="AY1163" i="1" s="1"/>
  <c r="AW1163" i="1"/>
  <c r="AT1163" i="1"/>
  <c r="AS1163" i="1"/>
  <c r="AQ1163" i="1"/>
  <c r="AP1163" i="1"/>
  <c r="AO1163" i="1"/>
  <c r="AM1163" i="1"/>
  <c r="AL1163" i="1"/>
  <c r="AK1163" i="1"/>
  <c r="AH1163" i="1"/>
  <c r="AI1163" i="1" s="1"/>
  <c r="AG1163" i="1"/>
  <c r="AD1163" i="1"/>
  <c r="AE1163" i="1" s="1"/>
  <c r="AC1163" i="1"/>
  <c r="AA1163" i="1"/>
  <c r="Z1163" i="1"/>
  <c r="Y1163" i="1"/>
  <c r="V1163" i="1"/>
  <c r="W1163" i="1" s="1"/>
  <c r="U1163" i="1"/>
  <c r="R1163" i="1"/>
  <c r="S1163" i="1" s="1"/>
  <c r="Q1163" i="1"/>
  <c r="N1163" i="1"/>
  <c r="O1163" i="1" s="1"/>
  <c r="M1163" i="1"/>
  <c r="K1163" i="1"/>
  <c r="J1163" i="1"/>
  <c r="I1163" i="1"/>
  <c r="G1163" i="1"/>
  <c r="F1163" i="1"/>
  <c r="E1163" i="1"/>
  <c r="BN1162" i="1"/>
  <c r="BM1162" i="1"/>
  <c r="BL1162" i="1"/>
  <c r="BJ1162" i="1"/>
  <c r="BI1162" i="1"/>
  <c r="BG1162" i="1"/>
  <c r="BF1162" i="1"/>
  <c r="BE1162" i="1"/>
  <c r="BB1162" i="1"/>
  <c r="BC1162" i="1" s="1"/>
  <c r="BA1162" i="1"/>
  <c r="AX1162" i="1"/>
  <c r="AY1162" i="1" s="1"/>
  <c r="AW1162" i="1"/>
  <c r="AU1162" i="1"/>
  <c r="AT1162" i="1"/>
  <c r="AS1162" i="1"/>
  <c r="AP1162" i="1"/>
  <c r="AQ1162" i="1" s="1"/>
  <c r="AO1162" i="1"/>
  <c r="AL1162" i="1"/>
  <c r="AM1162" i="1" s="1"/>
  <c r="AK1162" i="1"/>
  <c r="AH1162" i="1"/>
  <c r="AI1162" i="1" s="1"/>
  <c r="AG1162" i="1"/>
  <c r="AE1162" i="1"/>
  <c r="AD1162" i="1"/>
  <c r="AC1162" i="1"/>
  <c r="AA1162" i="1"/>
  <c r="Z1162" i="1"/>
  <c r="Y1162" i="1"/>
  <c r="V1162" i="1"/>
  <c r="W1162" i="1" s="1"/>
  <c r="U1162" i="1"/>
  <c r="R1162" i="1"/>
  <c r="S1162" i="1" s="1"/>
  <c r="Q1162" i="1"/>
  <c r="O1162" i="1"/>
  <c r="N1162" i="1"/>
  <c r="M1162" i="1"/>
  <c r="J1162" i="1"/>
  <c r="K1162" i="1" s="1"/>
  <c r="I1162" i="1"/>
  <c r="F1162" i="1"/>
  <c r="G1162" i="1" s="1"/>
  <c r="E1162" i="1"/>
  <c r="BN1161" i="1"/>
  <c r="BL1161" i="1"/>
  <c r="BJ1161" i="1"/>
  <c r="BM1161" i="1" s="1"/>
  <c r="BI1161" i="1"/>
  <c r="BF1161" i="1"/>
  <c r="BG1161" i="1" s="1"/>
  <c r="BE1161" i="1"/>
  <c r="BB1161" i="1"/>
  <c r="BA1161" i="1"/>
  <c r="AY1161" i="1"/>
  <c r="AX1161" i="1"/>
  <c r="AW1161" i="1"/>
  <c r="AU1161" i="1"/>
  <c r="AT1161" i="1"/>
  <c r="AS1161" i="1"/>
  <c r="AP1161" i="1"/>
  <c r="AQ1161" i="1" s="1"/>
  <c r="AO1161" i="1"/>
  <c r="AL1161" i="1"/>
  <c r="AM1161" i="1" s="1"/>
  <c r="AK1161" i="1"/>
  <c r="AI1161" i="1"/>
  <c r="AH1161" i="1"/>
  <c r="AG1161" i="1"/>
  <c r="AD1161" i="1"/>
  <c r="AE1161" i="1" s="1"/>
  <c r="AC1161" i="1"/>
  <c r="Z1161" i="1"/>
  <c r="AA1161" i="1" s="1"/>
  <c r="Y1161" i="1"/>
  <c r="V1161" i="1"/>
  <c r="W1161" i="1" s="1"/>
  <c r="U1161" i="1"/>
  <c r="S1161" i="1"/>
  <c r="R1161" i="1"/>
  <c r="Q1161" i="1"/>
  <c r="O1161" i="1"/>
  <c r="N1161" i="1"/>
  <c r="M1161" i="1"/>
  <c r="J1161" i="1"/>
  <c r="K1161" i="1" s="1"/>
  <c r="I1161" i="1"/>
  <c r="F1161" i="1"/>
  <c r="G1161" i="1" s="1"/>
  <c r="E1161" i="1"/>
  <c r="BN1160" i="1"/>
  <c r="BL1160" i="1"/>
  <c r="BJ1160" i="1"/>
  <c r="BM1160" i="1" s="1"/>
  <c r="BI1160" i="1"/>
  <c r="BF1160" i="1"/>
  <c r="BG1160" i="1" s="1"/>
  <c r="BE1160" i="1"/>
  <c r="BC1160" i="1"/>
  <c r="BB1160" i="1"/>
  <c r="BA1160" i="1"/>
  <c r="AX1160" i="1"/>
  <c r="AY1160" i="1" s="1"/>
  <c r="AW1160" i="1"/>
  <c r="AT1160" i="1"/>
  <c r="AU1160" i="1" s="1"/>
  <c r="AS1160" i="1"/>
  <c r="AP1160" i="1"/>
  <c r="AQ1160" i="1" s="1"/>
  <c r="AO1160" i="1"/>
  <c r="AM1160" i="1"/>
  <c r="AL1160" i="1"/>
  <c r="AK1160" i="1"/>
  <c r="AI1160" i="1"/>
  <c r="AH1160" i="1"/>
  <c r="AG1160" i="1"/>
  <c r="AD1160" i="1"/>
  <c r="AE1160" i="1" s="1"/>
  <c r="AC1160" i="1"/>
  <c r="Z1160" i="1"/>
  <c r="AA1160" i="1" s="1"/>
  <c r="Y1160" i="1"/>
  <c r="W1160" i="1"/>
  <c r="V1160" i="1"/>
  <c r="U1160" i="1"/>
  <c r="R1160" i="1"/>
  <c r="S1160" i="1" s="1"/>
  <c r="Q1160" i="1"/>
  <c r="N1160" i="1"/>
  <c r="O1160" i="1" s="1"/>
  <c r="M1160" i="1"/>
  <c r="J1160" i="1"/>
  <c r="K1160" i="1" s="1"/>
  <c r="I1160" i="1"/>
  <c r="G1160" i="1"/>
  <c r="F1160" i="1"/>
  <c r="E1160" i="1"/>
  <c r="BN1159" i="1"/>
  <c r="BM1159" i="1" s="1"/>
  <c r="BL1159" i="1"/>
  <c r="BJ1159" i="1"/>
  <c r="BI1159" i="1"/>
  <c r="BG1159" i="1"/>
  <c r="BF1159" i="1"/>
  <c r="BE1159" i="1"/>
  <c r="BC1159" i="1"/>
  <c r="BB1159" i="1"/>
  <c r="BA1159" i="1"/>
  <c r="AX1159" i="1"/>
  <c r="AY1159" i="1" s="1"/>
  <c r="AW1159" i="1"/>
  <c r="AT1159" i="1"/>
  <c r="AU1159" i="1" s="1"/>
  <c r="AS1159" i="1"/>
  <c r="AQ1159" i="1"/>
  <c r="AP1159" i="1"/>
  <c r="AO1159" i="1"/>
  <c r="AL1159" i="1"/>
  <c r="AM1159" i="1" s="1"/>
  <c r="AK1159" i="1"/>
  <c r="AH1159" i="1"/>
  <c r="AI1159" i="1" s="1"/>
  <c r="AG1159" i="1"/>
  <c r="AD1159" i="1"/>
  <c r="AC1159" i="1"/>
  <c r="AA1159" i="1"/>
  <c r="Z1159" i="1"/>
  <c r="Y1159" i="1"/>
  <c r="W1159" i="1"/>
  <c r="V1159" i="1"/>
  <c r="U1159" i="1"/>
  <c r="R1159" i="1"/>
  <c r="S1159" i="1" s="1"/>
  <c r="Q1159" i="1"/>
  <c r="N1159" i="1"/>
  <c r="O1159" i="1" s="1"/>
  <c r="M1159" i="1"/>
  <c r="K1159" i="1"/>
  <c r="J1159" i="1"/>
  <c r="I1159" i="1"/>
  <c r="F1159" i="1"/>
  <c r="G1159" i="1" s="1"/>
  <c r="E1159" i="1"/>
  <c r="BN1158" i="1"/>
  <c r="BM1158" i="1"/>
  <c r="BL1158" i="1"/>
  <c r="BJ1158" i="1"/>
  <c r="BI1158" i="1"/>
  <c r="BF1158" i="1"/>
  <c r="BG1158" i="1" s="1"/>
  <c r="BE1158" i="1"/>
  <c r="BB1158" i="1"/>
  <c r="BC1158" i="1" s="1"/>
  <c r="BA1158" i="1"/>
  <c r="AX1158" i="1"/>
  <c r="AY1158" i="1" s="1"/>
  <c r="AW1158" i="1"/>
  <c r="AU1158" i="1"/>
  <c r="AT1158" i="1"/>
  <c r="AS1158" i="1"/>
  <c r="AQ1158" i="1"/>
  <c r="AP1158" i="1"/>
  <c r="AO1158" i="1"/>
  <c r="AL1158" i="1"/>
  <c r="AM1158" i="1" s="1"/>
  <c r="AK1158" i="1"/>
  <c r="AH1158" i="1"/>
  <c r="AI1158" i="1" s="1"/>
  <c r="AG1158" i="1"/>
  <c r="AE1158" i="1"/>
  <c r="AD1158" i="1"/>
  <c r="AC1158" i="1"/>
  <c r="Z1158" i="1"/>
  <c r="AA1158" i="1" s="1"/>
  <c r="Y1158" i="1"/>
  <c r="V1158" i="1"/>
  <c r="W1158" i="1" s="1"/>
  <c r="U1158" i="1"/>
  <c r="R1158" i="1"/>
  <c r="Q1158" i="1"/>
  <c r="O1158" i="1"/>
  <c r="N1158" i="1"/>
  <c r="M1158" i="1"/>
  <c r="K1158" i="1"/>
  <c r="J1158" i="1"/>
  <c r="I1158" i="1"/>
  <c r="F1158" i="1"/>
  <c r="G1158" i="1" s="1"/>
  <c r="E1158" i="1"/>
  <c r="BN1157" i="1"/>
  <c r="BL1157" i="1"/>
  <c r="BJ1157" i="1"/>
  <c r="BM1157" i="1" s="1"/>
  <c r="BI1157" i="1"/>
  <c r="BF1157" i="1"/>
  <c r="BG1157" i="1" s="1"/>
  <c r="BE1157" i="1"/>
  <c r="BB1157" i="1"/>
  <c r="BC1157" i="1" s="1"/>
  <c r="BA1157" i="1"/>
  <c r="AY1157" i="1"/>
  <c r="AX1157" i="1"/>
  <c r="AW1157" i="1"/>
  <c r="AT1157" i="1"/>
  <c r="AU1157" i="1" s="1"/>
  <c r="AS1157" i="1"/>
  <c r="AP1157" i="1"/>
  <c r="AQ1157" i="1" s="1"/>
  <c r="AO1157" i="1"/>
  <c r="AL1157" i="1"/>
  <c r="AM1157" i="1" s="1"/>
  <c r="AK1157" i="1"/>
  <c r="AI1157" i="1"/>
  <c r="AH1157" i="1"/>
  <c r="AG1157" i="1"/>
  <c r="AE1157" i="1"/>
  <c r="AD1157" i="1"/>
  <c r="AC1157" i="1"/>
  <c r="Z1157" i="1"/>
  <c r="AA1157" i="1" s="1"/>
  <c r="Y1157" i="1"/>
  <c r="V1157" i="1"/>
  <c r="W1157" i="1" s="1"/>
  <c r="U1157" i="1"/>
  <c r="S1157" i="1"/>
  <c r="R1157" i="1"/>
  <c r="Q1157" i="1"/>
  <c r="N1157" i="1"/>
  <c r="O1157" i="1" s="1"/>
  <c r="M1157" i="1"/>
  <c r="J1157" i="1"/>
  <c r="K1157" i="1" s="1"/>
  <c r="I1157" i="1"/>
  <c r="F1157" i="1"/>
  <c r="G1157" i="1" s="1"/>
  <c r="E1157" i="1"/>
  <c r="BN1156" i="1"/>
  <c r="BL1156" i="1"/>
  <c r="BJ1156" i="1"/>
  <c r="BM1156" i="1" s="1"/>
  <c r="BI1156" i="1"/>
  <c r="BF1156" i="1"/>
  <c r="BE1156" i="1"/>
  <c r="BC1156" i="1"/>
  <c r="BB1156" i="1"/>
  <c r="BA1156" i="1"/>
  <c r="AY1156" i="1"/>
  <c r="AX1156" i="1"/>
  <c r="AW1156" i="1"/>
  <c r="AT1156" i="1"/>
  <c r="AU1156" i="1" s="1"/>
  <c r="AS1156" i="1"/>
  <c r="AP1156" i="1"/>
  <c r="AQ1156" i="1" s="1"/>
  <c r="AO1156" i="1"/>
  <c r="AM1156" i="1"/>
  <c r="AL1156" i="1"/>
  <c r="AK1156" i="1"/>
  <c r="AH1156" i="1"/>
  <c r="AI1156" i="1" s="1"/>
  <c r="AG1156" i="1"/>
  <c r="AD1156" i="1"/>
  <c r="AE1156" i="1" s="1"/>
  <c r="AC1156" i="1"/>
  <c r="Z1156" i="1"/>
  <c r="AA1156" i="1" s="1"/>
  <c r="Y1156" i="1"/>
  <c r="W1156" i="1"/>
  <c r="V1156" i="1"/>
  <c r="U1156" i="1"/>
  <c r="S1156" i="1"/>
  <c r="R1156" i="1"/>
  <c r="Q1156" i="1"/>
  <c r="N1156" i="1"/>
  <c r="O1156" i="1" s="1"/>
  <c r="M1156" i="1"/>
  <c r="J1156" i="1"/>
  <c r="K1156" i="1" s="1"/>
  <c r="I1156" i="1"/>
  <c r="G1156" i="1"/>
  <c r="F1156" i="1"/>
  <c r="E1156" i="1"/>
  <c r="BN1155" i="1"/>
  <c r="BM1155" i="1"/>
  <c r="BL1155" i="1"/>
  <c r="BJ1155" i="1"/>
  <c r="BI1155" i="1"/>
  <c r="BG1155" i="1"/>
  <c r="BF1155" i="1"/>
  <c r="BE1155" i="1"/>
  <c r="BB1155" i="1"/>
  <c r="BC1155" i="1" s="1"/>
  <c r="BA1155" i="1"/>
  <c r="AX1155" i="1"/>
  <c r="AY1155" i="1" s="1"/>
  <c r="AW1155" i="1"/>
  <c r="AT1155" i="1"/>
  <c r="AS1155" i="1"/>
  <c r="AQ1155" i="1"/>
  <c r="AP1155" i="1"/>
  <c r="AO1155" i="1"/>
  <c r="AM1155" i="1"/>
  <c r="AL1155" i="1"/>
  <c r="AK1155" i="1"/>
  <c r="AH1155" i="1"/>
  <c r="AI1155" i="1" s="1"/>
  <c r="AG1155" i="1"/>
  <c r="AD1155" i="1"/>
  <c r="AE1155" i="1" s="1"/>
  <c r="AC1155" i="1"/>
  <c r="AA1155" i="1"/>
  <c r="Z1155" i="1"/>
  <c r="Y1155" i="1"/>
  <c r="V1155" i="1"/>
  <c r="W1155" i="1" s="1"/>
  <c r="U1155" i="1"/>
  <c r="R1155" i="1"/>
  <c r="S1155" i="1" s="1"/>
  <c r="Q1155" i="1"/>
  <c r="N1155" i="1"/>
  <c r="M1155" i="1"/>
  <c r="K1155" i="1"/>
  <c r="J1155" i="1"/>
  <c r="I1155" i="1"/>
  <c r="G1155" i="1"/>
  <c r="F1155" i="1"/>
  <c r="E1155" i="1"/>
  <c r="BN1154" i="1"/>
  <c r="BM1154" i="1"/>
  <c r="BL1154" i="1"/>
  <c r="BJ1154" i="1"/>
  <c r="BI1154" i="1"/>
  <c r="BG1154" i="1"/>
  <c r="BF1154" i="1"/>
  <c r="BE1154" i="1"/>
  <c r="BB1154" i="1"/>
  <c r="BC1154" i="1" s="1"/>
  <c r="BA1154" i="1"/>
  <c r="AX1154" i="1"/>
  <c r="AY1154" i="1" s="1"/>
  <c r="AW1154" i="1"/>
  <c r="AU1154" i="1"/>
  <c r="AT1154" i="1"/>
  <c r="AS1154" i="1"/>
  <c r="AP1154" i="1"/>
  <c r="AQ1154" i="1" s="1"/>
  <c r="AO1154" i="1"/>
  <c r="AL1154" i="1"/>
  <c r="AM1154" i="1" s="1"/>
  <c r="AK1154" i="1"/>
  <c r="AH1154" i="1"/>
  <c r="AI1154" i="1" s="1"/>
  <c r="AG1154" i="1"/>
  <c r="AE1154" i="1"/>
  <c r="AD1154" i="1"/>
  <c r="AC1154" i="1"/>
  <c r="AA1154" i="1"/>
  <c r="Z1154" i="1"/>
  <c r="Y1154" i="1"/>
  <c r="V1154" i="1"/>
  <c r="W1154" i="1" s="1"/>
  <c r="U1154" i="1"/>
  <c r="R1154" i="1"/>
  <c r="S1154" i="1" s="1"/>
  <c r="Q1154" i="1"/>
  <c r="O1154" i="1"/>
  <c r="N1154" i="1"/>
  <c r="M1154" i="1"/>
  <c r="J1154" i="1"/>
  <c r="K1154" i="1" s="1"/>
  <c r="I1154" i="1"/>
  <c r="F1154" i="1"/>
  <c r="G1154" i="1" s="1"/>
  <c r="E1154" i="1"/>
  <c r="BN1153" i="1"/>
  <c r="BL1153" i="1"/>
  <c r="BJ1153" i="1"/>
  <c r="BM1153" i="1" s="1"/>
  <c r="BI1153" i="1"/>
  <c r="BF1153" i="1"/>
  <c r="BG1153" i="1" s="1"/>
  <c r="BE1153" i="1"/>
  <c r="BB1153" i="1"/>
  <c r="BC1153" i="1" s="1"/>
  <c r="BA1153" i="1"/>
  <c r="AY1153" i="1"/>
  <c r="AX1153" i="1"/>
  <c r="AW1153" i="1"/>
  <c r="AU1153" i="1"/>
  <c r="AT1153" i="1"/>
  <c r="AS1153" i="1"/>
  <c r="AP1153" i="1"/>
  <c r="AQ1153" i="1" s="1"/>
  <c r="AO1153" i="1"/>
  <c r="AL1153" i="1"/>
  <c r="AM1153" i="1" s="1"/>
  <c r="AK1153" i="1"/>
  <c r="AI1153" i="1"/>
  <c r="AH1153" i="1"/>
  <c r="AG1153" i="1"/>
  <c r="AD1153" i="1"/>
  <c r="AE1153" i="1" s="1"/>
  <c r="AC1153" i="1"/>
  <c r="Z1153" i="1"/>
  <c r="AA1153" i="1" s="1"/>
  <c r="Y1153" i="1"/>
  <c r="V1153" i="1"/>
  <c r="U1153" i="1"/>
  <c r="S1153" i="1"/>
  <c r="R1153" i="1"/>
  <c r="Q1153" i="1"/>
  <c r="O1153" i="1"/>
  <c r="N1153" i="1"/>
  <c r="M1153" i="1"/>
  <c r="J1153" i="1"/>
  <c r="K1153" i="1" s="1"/>
  <c r="I1153" i="1"/>
  <c r="F1153" i="1"/>
  <c r="G1153" i="1" s="1"/>
  <c r="E1153" i="1"/>
  <c r="BN1152" i="1"/>
  <c r="BL1152" i="1"/>
  <c r="BJ1152" i="1"/>
  <c r="BM1152" i="1" s="1"/>
  <c r="BI1152" i="1"/>
  <c r="BF1152" i="1"/>
  <c r="BG1152" i="1" s="1"/>
  <c r="BE1152" i="1"/>
  <c r="BC1152" i="1"/>
  <c r="BB1152" i="1"/>
  <c r="BA1152" i="1"/>
  <c r="AX1152" i="1"/>
  <c r="AY1152" i="1" s="1"/>
  <c r="AW1152" i="1"/>
  <c r="AT1152" i="1"/>
  <c r="AU1152" i="1" s="1"/>
  <c r="AS1152" i="1"/>
  <c r="AP1152" i="1"/>
  <c r="AO1152" i="1"/>
  <c r="AM1152" i="1"/>
  <c r="AL1152" i="1"/>
  <c r="AK1152" i="1"/>
  <c r="AI1152" i="1"/>
  <c r="AH1152" i="1"/>
  <c r="AG1152" i="1"/>
  <c r="AD1152" i="1"/>
  <c r="AE1152" i="1" s="1"/>
  <c r="AC1152" i="1"/>
  <c r="Z1152" i="1"/>
  <c r="AA1152" i="1" s="1"/>
  <c r="Y1152" i="1"/>
  <c r="W1152" i="1"/>
  <c r="V1152" i="1"/>
  <c r="U1152" i="1"/>
  <c r="R1152" i="1"/>
  <c r="S1152" i="1" s="1"/>
  <c r="Q1152" i="1"/>
  <c r="N1152" i="1"/>
  <c r="O1152" i="1" s="1"/>
  <c r="M1152" i="1"/>
  <c r="J1152" i="1"/>
  <c r="K1152" i="1" s="1"/>
  <c r="I1152" i="1"/>
  <c r="G1152" i="1"/>
  <c r="F1152" i="1"/>
  <c r="E1152" i="1"/>
  <c r="BN1151" i="1"/>
  <c r="BM1151" i="1" s="1"/>
  <c r="BL1151" i="1"/>
  <c r="BJ1151" i="1"/>
  <c r="BI1151" i="1"/>
  <c r="BG1151" i="1"/>
  <c r="BF1151" i="1"/>
  <c r="BE1151" i="1"/>
  <c r="BC1151" i="1"/>
  <c r="BB1151" i="1"/>
  <c r="BA1151" i="1"/>
  <c r="AX1151" i="1"/>
  <c r="AY1151" i="1" s="1"/>
  <c r="AW1151" i="1"/>
  <c r="AT1151" i="1"/>
  <c r="AU1151" i="1" s="1"/>
  <c r="AS1151" i="1"/>
  <c r="AQ1151" i="1"/>
  <c r="AP1151" i="1"/>
  <c r="AO1151" i="1"/>
  <c r="AL1151" i="1"/>
  <c r="AM1151" i="1" s="1"/>
  <c r="AK1151" i="1"/>
  <c r="AH1151" i="1"/>
  <c r="AI1151" i="1" s="1"/>
  <c r="AG1151" i="1"/>
  <c r="AD1151" i="1"/>
  <c r="AC1151" i="1"/>
  <c r="AA1151" i="1"/>
  <c r="Z1151" i="1"/>
  <c r="Y1151" i="1"/>
  <c r="W1151" i="1"/>
  <c r="V1151" i="1"/>
  <c r="U1151" i="1"/>
  <c r="R1151" i="1"/>
  <c r="S1151" i="1" s="1"/>
  <c r="Q1151" i="1"/>
  <c r="N1151" i="1"/>
  <c r="O1151" i="1" s="1"/>
  <c r="M1151" i="1"/>
  <c r="K1151" i="1"/>
  <c r="J1151" i="1"/>
  <c r="I1151" i="1"/>
  <c r="F1151" i="1"/>
  <c r="G1151" i="1" s="1"/>
  <c r="E1151" i="1"/>
  <c r="BN1150" i="1"/>
  <c r="BM1150" i="1"/>
  <c r="BL1150" i="1"/>
  <c r="BJ1150" i="1"/>
  <c r="BI1150" i="1"/>
  <c r="BF1150" i="1"/>
  <c r="BG1150" i="1" s="1"/>
  <c r="BE1150" i="1"/>
  <c r="BB1150" i="1"/>
  <c r="BC1150" i="1" s="1"/>
  <c r="BA1150" i="1"/>
  <c r="AX1150" i="1"/>
  <c r="AW1150" i="1"/>
  <c r="AU1150" i="1"/>
  <c r="AT1150" i="1"/>
  <c r="AS1150" i="1"/>
  <c r="AQ1150" i="1"/>
  <c r="AP1150" i="1"/>
  <c r="AO1150" i="1"/>
  <c r="AL1150" i="1"/>
  <c r="AM1150" i="1" s="1"/>
  <c r="AK1150" i="1"/>
  <c r="AH1150" i="1"/>
  <c r="AI1150" i="1" s="1"/>
  <c r="AG1150" i="1"/>
  <c r="AE1150" i="1"/>
  <c r="AD1150" i="1"/>
  <c r="AC1150" i="1"/>
  <c r="Z1150" i="1"/>
  <c r="AA1150" i="1" s="1"/>
  <c r="Y1150" i="1"/>
  <c r="V1150" i="1"/>
  <c r="W1150" i="1" s="1"/>
  <c r="U1150" i="1"/>
  <c r="R1150" i="1"/>
  <c r="S1150" i="1" s="1"/>
  <c r="Q1150" i="1"/>
  <c r="O1150" i="1"/>
  <c r="N1150" i="1"/>
  <c r="M1150" i="1"/>
  <c r="K1150" i="1"/>
  <c r="J1150" i="1"/>
  <c r="I1150" i="1"/>
  <c r="F1150" i="1"/>
  <c r="G1150" i="1" s="1"/>
  <c r="E1150" i="1"/>
  <c r="BN1149" i="1"/>
  <c r="BM1149" i="1"/>
  <c r="BL1149" i="1"/>
  <c r="BK1149" i="1"/>
  <c r="BJ1149" i="1"/>
  <c r="BH1149" i="1"/>
  <c r="BI1149" i="1" s="1"/>
  <c r="BG1149" i="1"/>
  <c r="BF1149" i="1"/>
  <c r="BD1149" i="1"/>
  <c r="BE1149" i="1" s="1"/>
  <c r="BC1149" i="1"/>
  <c r="BB1149" i="1"/>
  <c r="AZ1149" i="1"/>
  <c r="BA1149" i="1" s="1"/>
  <c r="AY1149" i="1"/>
  <c r="AX1149" i="1"/>
  <c r="AV1149" i="1"/>
  <c r="AW1149" i="1" s="1"/>
  <c r="AU1149" i="1"/>
  <c r="AT1149" i="1"/>
  <c r="AR1149" i="1"/>
  <c r="AS1149" i="1" s="1"/>
  <c r="AQ1149" i="1"/>
  <c r="AP1149" i="1"/>
  <c r="AN1149" i="1"/>
  <c r="AO1149" i="1" s="1"/>
  <c r="AM1149" i="1"/>
  <c r="AL1149" i="1"/>
  <c r="AJ1149" i="1"/>
  <c r="AK1149" i="1" s="1"/>
  <c r="AI1149" i="1"/>
  <c r="AH1149" i="1"/>
  <c r="AF1149" i="1"/>
  <c r="AG1149" i="1" s="1"/>
  <c r="AE1149" i="1"/>
  <c r="AD1149" i="1"/>
  <c r="AB1149" i="1"/>
  <c r="AC1149" i="1" s="1"/>
  <c r="AA1149" i="1"/>
  <c r="Z1149" i="1"/>
  <c r="X1149" i="1"/>
  <c r="Y1149" i="1" s="1"/>
  <c r="W1149" i="1"/>
  <c r="V1149" i="1"/>
  <c r="T1149" i="1"/>
  <c r="U1149" i="1" s="1"/>
  <c r="S1149" i="1"/>
  <c r="R1149" i="1"/>
  <c r="P1149" i="1"/>
  <c r="Q1149" i="1" s="1"/>
  <c r="O1149" i="1"/>
  <c r="N1149" i="1"/>
  <c r="L1149" i="1"/>
  <c r="M1149" i="1" s="1"/>
  <c r="K1149" i="1"/>
  <c r="J1149" i="1"/>
  <c r="H1149" i="1"/>
  <c r="I1149" i="1" s="1"/>
  <c r="G1149" i="1"/>
  <c r="F1149" i="1"/>
  <c r="D1149" i="1"/>
  <c r="E1149" i="1" s="1"/>
  <c r="BN1148" i="1"/>
  <c r="BK1148" i="1"/>
  <c r="BL1148" i="1" s="1"/>
  <c r="BJ1148" i="1"/>
  <c r="BM1148" i="1" s="1"/>
  <c r="BH1148" i="1"/>
  <c r="BI1148" i="1" s="1"/>
  <c r="BF1148" i="1"/>
  <c r="BG1148" i="1" s="1"/>
  <c r="BD1148" i="1"/>
  <c r="BE1148" i="1" s="1"/>
  <c r="BC1148" i="1"/>
  <c r="BB1148" i="1"/>
  <c r="AZ1148" i="1"/>
  <c r="BA1148" i="1" s="1"/>
  <c r="AX1148" i="1"/>
  <c r="AY1148" i="1" s="1"/>
  <c r="AV1148" i="1"/>
  <c r="AW1148" i="1" s="1"/>
  <c r="AU1148" i="1"/>
  <c r="AT1148" i="1"/>
  <c r="AR1148" i="1"/>
  <c r="AS1148" i="1" s="1"/>
  <c r="AP1148" i="1"/>
  <c r="AQ1148" i="1" s="1"/>
  <c r="AN1148" i="1"/>
  <c r="AO1148" i="1" s="1"/>
  <c r="AM1148" i="1"/>
  <c r="AL1148" i="1"/>
  <c r="AJ1148" i="1"/>
  <c r="AK1148" i="1" s="1"/>
  <c r="AH1148" i="1"/>
  <c r="AI1148" i="1" s="1"/>
  <c r="AF1148" i="1"/>
  <c r="AG1148" i="1" s="1"/>
  <c r="AE1148" i="1"/>
  <c r="AD1148" i="1"/>
  <c r="AB1148" i="1"/>
  <c r="AC1148" i="1" s="1"/>
  <c r="Z1148" i="1"/>
  <c r="AA1148" i="1" s="1"/>
  <c r="X1148" i="1"/>
  <c r="Y1148" i="1" s="1"/>
  <c r="W1148" i="1"/>
  <c r="V1148" i="1"/>
  <c r="T1148" i="1"/>
  <c r="U1148" i="1" s="1"/>
  <c r="R1148" i="1"/>
  <c r="S1148" i="1" s="1"/>
  <c r="P1148" i="1"/>
  <c r="Q1148" i="1" s="1"/>
  <c r="O1148" i="1"/>
  <c r="N1148" i="1"/>
  <c r="L1148" i="1"/>
  <c r="M1148" i="1" s="1"/>
  <c r="J1148" i="1"/>
  <c r="K1148" i="1" s="1"/>
  <c r="H1148" i="1"/>
  <c r="I1148" i="1" s="1"/>
  <c r="G1148" i="1"/>
  <c r="F1148" i="1"/>
  <c r="D1148" i="1"/>
  <c r="E1148" i="1" s="1"/>
  <c r="BN1147" i="1"/>
  <c r="BK1147" i="1"/>
  <c r="BL1147" i="1" s="1"/>
  <c r="BJ1147" i="1"/>
  <c r="BM1147" i="1" s="1"/>
  <c r="BI1147" i="1"/>
  <c r="BH1147" i="1"/>
  <c r="BF1147" i="1"/>
  <c r="BE1147" i="1"/>
  <c r="BD1147" i="1"/>
  <c r="BB1147" i="1"/>
  <c r="BC1147" i="1" s="1"/>
  <c r="BA1147" i="1"/>
  <c r="AZ1147" i="1"/>
  <c r="AX1147" i="1"/>
  <c r="AY1147" i="1" s="1"/>
  <c r="AW1147" i="1"/>
  <c r="AV1147" i="1"/>
  <c r="AT1147" i="1"/>
  <c r="AU1147" i="1" s="1"/>
  <c r="AS1147" i="1"/>
  <c r="AR1147" i="1"/>
  <c r="AP1147" i="1"/>
  <c r="AQ1147" i="1" s="1"/>
  <c r="AO1147" i="1"/>
  <c r="AN1147" i="1"/>
  <c r="AL1147" i="1"/>
  <c r="AM1147" i="1" s="1"/>
  <c r="AK1147" i="1"/>
  <c r="AJ1147" i="1"/>
  <c r="AH1147" i="1"/>
  <c r="AI1147" i="1" s="1"/>
  <c r="AG1147" i="1"/>
  <c r="AF1147" i="1"/>
  <c r="AD1147" i="1"/>
  <c r="AE1147" i="1" s="1"/>
  <c r="AC1147" i="1"/>
  <c r="AB1147" i="1"/>
  <c r="Z1147" i="1"/>
  <c r="Y1147" i="1"/>
  <c r="X1147" i="1"/>
  <c r="V1147" i="1"/>
  <c r="W1147" i="1" s="1"/>
  <c r="U1147" i="1"/>
  <c r="T1147" i="1"/>
  <c r="R1147" i="1"/>
  <c r="S1147" i="1" s="1"/>
  <c r="Q1147" i="1"/>
  <c r="P1147" i="1"/>
  <c r="N1147" i="1"/>
  <c r="O1147" i="1" s="1"/>
  <c r="M1147" i="1"/>
  <c r="L1147" i="1"/>
  <c r="J1147" i="1"/>
  <c r="K1147" i="1" s="1"/>
  <c r="I1147" i="1"/>
  <c r="H1147" i="1"/>
  <c r="F1147" i="1"/>
  <c r="G1147" i="1" s="1"/>
  <c r="E1147" i="1"/>
  <c r="D1147" i="1"/>
  <c r="BN1146" i="1"/>
  <c r="BM1146" i="1"/>
  <c r="BL1146" i="1"/>
  <c r="BJ1146" i="1"/>
  <c r="BI1146" i="1"/>
  <c r="BG1146" i="1"/>
  <c r="BF1146" i="1"/>
  <c r="BE1146" i="1"/>
  <c r="BB1146" i="1"/>
  <c r="BC1146" i="1" s="1"/>
  <c r="BA1146" i="1"/>
  <c r="AX1146" i="1"/>
  <c r="AY1146" i="1" s="1"/>
  <c r="AW1146" i="1"/>
  <c r="AU1146" i="1"/>
  <c r="AT1146" i="1"/>
  <c r="AS1146" i="1"/>
  <c r="AP1146" i="1"/>
  <c r="AQ1146" i="1" s="1"/>
  <c r="AO1146" i="1"/>
  <c r="AL1146" i="1"/>
  <c r="AM1146" i="1" s="1"/>
  <c r="AK1146" i="1"/>
  <c r="AH1146" i="1"/>
  <c r="AG1146" i="1"/>
  <c r="AE1146" i="1"/>
  <c r="AD1146" i="1"/>
  <c r="AC1146" i="1"/>
  <c r="AA1146" i="1"/>
  <c r="Z1146" i="1"/>
  <c r="Y1146" i="1"/>
  <c r="V1146" i="1"/>
  <c r="W1146" i="1" s="1"/>
  <c r="U1146" i="1"/>
  <c r="R1146" i="1"/>
  <c r="S1146" i="1" s="1"/>
  <c r="Q1146" i="1"/>
  <c r="O1146" i="1"/>
  <c r="N1146" i="1"/>
  <c r="M1146" i="1"/>
  <c r="J1146" i="1"/>
  <c r="K1146" i="1" s="1"/>
  <c r="I1146" i="1"/>
  <c r="F1146" i="1"/>
  <c r="G1146" i="1" s="1"/>
  <c r="E1146" i="1"/>
  <c r="BN1145" i="1"/>
  <c r="BL1145" i="1"/>
  <c r="BJ1145" i="1"/>
  <c r="BM1145" i="1" s="1"/>
  <c r="BI1145" i="1"/>
  <c r="BF1145" i="1"/>
  <c r="BG1145" i="1" s="1"/>
  <c r="BE1145" i="1"/>
  <c r="BB1145" i="1"/>
  <c r="BC1145" i="1" s="1"/>
  <c r="BA1145" i="1"/>
  <c r="AY1145" i="1"/>
  <c r="AX1145" i="1"/>
  <c r="AW1145" i="1"/>
  <c r="AU1145" i="1"/>
  <c r="AT1145" i="1"/>
  <c r="AS1145" i="1"/>
  <c r="AP1145" i="1"/>
  <c r="AQ1145" i="1" s="1"/>
  <c r="AO1145" i="1"/>
  <c r="AL1145" i="1"/>
  <c r="AM1145" i="1" s="1"/>
  <c r="AK1145" i="1"/>
  <c r="AI1145" i="1"/>
  <c r="AH1145" i="1"/>
  <c r="AG1145" i="1"/>
  <c r="AD1145" i="1"/>
  <c r="AE1145" i="1" s="1"/>
  <c r="AC1145" i="1"/>
  <c r="Z1145" i="1"/>
  <c r="AA1145" i="1" s="1"/>
  <c r="Y1145" i="1"/>
  <c r="V1145" i="1"/>
  <c r="W1145" i="1" s="1"/>
  <c r="U1145" i="1"/>
  <c r="S1145" i="1"/>
  <c r="R1145" i="1"/>
  <c r="Q1145" i="1"/>
  <c r="O1145" i="1"/>
  <c r="N1145" i="1"/>
  <c r="M1145" i="1"/>
  <c r="J1145" i="1"/>
  <c r="K1145" i="1" s="1"/>
  <c r="I1145" i="1"/>
  <c r="F1145" i="1"/>
  <c r="G1145" i="1" s="1"/>
  <c r="E1145" i="1"/>
  <c r="BN1144" i="1"/>
  <c r="BL1144" i="1"/>
  <c r="BJ1144" i="1"/>
  <c r="BM1144" i="1" s="1"/>
  <c r="BI1144" i="1"/>
  <c r="BF1144" i="1"/>
  <c r="BG1144" i="1" s="1"/>
  <c r="BE1144" i="1"/>
  <c r="BC1144" i="1"/>
  <c r="BB1144" i="1"/>
  <c r="BA1144" i="1"/>
  <c r="AX1144" i="1"/>
  <c r="AY1144" i="1" s="1"/>
  <c r="AW1144" i="1"/>
  <c r="AT1144" i="1"/>
  <c r="AU1144" i="1" s="1"/>
  <c r="AS1144" i="1"/>
  <c r="AP1144" i="1"/>
  <c r="AQ1144" i="1" s="1"/>
  <c r="AO1144" i="1"/>
  <c r="AM1144" i="1"/>
  <c r="AL1144" i="1"/>
  <c r="AK1144" i="1"/>
  <c r="AI1144" i="1"/>
  <c r="AH1144" i="1"/>
  <c r="AG1144" i="1"/>
  <c r="AD1144" i="1"/>
  <c r="AE1144" i="1" s="1"/>
  <c r="AC1144" i="1"/>
  <c r="Z1144" i="1"/>
  <c r="AA1144" i="1" s="1"/>
  <c r="Y1144" i="1"/>
  <c r="W1144" i="1"/>
  <c r="V1144" i="1"/>
  <c r="U1144" i="1"/>
  <c r="R1144" i="1"/>
  <c r="S1144" i="1" s="1"/>
  <c r="Q1144" i="1"/>
  <c r="N1144" i="1"/>
  <c r="O1144" i="1" s="1"/>
  <c r="M1144" i="1"/>
  <c r="J1144" i="1"/>
  <c r="I1144" i="1"/>
  <c r="G1144" i="1"/>
  <c r="F1144" i="1"/>
  <c r="E1144" i="1"/>
  <c r="BN1143" i="1"/>
  <c r="BM1143" i="1" s="1"/>
  <c r="BL1143" i="1"/>
  <c r="BJ1143" i="1"/>
  <c r="BI1143" i="1"/>
  <c r="BG1143" i="1"/>
  <c r="BF1143" i="1"/>
  <c r="BE1143" i="1"/>
  <c r="BC1143" i="1"/>
  <c r="BB1143" i="1"/>
  <c r="BA1143" i="1"/>
  <c r="AX1143" i="1"/>
  <c r="AY1143" i="1" s="1"/>
  <c r="AW1143" i="1"/>
  <c r="AT1143" i="1"/>
  <c r="AU1143" i="1" s="1"/>
  <c r="AS1143" i="1"/>
  <c r="AQ1143" i="1"/>
  <c r="AP1143" i="1"/>
  <c r="AO1143" i="1"/>
  <c r="AL1143" i="1"/>
  <c r="AM1143" i="1" s="1"/>
  <c r="AK1143" i="1"/>
  <c r="AH1143" i="1"/>
  <c r="AI1143" i="1" s="1"/>
  <c r="AG1143" i="1"/>
  <c r="AD1143" i="1"/>
  <c r="AC1143" i="1"/>
  <c r="AA1143" i="1"/>
  <c r="Z1143" i="1"/>
  <c r="Y1143" i="1"/>
  <c r="W1143" i="1"/>
  <c r="V1143" i="1"/>
  <c r="U1143" i="1"/>
  <c r="R1143" i="1"/>
  <c r="S1143" i="1" s="1"/>
  <c r="Q1143" i="1"/>
  <c r="N1143" i="1"/>
  <c r="O1143" i="1" s="1"/>
  <c r="M1143" i="1"/>
  <c r="K1143" i="1"/>
  <c r="J1143" i="1"/>
  <c r="I1143" i="1"/>
  <c r="F1143" i="1"/>
  <c r="G1143" i="1" s="1"/>
  <c r="E1143" i="1"/>
  <c r="BN1142" i="1"/>
  <c r="BM1142" i="1"/>
  <c r="BL1142" i="1"/>
  <c r="BJ1142" i="1"/>
  <c r="BI1142" i="1"/>
  <c r="BF1142" i="1"/>
  <c r="BG1142" i="1" s="1"/>
  <c r="BE1142" i="1"/>
  <c r="BB1142" i="1"/>
  <c r="BC1142" i="1" s="1"/>
  <c r="BA1142" i="1"/>
  <c r="AX1142" i="1"/>
  <c r="AY1142" i="1" s="1"/>
  <c r="AW1142" i="1"/>
  <c r="AU1142" i="1"/>
  <c r="AT1142" i="1"/>
  <c r="AS1142" i="1"/>
  <c r="AQ1142" i="1"/>
  <c r="AP1142" i="1"/>
  <c r="AO1142" i="1"/>
  <c r="AL1142" i="1"/>
  <c r="AM1142" i="1" s="1"/>
  <c r="AK1142" i="1"/>
  <c r="AH1142" i="1"/>
  <c r="AI1142" i="1" s="1"/>
  <c r="AG1142" i="1"/>
  <c r="AE1142" i="1"/>
  <c r="AD1142" i="1"/>
  <c r="AC1142" i="1"/>
  <c r="Z1142" i="1"/>
  <c r="AA1142" i="1" s="1"/>
  <c r="Y1142" i="1"/>
  <c r="V1142" i="1"/>
  <c r="W1142" i="1" s="1"/>
  <c r="U1142" i="1"/>
  <c r="R1142" i="1"/>
  <c r="S1142" i="1" s="1"/>
  <c r="Q1142" i="1"/>
  <c r="O1142" i="1"/>
  <c r="N1142" i="1"/>
  <c r="M1142" i="1"/>
  <c r="K1142" i="1"/>
  <c r="J1142" i="1"/>
  <c r="I1142" i="1"/>
  <c r="F1142" i="1"/>
  <c r="G1142" i="1" s="1"/>
  <c r="E1142" i="1"/>
  <c r="BN1141" i="1"/>
  <c r="BM1141" i="1"/>
  <c r="BL1141" i="1"/>
  <c r="BK1141" i="1"/>
  <c r="BJ1141" i="1"/>
  <c r="BI1141" i="1"/>
  <c r="BF1141" i="1"/>
  <c r="BG1141" i="1" s="1"/>
  <c r="BE1141" i="1"/>
  <c r="BB1141" i="1"/>
  <c r="BC1141" i="1" s="1"/>
  <c r="BA1141" i="1"/>
  <c r="AX1141" i="1"/>
  <c r="AW1141" i="1"/>
  <c r="AU1141" i="1"/>
  <c r="AT1141" i="1"/>
  <c r="AS1141" i="1"/>
  <c r="AQ1141" i="1"/>
  <c r="AP1141" i="1"/>
  <c r="AO1141" i="1"/>
  <c r="AL1141" i="1"/>
  <c r="AM1141" i="1" s="1"/>
  <c r="AK1141" i="1"/>
  <c r="AH1141" i="1"/>
  <c r="AI1141" i="1" s="1"/>
  <c r="AG1141" i="1"/>
  <c r="AE1141" i="1"/>
  <c r="AD1141" i="1"/>
  <c r="AC1141" i="1"/>
  <c r="Z1141" i="1"/>
  <c r="AA1141" i="1" s="1"/>
  <c r="Y1141" i="1"/>
  <c r="V1141" i="1"/>
  <c r="W1141" i="1" s="1"/>
  <c r="U1141" i="1"/>
  <c r="R1141" i="1"/>
  <c r="S1141" i="1" s="1"/>
  <c r="Q1141" i="1"/>
  <c r="O1141" i="1"/>
  <c r="N1141" i="1"/>
  <c r="M1141" i="1"/>
  <c r="K1141" i="1"/>
  <c r="J1141" i="1"/>
  <c r="I1141" i="1"/>
  <c r="F1141" i="1"/>
  <c r="G1141" i="1" s="1"/>
  <c r="E1141" i="1"/>
  <c r="BN1140" i="1"/>
  <c r="BM1140" i="1"/>
  <c r="BL1140" i="1"/>
  <c r="BK1140" i="1"/>
  <c r="BJ1140" i="1"/>
  <c r="BI1140" i="1"/>
  <c r="BF1140" i="1"/>
  <c r="BG1140" i="1" s="1"/>
  <c r="BE1140" i="1"/>
  <c r="BB1140" i="1"/>
  <c r="BC1140" i="1" s="1"/>
  <c r="BA1140" i="1"/>
  <c r="AX1140" i="1"/>
  <c r="AW1140" i="1"/>
  <c r="AU1140" i="1"/>
  <c r="AT1140" i="1"/>
  <c r="AS1140" i="1"/>
  <c r="AQ1140" i="1"/>
  <c r="AP1140" i="1"/>
  <c r="AO1140" i="1"/>
  <c r="AL1140" i="1"/>
  <c r="AM1140" i="1" s="1"/>
  <c r="AK1140" i="1"/>
  <c r="AH1140" i="1"/>
  <c r="AI1140" i="1" s="1"/>
  <c r="AG1140" i="1"/>
  <c r="AE1140" i="1"/>
  <c r="AD1140" i="1"/>
  <c r="AC1140" i="1"/>
  <c r="Z1140" i="1"/>
  <c r="AA1140" i="1" s="1"/>
  <c r="Y1140" i="1"/>
  <c r="V1140" i="1"/>
  <c r="W1140" i="1" s="1"/>
  <c r="U1140" i="1"/>
  <c r="R1140" i="1"/>
  <c r="S1140" i="1" s="1"/>
  <c r="Q1140" i="1"/>
  <c r="O1140" i="1"/>
  <c r="N1140" i="1"/>
  <c r="M1140" i="1"/>
  <c r="K1140" i="1"/>
  <c r="J1140" i="1"/>
  <c r="I1140" i="1"/>
  <c r="F1140" i="1"/>
  <c r="G1140" i="1" s="1"/>
  <c r="E1140" i="1"/>
  <c r="BN1139" i="1"/>
  <c r="BM1139" i="1"/>
  <c r="BL1139" i="1"/>
  <c r="BK1139" i="1"/>
  <c r="BJ1139" i="1"/>
  <c r="BI1139" i="1"/>
  <c r="BF1139" i="1"/>
  <c r="BG1139" i="1" s="1"/>
  <c r="BE1139" i="1"/>
  <c r="BB1139" i="1"/>
  <c r="BC1139" i="1" s="1"/>
  <c r="BA1139" i="1"/>
  <c r="AX1139" i="1"/>
  <c r="AY1139" i="1" s="1"/>
  <c r="AV1139" i="1"/>
  <c r="AW1139" i="1" s="1"/>
  <c r="AT1139" i="1"/>
  <c r="AU1139" i="1" s="1"/>
  <c r="AS1139" i="1"/>
  <c r="AQ1139" i="1"/>
  <c r="AP1139" i="1"/>
  <c r="AO1139" i="1"/>
  <c r="AL1139" i="1"/>
  <c r="AM1139" i="1" s="1"/>
  <c r="AK1139" i="1"/>
  <c r="AH1139" i="1"/>
  <c r="AI1139" i="1" s="1"/>
  <c r="AG1139" i="1"/>
  <c r="AD1139" i="1"/>
  <c r="AE1139" i="1" s="1"/>
  <c r="AC1139" i="1"/>
  <c r="AA1139" i="1"/>
  <c r="Z1139" i="1"/>
  <c r="Y1139" i="1"/>
  <c r="W1139" i="1"/>
  <c r="V1139" i="1"/>
  <c r="U1139" i="1"/>
  <c r="R1139" i="1"/>
  <c r="S1139" i="1" s="1"/>
  <c r="Q1139" i="1"/>
  <c r="N1139" i="1"/>
  <c r="O1139" i="1" s="1"/>
  <c r="M1139" i="1"/>
  <c r="K1139" i="1"/>
  <c r="J1139" i="1"/>
  <c r="I1139" i="1"/>
  <c r="F1139" i="1"/>
  <c r="G1139" i="1" s="1"/>
  <c r="E1139" i="1"/>
  <c r="BN1138" i="1"/>
  <c r="BM1138" i="1"/>
  <c r="BL1138" i="1"/>
  <c r="BJ1138" i="1"/>
  <c r="BI1138" i="1"/>
  <c r="BF1138" i="1"/>
  <c r="BG1138" i="1" s="1"/>
  <c r="BE1138" i="1"/>
  <c r="BB1138" i="1"/>
  <c r="BC1138" i="1" s="1"/>
  <c r="BA1138" i="1"/>
  <c r="AX1138" i="1"/>
  <c r="AY1138" i="1" s="1"/>
  <c r="AW1138" i="1"/>
  <c r="AU1138" i="1"/>
  <c r="AT1138" i="1"/>
  <c r="AS1138" i="1"/>
  <c r="AQ1138" i="1"/>
  <c r="AP1138" i="1"/>
  <c r="AO1138" i="1"/>
  <c r="AL1138" i="1"/>
  <c r="AM1138" i="1" s="1"/>
  <c r="AK1138" i="1"/>
  <c r="AH1138" i="1"/>
  <c r="AI1138" i="1" s="1"/>
  <c r="AG1138" i="1"/>
  <c r="AE1138" i="1"/>
  <c r="AD1138" i="1"/>
  <c r="AC1138" i="1"/>
  <c r="Z1138" i="1"/>
  <c r="AA1138" i="1" s="1"/>
  <c r="Y1138" i="1"/>
  <c r="V1138" i="1"/>
  <c r="W1138" i="1" s="1"/>
  <c r="U1138" i="1"/>
  <c r="R1138" i="1"/>
  <c r="S1138" i="1" s="1"/>
  <c r="Q1138" i="1"/>
  <c r="O1138" i="1"/>
  <c r="N1138" i="1"/>
  <c r="M1138" i="1"/>
  <c r="K1138" i="1"/>
  <c r="J1138" i="1"/>
  <c r="I1138" i="1"/>
  <c r="F1138" i="1"/>
  <c r="G1138" i="1" s="1"/>
  <c r="E1138" i="1"/>
  <c r="BN1137" i="1"/>
  <c r="BM1137" i="1"/>
  <c r="BL1137" i="1"/>
  <c r="BK1137" i="1"/>
  <c r="BJ1137" i="1"/>
  <c r="BH1137" i="1"/>
  <c r="BI1137" i="1" s="1"/>
  <c r="BG1137" i="1"/>
  <c r="BF1137" i="1"/>
  <c r="BD1137" i="1"/>
  <c r="BE1137" i="1" s="1"/>
  <c r="BC1137" i="1"/>
  <c r="BB1137" i="1"/>
  <c r="BA1137" i="1"/>
  <c r="AX1137" i="1"/>
  <c r="AY1137" i="1" s="1"/>
  <c r="AW1137" i="1"/>
  <c r="AT1137" i="1"/>
  <c r="AU1137" i="1" s="1"/>
  <c r="AS1137" i="1"/>
  <c r="AR1137" i="1"/>
  <c r="AP1137" i="1"/>
  <c r="AO1137" i="1"/>
  <c r="AN1137" i="1"/>
  <c r="AL1137" i="1"/>
  <c r="AM1137" i="1" s="1"/>
  <c r="AK1137" i="1"/>
  <c r="AJ1137" i="1"/>
  <c r="AH1137" i="1"/>
  <c r="AG1137" i="1"/>
  <c r="AF1137" i="1"/>
  <c r="AD1137" i="1"/>
  <c r="AE1137" i="1" s="1"/>
  <c r="AC1137" i="1"/>
  <c r="AB1137" i="1"/>
  <c r="Z1137" i="1"/>
  <c r="Y1137" i="1"/>
  <c r="X1137" i="1"/>
  <c r="V1137" i="1"/>
  <c r="W1137" i="1" s="1"/>
  <c r="U1137" i="1"/>
  <c r="R1137" i="1"/>
  <c r="S1137" i="1" s="1"/>
  <c r="Q1137" i="1"/>
  <c r="O1137" i="1"/>
  <c r="N1137" i="1"/>
  <c r="M1137" i="1"/>
  <c r="K1137" i="1"/>
  <c r="J1137" i="1"/>
  <c r="I1137" i="1"/>
  <c r="F1137" i="1"/>
  <c r="G1137" i="1" s="1"/>
  <c r="E1137" i="1"/>
  <c r="D1137" i="1"/>
  <c r="BN1136" i="1"/>
  <c r="BM1136" i="1"/>
  <c r="BL1136" i="1"/>
  <c r="BK1136" i="1"/>
  <c r="BJ1136" i="1"/>
  <c r="BH1136" i="1"/>
  <c r="BI1136" i="1" s="1"/>
  <c r="BF1136" i="1"/>
  <c r="BG1136" i="1" s="1"/>
  <c r="BE1136" i="1"/>
  <c r="BD1136" i="1"/>
  <c r="BB1136" i="1"/>
  <c r="BC1136" i="1" s="1"/>
  <c r="BA1136" i="1"/>
  <c r="AY1136" i="1"/>
  <c r="AX1136" i="1"/>
  <c r="AW1136" i="1"/>
  <c r="AU1136" i="1"/>
  <c r="AT1136" i="1"/>
  <c r="AR1136" i="1"/>
  <c r="AS1136" i="1" s="1"/>
  <c r="AP1136" i="1"/>
  <c r="AQ1136" i="1" s="1"/>
  <c r="AN1136" i="1"/>
  <c r="AO1136" i="1" s="1"/>
  <c r="AM1136" i="1"/>
  <c r="AL1136" i="1"/>
  <c r="AJ1136" i="1"/>
  <c r="AK1136" i="1" s="1"/>
  <c r="AH1136" i="1"/>
  <c r="AI1136" i="1" s="1"/>
  <c r="AF1136" i="1"/>
  <c r="AG1136" i="1" s="1"/>
  <c r="AE1136" i="1"/>
  <c r="AD1136" i="1"/>
  <c r="AB1136" i="1"/>
  <c r="AC1136" i="1" s="1"/>
  <c r="Z1136" i="1"/>
  <c r="AA1136" i="1" s="1"/>
  <c r="X1136" i="1"/>
  <c r="Y1136" i="1" s="1"/>
  <c r="W1136" i="1"/>
  <c r="V1136" i="1"/>
  <c r="U1136" i="1"/>
  <c r="R1136" i="1"/>
  <c r="S1136" i="1" s="1"/>
  <c r="Q1136" i="1"/>
  <c r="N1136" i="1"/>
  <c r="O1136" i="1" s="1"/>
  <c r="M1136" i="1"/>
  <c r="K1136" i="1"/>
  <c r="J1136" i="1"/>
  <c r="I1136" i="1"/>
  <c r="F1136" i="1"/>
  <c r="G1136" i="1" s="1"/>
  <c r="D1136" i="1"/>
  <c r="E1136" i="1" s="1"/>
  <c r="BN1135" i="1"/>
  <c r="BM1135" i="1" s="1"/>
  <c r="BK1135" i="1"/>
  <c r="BL1135" i="1" s="1"/>
  <c r="BJ1135" i="1"/>
  <c r="BI1135" i="1"/>
  <c r="BH1135" i="1"/>
  <c r="BF1135" i="1"/>
  <c r="BG1135" i="1" s="1"/>
  <c r="BE1135" i="1"/>
  <c r="BD1135" i="1"/>
  <c r="BB1135" i="1"/>
  <c r="BC1135" i="1" s="1"/>
  <c r="BA1135" i="1"/>
  <c r="AZ1135" i="1"/>
  <c r="AX1135" i="1"/>
  <c r="AY1135" i="1" s="1"/>
  <c r="AW1135" i="1"/>
  <c r="AV1135" i="1"/>
  <c r="AT1135" i="1"/>
  <c r="AU1135" i="1" s="1"/>
  <c r="AS1135" i="1"/>
  <c r="AR1135" i="1"/>
  <c r="AP1135" i="1"/>
  <c r="AQ1135" i="1" s="1"/>
  <c r="AO1135" i="1"/>
  <c r="AN1135" i="1"/>
  <c r="AL1135" i="1"/>
  <c r="AM1135" i="1" s="1"/>
  <c r="AK1135" i="1"/>
  <c r="AJ1135" i="1"/>
  <c r="AH1135" i="1"/>
  <c r="AI1135" i="1" s="1"/>
  <c r="AG1135" i="1"/>
  <c r="AF1135" i="1"/>
  <c r="AD1135" i="1"/>
  <c r="AC1135" i="1"/>
  <c r="AB1135" i="1"/>
  <c r="Z1135" i="1"/>
  <c r="AA1135" i="1" s="1"/>
  <c r="Y1135" i="1"/>
  <c r="X1135" i="1"/>
  <c r="V1135" i="1"/>
  <c r="W1135" i="1" s="1"/>
  <c r="U1135" i="1"/>
  <c r="R1135" i="1"/>
  <c r="S1135" i="1" s="1"/>
  <c r="Q1135" i="1"/>
  <c r="O1135" i="1"/>
  <c r="N1135" i="1"/>
  <c r="M1135" i="1"/>
  <c r="J1135" i="1"/>
  <c r="K1135" i="1" s="1"/>
  <c r="I1135" i="1"/>
  <c r="F1135" i="1"/>
  <c r="G1135" i="1" s="1"/>
  <c r="E1135" i="1"/>
  <c r="D1135" i="1"/>
  <c r="BN1134" i="1"/>
  <c r="BM1134" i="1"/>
  <c r="BL1134" i="1"/>
  <c r="BJ1134" i="1"/>
  <c r="BI1134" i="1"/>
  <c r="BG1134" i="1"/>
  <c r="BF1134" i="1"/>
  <c r="BE1134" i="1"/>
  <c r="BB1134" i="1"/>
  <c r="BC1134" i="1" s="1"/>
  <c r="BA1134" i="1"/>
  <c r="AX1134" i="1"/>
  <c r="AY1134" i="1" s="1"/>
  <c r="AW1134" i="1"/>
  <c r="AU1134" i="1"/>
  <c r="AT1134" i="1"/>
  <c r="AS1134" i="1"/>
  <c r="AP1134" i="1"/>
  <c r="AQ1134" i="1" s="1"/>
  <c r="AO1134" i="1"/>
  <c r="AL1134" i="1"/>
  <c r="AM1134" i="1" s="1"/>
  <c r="AK1134" i="1"/>
  <c r="AH1134" i="1"/>
  <c r="AG1134" i="1"/>
  <c r="AE1134" i="1"/>
  <c r="AD1134" i="1"/>
  <c r="AC1134" i="1"/>
  <c r="AA1134" i="1"/>
  <c r="Z1134" i="1"/>
  <c r="Y1134" i="1"/>
  <c r="V1134" i="1"/>
  <c r="W1134" i="1" s="1"/>
  <c r="U1134" i="1"/>
  <c r="R1134" i="1"/>
  <c r="S1134" i="1" s="1"/>
  <c r="Q1134" i="1"/>
  <c r="O1134" i="1"/>
  <c r="N1134" i="1"/>
  <c r="M1134" i="1"/>
  <c r="J1134" i="1"/>
  <c r="K1134" i="1" s="1"/>
  <c r="I1134" i="1"/>
  <c r="F1134" i="1"/>
  <c r="G1134" i="1" s="1"/>
  <c r="E1134" i="1"/>
  <c r="BN1133" i="1"/>
  <c r="BL1133" i="1"/>
  <c r="BJ1133" i="1"/>
  <c r="BM1133" i="1" s="1"/>
  <c r="BI1133" i="1"/>
  <c r="BF1133" i="1"/>
  <c r="BG1133" i="1" s="1"/>
  <c r="BE1133" i="1"/>
  <c r="BB1133" i="1"/>
  <c r="BC1133" i="1" s="1"/>
  <c r="BA1133" i="1"/>
  <c r="AY1133" i="1"/>
  <c r="AX1133" i="1"/>
  <c r="AW1133" i="1"/>
  <c r="AU1133" i="1"/>
  <c r="AT1133" i="1"/>
  <c r="AS1133" i="1"/>
  <c r="AP1133" i="1"/>
  <c r="AQ1133" i="1" s="1"/>
  <c r="AO1133" i="1"/>
  <c r="AL1133" i="1"/>
  <c r="AM1133" i="1" s="1"/>
  <c r="AK1133" i="1"/>
  <c r="AI1133" i="1"/>
  <c r="AH1133" i="1"/>
  <c r="AG1133" i="1"/>
  <c r="AD1133" i="1"/>
  <c r="AE1133" i="1" s="1"/>
  <c r="AC1133" i="1"/>
  <c r="Z1133" i="1"/>
  <c r="AA1133" i="1" s="1"/>
  <c r="Y1133" i="1"/>
  <c r="V1133" i="1"/>
  <c r="W1133" i="1" s="1"/>
  <c r="U1133" i="1"/>
  <c r="S1133" i="1"/>
  <c r="R1133" i="1"/>
  <c r="Q1133" i="1"/>
  <c r="O1133" i="1"/>
  <c r="N1133" i="1"/>
  <c r="M1133" i="1"/>
  <c r="J1133" i="1"/>
  <c r="K1133" i="1" s="1"/>
  <c r="I1133" i="1"/>
  <c r="F1133" i="1"/>
  <c r="G1133" i="1" s="1"/>
  <c r="E1133" i="1"/>
  <c r="BN1132" i="1"/>
  <c r="BL1132" i="1"/>
  <c r="BJ1132" i="1"/>
  <c r="BM1132" i="1" s="1"/>
  <c r="BI1132" i="1"/>
  <c r="BF1132" i="1"/>
  <c r="BG1132" i="1" s="1"/>
  <c r="BE1132" i="1"/>
  <c r="BC1132" i="1"/>
  <c r="BB1132" i="1"/>
  <c r="BA1132" i="1"/>
  <c r="AX1132" i="1"/>
  <c r="AY1132" i="1" s="1"/>
  <c r="AW1132" i="1"/>
  <c r="AT1132" i="1"/>
  <c r="AU1132" i="1" s="1"/>
  <c r="AS1132" i="1"/>
  <c r="AP1132" i="1"/>
  <c r="AQ1132" i="1" s="1"/>
  <c r="AO1132" i="1"/>
  <c r="AM1132" i="1"/>
  <c r="AL1132" i="1"/>
  <c r="AK1132" i="1"/>
  <c r="AI1132" i="1"/>
  <c r="AH1132" i="1"/>
  <c r="AG1132" i="1"/>
  <c r="AD1132" i="1"/>
  <c r="AE1132" i="1" s="1"/>
  <c r="AC1132" i="1"/>
  <c r="Z1132" i="1"/>
  <c r="AA1132" i="1" s="1"/>
  <c r="Y1132" i="1"/>
  <c r="W1132" i="1"/>
  <c r="V1132" i="1"/>
  <c r="U1132" i="1"/>
  <c r="R1132" i="1"/>
  <c r="S1132" i="1" s="1"/>
  <c r="Q1132" i="1"/>
  <c r="N1132" i="1"/>
  <c r="O1132" i="1" s="1"/>
  <c r="M1132" i="1"/>
  <c r="J1132" i="1"/>
  <c r="I1132" i="1"/>
  <c r="G1132" i="1"/>
  <c r="F1132" i="1"/>
  <c r="E1132" i="1"/>
  <c r="BN1131" i="1"/>
  <c r="BM1131" i="1" s="1"/>
  <c r="BL1131" i="1"/>
  <c r="BJ1131" i="1"/>
  <c r="BI1131" i="1"/>
  <c r="BG1131" i="1"/>
  <c r="BF1131" i="1"/>
  <c r="BE1131" i="1"/>
  <c r="BC1131" i="1"/>
  <c r="BB1131" i="1"/>
  <c r="BA1131" i="1"/>
  <c r="AX1131" i="1"/>
  <c r="AY1131" i="1" s="1"/>
  <c r="AW1131" i="1"/>
  <c r="AT1131" i="1"/>
  <c r="AU1131" i="1" s="1"/>
  <c r="AS1131" i="1"/>
  <c r="AQ1131" i="1"/>
  <c r="AP1131" i="1"/>
  <c r="AO1131" i="1"/>
  <c r="AL1131" i="1"/>
  <c r="AM1131" i="1" s="1"/>
  <c r="AK1131" i="1"/>
  <c r="AH1131" i="1"/>
  <c r="AI1131" i="1" s="1"/>
  <c r="AG1131" i="1"/>
  <c r="AD1131" i="1"/>
  <c r="AC1131" i="1"/>
  <c r="AA1131" i="1"/>
  <c r="Z1131" i="1"/>
  <c r="Y1131" i="1"/>
  <c r="W1131" i="1"/>
  <c r="V1131" i="1"/>
  <c r="U1131" i="1"/>
  <c r="R1131" i="1"/>
  <c r="S1131" i="1" s="1"/>
  <c r="Q1131" i="1"/>
  <c r="N1131" i="1"/>
  <c r="O1131" i="1" s="1"/>
  <c r="M1131" i="1"/>
  <c r="K1131" i="1"/>
  <c r="J1131" i="1"/>
  <c r="I1131" i="1"/>
  <c r="F1131" i="1"/>
  <c r="G1131" i="1" s="1"/>
  <c r="E1131" i="1"/>
  <c r="BN1130" i="1"/>
  <c r="BM1130" i="1"/>
  <c r="BL1130" i="1"/>
  <c r="BJ1130" i="1"/>
  <c r="BI1130" i="1"/>
  <c r="BF1130" i="1"/>
  <c r="BG1130" i="1" s="1"/>
  <c r="BE1130" i="1"/>
  <c r="BB1130" i="1"/>
  <c r="BC1130" i="1" s="1"/>
  <c r="BA1130" i="1"/>
  <c r="AX1130" i="1"/>
  <c r="AY1130" i="1" s="1"/>
  <c r="AW1130" i="1"/>
  <c r="AU1130" i="1"/>
  <c r="AT1130" i="1"/>
  <c r="AS1130" i="1"/>
  <c r="AQ1130" i="1"/>
  <c r="AP1130" i="1"/>
  <c r="AO1130" i="1"/>
  <c r="AL1130" i="1"/>
  <c r="AM1130" i="1" s="1"/>
  <c r="AK1130" i="1"/>
  <c r="AH1130" i="1"/>
  <c r="AI1130" i="1" s="1"/>
  <c r="AG1130" i="1"/>
  <c r="AE1130" i="1"/>
  <c r="AD1130" i="1"/>
  <c r="AC1130" i="1"/>
  <c r="Z1130" i="1"/>
  <c r="AA1130" i="1" s="1"/>
  <c r="Y1130" i="1"/>
  <c r="V1130" i="1"/>
  <c r="W1130" i="1" s="1"/>
  <c r="U1130" i="1"/>
  <c r="R1130" i="1"/>
  <c r="S1130" i="1" s="1"/>
  <c r="Q1130" i="1"/>
  <c r="O1130" i="1"/>
  <c r="N1130" i="1"/>
  <c r="M1130" i="1"/>
  <c r="K1130" i="1"/>
  <c r="J1130" i="1"/>
  <c r="I1130" i="1"/>
  <c r="F1130" i="1"/>
  <c r="G1130" i="1" s="1"/>
  <c r="E1130" i="1"/>
  <c r="BN1129" i="1"/>
  <c r="BM1129" i="1"/>
  <c r="BL1129" i="1"/>
  <c r="BK1129" i="1"/>
  <c r="BJ1129" i="1"/>
  <c r="BH1129" i="1"/>
  <c r="BI1129" i="1" s="1"/>
  <c r="BG1129" i="1"/>
  <c r="BF1129" i="1"/>
  <c r="BD1129" i="1"/>
  <c r="BE1129" i="1" s="1"/>
  <c r="BC1129" i="1"/>
  <c r="BB1129" i="1"/>
  <c r="BA1129" i="1"/>
  <c r="AX1129" i="1"/>
  <c r="AY1129" i="1" s="1"/>
  <c r="AV1129" i="1"/>
  <c r="AW1129" i="1" s="1"/>
  <c r="AU1129" i="1"/>
  <c r="AT1129" i="1"/>
  <c r="AS1129" i="1"/>
  <c r="AP1129" i="1"/>
  <c r="AQ1129" i="1" s="1"/>
  <c r="AO1129" i="1"/>
  <c r="AL1129" i="1"/>
  <c r="AM1129" i="1" s="1"/>
  <c r="AK1129" i="1"/>
  <c r="AI1129" i="1"/>
  <c r="AH1129" i="1"/>
  <c r="AG1129" i="1"/>
  <c r="AD1129" i="1"/>
  <c r="AE1129" i="1" s="1"/>
  <c r="AC1129" i="1"/>
  <c r="Z1129" i="1"/>
  <c r="AA1129" i="1" s="1"/>
  <c r="Y1129" i="1"/>
  <c r="V1129" i="1"/>
  <c r="W1129" i="1" s="1"/>
  <c r="U1129" i="1"/>
  <c r="S1129" i="1"/>
  <c r="R1129" i="1"/>
  <c r="Q1129" i="1"/>
  <c r="O1129" i="1"/>
  <c r="N1129" i="1"/>
  <c r="M1129" i="1"/>
  <c r="J1129" i="1"/>
  <c r="K1129" i="1" s="1"/>
  <c r="I1129" i="1"/>
  <c r="F1129" i="1"/>
  <c r="G1129" i="1" s="1"/>
  <c r="E1129" i="1"/>
  <c r="BN1128" i="1"/>
  <c r="BK1128" i="1"/>
  <c r="BL1128" i="1" s="1"/>
  <c r="BJ1128" i="1"/>
  <c r="BM1128" i="1" s="1"/>
  <c r="BH1128" i="1"/>
  <c r="BI1128" i="1" s="1"/>
  <c r="BG1128" i="1"/>
  <c r="BF1128" i="1"/>
  <c r="BD1128" i="1"/>
  <c r="BE1128" i="1" s="1"/>
  <c r="BB1128" i="1"/>
  <c r="BC1128" i="1" s="1"/>
  <c r="AZ1128" i="1"/>
  <c r="BA1128" i="1" s="1"/>
  <c r="AY1128" i="1"/>
  <c r="AX1128" i="1"/>
  <c r="AV1128" i="1"/>
  <c r="AW1128" i="1" s="1"/>
  <c r="AT1128" i="1"/>
  <c r="AU1128" i="1" s="1"/>
  <c r="AS1128" i="1"/>
  <c r="AP1128" i="1"/>
  <c r="AQ1128" i="1" s="1"/>
  <c r="AO1128" i="1"/>
  <c r="AL1128" i="1"/>
  <c r="AM1128" i="1" s="1"/>
  <c r="AK1128" i="1"/>
  <c r="AI1128" i="1"/>
  <c r="AH1128" i="1"/>
  <c r="AG1128" i="1"/>
  <c r="AE1128" i="1"/>
  <c r="AD1128" i="1"/>
  <c r="AC1128" i="1"/>
  <c r="Z1128" i="1"/>
  <c r="AA1128" i="1" s="1"/>
  <c r="Y1128" i="1"/>
  <c r="V1128" i="1"/>
  <c r="W1128" i="1" s="1"/>
  <c r="U1128" i="1"/>
  <c r="S1128" i="1"/>
  <c r="R1128" i="1"/>
  <c r="Q1128" i="1"/>
  <c r="N1128" i="1"/>
  <c r="O1128" i="1" s="1"/>
  <c r="M1128" i="1"/>
  <c r="J1128" i="1"/>
  <c r="K1128" i="1" s="1"/>
  <c r="I1128" i="1"/>
  <c r="F1128" i="1"/>
  <c r="G1128" i="1" s="1"/>
  <c r="E1128" i="1"/>
  <c r="BN1127" i="1"/>
  <c r="BK1127" i="1"/>
  <c r="BL1127" i="1" s="1"/>
  <c r="BJ1127" i="1"/>
  <c r="BM1127" i="1" s="1"/>
  <c r="BH1127" i="1"/>
  <c r="BI1127" i="1" s="1"/>
  <c r="BF1127" i="1"/>
  <c r="BG1127" i="1" s="1"/>
  <c r="BD1127" i="1"/>
  <c r="BE1127" i="1" s="1"/>
  <c r="BC1127" i="1"/>
  <c r="BB1127" i="1"/>
  <c r="AZ1127" i="1"/>
  <c r="BA1127" i="1" s="1"/>
  <c r="AX1127" i="1"/>
  <c r="AY1127" i="1" s="1"/>
  <c r="AV1127" i="1"/>
  <c r="AW1127" i="1" s="1"/>
  <c r="AU1127" i="1"/>
  <c r="AT1127" i="1"/>
  <c r="AS1127" i="1"/>
  <c r="AP1127" i="1"/>
  <c r="AQ1127" i="1" s="1"/>
  <c r="AO1127" i="1"/>
  <c r="AL1127" i="1"/>
  <c r="AM1127" i="1" s="1"/>
  <c r="AK1127" i="1"/>
  <c r="AI1127" i="1"/>
  <c r="AH1127" i="1"/>
  <c r="AG1127" i="1"/>
  <c r="AD1127" i="1"/>
  <c r="AE1127" i="1" s="1"/>
  <c r="AC1127" i="1"/>
  <c r="Z1127" i="1"/>
  <c r="AA1127" i="1" s="1"/>
  <c r="Y1127" i="1"/>
  <c r="V1127" i="1"/>
  <c r="W1127" i="1" s="1"/>
  <c r="U1127" i="1"/>
  <c r="S1127" i="1"/>
  <c r="R1127" i="1"/>
  <c r="Q1127" i="1"/>
  <c r="O1127" i="1"/>
  <c r="N1127" i="1"/>
  <c r="M1127" i="1"/>
  <c r="J1127" i="1"/>
  <c r="K1127" i="1" s="1"/>
  <c r="I1127" i="1"/>
  <c r="F1127" i="1"/>
  <c r="G1127" i="1" s="1"/>
  <c r="E1127" i="1"/>
  <c r="BN1126" i="1"/>
  <c r="BL1126" i="1"/>
  <c r="BJ1126" i="1"/>
  <c r="BM1126" i="1" s="1"/>
  <c r="BI1126" i="1"/>
  <c r="BF1126" i="1"/>
  <c r="BG1126" i="1" s="1"/>
  <c r="BE1126" i="1"/>
  <c r="BC1126" i="1"/>
  <c r="BB1126" i="1"/>
  <c r="BA1126" i="1"/>
  <c r="AX1126" i="1"/>
  <c r="AY1126" i="1" s="1"/>
  <c r="AW1126" i="1"/>
  <c r="AT1126" i="1"/>
  <c r="AU1126" i="1" s="1"/>
  <c r="AS1126" i="1"/>
  <c r="AP1126" i="1"/>
  <c r="AO1126" i="1"/>
  <c r="AM1126" i="1"/>
  <c r="AL1126" i="1"/>
  <c r="AK1126" i="1"/>
  <c r="AI1126" i="1"/>
  <c r="AH1126" i="1"/>
  <c r="AG1126" i="1"/>
  <c r="AD1126" i="1"/>
  <c r="AE1126" i="1" s="1"/>
  <c r="AC1126" i="1"/>
  <c r="Z1126" i="1"/>
  <c r="AA1126" i="1" s="1"/>
  <c r="Y1126" i="1"/>
  <c r="W1126" i="1"/>
  <c r="V1126" i="1"/>
  <c r="U1126" i="1"/>
  <c r="R1126" i="1"/>
  <c r="S1126" i="1" s="1"/>
  <c r="Q1126" i="1"/>
  <c r="N1126" i="1"/>
  <c r="O1126" i="1" s="1"/>
  <c r="M1126" i="1"/>
  <c r="J1126" i="1"/>
  <c r="I1126" i="1"/>
  <c r="G1126" i="1"/>
  <c r="F1126" i="1"/>
  <c r="E1126" i="1"/>
  <c r="BN1125" i="1"/>
  <c r="BM1125" i="1" s="1"/>
  <c r="BL1125" i="1"/>
  <c r="BJ1125" i="1"/>
  <c r="BI1125" i="1"/>
  <c r="BG1125" i="1"/>
  <c r="BF1125" i="1"/>
  <c r="BE1125" i="1"/>
  <c r="BC1125" i="1"/>
  <c r="BB1125" i="1"/>
  <c r="BA1125" i="1"/>
  <c r="AX1125" i="1"/>
  <c r="AY1125" i="1" s="1"/>
  <c r="AW1125" i="1"/>
  <c r="AT1125" i="1"/>
  <c r="AU1125" i="1" s="1"/>
  <c r="AS1125" i="1"/>
  <c r="AQ1125" i="1"/>
  <c r="AP1125" i="1"/>
  <c r="AO1125" i="1"/>
  <c r="AL1125" i="1"/>
  <c r="AM1125" i="1" s="1"/>
  <c r="AK1125" i="1"/>
  <c r="AH1125" i="1"/>
  <c r="AG1125" i="1"/>
  <c r="AD1125" i="1"/>
  <c r="AE1125" i="1" s="1"/>
  <c r="AC1125" i="1"/>
  <c r="AA1125" i="1"/>
  <c r="Z1125" i="1"/>
  <c r="Y1125" i="1"/>
  <c r="W1125" i="1"/>
  <c r="V1125" i="1"/>
  <c r="U1125" i="1"/>
  <c r="R1125" i="1"/>
  <c r="S1125" i="1" s="1"/>
  <c r="Q1125" i="1"/>
  <c r="N1125" i="1"/>
  <c r="O1125" i="1" s="1"/>
  <c r="M1125" i="1"/>
  <c r="K1125" i="1"/>
  <c r="J1125" i="1"/>
  <c r="I1125" i="1"/>
  <c r="F1125" i="1"/>
  <c r="G1125" i="1" s="1"/>
  <c r="E1125" i="1"/>
  <c r="BN1124" i="1"/>
  <c r="BM1124" i="1"/>
  <c r="BL1124" i="1"/>
  <c r="BJ1124" i="1"/>
  <c r="BI1124" i="1"/>
  <c r="BF1124" i="1"/>
  <c r="BG1124" i="1" s="1"/>
  <c r="BE1124" i="1"/>
  <c r="BB1124" i="1"/>
  <c r="BC1124" i="1" s="1"/>
  <c r="BA1124" i="1"/>
  <c r="AX1124" i="1"/>
  <c r="AY1124" i="1" s="1"/>
  <c r="AW1124" i="1"/>
  <c r="AU1124" i="1"/>
  <c r="AT1124" i="1"/>
  <c r="AS1124" i="1"/>
  <c r="AQ1124" i="1"/>
  <c r="AP1124" i="1"/>
  <c r="AO1124" i="1"/>
  <c r="AL1124" i="1"/>
  <c r="AM1124" i="1" s="1"/>
  <c r="AK1124" i="1"/>
  <c r="AH1124" i="1"/>
  <c r="AI1124" i="1" s="1"/>
  <c r="AG1124" i="1"/>
  <c r="AE1124" i="1"/>
  <c r="AD1124" i="1"/>
  <c r="AC1124" i="1"/>
  <c r="Z1124" i="1"/>
  <c r="AA1124" i="1" s="1"/>
  <c r="Y1124" i="1"/>
  <c r="V1124" i="1"/>
  <c r="U1124" i="1"/>
  <c r="R1124" i="1"/>
  <c r="Q1124" i="1"/>
  <c r="O1124" i="1"/>
  <c r="N1124" i="1"/>
  <c r="M1124" i="1"/>
  <c r="K1124" i="1"/>
  <c r="J1124" i="1"/>
  <c r="I1124" i="1"/>
  <c r="F1124" i="1"/>
  <c r="G1124" i="1" s="1"/>
  <c r="E1124" i="1"/>
  <c r="BN1123" i="1"/>
  <c r="BL1123" i="1"/>
  <c r="BJ1123" i="1"/>
  <c r="BM1123" i="1" s="1"/>
  <c r="BI1123" i="1"/>
  <c r="BF1123" i="1"/>
  <c r="BG1123" i="1" s="1"/>
  <c r="BE1123" i="1"/>
  <c r="BB1123" i="1"/>
  <c r="BC1123" i="1" s="1"/>
  <c r="BA1123" i="1"/>
  <c r="AY1123" i="1"/>
  <c r="AX1123" i="1"/>
  <c r="AW1123" i="1"/>
  <c r="AT1123" i="1"/>
  <c r="AU1123" i="1" s="1"/>
  <c r="AS1123" i="1"/>
  <c r="AP1123" i="1"/>
  <c r="AQ1123" i="1" s="1"/>
  <c r="AO1123" i="1"/>
  <c r="AL1123" i="1"/>
  <c r="AK1123" i="1"/>
  <c r="AI1123" i="1"/>
  <c r="AH1123" i="1"/>
  <c r="AG1123" i="1"/>
  <c r="AE1123" i="1"/>
  <c r="AD1123" i="1"/>
  <c r="AC1123" i="1"/>
  <c r="Z1123" i="1"/>
  <c r="AA1123" i="1" s="1"/>
  <c r="Y1123" i="1"/>
  <c r="V1123" i="1"/>
  <c r="W1123" i="1" s="1"/>
  <c r="U1123" i="1"/>
  <c r="S1123" i="1"/>
  <c r="R1123" i="1"/>
  <c r="Q1123" i="1"/>
  <c r="N1123" i="1"/>
  <c r="O1123" i="1" s="1"/>
  <c r="M1123" i="1"/>
  <c r="J1123" i="1"/>
  <c r="K1123" i="1" s="1"/>
  <c r="I1123" i="1"/>
  <c r="F1123" i="1"/>
  <c r="G1123" i="1" s="1"/>
  <c r="E1123" i="1"/>
  <c r="BN1122" i="1"/>
  <c r="BL1122" i="1"/>
  <c r="BJ1122" i="1"/>
  <c r="BI1122" i="1"/>
  <c r="BF1122" i="1"/>
  <c r="BG1122" i="1" s="1"/>
  <c r="BE1122" i="1"/>
  <c r="BC1122" i="1"/>
  <c r="BB1122" i="1"/>
  <c r="BA1122" i="1"/>
  <c r="AY1122" i="1"/>
  <c r="AX1122" i="1"/>
  <c r="AW1122" i="1"/>
  <c r="AT1122" i="1"/>
  <c r="AU1122" i="1" s="1"/>
  <c r="AS1122" i="1"/>
  <c r="AP1122" i="1"/>
  <c r="AQ1122" i="1" s="1"/>
  <c r="AO1122" i="1"/>
  <c r="AM1122" i="1"/>
  <c r="AL1122" i="1"/>
  <c r="AK1122" i="1"/>
  <c r="AH1122" i="1"/>
  <c r="AI1122" i="1" s="1"/>
  <c r="AG1122" i="1"/>
  <c r="AD1122" i="1"/>
  <c r="AE1122" i="1" s="1"/>
  <c r="AC1122" i="1"/>
  <c r="Z1122" i="1"/>
  <c r="AA1122" i="1" s="1"/>
  <c r="Y1122" i="1"/>
  <c r="W1122" i="1"/>
  <c r="V1122" i="1"/>
  <c r="U1122" i="1"/>
  <c r="S1122" i="1"/>
  <c r="R1122" i="1"/>
  <c r="Q1122" i="1"/>
  <c r="N1122" i="1"/>
  <c r="O1122" i="1" s="1"/>
  <c r="M1122" i="1"/>
  <c r="J1122" i="1"/>
  <c r="K1122" i="1" s="1"/>
  <c r="I1122" i="1"/>
  <c r="G1122" i="1"/>
  <c r="F1122" i="1"/>
  <c r="E1122" i="1"/>
  <c r="BN1121" i="1"/>
  <c r="BM1121" i="1"/>
  <c r="BL1121" i="1"/>
  <c r="BJ1121" i="1"/>
  <c r="BI1121" i="1"/>
  <c r="BG1121" i="1"/>
  <c r="BF1121" i="1"/>
  <c r="BE1121" i="1"/>
  <c r="BB1121" i="1"/>
  <c r="BC1121" i="1" s="1"/>
  <c r="BA1121" i="1"/>
  <c r="AX1121" i="1"/>
  <c r="AW1121" i="1"/>
  <c r="AT1121" i="1"/>
  <c r="AS1121" i="1"/>
  <c r="AQ1121" i="1"/>
  <c r="AP1121" i="1"/>
  <c r="AO1121" i="1"/>
  <c r="AM1121" i="1"/>
  <c r="AL1121" i="1"/>
  <c r="AK1121" i="1"/>
  <c r="AH1121" i="1"/>
  <c r="AI1121" i="1" s="1"/>
  <c r="AG1121" i="1"/>
  <c r="AD1121" i="1"/>
  <c r="AE1121" i="1" s="1"/>
  <c r="AC1121" i="1"/>
  <c r="AA1121" i="1"/>
  <c r="Z1121" i="1"/>
  <c r="Y1121" i="1"/>
  <c r="V1121" i="1"/>
  <c r="W1121" i="1" s="1"/>
  <c r="U1121" i="1"/>
  <c r="R1121" i="1"/>
  <c r="Q1121" i="1"/>
  <c r="N1121" i="1"/>
  <c r="O1121" i="1" s="1"/>
  <c r="M1121" i="1"/>
  <c r="K1121" i="1"/>
  <c r="J1121" i="1"/>
  <c r="I1121" i="1"/>
  <c r="G1121" i="1"/>
  <c r="F1121" i="1"/>
  <c r="E1121" i="1"/>
  <c r="BN1120" i="1"/>
  <c r="BM1120" i="1"/>
  <c r="BL1120" i="1"/>
  <c r="BJ1120" i="1"/>
  <c r="BI1120" i="1"/>
  <c r="BG1120" i="1"/>
  <c r="BF1120" i="1"/>
  <c r="BE1120" i="1"/>
  <c r="BB1120" i="1"/>
  <c r="BC1120" i="1" s="1"/>
  <c r="BA1120" i="1"/>
  <c r="AX1120" i="1"/>
  <c r="AY1120" i="1" s="1"/>
  <c r="AW1120" i="1"/>
  <c r="AU1120" i="1"/>
  <c r="AT1120" i="1"/>
  <c r="AS1120" i="1"/>
  <c r="AP1120" i="1"/>
  <c r="AQ1120" i="1" s="1"/>
  <c r="AO1120" i="1"/>
  <c r="AL1120" i="1"/>
  <c r="AM1120" i="1" s="1"/>
  <c r="AK1120" i="1"/>
  <c r="AH1120" i="1"/>
  <c r="AG1120" i="1"/>
  <c r="AE1120" i="1"/>
  <c r="AD1120" i="1"/>
  <c r="AC1120" i="1"/>
  <c r="AA1120" i="1"/>
  <c r="Z1120" i="1"/>
  <c r="Y1120" i="1"/>
  <c r="V1120" i="1"/>
  <c r="W1120" i="1" s="1"/>
  <c r="U1120" i="1"/>
  <c r="R1120" i="1"/>
  <c r="S1120" i="1" s="1"/>
  <c r="Q1120" i="1"/>
  <c r="O1120" i="1"/>
  <c r="N1120" i="1"/>
  <c r="M1120" i="1"/>
  <c r="J1120" i="1"/>
  <c r="K1120" i="1" s="1"/>
  <c r="I1120" i="1"/>
  <c r="F1120" i="1"/>
  <c r="G1120" i="1" s="1"/>
  <c r="E1120" i="1"/>
  <c r="BN1119" i="1"/>
  <c r="BL1119" i="1"/>
  <c r="BJ1119" i="1"/>
  <c r="BM1119" i="1" s="1"/>
  <c r="BI1119" i="1"/>
  <c r="BF1119" i="1"/>
  <c r="BG1119" i="1" s="1"/>
  <c r="BE1119" i="1"/>
  <c r="BB1119" i="1"/>
  <c r="BC1119" i="1" s="1"/>
  <c r="BA1119" i="1"/>
  <c r="AY1119" i="1"/>
  <c r="AX1119" i="1"/>
  <c r="AW1119" i="1"/>
  <c r="AU1119" i="1"/>
  <c r="AT1119" i="1"/>
  <c r="AS1119" i="1"/>
  <c r="AP1119" i="1"/>
  <c r="AQ1119" i="1" s="1"/>
  <c r="AO1119" i="1"/>
  <c r="AL1119" i="1"/>
  <c r="AM1119" i="1" s="1"/>
  <c r="AK1119" i="1"/>
  <c r="AI1119" i="1"/>
  <c r="AH1119" i="1"/>
  <c r="AG1119" i="1"/>
  <c r="AD1119" i="1"/>
  <c r="AE1119" i="1" s="1"/>
  <c r="AC1119" i="1"/>
  <c r="Z1119" i="1"/>
  <c r="Y1119" i="1"/>
  <c r="V1119" i="1"/>
  <c r="W1119" i="1" s="1"/>
  <c r="U1119" i="1"/>
  <c r="S1119" i="1"/>
  <c r="R1119" i="1"/>
  <c r="Q1119" i="1"/>
  <c r="O1119" i="1"/>
  <c r="N1119" i="1"/>
  <c r="M1119" i="1"/>
  <c r="J1119" i="1"/>
  <c r="K1119" i="1" s="1"/>
  <c r="I1119" i="1"/>
  <c r="F1119" i="1"/>
  <c r="G1119" i="1" s="1"/>
  <c r="E1119" i="1"/>
  <c r="BN1118" i="1"/>
  <c r="BL1118" i="1"/>
  <c r="BJ1118" i="1"/>
  <c r="BM1118" i="1" s="1"/>
  <c r="BI1118" i="1"/>
  <c r="BF1118" i="1"/>
  <c r="BG1118" i="1" s="1"/>
  <c r="BE1118" i="1"/>
  <c r="BC1118" i="1"/>
  <c r="BB1118" i="1"/>
  <c r="BA1118" i="1"/>
  <c r="AX1118" i="1"/>
  <c r="AY1118" i="1" s="1"/>
  <c r="AW1118" i="1"/>
  <c r="AT1118" i="1"/>
  <c r="AS1118" i="1"/>
  <c r="AP1118" i="1"/>
  <c r="AQ1118" i="1" s="1"/>
  <c r="AO1118" i="1"/>
  <c r="AM1118" i="1"/>
  <c r="AL1118" i="1"/>
  <c r="AK1118" i="1"/>
  <c r="AI1118" i="1"/>
  <c r="AH1118" i="1"/>
  <c r="AG1118" i="1"/>
  <c r="AD1118" i="1"/>
  <c r="AE1118" i="1" s="1"/>
  <c r="AC1118" i="1"/>
  <c r="Z1118" i="1"/>
  <c r="AA1118" i="1" s="1"/>
  <c r="Y1118" i="1"/>
  <c r="W1118" i="1"/>
  <c r="V1118" i="1"/>
  <c r="U1118" i="1"/>
  <c r="R1118" i="1"/>
  <c r="S1118" i="1" s="1"/>
  <c r="Q1118" i="1"/>
  <c r="N1118" i="1"/>
  <c r="O1118" i="1" s="1"/>
  <c r="M1118" i="1"/>
  <c r="J1118" i="1"/>
  <c r="I1118" i="1"/>
  <c r="G1118" i="1"/>
  <c r="F1118" i="1"/>
  <c r="E1118" i="1"/>
  <c r="BN1117" i="1"/>
  <c r="BM1117" i="1" s="1"/>
  <c r="BL1117" i="1"/>
  <c r="BJ1117" i="1"/>
  <c r="BI1117" i="1"/>
  <c r="BG1117" i="1"/>
  <c r="BF1117" i="1"/>
  <c r="BE1117" i="1"/>
  <c r="BC1117" i="1"/>
  <c r="BB1117" i="1"/>
  <c r="BA1117" i="1"/>
  <c r="AX1117" i="1"/>
  <c r="AY1117" i="1" s="1"/>
  <c r="AW1117" i="1"/>
  <c r="AT1117" i="1"/>
  <c r="AU1117" i="1" s="1"/>
  <c r="AS1117" i="1"/>
  <c r="AQ1117" i="1"/>
  <c r="AP1117" i="1"/>
  <c r="AO1117" i="1"/>
  <c r="AL1117" i="1"/>
  <c r="AM1117" i="1" s="1"/>
  <c r="AK1117" i="1"/>
  <c r="AH1117" i="1"/>
  <c r="AG1117" i="1"/>
  <c r="AD1117" i="1"/>
  <c r="AC1117" i="1"/>
  <c r="AA1117" i="1"/>
  <c r="Z1117" i="1"/>
  <c r="Y1117" i="1"/>
  <c r="W1117" i="1"/>
  <c r="V1117" i="1"/>
  <c r="U1117" i="1"/>
  <c r="R1117" i="1"/>
  <c r="S1117" i="1" s="1"/>
  <c r="Q1117" i="1"/>
  <c r="N1117" i="1"/>
  <c r="O1117" i="1" s="1"/>
  <c r="M1117" i="1"/>
  <c r="K1117" i="1"/>
  <c r="J1117" i="1"/>
  <c r="I1117" i="1"/>
  <c r="F1117" i="1"/>
  <c r="G1117" i="1" s="1"/>
  <c r="E1117" i="1"/>
  <c r="BN1116" i="1"/>
  <c r="BM1116" i="1"/>
  <c r="BL1116" i="1"/>
  <c r="BJ1116" i="1"/>
  <c r="BI1116" i="1"/>
  <c r="BF1116" i="1"/>
  <c r="BG1116" i="1" s="1"/>
  <c r="BE1116" i="1"/>
  <c r="BB1116" i="1"/>
  <c r="BA1116" i="1"/>
  <c r="AX1116" i="1"/>
  <c r="AY1116" i="1" s="1"/>
  <c r="AW1116" i="1"/>
  <c r="AU1116" i="1"/>
  <c r="AT1116" i="1"/>
  <c r="AS1116" i="1"/>
  <c r="AQ1116" i="1"/>
  <c r="AP1116" i="1"/>
  <c r="AO1116" i="1"/>
  <c r="AL1116" i="1"/>
  <c r="AM1116" i="1" s="1"/>
  <c r="AK1116" i="1"/>
  <c r="AH1116" i="1"/>
  <c r="AI1116" i="1" s="1"/>
  <c r="AG1116" i="1"/>
  <c r="AE1116" i="1"/>
  <c r="AD1116" i="1"/>
  <c r="AC1116" i="1"/>
  <c r="Z1116" i="1"/>
  <c r="AA1116" i="1" s="1"/>
  <c r="Y1116" i="1"/>
  <c r="V1116" i="1"/>
  <c r="W1116" i="1" s="1"/>
  <c r="U1116" i="1"/>
  <c r="R1116" i="1"/>
  <c r="S1116" i="1" s="1"/>
  <c r="Q1116" i="1"/>
  <c r="O1116" i="1"/>
  <c r="N1116" i="1"/>
  <c r="M1116" i="1"/>
  <c r="K1116" i="1"/>
  <c r="J1116" i="1"/>
  <c r="I1116" i="1"/>
  <c r="F1116" i="1"/>
  <c r="G1116" i="1" s="1"/>
  <c r="E1116" i="1"/>
  <c r="BN1115" i="1"/>
  <c r="BL1115" i="1"/>
  <c r="BJ1115" i="1"/>
  <c r="BM1115" i="1" s="1"/>
  <c r="BI1115" i="1"/>
  <c r="BF1115" i="1"/>
  <c r="BG1115" i="1" s="1"/>
  <c r="BE1115" i="1"/>
  <c r="BB1115" i="1"/>
  <c r="BC1115" i="1" s="1"/>
  <c r="BA1115" i="1"/>
  <c r="AY1115" i="1"/>
  <c r="AX1115" i="1"/>
  <c r="AW1115" i="1"/>
  <c r="AT1115" i="1"/>
  <c r="AU1115" i="1" s="1"/>
  <c r="AS1115" i="1"/>
  <c r="AP1115" i="1"/>
  <c r="AQ1115" i="1" s="1"/>
  <c r="AO1115" i="1"/>
  <c r="AL1115" i="1"/>
  <c r="AK1115" i="1"/>
  <c r="AI1115" i="1"/>
  <c r="AH1115" i="1"/>
  <c r="AG1115" i="1"/>
  <c r="AE1115" i="1"/>
  <c r="AD1115" i="1"/>
  <c r="AC1115" i="1"/>
  <c r="Z1115" i="1"/>
  <c r="AA1115" i="1" s="1"/>
  <c r="Y1115" i="1"/>
  <c r="V1115" i="1"/>
  <c r="W1115" i="1" s="1"/>
  <c r="U1115" i="1"/>
  <c r="S1115" i="1"/>
  <c r="R1115" i="1"/>
  <c r="Q1115" i="1"/>
  <c r="N1115" i="1"/>
  <c r="O1115" i="1" s="1"/>
  <c r="M1115" i="1"/>
  <c r="J1115" i="1"/>
  <c r="K1115" i="1" s="1"/>
  <c r="I1115" i="1"/>
  <c r="F1115" i="1"/>
  <c r="E1115" i="1"/>
  <c r="BN1114" i="1"/>
  <c r="BL1114" i="1"/>
  <c r="BJ1114" i="1"/>
  <c r="BM1114" i="1" s="1"/>
  <c r="BI1114" i="1"/>
  <c r="BF1114" i="1"/>
  <c r="BG1114" i="1" s="1"/>
  <c r="BE1114" i="1"/>
  <c r="BC1114" i="1"/>
  <c r="BB1114" i="1"/>
  <c r="BA1114" i="1"/>
  <c r="AY1114" i="1"/>
  <c r="AX1114" i="1"/>
  <c r="AW1114" i="1"/>
  <c r="AT1114" i="1"/>
  <c r="AU1114" i="1" s="1"/>
  <c r="AS1114" i="1"/>
  <c r="AP1114" i="1"/>
  <c r="AQ1114" i="1" s="1"/>
  <c r="AO1114" i="1"/>
  <c r="AM1114" i="1"/>
  <c r="AL1114" i="1"/>
  <c r="AK1114" i="1"/>
  <c r="AH1114" i="1"/>
  <c r="AI1114" i="1" s="1"/>
  <c r="AG1114" i="1"/>
  <c r="AD1114" i="1"/>
  <c r="AC1114" i="1"/>
  <c r="Z1114" i="1"/>
  <c r="AA1114" i="1" s="1"/>
  <c r="Y1114" i="1"/>
  <c r="W1114" i="1"/>
  <c r="V1114" i="1"/>
  <c r="U1114" i="1"/>
  <c r="S1114" i="1"/>
  <c r="R1114" i="1"/>
  <c r="Q1114" i="1"/>
  <c r="N1114" i="1"/>
  <c r="O1114" i="1" s="1"/>
  <c r="M1114" i="1"/>
  <c r="J1114" i="1"/>
  <c r="K1114" i="1" s="1"/>
  <c r="I1114" i="1"/>
  <c r="G1114" i="1"/>
  <c r="F1114" i="1"/>
  <c r="E1114" i="1"/>
  <c r="BN1113" i="1"/>
  <c r="BM1113" i="1"/>
  <c r="BL1113" i="1"/>
  <c r="BJ1113" i="1"/>
  <c r="BI1113" i="1"/>
  <c r="BG1113" i="1"/>
  <c r="BF1113" i="1"/>
  <c r="BE1113" i="1"/>
  <c r="BB1113" i="1"/>
  <c r="BC1113" i="1" s="1"/>
  <c r="BA1113" i="1"/>
  <c r="AX1113" i="1"/>
  <c r="AY1113" i="1" s="1"/>
  <c r="AW1113" i="1"/>
  <c r="AT1113" i="1"/>
  <c r="AU1113" i="1" s="1"/>
  <c r="AS1113" i="1"/>
  <c r="AQ1113" i="1"/>
  <c r="AP1113" i="1"/>
  <c r="AO1113" i="1"/>
  <c r="AM1113" i="1"/>
  <c r="AL1113" i="1"/>
  <c r="AK1113" i="1"/>
  <c r="AH1113" i="1"/>
  <c r="AI1113" i="1" s="1"/>
  <c r="AG1113" i="1"/>
  <c r="AD1113" i="1"/>
  <c r="AE1113" i="1" s="1"/>
  <c r="AC1113" i="1"/>
  <c r="AA1113" i="1"/>
  <c r="Z1113" i="1"/>
  <c r="Y1113" i="1"/>
  <c r="V1113" i="1"/>
  <c r="W1113" i="1" s="1"/>
  <c r="U1113" i="1"/>
  <c r="R1113" i="1"/>
  <c r="Q1113" i="1"/>
  <c r="N1113" i="1"/>
  <c r="M1113" i="1"/>
  <c r="K1113" i="1"/>
  <c r="J1113" i="1"/>
  <c r="I1113" i="1"/>
  <c r="G1113" i="1"/>
  <c r="F1113" i="1"/>
  <c r="E1113" i="1"/>
  <c r="BN1112" i="1"/>
  <c r="BM1112" i="1"/>
  <c r="BL1112" i="1"/>
  <c r="BJ1112" i="1"/>
  <c r="BI1112" i="1"/>
  <c r="BG1112" i="1"/>
  <c r="BF1112" i="1"/>
  <c r="BE1112" i="1"/>
  <c r="BB1112" i="1"/>
  <c r="BC1112" i="1" s="1"/>
  <c r="BA1112" i="1"/>
  <c r="AX1112" i="1"/>
  <c r="AY1112" i="1" s="1"/>
  <c r="AW1112" i="1"/>
  <c r="AU1112" i="1"/>
  <c r="AT1112" i="1"/>
  <c r="AS1112" i="1"/>
  <c r="AP1112" i="1"/>
  <c r="AQ1112" i="1" s="1"/>
  <c r="AO1112" i="1"/>
  <c r="AL1112" i="1"/>
  <c r="AK1112" i="1"/>
  <c r="AH1112" i="1"/>
  <c r="AI1112" i="1" s="1"/>
  <c r="AG1112" i="1"/>
  <c r="AE1112" i="1"/>
  <c r="AD1112" i="1"/>
  <c r="AC1112" i="1"/>
  <c r="AA1112" i="1"/>
  <c r="Z1112" i="1"/>
  <c r="Y1112" i="1"/>
  <c r="V1112" i="1"/>
  <c r="W1112" i="1" s="1"/>
  <c r="U1112" i="1"/>
  <c r="R1112" i="1"/>
  <c r="S1112" i="1" s="1"/>
  <c r="Q1112" i="1"/>
  <c r="O1112" i="1"/>
  <c r="N1112" i="1"/>
  <c r="M1112" i="1"/>
  <c r="J1112" i="1"/>
  <c r="K1112" i="1" s="1"/>
  <c r="I1112" i="1"/>
  <c r="F1112" i="1"/>
  <c r="G1112" i="1" s="1"/>
  <c r="E1112" i="1"/>
  <c r="BN1111" i="1"/>
  <c r="BL1111" i="1"/>
  <c r="BJ1111" i="1"/>
  <c r="BM1111" i="1" s="1"/>
  <c r="BI1111" i="1"/>
  <c r="BF1111" i="1"/>
  <c r="BG1111" i="1" s="1"/>
  <c r="BE1111" i="1"/>
  <c r="BB1111" i="1"/>
  <c r="BC1111" i="1" s="1"/>
  <c r="BA1111" i="1"/>
  <c r="AY1111" i="1"/>
  <c r="AX1111" i="1"/>
  <c r="AW1111" i="1"/>
  <c r="AU1111" i="1"/>
  <c r="AT1111" i="1"/>
  <c r="AS1111" i="1"/>
  <c r="AP1111" i="1"/>
  <c r="AQ1111" i="1" s="1"/>
  <c r="AO1111" i="1"/>
  <c r="AL1111" i="1"/>
  <c r="AM1111" i="1" s="1"/>
  <c r="AK1111" i="1"/>
  <c r="AI1111" i="1"/>
  <c r="AH1111" i="1"/>
  <c r="AG1111" i="1"/>
  <c r="AD1111" i="1"/>
  <c r="AE1111" i="1" s="1"/>
  <c r="AC1111" i="1"/>
  <c r="Z1111" i="1"/>
  <c r="AA1111" i="1" s="1"/>
  <c r="Y1111" i="1"/>
  <c r="V1111" i="1"/>
  <c r="W1111" i="1" s="1"/>
  <c r="U1111" i="1"/>
  <c r="S1111" i="1"/>
  <c r="R1111" i="1"/>
  <c r="Q1111" i="1"/>
  <c r="O1111" i="1"/>
  <c r="N1111" i="1"/>
  <c r="M1111" i="1"/>
  <c r="J1111" i="1"/>
  <c r="K1111" i="1" s="1"/>
  <c r="I1111" i="1"/>
  <c r="F1111" i="1"/>
  <c r="G1111" i="1" s="1"/>
  <c r="E1111" i="1"/>
  <c r="BN1110" i="1"/>
  <c r="BL1110" i="1"/>
  <c r="BJ1110" i="1"/>
  <c r="BM1110" i="1" s="1"/>
  <c r="BI1110" i="1"/>
  <c r="BF1110" i="1"/>
  <c r="BG1110" i="1" s="1"/>
  <c r="BE1110" i="1"/>
  <c r="BC1110" i="1"/>
  <c r="BB1110" i="1"/>
  <c r="BA1110" i="1"/>
  <c r="AX1110" i="1"/>
  <c r="AY1110" i="1" s="1"/>
  <c r="AW1110" i="1"/>
  <c r="AT1110" i="1"/>
  <c r="AS1110" i="1"/>
  <c r="AP1110" i="1"/>
  <c r="AO1110" i="1"/>
  <c r="AM1110" i="1"/>
  <c r="AL1110" i="1"/>
  <c r="AK1110" i="1"/>
  <c r="AI1110" i="1"/>
  <c r="AH1110" i="1"/>
  <c r="AG1110" i="1"/>
  <c r="AD1110" i="1"/>
  <c r="AE1110" i="1" s="1"/>
  <c r="AC1110" i="1"/>
  <c r="Z1110" i="1"/>
  <c r="AA1110" i="1" s="1"/>
  <c r="Y1110" i="1"/>
  <c r="W1110" i="1"/>
  <c r="V1110" i="1"/>
  <c r="U1110" i="1"/>
  <c r="R1110" i="1"/>
  <c r="S1110" i="1" s="1"/>
  <c r="Q1110" i="1"/>
  <c r="N1110" i="1"/>
  <c r="M1110" i="1"/>
  <c r="J1110" i="1"/>
  <c r="K1110" i="1" s="1"/>
  <c r="I1110" i="1"/>
  <c r="G1110" i="1"/>
  <c r="F1110" i="1"/>
  <c r="E1110" i="1"/>
  <c r="BN1109" i="1"/>
  <c r="BM1109" i="1" s="1"/>
  <c r="BL1109" i="1"/>
  <c r="BJ1109" i="1"/>
  <c r="BI1109" i="1"/>
  <c r="BG1109" i="1"/>
  <c r="BF1109" i="1"/>
  <c r="BE1109" i="1"/>
  <c r="BC1109" i="1"/>
  <c r="BB1109" i="1"/>
  <c r="BA1109" i="1"/>
  <c r="AX1109" i="1"/>
  <c r="AY1109" i="1" s="1"/>
  <c r="AW1109" i="1"/>
  <c r="AT1109" i="1"/>
  <c r="AU1109" i="1" s="1"/>
  <c r="AS1109" i="1"/>
  <c r="AQ1109" i="1"/>
  <c r="AP1109" i="1"/>
  <c r="AO1109" i="1"/>
  <c r="AL1109" i="1"/>
  <c r="AM1109" i="1" s="1"/>
  <c r="AK1109" i="1"/>
  <c r="AH1109" i="1"/>
  <c r="AI1109" i="1" s="1"/>
  <c r="AG1109" i="1"/>
  <c r="AD1109" i="1"/>
  <c r="AE1109" i="1" s="1"/>
  <c r="AC1109" i="1"/>
  <c r="AA1109" i="1"/>
  <c r="Z1109" i="1"/>
  <c r="Y1109" i="1"/>
  <c r="W1109" i="1"/>
  <c r="V1109" i="1"/>
  <c r="U1109" i="1"/>
  <c r="R1109" i="1"/>
  <c r="S1109" i="1" s="1"/>
  <c r="Q1109" i="1"/>
  <c r="N1109" i="1"/>
  <c r="O1109" i="1" s="1"/>
  <c r="M1109" i="1"/>
  <c r="K1109" i="1"/>
  <c r="J1109" i="1"/>
  <c r="I1109" i="1"/>
  <c r="F1109" i="1"/>
  <c r="G1109" i="1" s="1"/>
  <c r="E1109" i="1"/>
  <c r="BN1108" i="1"/>
  <c r="BM1108" i="1"/>
  <c r="BL1108" i="1"/>
  <c r="BJ1108" i="1"/>
  <c r="BI1108" i="1"/>
  <c r="BF1108" i="1"/>
  <c r="BG1108" i="1" s="1"/>
  <c r="BE1108" i="1"/>
  <c r="BB1108" i="1"/>
  <c r="BC1108" i="1" s="1"/>
  <c r="BA1108" i="1"/>
  <c r="AX1108" i="1"/>
  <c r="AY1108" i="1" s="1"/>
  <c r="AW1108" i="1"/>
  <c r="AU1108" i="1"/>
  <c r="AT1108" i="1"/>
  <c r="AS1108" i="1"/>
  <c r="AQ1108" i="1"/>
  <c r="AP1108" i="1"/>
  <c r="AO1108" i="1"/>
  <c r="AL1108" i="1"/>
  <c r="AM1108" i="1" s="1"/>
  <c r="AK1108" i="1"/>
  <c r="AH1108" i="1"/>
  <c r="AI1108" i="1" s="1"/>
  <c r="AG1108" i="1"/>
  <c r="AE1108" i="1"/>
  <c r="AD1108" i="1"/>
  <c r="AC1108" i="1"/>
  <c r="Z1108" i="1"/>
  <c r="AA1108" i="1" s="1"/>
  <c r="Y1108" i="1"/>
  <c r="V1108" i="1"/>
  <c r="U1108" i="1"/>
  <c r="R1108" i="1"/>
  <c r="S1108" i="1" s="1"/>
  <c r="Q1108" i="1"/>
  <c r="O1108" i="1"/>
  <c r="N1108" i="1"/>
  <c r="M1108" i="1"/>
  <c r="K1108" i="1"/>
  <c r="J1108" i="1"/>
  <c r="I1108" i="1"/>
  <c r="F1108" i="1"/>
  <c r="G1108" i="1" s="1"/>
  <c r="E1108" i="1"/>
  <c r="BN1107" i="1"/>
  <c r="BL1107" i="1"/>
  <c r="BJ1107" i="1"/>
  <c r="BM1107" i="1" s="1"/>
  <c r="BI1107" i="1"/>
  <c r="BF1107" i="1"/>
  <c r="BG1107" i="1" s="1"/>
  <c r="BE1107" i="1"/>
  <c r="BB1107" i="1"/>
  <c r="BC1107" i="1" s="1"/>
  <c r="BA1107" i="1"/>
  <c r="AY1107" i="1"/>
  <c r="AX1107" i="1"/>
  <c r="AW1107" i="1"/>
  <c r="AT1107" i="1"/>
  <c r="AU1107" i="1" s="1"/>
  <c r="AS1107" i="1"/>
  <c r="AP1107" i="1"/>
  <c r="AO1107" i="1"/>
  <c r="AL1107" i="1"/>
  <c r="AM1107" i="1" s="1"/>
  <c r="AK1107" i="1"/>
  <c r="AI1107" i="1"/>
  <c r="AH1107" i="1"/>
  <c r="AG1107" i="1"/>
  <c r="AE1107" i="1"/>
  <c r="AD1107" i="1"/>
  <c r="AC1107" i="1"/>
  <c r="Z1107" i="1"/>
  <c r="AA1107" i="1" s="1"/>
  <c r="Y1107" i="1"/>
  <c r="V1107" i="1"/>
  <c r="W1107" i="1" s="1"/>
  <c r="U1107" i="1"/>
  <c r="S1107" i="1"/>
  <c r="R1107" i="1"/>
  <c r="Q1107" i="1"/>
  <c r="N1107" i="1"/>
  <c r="O1107" i="1" s="1"/>
  <c r="M1107" i="1"/>
  <c r="J1107" i="1"/>
  <c r="K1107" i="1" s="1"/>
  <c r="I1107" i="1"/>
  <c r="F1107" i="1"/>
  <c r="E1107" i="1"/>
  <c r="BN1106" i="1"/>
  <c r="BL1106" i="1"/>
  <c r="BJ1106" i="1"/>
  <c r="BM1106" i="1" s="1"/>
  <c r="BI1106" i="1"/>
  <c r="BF1106" i="1"/>
  <c r="BG1106" i="1" s="1"/>
  <c r="BE1106" i="1"/>
  <c r="BC1106" i="1"/>
  <c r="BB1106" i="1"/>
  <c r="BA1106" i="1"/>
  <c r="AY1106" i="1"/>
  <c r="AX1106" i="1"/>
  <c r="AW1106" i="1"/>
  <c r="AT1106" i="1"/>
  <c r="AU1106" i="1" s="1"/>
  <c r="AS1106" i="1"/>
  <c r="AP1106" i="1"/>
  <c r="AQ1106" i="1" s="1"/>
  <c r="AO1106" i="1"/>
  <c r="AM1106" i="1"/>
  <c r="AL1106" i="1"/>
  <c r="AK1106" i="1"/>
  <c r="AH1106" i="1"/>
  <c r="AI1106" i="1" s="1"/>
  <c r="AG1106" i="1"/>
  <c r="AD1106" i="1"/>
  <c r="AE1106" i="1" s="1"/>
  <c r="AC1106" i="1"/>
  <c r="Z1106" i="1"/>
  <c r="AA1106" i="1" s="1"/>
  <c r="Y1106" i="1"/>
  <c r="W1106" i="1"/>
  <c r="V1106" i="1"/>
  <c r="U1106" i="1"/>
  <c r="S1106" i="1"/>
  <c r="R1106" i="1"/>
  <c r="Q1106" i="1"/>
  <c r="N1106" i="1"/>
  <c r="O1106" i="1" s="1"/>
  <c r="M1106" i="1"/>
  <c r="J1106" i="1"/>
  <c r="K1106" i="1" s="1"/>
  <c r="I1106" i="1"/>
  <c r="G1106" i="1"/>
  <c r="F1106" i="1"/>
  <c r="E1106" i="1"/>
  <c r="BN1105" i="1"/>
  <c r="BM1105" i="1"/>
  <c r="BL1105" i="1"/>
  <c r="BJ1105" i="1"/>
  <c r="BI1105" i="1"/>
  <c r="BG1105" i="1"/>
  <c r="BF1105" i="1"/>
  <c r="BE1105" i="1"/>
  <c r="BB1105" i="1"/>
  <c r="BC1105" i="1" s="1"/>
  <c r="BA1105" i="1"/>
  <c r="AX1105" i="1"/>
  <c r="AW1105" i="1"/>
  <c r="AT1105" i="1"/>
  <c r="AU1105" i="1" s="1"/>
  <c r="AS1105" i="1"/>
  <c r="AQ1105" i="1"/>
  <c r="AP1105" i="1"/>
  <c r="AO1105" i="1"/>
  <c r="AM1105" i="1"/>
  <c r="AL1105" i="1"/>
  <c r="AK1105" i="1"/>
  <c r="AH1105" i="1"/>
  <c r="AI1105" i="1" s="1"/>
  <c r="AG1105" i="1"/>
  <c r="AD1105" i="1"/>
  <c r="AE1105" i="1" s="1"/>
  <c r="AC1105" i="1"/>
  <c r="AA1105" i="1"/>
  <c r="Z1105" i="1"/>
  <c r="Y1105" i="1"/>
  <c r="V1105" i="1"/>
  <c r="W1105" i="1" s="1"/>
  <c r="U1105" i="1"/>
  <c r="R1105" i="1"/>
  <c r="S1105" i="1" s="1"/>
  <c r="Q1105" i="1"/>
  <c r="N1105" i="1"/>
  <c r="O1105" i="1" s="1"/>
  <c r="M1105" i="1"/>
  <c r="K1105" i="1"/>
  <c r="J1105" i="1"/>
  <c r="I1105" i="1"/>
  <c r="G1105" i="1"/>
  <c r="F1105" i="1"/>
  <c r="E1105" i="1"/>
  <c r="BN1104" i="1"/>
  <c r="BM1104" i="1"/>
  <c r="BL1104" i="1"/>
  <c r="BJ1104" i="1"/>
  <c r="BI1104" i="1"/>
  <c r="BG1104" i="1"/>
  <c r="BF1104" i="1"/>
  <c r="BE1104" i="1"/>
  <c r="BB1104" i="1"/>
  <c r="BC1104" i="1" s="1"/>
  <c r="BA1104" i="1"/>
  <c r="AX1104" i="1"/>
  <c r="AY1104" i="1" s="1"/>
  <c r="AW1104" i="1"/>
  <c r="AU1104" i="1"/>
  <c r="AT1104" i="1"/>
  <c r="AS1104" i="1"/>
  <c r="AP1104" i="1"/>
  <c r="AQ1104" i="1" s="1"/>
  <c r="AO1104" i="1"/>
  <c r="AL1104" i="1"/>
  <c r="AK1104" i="1"/>
  <c r="AH1104" i="1"/>
  <c r="AG1104" i="1"/>
  <c r="AE1104" i="1"/>
  <c r="AD1104" i="1"/>
  <c r="AC1104" i="1"/>
  <c r="AA1104" i="1"/>
  <c r="Z1104" i="1"/>
  <c r="Y1104" i="1"/>
  <c r="V1104" i="1"/>
  <c r="W1104" i="1" s="1"/>
  <c r="U1104" i="1"/>
  <c r="R1104" i="1"/>
  <c r="S1104" i="1" s="1"/>
  <c r="Q1104" i="1"/>
  <c r="O1104" i="1"/>
  <c r="N1104" i="1"/>
  <c r="M1104" i="1"/>
  <c r="J1104" i="1"/>
  <c r="K1104" i="1" s="1"/>
  <c r="I1104" i="1"/>
  <c r="F1104" i="1"/>
  <c r="E1104" i="1"/>
  <c r="BN1103" i="1"/>
  <c r="BL1103" i="1"/>
  <c r="BJ1103" i="1"/>
  <c r="BM1103" i="1" s="1"/>
  <c r="BI1103" i="1"/>
  <c r="BF1103" i="1"/>
  <c r="BG1103" i="1" s="1"/>
  <c r="BE1103" i="1"/>
  <c r="BB1103" i="1"/>
  <c r="BA1103" i="1"/>
  <c r="AY1103" i="1"/>
  <c r="AX1103" i="1"/>
  <c r="AW1103" i="1"/>
  <c r="AU1103" i="1"/>
  <c r="AT1103" i="1"/>
  <c r="AS1103" i="1"/>
  <c r="AP1103" i="1"/>
  <c r="AQ1103" i="1" s="1"/>
  <c r="AO1103" i="1"/>
  <c r="AL1103" i="1"/>
  <c r="AM1103" i="1" s="1"/>
  <c r="AK1103" i="1"/>
  <c r="AI1103" i="1"/>
  <c r="AH1103" i="1"/>
  <c r="AG1103" i="1"/>
  <c r="AD1103" i="1"/>
  <c r="AE1103" i="1" s="1"/>
  <c r="AC1103" i="1"/>
  <c r="Z1103" i="1"/>
  <c r="AA1103" i="1" s="1"/>
  <c r="Y1103" i="1"/>
  <c r="V1103" i="1"/>
  <c r="W1103" i="1" s="1"/>
  <c r="U1103" i="1"/>
  <c r="S1103" i="1"/>
  <c r="R1103" i="1"/>
  <c r="Q1103" i="1"/>
  <c r="O1103" i="1"/>
  <c r="N1103" i="1"/>
  <c r="M1103" i="1"/>
  <c r="J1103" i="1"/>
  <c r="K1103" i="1" s="1"/>
  <c r="I1103" i="1"/>
  <c r="F1103" i="1"/>
  <c r="G1103" i="1" s="1"/>
  <c r="E1103" i="1"/>
  <c r="BN1102" i="1"/>
  <c r="BL1102" i="1"/>
  <c r="BJ1102" i="1"/>
  <c r="BM1102" i="1" s="1"/>
  <c r="BI1102" i="1"/>
  <c r="BF1102" i="1"/>
  <c r="BG1102" i="1" s="1"/>
  <c r="BE1102" i="1"/>
  <c r="BC1102" i="1"/>
  <c r="BB1102" i="1"/>
  <c r="BA1102" i="1"/>
  <c r="AX1102" i="1"/>
  <c r="AY1102" i="1" s="1"/>
  <c r="AW1102" i="1"/>
  <c r="AT1102" i="1"/>
  <c r="AU1102" i="1" s="1"/>
  <c r="AS1102" i="1"/>
  <c r="AP1102" i="1"/>
  <c r="AQ1102" i="1" s="1"/>
  <c r="AO1102" i="1"/>
  <c r="AM1102" i="1"/>
  <c r="AL1102" i="1"/>
  <c r="AK1102" i="1"/>
  <c r="AI1102" i="1"/>
  <c r="AH1102" i="1"/>
  <c r="AG1102" i="1"/>
  <c r="AD1102" i="1"/>
  <c r="AE1102" i="1" s="1"/>
  <c r="AC1102" i="1"/>
  <c r="Z1102" i="1"/>
  <c r="AA1102" i="1" s="1"/>
  <c r="Y1102" i="1"/>
  <c r="W1102" i="1"/>
  <c r="V1102" i="1"/>
  <c r="U1102" i="1"/>
  <c r="R1102" i="1"/>
  <c r="S1102" i="1" s="1"/>
  <c r="Q1102" i="1"/>
  <c r="N1102" i="1"/>
  <c r="M1102" i="1"/>
  <c r="J1102" i="1"/>
  <c r="I1102" i="1"/>
  <c r="G1102" i="1"/>
  <c r="F1102" i="1"/>
  <c r="E1102" i="1"/>
  <c r="BN1101" i="1"/>
  <c r="BM1101" i="1" s="1"/>
  <c r="BL1101" i="1"/>
  <c r="BJ1101" i="1"/>
  <c r="BI1101" i="1"/>
  <c r="BG1101" i="1"/>
  <c r="BF1101" i="1"/>
  <c r="BE1101" i="1"/>
  <c r="BC1101" i="1"/>
  <c r="BB1101" i="1"/>
  <c r="BA1101" i="1"/>
  <c r="AX1101" i="1"/>
  <c r="AY1101" i="1" s="1"/>
  <c r="AW1101" i="1"/>
  <c r="AT1101" i="1"/>
  <c r="AU1101" i="1" s="1"/>
  <c r="AS1101" i="1"/>
  <c r="AQ1101" i="1"/>
  <c r="AP1101" i="1"/>
  <c r="AO1101" i="1"/>
  <c r="AL1101" i="1"/>
  <c r="AM1101" i="1" s="1"/>
  <c r="AK1101" i="1"/>
  <c r="AH1101" i="1"/>
  <c r="AG1101" i="1"/>
  <c r="AD1101" i="1"/>
  <c r="AE1101" i="1" s="1"/>
  <c r="AC1101" i="1"/>
  <c r="AA1101" i="1"/>
  <c r="Z1101" i="1"/>
  <c r="Y1101" i="1"/>
  <c r="W1101" i="1"/>
  <c r="V1101" i="1"/>
  <c r="U1101" i="1"/>
  <c r="R1101" i="1"/>
  <c r="S1101" i="1" s="1"/>
  <c r="Q1101" i="1"/>
  <c r="N1101" i="1"/>
  <c r="O1101" i="1" s="1"/>
  <c r="M1101" i="1"/>
  <c r="K1101" i="1"/>
  <c r="J1101" i="1"/>
  <c r="I1101" i="1"/>
  <c r="F1101" i="1"/>
  <c r="G1101" i="1" s="1"/>
  <c r="E1101" i="1"/>
  <c r="BN1100" i="1"/>
  <c r="BM1100" i="1"/>
  <c r="BL1100" i="1"/>
  <c r="BJ1100" i="1"/>
  <c r="BI1100" i="1"/>
  <c r="BF1100" i="1"/>
  <c r="BG1100" i="1" s="1"/>
  <c r="BE1100" i="1"/>
  <c r="BB1100" i="1"/>
  <c r="BC1100" i="1" s="1"/>
  <c r="BA1100" i="1"/>
  <c r="AX1100" i="1"/>
  <c r="AY1100" i="1" s="1"/>
  <c r="AW1100" i="1"/>
  <c r="AU1100" i="1"/>
  <c r="AT1100" i="1"/>
  <c r="AS1100" i="1"/>
  <c r="AQ1100" i="1"/>
  <c r="AP1100" i="1"/>
  <c r="AO1100" i="1"/>
  <c r="AL1100" i="1"/>
  <c r="AM1100" i="1" s="1"/>
  <c r="AK1100" i="1"/>
  <c r="AH1100" i="1"/>
  <c r="AI1100" i="1" s="1"/>
  <c r="AG1100" i="1"/>
  <c r="AE1100" i="1"/>
  <c r="AD1100" i="1"/>
  <c r="AC1100" i="1"/>
  <c r="Z1100" i="1"/>
  <c r="AA1100" i="1" s="1"/>
  <c r="Y1100" i="1"/>
  <c r="V1100" i="1"/>
  <c r="W1100" i="1" s="1"/>
  <c r="U1100" i="1"/>
  <c r="R1100" i="1"/>
  <c r="S1100" i="1" s="1"/>
  <c r="Q1100" i="1"/>
  <c r="O1100" i="1"/>
  <c r="N1100" i="1"/>
  <c r="M1100" i="1"/>
  <c r="K1100" i="1"/>
  <c r="J1100" i="1"/>
  <c r="I1100" i="1"/>
  <c r="F1100" i="1"/>
  <c r="G1100" i="1" s="1"/>
  <c r="E1100" i="1"/>
  <c r="BN1099" i="1"/>
  <c r="BL1099" i="1"/>
  <c r="BJ1099" i="1"/>
  <c r="BM1099" i="1" s="1"/>
  <c r="BI1099" i="1"/>
  <c r="BF1099" i="1"/>
  <c r="BG1099" i="1" s="1"/>
  <c r="BE1099" i="1"/>
  <c r="BB1099" i="1"/>
  <c r="BC1099" i="1" s="1"/>
  <c r="BA1099" i="1"/>
  <c r="AY1099" i="1"/>
  <c r="AX1099" i="1"/>
  <c r="AW1099" i="1"/>
  <c r="AT1099" i="1"/>
  <c r="AU1099" i="1" s="1"/>
  <c r="AS1099" i="1"/>
  <c r="AP1099" i="1"/>
  <c r="AO1099" i="1"/>
  <c r="AL1099" i="1"/>
  <c r="AK1099" i="1"/>
  <c r="AI1099" i="1"/>
  <c r="AH1099" i="1"/>
  <c r="AG1099" i="1"/>
  <c r="AE1099" i="1"/>
  <c r="AD1099" i="1"/>
  <c r="AC1099" i="1"/>
  <c r="Z1099" i="1"/>
  <c r="AA1099" i="1" s="1"/>
  <c r="Y1099" i="1"/>
  <c r="V1099" i="1"/>
  <c r="W1099" i="1" s="1"/>
  <c r="U1099" i="1"/>
  <c r="S1099" i="1"/>
  <c r="R1099" i="1"/>
  <c r="Q1099" i="1"/>
  <c r="N1099" i="1"/>
  <c r="O1099" i="1" s="1"/>
  <c r="M1099" i="1"/>
  <c r="J1099" i="1"/>
  <c r="I1099" i="1"/>
  <c r="F1099" i="1"/>
  <c r="G1099" i="1" s="1"/>
  <c r="E1099" i="1"/>
  <c r="BN1098" i="1"/>
  <c r="BL1098" i="1"/>
  <c r="BJ1098" i="1"/>
  <c r="BM1098" i="1" s="1"/>
  <c r="BI1098" i="1"/>
  <c r="BF1098" i="1"/>
  <c r="BE1098" i="1"/>
  <c r="BC1098" i="1"/>
  <c r="BB1098" i="1"/>
  <c r="BA1098" i="1"/>
  <c r="AY1098" i="1"/>
  <c r="AX1098" i="1"/>
  <c r="AW1098" i="1"/>
  <c r="AT1098" i="1"/>
  <c r="AU1098" i="1" s="1"/>
  <c r="AS1098" i="1"/>
  <c r="AP1098" i="1"/>
  <c r="AQ1098" i="1" s="1"/>
  <c r="AO1098" i="1"/>
  <c r="AM1098" i="1"/>
  <c r="AL1098" i="1"/>
  <c r="AK1098" i="1"/>
  <c r="AH1098" i="1"/>
  <c r="AI1098" i="1" s="1"/>
  <c r="AG1098" i="1"/>
  <c r="AD1098" i="1"/>
  <c r="AE1098" i="1" s="1"/>
  <c r="AC1098" i="1"/>
  <c r="Z1098" i="1"/>
  <c r="AA1098" i="1" s="1"/>
  <c r="Y1098" i="1"/>
  <c r="W1098" i="1"/>
  <c r="V1098" i="1"/>
  <c r="U1098" i="1"/>
  <c r="S1098" i="1"/>
  <c r="R1098" i="1"/>
  <c r="Q1098" i="1"/>
  <c r="N1098" i="1"/>
  <c r="O1098" i="1" s="1"/>
  <c r="M1098" i="1"/>
  <c r="J1098" i="1"/>
  <c r="K1098" i="1" s="1"/>
  <c r="I1098" i="1"/>
  <c r="G1098" i="1"/>
  <c r="F1098" i="1"/>
  <c r="E1098" i="1"/>
  <c r="BN1097" i="1"/>
  <c r="BM1097" i="1"/>
  <c r="BL1097" i="1"/>
  <c r="BJ1097" i="1"/>
  <c r="BI1097" i="1"/>
  <c r="BG1097" i="1"/>
  <c r="BF1097" i="1"/>
  <c r="BE1097" i="1"/>
  <c r="BB1097" i="1"/>
  <c r="BC1097" i="1" s="1"/>
  <c r="BA1097" i="1"/>
  <c r="AX1097" i="1"/>
  <c r="AY1097" i="1" s="1"/>
  <c r="AW1097" i="1"/>
  <c r="AT1097" i="1"/>
  <c r="AU1097" i="1" s="1"/>
  <c r="AS1097" i="1"/>
  <c r="AQ1097" i="1"/>
  <c r="AP1097" i="1"/>
  <c r="AO1097" i="1"/>
  <c r="AM1097" i="1"/>
  <c r="AL1097" i="1"/>
  <c r="AK1097" i="1"/>
  <c r="AH1097" i="1"/>
  <c r="AI1097" i="1" s="1"/>
  <c r="AG1097" i="1"/>
  <c r="AF1097" i="1"/>
  <c r="AD1097" i="1"/>
  <c r="AE1097" i="1" s="1"/>
  <c r="AC1097" i="1"/>
  <c r="AB1097" i="1"/>
  <c r="Z1097" i="1"/>
  <c r="AA1097" i="1" s="1"/>
  <c r="Y1097" i="1"/>
  <c r="X1097" i="1"/>
  <c r="V1097" i="1"/>
  <c r="W1097" i="1" s="1"/>
  <c r="U1097" i="1"/>
  <c r="T1097" i="1"/>
  <c r="R1097" i="1"/>
  <c r="S1097" i="1" s="1"/>
  <c r="Q1097" i="1"/>
  <c r="P1097" i="1"/>
  <c r="N1097" i="1"/>
  <c r="O1097" i="1" s="1"/>
  <c r="M1097" i="1"/>
  <c r="L1097" i="1"/>
  <c r="J1097" i="1"/>
  <c r="I1097" i="1"/>
  <c r="H1097" i="1"/>
  <c r="F1097" i="1"/>
  <c r="G1097" i="1" s="1"/>
  <c r="E1097" i="1"/>
  <c r="D1097" i="1"/>
  <c r="BN1096" i="1"/>
  <c r="BM1096" i="1"/>
  <c r="BL1096" i="1"/>
  <c r="BJ1096" i="1"/>
  <c r="BI1096" i="1"/>
  <c r="BG1096" i="1"/>
  <c r="BF1096" i="1"/>
  <c r="BE1096" i="1"/>
  <c r="BB1096" i="1"/>
  <c r="BC1096" i="1" s="1"/>
  <c r="BA1096" i="1"/>
  <c r="AX1096" i="1"/>
  <c r="AY1096" i="1" s="1"/>
  <c r="AW1096" i="1"/>
  <c r="AU1096" i="1"/>
  <c r="AT1096" i="1"/>
  <c r="AS1096" i="1"/>
  <c r="AP1096" i="1"/>
  <c r="AQ1096" i="1" s="1"/>
  <c r="AO1096" i="1"/>
  <c r="AL1096" i="1"/>
  <c r="AK1096" i="1"/>
  <c r="AH1096" i="1"/>
  <c r="AI1096" i="1" s="1"/>
  <c r="AF1096" i="1"/>
  <c r="AG1096" i="1" s="1"/>
  <c r="AD1096" i="1"/>
  <c r="AE1096" i="1" s="1"/>
  <c r="AC1096" i="1"/>
  <c r="AB1096" i="1"/>
  <c r="Z1096" i="1"/>
  <c r="AA1096" i="1" s="1"/>
  <c r="X1096" i="1"/>
  <c r="Y1096" i="1" s="1"/>
  <c r="V1096" i="1"/>
  <c r="W1096" i="1" s="1"/>
  <c r="U1096" i="1"/>
  <c r="T1096" i="1"/>
  <c r="R1096" i="1"/>
  <c r="S1096" i="1" s="1"/>
  <c r="P1096" i="1"/>
  <c r="Q1096" i="1" s="1"/>
  <c r="N1096" i="1"/>
  <c r="O1096" i="1" s="1"/>
  <c r="M1096" i="1"/>
  <c r="L1096" i="1"/>
  <c r="J1096" i="1"/>
  <c r="K1096" i="1" s="1"/>
  <c r="H1096" i="1"/>
  <c r="I1096" i="1" s="1"/>
  <c r="F1096" i="1"/>
  <c r="G1096" i="1" s="1"/>
  <c r="E1096" i="1"/>
  <c r="D1096" i="1"/>
  <c r="BN1095" i="1"/>
  <c r="BL1095" i="1"/>
  <c r="BJ1095" i="1"/>
  <c r="BM1095" i="1" s="1"/>
  <c r="BI1095" i="1"/>
  <c r="BF1095" i="1"/>
  <c r="BG1095" i="1" s="1"/>
  <c r="BE1095" i="1"/>
  <c r="BB1095" i="1"/>
  <c r="BC1095" i="1" s="1"/>
  <c r="BA1095" i="1"/>
  <c r="AY1095" i="1"/>
  <c r="AX1095" i="1"/>
  <c r="AW1095" i="1"/>
  <c r="AU1095" i="1"/>
  <c r="AT1095" i="1"/>
  <c r="AS1095" i="1"/>
  <c r="AP1095" i="1"/>
  <c r="AQ1095" i="1" s="1"/>
  <c r="AO1095" i="1"/>
  <c r="AL1095" i="1"/>
  <c r="AM1095" i="1" s="1"/>
  <c r="AK1095" i="1"/>
  <c r="AI1095" i="1"/>
  <c r="AH1095" i="1"/>
  <c r="AF1095" i="1"/>
  <c r="AG1095" i="1" s="1"/>
  <c r="AE1095" i="1"/>
  <c r="AD1095" i="1"/>
  <c r="AB1095" i="1"/>
  <c r="AC1095" i="1" s="1"/>
  <c r="AA1095" i="1"/>
  <c r="Z1095" i="1"/>
  <c r="X1095" i="1"/>
  <c r="Y1095" i="1" s="1"/>
  <c r="W1095" i="1"/>
  <c r="V1095" i="1"/>
  <c r="T1095" i="1"/>
  <c r="U1095" i="1" s="1"/>
  <c r="S1095" i="1"/>
  <c r="R1095" i="1"/>
  <c r="P1095" i="1"/>
  <c r="Q1095" i="1" s="1"/>
  <c r="O1095" i="1"/>
  <c r="N1095" i="1"/>
  <c r="L1095" i="1"/>
  <c r="M1095" i="1" s="1"/>
  <c r="K1095" i="1"/>
  <c r="J1095" i="1"/>
  <c r="H1095" i="1"/>
  <c r="I1095" i="1" s="1"/>
  <c r="G1095" i="1"/>
  <c r="F1095" i="1"/>
  <c r="D1095" i="1"/>
  <c r="E1095" i="1" s="1"/>
  <c r="BN1094" i="1"/>
  <c r="BL1094" i="1"/>
  <c r="BJ1094" i="1"/>
  <c r="BM1094" i="1" s="1"/>
  <c r="BI1094" i="1"/>
  <c r="BF1094" i="1"/>
  <c r="BG1094" i="1" s="1"/>
  <c r="BE1094" i="1"/>
  <c r="BC1094" i="1"/>
  <c r="BB1094" i="1"/>
  <c r="BA1094" i="1"/>
  <c r="AX1094" i="1"/>
  <c r="AY1094" i="1" s="1"/>
  <c r="AW1094" i="1"/>
  <c r="AT1094" i="1"/>
  <c r="AU1094" i="1" s="1"/>
  <c r="AS1094" i="1"/>
  <c r="AP1094" i="1"/>
  <c r="AQ1094" i="1" s="1"/>
  <c r="AO1094" i="1"/>
  <c r="AM1094" i="1"/>
  <c r="AL1094" i="1"/>
  <c r="AK1094" i="1"/>
  <c r="AI1094" i="1"/>
  <c r="AH1094" i="1"/>
  <c r="AG1094" i="1"/>
  <c r="AD1094" i="1"/>
  <c r="AE1094" i="1" s="1"/>
  <c r="AC1094" i="1"/>
  <c r="Z1094" i="1"/>
  <c r="AA1094" i="1" s="1"/>
  <c r="Y1094" i="1"/>
  <c r="W1094" i="1"/>
  <c r="V1094" i="1"/>
  <c r="U1094" i="1"/>
  <c r="R1094" i="1"/>
  <c r="S1094" i="1" s="1"/>
  <c r="Q1094" i="1"/>
  <c r="N1094" i="1"/>
  <c r="M1094" i="1"/>
  <c r="J1094" i="1"/>
  <c r="I1094" i="1"/>
  <c r="G1094" i="1"/>
  <c r="F1094" i="1"/>
  <c r="E1094" i="1"/>
  <c r="BN1093" i="1"/>
  <c r="BM1093" i="1" s="1"/>
  <c r="BK1093" i="1"/>
  <c r="BL1093" i="1" s="1"/>
  <c r="BJ1093" i="1"/>
  <c r="BI1093" i="1"/>
  <c r="BH1093" i="1"/>
  <c r="BF1093" i="1"/>
  <c r="BG1093" i="1" s="1"/>
  <c r="BE1093" i="1"/>
  <c r="BD1093" i="1"/>
  <c r="BB1093" i="1"/>
  <c r="BC1093" i="1" s="1"/>
  <c r="BA1093" i="1"/>
  <c r="AZ1093" i="1"/>
  <c r="AX1093" i="1"/>
  <c r="AY1093" i="1" s="1"/>
  <c r="AW1093" i="1"/>
  <c r="AV1093" i="1"/>
  <c r="AT1093" i="1"/>
  <c r="AU1093" i="1" s="1"/>
  <c r="AS1093" i="1"/>
  <c r="AR1093" i="1"/>
  <c r="AP1093" i="1"/>
  <c r="AQ1093" i="1" s="1"/>
  <c r="AO1093" i="1"/>
  <c r="AN1093" i="1"/>
  <c r="AL1093" i="1"/>
  <c r="AK1093" i="1"/>
  <c r="AJ1093" i="1"/>
  <c r="AH1093" i="1"/>
  <c r="AI1093" i="1" s="1"/>
  <c r="AG1093" i="1"/>
  <c r="AF1093" i="1"/>
  <c r="AD1093" i="1"/>
  <c r="AE1093" i="1" s="1"/>
  <c r="AC1093" i="1"/>
  <c r="AB1093" i="1"/>
  <c r="Z1093" i="1"/>
  <c r="AA1093" i="1" s="1"/>
  <c r="Y1093" i="1"/>
  <c r="X1093" i="1"/>
  <c r="V1093" i="1"/>
  <c r="W1093" i="1" s="1"/>
  <c r="U1093" i="1"/>
  <c r="R1093" i="1"/>
  <c r="S1093" i="1" s="1"/>
  <c r="Q1093" i="1"/>
  <c r="P1093" i="1"/>
  <c r="N1093" i="1"/>
  <c r="O1093" i="1" s="1"/>
  <c r="L1093" i="1"/>
  <c r="M1093" i="1" s="1"/>
  <c r="J1093" i="1"/>
  <c r="K1093" i="1" s="1"/>
  <c r="I1093" i="1"/>
  <c r="H1093" i="1"/>
  <c r="F1093" i="1"/>
  <c r="G1093" i="1" s="1"/>
  <c r="D1093" i="1"/>
  <c r="E1093" i="1" s="1"/>
  <c r="BN1092" i="1"/>
  <c r="BM1092" i="1"/>
  <c r="BL1092" i="1"/>
  <c r="BK1092" i="1"/>
  <c r="BJ1092" i="1"/>
  <c r="BH1092" i="1"/>
  <c r="BI1092" i="1" s="1"/>
  <c r="BG1092" i="1"/>
  <c r="BF1092" i="1"/>
  <c r="BD1092" i="1"/>
  <c r="BE1092" i="1" s="1"/>
  <c r="BC1092" i="1"/>
  <c r="BB1092" i="1"/>
  <c r="AZ1092" i="1"/>
  <c r="BA1092" i="1" s="1"/>
  <c r="AY1092" i="1"/>
  <c r="AX1092" i="1"/>
  <c r="AV1092" i="1"/>
  <c r="AW1092" i="1" s="1"/>
  <c r="AU1092" i="1"/>
  <c r="AT1092" i="1"/>
  <c r="AR1092" i="1"/>
  <c r="AS1092" i="1" s="1"/>
  <c r="AQ1092" i="1"/>
  <c r="AP1092" i="1"/>
  <c r="AN1092" i="1"/>
  <c r="AO1092" i="1" s="1"/>
  <c r="AM1092" i="1"/>
  <c r="AL1092" i="1"/>
  <c r="AJ1092" i="1"/>
  <c r="AK1092" i="1" s="1"/>
  <c r="AI1092" i="1"/>
  <c r="AH1092" i="1"/>
  <c r="AF1092" i="1"/>
  <c r="AG1092" i="1" s="1"/>
  <c r="AE1092" i="1"/>
  <c r="AD1092" i="1"/>
  <c r="AB1092" i="1"/>
  <c r="AC1092" i="1" s="1"/>
  <c r="AA1092" i="1"/>
  <c r="Z1092" i="1"/>
  <c r="X1092" i="1"/>
  <c r="Y1092" i="1" s="1"/>
  <c r="W1092" i="1"/>
  <c r="V1092" i="1"/>
  <c r="U1092" i="1"/>
  <c r="R1092" i="1"/>
  <c r="S1092" i="1" s="1"/>
  <c r="P1092" i="1"/>
  <c r="Q1092" i="1" s="1"/>
  <c r="O1092" i="1"/>
  <c r="N1092" i="1"/>
  <c r="M1092" i="1"/>
  <c r="J1092" i="1"/>
  <c r="K1092" i="1" s="1"/>
  <c r="I1092" i="1"/>
  <c r="H1092" i="1"/>
  <c r="F1092" i="1"/>
  <c r="G1092" i="1" s="1"/>
  <c r="E1092" i="1"/>
  <c r="D1092" i="1"/>
  <c r="BN1091" i="1"/>
  <c r="BM1091" i="1"/>
  <c r="BL1091" i="1"/>
  <c r="BK1091" i="1"/>
  <c r="BJ1091" i="1"/>
  <c r="BI1091" i="1"/>
  <c r="BH1091" i="1"/>
  <c r="BF1091" i="1"/>
  <c r="BG1091" i="1" s="1"/>
  <c r="BD1091" i="1"/>
  <c r="BE1091" i="1" s="1"/>
  <c r="BB1091" i="1"/>
  <c r="BC1091" i="1" s="1"/>
  <c r="BA1091" i="1"/>
  <c r="AZ1091" i="1"/>
  <c r="AX1091" i="1"/>
  <c r="AY1091" i="1" s="1"/>
  <c r="AV1091" i="1"/>
  <c r="AW1091" i="1" s="1"/>
  <c r="AT1091" i="1"/>
  <c r="AU1091" i="1" s="1"/>
  <c r="AS1091" i="1"/>
  <c r="AR1091" i="1"/>
  <c r="AP1091" i="1"/>
  <c r="AQ1091" i="1" s="1"/>
  <c r="AN1091" i="1"/>
  <c r="AO1091" i="1" s="1"/>
  <c r="AL1091" i="1"/>
  <c r="AM1091" i="1" s="1"/>
  <c r="AK1091" i="1"/>
  <c r="AJ1091" i="1"/>
  <c r="AH1091" i="1"/>
  <c r="AI1091" i="1" s="1"/>
  <c r="AF1091" i="1"/>
  <c r="AG1091" i="1" s="1"/>
  <c r="AD1091" i="1"/>
  <c r="AE1091" i="1" s="1"/>
  <c r="AC1091" i="1"/>
  <c r="AB1091" i="1"/>
  <c r="Z1091" i="1"/>
  <c r="AA1091" i="1" s="1"/>
  <c r="X1091" i="1"/>
  <c r="Y1091" i="1" s="1"/>
  <c r="V1091" i="1"/>
  <c r="W1091" i="1" s="1"/>
  <c r="U1091" i="1"/>
  <c r="S1091" i="1"/>
  <c r="R1091" i="1"/>
  <c r="P1091" i="1"/>
  <c r="Q1091" i="1" s="1"/>
  <c r="O1091" i="1"/>
  <c r="N1091" i="1"/>
  <c r="M1091" i="1"/>
  <c r="K1091" i="1"/>
  <c r="J1091" i="1"/>
  <c r="H1091" i="1"/>
  <c r="I1091" i="1" s="1"/>
  <c r="F1091" i="1"/>
  <c r="G1091" i="1" s="1"/>
  <c r="D1091" i="1"/>
  <c r="E1091" i="1" s="1"/>
  <c r="BN1090" i="1"/>
  <c r="BM1090" i="1" s="1"/>
  <c r="BL1090" i="1"/>
  <c r="BJ1090" i="1"/>
  <c r="BI1090" i="1"/>
  <c r="BG1090" i="1"/>
  <c r="BF1090" i="1"/>
  <c r="BE1090" i="1"/>
  <c r="BC1090" i="1"/>
  <c r="BB1090" i="1"/>
  <c r="BA1090" i="1"/>
  <c r="AX1090" i="1"/>
  <c r="AY1090" i="1" s="1"/>
  <c r="AW1090" i="1"/>
  <c r="AT1090" i="1"/>
  <c r="AU1090" i="1" s="1"/>
  <c r="AS1090" i="1"/>
  <c r="AQ1090" i="1"/>
  <c r="AP1090" i="1"/>
  <c r="AO1090" i="1"/>
  <c r="AL1090" i="1"/>
  <c r="AM1090" i="1" s="1"/>
  <c r="AK1090" i="1"/>
  <c r="AH1090" i="1"/>
  <c r="AI1090" i="1" s="1"/>
  <c r="AG1090" i="1"/>
  <c r="AD1090" i="1"/>
  <c r="AE1090" i="1" s="1"/>
  <c r="AC1090" i="1"/>
  <c r="AA1090" i="1"/>
  <c r="Z1090" i="1"/>
  <c r="Y1090" i="1"/>
  <c r="W1090" i="1"/>
  <c r="V1090" i="1"/>
  <c r="U1090" i="1"/>
  <c r="R1090" i="1"/>
  <c r="S1090" i="1" s="1"/>
  <c r="Q1090" i="1"/>
  <c r="N1090" i="1"/>
  <c r="O1090" i="1" s="1"/>
  <c r="M1090" i="1"/>
  <c r="K1090" i="1"/>
  <c r="J1090" i="1"/>
  <c r="I1090" i="1"/>
  <c r="F1090" i="1"/>
  <c r="G1090" i="1" s="1"/>
  <c r="E1090" i="1"/>
  <c r="BN1089" i="1"/>
  <c r="BM1089" i="1"/>
  <c r="BL1089" i="1"/>
  <c r="BJ1089" i="1"/>
  <c r="BI1089" i="1"/>
  <c r="BF1089" i="1"/>
  <c r="BG1089" i="1" s="1"/>
  <c r="BE1089" i="1"/>
  <c r="BB1089" i="1"/>
  <c r="BC1089" i="1" s="1"/>
  <c r="BA1089" i="1"/>
  <c r="AZ1089" i="1"/>
  <c r="AX1089" i="1"/>
  <c r="AW1089" i="1"/>
  <c r="AT1089" i="1"/>
  <c r="AU1089" i="1" s="1"/>
  <c r="AS1089" i="1"/>
  <c r="AQ1089" i="1"/>
  <c r="AP1089" i="1"/>
  <c r="AO1089" i="1"/>
  <c r="AL1089" i="1"/>
  <c r="AM1089" i="1" s="1"/>
  <c r="AK1089" i="1"/>
  <c r="AH1089" i="1"/>
  <c r="AI1089" i="1" s="1"/>
  <c r="AG1089" i="1"/>
  <c r="AF1089" i="1"/>
  <c r="AD1089" i="1"/>
  <c r="AC1089" i="1"/>
  <c r="AB1089" i="1"/>
  <c r="Z1089" i="1"/>
  <c r="AA1089" i="1" s="1"/>
  <c r="Y1089" i="1"/>
  <c r="X1089" i="1"/>
  <c r="V1089" i="1"/>
  <c r="W1089" i="1" s="1"/>
  <c r="U1089" i="1"/>
  <c r="T1089" i="1"/>
  <c r="R1089" i="1"/>
  <c r="S1089" i="1" s="1"/>
  <c r="Q1089" i="1"/>
  <c r="N1089" i="1"/>
  <c r="M1089" i="1"/>
  <c r="K1089" i="1"/>
  <c r="J1089" i="1"/>
  <c r="I1089" i="1"/>
  <c r="G1089" i="1"/>
  <c r="F1089" i="1"/>
  <c r="E1089" i="1"/>
  <c r="BN1088" i="1"/>
  <c r="BM1088" i="1"/>
  <c r="BL1088" i="1"/>
  <c r="BJ1088" i="1"/>
  <c r="BI1088" i="1"/>
  <c r="BG1088" i="1"/>
  <c r="BF1088" i="1"/>
  <c r="BE1088" i="1"/>
  <c r="BB1088" i="1"/>
  <c r="BC1088" i="1" s="1"/>
  <c r="BA1088" i="1"/>
  <c r="AX1088" i="1"/>
  <c r="AY1088" i="1" s="1"/>
  <c r="AW1088" i="1"/>
  <c r="AU1088" i="1"/>
  <c r="AT1088" i="1"/>
  <c r="AS1088" i="1"/>
  <c r="AP1088" i="1"/>
  <c r="AQ1088" i="1" s="1"/>
  <c r="AO1088" i="1"/>
  <c r="AL1088" i="1"/>
  <c r="AM1088" i="1" s="1"/>
  <c r="AK1088" i="1"/>
  <c r="AH1088" i="1"/>
  <c r="AI1088" i="1" s="1"/>
  <c r="AF1088" i="1"/>
  <c r="AG1088" i="1" s="1"/>
  <c r="AD1088" i="1"/>
  <c r="AE1088" i="1" s="1"/>
  <c r="AC1088" i="1"/>
  <c r="AB1088" i="1"/>
  <c r="Z1088" i="1"/>
  <c r="AA1088" i="1" s="1"/>
  <c r="X1088" i="1"/>
  <c r="Y1088" i="1" s="1"/>
  <c r="V1088" i="1"/>
  <c r="W1088" i="1" s="1"/>
  <c r="U1088" i="1"/>
  <c r="T1088" i="1"/>
  <c r="R1088" i="1"/>
  <c r="S1088" i="1" s="1"/>
  <c r="Q1088" i="1"/>
  <c r="O1088" i="1"/>
  <c r="N1088" i="1"/>
  <c r="M1088" i="1"/>
  <c r="K1088" i="1"/>
  <c r="J1088" i="1"/>
  <c r="I1088" i="1"/>
  <c r="F1088" i="1"/>
  <c r="G1088" i="1" s="1"/>
  <c r="E1088" i="1"/>
  <c r="BN1087" i="1"/>
  <c r="BL1087" i="1"/>
  <c r="BJ1087" i="1"/>
  <c r="BM1087" i="1" s="1"/>
  <c r="BI1087" i="1"/>
  <c r="BF1087" i="1"/>
  <c r="BG1087" i="1" s="1"/>
  <c r="BE1087" i="1"/>
  <c r="BB1087" i="1"/>
  <c r="BC1087" i="1" s="1"/>
  <c r="BA1087" i="1"/>
  <c r="AY1087" i="1"/>
  <c r="AX1087" i="1"/>
  <c r="AW1087" i="1"/>
  <c r="AT1087" i="1"/>
  <c r="AU1087" i="1" s="1"/>
  <c r="AS1087" i="1"/>
  <c r="AP1087" i="1"/>
  <c r="AQ1087" i="1" s="1"/>
  <c r="AO1087" i="1"/>
  <c r="AL1087" i="1"/>
  <c r="AM1087" i="1" s="1"/>
  <c r="AK1087" i="1"/>
  <c r="AI1087" i="1"/>
  <c r="AH1087" i="1"/>
  <c r="AF1087" i="1"/>
  <c r="AG1087" i="1" s="1"/>
  <c r="AE1087" i="1"/>
  <c r="AD1087" i="1"/>
  <c r="AB1087" i="1"/>
  <c r="AC1087" i="1" s="1"/>
  <c r="AA1087" i="1"/>
  <c r="Z1087" i="1"/>
  <c r="X1087" i="1"/>
  <c r="Y1087" i="1" s="1"/>
  <c r="W1087" i="1"/>
  <c r="V1087" i="1"/>
  <c r="T1087" i="1"/>
  <c r="U1087" i="1" s="1"/>
  <c r="S1087" i="1"/>
  <c r="R1087" i="1"/>
  <c r="Q1087" i="1"/>
  <c r="O1087" i="1"/>
  <c r="N1087" i="1"/>
  <c r="M1087" i="1"/>
  <c r="J1087" i="1"/>
  <c r="K1087" i="1" s="1"/>
  <c r="I1087" i="1"/>
  <c r="F1087" i="1"/>
  <c r="G1087" i="1" s="1"/>
  <c r="E1087" i="1"/>
  <c r="BN1086" i="1"/>
  <c r="BL1086" i="1"/>
  <c r="BJ1086" i="1"/>
  <c r="BM1086" i="1" s="1"/>
  <c r="BI1086" i="1"/>
  <c r="BF1086" i="1"/>
  <c r="BG1086" i="1" s="1"/>
  <c r="BE1086" i="1"/>
  <c r="BC1086" i="1"/>
  <c r="BB1086" i="1"/>
  <c r="BA1086" i="1"/>
  <c r="AX1086" i="1"/>
  <c r="AY1086" i="1" s="1"/>
  <c r="AW1086" i="1"/>
  <c r="AT1086" i="1"/>
  <c r="AU1086" i="1" s="1"/>
  <c r="AS1086" i="1"/>
  <c r="AP1086" i="1"/>
  <c r="AQ1086" i="1" s="1"/>
  <c r="AO1086" i="1"/>
  <c r="AM1086" i="1"/>
  <c r="AL1086" i="1"/>
  <c r="AK1086" i="1"/>
  <c r="AI1086" i="1"/>
  <c r="AH1086" i="1"/>
  <c r="AG1086" i="1"/>
  <c r="AD1086" i="1"/>
  <c r="AE1086" i="1" s="1"/>
  <c r="AC1086" i="1"/>
  <c r="Z1086" i="1"/>
  <c r="AA1086" i="1" s="1"/>
  <c r="Y1086" i="1"/>
  <c r="W1086" i="1"/>
  <c r="V1086" i="1"/>
  <c r="U1086" i="1"/>
  <c r="R1086" i="1"/>
  <c r="S1086" i="1" s="1"/>
  <c r="Q1086" i="1"/>
  <c r="N1086" i="1"/>
  <c r="O1086" i="1" s="1"/>
  <c r="M1086" i="1"/>
  <c r="J1086" i="1"/>
  <c r="K1086" i="1" s="1"/>
  <c r="I1086" i="1"/>
  <c r="G1086" i="1"/>
  <c r="F1086" i="1"/>
  <c r="E1086" i="1"/>
  <c r="BN1085" i="1"/>
  <c r="BM1085" i="1" s="1"/>
  <c r="BL1085" i="1"/>
  <c r="BJ1085" i="1"/>
  <c r="BI1085" i="1"/>
  <c r="BG1085" i="1"/>
  <c r="BF1085" i="1"/>
  <c r="BE1085" i="1"/>
  <c r="BC1085" i="1"/>
  <c r="BB1085" i="1"/>
  <c r="BA1085" i="1"/>
  <c r="AX1085" i="1"/>
  <c r="AY1085" i="1" s="1"/>
  <c r="AW1085" i="1"/>
  <c r="AT1085" i="1"/>
  <c r="AU1085" i="1" s="1"/>
  <c r="AS1085" i="1"/>
  <c r="AQ1085" i="1"/>
  <c r="AP1085" i="1"/>
  <c r="AO1085" i="1"/>
  <c r="AL1085" i="1"/>
  <c r="AM1085" i="1" s="1"/>
  <c r="AK1085" i="1"/>
  <c r="AH1085" i="1"/>
  <c r="AI1085" i="1" s="1"/>
  <c r="AG1085" i="1"/>
  <c r="AF1085" i="1"/>
  <c r="AD1085" i="1"/>
  <c r="AC1085" i="1"/>
  <c r="Z1085" i="1"/>
  <c r="AA1085" i="1" s="1"/>
  <c r="Y1085" i="1"/>
  <c r="W1085" i="1"/>
  <c r="V1085" i="1"/>
  <c r="U1085" i="1"/>
  <c r="R1085" i="1"/>
  <c r="S1085" i="1" s="1"/>
  <c r="Q1085" i="1"/>
  <c r="N1085" i="1"/>
  <c r="O1085" i="1" s="1"/>
  <c r="M1085" i="1"/>
  <c r="J1085" i="1"/>
  <c r="K1085" i="1" s="1"/>
  <c r="I1085" i="1"/>
  <c r="G1085" i="1"/>
  <c r="F1085" i="1"/>
  <c r="E1085" i="1"/>
  <c r="BN1084" i="1"/>
  <c r="BM1084" i="1" s="1"/>
  <c r="BL1084" i="1"/>
  <c r="BJ1084" i="1"/>
  <c r="BI1084" i="1"/>
  <c r="BG1084" i="1"/>
  <c r="BF1084" i="1"/>
  <c r="BE1084" i="1"/>
  <c r="BC1084" i="1"/>
  <c r="BB1084" i="1"/>
  <c r="BA1084" i="1"/>
  <c r="AX1084" i="1"/>
  <c r="AY1084" i="1" s="1"/>
  <c r="AW1084" i="1"/>
  <c r="AT1084" i="1"/>
  <c r="AU1084" i="1" s="1"/>
  <c r="AS1084" i="1"/>
  <c r="AQ1084" i="1"/>
  <c r="AP1084" i="1"/>
  <c r="AO1084" i="1"/>
  <c r="AL1084" i="1"/>
  <c r="AM1084" i="1" s="1"/>
  <c r="AK1084" i="1"/>
  <c r="AH1084" i="1"/>
  <c r="AI1084" i="1" s="1"/>
  <c r="AG1084" i="1"/>
  <c r="AF1084" i="1"/>
  <c r="AD1084" i="1"/>
  <c r="AC1084" i="1"/>
  <c r="Z1084" i="1"/>
  <c r="AA1084" i="1" s="1"/>
  <c r="Y1084" i="1"/>
  <c r="W1084" i="1"/>
  <c r="V1084" i="1"/>
  <c r="U1084" i="1"/>
  <c r="R1084" i="1"/>
  <c r="S1084" i="1" s="1"/>
  <c r="Q1084" i="1"/>
  <c r="N1084" i="1"/>
  <c r="M1084" i="1"/>
  <c r="J1084" i="1"/>
  <c r="K1084" i="1" s="1"/>
  <c r="I1084" i="1"/>
  <c r="G1084" i="1"/>
  <c r="F1084" i="1"/>
  <c r="E1084" i="1"/>
  <c r="BN1083" i="1"/>
  <c r="BM1083" i="1" s="1"/>
  <c r="BL1083" i="1"/>
  <c r="BJ1083" i="1"/>
  <c r="BI1083" i="1"/>
  <c r="BG1083" i="1"/>
  <c r="BF1083" i="1"/>
  <c r="BE1083" i="1"/>
  <c r="BC1083" i="1"/>
  <c r="BB1083" i="1"/>
  <c r="BA1083" i="1"/>
  <c r="AX1083" i="1"/>
  <c r="AY1083" i="1" s="1"/>
  <c r="AW1083" i="1"/>
  <c r="AT1083" i="1"/>
  <c r="AU1083" i="1" s="1"/>
  <c r="AS1083" i="1"/>
  <c r="AQ1083" i="1"/>
  <c r="AP1083" i="1"/>
  <c r="AO1083" i="1"/>
  <c r="AL1083" i="1"/>
  <c r="AM1083" i="1" s="1"/>
  <c r="AK1083" i="1"/>
  <c r="AH1083" i="1"/>
  <c r="AI1083" i="1" s="1"/>
  <c r="AG1083" i="1"/>
  <c r="AD1083" i="1"/>
  <c r="AE1083" i="1" s="1"/>
  <c r="AC1083" i="1"/>
  <c r="AA1083" i="1"/>
  <c r="Z1083" i="1"/>
  <c r="Y1083" i="1"/>
  <c r="W1083" i="1"/>
  <c r="V1083" i="1"/>
  <c r="U1083" i="1"/>
  <c r="R1083" i="1"/>
  <c r="S1083" i="1" s="1"/>
  <c r="Q1083" i="1"/>
  <c r="N1083" i="1"/>
  <c r="O1083" i="1" s="1"/>
  <c r="M1083" i="1"/>
  <c r="K1083" i="1"/>
  <c r="J1083" i="1"/>
  <c r="I1083" i="1"/>
  <c r="F1083" i="1"/>
  <c r="G1083" i="1" s="1"/>
  <c r="E1083" i="1"/>
  <c r="BN1082" i="1"/>
  <c r="BM1082" i="1"/>
  <c r="BL1082" i="1"/>
  <c r="BJ1082" i="1"/>
  <c r="BI1082" i="1"/>
  <c r="BF1082" i="1"/>
  <c r="BG1082" i="1" s="1"/>
  <c r="BE1082" i="1"/>
  <c r="BB1082" i="1"/>
  <c r="BC1082" i="1" s="1"/>
  <c r="BA1082" i="1"/>
  <c r="AX1082" i="1"/>
  <c r="AY1082" i="1" s="1"/>
  <c r="AW1082" i="1"/>
  <c r="AU1082" i="1"/>
  <c r="AT1082" i="1"/>
  <c r="AS1082" i="1"/>
  <c r="AQ1082" i="1"/>
  <c r="AP1082" i="1"/>
  <c r="AO1082" i="1"/>
  <c r="AL1082" i="1"/>
  <c r="AM1082" i="1" s="1"/>
  <c r="AK1082" i="1"/>
  <c r="AH1082" i="1"/>
  <c r="AI1082" i="1" s="1"/>
  <c r="AG1082" i="1"/>
  <c r="AE1082" i="1"/>
  <c r="AD1082" i="1"/>
  <c r="AC1082" i="1"/>
  <c r="Z1082" i="1"/>
  <c r="AA1082" i="1" s="1"/>
  <c r="Y1082" i="1"/>
  <c r="V1082" i="1"/>
  <c r="U1082" i="1"/>
  <c r="R1082" i="1"/>
  <c r="S1082" i="1" s="1"/>
  <c r="Q1082" i="1"/>
  <c r="O1082" i="1"/>
  <c r="N1082" i="1"/>
  <c r="M1082" i="1"/>
  <c r="K1082" i="1"/>
  <c r="J1082" i="1"/>
  <c r="I1082" i="1"/>
  <c r="F1082" i="1"/>
  <c r="G1082" i="1" s="1"/>
  <c r="E1082" i="1"/>
  <c r="BN1081" i="1"/>
  <c r="BM1081" i="1"/>
  <c r="BL1081" i="1"/>
  <c r="BK1081" i="1"/>
  <c r="BJ1081" i="1"/>
  <c r="BH1081" i="1"/>
  <c r="BI1081" i="1" s="1"/>
  <c r="BG1081" i="1"/>
  <c r="BF1081" i="1"/>
  <c r="BE1081" i="1"/>
  <c r="BC1081" i="1"/>
  <c r="BB1081" i="1"/>
  <c r="BA1081" i="1"/>
  <c r="AX1081" i="1"/>
  <c r="AY1081" i="1" s="1"/>
  <c r="AW1081" i="1"/>
  <c r="AV1081" i="1"/>
  <c r="AT1081" i="1"/>
  <c r="AU1081" i="1" s="1"/>
  <c r="AS1081" i="1"/>
  <c r="AR1081" i="1"/>
  <c r="AP1081" i="1"/>
  <c r="AO1081" i="1"/>
  <c r="AL1081" i="1"/>
  <c r="AM1081" i="1" s="1"/>
  <c r="AK1081" i="1"/>
  <c r="AI1081" i="1"/>
  <c r="AH1081" i="1"/>
  <c r="AF1081" i="1"/>
  <c r="AG1081" i="1" s="1"/>
  <c r="AE1081" i="1"/>
  <c r="AD1081" i="1"/>
  <c r="AC1081" i="1"/>
  <c r="AA1081" i="1"/>
  <c r="Z1081" i="1"/>
  <c r="Y1081" i="1"/>
  <c r="V1081" i="1"/>
  <c r="W1081" i="1" s="1"/>
  <c r="U1081" i="1"/>
  <c r="R1081" i="1"/>
  <c r="S1081" i="1" s="1"/>
  <c r="Q1081" i="1"/>
  <c r="P1081" i="1"/>
  <c r="N1081" i="1"/>
  <c r="O1081" i="1" s="1"/>
  <c r="M1081" i="1"/>
  <c r="K1081" i="1"/>
  <c r="J1081" i="1"/>
  <c r="I1081" i="1"/>
  <c r="G1081" i="1"/>
  <c r="F1081" i="1"/>
  <c r="E1081" i="1"/>
  <c r="BN1080" i="1"/>
  <c r="BM1080" i="1"/>
  <c r="BL1080" i="1"/>
  <c r="BK1080" i="1"/>
  <c r="BJ1080" i="1"/>
  <c r="BI1080" i="1"/>
  <c r="BG1080" i="1"/>
  <c r="BF1080" i="1"/>
  <c r="BE1080" i="1"/>
  <c r="BB1080" i="1"/>
  <c r="BC1080" i="1" s="1"/>
  <c r="BA1080" i="1"/>
  <c r="AX1080" i="1"/>
  <c r="AY1080" i="1" s="1"/>
  <c r="AW1080" i="1"/>
  <c r="AV1080" i="1"/>
  <c r="AT1080" i="1"/>
  <c r="AS1080" i="1"/>
  <c r="AP1080" i="1"/>
  <c r="AQ1080" i="1" s="1"/>
  <c r="AO1080" i="1"/>
  <c r="AM1080" i="1"/>
  <c r="AL1080" i="1"/>
  <c r="AK1080" i="1"/>
  <c r="AH1080" i="1"/>
  <c r="AI1080" i="1" s="1"/>
  <c r="AF1080" i="1"/>
  <c r="AG1080" i="1" s="1"/>
  <c r="AE1080" i="1"/>
  <c r="AD1080" i="1"/>
  <c r="AC1080" i="1"/>
  <c r="Z1080" i="1"/>
  <c r="AA1080" i="1" s="1"/>
  <c r="Y1080" i="1"/>
  <c r="V1080" i="1"/>
  <c r="W1080" i="1" s="1"/>
  <c r="U1080" i="1"/>
  <c r="S1080" i="1"/>
  <c r="R1080" i="1"/>
  <c r="P1080" i="1"/>
  <c r="Q1080" i="1" s="1"/>
  <c r="O1080" i="1"/>
  <c r="N1080" i="1"/>
  <c r="M1080" i="1"/>
  <c r="K1080" i="1"/>
  <c r="J1080" i="1"/>
  <c r="I1080" i="1"/>
  <c r="F1080" i="1"/>
  <c r="G1080" i="1" s="1"/>
  <c r="E1080" i="1"/>
  <c r="BN1079" i="1"/>
  <c r="BM1079" i="1"/>
  <c r="BL1079" i="1"/>
  <c r="BK1079" i="1"/>
  <c r="BJ1079" i="1"/>
  <c r="BI1079" i="1"/>
  <c r="BF1079" i="1"/>
  <c r="BG1079" i="1" s="1"/>
  <c r="BE1079" i="1"/>
  <c r="BB1079" i="1"/>
  <c r="BA1079" i="1"/>
  <c r="AX1079" i="1"/>
  <c r="AY1079" i="1" s="1"/>
  <c r="AV1079" i="1"/>
  <c r="AW1079" i="1" s="1"/>
  <c r="AT1079" i="1"/>
  <c r="AU1079" i="1" s="1"/>
  <c r="AS1079" i="1"/>
  <c r="AQ1079" i="1"/>
  <c r="AP1079" i="1"/>
  <c r="AO1079" i="1"/>
  <c r="AL1079" i="1"/>
  <c r="AM1079" i="1" s="1"/>
  <c r="AK1079" i="1"/>
  <c r="AH1079" i="1"/>
  <c r="AI1079" i="1" s="1"/>
  <c r="AG1079" i="1"/>
  <c r="AF1079" i="1"/>
  <c r="AD1079" i="1"/>
  <c r="AE1079" i="1" s="1"/>
  <c r="AC1079" i="1"/>
  <c r="Z1079" i="1"/>
  <c r="AA1079" i="1" s="1"/>
  <c r="Y1079" i="1"/>
  <c r="W1079" i="1"/>
  <c r="V1079" i="1"/>
  <c r="U1079" i="1"/>
  <c r="R1079" i="1"/>
  <c r="S1079" i="1" s="1"/>
  <c r="P1079" i="1"/>
  <c r="Q1079" i="1" s="1"/>
  <c r="N1079" i="1"/>
  <c r="M1079" i="1"/>
  <c r="J1079" i="1"/>
  <c r="K1079" i="1" s="1"/>
  <c r="I1079" i="1"/>
  <c r="F1079" i="1"/>
  <c r="G1079" i="1" s="1"/>
  <c r="E1079" i="1"/>
  <c r="BN1078" i="1"/>
  <c r="BL1078" i="1"/>
  <c r="BJ1078" i="1"/>
  <c r="BM1078" i="1" s="1"/>
  <c r="BI1078" i="1"/>
  <c r="BF1078" i="1"/>
  <c r="BG1078" i="1" s="1"/>
  <c r="BE1078" i="1"/>
  <c r="BC1078" i="1"/>
  <c r="BB1078" i="1"/>
  <c r="BA1078" i="1"/>
  <c r="AX1078" i="1"/>
  <c r="AY1078" i="1" s="1"/>
  <c r="AW1078" i="1"/>
  <c r="AT1078" i="1"/>
  <c r="AU1078" i="1" s="1"/>
  <c r="AS1078" i="1"/>
  <c r="AP1078" i="1"/>
  <c r="AQ1078" i="1" s="1"/>
  <c r="AO1078" i="1"/>
  <c r="AM1078" i="1"/>
  <c r="AL1078" i="1"/>
  <c r="AK1078" i="1"/>
  <c r="AI1078" i="1"/>
  <c r="AH1078" i="1"/>
  <c r="AG1078" i="1"/>
  <c r="AD1078" i="1"/>
  <c r="AE1078" i="1" s="1"/>
  <c r="AC1078" i="1"/>
  <c r="Z1078" i="1"/>
  <c r="AA1078" i="1" s="1"/>
  <c r="Y1078" i="1"/>
  <c r="W1078" i="1"/>
  <c r="V1078" i="1"/>
  <c r="U1078" i="1"/>
  <c r="R1078" i="1"/>
  <c r="S1078" i="1" s="1"/>
  <c r="Q1078" i="1"/>
  <c r="N1078" i="1"/>
  <c r="O1078" i="1" s="1"/>
  <c r="M1078" i="1"/>
  <c r="J1078" i="1"/>
  <c r="K1078" i="1" s="1"/>
  <c r="I1078" i="1"/>
  <c r="G1078" i="1"/>
  <c r="F1078" i="1"/>
  <c r="E1078" i="1"/>
  <c r="BN1077" i="1"/>
  <c r="BM1077" i="1" s="1"/>
  <c r="BK1077" i="1"/>
  <c r="BL1077" i="1" s="1"/>
  <c r="BJ1077" i="1"/>
  <c r="BI1077" i="1"/>
  <c r="BF1077" i="1"/>
  <c r="BG1077" i="1" s="1"/>
  <c r="BE1077" i="1"/>
  <c r="BC1077" i="1"/>
  <c r="BB1077" i="1"/>
  <c r="BA1077" i="1"/>
  <c r="AX1077" i="1"/>
  <c r="AY1077" i="1" s="1"/>
  <c r="AV1077" i="1"/>
  <c r="AW1077" i="1" s="1"/>
  <c r="AU1077" i="1"/>
  <c r="AT1077" i="1"/>
  <c r="AS1077" i="1"/>
  <c r="AP1077" i="1"/>
  <c r="AQ1077" i="1" s="1"/>
  <c r="AO1077" i="1"/>
  <c r="AL1077" i="1"/>
  <c r="AM1077" i="1" s="1"/>
  <c r="AK1077" i="1"/>
  <c r="AI1077" i="1"/>
  <c r="AH1077" i="1"/>
  <c r="AF1077" i="1"/>
  <c r="AG1077" i="1" s="1"/>
  <c r="AE1077" i="1"/>
  <c r="AD1077" i="1"/>
  <c r="AC1077" i="1"/>
  <c r="AA1077" i="1"/>
  <c r="Z1077" i="1"/>
  <c r="Y1077" i="1"/>
  <c r="V1077" i="1"/>
  <c r="W1077" i="1" s="1"/>
  <c r="U1077" i="1"/>
  <c r="R1077" i="1"/>
  <c r="S1077" i="1" s="1"/>
  <c r="Q1077" i="1"/>
  <c r="O1077" i="1"/>
  <c r="N1077" i="1"/>
  <c r="M1077" i="1"/>
  <c r="J1077" i="1"/>
  <c r="K1077" i="1" s="1"/>
  <c r="I1077" i="1"/>
  <c r="F1077" i="1"/>
  <c r="E1077" i="1"/>
  <c r="BN1076" i="1"/>
  <c r="BM1076" i="1"/>
  <c r="BK1076" i="1"/>
  <c r="BL1076" i="1" s="1"/>
  <c r="BJ1076" i="1"/>
  <c r="BI1076" i="1"/>
  <c r="BG1076" i="1"/>
  <c r="BF1076" i="1"/>
  <c r="BE1076" i="1"/>
  <c r="BB1076" i="1"/>
  <c r="BC1076" i="1" s="1"/>
  <c r="BA1076" i="1"/>
  <c r="AX1076" i="1"/>
  <c r="AY1076" i="1" s="1"/>
  <c r="AW1076" i="1"/>
  <c r="AV1076" i="1"/>
  <c r="AT1076" i="1"/>
  <c r="AU1076" i="1" s="1"/>
  <c r="AS1076" i="1"/>
  <c r="AQ1076" i="1"/>
  <c r="AP1076" i="1"/>
  <c r="AO1076" i="1"/>
  <c r="AM1076" i="1"/>
  <c r="AL1076" i="1"/>
  <c r="AK1076" i="1"/>
  <c r="AH1076" i="1"/>
  <c r="AI1076" i="1" s="1"/>
  <c r="AG1076" i="1"/>
  <c r="AF1076" i="1"/>
  <c r="AD1076" i="1"/>
  <c r="AE1076" i="1" s="1"/>
  <c r="AC1076" i="1"/>
  <c r="Z1076" i="1"/>
  <c r="AA1076" i="1" s="1"/>
  <c r="Y1076" i="1"/>
  <c r="W1076" i="1"/>
  <c r="V1076" i="1"/>
  <c r="U1076" i="1"/>
  <c r="S1076" i="1"/>
  <c r="R1076" i="1"/>
  <c r="Q1076" i="1"/>
  <c r="N1076" i="1"/>
  <c r="O1076" i="1" s="1"/>
  <c r="M1076" i="1"/>
  <c r="J1076" i="1"/>
  <c r="K1076" i="1" s="1"/>
  <c r="I1076" i="1"/>
  <c r="G1076" i="1"/>
  <c r="F1076" i="1"/>
  <c r="E1076" i="1"/>
  <c r="BN1075" i="1"/>
  <c r="BM1075" i="1"/>
  <c r="BK1075" i="1"/>
  <c r="BL1075" i="1" s="1"/>
  <c r="BJ1075" i="1"/>
  <c r="BI1075" i="1"/>
  <c r="BF1075" i="1"/>
  <c r="BE1075" i="1"/>
  <c r="BC1075" i="1"/>
  <c r="BB1075" i="1"/>
  <c r="BA1075" i="1"/>
  <c r="AY1075" i="1"/>
  <c r="AX1075" i="1"/>
  <c r="AV1075" i="1"/>
  <c r="AW1075" i="1" s="1"/>
  <c r="AT1075" i="1"/>
  <c r="AU1075" i="1" s="1"/>
  <c r="AS1075" i="1"/>
  <c r="AP1075" i="1"/>
  <c r="AQ1075" i="1" s="1"/>
  <c r="AO1075" i="1"/>
  <c r="AL1075" i="1"/>
  <c r="AM1075" i="1" s="1"/>
  <c r="AK1075" i="1"/>
  <c r="AI1075" i="1"/>
  <c r="AH1075" i="1"/>
  <c r="AF1075" i="1"/>
  <c r="AG1075" i="1" s="1"/>
  <c r="AE1075" i="1"/>
  <c r="AD1075" i="1"/>
  <c r="AC1075" i="1"/>
  <c r="Z1075" i="1"/>
  <c r="AA1075" i="1" s="1"/>
  <c r="Y1075" i="1"/>
  <c r="V1075" i="1"/>
  <c r="U1075" i="1"/>
  <c r="R1075" i="1"/>
  <c r="Q1075" i="1"/>
  <c r="O1075" i="1"/>
  <c r="N1075" i="1"/>
  <c r="M1075" i="1"/>
  <c r="K1075" i="1"/>
  <c r="J1075" i="1"/>
  <c r="I1075" i="1"/>
  <c r="F1075" i="1"/>
  <c r="E1075" i="1"/>
  <c r="BN1074" i="1"/>
  <c r="BL1074" i="1"/>
  <c r="BJ1074" i="1"/>
  <c r="BM1074" i="1" s="1"/>
  <c r="BI1074" i="1"/>
  <c r="BF1074" i="1"/>
  <c r="BE1074" i="1"/>
  <c r="BB1074" i="1"/>
  <c r="BC1074" i="1" s="1"/>
  <c r="BA1074" i="1"/>
  <c r="AY1074" i="1"/>
  <c r="AX1074" i="1"/>
  <c r="AW1074" i="1"/>
  <c r="AT1074" i="1"/>
  <c r="AU1074" i="1" s="1"/>
  <c r="AS1074" i="1"/>
  <c r="AP1074" i="1"/>
  <c r="AQ1074" i="1" s="1"/>
  <c r="AO1074" i="1"/>
  <c r="AL1074" i="1"/>
  <c r="AK1074" i="1"/>
  <c r="AI1074" i="1"/>
  <c r="AH1074" i="1"/>
  <c r="AG1074" i="1"/>
  <c r="AD1074" i="1"/>
  <c r="AE1074" i="1" s="1"/>
  <c r="AC1074" i="1"/>
  <c r="Z1074" i="1"/>
  <c r="Y1074" i="1"/>
  <c r="V1074" i="1"/>
  <c r="W1074" i="1" s="1"/>
  <c r="U1074" i="1"/>
  <c r="S1074" i="1"/>
  <c r="R1074" i="1"/>
  <c r="Q1074" i="1"/>
  <c r="N1074" i="1"/>
  <c r="O1074" i="1" s="1"/>
  <c r="M1074" i="1"/>
  <c r="J1074" i="1"/>
  <c r="K1074" i="1" s="1"/>
  <c r="I1074" i="1"/>
  <c r="F1074" i="1"/>
  <c r="G1074" i="1" s="1"/>
  <c r="E1074" i="1"/>
  <c r="BN1073" i="1"/>
  <c r="BL1073" i="1"/>
  <c r="BJ1073" i="1"/>
  <c r="BI1073" i="1"/>
  <c r="BF1073" i="1"/>
  <c r="BG1073" i="1" s="1"/>
  <c r="BE1073" i="1"/>
  <c r="BC1073" i="1"/>
  <c r="BB1073" i="1"/>
  <c r="BA1073" i="1"/>
  <c r="AY1073" i="1"/>
  <c r="AX1073" i="1"/>
  <c r="AW1073" i="1"/>
  <c r="AT1073" i="1"/>
  <c r="AU1073" i="1" s="1"/>
  <c r="AS1073" i="1"/>
  <c r="AP1073" i="1"/>
  <c r="AQ1073" i="1" s="1"/>
  <c r="AO1073" i="1"/>
  <c r="AM1073" i="1"/>
  <c r="AL1073" i="1"/>
  <c r="AK1073" i="1"/>
  <c r="AH1073" i="1"/>
  <c r="AI1073" i="1" s="1"/>
  <c r="AG1073" i="1"/>
  <c r="AD1073" i="1"/>
  <c r="AE1073" i="1" s="1"/>
  <c r="AC1073" i="1"/>
  <c r="Z1073" i="1"/>
  <c r="AA1073" i="1" s="1"/>
  <c r="Y1073" i="1"/>
  <c r="W1073" i="1"/>
  <c r="V1073" i="1"/>
  <c r="U1073" i="1"/>
  <c r="R1073" i="1"/>
  <c r="S1073" i="1" s="1"/>
  <c r="Q1073" i="1"/>
  <c r="N1073" i="1"/>
  <c r="O1073" i="1" s="1"/>
  <c r="M1073" i="1"/>
  <c r="J1073" i="1"/>
  <c r="K1073" i="1" s="1"/>
  <c r="I1073" i="1"/>
  <c r="G1073" i="1"/>
  <c r="F1073" i="1"/>
  <c r="E1073" i="1"/>
  <c r="BN1072" i="1"/>
  <c r="BM1072" i="1"/>
  <c r="BL1072" i="1"/>
  <c r="BJ1072" i="1"/>
  <c r="BI1072" i="1"/>
  <c r="BG1072" i="1"/>
  <c r="BF1072" i="1"/>
  <c r="BE1072" i="1"/>
  <c r="BB1072" i="1"/>
  <c r="BC1072" i="1" s="1"/>
  <c r="BA1072" i="1"/>
  <c r="AX1072" i="1"/>
  <c r="AW1072" i="1"/>
  <c r="AT1072" i="1"/>
  <c r="AS1072" i="1"/>
  <c r="AQ1072" i="1"/>
  <c r="AP1072" i="1"/>
  <c r="AO1072" i="1"/>
  <c r="AM1072" i="1"/>
  <c r="AL1072" i="1"/>
  <c r="AK1072" i="1"/>
  <c r="AH1072" i="1"/>
  <c r="AG1072" i="1"/>
  <c r="AD1072" i="1"/>
  <c r="AE1072" i="1" s="1"/>
  <c r="AC1072" i="1"/>
  <c r="AA1072" i="1"/>
  <c r="Z1072" i="1"/>
  <c r="Y1072" i="1"/>
  <c r="V1072" i="1"/>
  <c r="W1072" i="1" s="1"/>
  <c r="U1072" i="1"/>
  <c r="R1072" i="1"/>
  <c r="Q1072" i="1"/>
  <c r="N1072" i="1"/>
  <c r="O1072" i="1" s="1"/>
  <c r="M1072" i="1"/>
  <c r="K1072" i="1"/>
  <c r="J1072" i="1"/>
  <c r="I1072" i="1"/>
  <c r="G1072" i="1"/>
  <c r="F1072" i="1"/>
  <c r="E1072" i="1"/>
  <c r="BN1071" i="1"/>
  <c r="BM1071" i="1"/>
  <c r="BL1071" i="1"/>
  <c r="BJ1071" i="1"/>
  <c r="BI1071" i="1"/>
  <c r="BG1071" i="1"/>
  <c r="BF1071" i="1"/>
  <c r="BE1071" i="1"/>
  <c r="BB1071" i="1"/>
  <c r="BC1071" i="1" s="1"/>
  <c r="BA1071" i="1"/>
  <c r="AX1071" i="1"/>
  <c r="AY1071" i="1" s="1"/>
  <c r="AW1071" i="1"/>
  <c r="AU1071" i="1"/>
  <c r="AT1071" i="1"/>
  <c r="AS1071" i="1"/>
  <c r="AP1071" i="1"/>
  <c r="AQ1071" i="1" s="1"/>
  <c r="AO1071" i="1"/>
  <c r="AL1071" i="1"/>
  <c r="AM1071" i="1" s="1"/>
  <c r="AK1071" i="1"/>
  <c r="AH1071" i="1"/>
  <c r="AG1071" i="1"/>
  <c r="AE1071" i="1"/>
  <c r="AD1071" i="1"/>
  <c r="AC1071" i="1"/>
  <c r="Z1071" i="1"/>
  <c r="AA1071" i="1" s="1"/>
  <c r="Y1071" i="1"/>
  <c r="V1071" i="1"/>
  <c r="U1071" i="1"/>
  <c r="R1071" i="1"/>
  <c r="S1071" i="1" s="1"/>
  <c r="Q1071" i="1"/>
  <c r="O1071" i="1"/>
  <c r="N1071" i="1"/>
  <c r="M1071" i="1"/>
  <c r="J1071" i="1"/>
  <c r="K1071" i="1" s="1"/>
  <c r="I1071" i="1"/>
  <c r="F1071" i="1"/>
  <c r="G1071" i="1" s="1"/>
  <c r="E1071" i="1"/>
  <c r="BN1070" i="1"/>
  <c r="BL1070" i="1"/>
  <c r="BJ1070" i="1"/>
  <c r="BM1070" i="1" s="1"/>
  <c r="BI1070" i="1"/>
  <c r="BF1070" i="1"/>
  <c r="BG1070" i="1" s="1"/>
  <c r="BE1070" i="1"/>
  <c r="BB1070" i="1"/>
  <c r="BC1070" i="1" s="1"/>
  <c r="BA1070" i="1"/>
  <c r="AY1070" i="1"/>
  <c r="AX1070" i="1"/>
  <c r="AW1070" i="1"/>
  <c r="AT1070" i="1"/>
  <c r="AU1070" i="1" s="1"/>
  <c r="AS1070" i="1"/>
  <c r="AP1070" i="1"/>
  <c r="AQ1070" i="1" s="1"/>
  <c r="AO1070" i="1"/>
  <c r="AL1070" i="1"/>
  <c r="AM1070" i="1" s="1"/>
  <c r="AK1070" i="1"/>
  <c r="AI1070" i="1"/>
  <c r="AH1070" i="1"/>
  <c r="AG1070" i="1"/>
  <c r="AD1070" i="1"/>
  <c r="AE1070" i="1" s="1"/>
  <c r="AC1070" i="1"/>
  <c r="Z1070" i="1"/>
  <c r="Y1070" i="1"/>
  <c r="V1070" i="1"/>
  <c r="W1070" i="1" s="1"/>
  <c r="U1070" i="1"/>
  <c r="S1070" i="1"/>
  <c r="R1070" i="1"/>
  <c r="Q1070" i="1"/>
  <c r="O1070" i="1"/>
  <c r="N1070" i="1"/>
  <c r="M1070" i="1"/>
  <c r="J1070" i="1"/>
  <c r="K1070" i="1" s="1"/>
  <c r="I1070" i="1"/>
  <c r="F1070" i="1"/>
  <c r="G1070" i="1" s="1"/>
  <c r="E1070" i="1"/>
  <c r="BN1069" i="1"/>
  <c r="BL1069" i="1"/>
  <c r="BJ1069" i="1"/>
  <c r="BI1069" i="1"/>
  <c r="BF1069" i="1"/>
  <c r="BG1069" i="1" s="1"/>
  <c r="BE1069" i="1"/>
  <c r="BC1069" i="1"/>
  <c r="BB1069" i="1"/>
  <c r="BA1069" i="1"/>
  <c r="AX1069" i="1"/>
  <c r="AY1069" i="1" s="1"/>
  <c r="AW1069" i="1"/>
  <c r="AT1069" i="1"/>
  <c r="AS1069" i="1"/>
  <c r="AP1069" i="1"/>
  <c r="AQ1069" i="1" s="1"/>
  <c r="AO1069" i="1"/>
  <c r="AM1069" i="1"/>
  <c r="AL1069" i="1"/>
  <c r="AK1069" i="1"/>
  <c r="AI1069" i="1"/>
  <c r="AH1069" i="1"/>
  <c r="AG1069" i="1"/>
  <c r="AD1069" i="1"/>
  <c r="AE1069" i="1" s="1"/>
  <c r="AC1069" i="1"/>
  <c r="Z1069" i="1"/>
  <c r="AA1069" i="1" s="1"/>
  <c r="Y1069" i="1"/>
  <c r="W1069" i="1"/>
  <c r="V1069" i="1"/>
  <c r="U1069" i="1"/>
  <c r="R1069" i="1"/>
  <c r="S1069" i="1" s="1"/>
  <c r="Q1069" i="1"/>
  <c r="N1069" i="1"/>
  <c r="O1069" i="1" s="1"/>
  <c r="M1069" i="1"/>
  <c r="J1069" i="1"/>
  <c r="I1069" i="1"/>
  <c r="G1069" i="1"/>
  <c r="F1069" i="1"/>
  <c r="E1069" i="1"/>
  <c r="BN1068" i="1"/>
  <c r="BM1068" i="1"/>
  <c r="BL1068" i="1"/>
  <c r="BJ1068" i="1"/>
  <c r="BI1068" i="1"/>
  <c r="BG1068" i="1"/>
  <c r="BF1068" i="1"/>
  <c r="BE1068" i="1"/>
  <c r="BB1068" i="1"/>
  <c r="BC1068" i="1" s="1"/>
  <c r="BA1068" i="1"/>
  <c r="AX1068" i="1"/>
  <c r="AW1068" i="1"/>
  <c r="AT1068" i="1"/>
  <c r="AU1068" i="1" s="1"/>
  <c r="AS1068" i="1"/>
  <c r="AQ1068" i="1"/>
  <c r="AP1068" i="1"/>
  <c r="AO1068" i="1"/>
  <c r="AL1068" i="1"/>
  <c r="AM1068" i="1" s="1"/>
  <c r="AK1068" i="1"/>
  <c r="AH1068" i="1"/>
  <c r="AI1068" i="1" s="1"/>
  <c r="AG1068" i="1"/>
  <c r="AD1068" i="1"/>
  <c r="AC1068" i="1"/>
  <c r="AA1068" i="1"/>
  <c r="Z1068" i="1"/>
  <c r="Y1068" i="1"/>
  <c r="V1068" i="1"/>
  <c r="W1068" i="1" s="1"/>
  <c r="U1068" i="1"/>
  <c r="R1068" i="1"/>
  <c r="Q1068" i="1"/>
  <c r="N1068" i="1"/>
  <c r="O1068" i="1" s="1"/>
  <c r="M1068" i="1"/>
  <c r="K1068" i="1"/>
  <c r="J1068" i="1"/>
  <c r="I1068" i="1"/>
  <c r="G1068" i="1"/>
  <c r="F1068" i="1"/>
  <c r="E1068" i="1"/>
  <c r="BN1067" i="1"/>
  <c r="BM1067" i="1"/>
  <c r="BL1067" i="1"/>
  <c r="BJ1067" i="1"/>
  <c r="BI1067" i="1"/>
  <c r="BG1067" i="1"/>
  <c r="BF1067" i="1"/>
  <c r="BE1067" i="1"/>
  <c r="BB1067" i="1"/>
  <c r="BC1067" i="1" s="1"/>
  <c r="BA1067" i="1"/>
  <c r="AX1067" i="1"/>
  <c r="AY1067" i="1" s="1"/>
  <c r="AW1067" i="1"/>
  <c r="AU1067" i="1"/>
  <c r="AT1067" i="1"/>
  <c r="AS1067" i="1"/>
  <c r="AP1067" i="1"/>
  <c r="AQ1067" i="1" s="1"/>
  <c r="AO1067" i="1"/>
  <c r="AL1067" i="1"/>
  <c r="AM1067" i="1" s="1"/>
  <c r="AK1067" i="1"/>
  <c r="AH1067" i="1"/>
  <c r="AI1067" i="1" s="1"/>
  <c r="AG1067" i="1"/>
  <c r="AE1067" i="1"/>
  <c r="AD1067" i="1"/>
  <c r="AC1067" i="1"/>
  <c r="Z1067" i="1"/>
  <c r="AA1067" i="1" s="1"/>
  <c r="Y1067" i="1"/>
  <c r="V1067" i="1"/>
  <c r="W1067" i="1" s="1"/>
  <c r="U1067" i="1"/>
  <c r="R1067" i="1"/>
  <c r="Q1067" i="1"/>
  <c r="O1067" i="1"/>
  <c r="N1067" i="1"/>
  <c r="M1067" i="1"/>
  <c r="J1067" i="1"/>
  <c r="K1067" i="1" s="1"/>
  <c r="I1067" i="1"/>
  <c r="F1067" i="1"/>
  <c r="E1067" i="1"/>
  <c r="BN1066" i="1"/>
  <c r="BL1066" i="1"/>
  <c r="BJ1066" i="1"/>
  <c r="BM1066" i="1" s="1"/>
  <c r="BI1066" i="1"/>
  <c r="BF1066" i="1"/>
  <c r="BG1066" i="1" s="1"/>
  <c r="BE1066" i="1"/>
  <c r="BB1066" i="1"/>
  <c r="BA1066" i="1"/>
  <c r="AY1066" i="1"/>
  <c r="AX1066" i="1"/>
  <c r="AW1066" i="1"/>
  <c r="AT1066" i="1"/>
  <c r="AU1066" i="1" s="1"/>
  <c r="AS1066" i="1"/>
  <c r="AP1066" i="1"/>
  <c r="AO1066" i="1"/>
  <c r="AL1066" i="1"/>
  <c r="AM1066" i="1" s="1"/>
  <c r="AK1066" i="1"/>
  <c r="AI1066" i="1"/>
  <c r="AH1066" i="1"/>
  <c r="AG1066" i="1"/>
  <c r="AE1066" i="1"/>
  <c r="AD1066" i="1"/>
  <c r="AC1066" i="1"/>
  <c r="Z1066" i="1"/>
  <c r="AA1066" i="1" s="1"/>
  <c r="Y1066" i="1"/>
  <c r="V1066" i="1"/>
  <c r="W1066" i="1" s="1"/>
  <c r="U1066" i="1"/>
  <c r="S1066" i="1"/>
  <c r="R1066" i="1"/>
  <c r="Q1066" i="1"/>
  <c r="N1066" i="1"/>
  <c r="O1066" i="1" s="1"/>
  <c r="M1066" i="1"/>
  <c r="J1066" i="1"/>
  <c r="K1066" i="1" s="1"/>
  <c r="I1066" i="1"/>
  <c r="F1066" i="1"/>
  <c r="G1066" i="1" s="1"/>
  <c r="E1066" i="1"/>
  <c r="BN1065" i="1"/>
  <c r="BL1065" i="1"/>
  <c r="BJ1065" i="1"/>
  <c r="BM1065" i="1" s="1"/>
  <c r="BI1065" i="1"/>
  <c r="BF1065" i="1"/>
  <c r="BG1065" i="1" s="1"/>
  <c r="BE1065" i="1"/>
  <c r="BC1065" i="1"/>
  <c r="BB1065" i="1"/>
  <c r="BA1065" i="1"/>
  <c r="AX1065" i="1"/>
  <c r="AY1065" i="1" s="1"/>
  <c r="AW1065" i="1"/>
  <c r="AT1065" i="1"/>
  <c r="AU1065" i="1" s="1"/>
  <c r="AS1065" i="1"/>
  <c r="AP1065" i="1"/>
  <c r="AQ1065" i="1" s="1"/>
  <c r="AO1065" i="1"/>
  <c r="AM1065" i="1"/>
  <c r="AL1065" i="1"/>
  <c r="AK1065" i="1"/>
  <c r="AH1065" i="1"/>
  <c r="AI1065" i="1" s="1"/>
  <c r="AG1065" i="1"/>
  <c r="AD1065" i="1"/>
  <c r="AE1065" i="1" s="1"/>
  <c r="AC1065" i="1"/>
  <c r="Z1065" i="1"/>
  <c r="Y1065" i="1"/>
  <c r="W1065" i="1"/>
  <c r="V1065" i="1"/>
  <c r="U1065" i="1"/>
  <c r="R1065" i="1"/>
  <c r="S1065" i="1" s="1"/>
  <c r="Q1065" i="1"/>
  <c r="N1065" i="1"/>
  <c r="M1065" i="1"/>
  <c r="J1065" i="1"/>
  <c r="K1065" i="1" s="1"/>
  <c r="I1065" i="1"/>
  <c r="G1065" i="1"/>
  <c r="F1065" i="1"/>
  <c r="E1065" i="1"/>
  <c r="BN1064" i="1"/>
  <c r="BM1064" i="1" s="1"/>
  <c r="BL1064" i="1"/>
  <c r="BJ1064" i="1"/>
  <c r="BI1064" i="1"/>
  <c r="BG1064" i="1"/>
  <c r="BF1064" i="1"/>
  <c r="BE1064" i="1"/>
  <c r="BC1064" i="1"/>
  <c r="BB1064" i="1"/>
  <c r="BA1064" i="1"/>
  <c r="AX1064" i="1"/>
  <c r="AY1064" i="1" s="1"/>
  <c r="AW1064" i="1"/>
  <c r="AT1064" i="1"/>
  <c r="AU1064" i="1" s="1"/>
  <c r="AS1064" i="1"/>
  <c r="AQ1064" i="1"/>
  <c r="AP1064" i="1"/>
  <c r="AO1064" i="1"/>
  <c r="AL1064" i="1"/>
  <c r="AM1064" i="1" s="1"/>
  <c r="AK1064" i="1"/>
  <c r="AH1064" i="1"/>
  <c r="AI1064" i="1" s="1"/>
  <c r="AG1064" i="1"/>
  <c r="AD1064" i="1"/>
  <c r="AE1064" i="1" s="1"/>
  <c r="AC1064" i="1"/>
  <c r="AA1064" i="1"/>
  <c r="Z1064" i="1"/>
  <c r="Y1064" i="1"/>
  <c r="V1064" i="1"/>
  <c r="W1064" i="1" s="1"/>
  <c r="U1064" i="1"/>
  <c r="R1064" i="1"/>
  <c r="S1064" i="1" s="1"/>
  <c r="Q1064" i="1"/>
  <c r="N1064" i="1"/>
  <c r="M1064" i="1"/>
  <c r="K1064" i="1"/>
  <c r="J1064" i="1"/>
  <c r="I1064" i="1"/>
  <c r="F1064" i="1"/>
  <c r="G1064" i="1" s="1"/>
  <c r="E1064" i="1"/>
  <c r="BN1063" i="1"/>
  <c r="BM1063" i="1"/>
  <c r="BL1063" i="1"/>
  <c r="BJ1063" i="1"/>
  <c r="BI1063" i="1"/>
  <c r="BF1063" i="1"/>
  <c r="BG1063" i="1" s="1"/>
  <c r="BE1063" i="1"/>
  <c r="BB1063" i="1"/>
  <c r="BA1063" i="1"/>
  <c r="AX1063" i="1"/>
  <c r="AY1063" i="1" s="1"/>
  <c r="AW1063" i="1"/>
  <c r="AU1063" i="1"/>
  <c r="AT1063" i="1"/>
  <c r="AS1063" i="1"/>
  <c r="AQ1063" i="1"/>
  <c r="AP1063" i="1"/>
  <c r="AO1063" i="1"/>
  <c r="AL1063" i="1"/>
  <c r="AM1063" i="1" s="1"/>
  <c r="AK1063" i="1"/>
  <c r="AH1063" i="1"/>
  <c r="AI1063" i="1" s="1"/>
  <c r="AG1063" i="1"/>
  <c r="AE1063" i="1"/>
  <c r="AD1063" i="1"/>
  <c r="AC1063" i="1"/>
  <c r="Z1063" i="1"/>
  <c r="AA1063" i="1" s="1"/>
  <c r="Y1063" i="1"/>
  <c r="V1063" i="1"/>
  <c r="W1063" i="1" s="1"/>
  <c r="U1063" i="1"/>
  <c r="R1063" i="1"/>
  <c r="S1063" i="1" s="1"/>
  <c r="Q1063" i="1"/>
  <c r="O1063" i="1"/>
  <c r="N1063" i="1"/>
  <c r="M1063" i="1"/>
  <c r="J1063" i="1"/>
  <c r="K1063" i="1" s="1"/>
  <c r="I1063" i="1"/>
  <c r="F1063" i="1"/>
  <c r="G1063" i="1" s="1"/>
  <c r="E1063" i="1"/>
  <c r="BN1062" i="1"/>
  <c r="BL1062" i="1"/>
  <c r="BJ1062" i="1"/>
  <c r="BM1062" i="1" s="1"/>
  <c r="BI1062" i="1"/>
  <c r="BF1062" i="1"/>
  <c r="BG1062" i="1" s="1"/>
  <c r="BE1062" i="1"/>
  <c r="BB1062" i="1"/>
  <c r="BC1062" i="1" s="1"/>
  <c r="BA1062" i="1"/>
  <c r="AY1062" i="1"/>
  <c r="AX1062" i="1"/>
  <c r="AW1062" i="1"/>
  <c r="AT1062" i="1"/>
  <c r="AU1062" i="1" s="1"/>
  <c r="AS1062" i="1"/>
  <c r="AP1062" i="1"/>
  <c r="AQ1062" i="1" s="1"/>
  <c r="AO1062" i="1"/>
  <c r="AL1062" i="1"/>
  <c r="AK1062" i="1"/>
  <c r="AI1062" i="1"/>
  <c r="AH1062" i="1"/>
  <c r="AG1062" i="1"/>
  <c r="AD1062" i="1"/>
  <c r="AE1062" i="1" s="1"/>
  <c r="AC1062" i="1"/>
  <c r="Z1062" i="1"/>
  <c r="Y1062" i="1"/>
  <c r="V1062" i="1"/>
  <c r="W1062" i="1" s="1"/>
  <c r="U1062" i="1"/>
  <c r="S1062" i="1"/>
  <c r="R1062" i="1"/>
  <c r="Q1062" i="1"/>
  <c r="O1062" i="1"/>
  <c r="N1062" i="1"/>
  <c r="M1062" i="1"/>
  <c r="J1062" i="1"/>
  <c r="K1062" i="1" s="1"/>
  <c r="I1062" i="1"/>
  <c r="F1062" i="1"/>
  <c r="G1062" i="1" s="1"/>
  <c r="E1062" i="1"/>
  <c r="BN1061" i="1"/>
  <c r="BL1061" i="1"/>
  <c r="BJ1061" i="1"/>
  <c r="BI1061" i="1"/>
  <c r="BF1061" i="1"/>
  <c r="BG1061" i="1" s="1"/>
  <c r="BE1061" i="1"/>
  <c r="BC1061" i="1"/>
  <c r="BB1061" i="1"/>
  <c r="BA1061" i="1"/>
  <c r="AY1061" i="1"/>
  <c r="AX1061" i="1"/>
  <c r="AW1061" i="1"/>
  <c r="AT1061" i="1"/>
  <c r="AU1061" i="1" s="1"/>
  <c r="AS1061" i="1"/>
  <c r="AP1061" i="1"/>
  <c r="AQ1061" i="1" s="1"/>
  <c r="AO1061" i="1"/>
  <c r="AM1061" i="1"/>
  <c r="AL1061" i="1"/>
  <c r="AK1061" i="1"/>
  <c r="AH1061" i="1"/>
  <c r="AI1061" i="1" s="1"/>
  <c r="AG1061" i="1"/>
  <c r="AD1061" i="1"/>
  <c r="AE1061" i="1" s="1"/>
  <c r="AC1061" i="1"/>
  <c r="Z1061" i="1"/>
  <c r="AA1061" i="1" s="1"/>
  <c r="Y1061" i="1"/>
  <c r="W1061" i="1"/>
  <c r="V1061" i="1"/>
  <c r="U1061" i="1"/>
  <c r="R1061" i="1"/>
  <c r="S1061" i="1" s="1"/>
  <c r="Q1061" i="1"/>
  <c r="N1061" i="1"/>
  <c r="O1061" i="1" s="1"/>
  <c r="M1061" i="1"/>
  <c r="J1061" i="1"/>
  <c r="I1061" i="1"/>
  <c r="G1061" i="1"/>
  <c r="F1061" i="1"/>
  <c r="E1061" i="1"/>
  <c r="BN1060" i="1"/>
  <c r="BM1060" i="1"/>
  <c r="BL1060" i="1"/>
  <c r="BJ1060" i="1"/>
  <c r="BI1060" i="1"/>
  <c r="BG1060" i="1"/>
  <c r="BF1060" i="1"/>
  <c r="BE1060" i="1"/>
  <c r="BB1060" i="1"/>
  <c r="BC1060" i="1" s="1"/>
  <c r="BA1060" i="1"/>
  <c r="AX1060" i="1"/>
  <c r="AW1060" i="1"/>
  <c r="AT1060" i="1"/>
  <c r="AU1060" i="1" s="1"/>
  <c r="AS1060" i="1"/>
  <c r="AQ1060" i="1"/>
  <c r="AP1060" i="1"/>
  <c r="AO1060" i="1"/>
  <c r="AM1060" i="1"/>
  <c r="AL1060" i="1"/>
  <c r="AK1060" i="1"/>
  <c r="AH1060" i="1"/>
  <c r="AI1060" i="1" s="1"/>
  <c r="AG1060" i="1"/>
  <c r="AD1060" i="1"/>
  <c r="AE1060" i="1" s="1"/>
  <c r="AC1060" i="1"/>
  <c r="AA1060" i="1"/>
  <c r="Z1060" i="1"/>
  <c r="Y1060" i="1"/>
  <c r="V1060" i="1"/>
  <c r="W1060" i="1" s="1"/>
  <c r="U1060" i="1"/>
  <c r="R1060" i="1"/>
  <c r="S1060" i="1" s="1"/>
  <c r="Q1060" i="1"/>
  <c r="N1060" i="1"/>
  <c r="O1060" i="1" s="1"/>
  <c r="M1060" i="1"/>
  <c r="K1060" i="1"/>
  <c r="J1060" i="1"/>
  <c r="I1060" i="1"/>
  <c r="F1060" i="1"/>
  <c r="G1060" i="1" s="1"/>
  <c r="E1060" i="1"/>
  <c r="BN1059" i="1"/>
  <c r="BM1059" i="1" s="1"/>
  <c r="BL1059" i="1"/>
  <c r="BJ1059" i="1"/>
  <c r="BI1059" i="1"/>
  <c r="BF1059" i="1"/>
  <c r="BG1059" i="1" s="1"/>
  <c r="BE1059" i="1"/>
  <c r="BC1059" i="1"/>
  <c r="BB1059" i="1"/>
  <c r="BA1059" i="1"/>
  <c r="AX1059" i="1"/>
  <c r="AY1059" i="1" s="1"/>
  <c r="AW1059" i="1"/>
  <c r="AU1059" i="1"/>
  <c r="AT1059" i="1"/>
  <c r="AS1059" i="1"/>
  <c r="AQ1059" i="1"/>
  <c r="AP1059" i="1"/>
  <c r="AO1059" i="1"/>
  <c r="AL1059" i="1"/>
  <c r="AM1059" i="1" s="1"/>
  <c r="AK1059" i="1"/>
  <c r="AH1059" i="1"/>
  <c r="AI1059" i="1" s="1"/>
  <c r="AG1059" i="1"/>
  <c r="AE1059" i="1"/>
  <c r="AD1059" i="1"/>
  <c r="AC1059" i="1"/>
  <c r="Z1059" i="1"/>
  <c r="AA1059" i="1" s="1"/>
  <c r="Y1059" i="1"/>
  <c r="W1059" i="1"/>
  <c r="V1059" i="1"/>
  <c r="U1059" i="1"/>
  <c r="R1059" i="1"/>
  <c r="Q1059" i="1"/>
  <c r="O1059" i="1"/>
  <c r="N1059" i="1"/>
  <c r="M1059" i="1"/>
  <c r="K1059" i="1"/>
  <c r="J1059" i="1"/>
  <c r="G1059" i="1" s="1"/>
  <c r="I1059" i="1"/>
  <c r="F1059" i="1"/>
  <c r="E1059" i="1"/>
  <c r="BN1058" i="1"/>
  <c r="BM1058" i="1"/>
  <c r="BL1058" i="1"/>
  <c r="BJ1058" i="1"/>
  <c r="BG1058" i="1" s="1"/>
  <c r="BI1058" i="1"/>
  <c r="BF1058" i="1"/>
  <c r="BE1058" i="1"/>
  <c r="BB1058" i="1"/>
  <c r="BC1058" i="1" s="1"/>
  <c r="BA1058" i="1"/>
  <c r="AY1058" i="1"/>
  <c r="AX1058" i="1"/>
  <c r="AU1058" i="1" s="1"/>
  <c r="AW1058" i="1"/>
  <c r="AT1058" i="1"/>
  <c r="AS1058" i="1"/>
  <c r="AP1058" i="1"/>
  <c r="AQ1058" i="1" s="1"/>
  <c r="AO1058" i="1"/>
  <c r="AL1058" i="1"/>
  <c r="AM1058" i="1" s="1"/>
  <c r="AK1058" i="1"/>
  <c r="AH1058" i="1"/>
  <c r="AI1058" i="1" s="1"/>
  <c r="AG1058" i="1"/>
  <c r="AD1058" i="1"/>
  <c r="AE1058" i="1" s="1"/>
  <c r="AC1058" i="1"/>
  <c r="AA1058" i="1"/>
  <c r="Z1058" i="1"/>
  <c r="Y1058" i="1"/>
  <c r="V1058" i="1"/>
  <c r="W1058" i="1" s="1"/>
  <c r="U1058" i="1"/>
  <c r="S1058" i="1"/>
  <c r="R1058" i="1"/>
  <c r="O1058" i="1" s="1"/>
  <c r="Q1058" i="1"/>
  <c r="N1058" i="1"/>
  <c r="M1058" i="1"/>
  <c r="J1058" i="1"/>
  <c r="K1058" i="1" s="1"/>
  <c r="I1058" i="1"/>
  <c r="F1058" i="1"/>
  <c r="G1058" i="1" s="1"/>
  <c r="E1058" i="1"/>
  <c r="BN1057" i="1"/>
  <c r="BL1057" i="1"/>
  <c r="BJ1057" i="1"/>
  <c r="BM1057" i="1" s="1"/>
  <c r="BI1057" i="1"/>
  <c r="BF1057" i="1"/>
  <c r="BG1057" i="1" s="1"/>
  <c r="BE1057" i="1"/>
  <c r="BB1057" i="1"/>
  <c r="BC1057" i="1" s="1"/>
  <c r="BA1057" i="1"/>
  <c r="AX1057" i="1"/>
  <c r="AY1057" i="1" s="1"/>
  <c r="AW1057" i="1"/>
  <c r="AU1057" i="1"/>
  <c r="AT1057" i="1"/>
  <c r="AS1057" i="1"/>
  <c r="AP1057" i="1"/>
  <c r="AQ1057" i="1" s="1"/>
  <c r="AO1057" i="1"/>
  <c r="AM1057" i="1"/>
  <c r="AL1057" i="1"/>
  <c r="AI1057" i="1" s="1"/>
  <c r="AK1057" i="1"/>
  <c r="AH1057" i="1"/>
  <c r="AG1057" i="1"/>
  <c r="AD1057" i="1"/>
  <c r="AE1057" i="1" s="1"/>
  <c r="AC1057" i="1"/>
  <c r="Z1057" i="1"/>
  <c r="AA1057" i="1" s="1"/>
  <c r="Y1057" i="1"/>
  <c r="V1057" i="1"/>
  <c r="U1057" i="1"/>
  <c r="R1057" i="1"/>
  <c r="S1057" i="1" s="1"/>
  <c r="Q1057" i="1"/>
  <c r="O1057" i="1"/>
  <c r="N1057" i="1"/>
  <c r="M1057" i="1"/>
  <c r="J1057" i="1"/>
  <c r="K1057" i="1" s="1"/>
  <c r="I1057" i="1"/>
  <c r="G1057" i="1"/>
  <c r="F1057" i="1"/>
  <c r="E1057" i="1"/>
  <c r="BN1056" i="1"/>
  <c r="BL1056" i="1"/>
  <c r="BJ1056" i="1"/>
  <c r="BM1056" i="1" s="1"/>
  <c r="BI1056" i="1"/>
  <c r="BG1056" i="1"/>
  <c r="BF1056" i="1"/>
  <c r="BC1056" i="1" s="1"/>
  <c r="BE1056" i="1"/>
  <c r="BB1056" i="1"/>
  <c r="BA1056" i="1"/>
  <c r="AX1056" i="1"/>
  <c r="AY1056" i="1" s="1"/>
  <c r="AW1056" i="1"/>
  <c r="AT1056" i="1"/>
  <c r="AU1056" i="1" s="1"/>
  <c r="AS1056" i="1"/>
  <c r="AP1056" i="1"/>
  <c r="AQ1056" i="1" s="1"/>
  <c r="AO1056" i="1"/>
  <c r="AL1056" i="1"/>
  <c r="AM1056" i="1" s="1"/>
  <c r="AK1056" i="1"/>
  <c r="AI1056" i="1"/>
  <c r="AH1056" i="1"/>
  <c r="AG1056" i="1"/>
  <c r="AD1056" i="1"/>
  <c r="AE1056" i="1" s="1"/>
  <c r="AC1056" i="1"/>
  <c r="AA1056" i="1"/>
  <c r="Z1056" i="1"/>
  <c r="W1056" i="1" s="1"/>
  <c r="Y1056" i="1"/>
  <c r="V1056" i="1"/>
  <c r="U1056" i="1"/>
  <c r="R1056" i="1"/>
  <c r="S1056" i="1" s="1"/>
  <c r="Q1056" i="1"/>
  <c r="N1056" i="1"/>
  <c r="O1056" i="1" s="1"/>
  <c r="M1056" i="1"/>
  <c r="J1056" i="1"/>
  <c r="I1056" i="1"/>
  <c r="F1056" i="1"/>
  <c r="G1056" i="1" s="1"/>
  <c r="E1056" i="1"/>
  <c r="BN1055" i="1"/>
  <c r="BL1055" i="1"/>
  <c r="BJ1055" i="1"/>
  <c r="BM1055" i="1" s="1"/>
  <c r="BI1055" i="1"/>
  <c r="BF1055" i="1"/>
  <c r="BG1055" i="1" s="1"/>
  <c r="BE1055" i="1"/>
  <c r="BC1055" i="1"/>
  <c r="BB1055" i="1"/>
  <c r="BA1055" i="1"/>
  <c r="AX1055" i="1"/>
  <c r="AY1055" i="1" s="1"/>
  <c r="AW1055" i="1"/>
  <c r="AU1055" i="1"/>
  <c r="AT1055" i="1"/>
  <c r="AQ1055" i="1" s="1"/>
  <c r="AS1055" i="1"/>
  <c r="AP1055" i="1"/>
  <c r="AO1055" i="1"/>
  <c r="AL1055" i="1"/>
  <c r="AM1055" i="1" s="1"/>
  <c r="AK1055" i="1"/>
  <c r="AH1055" i="1"/>
  <c r="AI1055" i="1" s="1"/>
  <c r="AG1055" i="1"/>
  <c r="AD1055" i="1"/>
  <c r="AC1055" i="1"/>
  <c r="Z1055" i="1"/>
  <c r="AA1055" i="1" s="1"/>
  <c r="Y1055" i="1"/>
  <c r="W1055" i="1"/>
  <c r="V1055" i="1"/>
  <c r="U1055" i="1"/>
  <c r="R1055" i="1"/>
  <c r="S1055" i="1" s="1"/>
  <c r="Q1055" i="1"/>
  <c r="O1055" i="1"/>
  <c r="N1055" i="1"/>
  <c r="K1055" i="1" s="1"/>
  <c r="M1055" i="1"/>
  <c r="J1055" i="1"/>
  <c r="I1055" i="1"/>
  <c r="F1055" i="1"/>
  <c r="G1055" i="1" s="1"/>
  <c r="E1055" i="1"/>
  <c r="BN1054" i="1"/>
  <c r="BM1054" i="1"/>
  <c r="BL1054" i="1"/>
  <c r="BJ1054" i="1"/>
  <c r="BI1054" i="1"/>
  <c r="BF1054" i="1"/>
  <c r="BG1054" i="1" s="1"/>
  <c r="BE1054" i="1"/>
  <c r="BB1054" i="1"/>
  <c r="BC1054" i="1" s="1"/>
  <c r="BA1054" i="1"/>
  <c r="AX1054" i="1"/>
  <c r="AW1054" i="1"/>
  <c r="AT1054" i="1"/>
  <c r="AU1054" i="1" s="1"/>
  <c r="AS1054" i="1"/>
  <c r="AQ1054" i="1"/>
  <c r="AP1054" i="1"/>
  <c r="AO1054" i="1"/>
  <c r="AL1054" i="1"/>
  <c r="AM1054" i="1" s="1"/>
  <c r="AK1054" i="1"/>
  <c r="AI1054" i="1"/>
  <c r="AH1054" i="1"/>
  <c r="AE1054" i="1" s="1"/>
  <c r="AG1054" i="1"/>
  <c r="AD1054" i="1"/>
  <c r="AC1054" i="1"/>
  <c r="Z1054" i="1"/>
  <c r="AA1054" i="1" s="1"/>
  <c r="Y1054" i="1"/>
  <c r="V1054" i="1"/>
  <c r="W1054" i="1" s="1"/>
  <c r="U1054" i="1"/>
  <c r="R1054" i="1"/>
  <c r="S1054" i="1" s="1"/>
  <c r="Q1054" i="1"/>
  <c r="N1054" i="1"/>
  <c r="O1054" i="1" s="1"/>
  <c r="M1054" i="1"/>
  <c r="K1054" i="1"/>
  <c r="J1054" i="1"/>
  <c r="I1054" i="1"/>
  <c r="F1054" i="1"/>
  <c r="G1054" i="1" s="1"/>
  <c r="E1054" i="1"/>
  <c r="BN1053" i="1"/>
  <c r="BM1053" i="1" s="1"/>
  <c r="BL1053" i="1"/>
  <c r="BJ1053" i="1"/>
  <c r="BI1053" i="1"/>
  <c r="BF1053" i="1"/>
  <c r="BG1053" i="1" s="1"/>
  <c r="BE1053" i="1"/>
  <c r="BC1053" i="1"/>
  <c r="BB1053" i="1"/>
  <c r="BA1053" i="1"/>
  <c r="AZ1053" i="1"/>
  <c r="AX1053" i="1"/>
  <c r="AY1053" i="1" s="1"/>
  <c r="AV1053" i="1"/>
  <c r="AW1053" i="1" s="1"/>
  <c r="AU1053" i="1"/>
  <c r="AT1053" i="1"/>
  <c r="AS1053" i="1"/>
  <c r="AR1053" i="1"/>
  <c r="AP1053" i="1"/>
  <c r="AQ1053" i="1" s="1"/>
  <c r="AN1053" i="1"/>
  <c r="AO1053" i="1" s="1"/>
  <c r="AM1053" i="1"/>
  <c r="AL1053" i="1"/>
  <c r="AK1053" i="1"/>
  <c r="AJ1053" i="1"/>
  <c r="AH1053" i="1"/>
  <c r="AI1053" i="1" s="1"/>
  <c r="AG1053" i="1"/>
  <c r="AE1053" i="1"/>
  <c r="AD1053" i="1"/>
  <c r="AC1053" i="1"/>
  <c r="AA1053" i="1"/>
  <c r="Z1053" i="1"/>
  <c r="Y1053" i="1"/>
  <c r="V1053" i="1"/>
  <c r="W1053" i="1" s="1"/>
  <c r="U1053" i="1"/>
  <c r="S1053" i="1"/>
  <c r="R1053" i="1"/>
  <c r="O1053" i="1" s="1"/>
  <c r="Q1053" i="1"/>
  <c r="N1053" i="1"/>
  <c r="M1053" i="1"/>
  <c r="J1053" i="1"/>
  <c r="K1053" i="1" s="1"/>
  <c r="I1053" i="1"/>
  <c r="F1053" i="1"/>
  <c r="G1053" i="1" s="1"/>
  <c r="E1053" i="1"/>
  <c r="BN1052" i="1"/>
  <c r="BL1052" i="1"/>
  <c r="BJ1052" i="1"/>
  <c r="BM1052" i="1" s="1"/>
  <c r="BI1052" i="1"/>
  <c r="BF1052" i="1"/>
  <c r="BG1052" i="1" s="1"/>
  <c r="BE1052" i="1"/>
  <c r="BB1052" i="1"/>
  <c r="BC1052" i="1" s="1"/>
  <c r="AZ1052" i="1"/>
  <c r="BA1052" i="1" s="1"/>
  <c r="AY1052" i="1"/>
  <c r="AX1052" i="1"/>
  <c r="AW1052" i="1"/>
  <c r="AV1052" i="1"/>
  <c r="AT1052" i="1"/>
  <c r="AU1052" i="1" s="1"/>
  <c r="AR1052" i="1"/>
  <c r="AS1052" i="1" s="1"/>
  <c r="AQ1052" i="1"/>
  <c r="AP1052" i="1"/>
  <c r="AO1052" i="1"/>
  <c r="AN1052" i="1"/>
  <c r="AL1052" i="1"/>
  <c r="AM1052" i="1" s="1"/>
  <c r="AJ1052" i="1"/>
  <c r="AK1052" i="1" s="1"/>
  <c r="AI1052" i="1"/>
  <c r="AH1052" i="1"/>
  <c r="AE1052" i="1" s="1"/>
  <c r="AG1052" i="1"/>
  <c r="AD1052" i="1"/>
  <c r="AC1052" i="1"/>
  <c r="Z1052" i="1"/>
  <c r="AA1052" i="1" s="1"/>
  <c r="Y1052" i="1"/>
  <c r="V1052" i="1"/>
  <c r="W1052" i="1" s="1"/>
  <c r="U1052" i="1"/>
  <c r="R1052" i="1"/>
  <c r="S1052" i="1" s="1"/>
  <c r="Q1052" i="1"/>
  <c r="O1052" i="1"/>
  <c r="N1052" i="1"/>
  <c r="M1052" i="1"/>
  <c r="K1052" i="1"/>
  <c r="J1052" i="1"/>
  <c r="I1052" i="1"/>
  <c r="F1052" i="1"/>
  <c r="G1052" i="1" s="1"/>
  <c r="E1052" i="1"/>
  <c r="BN1051" i="1"/>
  <c r="BM1051" i="1" s="1"/>
  <c r="BL1051" i="1"/>
  <c r="BJ1051" i="1"/>
  <c r="BI1051" i="1"/>
  <c r="BF1051" i="1"/>
  <c r="BG1051" i="1" s="1"/>
  <c r="BE1051" i="1"/>
  <c r="BC1051" i="1"/>
  <c r="BB1051" i="1"/>
  <c r="BA1051" i="1"/>
  <c r="AZ1051" i="1"/>
  <c r="AX1051" i="1"/>
  <c r="AY1051" i="1" s="1"/>
  <c r="AV1051" i="1"/>
  <c r="AW1051" i="1" s="1"/>
  <c r="AU1051" i="1"/>
  <c r="AT1051" i="1"/>
  <c r="AS1051" i="1"/>
  <c r="AR1051" i="1"/>
  <c r="AP1051" i="1"/>
  <c r="AQ1051" i="1" s="1"/>
  <c r="AN1051" i="1"/>
  <c r="AO1051" i="1" s="1"/>
  <c r="AM1051" i="1"/>
  <c r="AL1051" i="1"/>
  <c r="AK1051" i="1"/>
  <c r="AJ1051" i="1"/>
  <c r="AH1051" i="1"/>
  <c r="AI1051" i="1" s="1"/>
  <c r="AG1051" i="1"/>
  <c r="AE1051" i="1"/>
  <c r="AD1051" i="1"/>
  <c r="AC1051" i="1"/>
  <c r="AA1051" i="1"/>
  <c r="Z1051" i="1"/>
  <c r="Y1051" i="1"/>
  <c r="V1051" i="1"/>
  <c r="W1051" i="1" s="1"/>
  <c r="U1051" i="1"/>
  <c r="S1051" i="1"/>
  <c r="R1051" i="1"/>
  <c r="O1051" i="1" s="1"/>
  <c r="Q1051" i="1"/>
  <c r="N1051" i="1"/>
  <c r="M1051" i="1"/>
  <c r="J1051" i="1"/>
  <c r="K1051" i="1" s="1"/>
  <c r="I1051" i="1"/>
  <c r="F1051" i="1"/>
  <c r="G1051" i="1" s="1"/>
  <c r="E1051" i="1"/>
  <c r="BN1050" i="1"/>
  <c r="BL1050" i="1"/>
  <c r="BJ1050" i="1"/>
  <c r="BM1050" i="1" s="1"/>
  <c r="BI1050" i="1"/>
  <c r="BF1050" i="1"/>
  <c r="BG1050" i="1" s="1"/>
  <c r="BE1050" i="1"/>
  <c r="BB1050" i="1"/>
  <c r="BC1050" i="1" s="1"/>
  <c r="BA1050" i="1"/>
  <c r="AY1050" i="1"/>
  <c r="AX1050" i="1"/>
  <c r="AW1050" i="1"/>
  <c r="AU1050" i="1"/>
  <c r="AT1050" i="1"/>
  <c r="AS1050" i="1"/>
  <c r="AP1050" i="1"/>
  <c r="AQ1050" i="1" s="1"/>
  <c r="AO1050" i="1"/>
  <c r="AM1050" i="1"/>
  <c r="AL1050" i="1"/>
  <c r="AI1050" i="1" s="1"/>
  <c r="AK1050" i="1"/>
  <c r="AH1050" i="1"/>
  <c r="AG1050" i="1"/>
  <c r="AD1050" i="1"/>
  <c r="AE1050" i="1" s="1"/>
  <c r="AC1050" i="1"/>
  <c r="Z1050" i="1"/>
  <c r="AA1050" i="1" s="1"/>
  <c r="Y1050" i="1"/>
  <c r="V1050" i="1"/>
  <c r="W1050" i="1" s="1"/>
  <c r="U1050" i="1"/>
  <c r="S1050" i="1"/>
  <c r="R1050" i="1"/>
  <c r="Q1050" i="1"/>
  <c r="O1050" i="1"/>
  <c r="N1050" i="1"/>
  <c r="M1050" i="1"/>
  <c r="J1050" i="1"/>
  <c r="K1050" i="1" s="1"/>
  <c r="I1050" i="1"/>
  <c r="G1050" i="1"/>
  <c r="F1050" i="1"/>
  <c r="E1050" i="1"/>
  <c r="BN1049" i="1"/>
  <c r="BL1049" i="1"/>
  <c r="BJ1049" i="1"/>
  <c r="BM1049" i="1" s="1"/>
  <c r="BI1049" i="1"/>
  <c r="BG1049" i="1"/>
  <c r="BF1049" i="1"/>
  <c r="BC1049" i="1" s="1"/>
  <c r="BE1049" i="1"/>
  <c r="BB1049" i="1"/>
  <c r="BA1049" i="1"/>
  <c r="AX1049" i="1"/>
  <c r="AY1049" i="1" s="1"/>
  <c r="AW1049" i="1"/>
  <c r="AT1049" i="1"/>
  <c r="AU1049" i="1" s="1"/>
  <c r="AS1049" i="1"/>
  <c r="AP1049" i="1"/>
  <c r="AO1049" i="1"/>
  <c r="AM1049" i="1"/>
  <c r="AL1049" i="1"/>
  <c r="AK1049" i="1"/>
  <c r="AI1049" i="1"/>
  <c r="AH1049" i="1"/>
  <c r="AG1049" i="1"/>
  <c r="AD1049" i="1"/>
  <c r="AE1049" i="1" s="1"/>
  <c r="AC1049" i="1"/>
  <c r="AA1049" i="1"/>
  <c r="Z1049" i="1"/>
  <c r="W1049" i="1" s="1"/>
  <c r="Y1049" i="1"/>
  <c r="V1049" i="1"/>
  <c r="U1049" i="1"/>
  <c r="R1049" i="1"/>
  <c r="S1049" i="1" s="1"/>
  <c r="Q1049" i="1"/>
  <c r="N1049" i="1"/>
  <c r="O1049" i="1" s="1"/>
  <c r="M1049" i="1"/>
  <c r="J1049" i="1"/>
  <c r="K1049" i="1" s="1"/>
  <c r="I1049" i="1"/>
  <c r="G1049" i="1"/>
  <c r="F1049" i="1"/>
  <c r="E1049" i="1"/>
  <c r="BN1048" i="1"/>
  <c r="BL1048" i="1"/>
  <c r="BJ1048" i="1"/>
  <c r="BM1048" i="1" s="1"/>
  <c r="BI1048" i="1"/>
  <c r="BG1048" i="1"/>
  <c r="BF1048" i="1"/>
  <c r="BE1048" i="1"/>
  <c r="BC1048" i="1"/>
  <c r="BB1048" i="1"/>
  <c r="BA1048" i="1"/>
  <c r="AX1048" i="1"/>
  <c r="AY1048" i="1" s="1"/>
  <c r="AW1048" i="1"/>
  <c r="AU1048" i="1"/>
  <c r="AT1048" i="1"/>
  <c r="AQ1048" i="1" s="1"/>
  <c r="AS1048" i="1"/>
  <c r="AP1048" i="1"/>
  <c r="AO1048" i="1"/>
  <c r="AL1048" i="1"/>
  <c r="AM1048" i="1" s="1"/>
  <c r="AK1048" i="1"/>
  <c r="AH1048" i="1"/>
  <c r="AI1048" i="1" s="1"/>
  <c r="AG1048" i="1"/>
  <c r="AD1048" i="1"/>
  <c r="AE1048" i="1" s="1"/>
  <c r="AC1048" i="1"/>
  <c r="AA1048" i="1"/>
  <c r="Z1048" i="1"/>
  <c r="Y1048" i="1"/>
  <c r="W1048" i="1"/>
  <c r="V1048" i="1"/>
  <c r="U1048" i="1"/>
  <c r="R1048" i="1"/>
  <c r="S1048" i="1" s="1"/>
  <c r="Q1048" i="1"/>
  <c r="O1048" i="1"/>
  <c r="N1048" i="1"/>
  <c r="K1048" i="1" s="1"/>
  <c r="M1048" i="1"/>
  <c r="J1048" i="1"/>
  <c r="I1048" i="1"/>
  <c r="F1048" i="1"/>
  <c r="G1048" i="1" s="1"/>
  <c r="E1048" i="1"/>
  <c r="BN1047" i="1"/>
  <c r="BM1047" i="1"/>
  <c r="BL1047" i="1"/>
  <c r="BJ1047" i="1"/>
  <c r="BI1047" i="1"/>
  <c r="BF1047" i="1"/>
  <c r="BG1047" i="1" s="1"/>
  <c r="BE1047" i="1"/>
  <c r="BB1047" i="1"/>
  <c r="BC1047" i="1" s="1"/>
  <c r="BA1047" i="1"/>
  <c r="AX1047" i="1"/>
  <c r="AY1047" i="1" s="1"/>
  <c r="AW1047" i="1"/>
  <c r="AU1047" i="1"/>
  <c r="AT1047" i="1"/>
  <c r="AS1047" i="1"/>
  <c r="AQ1047" i="1"/>
  <c r="AP1047" i="1"/>
  <c r="AO1047" i="1"/>
  <c r="AL1047" i="1"/>
  <c r="AM1047" i="1" s="1"/>
  <c r="AK1047" i="1"/>
  <c r="AI1047" i="1"/>
  <c r="AH1047" i="1"/>
  <c r="AE1047" i="1" s="1"/>
  <c r="AG1047" i="1"/>
  <c r="AD1047" i="1"/>
  <c r="AC1047" i="1"/>
  <c r="Z1047" i="1"/>
  <c r="AA1047" i="1" s="1"/>
  <c r="Y1047" i="1"/>
  <c r="V1047" i="1"/>
  <c r="W1047" i="1" s="1"/>
  <c r="U1047" i="1"/>
  <c r="R1047" i="1"/>
  <c r="S1047" i="1" s="1"/>
  <c r="Q1047" i="1"/>
  <c r="O1047" i="1"/>
  <c r="N1047" i="1"/>
  <c r="M1047" i="1"/>
  <c r="K1047" i="1"/>
  <c r="J1047" i="1"/>
  <c r="I1047" i="1"/>
  <c r="F1047" i="1"/>
  <c r="G1047" i="1" s="1"/>
  <c r="E1047" i="1"/>
  <c r="BN1046" i="1"/>
  <c r="BM1046" i="1" s="1"/>
  <c r="BL1046" i="1"/>
  <c r="BJ1046" i="1"/>
  <c r="BI1046" i="1"/>
  <c r="BF1046" i="1"/>
  <c r="BG1046" i="1" s="1"/>
  <c r="BE1046" i="1"/>
  <c r="BC1046" i="1"/>
  <c r="BB1046" i="1"/>
  <c r="AY1046" i="1" s="1"/>
  <c r="BA1046" i="1"/>
  <c r="AX1046" i="1"/>
  <c r="AW1046" i="1"/>
  <c r="AT1046" i="1"/>
  <c r="AU1046" i="1" s="1"/>
  <c r="AS1046" i="1"/>
  <c r="AP1046" i="1"/>
  <c r="AQ1046" i="1" s="1"/>
  <c r="AO1046" i="1"/>
  <c r="AL1046" i="1"/>
  <c r="AM1046" i="1" s="1"/>
  <c r="AK1046" i="1"/>
  <c r="AI1046" i="1"/>
  <c r="AH1046" i="1"/>
  <c r="AG1046" i="1"/>
  <c r="AE1046" i="1"/>
  <c r="AD1046" i="1"/>
  <c r="AC1046" i="1"/>
  <c r="Z1046" i="1"/>
  <c r="AA1046" i="1" s="1"/>
  <c r="Y1046" i="1"/>
  <c r="W1046" i="1"/>
  <c r="V1046" i="1"/>
  <c r="S1046" i="1" s="1"/>
  <c r="U1046" i="1"/>
  <c r="R1046" i="1"/>
  <c r="Q1046" i="1"/>
  <c r="N1046" i="1"/>
  <c r="O1046" i="1" s="1"/>
  <c r="M1046" i="1"/>
  <c r="J1046" i="1"/>
  <c r="K1046" i="1" s="1"/>
  <c r="I1046" i="1"/>
  <c r="F1046" i="1"/>
  <c r="G1046" i="1" s="1"/>
  <c r="E1046" i="1"/>
  <c r="BN1045" i="1"/>
  <c r="BL1045" i="1"/>
  <c r="BJ1045" i="1"/>
  <c r="BM1045" i="1" s="1"/>
  <c r="BI1045" i="1"/>
  <c r="BF1045" i="1"/>
  <c r="BE1045" i="1"/>
  <c r="BC1045" i="1"/>
  <c r="BB1045" i="1"/>
  <c r="BA1045" i="1"/>
  <c r="AY1045" i="1"/>
  <c r="AX1045" i="1"/>
  <c r="AW1045" i="1"/>
  <c r="AT1045" i="1"/>
  <c r="AU1045" i="1" s="1"/>
  <c r="AS1045" i="1"/>
  <c r="AQ1045" i="1"/>
  <c r="AP1045" i="1"/>
  <c r="AM1045" i="1" s="1"/>
  <c r="AO1045" i="1"/>
  <c r="AL1045" i="1"/>
  <c r="AK1045" i="1"/>
  <c r="AH1045" i="1"/>
  <c r="AI1045" i="1" s="1"/>
  <c r="AG1045" i="1"/>
  <c r="AD1045" i="1"/>
  <c r="AE1045" i="1" s="1"/>
  <c r="AC1045" i="1"/>
  <c r="Z1045" i="1"/>
  <c r="AA1045" i="1" s="1"/>
  <c r="Y1045" i="1"/>
  <c r="W1045" i="1"/>
  <c r="V1045" i="1"/>
  <c r="U1045" i="1"/>
  <c r="S1045" i="1"/>
  <c r="R1045" i="1"/>
  <c r="Q1045" i="1"/>
  <c r="N1045" i="1"/>
  <c r="O1045" i="1" s="1"/>
  <c r="M1045" i="1"/>
  <c r="K1045" i="1"/>
  <c r="J1045" i="1"/>
  <c r="G1045" i="1" s="1"/>
  <c r="I1045" i="1"/>
  <c r="F1045" i="1"/>
  <c r="E1045" i="1"/>
  <c r="BN1044" i="1"/>
  <c r="BM1044" i="1"/>
  <c r="BL1044" i="1"/>
  <c r="BJ1044" i="1"/>
  <c r="BG1044" i="1" s="1"/>
  <c r="BI1044" i="1"/>
  <c r="BF1044" i="1"/>
  <c r="BE1044" i="1"/>
  <c r="BB1044" i="1"/>
  <c r="BC1044" i="1" s="1"/>
  <c r="BA1044" i="1"/>
  <c r="AX1044" i="1"/>
  <c r="AY1044" i="1" s="1"/>
  <c r="AW1044" i="1"/>
  <c r="AT1044" i="1"/>
  <c r="AS1044" i="1"/>
  <c r="AQ1044" i="1"/>
  <c r="AP1044" i="1"/>
  <c r="AO1044" i="1"/>
  <c r="AM1044" i="1"/>
  <c r="AL1044" i="1"/>
  <c r="AK1044" i="1"/>
  <c r="AH1044" i="1"/>
  <c r="AI1044" i="1" s="1"/>
  <c r="AG1044" i="1"/>
  <c r="AE1044" i="1"/>
  <c r="AD1044" i="1"/>
  <c r="AA1044" i="1" s="1"/>
  <c r="AC1044" i="1"/>
  <c r="Z1044" i="1"/>
  <c r="Y1044" i="1"/>
  <c r="V1044" i="1"/>
  <c r="W1044" i="1" s="1"/>
  <c r="U1044" i="1"/>
  <c r="R1044" i="1"/>
  <c r="S1044" i="1" s="1"/>
  <c r="Q1044" i="1"/>
  <c r="N1044" i="1"/>
  <c r="M1044" i="1"/>
  <c r="K1044" i="1"/>
  <c r="J1044" i="1"/>
  <c r="I1044" i="1"/>
  <c r="G1044" i="1"/>
  <c r="F1044" i="1"/>
  <c r="E1044" i="1"/>
  <c r="BN1043" i="1"/>
  <c r="BL1043" i="1"/>
  <c r="BJ1043" i="1"/>
  <c r="BM1043" i="1" s="1"/>
  <c r="BI1043" i="1"/>
  <c r="BG1043" i="1"/>
  <c r="BF1043" i="1"/>
  <c r="BE1043" i="1"/>
  <c r="BB1043" i="1"/>
  <c r="BC1043" i="1" s="1"/>
  <c r="BA1043" i="1"/>
  <c r="AY1043" i="1"/>
  <c r="AX1043" i="1"/>
  <c r="AU1043" i="1" s="1"/>
  <c r="AW1043" i="1"/>
  <c r="AT1043" i="1"/>
  <c r="AS1043" i="1"/>
  <c r="AP1043" i="1"/>
  <c r="AQ1043" i="1" s="1"/>
  <c r="AO1043" i="1"/>
  <c r="AL1043" i="1"/>
  <c r="AM1043" i="1" s="1"/>
  <c r="AK1043" i="1"/>
  <c r="AH1043" i="1"/>
  <c r="AI1043" i="1" s="1"/>
  <c r="AG1043" i="1"/>
  <c r="AE1043" i="1"/>
  <c r="AD1043" i="1"/>
  <c r="AC1043" i="1"/>
  <c r="AA1043" i="1"/>
  <c r="Z1043" i="1"/>
  <c r="Y1043" i="1"/>
  <c r="V1043" i="1"/>
  <c r="W1043" i="1" s="1"/>
  <c r="U1043" i="1"/>
  <c r="S1043" i="1"/>
  <c r="R1043" i="1"/>
  <c r="O1043" i="1" s="1"/>
  <c r="Q1043" i="1"/>
  <c r="N1043" i="1"/>
  <c r="M1043" i="1"/>
  <c r="J1043" i="1"/>
  <c r="K1043" i="1" s="1"/>
  <c r="I1043" i="1"/>
  <c r="F1043" i="1"/>
  <c r="G1043" i="1" s="1"/>
  <c r="E1043" i="1"/>
  <c r="BN1042" i="1"/>
  <c r="BL1042" i="1"/>
  <c r="BJ1042" i="1"/>
  <c r="BM1042" i="1" s="1"/>
  <c r="BI1042" i="1"/>
  <c r="BF1042" i="1"/>
  <c r="BG1042" i="1" s="1"/>
  <c r="BE1042" i="1"/>
  <c r="BB1042" i="1"/>
  <c r="BC1042" i="1" s="1"/>
  <c r="BA1042" i="1"/>
  <c r="AY1042" i="1"/>
  <c r="AX1042" i="1"/>
  <c r="AW1042" i="1"/>
  <c r="AU1042" i="1"/>
  <c r="AT1042" i="1"/>
  <c r="AS1042" i="1"/>
  <c r="AP1042" i="1"/>
  <c r="AQ1042" i="1" s="1"/>
  <c r="AO1042" i="1"/>
  <c r="AM1042" i="1"/>
  <c r="AL1042" i="1"/>
  <c r="AI1042" i="1" s="1"/>
  <c r="AK1042" i="1"/>
  <c r="AH1042" i="1"/>
  <c r="AG1042" i="1"/>
  <c r="AD1042" i="1"/>
  <c r="AE1042" i="1" s="1"/>
  <c r="AC1042" i="1"/>
  <c r="Z1042" i="1"/>
  <c r="AA1042" i="1" s="1"/>
  <c r="Y1042" i="1"/>
  <c r="V1042" i="1"/>
  <c r="W1042" i="1" s="1"/>
  <c r="U1042" i="1"/>
  <c r="S1042" i="1"/>
  <c r="R1042" i="1"/>
  <c r="Q1042" i="1"/>
  <c r="O1042" i="1"/>
  <c r="N1042" i="1"/>
  <c r="M1042" i="1"/>
  <c r="J1042" i="1"/>
  <c r="K1042" i="1" s="1"/>
  <c r="I1042" i="1"/>
  <c r="G1042" i="1"/>
  <c r="F1042" i="1"/>
  <c r="E1042" i="1"/>
  <c r="BN1041" i="1"/>
  <c r="BL1041" i="1"/>
  <c r="BJ1041" i="1"/>
  <c r="BM1041" i="1" s="1"/>
  <c r="BI1041" i="1"/>
  <c r="BG1041" i="1"/>
  <c r="BF1041" i="1"/>
  <c r="BC1041" i="1" s="1"/>
  <c r="BE1041" i="1"/>
  <c r="BB1041" i="1"/>
  <c r="BA1041" i="1"/>
  <c r="AX1041" i="1"/>
  <c r="AY1041" i="1" s="1"/>
  <c r="AW1041" i="1"/>
  <c r="AT1041" i="1"/>
  <c r="AU1041" i="1" s="1"/>
  <c r="AS1041" i="1"/>
  <c r="AP1041" i="1"/>
  <c r="AO1041" i="1"/>
  <c r="AM1041" i="1"/>
  <c r="AL1041" i="1"/>
  <c r="AK1041" i="1"/>
  <c r="AI1041" i="1"/>
  <c r="AH1041" i="1"/>
  <c r="AG1041" i="1"/>
  <c r="AD1041" i="1"/>
  <c r="AE1041" i="1" s="1"/>
  <c r="AC1041" i="1"/>
  <c r="AB1041" i="1"/>
  <c r="Z1041" i="1"/>
  <c r="AA1041" i="1" s="1"/>
  <c r="Y1041" i="1"/>
  <c r="V1041" i="1"/>
  <c r="T1041" i="1"/>
  <c r="U1041" i="1" s="1"/>
  <c r="S1041" i="1"/>
  <c r="R1041" i="1"/>
  <c r="O1041" i="1" s="1"/>
  <c r="Q1041" i="1"/>
  <c r="N1041" i="1"/>
  <c r="M1041" i="1"/>
  <c r="J1041" i="1"/>
  <c r="K1041" i="1" s="1"/>
  <c r="I1041" i="1"/>
  <c r="F1041" i="1"/>
  <c r="G1041" i="1" s="1"/>
  <c r="E1041" i="1"/>
  <c r="BN1040" i="1"/>
  <c r="BL1040" i="1"/>
  <c r="BJ1040" i="1"/>
  <c r="BM1040" i="1" s="1"/>
  <c r="BI1040" i="1"/>
  <c r="BF1040" i="1"/>
  <c r="BG1040" i="1" s="1"/>
  <c r="BE1040" i="1"/>
  <c r="BB1040" i="1"/>
  <c r="BC1040" i="1" s="1"/>
  <c r="BA1040" i="1"/>
  <c r="AY1040" i="1"/>
  <c r="AX1040" i="1"/>
  <c r="AW1040" i="1"/>
  <c r="AU1040" i="1"/>
  <c r="AT1040" i="1"/>
  <c r="AS1040" i="1"/>
  <c r="AP1040" i="1"/>
  <c r="AQ1040" i="1" s="1"/>
  <c r="AO1040" i="1"/>
  <c r="AM1040" i="1"/>
  <c r="AL1040" i="1"/>
  <c r="AI1040" i="1" s="1"/>
  <c r="AK1040" i="1"/>
  <c r="AH1040" i="1"/>
  <c r="AG1040" i="1"/>
  <c r="AD1040" i="1"/>
  <c r="AE1040" i="1" s="1"/>
  <c r="AC1040" i="1"/>
  <c r="AB1040" i="1"/>
  <c r="AA1040" i="1"/>
  <c r="Z1040" i="1"/>
  <c r="Y1040" i="1"/>
  <c r="V1040" i="1"/>
  <c r="W1040" i="1" s="1"/>
  <c r="U1040" i="1"/>
  <c r="S1040" i="1"/>
  <c r="R1040" i="1"/>
  <c r="O1040" i="1" s="1"/>
  <c r="Q1040" i="1"/>
  <c r="N1040" i="1"/>
  <c r="M1040" i="1"/>
  <c r="J1040" i="1"/>
  <c r="K1040" i="1" s="1"/>
  <c r="I1040" i="1"/>
  <c r="F1040" i="1"/>
  <c r="G1040" i="1" s="1"/>
  <c r="E1040" i="1"/>
  <c r="BN1039" i="1"/>
  <c r="BL1039" i="1"/>
  <c r="BJ1039" i="1"/>
  <c r="BM1039" i="1" s="1"/>
  <c r="BI1039" i="1"/>
  <c r="BF1039" i="1"/>
  <c r="BG1039" i="1" s="1"/>
  <c r="BE1039" i="1"/>
  <c r="BB1039" i="1"/>
  <c r="BA1039" i="1"/>
  <c r="AY1039" i="1"/>
  <c r="AX1039" i="1"/>
  <c r="AW1039" i="1"/>
  <c r="AU1039" i="1"/>
  <c r="AT1039" i="1"/>
  <c r="AS1039" i="1"/>
  <c r="AP1039" i="1"/>
  <c r="AQ1039" i="1" s="1"/>
  <c r="AO1039" i="1"/>
  <c r="AM1039" i="1"/>
  <c r="AL1039" i="1"/>
  <c r="AI1039" i="1" s="1"/>
  <c r="AK1039" i="1"/>
  <c r="AH1039" i="1"/>
  <c r="AG1039" i="1"/>
  <c r="AD1039" i="1"/>
  <c r="AE1039" i="1" s="1"/>
  <c r="AC1039" i="1"/>
  <c r="AB1039" i="1"/>
  <c r="AA1039" i="1"/>
  <c r="Z1039" i="1"/>
  <c r="Y1039" i="1"/>
  <c r="V1039" i="1"/>
  <c r="W1039" i="1" s="1"/>
  <c r="U1039" i="1"/>
  <c r="T1039" i="1"/>
  <c r="R1039" i="1"/>
  <c r="S1039" i="1" s="1"/>
  <c r="Q1039" i="1"/>
  <c r="N1039" i="1"/>
  <c r="O1039" i="1" s="1"/>
  <c r="M1039" i="1"/>
  <c r="K1039" i="1"/>
  <c r="J1039" i="1"/>
  <c r="I1039" i="1"/>
  <c r="G1039" i="1"/>
  <c r="F1039" i="1"/>
  <c r="E1039" i="1"/>
  <c r="BN1038" i="1"/>
  <c r="BL1038" i="1"/>
  <c r="BJ1038" i="1"/>
  <c r="BM1038" i="1" s="1"/>
  <c r="BI1038" i="1"/>
  <c r="BG1038" i="1"/>
  <c r="BF1038" i="1"/>
  <c r="BE1038" i="1"/>
  <c r="BB1038" i="1"/>
  <c r="BC1038" i="1" s="1"/>
  <c r="BA1038" i="1"/>
  <c r="AY1038" i="1"/>
  <c r="AX1038" i="1"/>
  <c r="AU1038" i="1" s="1"/>
  <c r="AW1038" i="1"/>
  <c r="AT1038" i="1"/>
  <c r="AS1038" i="1"/>
  <c r="AP1038" i="1"/>
  <c r="AQ1038" i="1" s="1"/>
  <c r="AO1038" i="1"/>
  <c r="AL1038" i="1"/>
  <c r="AM1038" i="1" s="1"/>
  <c r="AK1038" i="1"/>
  <c r="AH1038" i="1"/>
  <c r="AG1038" i="1"/>
  <c r="AE1038" i="1"/>
  <c r="AD1038" i="1"/>
  <c r="AC1038" i="1"/>
  <c r="AA1038" i="1"/>
  <c r="Z1038" i="1"/>
  <c r="Y1038" i="1"/>
  <c r="V1038" i="1"/>
  <c r="W1038" i="1" s="1"/>
  <c r="U1038" i="1"/>
  <c r="S1038" i="1"/>
  <c r="R1038" i="1"/>
  <c r="O1038" i="1" s="1"/>
  <c r="Q1038" i="1"/>
  <c r="N1038" i="1"/>
  <c r="M1038" i="1"/>
  <c r="J1038" i="1"/>
  <c r="K1038" i="1" s="1"/>
  <c r="I1038" i="1"/>
  <c r="F1038" i="1"/>
  <c r="G1038" i="1" s="1"/>
  <c r="E1038" i="1"/>
  <c r="BN1037" i="1"/>
  <c r="BL1037" i="1"/>
  <c r="BJ1037" i="1"/>
  <c r="BM1037" i="1" s="1"/>
  <c r="BI1037" i="1"/>
  <c r="BF1037" i="1"/>
  <c r="BG1037" i="1" s="1"/>
  <c r="BE1037" i="1"/>
  <c r="BB1037" i="1"/>
  <c r="BC1037" i="1" s="1"/>
  <c r="BA1037" i="1"/>
  <c r="AY1037" i="1"/>
  <c r="AX1037" i="1"/>
  <c r="AW1037" i="1"/>
  <c r="AU1037" i="1"/>
  <c r="AT1037" i="1"/>
  <c r="AS1037" i="1"/>
  <c r="AP1037" i="1"/>
  <c r="AQ1037" i="1" s="1"/>
  <c r="AO1037" i="1"/>
  <c r="AM1037" i="1"/>
  <c r="AL1037" i="1"/>
  <c r="AI1037" i="1" s="1"/>
  <c r="AK1037" i="1"/>
  <c r="AH1037" i="1"/>
  <c r="AG1037" i="1"/>
  <c r="AD1037" i="1"/>
  <c r="AE1037" i="1" s="1"/>
  <c r="AC1037" i="1"/>
  <c r="Z1037" i="1"/>
  <c r="AA1037" i="1" s="1"/>
  <c r="Y1037" i="1"/>
  <c r="V1037" i="1"/>
  <c r="U1037" i="1"/>
  <c r="S1037" i="1"/>
  <c r="R1037" i="1"/>
  <c r="Q1037" i="1"/>
  <c r="O1037" i="1"/>
  <c r="N1037" i="1"/>
  <c r="M1037" i="1"/>
  <c r="J1037" i="1"/>
  <c r="K1037" i="1" s="1"/>
  <c r="I1037" i="1"/>
  <c r="G1037" i="1"/>
  <c r="F1037" i="1"/>
  <c r="E1037" i="1"/>
  <c r="BN1036" i="1"/>
  <c r="BL1036" i="1"/>
  <c r="BJ1036" i="1"/>
  <c r="BM1036" i="1" s="1"/>
  <c r="BI1036" i="1"/>
  <c r="BG1036" i="1"/>
  <c r="BF1036" i="1"/>
  <c r="BC1036" i="1" s="1"/>
  <c r="BE1036" i="1"/>
  <c r="BB1036" i="1"/>
  <c r="BA1036" i="1"/>
  <c r="AX1036" i="1"/>
  <c r="AY1036" i="1" s="1"/>
  <c r="AW1036" i="1"/>
  <c r="AT1036" i="1"/>
  <c r="AU1036" i="1" s="1"/>
  <c r="AS1036" i="1"/>
  <c r="AP1036" i="1"/>
  <c r="AQ1036" i="1" s="1"/>
  <c r="AO1036" i="1"/>
  <c r="AM1036" i="1"/>
  <c r="AL1036" i="1"/>
  <c r="AK1036" i="1"/>
  <c r="AI1036" i="1"/>
  <c r="AH1036" i="1"/>
  <c r="AG1036" i="1"/>
  <c r="AD1036" i="1"/>
  <c r="AE1036" i="1" s="1"/>
  <c r="AC1036" i="1"/>
  <c r="AA1036" i="1"/>
  <c r="Z1036" i="1"/>
  <c r="W1036" i="1" s="1"/>
  <c r="Y1036" i="1"/>
  <c r="V1036" i="1"/>
  <c r="U1036" i="1"/>
  <c r="R1036" i="1"/>
  <c r="S1036" i="1" s="1"/>
  <c r="Q1036" i="1"/>
  <c r="N1036" i="1"/>
  <c r="O1036" i="1" s="1"/>
  <c r="M1036" i="1"/>
  <c r="J1036" i="1"/>
  <c r="K1036" i="1" s="1"/>
  <c r="I1036" i="1"/>
  <c r="G1036" i="1"/>
  <c r="F1036" i="1"/>
  <c r="E1036" i="1"/>
  <c r="BN1035" i="1"/>
  <c r="BL1035" i="1"/>
  <c r="BJ1035" i="1"/>
  <c r="BI1035" i="1"/>
  <c r="BG1035" i="1"/>
  <c r="BF1035" i="1"/>
  <c r="BE1035" i="1"/>
  <c r="BC1035" i="1"/>
  <c r="BB1035" i="1"/>
  <c r="BA1035" i="1"/>
  <c r="AX1035" i="1"/>
  <c r="AY1035" i="1" s="1"/>
  <c r="AW1035" i="1"/>
  <c r="AU1035" i="1"/>
  <c r="AT1035" i="1"/>
  <c r="AQ1035" i="1" s="1"/>
  <c r="AS1035" i="1"/>
  <c r="AP1035" i="1"/>
  <c r="AO1035" i="1"/>
  <c r="AL1035" i="1"/>
  <c r="AM1035" i="1" s="1"/>
  <c r="AK1035" i="1"/>
  <c r="AH1035" i="1"/>
  <c r="AI1035" i="1" s="1"/>
  <c r="AG1035" i="1"/>
  <c r="AD1035" i="1"/>
  <c r="AE1035" i="1" s="1"/>
  <c r="AC1035" i="1"/>
  <c r="AA1035" i="1"/>
  <c r="Z1035" i="1"/>
  <c r="Y1035" i="1"/>
  <c r="W1035" i="1"/>
  <c r="V1035" i="1"/>
  <c r="U1035" i="1"/>
  <c r="R1035" i="1"/>
  <c r="S1035" i="1" s="1"/>
  <c r="Q1035" i="1"/>
  <c r="O1035" i="1"/>
  <c r="N1035" i="1"/>
  <c r="K1035" i="1" s="1"/>
  <c r="M1035" i="1"/>
  <c r="J1035" i="1"/>
  <c r="I1035" i="1"/>
  <c r="F1035" i="1"/>
  <c r="G1035" i="1" s="1"/>
  <c r="E1035" i="1"/>
  <c r="BN1034" i="1"/>
  <c r="BM1034" i="1"/>
  <c r="BL1034" i="1"/>
  <c r="BJ1034" i="1"/>
  <c r="BI1034" i="1"/>
  <c r="BF1034" i="1"/>
  <c r="BG1034" i="1" s="1"/>
  <c r="BE1034" i="1"/>
  <c r="BB1034" i="1"/>
  <c r="BC1034" i="1" s="1"/>
  <c r="BA1034" i="1"/>
  <c r="AX1034" i="1"/>
  <c r="AW1034" i="1"/>
  <c r="AU1034" i="1"/>
  <c r="AT1034" i="1"/>
  <c r="AS1034" i="1"/>
  <c r="AQ1034" i="1"/>
  <c r="AP1034" i="1"/>
  <c r="AO1034" i="1"/>
  <c r="AL1034" i="1"/>
  <c r="AM1034" i="1" s="1"/>
  <c r="AK1034" i="1"/>
  <c r="AI1034" i="1"/>
  <c r="AH1034" i="1"/>
  <c r="AE1034" i="1" s="1"/>
  <c r="AG1034" i="1"/>
  <c r="AD1034" i="1"/>
  <c r="AC1034" i="1"/>
  <c r="Z1034" i="1"/>
  <c r="AA1034" i="1" s="1"/>
  <c r="Y1034" i="1"/>
  <c r="V1034" i="1"/>
  <c r="W1034" i="1" s="1"/>
  <c r="U1034" i="1"/>
  <c r="R1034" i="1"/>
  <c r="Q1034" i="1"/>
  <c r="O1034" i="1"/>
  <c r="N1034" i="1"/>
  <c r="M1034" i="1"/>
  <c r="K1034" i="1"/>
  <c r="J1034" i="1"/>
  <c r="I1034" i="1"/>
  <c r="F1034" i="1"/>
  <c r="G1034" i="1" s="1"/>
  <c r="E1034" i="1"/>
  <c r="BN1033" i="1"/>
  <c r="BM1033" i="1" s="1"/>
  <c r="BL1033" i="1"/>
  <c r="BJ1033" i="1"/>
  <c r="BI1033" i="1"/>
  <c r="BF1033" i="1"/>
  <c r="BG1033" i="1" s="1"/>
  <c r="BE1033" i="1"/>
  <c r="BC1033" i="1"/>
  <c r="BB1033" i="1"/>
  <c r="AY1033" i="1" s="1"/>
  <c r="BA1033" i="1"/>
  <c r="AX1033" i="1"/>
  <c r="AW1033" i="1"/>
  <c r="AT1033" i="1"/>
  <c r="AU1033" i="1" s="1"/>
  <c r="AS1033" i="1"/>
  <c r="AP1033" i="1"/>
  <c r="AQ1033" i="1" s="1"/>
  <c r="AO1033" i="1"/>
  <c r="AL1033" i="1"/>
  <c r="AM1033" i="1" s="1"/>
  <c r="AK1033" i="1"/>
  <c r="AI1033" i="1"/>
  <c r="AH1033" i="1"/>
  <c r="AG1033" i="1"/>
  <c r="AE1033" i="1"/>
  <c r="AD1033" i="1"/>
  <c r="AC1033" i="1"/>
  <c r="Z1033" i="1"/>
  <c r="AA1033" i="1" s="1"/>
  <c r="Y1033" i="1"/>
  <c r="W1033" i="1"/>
  <c r="V1033" i="1"/>
  <c r="S1033" i="1" s="1"/>
  <c r="U1033" i="1"/>
  <c r="R1033" i="1"/>
  <c r="Q1033" i="1"/>
  <c r="N1033" i="1"/>
  <c r="O1033" i="1" s="1"/>
  <c r="M1033" i="1"/>
  <c r="J1033" i="1"/>
  <c r="K1033" i="1" s="1"/>
  <c r="I1033" i="1"/>
  <c r="F1033" i="1"/>
  <c r="E1033" i="1"/>
  <c r="BN1032" i="1"/>
  <c r="BL1032" i="1"/>
  <c r="BJ1032" i="1"/>
  <c r="BM1032" i="1" s="1"/>
  <c r="BI1032" i="1"/>
  <c r="BF1032" i="1"/>
  <c r="BG1032" i="1" s="1"/>
  <c r="BE1032" i="1"/>
  <c r="BC1032" i="1"/>
  <c r="BB1032" i="1"/>
  <c r="BA1032" i="1"/>
  <c r="AY1032" i="1"/>
  <c r="AX1032" i="1"/>
  <c r="AW1032" i="1"/>
  <c r="AT1032" i="1"/>
  <c r="AU1032" i="1" s="1"/>
  <c r="AS1032" i="1"/>
  <c r="AQ1032" i="1"/>
  <c r="AP1032" i="1"/>
  <c r="AM1032" i="1" s="1"/>
  <c r="AO1032" i="1"/>
  <c r="AL1032" i="1"/>
  <c r="AK1032" i="1"/>
  <c r="AH1032" i="1"/>
  <c r="AI1032" i="1" s="1"/>
  <c r="AG1032" i="1"/>
  <c r="AD1032" i="1"/>
  <c r="AE1032" i="1" s="1"/>
  <c r="AC1032" i="1"/>
  <c r="Z1032" i="1"/>
  <c r="Y1032" i="1"/>
  <c r="W1032" i="1"/>
  <c r="V1032" i="1"/>
  <c r="U1032" i="1"/>
  <c r="S1032" i="1"/>
  <c r="R1032" i="1"/>
  <c r="Q1032" i="1"/>
  <c r="N1032" i="1"/>
  <c r="O1032" i="1" s="1"/>
  <c r="M1032" i="1"/>
  <c r="K1032" i="1"/>
  <c r="J1032" i="1"/>
  <c r="G1032" i="1" s="1"/>
  <c r="I1032" i="1"/>
  <c r="F1032" i="1"/>
  <c r="E1032" i="1"/>
  <c r="BN1031" i="1"/>
  <c r="BM1031" i="1"/>
  <c r="BL1031" i="1"/>
  <c r="BJ1031" i="1"/>
  <c r="BG1031" i="1" s="1"/>
  <c r="BI1031" i="1"/>
  <c r="BF1031" i="1"/>
  <c r="BE1031" i="1"/>
  <c r="BB1031" i="1"/>
  <c r="BC1031" i="1" s="1"/>
  <c r="BA1031" i="1"/>
  <c r="AX1031" i="1"/>
  <c r="AY1031" i="1" s="1"/>
  <c r="AW1031" i="1"/>
  <c r="AT1031" i="1"/>
  <c r="AU1031" i="1" s="1"/>
  <c r="AS1031" i="1"/>
  <c r="AQ1031" i="1"/>
  <c r="AP1031" i="1"/>
  <c r="AO1031" i="1"/>
  <c r="AM1031" i="1"/>
  <c r="AL1031" i="1"/>
  <c r="AK1031" i="1"/>
  <c r="AH1031" i="1"/>
  <c r="AI1031" i="1" s="1"/>
  <c r="AG1031" i="1"/>
  <c r="AE1031" i="1"/>
  <c r="AD1031" i="1"/>
  <c r="AA1031" i="1" s="1"/>
  <c r="AC1031" i="1"/>
  <c r="Z1031" i="1"/>
  <c r="Y1031" i="1"/>
  <c r="V1031" i="1"/>
  <c r="W1031" i="1" s="1"/>
  <c r="U1031" i="1"/>
  <c r="R1031" i="1"/>
  <c r="S1031" i="1" s="1"/>
  <c r="Q1031" i="1"/>
  <c r="N1031" i="1"/>
  <c r="O1031" i="1" s="1"/>
  <c r="M1031" i="1"/>
  <c r="K1031" i="1"/>
  <c r="J1031" i="1"/>
  <c r="I1031" i="1"/>
  <c r="G1031" i="1"/>
  <c r="F1031" i="1"/>
  <c r="E1031" i="1"/>
  <c r="BN1030" i="1"/>
  <c r="BL1030" i="1"/>
  <c r="BJ1030" i="1"/>
  <c r="BM1030" i="1" s="1"/>
  <c r="BI1030" i="1"/>
  <c r="BG1030" i="1"/>
  <c r="BF1030" i="1"/>
  <c r="BE1030" i="1"/>
  <c r="BB1030" i="1"/>
  <c r="BC1030" i="1" s="1"/>
  <c r="BA1030" i="1"/>
  <c r="AY1030" i="1"/>
  <c r="AX1030" i="1"/>
  <c r="AU1030" i="1" s="1"/>
  <c r="AW1030" i="1"/>
  <c r="AT1030" i="1"/>
  <c r="AS1030" i="1"/>
  <c r="AP1030" i="1"/>
  <c r="AQ1030" i="1" s="1"/>
  <c r="AO1030" i="1"/>
  <c r="AL1030" i="1"/>
  <c r="AM1030" i="1" s="1"/>
  <c r="AK1030" i="1"/>
  <c r="AH1030" i="1"/>
  <c r="AG1030" i="1"/>
  <c r="AE1030" i="1"/>
  <c r="AD1030" i="1"/>
  <c r="AC1030" i="1"/>
  <c r="AA1030" i="1"/>
  <c r="Z1030" i="1"/>
  <c r="Y1030" i="1"/>
  <c r="V1030" i="1"/>
  <c r="W1030" i="1" s="1"/>
  <c r="U1030" i="1"/>
  <c r="S1030" i="1"/>
  <c r="R1030" i="1"/>
  <c r="O1030" i="1" s="1"/>
  <c r="Q1030" i="1"/>
  <c r="N1030" i="1"/>
  <c r="M1030" i="1"/>
  <c r="J1030" i="1"/>
  <c r="K1030" i="1" s="1"/>
  <c r="I1030" i="1"/>
  <c r="F1030" i="1"/>
  <c r="G1030" i="1" s="1"/>
  <c r="E1030" i="1"/>
  <c r="BN1029" i="1"/>
  <c r="BL1029" i="1"/>
  <c r="BJ1029" i="1"/>
  <c r="BM1029" i="1" s="1"/>
  <c r="BI1029" i="1"/>
  <c r="BF1029" i="1"/>
  <c r="BG1029" i="1" s="1"/>
  <c r="BE1029" i="1"/>
  <c r="BB1029" i="1"/>
  <c r="BA1029" i="1"/>
  <c r="AY1029" i="1"/>
  <c r="AX1029" i="1"/>
  <c r="AW1029" i="1"/>
  <c r="AU1029" i="1"/>
  <c r="AT1029" i="1"/>
  <c r="AS1029" i="1"/>
  <c r="AP1029" i="1"/>
  <c r="AQ1029" i="1" s="1"/>
  <c r="AO1029" i="1"/>
  <c r="AM1029" i="1"/>
  <c r="AL1029" i="1"/>
  <c r="AI1029" i="1" s="1"/>
  <c r="AK1029" i="1"/>
  <c r="AH1029" i="1"/>
  <c r="AF1029" i="1"/>
  <c r="AG1029" i="1" s="1"/>
  <c r="AE1029" i="1"/>
  <c r="AD1029" i="1"/>
  <c r="AA1029" i="1" s="1"/>
  <c r="AB1029" i="1"/>
  <c r="AC1029" i="1" s="1"/>
  <c r="Z1029" i="1"/>
  <c r="Y1029" i="1"/>
  <c r="V1029" i="1"/>
  <c r="W1029" i="1" s="1"/>
  <c r="U1029" i="1"/>
  <c r="R1029" i="1"/>
  <c r="S1029" i="1" s="1"/>
  <c r="Q1029" i="1"/>
  <c r="P1029" i="1"/>
  <c r="N1029" i="1"/>
  <c r="M1029" i="1"/>
  <c r="K1029" i="1"/>
  <c r="J1029" i="1"/>
  <c r="G1029" i="1" s="1"/>
  <c r="I1029" i="1"/>
  <c r="F1029" i="1"/>
  <c r="E1029" i="1"/>
  <c r="BN1028" i="1"/>
  <c r="BM1028" i="1"/>
  <c r="BL1028" i="1"/>
  <c r="BJ1028" i="1"/>
  <c r="BG1028" i="1" s="1"/>
  <c r="BI1028" i="1"/>
  <c r="BF1028" i="1"/>
  <c r="BE1028" i="1"/>
  <c r="BB1028" i="1"/>
  <c r="BC1028" i="1" s="1"/>
  <c r="BA1028" i="1"/>
  <c r="AX1028" i="1"/>
  <c r="AY1028" i="1" s="1"/>
  <c r="AW1028" i="1"/>
  <c r="AT1028" i="1"/>
  <c r="AS1028" i="1"/>
  <c r="AQ1028" i="1"/>
  <c r="AP1028" i="1"/>
  <c r="AO1028" i="1"/>
  <c r="AM1028" i="1"/>
  <c r="AL1028" i="1"/>
  <c r="AK1028" i="1"/>
  <c r="AH1028" i="1"/>
  <c r="AI1028" i="1" s="1"/>
  <c r="AG1028" i="1"/>
  <c r="AF1028" i="1"/>
  <c r="AD1028" i="1"/>
  <c r="AE1028" i="1" s="1"/>
  <c r="AC1028" i="1"/>
  <c r="AB1028" i="1"/>
  <c r="Z1028" i="1"/>
  <c r="Y1028" i="1"/>
  <c r="W1028" i="1"/>
  <c r="V1028" i="1"/>
  <c r="S1028" i="1" s="1"/>
  <c r="U1028" i="1"/>
  <c r="R1028" i="1"/>
  <c r="P1028" i="1"/>
  <c r="Q1028" i="1" s="1"/>
  <c r="O1028" i="1"/>
  <c r="N1028" i="1"/>
  <c r="M1028" i="1"/>
  <c r="K1028" i="1"/>
  <c r="J1028" i="1"/>
  <c r="I1028" i="1"/>
  <c r="F1028" i="1"/>
  <c r="G1028" i="1" s="1"/>
  <c r="E1028" i="1"/>
  <c r="BN1027" i="1"/>
  <c r="BM1027" i="1" s="1"/>
  <c r="BL1027" i="1"/>
  <c r="BJ1027" i="1"/>
  <c r="BI1027" i="1"/>
  <c r="BF1027" i="1"/>
  <c r="BG1027" i="1" s="1"/>
  <c r="BE1027" i="1"/>
  <c r="BC1027" i="1"/>
  <c r="BB1027" i="1"/>
  <c r="AY1027" i="1" s="1"/>
  <c r="BA1027" i="1"/>
  <c r="AX1027" i="1"/>
  <c r="AW1027" i="1"/>
  <c r="AT1027" i="1"/>
  <c r="AU1027" i="1" s="1"/>
  <c r="AS1027" i="1"/>
  <c r="AP1027" i="1"/>
  <c r="AQ1027" i="1" s="1"/>
  <c r="AO1027" i="1"/>
  <c r="AL1027" i="1"/>
  <c r="AK1027" i="1"/>
  <c r="AI1027" i="1"/>
  <c r="AH1027" i="1"/>
  <c r="AE1027" i="1" s="1"/>
  <c r="AF1027" i="1"/>
  <c r="AG1027" i="1" s="1"/>
  <c r="AD1027" i="1"/>
  <c r="AB1027" i="1"/>
  <c r="AC1027" i="1" s="1"/>
  <c r="AA1027" i="1"/>
  <c r="Z1027" i="1"/>
  <c r="Y1027" i="1"/>
  <c r="W1027" i="1"/>
  <c r="V1027" i="1"/>
  <c r="U1027" i="1"/>
  <c r="R1027" i="1"/>
  <c r="S1027" i="1" s="1"/>
  <c r="Q1027" i="1"/>
  <c r="P1027" i="1"/>
  <c r="N1027" i="1"/>
  <c r="O1027" i="1" s="1"/>
  <c r="M1027" i="1"/>
  <c r="J1027" i="1"/>
  <c r="K1027" i="1" s="1"/>
  <c r="I1027" i="1"/>
  <c r="G1027" i="1"/>
  <c r="F1027" i="1"/>
  <c r="E1027" i="1"/>
  <c r="BN1026" i="1"/>
  <c r="BL1026" i="1"/>
  <c r="BJ1026" i="1"/>
  <c r="BI1026" i="1"/>
  <c r="BG1026" i="1"/>
  <c r="BF1026" i="1"/>
  <c r="BE1026" i="1"/>
  <c r="BC1026" i="1"/>
  <c r="BB1026" i="1"/>
  <c r="BA1026" i="1"/>
  <c r="AX1026" i="1"/>
  <c r="AY1026" i="1" s="1"/>
  <c r="AW1026" i="1"/>
  <c r="AU1026" i="1"/>
  <c r="AT1026" i="1"/>
  <c r="AQ1026" i="1" s="1"/>
  <c r="AS1026" i="1"/>
  <c r="AP1026" i="1"/>
  <c r="AO1026" i="1"/>
  <c r="AL1026" i="1"/>
  <c r="AM1026" i="1" s="1"/>
  <c r="AK1026" i="1"/>
  <c r="AH1026" i="1"/>
  <c r="AI1026" i="1" s="1"/>
  <c r="AG1026" i="1"/>
  <c r="AD1026" i="1"/>
  <c r="AC1026" i="1"/>
  <c r="AA1026" i="1"/>
  <c r="Z1026" i="1"/>
  <c r="Y1026" i="1"/>
  <c r="W1026" i="1"/>
  <c r="V1026" i="1"/>
  <c r="U1026" i="1"/>
  <c r="R1026" i="1"/>
  <c r="S1026" i="1" s="1"/>
  <c r="Q1026" i="1"/>
  <c r="O1026" i="1"/>
  <c r="N1026" i="1"/>
  <c r="K1026" i="1" s="1"/>
  <c r="M1026" i="1"/>
  <c r="J1026" i="1"/>
  <c r="I1026" i="1"/>
  <c r="F1026" i="1"/>
  <c r="G1026" i="1" s="1"/>
  <c r="E1026" i="1"/>
  <c r="BN1025" i="1"/>
  <c r="BM1025" i="1"/>
  <c r="BL1025" i="1"/>
  <c r="BJ1025" i="1"/>
  <c r="BI1025" i="1"/>
  <c r="BF1025" i="1"/>
  <c r="BG1025" i="1" s="1"/>
  <c r="BE1025" i="1"/>
  <c r="BB1025" i="1"/>
  <c r="BC1025" i="1" s="1"/>
  <c r="BA1025" i="1"/>
  <c r="AX1025" i="1"/>
  <c r="AW1025" i="1"/>
  <c r="AU1025" i="1"/>
  <c r="AT1025" i="1"/>
  <c r="AS1025" i="1"/>
  <c r="AQ1025" i="1"/>
  <c r="AP1025" i="1"/>
  <c r="AO1025" i="1"/>
  <c r="AL1025" i="1"/>
  <c r="AM1025" i="1" s="1"/>
  <c r="AK1025" i="1"/>
  <c r="AI1025" i="1"/>
  <c r="AH1025" i="1"/>
  <c r="AG1025" i="1"/>
  <c r="AF1025" i="1"/>
  <c r="AD1025" i="1"/>
  <c r="AE1025" i="1" s="1"/>
  <c r="AC1025" i="1"/>
  <c r="AA1025" i="1"/>
  <c r="Z1025" i="1"/>
  <c r="Y1025" i="1"/>
  <c r="W1025" i="1"/>
  <c r="V1025" i="1"/>
  <c r="T1025" i="1"/>
  <c r="U1025" i="1" s="1"/>
  <c r="R1025" i="1"/>
  <c r="S1025" i="1" s="1"/>
  <c r="Q1025" i="1"/>
  <c r="P1025" i="1"/>
  <c r="O1025" i="1"/>
  <c r="N1025" i="1"/>
  <c r="M1025" i="1"/>
  <c r="J1025" i="1"/>
  <c r="K1025" i="1" s="1"/>
  <c r="I1025" i="1"/>
  <c r="G1025" i="1"/>
  <c r="F1025" i="1"/>
  <c r="E1025" i="1"/>
  <c r="BN1024" i="1"/>
  <c r="BL1024" i="1"/>
  <c r="BJ1024" i="1"/>
  <c r="BM1024" i="1" s="1"/>
  <c r="BI1024" i="1"/>
  <c r="BG1024" i="1"/>
  <c r="BF1024" i="1"/>
  <c r="BC1024" i="1" s="1"/>
  <c r="BE1024" i="1"/>
  <c r="BB1024" i="1"/>
  <c r="BA1024" i="1"/>
  <c r="AX1024" i="1"/>
  <c r="AY1024" i="1" s="1"/>
  <c r="AW1024" i="1"/>
  <c r="AT1024" i="1"/>
  <c r="AU1024" i="1" s="1"/>
  <c r="AS1024" i="1"/>
  <c r="AP1024" i="1"/>
  <c r="AO1024" i="1"/>
  <c r="AM1024" i="1"/>
  <c r="AL1024" i="1"/>
  <c r="AK1024" i="1"/>
  <c r="AI1024" i="1"/>
  <c r="AH1024" i="1"/>
  <c r="AF1024" i="1"/>
  <c r="AG1024" i="1" s="1"/>
  <c r="AD1024" i="1"/>
  <c r="AE1024" i="1" s="1"/>
  <c r="AC1024" i="1"/>
  <c r="Z1024" i="1"/>
  <c r="AA1024" i="1" s="1"/>
  <c r="Y1024" i="1"/>
  <c r="V1024" i="1"/>
  <c r="T1024" i="1"/>
  <c r="U1024" i="1" s="1"/>
  <c r="S1024" i="1"/>
  <c r="R1024" i="1"/>
  <c r="Q1024" i="1"/>
  <c r="P1024" i="1"/>
  <c r="N1024" i="1"/>
  <c r="O1024" i="1" s="1"/>
  <c r="M1024" i="1"/>
  <c r="K1024" i="1"/>
  <c r="J1024" i="1"/>
  <c r="I1024" i="1"/>
  <c r="G1024" i="1"/>
  <c r="F1024" i="1"/>
  <c r="E1024" i="1"/>
  <c r="BN1023" i="1"/>
  <c r="BL1023" i="1"/>
  <c r="BJ1023" i="1"/>
  <c r="BM1023" i="1" s="1"/>
  <c r="BI1023" i="1"/>
  <c r="BG1023" i="1"/>
  <c r="BF1023" i="1"/>
  <c r="BE1023" i="1"/>
  <c r="BB1023" i="1"/>
  <c r="BC1023" i="1" s="1"/>
  <c r="BA1023" i="1"/>
  <c r="AY1023" i="1"/>
  <c r="AX1023" i="1"/>
  <c r="AU1023" i="1" s="1"/>
  <c r="AW1023" i="1"/>
  <c r="AT1023" i="1"/>
  <c r="AS1023" i="1"/>
  <c r="AP1023" i="1"/>
  <c r="AQ1023" i="1" s="1"/>
  <c r="AO1023" i="1"/>
  <c r="AL1023" i="1"/>
  <c r="AM1023" i="1" s="1"/>
  <c r="AK1023" i="1"/>
  <c r="AH1023" i="1"/>
  <c r="AF1023" i="1"/>
  <c r="AG1023" i="1" s="1"/>
  <c r="AE1023" i="1"/>
  <c r="AD1023" i="1"/>
  <c r="AA1023" i="1" s="1"/>
  <c r="AC1023" i="1"/>
  <c r="Z1023" i="1"/>
  <c r="Y1023" i="1"/>
  <c r="V1023" i="1"/>
  <c r="W1023" i="1" s="1"/>
  <c r="U1023" i="1"/>
  <c r="T1023" i="1"/>
  <c r="S1023" i="1"/>
  <c r="R1023" i="1"/>
  <c r="P1023" i="1"/>
  <c r="Q1023" i="1" s="1"/>
  <c r="N1023" i="1"/>
  <c r="O1023" i="1" s="1"/>
  <c r="M1023" i="1"/>
  <c r="J1023" i="1"/>
  <c r="K1023" i="1" s="1"/>
  <c r="I1023" i="1"/>
  <c r="F1023" i="1"/>
  <c r="E1023" i="1"/>
  <c r="BN1022" i="1"/>
  <c r="BL1022" i="1"/>
  <c r="BJ1022" i="1"/>
  <c r="BM1022" i="1" s="1"/>
  <c r="BI1022" i="1"/>
  <c r="BF1022" i="1"/>
  <c r="BG1022" i="1" s="1"/>
  <c r="BE1022" i="1"/>
  <c r="BC1022" i="1"/>
  <c r="BB1022" i="1"/>
  <c r="BA1022" i="1"/>
  <c r="AY1022" i="1"/>
  <c r="AX1022" i="1"/>
  <c r="AW1022" i="1"/>
  <c r="AT1022" i="1"/>
  <c r="AU1022" i="1" s="1"/>
  <c r="AS1022" i="1"/>
  <c r="AQ1022" i="1"/>
  <c r="AP1022" i="1"/>
  <c r="AM1022" i="1" s="1"/>
  <c r="AO1022" i="1"/>
  <c r="AL1022" i="1"/>
  <c r="AK1022" i="1"/>
  <c r="AH1022" i="1"/>
  <c r="AI1022" i="1" s="1"/>
  <c r="AG1022" i="1"/>
  <c r="AD1022" i="1"/>
  <c r="AE1022" i="1" s="1"/>
  <c r="AC1022" i="1"/>
  <c r="Z1022" i="1"/>
  <c r="AA1022" i="1" s="1"/>
  <c r="Y1022" i="1"/>
  <c r="W1022" i="1"/>
  <c r="V1022" i="1"/>
  <c r="U1022" i="1"/>
  <c r="S1022" i="1"/>
  <c r="R1022" i="1"/>
  <c r="Q1022" i="1"/>
  <c r="N1022" i="1"/>
  <c r="O1022" i="1" s="1"/>
  <c r="M1022" i="1"/>
  <c r="K1022" i="1"/>
  <c r="J1022" i="1"/>
  <c r="G1022" i="1" s="1"/>
  <c r="I1022" i="1"/>
  <c r="F1022" i="1"/>
  <c r="E1022" i="1"/>
  <c r="BN1021" i="1"/>
  <c r="BL1021" i="1"/>
  <c r="BK1021" i="1"/>
  <c r="BJ1021" i="1"/>
  <c r="BM1021" i="1" s="1"/>
  <c r="BI1021" i="1"/>
  <c r="BH1021" i="1"/>
  <c r="BF1021" i="1"/>
  <c r="BG1021" i="1" s="1"/>
  <c r="BE1021" i="1"/>
  <c r="BD1021" i="1"/>
  <c r="BB1021" i="1"/>
  <c r="BC1021" i="1" s="1"/>
  <c r="BA1021" i="1"/>
  <c r="AZ1021" i="1"/>
  <c r="AX1021" i="1"/>
  <c r="AW1021" i="1"/>
  <c r="AV1021" i="1"/>
  <c r="AT1021" i="1"/>
  <c r="AU1021" i="1" s="1"/>
  <c r="AS1021" i="1"/>
  <c r="AR1021" i="1"/>
  <c r="AP1021" i="1"/>
  <c r="AO1021" i="1"/>
  <c r="AN1021" i="1"/>
  <c r="AL1021" i="1"/>
  <c r="AM1021" i="1" s="1"/>
  <c r="AK1021" i="1"/>
  <c r="AJ1021" i="1"/>
  <c r="AH1021" i="1"/>
  <c r="AG1021" i="1"/>
  <c r="AE1021" i="1"/>
  <c r="AD1021" i="1"/>
  <c r="AA1021" i="1" s="1"/>
  <c r="AC1021" i="1"/>
  <c r="Z1021" i="1"/>
  <c r="Y1021" i="1"/>
  <c r="V1021" i="1"/>
  <c r="W1021" i="1" s="1"/>
  <c r="U1021" i="1"/>
  <c r="R1021" i="1"/>
  <c r="S1021" i="1" s="1"/>
  <c r="Q1021" i="1"/>
  <c r="N1021" i="1"/>
  <c r="M1021" i="1"/>
  <c r="K1021" i="1"/>
  <c r="J1021" i="1"/>
  <c r="I1021" i="1"/>
  <c r="G1021" i="1"/>
  <c r="F1021" i="1"/>
  <c r="E1021" i="1"/>
  <c r="BN1020" i="1"/>
  <c r="BM1020" i="1"/>
  <c r="BL1020" i="1"/>
  <c r="BK1020" i="1"/>
  <c r="BJ1020" i="1"/>
  <c r="BI1020" i="1"/>
  <c r="BH1020" i="1"/>
  <c r="BF1020" i="1"/>
  <c r="BG1020" i="1" s="1"/>
  <c r="BD1020" i="1"/>
  <c r="BE1020" i="1" s="1"/>
  <c r="BC1020" i="1"/>
  <c r="BB1020" i="1"/>
  <c r="BA1020" i="1"/>
  <c r="AZ1020" i="1"/>
  <c r="AX1020" i="1"/>
  <c r="AY1020" i="1" s="1"/>
  <c r="AV1020" i="1"/>
  <c r="AW1020" i="1" s="1"/>
  <c r="AU1020" i="1"/>
  <c r="AT1020" i="1"/>
  <c r="AS1020" i="1"/>
  <c r="AR1020" i="1"/>
  <c r="AP1020" i="1"/>
  <c r="AQ1020" i="1" s="1"/>
  <c r="AN1020" i="1"/>
  <c r="AO1020" i="1" s="1"/>
  <c r="AM1020" i="1"/>
  <c r="AL1020" i="1"/>
  <c r="AK1020" i="1"/>
  <c r="AJ1020" i="1"/>
  <c r="AH1020" i="1"/>
  <c r="AI1020" i="1" s="1"/>
  <c r="AG1020" i="1"/>
  <c r="AE1020" i="1"/>
  <c r="AD1020" i="1"/>
  <c r="AC1020" i="1"/>
  <c r="AA1020" i="1"/>
  <c r="Z1020" i="1"/>
  <c r="Y1020" i="1"/>
  <c r="V1020" i="1"/>
  <c r="W1020" i="1" s="1"/>
  <c r="U1020" i="1"/>
  <c r="S1020" i="1"/>
  <c r="R1020" i="1"/>
  <c r="O1020" i="1" s="1"/>
  <c r="Q1020" i="1"/>
  <c r="N1020" i="1"/>
  <c r="M1020" i="1"/>
  <c r="J1020" i="1"/>
  <c r="K1020" i="1" s="1"/>
  <c r="I1020" i="1"/>
  <c r="F1020" i="1"/>
  <c r="G1020" i="1" s="1"/>
  <c r="E1020" i="1"/>
  <c r="BN1019" i="1"/>
  <c r="BK1019" i="1"/>
  <c r="BL1019" i="1" s="1"/>
  <c r="BJ1019" i="1"/>
  <c r="BG1019" i="1" s="1"/>
  <c r="BH1019" i="1"/>
  <c r="BI1019" i="1" s="1"/>
  <c r="BF1019" i="1"/>
  <c r="BD1019" i="1"/>
  <c r="BE1019" i="1" s="1"/>
  <c r="BC1019" i="1"/>
  <c r="BB1019" i="1"/>
  <c r="AY1019" i="1" s="1"/>
  <c r="AZ1019" i="1"/>
  <c r="BA1019" i="1" s="1"/>
  <c r="AX1019" i="1"/>
  <c r="AV1019" i="1"/>
  <c r="AW1019" i="1" s="1"/>
  <c r="AU1019" i="1"/>
  <c r="AT1019" i="1"/>
  <c r="AQ1019" i="1" s="1"/>
  <c r="AR1019" i="1"/>
  <c r="AS1019" i="1" s="1"/>
  <c r="AP1019" i="1"/>
  <c r="AN1019" i="1"/>
  <c r="AO1019" i="1" s="1"/>
  <c r="AM1019" i="1"/>
  <c r="AL1019" i="1"/>
  <c r="AI1019" i="1" s="1"/>
  <c r="AJ1019" i="1"/>
  <c r="AK1019" i="1" s="1"/>
  <c r="AH1019" i="1"/>
  <c r="AG1019" i="1"/>
  <c r="AD1019" i="1"/>
  <c r="AE1019" i="1" s="1"/>
  <c r="AC1019" i="1"/>
  <c r="Z1019" i="1"/>
  <c r="AA1019" i="1" s="1"/>
  <c r="Y1019" i="1"/>
  <c r="V1019" i="1"/>
  <c r="U1019" i="1"/>
  <c r="S1019" i="1"/>
  <c r="R1019" i="1"/>
  <c r="Q1019" i="1"/>
  <c r="O1019" i="1"/>
  <c r="N1019" i="1"/>
  <c r="M1019" i="1"/>
  <c r="J1019" i="1"/>
  <c r="K1019" i="1" s="1"/>
  <c r="I1019" i="1"/>
  <c r="G1019" i="1"/>
  <c r="F1019" i="1"/>
  <c r="E1019" i="1"/>
  <c r="BN1018" i="1"/>
  <c r="BL1018" i="1"/>
  <c r="BJ1018" i="1"/>
  <c r="BM1018" i="1" s="1"/>
  <c r="BI1018" i="1"/>
  <c r="BG1018" i="1"/>
  <c r="BF1018" i="1"/>
  <c r="BC1018" i="1" s="1"/>
  <c r="BE1018" i="1"/>
  <c r="BB1018" i="1"/>
  <c r="BA1018" i="1"/>
  <c r="AX1018" i="1"/>
  <c r="AY1018" i="1" s="1"/>
  <c r="AW1018" i="1"/>
  <c r="AT1018" i="1"/>
  <c r="AU1018" i="1" s="1"/>
  <c r="AS1018" i="1"/>
  <c r="AP1018" i="1"/>
  <c r="AQ1018" i="1" s="1"/>
  <c r="AO1018" i="1"/>
  <c r="AM1018" i="1"/>
  <c r="AL1018" i="1"/>
  <c r="AK1018" i="1"/>
  <c r="AI1018" i="1"/>
  <c r="AH1018" i="1"/>
  <c r="AG1018" i="1"/>
  <c r="AD1018" i="1"/>
  <c r="AE1018" i="1" s="1"/>
  <c r="AC1018" i="1"/>
  <c r="AA1018" i="1"/>
  <c r="Z1018" i="1"/>
  <c r="W1018" i="1" s="1"/>
  <c r="Y1018" i="1"/>
  <c r="V1018" i="1"/>
  <c r="U1018" i="1"/>
  <c r="R1018" i="1"/>
  <c r="S1018" i="1" s="1"/>
  <c r="Q1018" i="1"/>
  <c r="N1018" i="1"/>
  <c r="O1018" i="1" s="1"/>
  <c r="M1018" i="1"/>
  <c r="J1018" i="1"/>
  <c r="I1018" i="1"/>
  <c r="G1018" i="1"/>
  <c r="F1018" i="1"/>
  <c r="E1018" i="1"/>
  <c r="BN1017" i="1"/>
  <c r="BL1017" i="1"/>
  <c r="BJ1017" i="1"/>
  <c r="BM1017" i="1" s="1"/>
  <c r="BI1017" i="1"/>
  <c r="BG1017" i="1"/>
  <c r="BF1017" i="1"/>
  <c r="BE1017" i="1"/>
  <c r="BC1017" i="1"/>
  <c r="BB1017" i="1"/>
  <c r="BA1017" i="1"/>
  <c r="AX1017" i="1"/>
  <c r="AY1017" i="1" s="1"/>
  <c r="AW1017" i="1"/>
  <c r="AU1017" i="1"/>
  <c r="AT1017" i="1"/>
  <c r="AQ1017" i="1" s="1"/>
  <c r="AS1017" i="1"/>
  <c r="AP1017" i="1"/>
  <c r="AO1017" i="1"/>
  <c r="AL1017" i="1"/>
  <c r="AM1017" i="1" s="1"/>
  <c r="AK1017" i="1"/>
  <c r="AH1017" i="1"/>
  <c r="AI1017" i="1" s="1"/>
  <c r="AG1017" i="1"/>
  <c r="AF1017" i="1"/>
  <c r="AD1017" i="1"/>
  <c r="AC1017" i="1"/>
  <c r="AA1017" i="1"/>
  <c r="Z1017" i="1"/>
  <c r="W1017" i="1" s="1"/>
  <c r="Y1017" i="1"/>
  <c r="V1017" i="1"/>
  <c r="U1017" i="1"/>
  <c r="R1017" i="1"/>
  <c r="S1017" i="1" s="1"/>
  <c r="Q1017" i="1"/>
  <c r="N1017" i="1"/>
  <c r="O1017" i="1" s="1"/>
  <c r="M1017" i="1"/>
  <c r="J1017" i="1"/>
  <c r="I1017" i="1"/>
  <c r="G1017" i="1"/>
  <c r="F1017" i="1"/>
  <c r="E1017" i="1"/>
  <c r="BN1016" i="1"/>
  <c r="BL1016" i="1"/>
  <c r="BJ1016" i="1"/>
  <c r="BI1016" i="1"/>
  <c r="BG1016" i="1"/>
  <c r="BF1016" i="1"/>
  <c r="BE1016" i="1"/>
  <c r="BC1016" i="1"/>
  <c r="BB1016" i="1"/>
  <c r="BA1016" i="1"/>
  <c r="AX1016" i="1"/>
  <c r="AY1016" i="1" s="1"/>
  <c r="AW1016" i="1"/>
  <c r="AU1016" i="1"/>
  <c r="AT1016" i="1"/>
  <c r="AQ1016" i="1" s="1"/>
  <c r="AS1016" i="1"/>
  <c r="AP1016" i="1"/>
  <c r="AO1016" i="1"/>
  <c r="AL1016" i="1"/>
  <c r="AM1016" i="1" s="1"/>
  <c r="AK1016" i="1"/>
  <c r="AH1016" i="1"/>
  <c r="AI1016" i="1" s="1"/>
  <c r="AG1016" i="1"/>
  <c r="AF1016" i="1"/>
  <c r="AD1016" i="1"/>
  <c r="AE1016" i="1" s="1"/>
  <c r="AC1016" i="1"/>
  <c r="AA1016" i="1"/>
  <c r="Z1016" i="1"/>
  <c r="W1016" i="1" s="1"/>
  <c r="Y1016" i="1"/>
  <c r="V1016" i="1"/>
  <c r="U1016" i="1"/>
  <c r="R1016" i="1"/>
  <c r="S1016" i="1" s="1"/>
  <c r="Q1016" i="1"/>
  <c r="N1016" i="1"/>
  <c r="O1016" i="1" s="1"/>
  <c r="M1016" i="1"/>
  <c r="J1016" i="1"/>
  <c r="K1016" i="1" s="1"/>
  <c r="I1016" i="1"/>
  <c r="G1016" i="1"/>
  <c r="F1016" i="1"/>
  <c r="E1016" i="1"/>
  <c r="BN1015" i="1"/>
  <c r="BL1015" i="1"/>
  <c r="BJ1015" i="1"/>
  <c r="BI1015" i="1"/>
  <c r="BG1015" i="1"/>
  <c r="BF1015" i="1"/>
  <c r="BE1015" i="1"/>
  <c r="BC1015" i="1"/>
  <c r="BB1015" i="1"/>
  <c r="BA1015" i="1"/>
  <c r="AX1015" i="1"/>
  <c r="AY1015" i="1" s="1"/>
  <c r="AW1015" i="1"/>
  <c r="AU1015" i="1"/>
  <c r="AT1015" i="1"/>
  <c r="AQ1015" i="1" s="1"/>
  <c r="AS1015" i="1"/>
  <c r="AP1015" i="1"/>
  <c r="AO1015" i="1"/>
  <c r="AL1015" i="1"/>
  <c r="AM1015" i="1" s="1"/>
  <c r="AK1015" i="1"/>
  <c r="AH1015" i="1"/>
  <c r="AI1015" i="1" s="1"/>
  <c r="AG1015" i="1"/>
  <c r="AF1015" i="1"/>
  <c r="AD1015" i="1"/>
  <c r="AC1015" i="1"/>
  <c r="AA1015" i="1"/>
  <c r="Z1015" i="1"/>
  <c r="W1015" i="1" s="1"/>
  <c r="Y1015" i="1"/>
  <c r="V1015" i="1"/>
  <c r="U1015" i="1"/>
  <c r="R1015" i="1"/>
  <c r="S1015" i="1" s="1"/>
  <c r="Q1015" i="1"/>
  <c r="N1015" i="1"/>
  <c r="O1015" i="1" s="1"/>
  <c r="M1015" i="1"/>
  <c r="J1015" i="1"/>
  <c r="I1015" i="1"/>
  <c r="G1015" i="1"/>
  <c r="F1015" i="1"/>
  <c r="E1015" i="1"/>
  <c r="BN1014" i="1"/>
  <c r="BL1014" i="1"/>
  <c r="BJ1014" i="1"/>
  <c r="BM1014" i="1" s="1"/>
  <c r="BI1014" i="1"/>
  <c r="BG1014" i="1"/>
  <c r="BF1014" i="1"/>
  <c r="BE1014" i="1"/>
  <c r="BC1014" i="1"/>
  <c r="BB1014" i="1"/>
  <c r="BA1014" i="1"/>
  <c r="AX1014" i="1"/>
  <c r="AY1014" i="1" s="1"/>
  <c r="AW1014" i="1"/>
  <c r="AU1014" i="1"/>
  <c r="AT1014" i="1"/>
  <c r="AQ1014" i="1" s="1"/>
  <c r="AS1014" i="1"/>
  <c r="AP1014" i="1"/>
  <c r="AO1014" i="1"/>
  <c r="AL1014" i="1"/>
  <c r="AM1014" i="1" s="1"/>
  <c r="AK1014" i="1"/>
  <c r="AH1014" i="1"/>
  <c r="AI1014" i="1" s="1"/>
  <c r="AG1014" i="1"/>
  <c r="AD1014" i="1"/>
  <c r="AE1014" i="1" s="1"/>
  <c r="AC1014" i="1"/>
  <c r="AA1014" i="1"/>
  <c r="Z1014" i="1"/>
  <c r="Y1014" i="1"/>
  <c r="W1014" i="1"/>
  <c r="V1014" i="1"/>
  <c r="U1014" i="1"/>
  <c r="R1014" i="1"/>
  <c r="S1014" i="1" s="1"/>
  <c r="Q1014" i="1"/>
  <c r="O1014" i="1"/>
  <c r="N1014" i="1"/>
  <c r="K1014" i="1" s="1"/>
  <c r="M1014" i="1"/>
  <c r="J1014" i="1"/>
  <c r="I1014" i="1"/>
  <c r="F1014" i="1"/>
  <c r="G1014" i="1" s="1"/>
  <c r="E1014" i="1"/>
  <c r="BN1013" i="1"/>
  <c r="BM1013" i="1"/>
  <c r="BL1013" i="1"/>
  <c r="BJ1013" i="1"/>
  <c r="BI1013" i="1"/>
  <c r="BF1013" i="1"/>
  <c r="BG1013" i="1" s="1"/>
  <c r="BE1013" i="1"/>
  <c r="BB1013" i="1"/>
  <c r="BC1013" i="1" s="1"/>
  <c r="BA1013" i="1"/>
  <c r="AX1013" i="1"/>
  <c r="AW1013" i="1"/>
  <c r="AU1013" i="1"/>
  <c r="AT1013" i="1"/>
  <c r="AS1013" i="1"/>
  <c r="AQ1013" i="1"/>
  <c r="AP1013" i="1"/>
  <c r="AO1013" i="1"/>
  <c r="AL1013" i="1"/>
  <c r="AM1013" i="1" s="1"/>
  <c r="AK1013" i="1"/>
  <c r="AI1013" i="1"/>
  <c r="AH1013" i="1"/>
  <c r="AE1013" i="1" s="1"/>
  <c r="AG1013" i="1"/>
  <c r="AD1013" i="1"/>
  <c r="AC1013" i="1"/>
  <c r="Z1013" i="1"/>
  <c r="AA1013" i="1" s="1"/>
  <c r="Y1013" i="1"/>
  <c r="V1013" i="1"/>
  <c r="W1013" i="1" s="1"/>
  <c r="U1013" i="1"/>
  <c r="R1013" i="1"/>
  <c r="S1013" i="1" s="1"/>
  <c r="Q1013" i="1"/>
  <c r="O1013" i="1"/>
  <c r="N1013" i="1"/>
  <c r="M1013" i="1"/>
  <c r="K1013" i="1"/>
  <c r="J1013" i="1"/>
  <c r="I1013" i="1"/>
  <c r="F1013" i="1"/>
  <c r="G1013" i="1" s="1"/>
  <c r="E1013" i="1"/>
  <c r="BN1012" i="1"/>
  <c r="BM1012" i="1" s="1"/>
  <c r="BL1012" i="1"/>
  <c r="BJ1012" i="1"/>
  <c r="BI1012" i="1"/>
  <c r="BF1012" i="1"/>
  <c r="BG1012" i="1" s="1"/>
  <c r="BE1012" i="1"/>
  <c r="BC1012" i="1"/>
  <c r="BB1012" i="1"/>
  <c r="AY1012" i="1" s="1"/>
  <c r="BA1012" i="1"/>
  <c r="AX1012" i="1"/>
  <c r="AW1012" i="1"/>
  <c r="AT1012" i="1"/>
  <c r="AU1012" i="1" s="1"/>
  <c r="AS1012" i="1"/>
  <c r="AP1012" i="1"/>
  <c r="AQ1012" i="1" s="1"/>
  <c r="AO1012" i="1"/>
  <c r="AL1012" i="1"/>
  <c r="AK1012" i="1"/>
  <c r="AI1012" i="1"/>
  <c r="AH1012" i="1"/>
  <c r="AG1012" i="1"/>
  <c r="AE1012" i="1"/>
  <c r="AD1012" i="1"/>
  <c r="AC1012" i="1"/>
  <c r="Z1012" i="1"/>
  <c r="AA1012" i="1" s="1"/>
  <c r="Y1012" i="1"/>
  <c r="W1012" i="1"/>
  <c r="V1012" i="1"/>
  <c r="S1012" i="1" s="1"/>
  <c r="U1012" i="1"/>
  <c r="R1012" i="1"/>
  <c r="Q1012" i="1"/>
  <c r="N1012" i="1"/>
  <c r="O1012" i="1" s="1"/>
  <c r="M1012" i="1"/>
  <c r="J1012" i="1"/>
  <c r="K1012" i="1" s="1"/>
  <c r="I1012" i="1"/>
  <c r="F1012" i="1"/>
  <c r="E1012" i="1"/>
  <c r="BN1011" i="1"/>
  <c r="BL1011" i="1"/>
  <c r="BJ1011" i="1"/>
  <c r="BM1011" i="1" s="1"/>
  <c r="BI1011" i="1"/>
  <c r="BF1011" i="1"/>
  <c r="BE1011" i="1"/>
  <c r="BC1011" i="1"/>
  <c r="BB1011" i="1"/>
  <c r="BA1011" i="1"/>
  <c r="AY1011" i="1"/>
  <c r="AX1011" i="1"/>
  <c r="AW1011" i="1"/>
  <c r="AT1011" i="1"/>
  <c r="AU1011" i="1" s="1"/>
  <c r="AS1011" i="1"/>
  <c r="AQ1011" i="1"/>
  <c r="AP1011" i="1"/>
  <c r="AM1011" i="1" s="1"/>
  <c r="AO1011" i="1"/>
  <c r="AL1011" i="1"/>
  <c r="AK1011" i="1"/>
  <c r="AH1011" i="1"/>
  <c r="AI1011" i="1" s="1"/>
  <c r="AG1011" i="1"/>
  <c r="AD1011" i="1"/>
  <c r="AE1011" i="1" s="1"/>
  <c r="AC1011" i="1"/>
  <c r="Z1011" i="1"/>
  <c r="Y1011" i="1"/>
  <c r="W1011" i="1"/>
  <c r="V1011" i="1"/>
  <c r="U1011" i="1"/>
  <c r="S1011" i="1"/>
  <c r="R1011" i="1"/>
  <c r="Q1011" i="1"/>
  <c r="N1011" i="1"/>
  <c r="O1011" i="1" s="1"/>
  <c r="M1011" i="1"/>
  <c r="K1011" i="1"/>
  <c r="J1011" i="1"/>
  <c r="G1011" i="1" s="1"/>
  <c r="I1011" i="1"/>
  <c r="F1011" i="1"/>
  <c r="E1011" i="1"/>
  <c r="BN1010" i="1"/>
  <c r="BM1010" i="1"/>
  <c r="BL1010" i="1"/>
  <c r="BJ1010" i="1"/>
  <c r="BG1010" i="1" s="1"/>
  <c r="BI1010" i="1"/>
  <c r="BF1010" i="1"/>
  <c r="BE1010" i="1"/>
  <c r="BB1010" i="1"/>
  <c r="BC1010" i="1" s="1"/>
  <c r="BA1010" i="1"/>
  <c r="AX1010" i="1"/>
  <c r="AY1010" i="1" s="1"/>
  <c r="AW1010" i="1"/>
  <c r="AT1010" i="1"/>
  <c r="AS1010" i="1"/>
  <c r="AQ1010" i="1"/>
  <c r="AP1010" i="1"/>
  <c r="AO1010" i="1"/>
  <c r="AM1010" i="1"/>
  <c r="AL1010" i="1"/>
  <c r="AK1010" i="1"/>
  <c r="AH1010" i="1"/>
  <c r="AI1010" i="1" s="1"/>
  <c r="AG1010" i="1"/>
  <c r="AE1010" i="1"/>
  <c r="AD1010" i="1"/>
  <c r="AA1010" i="1" s="1"/>
  <c r="AC1010" i="1"/>
  <c r="Z1010" i="1"/>
  <c r="Y1010" i="1"/>
  <c r="V1010" i="1"/>
  <c r="W1010" i="1" s="1"/>
  <c r="U1010" i="1"/>
  <c r="R1010" i="1"/>
  <c r="S1010" i="1" s="1"/>
  <c r="Q1010" i="1"/>
  <c r="N1010" i="1"/>
  <c r="M1010" i="1"/>
  <c r="K1010" i="1"/>
  <c r="J1010" i="1"/>
  <c r="I1010" i="1"/>
  <c r="G1010" i="1"/>
  <c r="F1010" i="1"/>
  <c r="E1010" i="1"/>
  <c r="BN1009" i="1"/>
  <c r="BL1009" i="1"/>
  <c r="BJ1009" i="1"/>
  <c r="BM1009" i="1" s="1"/>
  <c r="BI1009" i="1"/>
  <c r="BG1009" i="1"/>
  <c r="BF1009" i="1"/>
  <c r="BE1009" i="1"/>
  <c r="BB1009" i="1"/>
  <c r="BC1009" i="1" s="1"/>
  <c r="BA1009" i="1"/>
  <c r="AY1009" i="1"/>
  <c r="AX1009" i="1"/>
  <c r="AU1009" i="1" s="1"/>
  <c r="AW1009" i="1"/>
  <c r="AT1009" i="1"/>
  <c r="AS1009" i="1"/>
  <c r="AP1009" i="1"/>
  <c r="AQ1009" i="1" s="1"/>
  <c r="AO1009" i="1"/>
  <c r="AL1009" i="1"/>
  <c r="AM1009" i="1" s="1"/>
  <c r="AK1009" i="1"/>
  <c r="AH1009" i="1"/>
  <c r="AG1009" i="1"/>
  <c r="AE1009" i="1"/>
  <c r="AD1009" i="1"/>
  <c r="AC1009" i="1"/>
  <c r="AA1009" i="1"/>
  <c r="Z1009" i="1"/>
  <c r="Y1009" i="1"/>
  <c r="V1009" i="1"/>
  <c r="W1009" i="1" s="1"/>
  <c r="U1009" i="1"/>
  <c r="S1009" i="1"/>
  <c r="R1009" i="1"/>
  <c r="O1009" i="1" s="1"/>
  <c r="Q1009" i="1"/>
  <c r="N1009" i="1"/>
  <c r="M1009" i="1"/>
  <c r="J1009" i="1"/>
  <c r="K1009" i="1" s="1"/>
  <c r="I1009" i="1"/>
  <c r="F1009" i="1"/>
  <c r="G1009" i="1" s="1"/>
  <c r="E1009" i="1"/>
  <c r="BN1008" i="1"/>
  <c r="BL1008" i="1"/>
  <c r="BJ1008" i="1"/>
  <c r="BM1008" i="1" s="1"/>
  <c r="BI1008" i="1"/>
  <c r="BF1008" i="1"/>
  <c r="BG1008" i="1" s="1"/>
  <c r="BE1008" i="1"/>
  <c r="BB1008" i="1"/>
  <c r="BA1008" i="1"/>
  <c r="AY1008" i="1"/>
  <c r="AX1008" i="1"/>
  <c r="AW1008" i="1"/>
  <c r="AU1008" i="1"/>
  <c r="AT1008" i="1"/>
  <c r="AS1008" i="1"/>
  <c r="AP1008" i="1"/>
  <c r="AQ1008" i="1" s="1"/>
  <c r="AO1008" i="1"/>
  <c r="AM1008" i="1"/>
  <c r="AL1008" i="1"/>
  <c r="AI1008" i="1" s="1"/>
  <c r="AK1008" i="1"/>
  <c r="AH1008" i="1"/>
  <c r="AG1008" i="1"/>
  <c r="AD1008" i="1"/>
  <c r="AE1008" i="1" s="1"/>
  <c r="AC1008" i="1"/>
  <c r="Z1008" i="1"/>
  <c r="AA1008" i="1" s="1"/>
  <c r="Y1008" i="1"/>
  <c r="V1008" i="1"/>
  <c r="W1008" i="1" s="1"/>
  <c r="U1008" i="1"/>
  <c r="S1008" i="1"/>
  <c r="R1008" i="1"/>
  <c r="Q1008" i="1"/>
  <c r="O1008" i="1"/>
  <c r="N1008" i="1"/>
  <c r="M1008" i="1"/>
  <c r="J1008" i="1"/>
  <c r="K1008" i="1" s="1"/>
  <c r="I1008" i="1"/>
  <c r="G1008" i="1"/>
  <c r="F1008" i="1"/>
  <c r="E1008" i="1"/>
  <c r="BN1007" i="1"/>
  <c r="BL1007" i="1"/>
  <c r="BJ1007" i="1"/>
  <c r="BM1007" i="1" s="1"/>
  <c r="BI1007" i="1"/>
  <c r="BG1007" i="1"/>
  <c r="BF1007" i="1"/>
  <c r="BC1007" i="1" s="1"/>
  <c r="BE1007" i="1"/>
  <c r="BB1007" i="1"/>
  <c r="BA1007" i="1"/>
  <c r="AX1007" i="1"/>
  <c r="AY1007" i="1" s="1"/>
  <c r="AW1007" i="1"/>
  <c r="AT1007" i="1"/>
  <c r="AU1007" i="1" s="1"/>
  <c r="AS1007" i="1"/>
  <c r="AP1007" i="1"/>
  <c r="AO1007" i="1"/>
  <c r="AM1007" i="1"/>
  <c r="AL1007" i="1"/>
  <c r="AK1007" i="1"/>
  <c r="AI1007" i="1"/>
  <c r="AH1007" i="1"/>
  <c r="AG1007" i="1"/>
  <c r="AD1007" i="1"/>
  <c r="AE1007" i="1" s="1"/>
  <c r="AC1007" i="1"/>
  <c r="AA1007" i="1"/>
  <c r="Z1007" i="1"/>
  <c r="W1007" i="1" s="1"/>
  <c r="Y1007" i="1"/>
  <c r="V1007" i="1"/>
  <c r="U1007" i="1"/>
  <c r="R1007" i="1"/>
  <c r="S1007" i="1" s="1"/>
  <c r="Q1007" i="1"/>
  <c r="N1007" i="1"/>
  <c r="O1007" i="1" s="1"/>
  <c r="M1007" i="1"/>
  <c r="J1007" i="1"/>
  <c r="I1007" i="1"/>
  <c r="G1007" i="1"/>
  <c r="F1007" i="1"/>
  <c r="E1007" i="1"/>
  <c r="BN1006" i="1"/>
  <c r="BL1006" i="1"/>
  <c r="BJ1006" i="1"/>
  <c r="BI1006" i="1"/>
  <c r="BG1006" i="1"/>
  <c r="BF1006" i="1"/>
  <c r="BE1006" i="1"/>
  <c r="BC1006" i="1"/>
  <c r="BB1006" i="1"/>
  <c r="BA1006" i="1"/>
  <c r="AX1006" i="1"/>
  <c r="AY1006" i="1" s="1"/>
  <c r="AW1006" i="1"/>
  <c r="AU1006" i="1"/>
  <c r="AT1006" i="1"/>
  <c r="AQ1006" i="1" s="1"/>
  <c r="AS1006" i="1"/>
  <c r="AP1006" i="1"/>
  <c r="AO1006" i="1"/>
  <c r="AL1006" i="1"/>
  <c r="AM1006" i="1" s="1"/>
  <c r="AK1006" i="1"/>
  <c r="AH1006" i="1"/>
  <c r="AI1006" i="1" s="1"/>
  <c r="AG1006" i="1"/>
  <c r="AD1006" i="1"/>
  <c r="AC1006" i="1"/>
  <c r="AA1006" i="1"/>
  <c r="Z1006" i="1"/>
  <c r="Y1006" i="1"/>
  <c r="W1006" i="1"/>
  <c r="V1006" i="1"/>
  <c r="U1006" i="1"/>
  <c r="R1006" i="1"/>
  <c r="S1006" i="1" s="1"/>
  <c r="Q1006" i="1"/>
  <c r="O1006" i="1"/>
  <c r="N1006" i="1"/>
  <c r="K1006" i="1" s="1"/>
  <c r="M1006" i="1"/>
  <c r="J1006" i="1"/>
  <c r="I1006" i="1"/>
  <c r="F1006" i="1"/>
  <c r="G1006" i="1" s="1"/>
  <c r="E1006" i="1"/>
  <c r="BN1005" i="1"/>
  <c r="BM1005" i="1"/>
  <c r="BL1005" i="1"/>
  <c r="BJ1005" i="1"/>
  <c r="BI1005" i="1"/>
  <c r="BF1005" i="1"/>
  <c r="BG1005" i="1" s="1"/>
  <c r="BE1005" i="1"/>
  <c r="BB1005" i="1"/>
  <c r="BC1005" i="1" s="1"/>
  <c r="BA1005" i="1"/>
  <c r="AX1005" i="1"/>
  <c r="AW1005" i="1"/>
  <c r="AU1005" i="1"/>
  <c r="AT1005" i="1"/>
  <c r="AS1005" i="1"/>
  <c r="AQ1005" i="1"/>
  <c r="AP1005" i="1"/>
  <c r="AO1005" i="1"/>
  <c r="AL1005" i="1"/>
  <c r="AM1005" i="1" s="1"/>
  <c r="AK1005" i="1"/>
  <c r="AI1005" i="1"/>
  <c r="AH1005" i="1"/>
  <c r="AE1005" i="1" s="1"/>
  <c r="AG1005" i="1"/>
  <c r="AD1005" i="1"/>
  <c r="AC1005" i="1"/>
  <c r="Z1005" i="1"/>
  <c r="AA1005" i="1" s="1"/>
  <c r="Y1005" i="1"/>
  <c r="V1005" i="1"/>
  <c r="W1005" i="1" s="1"/>
  <c r="U1005" i="1"/>
  <c r="R1005" i="1"/>
  <c r="Q1005" i="1"/>
  <c r="O1005" i="1"/>
  <c r="N1005" i="1"/>
  <c r="M1005" i="1"/>
  <c r="K1005" i="1"/>
  <c r="J1005" i="1"/>
  <c r="I1005" i="1"/>
  <c r="F1005" i="1"/>
  <c r="G1005" i="1" s="1"/>
  <c r="E1005" i="1"/>
  <c r="BN1004" i="1"/>
  <c r="BM1004" i="1" s="1"/>
  <c r="BL1004" i="1"/>
  <c r="BJ1004" i="1"/>
  <c r="BI1004" i="1"/>
  <c r="BF1004" i="1"/>
  <c r="BG1004" i="1" s="1"/>
  <c r="BE1004" i="1"/>
  <c r="BC1004" i="1"/>
  <c r="BB1004" i="1"/>
  <c r="AY1004" i="1" s="1"/>
  <c r="BA1004" i="1"/>
  <c r="AX1004" i="1"/>
  <c r="AW1004" i="1"/>
  <c r="AT1004" i="1"/>
  <c r="AU1004" i="1" s="1"/>
  <c r="AS1004" i="1"/>
  <c r="AP1004" i="1"/>
  <c r="AQ1004" i="1" s="1"/>
  <c r="AO1004" i="1"/>
  <c r="AL1004" i="1"/>
  <c r="AK1004" i="1"/>
  <c r="AI1004" i="1"/>
  <c r="AH1004" i="1"/>
  <c r="AG1004" i="1"/>
  <c r="AE1004" i="1"/>
  <c r="AD1004" i="1"/>
  <c r="AC1004" i="1"/>
  <c r="Z1004" i="1"/>
  <c r="AA1004" i="1" s="1"/>
  <c r="Y1004" i="1"/>
  <c r="W1004" i="1"/>
  <c r="V1004" i="1"/>
  <c r="S1004" i="1" s="1"/>
  <c r="U1004" i="1"/>
  <c r="R1004" i="1"/>
  <c r="Q1004" i="1"/>
  <c r="N1004" i="1"/>
  <c r="O1004" i="1" s="1"/>
  <c r="M1004" i="1"/>
  <c r="J1004" i="1"/>
  <c r="K1004" i="1" s="1"/>
  <c r="I1004" i="1"/>
  <c r="F1004" i="1"/>
  <c r="G1004" i="1" s="1"/>
  <c r="E1004" i="1"/>
  <c r="BN1003" i="1"/>
  <c r="BL1003" i="1"/>
  <c r="BJ1003" i="1"/>
  <c r="BM1003" i="1" s="1"/>
  <c r="BI1003" i="1"/>
  <c r="BF1003" i="1"/>
  <c r="BG1003" i="1" s="1"/>
  <c r="BE1003" i="1"/>
  <c r="BC1003" i="1"/>
  <c r="BB1003" i="1"/>
  <c r="BA1003" i="1"/>
  <c r="AY1003" i="1"/>
  <c r="AX1003" i="1"/>
  <c r="AW1003" i="1"/>
  <c r="AT1003" i="1"/>
  <c r="AU1003" i="1" s="1"/>
  <c r="AS1003" i="1"/>
  <c r="AQ1003" i="1"/>
  <c r="AP1003" i="1"/>
  <c r="AM1003" i="1" s="1"/>
  <c r="AO1003" i="1"/>
  <c r="AL1003" i="1"/>
  <c r="AK1003" i="1"/>
  <c r="AH1003" i="1"/>
  <c r="AI1003" i="1" s="1"/>
  <c r="AG1003" i="1"/>
  <c r="AD1003" i="1"/>
  <c r="AE1003" i="1" s="1"/>
  <c r="AC1003" i="1"/>
  <c r="Z1003" i="1"/>
  <c r="AA1003" i="1" s="1"/>
  <c r="Y1003" i="1"/>
  <c r="W1003" i="1"/>
  <c r="V1003" i="1"/>
  <c r="U1003" i="1"/>
  <c r="S1003" i="1"/>
  <c r="R1003" i="1"/>
  <c r="Q1003" i="1"/>
  <c r="N1003" i="1"/>
  <c r="O1003" i="1" s="1"/>
  <c r="M1003" i="1"/>
  <c r="K1003" i="1"/>
  <c r="J1003" i="1"/>
  <c r="G1003" i="1" s="1"/>
  <c r="I1003" i="1"/>
  <c r="F1003" i="1"/>
  <c r="E1003" i="1"/>
  <c r="BN1002" i="1"/>
  <c r="BM1002" i="1"/>
  <c r="BL1002" i="1"/>
  <c r="BJ1002" i="1"/>
  <c r="BG1002" i="1" s="1"/>
  <c r="BI1002" i="1"/>
  <c r="BF1002" i="1"/>
  <c r="BE1002" i="1"/>
  <c r="BB1002" i="1"/>
  <c r="BC1002" i="1" s="1"/>
  <c r="BA1002" i="1"/>
  <c r="AX1002" i="1"/>
  <c r="AY1002" i="1" s="1"/>
  <c r="AW1002" i="1"/>
  <c r="AT1002" i="1"/>
  <c r="AU1002" i="1" s="1"/>
  <c r="AS1002" i="1"/>
  <c r="AQ1002" i="1"/>
  <c r="AP1002" i="1"/>
  <c r="AO1002" i="1"/>
  <c r="AM1002" i="1"/>
  <c r="AL1002" i="1"/>
  <c r="AK1002" i="1"/>
  <c r="AH1002" i="1"/>
  <c r="AI1002" i="1" s="1"/>
  <c r="AG1002" i="1"/>
  <c r="AE1002" i="1"/>
  <c r="AD1002" i="1"/>
  <c r="AA1002" i="1" s="1"/>
  <c r="AC1002" i="1"/>
  <c r="Z1002" i="1"/>
  <c r="Y1002" i="1"/>
  <c r="V1002" i="1"/>
  <c r="W1002" i="1" s="1"/>
  <c r="U1002" i="1"/>
  <c r="R1002" i="1"/>
  <c r="S1002" i="1" s="1"/>
  <c r="Q1002" i="1"/>
  <c r="N1002" i="1"/>
  <c r="O1002" i="1" s="1"/>
  <c r="M1002" i="1"/>
  <c r="K1002" i="1"/>
  <c r="J1002" i="1"/>
  <c r="I1002" i="1"/>
  <c r="G1002" i="1"/>
  <c r="F1002" i="1"/>
  <c r="E1002" i="1"/>
  <c r="BN1001" i="1"/>
  <c r="BL1001" i="1"/>
  <c r="BJ1001" i="1"/>
  <c r="BM1001" i="1" s="1"/>
  <c r="BI1001" i="1"/>
  <c r="BG1001" i="1"/>
  <c r="BF1001" i="1"/>
  <c r="BE1001" i="1"/>
  <c r="BB1001" i="1"/>
  <c r="BC1001" i="1" s="1"/>
  <c r="BA1001" i="1"/>
  <c r="AY1001" i="1"/>
  <c r="AX1001" i="1"/>
  <c r="AU1001" i="1" s="1"/>
  <c r="AW1001" i="1"/>
  <c r="AT1001" i="1"/>
  <c r="AS1001" i="1"/>
  <c r="AP1001" i="1"/>
  <c r="AQ1001" i="1" s="1"/>
  <c r="AO1001" i="1"/>
  <c r="AL1001" i="1"/>
  <c r="AM1001" i="1" s="1"/>
  <c r="AK1001" i="1"/>
  <c r="AH1001" i="1"/>
  <c r="AI1001" i="1" s="1"/>
  <c r="AG1001" i="1"/>
  <c r="AE1001" i="1"/>
  <c r="AD1001" i="1"/>
  <c r="AC1001" i="1"/>
  <c r="AA1001" i="1"/>
  <c r="Z1001" i="1"/>
  <c r="Y1001" i="1"/>
  <c r="V1001" i="1"/>
  <c r="W1001" i="1" s="1"/>
  <c r="U1001" i="1"/>
  <c r="S1001" i="1"/>
  <c r="R1001" i="1"/>
  <c r="O1001" i="1" s="1"/>
  <c r="Q1001" i="1"/>
  <c r="N1001" i="1"/>
  <c r="M1001" i="1"/>
  <c r="J1001" i="1"/>
  <c r="K1001" i="1" s="1"/>
  <c r="I1001" i="1"/>
  <c r="F1001" i="1"/>
  <c r="G1001" i="1" s="1"/>
  <c r="E1001" i="1"/>
  <c r="BN1000" i="1"/>
  <c r="BL1000" i="1"/>
  <c r="BJ1000" i="1"/>
  <c r="BM1000" i="1" s="1"/>
  <c r="BI1000" i="1"/>
  <c r="BF1000" i="1"/>
  <c r="BG1000" i="1" s="1"/>
  <c r="BE1000" i="1"/>
  <c r="BB1000" i="1"/>
  <c r="BC1000" i="1" s="1"/>
  <c r="BA1000" i="1"/>
  <c r="AY1000" i="1"/>
  <c r="AX1000" i="1"/>
  <c r="AW1000" i="1"/>
  <c r="AU1000" i="1"/>
  <c r="AT1000" i="1"/>
  <c r="AS1000" i="1"/>
  <c r="AP1000" i="1"/>
  <c r="AQ1000" i="1" s="1"/>
  <c r="AO1000" i="1"/>
  <c r="AM1000" i="1"/>
  <c r="AL1000" i="1"/>
  <c r="AI1000" i="1" s="1"/>
  <c r="AK1000" i="1"/>
  <c r="AH1000" i="1"/>
  <c r="AG1000" i="1"/>
  <c r="AD1000" i="1"/>
  <c r="AE1000" i="1" s="1"/>
  <c r="AC1000" i="1"/>
  <c r="Z1000" i="1"/>
  <c r="AA1000" i="1" s="1"/>
  <c r="Y1000" i="1"/>
  <c r="V1000" i="1"/>
  <c r="W1000" i="1" s="1"/>
  <c r="U1000" i="1"/>
  <c r="S1000" i="1"/>
  <c r="R1000" i="1"/>
  <c r="Q1000" i="1"/>
  <c r="O1000" i="1"/>
  <c r="N1000" i="1"/>
  <c r="M1000" i="1"/>
  <c r="J1000" i="1"/>
  <c r="K1000" i="1" s="1"/>
  <c r="I1000" i="1"/>
  <c r="G1000" i="1"/>
  <c r="F1000" i="1"/>
  <c r="E1000" i="1"/>
  <c r="BN999" i="1"/>
  <c r="BL999" i="1"/>
  <c r="BJ999" i="1"/>
  <c r="BM999" i="1" s="1"/>
  <c r="BI999" i="1"/>
  <c r="BG999" i="1"/>
  <c r="BF999" i="1"/>
  <c r="BC999" i="1" s="1"/>
  <c r="BE999" i="1"/>
  <c r="BB999" i="1"/>
  <c r="BA999" i="1"/>
  <c r="AX999" i="1"/>
  <c r="AY999" i="1" s="1"/>
  <c r="AW999" i="1"/>
  <c r="AT999" i="1"/>
  <c r="AU999" i="1" s="1"/>
  <c r="AS999" i="1"/>
  <c r="AP999" i="1"/>
  <c r="AQ999" i="1" s="1"/>
  <c r="AO999" i="1"/>
  <c r="AM999" i="1"/>
  <c r="AL999" i="1"/>
  <c r="AK999" i="1"/>
  <c r="AI999" i="1"/>
  <c r="AH999" i="1"/>
  <c r="AG999" i="1"/>
  <c r="AD999" i="1"/>
  <c r="AE999" i="1" s="1"/>
  <c r="AC999" i="1"/>
  <c r="AA999" i="1"/>
  <c r="Z999" i="1"/>
  <c r="W999" i="1" s="1"/>
  <c r="Y999" i="1"/>
  <c r="V999" i="1"/>
  <c r="U999" i="1"/>
  <c r="R999" i="1"/>
  <c r="S999" i="1" s="1"/>
  <c r="Q999" i="1"/>
  <c r="N999" i="1"/>
  <c r="O999" i="1" s="1"/>
  <c r="M999" i="1"/>
  <c r="J999" i="1"/>
  <c r="K999" i="1" s="1"/>
  <c r="I999" i="1"/>
  <c r="G999" i="1"/>
  <c r="F999" i="1"/>
  <c r="E999" i="1"/>
  <c r="BN998" i="1"/>
  <c r="BL998" i="1"/>
  <c r="BJ998" i="1"/>
  <c r="BM998" i="1" s="1"/>
  <c r="BI998" i="1"/>
  <c r="BG998" i="1"/>
  <c r="BF998" i="1"/>
  <c r="BE998" i="1"/>
  <c r="BC998" i="1"/>
  <c r="BB998" i="1"/>
  <c r="BA998" i="1"/>
  <c r="AX998" i="1"/>
  <c r="AY998" i="1" s="1"/>
  <c r="AW998" i="1"/>
  <c r="AU998" i="1"/>
  <c r="AT998" i="1"/>
  <c r="AQ998" i="1" s="1"/>
  <c r="AS998" i="1"/>
  <c r="AP998" i="1"/>
  <c r="AO998" i="1"/>
  <c r="AL998" i="1"/>
  <c r="AM998" i="1" s="1"/>
  <c r="AK998" i="1"/>
  <c r="AH998" i="1"/>
  <c r="AI998" i="1" s="1"/>
  <c r="AG998" i="1"/>
  <c r="AD998" i="1"/>
  <c r="AE998" i="1" s="1"/>
  <c r="AC998" i="1"/>
  <c r="AA998" i="1"/>
  <c r="Z998" i="1"/>
  <c r="Y998" i="1"/>
  <c r="W998" i="1"/>
  <c r="V998" i="1"/>
  <c r="U998" i="1"/>
  <c r="R998" i="1"/>
  <c r="S998" i="1" s="1"/>
  <c r="Q998" i="1"/>
  <c r="O998" i="1"/>
  <c r="N998" i="1"/>
  <c r="K998" i="1" s="1"/>
  <c r="M998" i="1"/>
  <c r="J998" i="1"/>
  <c r="I998" i="1"/>
  <c r="F998" i="1"/>
  <c r="G998" i="1" s="1"/>
  <c r="E998" i="1"/>
  <c r="BN997" i="1"/>
  <c r="BM997" i="1"/>
  <c r="BL997" i="1"/>
  <c r="BJ997" i="1"/>
  <c r="BI997" i="1"/>
  <c r="BF997" i="1"/>
  <c r="BG997" i="1" s="1"/>
  <c r="BE997" i="1"/>
  <c r="BB997" i="1"/>
  <c r="BC997" i="1" s="1"/>
  <c r="BA997" i="1"/>
  <c r="AX997" i="1"/>
  <c r="AW997" i="1"/>
  <c r="AU997" i="1"/>
  <c r="AT997" i="1"/>
  <c r="AS997" i="1"/>
  <c r="AQ997" i="1"/>
  <c r="AP997" i="1"/>
  <c r="AO997" i="1"/>
  <c r="AL997" i="1"/>
  <c r="AM997" i="1" s="1"/>
  <c r="AK997" i="1"/>
  <c r="AI997" i="1"/>
  <c r="AH997" i="1"/>
  <c r="AE997" i="1" s="1"/>
  <c r="AG997" i="1"/>
  <c r="AD997" i="1"/>
  <c r="AC997" i="1"/>
  <c r="Z997" i="1"/>
  <c r="AA997" i="1" s="1"/>
  <c r="Y997" i="1"/>
  <c r="V997" i="1"/>
  <c r="W997" i="1" s="1"/>
  <c r="U997" i="1"/>
  <c r="R997" i="1"/>
  <c r="S997" i="1" s="1"/>
  <c r="Q997" i="1"/>
  <c r="O997" i="1"/>
  <c r="N997" i="1"/>
  <c r="M997" i="1"/>
  <c r="K997" i="1"/>
  <c r="J997" i="1"/>
  <c r="I997" i="1"/>
  <c r="F997" i="1"/>
  <c r="G997" i="1" s="1"/>
  <c r="E997" i="1"/>
  <c r="BN996" i="1"/>
  <c r="BM996" i="1" s="1"/>
  <c r="BL996" i="1"/>
  <c r="BJ996" i="1"/>
  <c r="BI996" i="1"/>
  <c r="BF996" i="1"/>
  <c r="BG996" i="1" s="1"/>
  <c r="BE996" i="1"/>
  <c r="BC996" i="1"/>
  <c r="BB996" i="1"/>
  <c r="AY996" i="1" s="1"/>
  <c r="BA996" i="1"/>
  <c r="AX996" i="1"/>
  <c r="AW996" i="1"/>
  <c r="AT996" i="1"/>
  <c r="AU996" i="1" s="1"/>
  <c r="AS996" i="1"/>
  <c r="AP996" i="1"/>
  <c r="AQ996" i="1" s="1"/>
  <c r="AO996" i="1"/>
  <c r="AL996" i="1"/>
  <c r="AM996" i="1" s="1"/>
  <c r="AK996" i="1"/>
  <c r="AI996" i="1"/>
  <c r="AH996" i="1"/>
  <c r="AG996" i="1"/>
  <c r="AE996" i="1"/>
  <c r="AD996" i="1"/>
  <c r="AC996" i="1"/>
  <c r="Z996" i="1"/>
  <c r="AA996" i="1" s="1"/>
  <c r="Y996" i="1"/>
  <c r="W996" i="1"/>
  <c r="V996" i="1"/>
  <c r="S996" i="1" s="1"/>
  <c r="U996" i="1"/>
  <c r="R996" i="1"/>
  <c r="Q996" i="1"/>
  <c r="N996" i="1"/>
  <c r="O996" i="1" s="1"/>
  <c r="M996" i="1"/>
  <c r="J996" i="1"/>
  <c r="K996" i="1" s="1"/>
  <c r="I996" i="1"/>
  <c r="F996" i="1"/>
  <c r="G996" i="1" s="1"/>
  <c r="E996" i="1"/>
  <c r="BN995" i="1"/>
  <c r="BL995" i="1"/>
  <c r="BJ995" i="1"/>
  <c r="BM995" i="1" s="1"/>
  <c r="BI995" i="1"/>
  <c r="BF995" i="1"/>
  <c r="BE995" i="1"/>
  <c r="BC995" i="1"/>
  <c r="BB995" i="1"/>
  <c r="BA995" i="1"/>
  <c r="AY995" i="1"/>
  <c r="AX995" i="1"/>
  <c r="AW995" i="1"/>
  <c r="AT995" i="1"/>
  <c r="AU995" i="1" s="1"/>
  <c r="AS995" i="1"/>
  <c r="AQ995" i="1"/>
  <c r="AP995" i="1"/>
  <c r="AM995" i="1" s="1"/>
  <c r="AO995" i="1"/>
  <c r="AL995" i="1"/>
  <c r="AK995" i="1"/>
  <c r="AH995" i="1"/>
  <c r="AI995" i="1" s="1"/>
  <c r="AG995" i="1"/>
  <c r="AD995" i="1"/>
  <c r="AE995" i="1" s="1"/>
  <c r="AC995" i="1"/>
  <c r="Z995" i="1"/>
  <c r="Y995" i="1"/>
  <c r="W995" i="1"/>
  <c r="V995" i="1"/>
  <c r="U995" i="1"/>
  <c r="S995" i="1"/>
  <c r="R995" i="1"/>
  <c r="Q995" i="1"/>
  <c r="N995" i="1"/>
  <c r="O995" i="1" s="1"/>
  <c r="M995" i="1"/>
  <c r="K995" i="1"/>
  <c r="J995" i="1"/>
  <c r="G995" i="1" s="1"/>
  <c r="I995" i="1"/>
  <c r="F995" i="1"/>
  <c r="E995" i="1"/>
  <c r="BN994" i="1"/>
  <c r="BM994" i="1"/>
  <c r="BL994" i="1"/>
  <c r="BJ994" i="1"/>
  <c r="BG994" i="1" s="1"/>
  <c r="BI994" i="1"/>
  <c r="BF994" i="1"/>
  <c r="BE994" i="1"/>
  <c r="BB994" i="1"/>
  <c r="BC994" i="1" s="1"/>
  <c r="BA994" i="1"/>
  <c r="AX994" i="1"/>
  <c r="AY994" i="1" s="1"/>
  <c r="AW994" i="1"/>
  <c r="AT994" i="1"/>
  <c r="AS994" i="1"/>
  <c r="AQ994" i="1"/>
  <c r="AP994" i="1"/>
  <c r="AO994" i="1"/>
  <c r="AM994" i="1"/>
  <c r="AL994" i="1"/>
  <c r="AK994" i="1"/>
  <c r="AH994" i="1"/>
  <c r="AI994" i="1" s="1"/>
  <c r="AG994" i="1"/>
  <c r="AE994" i="1"/>
  <c r="AD994" i="1"/>
  <c r="AA994" i="1" s="1"/>
  <c r="AC994" i="1"/>
  <c r="Z994" i="1"/>
  <c r="Y994" i="1"/>
  <c r="V994" i="1"/>
  <c r="W994" i="1" s="1"/>
  <c r="U994" i="1"/>
  <c r="R994" i="1"/>
  <c r="S994" i="1" s="1"/>
  <c r="Q994" i="1"/>
  <c r="N994" i="1"/>
  <c r="M994" i="1"/>
  <c r="K994" i="1"/>
  <c r="J994" i="1"/>
  <c r="I994" i="1"/>
  <c r="G994" i="1"/>
  <c r="F994" i="1"/>
  <c r="E994" i="1"/>
  <c r="BN993" i="1"/>
  <c r="BM993" i="1"/>
  <c r="BL993" i="1"/>
  <c r="BK993" i="1"/>
  <c r="BJ993" i="1"/>
  <c r="BI993" i="1"/>
  <c r="BH993" i="1"/>
  <c r="BF993" i="1"/>
  <c r="BG993" i="1" s="1"/>
  <c r="BD993" i="1"/>
  <c r="BE993" i="1" s="1"/>
  <c r="BC993" i="1"/>
  <c r="BB993" i="1"/>
  <c r="AY993" i="1" s="1"/>
  <c r="BA993" i="1"/>
  <c r="AX993" i="1"/>
  <c r="AV993" i="1"/>
  <c r="AW993" i="1" s="1"/>
  <c r="AU993" i="1"/>
  <c r="AT993" i="1"/>
  <c r="AQ993" i="1" s="1"/>
  <c r="AR993" i="1"/>
  <c r="AS993" i="1" s="1"/>
  <c r="AP993" i="1"/>
  <c r="AO993" i="1"/>
  <c r="AL993" i="1"/>
  <c r="AM993" i="1" s="1"/>
  <c r="AK993" i="1"/>
  <c r="AH993" i="1"/>
  <c r="AI993" i="1" s="1"/>
  <c r="AG993" i="1"/>
  <c r="AF993" i="1"/>
  <c r="AD993" i="1"/>
  <c r="AE993" i="1" s="1"/>
  <c r="AC993" i="1"/>
  <c r="AB993" i="1"/>
  <c r="Z993" i="1"/>
  <c r="AA993" i="1" s="1"/>
  <c r="Y993" i="1"/>
  <c r="V993" i="1"/>
  <c r="U993" i="1"/>
  <c r="S993" i="1"/>
  <c r="R993" i="1"/>
  <c r="Q993" i="1"/>
  <c r="O993" i="1"/>
  <c r="N993" i="1"/>
  <c r="M993" i="1"/>
  <c r="J993" i="1"/>
  <c r="K993" i="1" s="1"/>
  <c r="I993" i="1"/>
  <c r="G993" i="1"/>
  <c r="F993" i="1"/>
  <c r="E993" i="1"/>
  <c r="BN992" i="1"/>
  <c r="BK992" i="1"/>
  <c r="BL992" i="1" s="1"/>
  <c r="BJ992" i="1"/>
  <c r="BM992" i="1" s="1"/>
  <c r="BI992" i="1"/>
  <c r="BH992" i="1"/>
  <c r="BG992" i="1"/>
  <c r="BF992" i="1"/>
  <c r="BD992" i="1"/>
  <c r="BE992" i="1" s="1"/>
  <c r="BB992" i="1"/>
  <c r="BC992" i="1" s="1"/>
  <c r="BA992" i="1"/>
  <c r="AX992" i="1"/>
  <c r="AY992" i="1" s="1"/>
  <c r="AW992" i="1"/>
  <c r="AV992" i="1"/>
  <c r="AT992" i="1"/>
  <c r="AS992" i="1"/>
  <c r="AQ992" i="1"/>
  <c r="AP992" i="1"/>
  <c r="AM992" i="1" s="1"/>
  <c r="AO992" i="1"/>
  <c r="AL992" i="1"/>
  <c r="AK992" i="1"/>
  <c r="AH992" i="1"/>
  <c r="AI992" i="1" s="1"/>
  <c r="AG992" i="1"/>
  <c r="AF992" i="1"/>
  <c r="AE992" i="1"/>
  <c r="AD992" i="1"/>
  <c r="AB992" i="1"/>
  <c r="AC992" i="1" s="1"/>
  <c r="Z992" i="1"/>
  <c r="AA992" i="1" s="1"/>
  <c r="Y992" i="1"/>
  <c r="V992" i="1"/>
  <c r="W992" i="1" s="1"/>
  <c r="U992" i="1"/>
  <c r="R992" i="1"/>
  <c r="Q992" i="1"/>
  <c r="O992" i="1"/>
  <c r="N992" i="1"/>
  <c r="M992" i="1"/>
  <c r="K992" i="1"/>
  <c r="J992" i="1"/>
  <c r="I992" i="1"/>
  <c r="F992" i="1"/>
  <c r="G992" i="1" s="1"/>
  <c r="E992" i="1"/>
  <c r="BN991" i="1"/>
  <c r="BM991" i="1" s="1"/>
  <c r="BL991" i="1"/>
  <c r="BK991" i="1"/>
  <c r="BJ991" i="1"/>
  <c r="BH991" i="1"/>
  <c r="BI991" i="1" s="1"/>
  <c r="BG991" i="1"/>
  <c r="BF991" i="1"/>
  <c r="BC991" i="1" s="1"/>
  <c r="BD991" i="1"/>
  <c r="BE991" i="1" s="1"/>
  <c r="BB991" i="1"/>
  <c r="BA991" i="1"/>
  <c r="AX991" i="1"/>
  <c r="AY991" i="1" s="1"/>
  <c r="AW991" i="1"/>
  <c r="AV991" i="1"/>
  <c r="AU991" i="1"/>
  <c r="AT991" i="1"/>
  <c r="AS991" i="1"/>
  <c r="AP991" i="1"/>
  <c r="AQ991" i="1" s="1"/>
  <c r="AO991" i="1"/>
  <c r="AM991" i="1"/>
  <c r="AL991" i="1"/>
  <c r="AI991" i="1" s="1"/>
  <c r="AK991" i="1"/>
  <c r="AH991" i="1"/>
  <c r="AF991" i="1"/>
  <c r="AG991" i="1" s="1"/>
  <c r="AE991" i="1"/>
  <c r="AD991" i="1"/>
  <c r="AA991" i="1" s="1"/>
  <c r="AB991" i="1"/>
  <c r="AC991" i="1" s="1"/>
  <c r="Z991" i="1"/>
  <c r="Y991" i="1"/>
  <c r="V991" i="1"/>
  <c r="W991" i="1" s="1"/>
  <c r="U991" i="1"/>
  <c r="R991" i="1"/>
  <c r="S991" i="1" s="1"/>
  <c r="Q991" i="1"/>
  <c r="N991" i="1"/>
  <c r="M991" i="1"/>
  <c r="K991" i="1"/>
  <c r="J991" i="1"/>
  <c r="I991" i="1"/>
  <c r="G991" i="1"/>
  <c r="F991" i="1"/>
  <c r="E991" i="1"/>
  <c r="BN990" i="1"/>
  <c r="BL990" i="1"/>
  <c r="BJ990" i="1"/>
  <c r="BM990" i="1" s="1"/>
  <c r="BI990" i="1"/>
  <c r="BG990" i="1"/>
  <c r="BF990" i="1"/>
  <c r="BE990" i="1"/>
  <c r="BB990" i="1"/>
  <c r="BC990" i="1" s="1"/>
  <c r="BA990" i="1"/>
  <c r="AY990" i="1"/>
  <c r="AX990" i="1"/>
  <c r="AU990" i="1" s="1"/>
  <c r="AW990" i="1"/>
  <c r="AT990" i="1"/>
  <c r="AS990" i="1"/>
  <c r="AP990" i="1"/>
  <c r="AQ990" i="1" s="1"/>
  <c r="AO990" i="1"/>
  <c r="AL990" i="1"/>
  <c r="AM990" i="1" s="1"/>
  <c r="AK990" i="1"/>
  <c r="AH990" i="1"/>
  <c r="AI990" i="1" s="1"/>
  <c r="AG990" i="1"/>
  <c r="AE990" i="1"/>
  <c r="AD990" i="1"/>
  <c r="AC990" i="1"/>
  <c r="AA990" i="1"/>
  <c r="Z990" i="1"/>
  <c r="Y990" i="1"/>
  <c r="V990" i="1"/>
  <c r="W990" i="1" s="1"/>
  <c r="U990" i="1"/>
  <c r="S990" i="1"/>
  <c r="R990" i="1"/>
  <c r="O990" i="1" s="1"/>
  <c r="Q990" i="1"/>
  <c r="N990" i="1"/>
  <c r="M990" i="1"/>
  <c r="J990" i="1"/>
  <c r="K990" i="1" s="1"/>
  <c r="I990" i="1"/>
  <c r="F990" i="1"/>
  <c r="G990" i="1" s="1"/>
  <c r="E990" i="1"/>
  <c r="BN989" i="1"/>
  <c r="BL989" i="1"/>
  <c r="BJ989" i="1"/>
  <c r="BM989" i="1" s="1"/>
  <c r="BI989" i="1"/>
  <c r="BF989" i="1"/>
  <c r="BG989" i="1" s="1"/>
  <c r="BE989" i="1"/>
  <c r="BB989" i="1"/>
  <c r="BA989" i="1"/>
  <c r="AY989" i="1"/>
  <c r="AX989" i="1"/>
  <c r="AW989" i="1"/>
  <c r="AU989" i="1"/>
  <c r="AT989" i="1"/>
  <c r="AS989" i="1"/>
  <c r="AP989" i="1"/>
  <c r="AQ989" i="1" s="1"/>
  <c r="AO989" i="1"/>
  <c r="AM989" i="1"/>
  <c r="AL989" i="1"/>
  <c r="AI989" i="1" s="1"/>
  <c r="AK989" i="1"/>
  <c r="AH989" i="1"/>
  <c r="AG989" i="1"/>
  <c r="AD989" i="1"/>
  <c r="AE989" i="1" s="1"/>
  <c r="AC989" i="1"/>
  <c r="Z989" i="1"/>
  <c r="AA989" i="1" s="1"/>
  <c r="Y989" i="1"/>
  <c r="V989" i="1"/>
  <c r="U989" i="1"/>
  <c r="S989" i="1"/>
  <c r="R989" i="1"/>
  <c r="Q989" i="1"/>
  <c r="O989" i="1"/>
  <c r="N989" i="1"/>
  <c r="M989" i="1"/>
  <c r="J989" i="1"/>
  <c r="K989" i="1" s="1"/>
  <c r="I989" i="1"/>
  <c r="G989" i="1"/>
  <c r="F989" i="1"/>
  <c r="E989" i="1"/>
  <c r="BN988" i="1"/>
  <c r="BL988" i="1"/>
  <c r="BJ988" i="1"/>
  <c r="BM988" i="1" s="1"/>
  <c r="BI988" i="1"/>
  <c r="BG988" i="1"/>
  <c r="BF988" i="1"/>
  <c r="BC988" i="1" s="1"/>
  <c r="BE988" i="1"/>
  <c r="BB988" i="1"/>
  <c r="BA988" i="1"/>
  <c r="AX988" i="1"/>
  <c r="AY988" i="1" s="1"/>
  <c r="AW988" i="1"/>
  <c r="AT988" i="1"/>
  <c r="AU988" i="1" s="1"/>
  <c r="AS988" i="1"/>
  <c r="AP988" i="1"/>
  <c r="AO988" i="1"/>
  <c r="AM988" i="1"/>
  <c r="AL988" i="1"/>
  <c r="AK988" i="1"/>
  <c r="AI988" i="1"/>
  <c r="AH988" i="1"/>
  <c r="AG988" i="1"/>
  <c r="AD988" i="1"/>
  <c r="AE988" i="1" s="1"/>
  <c r="AC988" i="1"/>
  <c r="AA988" i="1"/>
  <c r="Z988" i="1"/>
  <c r="W988" i="1" s="1"/>
  <c r="Y988" i="1"/>
  <c r="V988" i="1"/>
  <c r="U988" i="1"/>
  <c r="R988" i="1"/>
  <c r="S988" i="1" s="1"/>
  <c r="Q988" i="1"/>
  <c r="N988" i="1"/>
  <c r="O988" i="1" s="1"/>
  <c r="M988" i="1"/>
  <c r="J988" i="1"/>
  <c r="I988" i="1"/>
  <c r="G988" i="1"/>
  <c r="F988" i="1"/>
  <c r="E988" i="1"/>
  <c r="BN987" i="1"/>
  <c r="BL987" i="1"/>
  <c r="BJ987" i="1"/>
  <c r="BM987" i="1" s="1"/>
  <c r="BI987" i="1"/>
  <c r="BG987" i="1"/>
  <c r="BF987" i="1"/>
  <c r="BE987" i="1"/>
  <c r="BC987" i="1"/>
  <c r="BB987" i="1"/>
  <c r="BA987" i="1"/>
  <c r="AX987" i="1"/>
  <c r="AY987" i="1" s="1"/>
  <c r="AW987" i="1"/>
  <c r="AU987" i="1"/>
  <c r="AT987" i="1"/>
  <c r="AQ987" i="1" s="1"/>
  <c r="AS987" i="1"/>
  <c r="AP987" i="1"/>
  <c r="AO987" i="1"/>
  <c r="AL987" i="1"/>
  <c r="AM987" i="1" s="1"/>
  <c r="AK987" i="1"/>
  <c r="AH987" i="1"/>
  <c r="AI987" i="1" s="1"/>
  <c r="AG987" i="1"/>
  <c r="AD987" i="1"/>
  <c r="AE987" i="1" s="1"/>
  <c r="AC987" i="1"/>
  <c r="AA987" i="1"/>
  <c r="Z987" i="1"/>
  <c r="Y987" i="1"/>
  <c r="W987" i="1"/>
  <c r="V987" i="1"/>
  <c r="U987" i="1"/>
  <c r="R987" i="1"/>
  <c r="S987" i="1" s="1"/>
  <c r="Q987" i="1"/>
  <c r="O987" i="1"/>
  <c r="N987" i="1"/>
  <c r="K987" i="1" s="1"/>
  <c r="M987" i="1"/>
  <c r="J987" i="1"/>
  <c r="I987" i="1"/>
  <c r="F987" i="1"/>
  <c r="G987" i="1" s="1"/>
  <c r="E987" i="1"/>
  <c r="BN986" i="1"/>
  <c r="BM986" i="1"/>
  <c r="BL986" i="1"/>
  <c r="BJ986" i="1"/>
  <c r="BI986" i="1"/>
  <c r="BF986" i="1"/>
  <c r="BG986" i="1" s="1"/>
  <c r="BE986" i="1"/>
  <c r="BB986" i="1"/>
  <c r="BC986" i="1" s="1"/>
  <c r="BA986" i="1"/>
  <c r="AX986" i="1"/>
  <c r="AY986" i="1" s="1"/>
  <c r="AW986" i="1"/>
  <c r="AU986" i="1"/>
  <c r="AT986" i="1"/>
  <c r="AS986" i="1"/>
  <c r="AQ986" i="1"/>
  <c r="AP986" i="1"/>
  <c r="AO986" i="1"/>
  <c r="AL986" i="1"/>
  <c r="AM986" i="1" s="1"/>
  <c r="AK986" i="1"/>
  <c r="AI986" i="1"/>
  <c r="AH986" i="1"/>
  <c r="AE986" i="1" s="1"/>
  <c r="AG986" i="1"/>
  <c r="AD986" i="1"/>
  <c r="AC986" i="1"/>
  <c r="Z986" i="1"/>
  <c r="AA986" i="1" s="1"/>
  <c r="Y986" i="1"/>
  <c r="V986" i="1"/>
  <c r="W986" i="1" s="1"/>
  <c r="U986" i="1"/>
  <c r="R986" i="1"/>
  <c r="S986" i="1" s="1"/>
  <c r="Q986" i="1"/>
  <c r="O986" i="1"/>
  <c r="N986" i="1"/>
  <c r="M986" i="1"/>
  <c r="K986" i="1"/>
  <c r="J986" i="1"/>
  <c r="I986" i="1"/>
  <c r="F986" i="1"/>
  <c r="G986" i="1" s="1"/>
  <c r="E986" i="1"/>
  <c r="BN985" i="1"/>
  <c r="BL985" i="1"/>
  <c r="BJ985" i="1"/>
  <c r="BM985" i="1" s="1"/>
  <c r="BI985" i="1"/>
  <c r="BF985" i="1"/>
  <c r="BG985" i="1" s="1"/>
  <c r="BE985" i="1"/>
  <c r="BC985" i="1"/>
  <c r="BB985" i="1"/>
  <c r="AY985" i="1" s="1"/>
  <c r="BA985" i="1"/>
  <c r="AX985" i="1"/>
  <c r="AW985" i="1"/>
  <c r="AT985" i="1"/>
  <c r="AU985" i="1" s="1"/>
  <c r="AS985" i="1"/>
  <c r="AP985" i="1"/>
  <c r="AQ985" i="1" s="1"/>
  <c r="AO985" i="1"/>
  <c r="AL985" i="1"/>
  <c r="AK985" i="1"/>
  <c r="AI985" i="1"/>
  <c r="AH985" i="1"/>
  <c r="AG985" i="1"/>
  <c r="AE985" i="1"/>
  <c r="AD985" i="1"/>
  <c r="AB985" i="1"/>
  <c r="AC985" i="1" s="1"/>
  <c r="Z985" i="1"/>
  <c r="AA985" i="1" s="1"/>
  <c r="Y985" i="1"/>
  <c r="V985" i="1"/>
  <c r="W985" i="1" s="1"/>
  <c r="U985" i="1"/>
  <c r="R985" i="1"/>
  <c r="S985" i="1" s="1"/>
  <c r="Q985" i="1"/>
  <c r="O985" i="1"/>
  <c r="N985" i="1"/>
  <c r="M985" i="1"/>
  <c r="K985" i="1"/>
  <c r="J985" i="1"/>
  <c r="I985" i="1"/>
  <c r="F985" i="1"/>
  <c r="G985" i="1" s="1"/>
  <c r="E985" i="1"/>
  <c r="D985" i="1"/>
  <c r="BN984" i="1"/>
  <c r="BM984" i="1"/>
  <c r="BL984" i="1"/>
  <c r="BJ984" i="1"/>
  <c r="BI984" i="1"/>
  <c r="BF984" i="1"/>
  <c r="BG984" i="1" s="1"/>
  <c r="BE984" i="1"/>
  <c r="BB984" i="1"/>
  <c r="BC984" i="1" s="1"/>
  <c r="BA984" i="1"/>
  <c r="AX984" i="1"/>
  <c r="AW984" i="1"/>
  <c r="AU984" i="1"/>
  <c r="AT984" i="1"/>
  <c r="AS984" i="1"/>
  <c r="AQ984" i="1"/>
  <c r="AP984" i="1"/>
  <c r="AO984" i="1"/>
  <c r="AL984" i="1"/>
  <c r="AM984" i="1" s="1"/>
  <c r="AK984" i="1"/>
  <c r="AI984" i="1"/>
  <c r="AH984" i="1"/>
  <c r="AE984" i="1" s="1"/>
  <c r="AG984" i="1"/>
  <c r="AD984" i="1"/>
  <c r="AB984" i="1"/>
  <c r="AC984" i="1" s="1"/>
  <c r="AA984" i="1"/>
  <c r="Z984" i="1"/>
  <c r="Y984" i="1"/>
  <c r="W984" i="1"/>
  <c r="V984" i="1"/>
  <c r="U984" i="1"/>
  <c r="R984" i="1"/>
  <c r="S984" i="1" s="1"/>
  <c r="Q984" i="1"/>
  <c r="O984" i="1"/>
  <c r="N984" i="1"/>
  <c r="K984" i="1" s="1"/>
  <c r="M984" i="1"/>
  <c r="J984" i="1"/>
  <c r="I984" i="1"/>
  <c r="F984" i="1"/>
  <c r="G984" i="1" s="1"/>
  <c r="E984" i="1"/>
  <c r="BN983" i="1"/>
  <c r="BM983" i="1"/>
  <c r="BL983" i="1"/>
  <c r="BJ983" i="1"/>
  <c r="BI983" i="1"/>
  <c r="BF983" i="1"/>
  <c r="BG983" i="1" s="1"/>
  <c r="BE983" i="1"/>
  <c r="BB983" i="1"/>
  <c r="BC983" i="1" s="1"/>
  <c r="BA983" i="1"/>
  <c r="AX983" i="1"/>
  <c r="AY983" i="1" s="1"/>
  <c r="AW983" i="1"/>
  <c r="AU983" i="1"/>
  <c r="AT983" i="1"/>
  <c r="AS983" i="1"/>
  <c r="AQ983" i="1"/>
  <c r="AP983" i="1"/>
  <c r="AO983" i="1"/>
  <c r="AL983" i="1"/>
  <c r="AM983" i="1" s="1"/>
  <c r="AK983" i="1"/>
  <c r="AI983" i="1"/>
  <c r="AH983" i="1"/>
  <c r="AE983" i="1" s="1"/>
  <c r="AG983" i="1"/>
  <c r="AD983" i="1"/>
  <c r="AB983" i="1"/>
  <c r="AC983" i="1" s="1"/>
  <c r="AA983" i="1"/>
  <c r="Z983" i="1"/>
  <c r="Y983" i="1"/>
  <c r="W983" i="1"/>
  <c r="V983" i="1"/>
  <c r="U983" i="1"/>
  <c r="R983" i="1"/>
  <c r="S983" i="1" s="1"/>
  <c r="Q983" i="1"/>
  <c r="O983" i="1"/>
  <c r="N983" i="1"/>
  <c r="K983" i="1" s="1"/>
  <c r="M983" i="1"/>
  <c r="J983" i="1"/>
  <c r="I983" i="1"/>
  <c r="F983" i="1"/>
  <c r="G983" i="1" s="1"/>
  <c r="E983" i="1"/>
  <c r="D983" i="1"/>
  <c r="BN982" i="1"/>
  <c r="BL982" i="1"/>
  <c r="BJ982" i="1"/>
  <c r="BI982" i="1"/>
  <c r="BG982" i="1"/>
  <c r="BF982" i="1"/>
  <c r="BE982" i="1"/>
  <c r="BC982" i="1"/>
  <c r="BB982" i="1"/>
  <c r="BA982" i="1"/>
  <c r="AX982" i="1"/>
  <c r="AY982" i="1" s="1"/>
  <c r="AW982" i="1"/>
  <c r="AU982" i="1"/>
  <c r="AT982" i="1"/>
  <c r="AQ982" i="1" s="1"/>
  <c r="AS982" i="1"/>
  <c r="AP982" i="1"/>
  <c r="AO982" i="1"/>
  <c r="AL982" i="1"/>
  <c r="AM982" i="1" s="1"/>
  <c r="AK982" i="1"/>
  <c r="AH982" i="1"/>
  <c r="AI982" i="1" s="1"/>
  <c r="AG982" i="1"/>
  <c r="AD982" i="1"/>
  <c r="AC982" i="1"/>
  <c r="AA982" i="1"/>
  <c r="Z982" i="1"/>
  <c r="Y982" i="1"/>
  <c r="W982" i="1"/>
  <c r="V982" i="1"/>
  <c r="U982" i="1"/>
  <c r="R982" i="1"/>
  <c r="S982" i="1" s="1"/>
  <c r="Q982" i="1"/>
  <c r="O982" i="1"/>
  <c r="N982" i="1"/>
  <c r="K982" i="1" s="1"/>
  <c r="M982" i="1"/>
  <c r="J982" i="1"/>
  <c r="I982" i="1"/>
  <c r="F982" i="1"/>
  <c r="G982" i="1" s="1"/>
  <c r="E982" i="1"/>
  <c r="BN981" i="1"/>
  <c r="BM981" i="1"/>
  <c r="BL981" i="1"/>
  <c r="BJ981" i="1"/>
  <c r="BI981" i="1"/>
  <c r="BF981" i="1"/>
  <c r="BG981" i="1" s="1"/>
  <c r="BE981" i="1"/>
  <c r="BB981" i="1"/>
  <c r="BC981" i="1" s="1"/>
  <c r="BA981" i="1"/>
  <c r="AX981" i="1"/>
  <c r="AW981" i="1"/>
  <c r="AU981" i="1"/>
  <c r="AT981" i="1"/>
  <c r="AS981" i="1"/>
  <c r="AQ981" i="1"/>
  <c r="AP981" i="1"/>
  <c r="AO981" i="1"/>
  <c r="AL981" i="1"/>
  <c r="AM981" i="1" s="1"/>
  <c r="AK981" i="1"/>
  <c r="AI981" i="1"/>
  <c r="AH981" i="1"/>
  <c r="AE981" i="1" s="1"/>
  <c r="AG981" i="1"/>
  <c r="AD981" i="1"/>
  <c r="AC981" i="1"/>
  <c r="Z981" i="1"/>
  <c r="AA981" i="1" s="1"/>
  <c r="Y981" i="1"/>
  <c r="V981" i="1"/>
  <c r="W981" i="1" s="1"/>
  <c r="U981" i="1"/>
  <c r="R981" i="1"/>
  <c r="Q981" i="1"/>
  <c r="O981" i="1"/>
  <c r="N981" i="1"/>
  <c r="M981" i="1"/>
  <c r="K981" i="1"/>
  <c r="J981" i="1"/>
  <c r="I981" i="1"/>
  <c r="F981" i="1"/>
  <c r="G981" i="1" s="1"/>
  <c r="E981" i="1"/>
  <c r="BN980" i="1"/>
  <c r="BM980" i="1" s="1"/>
  <c r="BL980" i="1"/>
  <c r="BJ980" i="1"/>
  <c r="BI980" i="1"/>
  <c r="BF980" i="1"/>
  <c r="BG980" i="1" s="1"/>
  <c r="BE980" i="1"/>
  <c r="BC980" i="1"/>
  <c r="BB980" i="1"/>
  <c r="AY980" i="1" s="1"/>
  <c r="BA980" i="1"/>
  <c r="AX980" i="1"/>
  <c r="AW980" i="1"/>
  <c r="AT980" i="1"/>
  <c r="AU980" i="1" s="1"/>
  <c r="AS980" i="1"/>
  <c r="AP980" i="1"/>
  <c r="AQ980" i="1" s="1"/>
  <c r="AO980" i="1"/>
  <c r="AL980" i="1"/>
  <c r="AM980" i="1" s="1"/>
  <c r="AK980" i="1"/>
  <c r="AI980" i="1"/>
  <c r="AH980" i="1"/>
  <c r="AG980" i="1"/>
  <c r="AE980" i="1"/>
  <c r="AD980" i="1"/>
  <c r="AC980" i="1"/>
  <c r="Z980" i="1"/>
  <c r="AA980" i="1" s="1"/>
  <c r="Y980" i="1"/>
  <c r="W980" i="1"/>
  <c r="V980" i="1"/>
  <c r="S980" i="1" s="1"/>
  <c r="U980" i="1"/>
  <c r="R980" i="1"/>
  <c r="Q980" i="1"/>
  <c r="N980" i="1"/>
  <c r="O980" i="1" s="1"/>
  <c r="M980" i="1"/>
  <c r="J980" i="1"/>
  <c r="K980" i="1" s="1"/>
  <c r="I980" i="1"/>
  <c r="F980" i="1"/>
  <c r="G980" i="1" s="1"/>
  <c r="E980" i="1"/>
  <c r="BN979" i="1"/>
  <c r="BL979" i="1"/>
  <c r="BJ979" i="1"/>
  <c r="BM979" i="1" s="1"/>
  <c r="BI979" i="1"/>
  <c r="BF979" i="1"/>
  <c r="BG979" i="1" s="1"/>
  <c r="BE979" i="1"/>
  <c r="BC979" i="1"/>
  <c r="BB979" i="1"/>
  <c r="BA979" i="1"/>
  <c r="AY979" i="1"/>
  <c r="AX979" i="1"/>
  <c r="AW979" i="1"/>
  <c r="AT979" i="1"/>
  <c r="AU979" i="1" s="1"/>
  <c r="AS979" i="1"/>
  <c r="AQ979" i="1"/>
  <c r="AP979" i="1"/>
  <c r="AO979" i="1"/>
  <c r="AM979" i="1"/>
  <c r="AL979" i="1"/>
  <c r="AK979" i="1"/>
  <c r="AH979" i="1"/>
  <c r="AI979" i="1" s="1"/>
  <c r="AG979" i="1"/>
  <c r="AD979" i="1"/>
  <c r="AE979" i="1" s="1"/>
  <c r="AC979" i="1"/>
  <c r="Z979" i="1"/>
  <c r="Y979" i="1"/>
  <c r="W979" i="1"/>
  <c r="V979" i="1"/>
  <c r="U979" i="1"/>
  <c r="S979" i="1"/>
  <c r="R979" i="1"/>
  <c r="Q979" i="1"/>
  <c r="N979" i="1"/>
  <c r="O979" i="1" s="1"/>
  <c r="M979" i="1"/>
  <c r="K979" i="1"/>
  <c r="J979" i="1"/>
  <c r="I979" i="1"/>
  <c r="G979" i="1"/>
  <c r="F979" i="1"/>
  <c r="E979" i="1"/>
  <c r="BN978" i="1"/>
  <c r="BM978" i="1"/>
  <c r="BL978" i="1"/>
  <c r="BJ978" i="1"/>
  <c r="BI978" i="1"/>
  <c r="BG978" i="1"/>
  <c r="BF978" i="1"/>
  <c r="BE978" i="1"/>
  <c r="BB978" i="1"/>
  <c r="BC978" i="1" s="1"/>
  <c r="BA978" i="1"/>
  <c r="AX978" i="1"/>
  <c r="AY978" i="1" s="1"/>
  <c r="AW978" i="1"/>
  <c r="AT978" i="1"/>
  <c r="AU978" i="1" s="1"/>
  <c r="AS978" i="1"/>
  <c r="AQ978" i="1"/>
  <c r="AP978" i="1"/>
  <c r="AO978" i="1"/>
  <c r="AM978" i="1"/>
  <c r="AL978" i="1"/>
  <c r="AK978" i="1"/>
  <c r="AH978" i="1"/>
  <c r="AI978" i="1" s="1"/>
  <c r="AG978" i="1"/>
  <c r="AE978" i="1"/>
  <c r="AD978" i="1"/>
  <c r="AC978" i="1"/>
  <c r="AA978" i="1"/>
  <c r="Z978" i="1"/>
  <c r="Y978" i="1"/>
  <c r="V978" i="1"/>
  <c r="W978" i="1" s="1"/>
  <c r="U978" i="1"/>
  <c r="R978" i="1"/>
  <c r="S978" i="1" s="1"/>
  <c r="Q978" i="1"/>
  <c r="N978" i="1"/>
  <c r="M978" i="1"/>
  <c r="K978" i="1"/>
  <c r="J978" i="1"/>
  <c r="I978" i="1"/>
  <c r="G978" i="1"/>
  <c r="F978" i="1"/>
  <c r="E978" i="1"/>
  <c r="BN977" i="1"/>
  <c r="BL977" i="1"/>
  <c r="BJ977" i="1"/>
  <c r="BM977" i="1" s="1"/>
  <c r="BI977" i="1"/>
  <c r="BG977" i="1"/>
  <c r="BF977" i="1"/>
  <c r="BE977" i="1"/>
  <c r="BB977" i="1"/>
  <c r="BC977" i="1" s="1"/>
  <c r="BA977" i="1"/>
  <c r="AY977" i="1"/>
  <c r="AX977" i="1"/>
  <c r="AW977" i="1"/>
  <c r="AU977" i="1"/>
  <c r="AT977" i="1"/>
  <c r="AS977" i="1"/>
  <c r="AP977" i="1"/>
  <c r="AQ977" i="1" s="1"/>
  <c r="AO977" i="1"/>
  <c r="AL977" i="1"/>
  <c r="AM977" i="1" s="1"/>
  <c r="AK977" i="1"/>
  <c r="AH977" i="1"/>
  <c r="AI977" i="1" s="1"/>
  <c r="AG977" i="1"/>
  <c r="AE977" i="1"/>
  <c r="AD977" i="1"/>
  <c r="AC977" i="1"/>
  <c r="AA977" i="1"/>
  <c r="Z977" i="1"/>
  <c r="Y977" i="1"/>
  <c r="V977" i="1"/>
  <c r="W977" i="1" s="1"/>
  <c r="U977" i="1"/>
  <c r="S977" i="1"/>
  <c r="R977" i="1"/>
  <c r="Q977" i="1"/>
  <c r="O977" i="1"/>
  <c r="N977" i="1"/>
  <c r="M977" i="1"/>
  <c r="J977" i="1"/>
  <c r="K977" i="1" s="1"/>
  <c r="I977" i="1"/>
  <c r="F977" i="1"/>
  <c r="G977" i="1" s="1"/>
  <c r="E977" i="1"/>
  <c r="BN976" i="1"/>
  <c r="BL976" i="1"/>
  <c r="BJ976" i="1"/>
  <c r="BM976" i="1" s="1"/>
  <c r="BI976" i="1"/>
  <c r="BF976" i="1"/>
  <c r="BG976" i="1" s="1"/>
  <c r="BE976" i="1"/>
  <c r="BB976" i="1"/>
  <c r="BA976" i="1"/>
  <c r="AY976" i="1"/>
  <c r="AX976" i="1"/>
  <c r="AW976" i="1"/>
  <c r="AU976" i="1"/>
  <c r="AT976" i="1"/>
  <c r="AS976" i="1"/>
  <c r="AP976" i="1"/>
  <c r="AQ976" i="1" s="1"/>
  <c r="AO976" i="1"/>
  <c r="AM976" i="1"/>
  <c r="AL976" i="1"/>
  <c r="AK976" i="1"/>
  <c r="AI976" i="1"/>
  <c r="AH976" i="1"/>
  <c r="AG976" i="1"/>
  <c r="AD976" i="1"/>
  <c r="AE976" i="1" s="1"/>
  <c r="AC976" i="1"/>
  <c r="Z976" i="1"/>
  <c r="AA976" i="1" s="1"/>
  <c r="Y976" i="1"/>
  <c r="V976" i="1"/>
  <c r="W976" i="1" s="1"/>
  <c r="U976" i="1"/>
  <c r="S976" i="1"/>
  <c r="R976" i="1"/>
  <c r="Q976" i="1"/>
  <c r="O976" i="1"/>
  <c r="N976" i="1"/>
  <c r="M976" i="1"/>
  <c r="J976" i="1"/>
  <c r="K976" i="1" s="1"/>
  <c r="I976" i="1"/>
  <c r="G976" i="1"/>
  <c r="F976" i="1"/>
  <c r="E976" i="1"/>
  <c r="BN975" i="1"/>
  <c r="BL975" i="1"/>
  <c r="BJ975" i="1"/>
  <c r="BM975" i="1" s="1"/>
  <c r="BI975" i="1"/>
  <c r="BG975" i="1"/>
  <c r="BF975" i="1"/>
  <c r="BE975" i="1"/>
  <c r="BC975" i="1"/>
  <c r="BB975" i="1"/>
  <c r="BA975" i="1"/>
  <c r="AX975" i="1"/>
  <c r="AY975" i="1" s="1"/>
  <c r="AW975" i="1"/>
  <c r="AT975" i="1"/>
  <c r="AU975" i="1" s="1"/>
  <c r="AS975" i="1"/>
  <c r="AP975" i="1"/>
  <c r="AQ975" i="1" s="1"/>
  <c r="AO975" i="1"/>
  <c r="AM975" i="1"/>
  <c r="AL975" i="1"/>
  <c r="AK975" i="1"/>
  <c r="AI975" i="1"/>
  <c r="AH975" i="1"/>
  <c r="AG975" i="1"/>
  <c r="AD975" i="1"/>
  <c r="AE975" i="1" s="1"/>
  <c r="AC975" i="1"/>
  <c r="AA975" i="1"/>
  <c r="Z975" i="1"/>
  <c r="Y975" i="1"/>
  <c r="W975" i="1"/>
  <c r="V975" i="1"/>
  <c r="U975" i="1"/>
  <c r="R975" i="1"/>
  <c r="S975" i="1" s="1"/>
  <c r="Q975" i="1"/>
  <c r="N975" i="1"/>
  <c r="O975" i="1" s="1"/>
  <c r="M975" i="1"/>
  <c r="J975" i="1"/>
  <c r="I975" i="1"/>
  <c r="G975" i="1"/>
  <c r="F975" i="1"/>
  <c r="E975" i="1"/>
  <c r="BN974" i="1"/>
  <c r="BL974" i="1"/>
  <c r="BJ974" i="1"/>
  <c r="BM974" i="1" s="1"/>
  <c r="BI974" i="1"/>
  <c r="BG974" i="1"/>
  <c r="BF974" i="1"/>
  <c r="BE974" i="1"/>
  <c r="BC974" i="1"/>
  <c r="BB974" i="1"/>
  <c r="BA974" i="1"/>
  <c r="AX974" i="1"/>
  <c r="AY974" i="1" s="1"/>
  <c r="AW974" i="1"/>
  <c r="AU974" i="1"/>
  <c r="AT974" i="1"/>
  <c r="AQ974" i="1" s="1"/>
  <c r="AS974" i="1"/>
  <c r="AP974" i="1"/>
  <c r="AO974" i="1"/>
  <c r="AL974" i="1"/>
  <c r="AM974" i="1" s="1"/>
  <c r="AK974" i="1"/>
  <c r="AH974" i="1"/>
  <c r="AI974" i="1" s="1"/>
  <c r="AG974" i="1"/>
  <c r="AD974" i="1"/>
  <c r="AC974" i="1"/>
  <c r="AA974" i="1"/>
  <c r="Z974" i="1"/>
  <c r="Y974" i="1"/>
  <c r="W974" i="1"/>
  <c r="V974" i="1"/>
  <c r="U974" i="1"/>
  <c r="R974" i="1"/>
  <c r="S974" i="1" s="1"/>
  <c r="Q974" i="1"/>
  <c r="O974" i="1"/>
  <c r="N974" i="1"/>
  <c r="K974" i="1" s="1"/>
  <c r="M974" i="1"/>
  <c r="J974" i="1"/>
  <c r="I974" i="1"/>
  <c r="F974" i="1"/>
  <c r="G974" i="1" s="1"/>
  <c r="E974" i="1"/>
  <c r="BN973" i="1"/>
  <c r="BM973" i="1"/>
  <c r="BL973" i="1"/>
  <c r="BJ973" i="1"/>
  <c r="BI973" i="1"/>
  <c r="BF973" i="1"/>
  <c r="BG973" i="1" s="1"/>
  <c r="BE973" i="1"/>
  <c r="BB973" i="1"/>
  <c r="BC973" i="1" s="1"/>
  <c r="BA973" i="1"/>
  <c r="AX973" i="1"/>
  <c r="AY973" i="1" s="1"/>
  <c r="AW973" i="1"/>
  <c r="AU973" i="1"/>
  <c r="AT973" i="1"/>
  <c r="AQ973" i="1" s="1"/>
  <c r="AR973" i="1"/>
  <c r="AS973" i="1" s="1"/>
  <c r="AP973" i="1"/>
  <c r="AO973" i="1"/>
  <c r="AL973" i="1"/>
  <c r="AM973" i="1" s="1"/>
  <c r="AK973" i="1"/>
  <c r="AH973" i="1"/>
  <c r="AI973" i="1" s="1"/>
  <c r="AG973" i="1"/>
  <c r="AF973" i="1"/>
  <c r="AD973" i="1"/>
  <c r="AE973" i="1" s="1"/>
  <c r="AC973" i="1"/>
  <c r="AA973" i="1"/>
  <c r="Z973" i="1"/>
  <c r="W973" i="1" s="1"/>
  <c r="Y973" i="1"/>
  <c r="V973" i="1"/>
  <c r="U973" i="1"/>
  <c r="R973" i="1"/>
  <c r="S973" i="1" s="1"/>
  <c r="Q973" i="1"/>
  <c r="N973" i="1"/>
  <c r="O973" i="1" s="1"/>
  <c r="M973" i="1"/>
  <c r="J973" i="1"/>
  <c r="K973" i="1" s="1"/>
  <c r="I973" i="1"/>
  <c r="G973" i="1"/>
  <c r="F973" i="1"/>
  <c r="E973" i="1"/>
  <c r="BN972" i="1"/>
  <c r="BL972" i="1"/>
  <c r="BJ972" i="1"/>
  <c r="BI972" i="1"/>
  <c r="BG972" i="1"/>
  <c r="BF972" i="1"/>
  <c r="BE972" i="1"/>
  <c r="BC972" i="1"/>
  <c r="BB972" i="1"/>
  <c r="BA972" i="1"/>
  <c r="AX972" i="1"/>
  <c r="AY972" i="1" s="1"/>
  <c r="AW972" i="1"/>
  <c r="AU972" i="1"/>
  <c r="AT972" i="1"/>
  <c r="AS972" i="1"/>
  <c r="AR972" i="1"/>
  <c r="AP972" i="1"/>
  <c r="AQ972" i="1" s="1"/>
  <c r="AO972" i="1"/>
  <c r="AM972" i="1"/>
  <c r="AL972" i="1"/>
  <c r="AK972" i="1"/>
  <c r="AI972" i="1"/>
  <c r="AH972" i="1"/>
  <c r="AF972" i="1"/>
  <c r="AG972" i="1" s="1"/>
  <c r="AD972" i="1"/>
  <c r="AE972" i="1" s="1"/>
  <c r="AC972" i="1"/>
  <c r="Z972" i="1"/>
  <c r="AA972" i="1" s="1"/>
  <c r="Y972" i="1"/>
  <c r="V972" i="1"/>
  <c r="W972" i="1" s="1"/>
  <c r="U972" i="1"/>
  <c r="S972" i="1"/>
  <c r="R972" i="1"/>
  <c r="Q972" i="1"/>
  <c r="O972" i="1"/>
  <c r="N972" i="1"/>
  <c r="M972" i="1"/>
  <c r="J972" i="1"/>
  <c r="K972" i="1" s="1"/>
  <c r="I972" i="1"/>
  <c r="G972" i="1"/>
  <c r="F972" i="1"/>
  <c r="E972" i="1"/>
  <c r="BN971" i="1"/>
  <c r="BL971" i="1"/>
  <c r="BJ971" i="1"/>
  <c r="BM971" i="1" s="1"/>
  <c r="BI971" i="1"/>
  <c r="BG971" i="1"/>
  <c r="BF971" i="1"/>
  <c r="BC971" i="1" s="1"/>
  <c r="BE971" i="1"/>
  <c r="BB971" i="1"/>
  <c r="BA971" i="1"/>
  <c r="AX971" i="1"/>
  <c r="AY971" i="1" s="1"/>
  <c r="AW971" i="1"/>
  <c r="AT971" i="1"/>
  <c r="AU971" i="1" s="1"/>
  <c r="AS971" i="1"/>
  <c r="AR971" i="1"/>
  <c r="AP971" i="1"/>
  <c r="AO971" i="1"/>
  <c r="AM971" i="1"/>
  <c r="AL971" i="1"/>
  <c r="AI971" i="1" s="1"/>
  <c r="AK971" i="1"/>
  <c r="AH971" i="1"/>
  <c r="AF971" i="1"/>
  <c r="AG971" i="1" s="1"/>
  <c r="AE971" i="1"/>
  <c r="AD971" i="1"/>
  <c r="AC971" i="1"/>
  <c r="AA971" i="1"/>
  <c r="Z971" i="1"/>
  <c r="Y971" i="1"/>
  <c r="V971" i="1"/>
  <c r="W971" i="1" s="1"/>
  <c r="U971" i="1"/>
  <c r="S971" i="1"/>
  <c r="R971" i="1"/>
  <c r="O971" i="1" s="1"/>
  <c r="Q971" i="1"/>
  <c r="N971" i="1"/>
  <c r="M971" i="1"/>
  <c r="J971" i="1"/>
  <c r="K971" i="1" s="1"/>
  <c r="I971" i="1"/>
  <c r="F971" i="1"/>
  <c r="G971" i="1" s="1"/>
  <c r="E971" i="1"/>
  <c r="BN970" i="1"/>
  <c r="BL970" i="1"/>
  <c r="BJ970" i="1"/>
  <c r="BM970" i="1" s="1"/>
  <c r="BI970" i="1"/>
  <c r="BF970" i="1"/>
  <c r="BG970" i="1" s="1"/>
  <c r="BE970" i="1"/>
  <c r="BB970" i="1"/>
  <c r="BA970" i="1"/>
  <c r="AY970" i="1"/>
  <c r="AX970" i="1"/>
  <c r="AW970" i="1"/>
  <c r="AU970" i="1"/>
  <c r="AT970" i="1"/>
  <c r="AS970" i="1"/>
  <c r="AP970" i="1"/>
  <c r="AQ970" i="1" s="1"/>
  <c r="AO970" i="1"/>
  <c r="AM970" i="1"/>
  <c r="AL970" i="1"/>
  <c r="AI970" i="1" s="1"/>
  <c r="AK970" i="1"/>
  <c r="AH970" i="1"/>
  <c r="AG970" i="1"/>
  <c r="AD970" i="1"/>
  <c r="AE970" i="1" s="1"/>
  <c r="AC970" i="1"/>
  <c r="Z970" i="1"/>
  <c r="AA970" i="1" s="1"/>
  <c r="Y970" i="1"/>
  <c r="V970" i="1"/>
  <c r="U970" i="1"/>
  <c r="S970" i="1"/>
  <c r="R970" i="1"/>
  <c r="Q970" i="1"/>
  <c r="O970" i="1"/>
  <c r="N970" i="1"/>
  <c r="M970" i="1"/>
  <c r="J970" i="1"/>
  <c r="K970" i="1" s="1"/>
  <c r="I970" i="1"/>
  <c r="G970" i="1"/>
  <c r="F970" i="1"/>
  <c r="E970" i="1"/>
  <c r="BN969" i="1"/>
  <c r="BL969" i="1"/>
  <c r="BJ969" i="1"/>
  <c r="BM969" i="1" s="1"/>
  <c r="BI969" i="1"/>
  <c r="BG969" i="1"/>
  <c r="BF969" i="1"/>
  <c r="BC969" i="1" s="1"/>
  <c r="BE969" i="1"/>
  <c r="BB969" i="1"/>
  <c r="BA969" i="1"/>
  <c r="AX969" i="1"/>
  <c r="AY969" i="1" s="1"/>
  <c r="AW969" i="1"/>
  <c r="AT969" i="1"/>
  <c r="AU969" i="1" s="1"/>
  <c r="AS969" i="1"/>
  <c r="AP969" i="1"/>
  <c r="AO969" i="1"/>
  <c r="AM969" i="1"/>
  <c r="AL969" i="1"/>
  <c r="AK969" i="1"/>
  <c r="AI969" i="1"/>
  <c r="AH969" i="1"/>
  <c r="AF969" i="1"/>
  <c r="AG969" i="1" s="1"/>
  <c r="AD969" i="1"/>
  <c r="AE969" i="1" s="1"/>
  <c r="AC969" i="1"/>
  <c r="Z969" i="1"/>
  <c r="AA969" i="1" s="1"/>
  <c r="Y969" i="1"/>
  <c r="V969" i="1"/>
  <c r="W969" i="1" s="1"/>
  <c r="U969" i="1"/>
  <c r="S969" i="1"/>
  <c r="R969" i="1"/>
  <c r="O969" i="1" s="1"/>
  <c r="P969" i="1"/>
  <c r="Q969" i="1" s="1"/>
  <c r="N969" i="1"/>
  <c r="M969" i="1"/>
  <c r="J969" i="1"/>
  <c r="K969" i="1" s="1"/>
  <c r="I969" i="1"/>
  <c r="F969" i="1"/>
  <c r="G969" i="1" s="1"/>
  <c r="E969" i="1"/>
  <c r="BN968" i="1"/>
  <c r="BL968" i="1"/>
  <c r="BJ968" i="1"/>
  <c r="BM968" i="1" s="1"/>
  <c r="BI968" i="1"/>
  <c r="BF968" i="1"/>
  <c r="BG968" i="1" s="1"/>
  <c r="BE968" i="1"/>
  <c r="BB968" i="1"/>
  <c r="BC968" i="1" s="1"/>
  <c r="BA968" i="1"/>
  <c r="AY968" i="1"/>
  <c r="AX968" i="1"/>
  <c r="AW968" i="1"/>
  <c r="AU968" i="1"/>
  <c r="AT968" i="1"/>
  <c r="AS968" i="1"/>
  <c r="AP968" i="1"/>
  <c r="AQ968" i="1" s="1"/>
  <c r="AO968" i="1"/>
  <c r="AM968" i="1"/>
  <c r="AL968" i="1"/>
  <c r="AI968" i="1" s="1"/>
  <c r="AK968" i="1"/>
  <c r="AH968" i="1"/>
  <c r="AF968" i="1"/>
  <c r="AG968" i="1" s="1"/>
  <c r="AE968" i="1"/>
  <c r="AD968" i="1"/>
  <c r="AC968" i="1"/>
  <c r="AA968" i="1"/>
  <c r="Z968" i="1"/>
  <c r="Y968" i="1"/>
  <c r="V968" i="1"/>
  <c r="W968" i="1" s="1"/>
  <c r="U968" i="1"/>
  <c r="S968" i="1"/>
  <c r="R968" i="1"/>
  <c r="O968" i="1" s="1"/>
  <c r="Q968" i="1"/>
  <c r="N968" i="1"/>
  <c r="M968" i="1"/>
  <c r="J968" i="1"/>
  <c r="K968" i="1" s="1"/>
  <c r="I968" i="1"/>
  <c r="F968" i="1"/>
  <c r="G968" i="1" s="1"/>
  <c r="E968" i="1"/>
  <c r="BN967" i="1"/>
  <c r="BL967" i="1"/>
  <c r="BJ967" i="1"/>
  <c r="BM967" i="1" s="1"/>
  <c r="BI967" i="1"/>
  <c r="BF967" i="1"/>
  <c r="BG967" i="1" s="1"/>
  <c r="BE967" i="1"/>
  <c r="BB967" i="1"/>
  <c r="BA967" i="1"/>
  <c r="AY967" i="1"/>
  <c r="AX967" i="1"/>
  <c r="AW967" i="1"/>
  <c r="AU967" i="1"/>
  <c r="AT967" i="1"/>
  <c r="AS967" i="1"/>
  <c r="AP967" i="1"/>
  <c r="AQ967" i="1" s="1"/>
  <c r="AO967" i="1"/>
  <c r="AM967" i="1"/>
  <c r="AL967" i="1"/>
  <c r="AI967" i="1" s="1"/>
  <c r="AK967" i="1"/>
  <c r="AH967" i="1"/>
  <c r="AF967" i="1"/>
  <c r="AG967" i="1" s="1"/>
  <c r="AE967" i="1"/>
  <c r="AD967" i="1"/>
  <c r="AC967" i="1"/>
  <c r="AA967" i="1"/>
  <c r="Z967" i="1"/>
  <c r="Y967" i="1"/>
  <c r="V967" i="1"/>
  <c r="W967" i="1" s="1"/>
  <c r="U967" i="1"/>
  <c r="S967" i="1"/>
  <c r="R967" i="1"/>
  <c r="O967" i="1" s="1"/>
  <c r="Q967" i="1"/>
  <c r="N967" i="1"/>
  <c r="M967" i="1"/>
  <c r="J967" i="1"/>
  <c r="K967" i="1" s="1"/>
  <c r="I967" i="1"/>
  <c r="F967" i="1"/>
  <c r="G967" i="1" s="1"/>
  <c r="E967" i="1"/>
  <c r="BN966" i="1"/>
  <c r="BL966" i="1"/>
  <c r="BJ966" i="1"/>
  <c r="BM966" i="1" s="1"/>
  <c r="BI966" i="1"/>
  <c r="BF966" i="1"/>
  <c r="BG966" i="1" s="1"/>
  <c r="BE966" i="1"/>
  <c r="BB966" i="1"/>
  <c r="BC966" i="1" s="1"/>
  <c r="BA966" i="1"/>
  <c r="AY966" i="1"/>
  <c r="AX966" i="1"/>
  <c r="AW966" i="1"/>
  <c r="AU966" i="1"/>
  <c r="AT966" i="1"/>
  <c r="AS966" i="1"/>
  <c r="AP966" i="1"/>
  <c r="AQ966" i="1" s="1"/>
  <c r="AO966" i="1"/>
  <c r="AM966" i="1"/>
  <c r="AL966" i="1"/>
  <c r="AI966" i="1" s="1"/>
  <c r="AK966" i="1"/>
  <c r="AH966" i="1"/>
  <c r="AG966" i="1"/>
  <c r="AD966" i="1"/>
  <c r="AE966" i="1" s="1"/>
  <c r="AC966" i="1"/>
  <c r="Z966" i="1"/>
  <c r="AA966" i="1" s="1"/>
  <c r="Y966" i="1"/>
  <c r="V966" i="1"/>
  <c r="W966" i="1" s="1"/>
  <c r="U966" i="1"/>
  <c r="S966" i="1"/>
  <c r="R966" i="1"/>
  <c r="Q966" i="1"/>
  <c r="O966" i="1"/>
  <c r="N966" i="1"/>
  <c r="M966" i="1"/>
  <c r="J966" i="1"/>
  <c r="K966" i="1" s="1"/>
  <c r="I966" i="1"/>
  <c r="G966" i="1"/>
  <c r="F966" i="1"/>
  <c r="E966" i="1"/>
  <c r="BN965" i="1"/>
  <c r="BL965" i="1"/>
  <c r="BJ965" i="1"/>
  <c r="BM965" i="1" s="1"/>
  <c r="BI965" i="1"/>
  <c r="BG965" i="1"/>
  <c r="BF965" i="1"/>
  <c r="BC965" i="1" s="1"/>
  <c r="BE965" i="1"/>
  <c r="BB965" i="1"/>
  <c r="BA965" i="1"/>
  <c r="AX965" i="1"/>
  <c r="AY965" i="1" s="1"/>
  <c r="AW965" i="1"/>
  <c r="AV965" i="1"/>
  <c r="AU965" i="1"/>
  <c r="AT965" i="1"/>
  <c r="AS965" i="1"/>
  <c r="AP965" i="1"/>
  <c r="AQ965" i="1" s="1"/>
  <c r="AO965" i="1"/>
  <c r="AM965" i="1"/>
  <c r="AL965" i="1"/>
  <c r="AI965" i="1" s="1"/>
  <c r="AK965" i="1"/>
  <c r="AH965" i="1"/>
  <c r="AF965" i="1"/>
  <c r="AG965" i="1" s="1"/>
  <c r="AE965" i="1"/>
  <c r="AD965" i="1"/>
  <c r="AA965" i="1" s="1"/>
  <c r="AB965" i="1"/>
  <c r="AC965" i="1" s="1"/>
  <c r="Z965" i="1"/>
  <c r="X965" i="1"/>
  <c r="Y965" i="1" s="1"/>
  <c r="W965" i="1"/>
  <c r="V965" i="1"/>
  <c r="U965" i="1"/>
  <c r="S965" i="1"/>
  <c r="R965" i="1"/>
  <c r="Q965" i="1"/>
  <c r="N965" i="1"/>
  <c r="O965" i="1" s="1"/>
  <c r="M965" i="1"/>
  <c r="K965" i="1"/>
  <c r="J965" i="1"/>
  <c r="G965" i="1" s="1"/>
  <c r="I965" i="1"/>
  <c r="F965" i="1"/>
  <c r="E965" i="1"/>
  <c r="BN964" i="1"/>
  <c r="BM964" i="1"/>
  <c r="BL964" i="1"/>
  <c r="BJ964" i="1"/>
  <c r="BG964" i="1" s="1"/>
  <c r="BI964" i="1"/>
  <c r="BF964" i="1"/>
  <c r="BE964" i="1"/>
  <c r="BB964" i="1"/>
  <c r="BC964" i="1" s="1"/>
  <c r="BA964" i="1"/>
  <c r="AX964" i="1"/>
  <c r="AY964" i="1" s="1"/>
  <c r="AW964" i="1"/>
  <c r="AT964" i="1"/>
  <c r="AU964" i="1" s="1"/>
  <c r="AS964" i="1"/>
  <c r="AQ964" i="1"/>
  <c r="AP964" i="1"/>
  <c r="AO964" i="1"/>
  <c r="AM964" i="1"/>
  <c r="AL964" i="1"/>
  <c r="AK964" i="1"/>
  <c r="AH964" i="1"/>
  <c r="AI964" i="1" s="1"/>
  <c r="AG964" i="1"/>
  <c r="AF964" i="1"/>
  <c r="AD964" i="1"/>
  <c r="AE964" i="1" s="1"/>
  <c r="AC964" i="1"/>
  <c r="AB964" i="1"/>
  <c r="Z964" i="1"/>
  <c r="Y964" i="1"/>
  <c r="X964" i="1"/>
  <c r="V964" i="1"/>
  <c r="W964" i="1" s="1"/>
  <c r="U964" i="1"/>
  <c r="R964" i="1"/>
  <c r="S964" i="1" s="1"/>
  <c r="Q964" i="1"/>
  <c r="O964" i="1"/>
  <c r="N964" i="1"/>
  <c r="M964" i="1"/>
  <c r="K964" i="1"/>
  <c r="J964" i="1"/>
  <c r="I964" i="1"/>
  <c r="F964" i="1"/>
  <c r="G964" i="1" s="1"/>
  <c r="E964" i="1"/>
  <c r="BN963" i="1"/>
  <c r="BM963" i="1" s="1"/>
  <c r="BL963" i="1"/>
  <c r="BJ963" i="1"/>
  <c r="BI963" i="1"/>
  <c r="BF963" i="1"/>
  <c r="BG963" i="1" s="1"/>
  <c r="BE963" i="1"/>
  <c r="BC963" i="1"/>
  <c r="BB963" i="1"/>
  <c r="AY963" i="1" s="1"/>
  <c r="BA963" i="1"/>
  <c r="AX963" i="1"/>
  <c r="AW963" i="1"/>
  <c r="AT963" i="1"/>
  <c r="AU963" i="1" s="1"/>
  <c r="AS963" i="1"/>
  <c r="AP963" i="1"/>
  <c r="AQ963" i="1" s="1"/>
  <c r="AO963" i="1"/>
  <c r="AL963" i="1"/>
  <c r="AK963" i="1"/>
  <c r="AI963" i="1"/>
  <c r="AH963" i="1"/>
  <c r="AE963" i="1" s="1"/>
  <c r="AF963" i="1"/>
  <c r="AG963" i="1" s="1"/>
  <c r="AD963" i="1"/>
  <c r="AB963" i="1"/>
  <c r="AC963" i="1" s="1"/>
  <c r="AA963" i="1"/>
  <c r="Z963" i="1"/>
  <c r="W963" i="1" s="1"/>
  <c r="X963" i="1"/>
  <c r="Y963" i="1" s="1"/>
  <c r="V963" i="1"/>
  <c r="U963" i="1"/>
  <c r="R963" i="1"/>
  <c r="S963" i="1" s="1"/>
  <c r="Q963" i="1"/>
  <c r="N963" i="1"/>
  <c r="O963" i="1" s="1"/>
  <c r="M963" i="1"/>
  <c r="J963" i="1"/>
  <c r="I963" i="1"/>
  <c r="G963" i="1"/>
  <c r="F963" i="1"/>
  <c r="E963" i="1"/>
  <c r="BN962" i="1"/>
  <c r="BL962" i="1"/>
  <c r="BJ962" i="1"/>
  <c r="BM962" i="1" s="1"/>
  <c r="BI962" i="1"/>
  <c r="BG962" i="1"/>
  <c r="BF962" i="1"/>
  <c r="BE962" i="1"/>
  <c r="BC962" i="1"/>
  <c r="BB962" i="1"/>
  <c r="BA962" i="1"/>
  <c r="AX962" i="1"/>
  <c r="AY962" i="1" s="1"/>
  <c r="AW962" i="1"/>
  <c r="AU962" i="1"/>
  <c r="AT962" i="1"/>
  <c r="AQ962" i="1" s="1"/>
  <c r="AS962" i="1"/>
  <c r="AP962" i="1"/>
  <c r="AO962" i="1"/>
  <c r="AL962" i="1"/>
  <c r="AM962" i="1" s="1"/>
  <c r="AK962" i="1"/>
  <c r="AH962" i="1"/>
  <c r="AI962" i="1" s="1"/>
  <c r="AG962" i="1"/>
  <c r="AD962" i="1"/>
  <c r="AE962" i="1" s="1"/>
  <c r="AC962" i="1"/>
  <c r="AA962" i="1"/>
  <c r="Z962" i="1"/>
  <c r="Y962" i="1"/>
  <c r="W962" i="1"/>
  <c r="V962" i="1"/>
  <c r="U962" i="1"/>
  <c r="R962" i="1"/>
  <c r="S962" i="1" s="1"/>
  <c r="Q962" i="1"/>
  <c r="O962" i="1"/>
  <c r="N962" i="1"/>
  <c r="K962" i="1" s="1"/>
  <c r="M962" i="1"/>
  <c r="J962" i="1"/>
  <c r="I962" i="1"/>
  <c r="F962" i="1"/>
  <c r="G962" i="1" s="1"/>
  <c r="E962" i="1"/>
  <c r="BN961" i="1"/>
  <c r="BM961" i="1"/>
  <c r="BL961" i="1"/>
  <c r="BK961" i="1"/>
  <c r="BJ961" i="1"/>
  <c r="BH961" i="1"/>
  <c r="BI961" i="1" s="1"/>
  <c r="BG961" i="1"/>
  <c r="BF961" i="1"/>
  <c r="BE961" i="1"/>
  <c r="BD961" i="1"/>
  <c r="BB961" i="1"/>
  <c r="BC961" i="1" s="1"/>
  <c r="AZ961" i="1"/>
  <c r="BA961" i="1" s="1"/>
  <c r="AY961" i="1"/>
  <c r="AX961" i="1"/>
  <c r="AW961" i="1"/>
  <c r="AV961" i="1"/>
  <c r="AT961" i="1"/>
  <c r="AU961" i="1" s="1"/>
  <c r="AS961" i="1"/>
  <c r="AQ961" i="1"/>
  <c r="AP961" i="1"/>
  <c r="AO961" i="1"/>
  <c r="AM961" i="1"/>
  <c r="AL961" i="1"/>
  <c r="AK961" i="1"/>
  <c r="AH961" i="1"/>
  <c r="AI961" i="1" s="1"/>
  <c r="AG961" i="1"/>
  <c r="AF961" i="1"/>
  <c r="AD961" i="1"/>
  <c r="AE961" i="1" s="1"/>
  <c r="AC961" i="1"/>
  <c r="Z961" i="1"/>
  <c r="Y961" i="1"/>
  <c r="W961" i="1"/>
  <c r="V961" i="1"/>
  <c r="U961" i="1"/>
  <c r="S961" i="1"/>
  <c r="R961" i="1"/>
  <c r="P961" i="1"/>
  <c r="Q961" i="1" s="1"/>
  <c r="N961" i="1"/>
  <c r="O961" i="1" s="1"/>
  <c r="M961" i="1"/>
  <c r="L961" i="1"/>
  <c r="K961" i="1"/>
  <c r="J961" i="1"/>
  <c r="H961" i="1"/>
  <c r="I961" i="1" s="1"/>
  <c r="F961" i="1"/>
  <c r="G961" i="1" s="1"/>
  <c r="E961" i="1"/>
  <c r="BN960" i="1"/>
  <c r="BM960" i="1"/>
  <c r="BL960" i="1"/>
  <c r="BK960" i="1"/>
  <c r="BJ960" i="1"/>
  <c r="BH960" i="1"/>
  <c r="BI960" i="1" s="1"/>
  <c r="BG960" i="1"/>
  <c r="BF960" i="1"/>
  <c r="BE960" i="1"/>
  <c r="BD960" i="1"/>
  <c r="BB960" i="1"/>
  <c r="BC960" i="1" s="1"/>
  <c r="AZ960" i="1"/>
  <c r="BA960" i="1" s="1"/>
  <c r="AY960" i="1"/>
  <c r="AX960" i="1"/>
  <c r="AW960" i="1"/>
  <c r="AV960" i="1"/>
  <c r="AT960" i="1"/>
  <c r="AU960" i="1" s="1"/>
  <c r="AS960" i="1"/>
  <c r="AQ960" i="1"/>
  <c r="AP960" i="1"/>
  <c r="AO960" i="1"/>
  <c r="AM960" i="1"/>
  <c r="AL960" i="1"/>
  <c r="AK960" i="1"/>
  <c r="AH960" i="1"/>
  <c r="AI960" i="1" s="1"/>
  <c r="AG960" i="1"/>
  <c r="AF960" i="1"/>
  <c r="AD960" i="1"/>
  <c r="AE960" i="1" s="1"/>
  <c r="AC960" i="1"/>
  <c r="Z960" i="1"/>
  <c r="AA960" i="1" s="1"/>
  <c r="Y960" i="1"/>
  <c r="W960" i="1"/>
  <c r="V960" i="1"/>
  <c r="U960" i="1"/>
  <c r="S960" i="1"/>
  <c r="R960" i="1"/>
  <c r="Q960" i="1"/>
  <c r="N960" i="1"/>
  <c r="O960" i="1" s="1"/>
  <c r="M960" i="1"/>
  <c r="K960" i="1"/>
  <c r="J960" i="1"/>
  <c r="G960" i="1" s="1"/>
  <c r="I960" i="1"/>
  <c r="F960" i="1"/>
  <c r="E960" i="1"/>
  <c r="BN959" i="1"/>
  <c r="BL959" i="1"/>
  <c r="BK959" i="1"/>
  <c r="BJ959" i="1"/>
  <c r="BM959" i="1" s="1"/>
  <c r="BI959" i="1"/>
  <c r="BH959" i="1"/>
  <c r="BF959" i="1"/>
  <c r="BE959" i="1"/>
  <c r="BD959" i="1"/>
  <c r="BB959" i="1"/>
  <c r="BC959" i="1" s="1"/>
  <c r="BA959" i="1"/>
  <c r="AZ959" i="1"/>
  <c r="AX959" i="1"/>
  <c r="AW959" i="1"/>
  <c r="AV959" i="1"/>
  <c r="AT959" i="1"/>
  <c r="AU959" i="1" s="1"/>
  <c r="AS959" i="1"/>
  <c r="AP959" i="1"/>
  <c r="AQ959" i="1" s="1"/>
  <c r="AO959" i="1"/>
  <c r="AM959" i="1"/>
  <c r="AL959" i="1"/>
  <c r="AK959" i="1"/>
  <c r="AI959" i="1"/>
  <c r="AH959" i="1"/>
  <c r="AF959" i="1"/>
  <c r="AG959" i="1" s="1"/>
  <c r="AD959" i="1"/>
  <c r="AE959" i="1" s="1"/>
  <c r="AC959" i="1"/>
  <c r="Z959" i="1"/>
  <c r="AA959" i="1" s="1"/>
  <c r="Y959" i="1"/>
  <c r="V959" i="1"/>
  <c r="W959" i="1" s="1"/>
  <c r="U959" i="1"/>
  <c r="S959" i="1"/>
  <c r="R959" i="1"/>
  <c r="Q959" i="1"/>
  <c r="O959" i="1"/>
  <c r="N959" i="1"/>
  <c r="M959" i="1"/>
  <c r="J959" i="1"/>
  <c r="K959" i="1" s="1"/>
  <c r="I959" i="1"/>
  <c r="G959" i="1"/>
  <c r="F959" i="1"/>
  <c r="E959" i="1"/>
  <c r="BN958" i="1"/>
  <c r="BL958" i="1"/>
  <c r="BJ958" i="1"/>
  <c r="BM958" i="1" s="1"/>
  <c r="BI958" i="1"/>
  <c r="BG958" i="1"/>
  <c r="BF958" i="1"/>
  <c r="BE958" i="1"/>
  <c r="BC958" i="1"/>
  <c r="BB958" i="1"/>
  <c r="BA958" i="1"/>
  <c r="AX958" i="1"/>
  <c r="AY958" i="1" s="1"/>
  <c r="AW958" i="1"/>
  <c r="AT958" i="1"/>
  <c r="AU958" i="1" s="1"/>
  <c r="AS958" i="1"/>
  <c r="AP958" i="1"/>
  <c r="AQ958" i="1" s="1"/>
  <c r="AO958" i="1"/>
  <c r="AM958" i="1"/>
  <c r="AL958" i="1"/>
  <c r="AK958" i="1"/>
  <c r="AI958" i="1"/>
  <c r="AH958" i="1"/>
  <c r="AG958" i="1"/>
  <c r="AD958" i="1"/>
  <c r="AE958" i="1" s="1"/>
  <c r="AC958" i="1"/>
  <c r="AA958" i="1"/>
  <c r="Z958" i="1"/>
  <c r="W958" i="1" s="1"/>
  <c r="Y958" i="1"/>
  <c r="V958" i="1"/>
  <c r="U958" i="1"/>
  <c r="R958" i="1"/>
  <c r="S958" i="1" s="1"/>
  <c r="Q958" i="1"/>
  <c r="N958" i="1"/>
  <c r="O958" i="1" s="1"/>
  <c r="M958" i="1"/>
  <c r="J958" i="1"/>
  <c r="K958" i="1" s="1"/>
  <c r="I958" i="1"/>
  <c r="G958" i="1"/>
  <c r="F958" i="1"/>
  <c r="E958" i="1"/>
  <c r="BN957" i="1"/>
  <c r="BL957" i="1"/>
  <c r="BJ957" i="1"/>
  <c r="BI957" i="1"/>
  <c r="BG957" i="1"/>
  <c r="BF957" i="1"/>
  <c r="BE957" i="1"/>
  <c r="BC957" i="1"/>
  <c r="BB957" i="1"/>
  <c r="BA957" i="1"/>
  <c r="AX957" i="1"/>
  <c r="AY957" i="1" s="1"/>
  <c r="AW957" i="1"/>
  <c r="AU957" i="1"/>
  <c r="AT957" i="1"/>
  <c r="AQ957" i="1" s="1"/>
  <c r="AS957" i="1"/>
  <c r="AP957" i="1"/>
  <c r="AO957" i="1"/>
  <c r="AL957" i="1"/>
  <c r="AM957" i="1" s="1"/>
  <c r="AK957" i="1"/>
  <c r="AH957" i="1"/>
  <c r="AI957" i="1" s="1"/>
  <c r="AG957" i="1"/>
  <c r="AD957" i="1"/>
  <c r="AE957" i="1" s="1"/>
  <c r="AC957" i="1"/>
  <c r="AA957" i="1"/>
  <c r="Z957" i="1"/>
  <c r="Y957" i="1"/>
  <c r="W957" i="1"/>
  <c r="V957" i="1"/>
  <c r="U957" i="1"/>
  <c r="R957" i="1"/>
  <c r="S957" i="1" s="1"/>
  <c r="Q957" i="1"/>
  <c r="O957" i="1"/>
  <c r="N957" i="1"/>
  <c r="K957" i="1" s="1"/>
  <c r="M957" i="1"/>
  <c r="J957" i="1"/>
  <c r="I957" i="1"/>
  <c r="F957" i="1"/>
  <c r="G957" i="1" s="1"/>
  <c r="E957" i="1"/>
  <c r="BN956" i="1"/>
  <c r="BM956" i="1"/>
  <c r="BL956" i="1"/>
  <c r="BJ956" i="1"/>
  <c r="BI956" i="1"/>
  <c r="BF956" i="1"/>
  <c r="BG956" i="1" s="1"/>
  <c r="BE956" i="1"/>
  <c r="BB956" i="1"/>
  <c r="BC956" i="1" s="1"/>
  <c r="BA956" i="1"/>
  <c r="AX956" i="1"/>
  <c r="AW956" i="1"/>
  <c r="AU956" i="1"/>
  <c r="AT956" i="1"/>
  <c r="AS956" i="1"/>
  <c r="AQ956" i="1"/>
  <c r="AP956" i="1"/>
  <c r="AO956" i="1"/>
  <c r="AL956" i="1"/>
  <c r="AM956" i="1" s="1"/>
  <c r="AK956" i="1"/>
  <c r="AI956" i="1"/>
  <c r="AH956" i="1"/>
  <c r="AE956" i="1" s="1"/>
  <c r="AG956" i="1"/>
  <c r="AD956" i="1"/>
  <c r="AC956" i="1"/>
  <c r="Z956" i="1"/>
  <c r="AA956" i="1" s="1"/>
  <c r="Y956" i="1"/>
  <c r="V956" i="1"/>
  <c r="W956" i="1" s="1"/>
  <c r="U956" i="1"/>
  <c r="R956" i="1"/>
  <c r="Q956" i="1"/>
  <c r="O956" i="1"/>
  <c r="N956" i="1"/>
  <c r="M956" i="1"/>
  <c r="K956" i="1"/>
  <c r="J956" i="1"/>
  <c r="I956" i="1"/>
  <c r="F956" i="1"/>
  <c r="G956" i="1" s="1"/>
  <c r="E956" i="1"/>
  <c r="BN955" i="1"/>
  <c r="BM955" i="1" s="1"/>
  <c r="BL955" i="1"/>
  <c r="BJ955" i="1"/>
  <c r="BI955" i="1"/>
  <c r="BF955" i="1"/>
  <c r="BG955" i="1" s="1"/>
  <c r="BE955" i="1"/>
  <c r="BC955" i="1"/>
  <c r="BB955" i="1"/>
  <c r="AY955" i="1" s="1"/>
  <c r="BA955" i="1"/>
  <c r="AX955" i="1"/>
  <c r="AW955" i="1"/>
  <c r="AT955" i="1"/>
  <c r="AU955" i="1" s="1"/>
  <c r="AS955" i="1"/>
  <c r="AP955" i="1"/>
  <c r="AQ955" i="1" s="1"/>
  <c r="AO955" i="1"/>
  <c r="AL955" i="1"/>
  <c r="AM955" i="1" s="1"/>
  <c r="AK955" i="1"/>
  <c r="AI955" i="1"/>
  <c r="AH955" i="1"/>
  <c r="AG955" i="1"/>
  <c r="AE955" i="1"/>
  <c r="AD955" i="1"/>
  <c r="AC955" i="1"/>
  <c r="Z955" i="1"/>
  <c r="AA955" i="1" s="1"/>
  <c r="Y955" i="1"/>
  <c r="W955" i="1"/>
  <c r="V955" i="1"/>
  <c r="S955" i="1" s="1"/>
  <c r="U955" i="1"/>
  <c r="R955" i="1"/>
  <c r="Q955" i="1"/>
  <c r="N955" i="1"/>
  <c r="O955" i="1" s="1"/>
  <c r="M955" i="1"/>
  <c r="J955" i="1"/>
  <c r="I955" i="1"/>
  <c r="F955" i="1"/>
  <c r="E955" i="1"/>
  <c r="BN954" i="1"/>
  <c r="BL954" i="1"/>
  <c r="BJ954" i="1"/>
  <c r="BI954" i="1"/>
  <c r="BF954" i="1"/>
  <c r="BE954" i="1"/>
  <c r="BC954" i="1"/>
  <c r="BB954" i="1"/>
  <c r="BA954" i="1"/>
  <c r="AY954" i="1"/>
  <c r="AX954" i="1"/>
  <c r="AW954" i="1"/>
  <c r="AT954" i="1"/>
  <c r="AU954" i="1" s="1"/>
  <c r="AS954" i="1"/>
  <c r="AQ954" i="1"/>
  <c r="AP954" i="1"/>
  <c r="AM954" i="1" s="1"/>
  <c r="AO954" i="1"/>
  <c r="AL954" i="1"/>
  <c r="AK954" i="1"/>
  <c r="AH954" i="1"/>
  <c r="AI954" i="1" s="1"/>
  <c r="AG954" i="1"/>
  <c r="AD954" i="1"/>
  <c r="AE954" i="1" s="1"/>
  <c r="AC954" i="1"/>
  <c r="Z954" i="1"/>
  <c r="Y954" i="1"/>
  <c r="W954" i="1"/>
  <c r="V954" i="1"/>
  <c r="U954" i="1"/>
  <c r="S954" i="1"/>
  <c r="R954" i="1"/>
  <c r="Q954" i="1"/>
  <c r="N954" i="1"/>
  <c r="O954" i="1" s="1"/>
  <c r="M954" i="1"/>
  <c r="K954" i="1"/>
  <c r="J954" i="1"/>
  <c r="G954" i="1" s="1"/>
  <c r="I954" i="1"/>
  <c r="F954" i="1"/>
  <c r="E954" i="1"/>
  <c r="BN953" i="1"/>
  <c r="BM953" i="1"/>
  <c r="BL953" i="1"/>
  <c r="BJ953" i="1"/>
  <c r="BG953" i="1" s="1"/>
  <c r="BI953" i="1"/>
  <c r="BF953" i="1"/>
  <c r="BE953" i="1"/>
  <c r="BB953" i="1"/>
  <c r="BC953" i="1" s="1"/>
  <c r="BA953" i="1"/>
  <c r="AX953" i="1"/>
  <c r="AW953" i="1"/>
  <c r="AT953" i="1"/>
  <c r="AU953" i="1" s="1"/>
  <c r="AS953" i="1"/>
  <c r="AQ953" i="1"/>
  <c r="AP953" i="1"/>
  <c r="AO953" i="1"/>
  <c r="AM953" i="1"/>
  <c r="AL953" i="1"/>
  <c r="AK953" i="1"/>
  <c r="AH953" i="1"/>
  <c r="AI953" i="1" s="1"/>
  <c r="AG953" i="1"/>
  <c r="AE953" i="1"/>
  <c r="AD953" i="1"/>
  <c r="AA953" i="1" s="1"/>
  <c r="AC953" i="1"/>
  <c r="Z953" i="1"/>
  <c r="Y953" i="1"/>
  <c r="V953" i="1"/>
  <c r="W953" i="1" s="1"/>
  <c r="U953" i="1"/>
  <c r="R953" i="1"/>
  <c r="Q953" i="1"/>
  <c r="N953" i="1"/>
  <c r="M953" i="1"/>
  <c r="K953" i="1"/>
  <c r="J953" i="1"/>
  <c r="I953" i="1"/>
  <c r="G953" i="1"/>
  <c r="F953" i="1"/>
  <c r="E953" i="1"/>
  <c r="BN952" i="1"/>
  <c r="BL952" i="1"/>
  <c r="BJ952" i="1"/>
  <c r="BM952" i="1" s="1"/>
  <c r="BI952" i="1"/>
  <c r="BG952" i="1"/>
  <c r="BF952" i="1"/>
  <c r="BE952" i="1"/>
  <c r="BB952" i="1"/>
  <c r="BC952" i="1" s="1"/>
  <c r="BA952" i="1"/>
  <c r="AY952" i="1"/>
  <c r="AX952" i="1"/>
  <c r="AU952" i="1" s="1"/>
  <c r="AW952" i="1"/>
  <c r="AT952" i="1"/>
  <c r="AS952" i="1"/>
  <c r="AP952" i="1"/>
  <c r="AQ952" i="1" s="1"/>
  <c r="AO952" i="1"/>
  <c r="AL952" i="1"/>
  <c r="AK952" i="1"/>
  <c r="AH952" i="1"/>
  <c r="AG952" i="1"/>
  <c r="AE952" i="1"/>
  <c r="AD952" i="1"/>
  <c r="AC952" i="1"/>
  <c r="AA952" i="1"/>
  <c r="Z952" i="1"/>
  <c r="Y952" i="1"/>
  <c r="V952" i="1"/>
  <c r="W952" i="1" s="1"/>
  <c r="U952" i="1"/>
  <c r="S952" i="1"/>
  <c r="R952" i="1"/>
  <c r="O952" i="1" s="1"/>
  <c r="Q952" i="1"/>
  <c r="N952" i="1"/>
  <c r="M952" i="1"/>
  <c r="J952" i="1"/>
  <c r="K952" i="1" s="1"/>
  <c r="I952" i="1"/>
  <c r="F952" i="1"/>
  <c r="E952" i="1"/>
  <c r="BN951" i="1"/>
  <c r="BL951" i="1"/>
  <c r="BJ951" i="1"/>
  <c r="BM951" i="1" s="1"/>
  <c r="BI951" i="1"/>
  <c r="BF951" i="1"/>
  <c r="BG951" i="1" s="1"/>
  <c r="BE951" i="1"/>
  <c r="BB951" i="1"/>
  <c r="BA951" i="1"/>
  <c r="AY951" i="1"/>
  <c r="AX951" i="1"/>
  <c r="AW951" i="1"/>
  <c r="AU951" i="1"/>
  <c r="AT951" i="1"/>
  <c r="AS951" i="1"/>
  <c r="AP951" i="1"/>
  <c r="AQ951" i="1" s="1"/>
  <c r="AO951" i="1"/>
  <c r="AM951" i="1"/>
  <c r="AL951" i="1"/>
  <c r="AI951" i="1" s="1"/>
  <c r="AK951" i="1"/>
  <c r="AH951" i="1"/>
  <c r="AG951" i="1"/>
  <c r="AD951" i="1"/>
  <c r="AE951" i="1" s="1"/>
  <c r="AC951" i="1"/>
  <c r="Z951" i="1"/>
  <c r="AA951" i="1" s="1"/>
  <c r="Y951" i="1"/>
  <c r="V951" i="1"/>
  <c r="U951" i="1"/>
  <c r="S951" i="1"/>
  <c r="R951" i="1"/>
  <c r="Q951" i="1"/>
  <c r="O951" i="1"/>
  <c r="N951" i="1"/>
  <c r="M951" i="1"/>
  <c r="J951" i="1"/>
  <c r="K951" i="1" s="1"/>
  <c r="I951" i="1"/>
  <c r="G951" i="1"/>
  <c r="F951" i="1"/>
  <c r="E951" i="1"/>
  <c r="BN950" i="1"/>
  <c r="BL950" i="1"/>
  <c r="BJ950" i="1"/>
  <c r="BM950" i="1" s="1"/>
  <c r="BI950" i="1"/>
  <c r="BG950" i="1"/>
  <c r="BF950" i="1"/>
  <c r="BC950" i="1" s="1"/>
  <c r="BE950" i="1"/>
  <c r="BB950" i="1"/>
  <c r="BA950" i="1"/>
  <c r="AX950" i="1"/>
  <c r="AY950" i="1" s="1"/>
  <c r="AW950" i="1"/>
  <c r="AT950" i="1"/>
  <c r="AS950" i="1"/>
  <c r="AP950" i="1"/>
  <c r="AO950" i="1"/>
  <c r="AM950" i="1"/>
  <c r="AL950" i="1"/>
  <c r="AK950" i="1"/>
  <c r="AI950" i="1"/>
  <c r="AH950" i="1"/>
  <c r="AG950" i="1"/>
  <c r="AD950" i="1"/>
  <c r="AE950" i="1" s="1"/>
  <c r="AC950" i="1"/>
  <c r="AA950" i="1"/>
  <c r="Z950" i="1"/>
  <c r="W950" i="1" s="1"/>
  <c r="Y950" i="1"/>
  <c r="V950" i="1"/>
  <c r="U950" i="1"/>
  <c r="R950" i="1"/>
  <c r="S950" i="1" s="1"/>
  <c r="Q950" i="1"/>
  <c r="N950" i="1"/>
  <c r="O950" i="1" s="1"/>
  <c r="M950" i="1"/>
  <c r="J950" i="1"/>
  <c r="I950" i="1"/>
  <c r="G950" i="1"/>
  <c r="F950" i="1"/>
  <c r="E950" i="1"/>
  <c r="BN949" i="1"/>
  <c r="BK949" i="1"/>
  <c r="BL949" i="1" s="1"/>
  <c r="BJ949" i="1"/>
  <c r="BI949" i="1"/>
  <c r="BG949" i="1"/>
  <c r="BF949" i="1"/>
  <c r="BC949" i="1" s="1"/>
  <c r="BE949" i="1"/>
  <c r="BB949" i="1"/>
  <c r="BA949" i="1"/>
  <c r="AX949" i="1"/>
  <c r="AY949" i="1" s="1"/>
  <c r="AW949" i="1"/>
  <c r="AT949" i="1"/>
  <c r="AS949" i="1"/>
  <c r="AP949" i="1"/>
  <c r="AQ949" i="1" s="1"/>
  <c r="AO949" i="1"/>
  <c r="AM949" i="1"/>
  <c r="AL949" i="1"/>
  <c r="AK949" i="1"/>
  <c r="AI949" i="1"/>
  <c r="AH949" i="1"/>
  <c r="AG949" i="1"/>
  <c r="AD949" i="1"/>
  <c r="AE949" i="1" s="1"/>
  <c r="AC949" i="1"/>
  <c r="AA949" i="1"/>
  <c r="Z949" i="1"/>
  <c r="W949" i="1" s="1"/>
  <c r="Y949" i="1"/>
  <c r="V949" i="1"/>
  <c r="U949" i="1"/>
  <c r="R949" i="1"/>
  <c r="S949" i="1" s="1"/>
  <c r="Q949" i="1"/>
  <c r="N949" i="1"/>
  <c r="M949" i="1"/>
  <c r="J949" i="1"/>
  <c r="I949" i="1"/>
  <c r="G949" i="1"/>
  <c r="F949" i="1"/>
  <c r="E949" i="1"/>
  <c r="BN948" i="1"/>
  <c r="BK948" i="1"/>
  <c r="BL948" i="1" s="1"/>
  <c r="BJ948" i="1"/>
  <c r="BM948" i="1" s="1"/>
  <c r="BI948" i="1"/>
  <c r="BG948" i="1"/>
  <c r="BF948" i="1"/>
  <c r="BC948" i="1" s="1"/>
  <c r="BE948" i="1"/>
  <c r="BB948" i="1"/>
  <c r="BA948" i="1"/>
  <c r="AX948" i="1"/>
  <c r="AY948" i="1" s="1"/>
  <c r="AW948" i="1"/>
  <c r="AT948" i="1"/>
  <c r="AS948" i="1"/>
  <c r="AP948" i="1"/>
  <c r="AO948" i="1"/>
  <c r="AM948" i="1"/>
  <c r="AL948" i="1"/>
  <c r="AK948" i="1"/>
  <c r="AI948" i="1"/>
  <c r="AH948" i="1"/>
  <c r="AG948" i="1"/>
  <c r="AD948" i="1"/>
  <c r="AE948" i="1" s="1"/>
  <c r="AC948" i="1"/>
  <c r="AA948" i="1"/>
  <c r="Z948" i="1"/>
  <c r="W948" i="1" s="1"/>
  <c r="Y948" i="1"/>
  <c r="V948" i="1"/>
  <c r="U948" i="1"/>
  <c r="R948" i="1"/>
  <c r="S948" i="1" s="1"/>
  <c r="Q948" i="1"/>
  <c r="N948" i="1"/>
  <c r="M948" i="1"/>
  <c r="J948" i="1"/>
  <c r="K948" i="1" s="1"/>
  <c r="I948" i="1"/>
  <c r="G948" i="1"/>
  <c r="F948" i="1"/>
  <c r="E948" i="1"/>
  <c r="BN947" i="1"/>
  <c r="BK947" i="1"/>
  <c r="BL947" i="1" s="1"/>
  <c r="BJ947" i="1"/>
  <c r="BM947" i="1" s="1"/>
  <c r="BI947" i="1"/>
  <c r="BG947" i="1"/>
  <c r="BF947" i="1"/>
  <c r="BC947" i="1" s="1"/>
  <c r="BE947" i="1"/>
  <c r="BB947" i="1"/>
  <c r="BA947" i="1"/>
  <c r="AX947" i="1"/>
  <c r="AY947" i="1" s="1"/>
  <c r="AW947" i="1"/>
  <c r="AT947" i="1"/>
  <c r="AU947" i="1" s="1"/>
  <c r="AS947" i="1"/>
  <c r="AP947" i="1"/>
  <c r="AQ947" i="1" s="1"/>
  <c r="AO947" i="1"/>
  <c r="AM947" i="1"/>
  <c r="AL947" i="1"/>
  <c r="AK947" i="1"/>
  <c r="AI947" i="1"/>
  <c r="AH947" i="1"/>
  <c r="AG947" i="1"/>
  <c r="AD947" i="1"/>
  <c r="AE947" i="1" s="1"/>
  <c r="AC947" i="1"/>
  <c r="AA947" i="1"/>
  <c r="Z947" i="1"/>
  <c r="W947" i="1" s="1"/>
  <c r="Y947" i="1"/>
  <c r="V947" i="1"/>
  <c r="U947" i="1"/>
  <c r="R947" i="1"/>
  <c r="S947" i="1" s="1"/>
  <c r="Q947" i="1"/>
  <c r="N947" i="1"/>
  <c r="M947" i="1"/>
  <c r="J947" i="1"/>
  <c r="I947" i="1"/>
  <c r="G947" i="1"/>
  <c r="F947" i="1"/>
  <c r="E947" i="1"/>
  <c r="BN946" i="1"/>
  <c r="BL946" i="1"/>
  <c r="BJ946" i="1"/>
  <c r="BM946" i="1" s="1"/>
  <c r="BI946" i="1"/>
  <c r="BG946" i="1"/>
  <c r="BF946" i="1"/>
  <c r="BE946" i="1"/>
  <c r="BC946" i="1"/>
  <c r="BB946" i="1"/>
  <c r="BA946" i="1"/>
  <c r="AX946" i="1"/>
  <c r="AY946" i="1" s="1"/>
  <c r="AW946" i="1"/>
  <c r="AU946" i="1"/>
  <c r="AT946" i="1"/>
  <c r="AQ946" i="1" s="1"/>
  <c r="AS946" i="1"/>
  <c r="AP946" i="1"/>
  <c r="AO946" i="1"/>
  <c r="AL946" i="1"/>
  <c r="AM946" i="1" s="1"/>
  <c r="AK946" i="1"/>
  <c r="AH946" i="1"/>
  <c r="AI946" i="1" s="1"/>
  <c r="AG946" i="1"/>
  <c r="AD946" i="1"/>
  <c r="AE946" i="1" s="1"/>
  <c r="AC946" i="1"/>
  <c r="AA946" i="1"/>
  <c r="Z946" i="1"/>
  <c r="Y946" i="1"/>
  <c r="W946" i="1"/>
  <c r="V946" i="1"/>
  <c r="U946" i="1"/>
  <c r="R946" i="1"/>
  <c r="S946" i="1" s="1"/>
  <c r="Q946" i="1"/>
  <c r="O946" i="1"/>
  <c r="N946" i="1"/>
  <c r="K946" i="1" s="1"/>
  <c r="M946" i="1"/>
  <c r="J946" i="1"/>
  <c r="I946" i="1"/>
  <c r="F946" i="1"/>
  <c r="G946" i="1" s="1"/>
  <c r="E946" i="1"/>
  <c r="BN945" i="1"/>
  <c r="BM945" i="1"/>
  <c r="BL945" i="1"/>
  <c r="BJ945" i="1"/>
  <c r="BI945" i="1"/>
  <c r="BF945" i="1"/>
  <c r="BG945" i="1" s="1"/>
  <c r="BE945" i="1"/>
  <c r="BB945" i="1"/>
  <c r="BC945" i="1" s="1"/>
  <c r="BA945" i="1"/>
  <c r="AX945" i="1"/>
  <c r="AW945" i="1"/>
  <c r="AU945" i="1"/>
  <c r="AT945" i="1"/>
  <c r="AS945" i="1"/>
  <c r="AQ945" i="1"/>
  <c r="AP945" i="1"/>
  <c r="AO945" i="1"/>
  <c r="AL945" i="1"/>
  <c r="AM945" i="1" s="1"/>
  <c r="AK945" i="1"/>
  <c r="AI945" i="1"/>
  <c r="AH945" i="1"/>
  <c r="AE945" i="1" s="1"/>
  <c r="AG945" i="1"/>
  <c r="AD945" i="1"/>
  <c r="AC945" i="1"/>
  <c r="Z945" i="1"/>
  <c r="AA945" i="1" s="1"/>
  <c r="Y945" i="1"/>
  <c r="V945" i="1"/>
  <c r="W945" i="1" s="1"/>
  <c r="U945" i="1"/>
  <c r="R945" i="1"/>
  <c r="S945" i="1" s="1"/>
  <c r="P945" i="1"/>
  <c r="Q945" i="1" s="1"/>
  <c r="O945" i="1"/>
  <c r="N945" i="1"/>
  <c r="K945" i="1" s="1"/>
  <c r="M945" i="1"/>
  <c r="J945" i="1"/>
  <c r="I945" i="1"/>
  <c r="F945" i="1"/>
  <c r="G945" i="1" s="1"/>
  <c r="E945" i="1"/>
  <c r="BN944" i="1"/>
  <c r="BM944" i="1"/>
  <c r="BL944" i="1"/>
  <c r="BJ944" i="1"/>
  <c r="BI944" i="1"/>
  <c r="BF944" i="1"/>
  <c r="BG944" i="1" s="1"/>
  <c r="BE944" i="1"/>
  <c r="BB944" i="1"/>
  <c r="BC944" i="1" s="1"/>
  <c r="BA944" i="1"/>
  <c r="AX944" i="1"/>
  <c r="AW944" i="1"/>
  <c r="AU944" i="1"/>
  <c r="AT944" i="1"/>
  <c r="AS944" i="1"/>
  <c r="AQ944" i="1"/>
  <c r="AP944" i="1"/>
  <c r="AO944" i="1"/>
  <c r="AL944" i="1"/>
  <c r="AM944" i="1" s="1"/>
  <c r="AK944" i="1"/>
  <c r="AI944" i="1"/>
  <c r="AH944" i="1"/>
  <c r="AE944" i="1" s="1"/>
  <c r="AG944" i="1"/>
  <c r="AD944" i="1"/>
  <c r="AC944" i="1"/>
  <c r="Z944" i="1"/>
  <c r="AA944" i="1" s="1"/>
  <c r="Y944" i="1"/>
  <c r="V944" i="1"/>
  <c r="W944" i="1" s="1"/>
  <c r="U944" i="1"/>
  <c r="R944" i="1"/>
  <c r="P944" i="1"/>
  <c r="Q944" i="1" s="1"/>
  <c r="O944" i="1"/>
  <c r="N944" i="1"/>
  <c r="M944" i="1"/>
  <c r="K944" i="1"/>
  <c r="J944" i="1"/>
  <c r="I944" i="1"/>
  <c r="F944" i="1"/>
  <c r="G944" i="1" s="1"/>
  <c r="E944" i="1"/>
  <c r="BN943" i="1"/>
  <c r="BM943" i="1"/>
  <c r="BL943" i="1"/>
  <c r="BJ943" i="1"/>
  <c r="BI943" i="1"/>
  <c r="BF943" i="1"/>
  <c r="BG943" i="1" s="1"/>
  <c r="BE943" i="1"/>
  <c r="BB943" i="1"/>
  <c r="BC943" i="1" s="1"/>
  <c r="BA943" i="1"/>
  <c r="AX943" i="1"/>
  <c r="AY943" i="1" s="1"/>
  <c r="AW943" i="1"/>
  <c r="AT943" i="1"/>
  <c r="AU943" i="1" s="1"/>
  <c r="AS943" i="1"/>
  <c r="AP943" i="1"/>
  <c r="AO943" i="1"/>
  <c r="AL943" i="1"/>
  <c r="AM943" i="1" s="1"/>
  <c r="AK943" i="1"/>
  <c r="AI943" i="1"/>
  <c r="AH943" i="1"/>
  <c r="AG943" i="1"/>
  <c r="AE943" i="1"/>
  <c r="AD943" i="1"/>
  <c r="AC943" i="1"/>
  <c r="Z943" i="1"/>
  <c r="AA943" i="1" s="1"/>
  <c r="Y943" i="1"/>
  <c r="V943" i="1"/>
  <c r="U943" i="1"/>
  <c r="R943" i="1"/>
  <c r="S943" i="1" s="1"/>
  <c r="P943" i="1"/>
  <c r="Q943" i="1" s="1"/>
  <c r="O943" i="1"/>
  <c r="N943" i="1"/>
  <c r="M943" i="1"/>
  <c r="K943" i="1"/>
  <c r="J943" i="1"/>
  <c r="I943" i="1"/>
  <c r="F943" i="1"/>
  <c r="G943" i="1" s="1"/>
  <c r="E943" i="1"/>
  <c r="BN942" i="1"/>
  <c r="BM942" i="1"/>
  <c r="BL942" i="1"/>
  <c r="BJ942" i="1"/>
  <c r="BI942" i="1"/>
  <c r="BF942" i="1"/>
  <c r="BG942" i="1" s="1"/>
  <c r="BE942" i="1"/>
  <c r="BB942" i="1"/>
  <c r="BA942" i="1"/>
  <c r="AX942" i="1"/>
  <c r="AW942" i="1"/>
  <c r="AU942" i="1"/>
  <c r="AT942" i="1"/>
  <c r="AS942" i="1"/>
  <c r="AQ942" i="1"/>
  <c r="AP942" i="1"/>
  <c r="AO942" i="1"/>
  <c r="AL942" i="1"/>
  <c r="AM942" i="1" s="1"/>
  <c r="AK942" i="1"/>
  <c r="AI942" i="1"/>
  <c r="AH942" i="1"/>
  <c r="AG942" i="1"/>
  <c r="AE942" i="1"/>
  <c r="AD942" i="1"/>
  <c r="AC942" i="1"/>
  <c r="Z942" i="1"/>
  <c r="AA942" i="1" s="1"/>
  <c r="Y942" i="1"/>
  <c r="V942" i="1"/>
  <c r="W942" i="1" s="1"/>
  <c r="U942" i="1"/>
  <c r="R942" i="1"/>
  <c r="S942" i="1" s="1"/>
  <c r="Q942" i="1"/>
  <c r="O942" i="1"/>
  <c r="N942" i="1"/>
  <c r="M942" i="1"/>
  <c r="K942" i="1"/>
  <c r="J942" i="1"/>
  <c r="I942" i="1"/>
  <c r="F942" i="1"/>
  <c r="G942" i="1" s="1"/>
  <c r="E942" i="1"/>
  <c r="BN941" i="1"/>
  <c r="BL941" i="1"/>
  <c r="BJ941" i="1"/>
  <c r="BI941" i="1"/>
  <c r="BF941" i="1"/>
  <c r="BG941" i="1" s="1"/>
  <c r="BE941" i="1"/>
  <c r="BC941" i="1"/>
  <c r="BB941" i="1"/>
  <c r="BA941" i="1"/>
  <c r="AY941" i="1"/>
  <c r="AX941" i="1"/>
  <c r="AW941" i="1"/>
  <c r="AT941" i="1"/>
  <c r="AU941" i="1" s="1"/>
  <c r="AS941" i="1"/>
  <c r="AP941" i="1"/>
  <c r="AQ941" i="1" s="1"/>
  <c r="AO941" i="1"/>
  <c r="AL941" i="1"/>
  <c r="AK941" i="1"/>
  <c r="AH941" i="1"/>
  <c r="AG941" i="1"/>
  <c r="AD941" i="1"/>
  <c r="AC941" i="1"/>
  <c r="Z941" i="1"/>
  <c r="AA941" i="1" s="1"/>
  <c r="Y941" i="1"/>
  <c r="W941" i="1"/>
  <c r="V941" i="1"/>
  <c r="U941" i="1"/>
  <c r="S941" i="1"/>
  <c r="R941" i="1"/>
  <c r="Q941" i="1"/>
  <c r="N941" i="1"/>
  <c r="O941" i="1" s="1"/>
  <c r="M941" i="1"/>
  <c r="J941" i="1"/>
  <c r="I941" i="1"/>
  <c r="F941" i="1"/>
  <c r="G941" i="1" s="1"/>
  <c r="E941" i="1"/>
  <c r="BN940" i="1"/>
  <c r="BL940" i="1"/>
  <c r="BJ940" i="1"/>
  <c r="BM940" i="1" s="1"/>
  <c r="BI940" i="1"/>
  <c r="BF940" i="1"/>
  <c r="BG940" i="1" s="1"/>
  <c r="BE940" i="1"/>
  <c r="BB940" i="1"/>
  <c r="BC940" i="1" s="1"/>
  <c r="BA940" i="1"/>
  <c r="AX940" i="1"/>
  <c r="AW940" i="1"/>
  <c r="AT940" i="1"/>
  <c r="AU940" i="1" s="1"/>
  <c r="AS940" i="1"/>
  <c r="AQ940" i="1"/>
  <c r="AP940" i="1"/>
  <c r="AO940" i="1"/>
  <c r="AM940" i="1"/>
  <c r="AL940" i="1"/>
  <c r="AK940" i="1"/>
  <c r="AH940" i="1"/>
  <c r="AI940" i="1" s="1"/>
  <c r="AG940" i="1"/>
  <c r="AD940" i="1"/>
  <c r="AC940" i="1"/>
  <c r="Z940" i="1"/>
  <c r="AA940" i="1" s="1"/>
  <c r="Y940" i="1"/>
  <c r="W940" i="1"/>
  <c r="V940" i="1"/>
  <c r="U940" i="1"/>
  <c r="S940" i="1"/>
  <c r="R940" i="1"/>
  <c r="Q940" i="1"/>
  <c r="N940" i="1"/>
  <c r="O940" i="1" s="1"/>
  <c r="M940" i="1"/>
  <c r="K940" i="1"/>
  <c r="J940" i="1"/>
  <c r="I940" i="1"/>
  <c r="G940" i="1"/>
  <c r="F940" i="1"/>
  <c r="E940" i="1"/>
  <c r="BN939" i="1"/>
  <c r="BM939" i="1"/>
  <c r="BL939" i="1"/>
  <c r="BJ939" i="1"/>
  <c r="BI939" i="1"/>
  <c r="BG939" i="1"/>
  <c r="BF939" i="1"/>
  <c r="BE939" i="1"/>
  <c r="BB939" i="1"/>
  <c r="BC939" i="1" s="1"/>
  <c r="BA939" i="1"/>
  <c r="AX939" i="1"/>
  <c r="AY939" i="1" s="1"/>
  <c r="AW939" i="1"/>
  <c r="AT939" i="1"/>
  <c r="AU939" i="1" s="1"/>
  <c r="AS939" i="1"/>
  <c r="AP939" i="1"/>
  <c r="AQ939" i="1" s="1"/>
  <c r="AO939" i="1"/>
  <c r="AL939" i="1"/>
  <c r="AK939" i="1"/>
  <c r="AH939" i="1"/>
  <c r="AI939" i="1" s="1"/>
  <c r="AG939" i="1"/>
  <c r="AE939" i="1"/>
  <c r="AD939" i="1"/>
  <c r="AC939" i="1"/>
  <c r="AA939" i="1"/>
  <c r="Z939" i="1"/>
  <c r="Y939" i="1"/>
  <c r="V939" i="1"/>
  <c r="W939" i="1" s="1"/>
  <c r="U939" i="1"/>
  <c r="R939" i="1"/>
  <c r="Q939" i="1"/>
  <c r="N939" i="1"/>
  <c r="O939" i="1" s="1"/>
  <c r="M939" i="1"/>
  <c r="K939" i="1"/>
  <c r="J939" i="1"/>
  <c r="I939" i="1"/>
  <c r="G939" i="1"/>
  <c r="F939" i="1"/>
  <c r="E939" i="1"/>
  <c r="BN938" i="1"/>
  <c r="BL938" i="1"/>
  <c r="BJ938" i="1"/>
  <c r="BM938" i="1" s="1"/>
  <c r="BI938" i="1"/>
  <c r="BG938" i="1"/>
  <c r="BF938" i="1"/>
  <c r="BE938" i="1"/>
  <c r="BB938" i="1"/>
  <c r="BC938" i="1" s="1"/>
  <c r="BA938" i="1"/>
  <c r="AY938" i="1"/>
  <c r="AX938" i="1"/>
  <c r="AW938" i="1"/>
  <c r="AU938" i="1"/>
  <c r="AT938" i="1"/>
  <c r="AS938" i="1"/>
  <c r="AP938" i="1"/>
  <c r="AQ938" i="1" s="1"/>
  <c r="AO938" i="1"/>
  <c r="AL938" i="1"/>
  <c r="AK938" i="1"/>
  <c r="AH938" i="1"/>
  <c r="AG938" i="1"/>
  <c r="AE938" i="1"/>
  <c r="AD938" i="1"/>
  <c r="AC938" i="1"/>
  <c r="AA938" i="1"/>
  <c r="Z938" i="1"/>
  <c r="Y938" i="1"/>
  <c r="V938" i="1"/>
  <c r="W938" i="1" s="1"/>
  <c r="U938" i="1"/>
  <c r="S938" i="1"/>
  <c r="R938" i="1"/>
  <c r="Q938" i="1"/>
  <c r="O938" i="1"/>
  <c r="N938" i="1"/>
  <c r="M938" i="1"/>
  <c r="J938" i="1"/>
  <c r="K938" i="1" s="1"/>
  <c r="I938" i="1"/>
  <c r="F938" i="1"/>
  <c r="G938" i="1" s="1"/>
  <c r="E938" i="1"/>
  <c r="BN937" i="1"/>
  <c r="BL937" i="1"/>
  <c r="BJ937" i="1"/>
  <c r="BM937" i="1" s="1"/>
  <c r="BI937" i="1"/>
  <c r="BF937" i="1"/>
  <c r="BE937" i="1"/>
  <c r="BB937" i="1"/>
  <c r="BC937" i="1" s="1"/>
  <c r="BA937" i="1"/>
  <c r="AY937" i="1"/>
  <c r="AX937" i="1"/>
  <c r="AW937" i="1"/>
  <c r="AU937" i="1"/>
  <c r="AT937" i="1"/>
  <c r="AS937" i="1"/>
  <c r="AP937" i="1"/>
  <c r="AQ937" i="1" s="1"/>
  <c r="AO937" i="1"/>
  <c r="AM937" i="1"/>
  <c r="AL937" i="1"/>
  <c r="AK937" i="1"/>
  <c r="AI937" i="1"/>
  <c r="AH937" i="1"/>
  <c r="AG937" i="1"/>
  <c r="AD937" i="1"/>
  <c r="AE937" i="1" s="1"/>
  <c r="AC937" i="1"/>
  <c r="Z937" i="1"/>
  <c r="AA937" i="1" s="1"/>
  <c r="Y937" i="1"/>
  <c r="V937" i="1"/>
  <c r="T937" i="1"/>
  <c r="U937" i="1" s="1"/>
  <c r="S937" i="1"/>
  <c r="R937" i="1"/>
  <c r="Q937" i="1"/>
  <c r="O937" i="1"/>
  <c r="N937" i="1"/>
  <c r="M937" i="1"/>
  <c r="K937" i="1"/>
  <c r="J937" i="1"/>
  <c r="I937" i="1"/>
  <c r="F937" i="1"/>
  <c r="G937" i="1" s="1"/>
  <c r="E937" i="1"/>
  <c r="BN936" i="1"/>
  <c r="BL936" i="1"/>
  <c r="BJ936" i="1"/>
  <c r="BM936" i="1" s="1"/>
  <c r="BI936" i="1"/>
  <c r="BF936" i="1"/>
  <c r="BG936" i="1" s="1"/>
  <c r="BE936" i="1"/>
  <c r="BB936" i="1"/>
  <c r="BC936" i="1" s="1"/>
  <c r="BA936" i="1"/>
  <c r="AX936" i="1"/>
  <c r="AY936" i="1" s="1"/>
  <c r="AW936" i="1"/>
  <c r="AT936" i="1"/>
  <c r="AS936" i="1"/>
  <c r="AP936" i="1"/>
  <c r="AO936" i="1"/>
  <c r="AL936" i="1"/>
  <c r="AK936" i="1"/>
  <c r="AI936" i="1"/>
  <c r="AH936" i="1"/>
  <c r="AG936" i="1"/>
  <c r="AE936" i="1"/>
  <c r="AD936" i="1"/>
  <c r="AC936" i="1"/>
  <c r="Z936" i="1"/>
  <c r="AA936" i="1" s="1"/>
  <c r="Y936" i="1"/>
  <c r="V936" i="1"/>
  <c r="U936" i="1"/>
  <c r="R936" i="1"/>
  <c r="Q936" i="1"/>
  <c r="N936" i="1"/>
  <c r="M936" i="1"/>
  <c r="J936" i="1"/>
  <c r="K936" i="1" s="1"/>
  <c r="I936" i="1"/>
  <c r="F936" i="1"/>
  <c r="E936" i="1"/>
  <c r="BN935" i="1"/>
  <c r="BL935" i="1"/>
  <c r="BJ935" i="1"/>
  <c r="BM935" i="1" s="1"/>
  <c r="BI935" i="1"/>
  <c r="BG935" i="1"/>
  <c r="BF935" i="1"/>
  <c r="BE935" i="1"/>
  <c r="BC935" i="1"/>
  <c r="BB935" i="1"/>
  <c r="BA935" i="1"/>
  <c r="AX935" i="1"/>
  <c r="AY935" i="1" s="1"/>
  <c r="AW935" i="1"/>
  <c r="AT935" i="1"/>
  <c r="AS935" i="1"/>
  <c r="AP935" i="1"/>
  <c r="AQ935" i="1" s="1"/>
  <c r="AO935" i="1"/>
  <c r="AM935" i="1"/>
  <c r="AL935" i="1"/>
  <c r="AK935" i="1"/>
  <c r="AI935" i="1"/>
  <c r="AH935" i="1"/>
  <c r="AG935" i="1"/>
  <c r="AD935" i="1"/>
  <c r="AE935" i="1" s="1"/>
  <c r="AC935" i="1"/>
  <c r="AA935" i="1"/>
  <c r="Z935" i="1"/>
  <c r="Y935" i="1"/>
  <c r="W935" i="1"/>
  <c r="V935" i="1"/>
  <c r="U935" i="1"/>
  <c r="S935" i="1"/>
  <c r="R935" i="1"/>
  <c r="Q935" i="1"/>
  <c r="N935" i="1"/>
  <c r="O935" i="1" s="1"/>
  <c r="M935" i="1"/>
  <c r="J935" i="1"/>
  <c r="K935" i="1" s="1"/>
  <c r="I935" i="1"/>
  <c r="G935" i="1"/>
  <c r="F935" i="1"/>
  <c r="E935" i="1"/>
  <c r="BN934" i="1"/>
  <c r="BM934" i="1" s="1"/>
  <c r="BL934" i="1"/>
  <c r="BJ934" i="1"/>
  <c r="BI934" i="1"/>
  <c r="BF934" i="1"/>
  <c r="BE934" i="1"/>
  <c r="BB934" i="1"/>
  <c r="BA934" i="1"/>
  <c r="AX934" i="1"/>
  <c r="AY934" i="1" s="1"/>
  <c r="AW934" i="1"/>
  <c r="AT934" i="1"/>
  <c r="AS934" i="1"/>
  <c r="AQ934" i="1"/>
  <c r="AP934" i="1"/>
  <c r="AO934" i="1"/>
  <c r="AM934" i="1"/>
  <c r="AL934" i="1"/>
  <c r="AK934" i="1"/>
  <c r="AH934" i="1"/>
  <c r="AI934" i="1" s="1"/>
  <c r="AG934" i="1"/>
  <c r="AD934" i="1"/>
  <c r="AC934" i="1"/>
  <c r="Z934" i="1"/>
  <c r="AA934" i="1" s="1"/>
  <c r="Y934" i="1"/>
  <c r="V934" i="1"/>
  <c r="U934" i="1"/>
  <c r="R934" i="1"/>
  <c r="S934" i="1" s="1"/>
  <c r="Q934" i="1"/>
  <c r="O934" i="1"/>
  <c r="N934" i="1"/>
  <c r="M934" i="1"/>
  <c r="K934" i="1"/>
  <c r="J934" i="1"/>
  <c r="I934" i="1"/>
  <c r="F934" i="1"/>
  <c r="G934" i="1" s="1"/>
  <c r="E934" i="1"/>
  <c r="BN933" i="1"/>
  <c r="BM933" i="1"/>
  <c r="BL933" i="1"/>
  <c r="BK933" i="1"/>
  <c r="BJ933" i="1"/>
  <c r="BH933" i="1"/>
  <c r="BI933" i="1" s="1"/>
  <c r="BG933" i="1"/>
  <c r="BF933" i="1"/>
  <c r="BE933" i="1"/>
  <c r="BD933" i="1"/>
  <c r="BB933" i="1"/>
  <c r="BC933" i="1" s="1"/>
  <c r="BA933" i="1"/>
  <c r="AX933" i="1"/>
  <c r="AY933" i="1" s="1"/>
  <c r="AW933" i="1"/>
  <c r="AT933" i="1"/>
  <c r="AR933" i="1"/>
  <c r="AS933" i="1" s="1"/>
  <c r="AQ933" i="1"/>
  <c r="AP933" i="1"/>
  <c r="AM933" i="1" s="1"/>
  <c r="AO933" i="1"/>
  <c r="AN933" i="1"/>
  <c r="AL933" i="1"/>
  <c r="AJ933" i="1"/>
  <c r="AK933" i="1" s="1"/>
  <c r="AH933" i="1"/>
  <c r="AI933" i="1" s="1"/>
  <c r="AG933" i="1"/>
  <c r="AD933" i="1"/>
  <c r="AC933" i="1"/>
  <c r="Z933" i="1"/>
  <c r="AA933" i="1" s="1"/>
  <c r="Y933" i="1"/>
  <c r="W933" i="1"/>
  <c r="V933" i="1"/>
  <c r="U933" i="1"/>
  <c r="S933" i="1"/>
  <c r="R933" i="1"/>
  <c r="Q933" i="1"/>
  <c r="N933" i="1"/>
  <c r="O933" i="1" s="1"/>
  <c r="M933" i="1"/>
  <c r="K933" i="1"/>
  <c r="J933" i="1"/>
  <c r="I933" i="1"/>
  <c r="G933" i="1"/>
  <c r="F933" i="1"/>
  <c r="E933" i="1"/>
  <c r="BN932" i="1"/>
  <c r="BL932" i="1"/>
  <c r="BK932" i="1"/>
  <c r="BJ932" i="1"/>
  <c r="BM932" i="1" s="1"/>
  <c r="BI932" i="1"/>
  <c r="BH932" i="1"/>
  <c r="BF932" i="1"/>
  <c r="BD932" i="1"/>
  <c r="BE932" i="1" s="1"/>
  <c r="BB932" i="1"/>
  <c r="BA932" i="1"/>
  <c r="AX932" i="1"/>
  <c r="AY932" i="1" s="1"/>
  <c r="AW932" i="1"/>
  <c r="AT932" i="1"/>
  <c r="AQ932" i="1" s="1"/>
  <c r="AR932" i="1"/>
  <c r="AS932" i="1" s="1"/>
  <c r="AP932" i="1"/>
  <c r="AN932" i="1"/>
  <c r="AO932" i="1" s="1"/>
  <c r="AL932" i="1"/>
  <c r="AJ932" i="1"/>
  <c r="AK932" i="1" s="1"/>
  <c r="AH932" i="1"/>
  <c r="AG932" i="1"/>
  <c r="AD932" i="1"/>
  <c r="AE932" i="1" s="1"/>
  <c r="AC932" i="1"/>
  <c r="Z932" i="1"/>
  <c r="Y932" i="1"/>
  <c r="V932" i="1"/>
  <c r="W932" i="1" s="1"/>
  <c r="U932" i="1"/>
  <c r="S932" i="1"/>
  <c r="R932" i="1"/>
  <c r="Q932" i="1"/>
  <c r="O932" i="1"/>
  <c r="N932" i="1"/>
  <c r="M932" i="1"/>
  <c r="J932" i="1"/>
  <c r="K932" i="1" s="1"/>
  <c r="I932" i="1"/>
  <c r="G932" i="1"/>
  <c r="F932" i="1"/>
  <c r="E932" i="1"/>
  <c r="BN931" i="1"/>
  <c r="BK931" i="1"/>
  <c r="BL931" i="1" s="1"/>
  <c r="BJ931" i="1"/>
  <c r="BI931" i="1"/>
  <c r="BH931" i="1"/>
  <c r="BF931" i="1"/>
  <c r="BD931" i="1"/>
  <c r="BE931" i="1" s="1"/>
  <c r="BC931" i="1"/>
  <c r="BB931" i="1"/>
  <c r="BA931" i="1"/>
  <c r="AX931" i="1"/>
  <c r="AY931" i="1" s="1"/>
  <c r="AW931" i="1"/>
  <c r="AT931" i="1"/>
  <c r="AU931" i="1" s="1"/>
  <c r="AR931" i="1"/>
  <c r="AS931" i="1" s="1"/>
  <c r="AQ931" i="1"/>
  <c r="AP931" i="1"/>
  <c r="AO931" i="1"/>
  <c r="AN931" i="1"/>
  <c r="AL931" i="1"/>
  <c r="AM931" i="1" s="1"/>
  <c r="AK931" i="1"/>
  <c r="AJ931" i="1"/>
  <c r="AI931" i="1"/>
  <c r="AH931" i="1"/>
  <c r="AG931" i="1"/>
  <c r="AE931" i="1"/>
  <c r="AD931" i="1"/>
  <c r="AC931" i="1"/>
  <c r="AA931" i="1"/>
  <c r="Z931" i="1"/>
  <c r="Y931" i="1"/>
  <c r="V931" i="1"/>
  <c r="W931" i="1" s="1"/>
  <c r="U931" i="1"/>
  <c r="R931" i="1"/>
  <c r="S931" i="1" s="1"/>
  <c r="Q931" i="1"/>
  <c r="N931" i="1"/>
  <c r="O931" i="1" s="1"/>
  <c r="M931" i="1"/>
  <c r="J931" i="1"/>
  <c r="I931" i="1"/>
  <c r="F931" i="1"/>
  <c r="G931" i="1" s="1"/>
  <c r="E931" i="1"/>
  <c r="BN930" i="1"/>
  <c r="BL930" i="1"/>
  <c r="BJ930" i="1"/>
  <c r="BM930" i="1" s="1"/>
  <c r="BI930" i="1"/>
  <c r="BF930" i="1"/>
  <c r="BG930" i="1" s="1"/>
  <c r="BE930" i="1"/>
  <c r="BC930" i="1"/>
  <c r="BB930" i="1"/>
  <c r="BA930" i="1"/>
  <c r="AY930" i="1"/>
  <c r="AX930" i="1"/>
  <c r="AW930" i="1"/>
  <c r="AU930" i="1"/>
  <c r="AT930" i="1"/>
  <c r="AS930" i="1"/>
  <c r="AP930" i="1"/>
  <c r="AQ930" i="1" s="1"/>
  <c r="AO930" i="1"/>
  <c r="AL930" i="1"/>
  <c r="AM930" i="1" s="1"/>
  <c r="AK930" i="1"/>
  <c r="AI930" i="1"/>
  <c r="AH930" i="1"/>
  <c r="AG930" i="1"/>
  <c r="AE930" i="1"/>
  <c r="AD930" i="1"/>
  <c r="AC930" i="1"/>
  <c r="Z930" i="1"/>
  <c r="AA930" i="1" s="1"/>
  <c r="Y930" i="1"/>
  <c r="V930" i="1"/>
  <c r="U930" i="1"/>
  <c r="S930" i="1"/>
  <c r="R930" i="1"/>
  <c r="Q930" i="1"/>
  <c r="O930" i="1"/>
  <c r="N930" i="1"/>
  <c r="M930" i="1"/>
  <c r="J930" i="1"/>
  <c r="K930" i="1" s="1"/>
  <c r="I930" i="1"/>
  <c r="F930" i="1"/>
  <c r="G930" i="1" s="1"/>
  <c r="E930" i="1"/>
  <c r="BN929" i="1"/>
  <c r="BM929" i="1"/>
  <c r="BL929" i="1"/>
  <c r="BJ929" i="1"/>
  <c r="BI929" i="1"/>
  <c r="BH929" i="1"/>
  <c r="BF929" i="1"/>
  <c r="BG929" i="1" s="1"/>
  <c r="BE929" i="1"/>
  <c r="BD929" i="1"/>
  <c r="BB929" i="1"/>
  <c r="BA929" i="1"/>
  <c r="AX929" i="1"/>
  <c r="AW929" i="1"/>
  <c r="AT929" i="1"/>
  <c r="AR929" i="1"/>
  <c r="AS929" i="1" s="1"/>
  <c r="AP929" i="1"/>
  <c r="AN929" i="1"/>
  <c r="AO929" i="1" s="1"/>
  <c r="AL929" i="1"/>
  <c r="AM929" i="1" s="1"/>
  <c r="AK929" i="1"/>
  <c r="AH929" i="1"/>
  <c r="AF929" i="1"/>
  <c r="AG929" i="1" s="1"/>
  <c r="AD929" i="1"/>
  <c r="AE929" i="1" s="1"/>
  <c r="AC929" i="1"/>
  <c r="AB929" i="1"/>
  <c r="Z929" i="1"/>
  <c r="X929" i="1"/>
  <c r="Y929" i="1" s="1"/>
  <c r="W929" i="1"/>
  <c r="V929" i="1"/>
  <c r="U929" i="1"/>
  <c r="R929" i="1"/>
  <c r="S929" i="1" s="1"/>
  <c r="Q929" i="1"/>
  <c r="P929" i="1"/>
  <c r="N929" i="1"/>
  <c r="M929" i="1"/>
  <c r="L929" i="1"/>
  <c r="J929" i="1"/>
  <c r="K929" i="1" s="1"/>
  <c r="I929" i="1"/>
  <c r="H929" i="1"/>
  <c r="F929" i="1"/>
  <c r="G929" i="1" s="1"/>
  <c r="E929" i="1"/>
  <c r="D929" i="1"/>
  <c r="BN928" i="1"/>
  <c r="BM928" i="1"/>
  <c r="BL928" i="1"/>
  <c r="BJ928" i="1"/>
  <c r="BH928" i="1"/>
  <c r="BI928" i="1" s="1"/>
  <c r="BG928" i="1"/>
  <c r="BF928" i="1"/>
  <c r="BE928" i="1"/>
  <c r="BC928" i="1"/>
  <c r="BB928" i="1"/>
  <c r="BA928" i="1"/>
  <c r="AX928" i="1"/>
  <c r="AY928" i="1" s="1"/>
  <c r="AW928" i="1"/>
  <c r="AT928" i="1"/>
  <c r="AR928" i="1"/>
  <c r="AS928" i="1" s="1"/>
  <c r="AP928" i="1"/>
  <c r="AQ928" i="1" s="1"/>
  <c r="AN928" i="1"/>
  <c r="AO928" i="1" s="1"/>
  <c r="AM928" i="1"/>
  <c r="AL928" i="1"/>
  <c r="AK928" i="1"/>
  <c r="AI928" i="1"/>
  <c r="AH928" i="1"/>
  <c r="AF928" i="1"/>
  <c r="AG928" i="1" s="1"/>
  <c r="AD928" i="1"/>
  <c r="AE928" i="1" s="1"/>
  <c r="AB928" i="1"/>
  <c r="AC928" i="1" s="1"/>
  <c r="Z928" i="1"/>
  <c r="Y928" i="1"/>
  <c r="W928" i="1"/>
  <c r="V928" i="1"/>
  <c r="U928" i="1"/>
  <c r="R928" i="1"/>
  <c r="S928" i="1" s="1"/>
  <c r="Q928" i="1"/>
  <c r="P928" i="1"/>
  <c r="N928" i="1"/>
  <c r="L928" i="1"/>
  <c r="M928" i="1" s="1"/>
  <c r="J928" i="1"/>
  <c r="K928" i="1" s="1"/>
  <c r="I928" i="1"/>
  <c r="H928" i="1"/>
  <c r="F928" i="1"/>
  <c r="E928" i="1"/>
  <c r="D928" i="1"/>
  <c r="BN927" i="1"/>
  <c r="BM927" i="1"/>
  <c r="BL927" i="1"/>
  <c r="BJ927" i="1"/>
  <c r="BH927" i="1"/>
  <c r="BI927" i="1" s="1"/>
  <c r="BF927" i="1"/>
  <c r="BG927" i="1" s="1"/>
  <c r="BD927" i="1"/>
  <c r="BE927" i="1" s="1"/>
  <c r="BB927" i="1"/>
  <c r="BA927" i="1"/>
  <c r="AX927" i="1"/>
  <c r="AY927" i="1" s="1"/>
  <c r="AW927" i="1"/>
  <c r="AT927" i="1"/>
  <c r="AS927" i="1"/>
  <c r="AR927" i="1"/>
  <c r="AP927" i="1"/>
  <c r="AQ927" i="1" s="1"/>
  <c r="AO927" i="1"/>
  <c r="AN927" i="1"/>
  <c r="AL927" i="1"/>
  <c r="AK927" i="1"/>
  <c r="AH927" i="1"/>
  <c r="AG927" i="1"/>
  <c r="AF927" i="1"/>
  <c r="AE927" i="1"/>
  <c r="AD927" i="1"/>
  <c r="AB927" i="1"/>
  <c r="AC927" i="1" s="1"/>
  <c r="Z927" i="1"/>
  <c r="AA927" i="1" s="1"/>
  <c r="Y927" i="1"/>
  <c r="W927" i="1"/>
  <c r="V927" i="1"/>
  <c r="U927" i="1"/>
  <c r="S927" i="1"/>
  <c r="R927" i="1"/>
  <c r="P927" i="1"/>
  <c r="Q927" i="1" s="1"/>
  <c r="N927" i="1"/>
  <c r="O927" i="1" s="1"/>
  <c r="M927" i="1"/>
  <c r="L927" i="1"/>
  <c r="K927" i="1"/>
  <c r="J927" i="1"/>
  <c r="H927" i="1"/>
  <c r="I927" i="1" s="1"/>
  <c r="G927" i="1"/>
  <c r="F927" i="1"/>
  <c r="E927" i="1"/>
  <c r="D927" i="1"/>
  <c r="BN926" i="1"/>
  <c r="BM926" i="1"/>
  <c r="BL926" i="1"/>
  <c r="BJ926" i="1"/>
  <c r="BI926" i="1"/>
  <c r="BF926" i="1"/>
  <c r="BG926" i="1" s="1"/>
  <c r="BE926" i="1"/>
  <c r="BB926" i="1"/>
  <c r="BC926" i="1" s="1"/>
  <c r="BA926" i="1"/>
  <c r="AX926" i="1"/>
  <c r="AW926" i="1"/>
  <c r="AU926" i="1"/>
  <c r="AT926" i="1"/>
  <c r="AS926" i="1"/>
  <c r="AQ926" i="1"/>
  <c r="AP926" i="1"/>
  <c r="AO926" i="1"/>
  <c r="AL926" i="1"/>
  <c r="AM926" i="1" s="1"/>
  <c r="AK926" i="1"/>
  <c r="AH926" i="1"/>
  <c r="AG926" i="1"/>
  <c r="AD926" i="1"/>
  <c r="AC926" i="1"/>
  <c r="AA926" i="1"/>
  <c r="Z926" i="1"/>
  <c r="Y926" i="1"/>
  <c r="V926" i="1"/>
  <c r="W926" i="1" s="1"/>
  <c r="U926" i="1"/>
  <c r="R926" i="1"/>
  <c r="Q926" i="1"/>
  <c r="O926" i="1"/>
  <c r="N926" i="1"/>
  <c r="M926" i="1"/>
  <c r="K926" i="1"/>
  <c r="J926" i="1"/>
  <c r="I926" i="1"/>
  <c r="F926" i="1"/>
  <c r="G926" i="1" s="1"/>
  <c r="E926" i="1"/>
  <c r="BN925" i="1"/>
  <c r="BM925" i="1"/>
  <c r="BL925" i="1"/>
  <c r="BJ925" i="1"/>
  <c r="BI925" i="1"/>
  <c r="BF925" i="1"/>
  <c r="BG925" i="1" s="1"/>
  <c r="BE925" i="1"/>
  <c r="BB925" i="1"/>
  <c r="BA925" i="1"/>
  <c r="AX925" i="1"/>
  <c r="AY925" i="1" s="1"/>
  <c r="AW925" i="1"/>
  <c r="AU925" i="1"/>
  <c r="AT925" i="1"/>
  <c r="AS925" i="1"/>
  <c r="AQ925" i="1"/>
  <c r="AP925" i="1"/>
  <c r="AO925" i="1"/>
  <c r="AL925" i="1"/>
  <c r="AM925" i="1" s="1"/>
  <c r="AK925" i="1"/>
  <c r="AI925" i="1"/>
  <c r="AH925" i="1"/>
  <c r="AG925" i="1"/>
  <c r="AE925" i="1"/>
  <c r="AD925" i="1"/>
  <c r="AC925" i="1"/>
  <c r="Z925" i="1"/>
  <c r="AA925" i="1" s="1"/>
  <c r="Y925" i="1"/>
  <c r="V925" i="1"/>
  <c r="U925" i="1"/>
  <c r="R925" i="1"/>
  <c r="S925" i="1" s="1"/>
  <c r="Q925" i="1"/>
  <c r="O925" i="1"/>
  <c r="N925" i="1"/>
  <c r="M925" i="1"/>
  <c r="K925" i="1"/>
  <c r="J925" i="1"/>
  <c r="I925" i="1"/>
  <c r="F925" i="1"/>
  <c r="G925" i="1" s="1"/>
  <c r="E925" i="1"/>
  <c r="BN924" i="1"/>
  <c r="BL924" i="1"/>
  <c r="BJ924" i="1"/>
  <c r="BI924" i="1"/>
  <c r="BF924" i="1"/>
  <c r="BE924" i="1"/>
  <c r="BC924" i="1"/>
  <c r="BB924" i="1"/>
  <c r="BA924" i="1"/>
  <c r="AY924" i="1"/>
  <c r="AX924" i="1"/>
  <c r="AW924" i="1"/>
  <c r="AT924" i="1"/>
  <c r="AU924" i="1" s="1"/>
  <c r="AS924" i="1"/>
  <c r="AP924" i="1"/>
  <c r="AO924" i="1"/>
  <c r="AL924" i="1"/>
  <c r="AM924" i="1" s="1"/>
  <c r="AK924" i="1"/>
  <c r="AI924" i="1"/>
  <c r="AH924" i="1"/>
  <c r="AG924" i="1"/>
  <c r="AE924" i="1"/>
  <c r="AD924" i="1"/>
  <c r="AC924" i="1"/>
  <c r="Z924" i="1"/>
  <c r="AA924" i="1" s="1"/>
  <c r="Y924" i="1"/>
  <c r="W924" i="1"/>
  <c r="V924" i="1"/>
  <c r="U924" i="1"/>
  <c r="S924" i="1"/>
  <c r="R924" i="1"/>
  <c r="Q924" i="1"/>
  <c r="N924" i="1"/>
  <c r="O924" i="1" s="1"/>
  <c r="M924" i="1"/>
  <c r="J924" i="1"/>
  <c r="I924" i="1"/>
  <c r="F924" i="1"/>
  <c r="G924" i="1" s="1"/>
  <c r="E924" i="1"/>
  <c r="BN923" i="1"/>
  <c r="BL923" i="1"/>
  <c r="BJ923" i="1"/>
  <c r="BM923" i="1" s="1"/>
  <c r="BI923" i="1"/>
  <c r="BF923" i="1"/>
  <c r="BG923" i="1" s="1"/>
  <c r="BE923" i="1"/>
  <c r="BB923" i="1"/>
  <c r="BC923" i="1" s="1"/>
  <c r="BA923" i="1"/>
  <c r="AX923" i="1"/>
  <c r="AW923" i="1"/>
  <c r="AT923" i="1"/>
  <c r="AS923" i="1"/>
  <c r="AP923" i="1"/>
  <c r="AO923" i="1"/>
  <c r="AM923" i="1"/>
  <c r="AL923" i="1"/>
  <c r="AK923" i="1"/>
  <c r="AI923" i="1"/>
  <c r="AH923" i="1"/>
  <c r="AG923" i="1"/>
  <c r="AD923" i="1"/>
  <c r="AE923" i="1" s="1"/>
  <c r="AC923" i="1"/>
  <c r="Z923" i="1"/>
  <c r="Y923" i="1"/>
  <c r="V923" i="1"/>
  <c r="W923" i="1" s="1"/>
  <c r="U923" i="1"/>
  <c r="R923" i="1"/>
  <c r="S923" i="1" s="1"/>
  <c r="Q923" i="1"/>
  <c r="N923" i="1"/>
  <c r="K923" i="1" s="1"/>
  <c r="M923" i="1"/>
  <c r="J923" i="1"/>
  <c r="I923" i="1"/>
  <c r="G923" i="1"/>
  <c r="F923" i="1"/>
  <c r="E923" i="1"/>
  <c r="BN922" i="1"/>
  <c r="BM922" i="1" s="1"/>
  <c r="BL922" i="1"/>
  <c r="BJ922" i="1"/>
  <c r="BI922" i="1"/>
  <c r="BG922" i="1"/>
  <c r="BF922" i="1"/>
  <c r="BE922" i="1"/>
  <c r="BC922" i="1"/>
  <c r="BB922" i="1"/>
  <c r="BA922" i="1"/>
  <c r="AX922" i="1"/>
  <c r="AY922" i="1" s="1"/>
  <c r="AW922" i="1"/>
  <c r="AT922" i="1"/>
  <c r="AS922" i="1"/>
  <c r="AP922" i="1"/>
  <c r="AQ922" i="1" s="1"/>
  <c r="AO922" i="1"/>
  <c r="AL922" i="1"/>
  <c r="AM922" i="1" s="1"/>
  <c r="AK922" i="1"/>
  <c r="AH922" i="1"/>
  <c r="AG922" i="1"/>
  <c r="AD922" i="1"/>
  <c r="AC922" i="1"/>
  <c r="AA922" i="1"/>
  <c r="Z922" i="1"/>
  <c r="Y922" i="1"/>
  <c r="W922" i="1"/>
  <c r="V922" i="1"/>
  <c r="U922" i="1"/>
  <c r="R922" i="1"/>
  <c r="S922" i="1" s="1"/>
  <c r="Q922" i="1"/>
  <c r="N922" i="1"/>
  <c r="O922" i="1" s="1"/>
  <c r="M922" i="1"/>
  <c r="J922" i="1"/>
  <c r="K922" i="1" s="1"/>
  <c r="I922" i="1"/>
  <c r="F922" i="1"/>
  <c r="E922" i="1"/>
  <c r="BN921" i="1"/>
  <c r="BL921" i="1"/>
  <c r="BJ921" i="1"/>
  <c r="BM921" i="1" s="1"/>
  <c r="BI921" i="1"/>
  <c r="BF921" i="1"/>
  <c r="BE921" i="1"/>
  <c r="BC921" i="1"/>
  <c r="BB921" i="1"/>
  <c r="BA921" i="1"/>
  <c r="AY921" i="1"/>
  <c r="AX921" i="1"/>
  <c r="AW921" i="1"/>
  <c r="AU921" i="1"/>
  <c r="AT921" i="1"/>
  <c r="AS921" i="1"/>
  <c r="AQ921" i="1"/>
  <c r="AP921" i="1"/>
  <c r="AO921" i="1"/>
  <c r="AL921" i="1"/>
  <c r="AM921" i="1" s="1"/>
  <c r="AK921" i="1"/>
  <c r="AH921" i="1"/>
  <c r="AG921" i="1"/>
  <c r="AE921" i="1"/>
  <c r="AD921" i="1"/>
  <c r="AC921" i="1"/>
  <c r="Z921" i="1"/>
  <c r="AA921" i="1" s="1"/>
  <c r="Y921" i="1"/>
  <c r="V921" i="1"/>
  <c r="W921" i="1" s="1"/>
  <c r="U921" i="1"/>
  <c r="R921" i="1"/>
  <c r="Q921" i="1"/>
  <c r="N921" i="1"/>
  <c r="M921" i="1"/>
  <c r="K921" i="1"/>
  <c r="J921" i="1"/>
  <c r="I921" i="1"/>
  <c r="G921" i="1"/>
  <c r="F921" i="1"/>
  <c r="E921" i="1"/>
  <c r="BN920" i="1"/>
  <c r="BL920" i="1"/>
  <c r="BJ920" i="1"/>
  <c r="BM920" i="1" s="1"/>
  <c r="BI920" i="1"/>
  <c r="BG920" i="1"/>
  <c r="BF920" i="1"/>
  <c r="BE920" i="1"/>
  <c r="BB920" i="1"/>
  <c r="BC920" i="1" s="1"/>
  <c r="BA920" i="1"/>
  <c r="AY920" i="1"/>
  <c r="AX920" i="1"/>
  <c r="AW920" i="1"/>
  <c r="AU920" i="1"/>
  <c r="AT920" i="1"/>
  <c r="AS920" i="1"/>
  <c r="AQ920" i="1"/>
  <c r="AP920" i="1"/>
  <c r="AO920" i="1"/>
  <c r="AM920" i="1"/>
  <c r="AL920" i="1"/>
  <c r="AK920" i="1"/>
  <c r="AI920" i="1"/>
  <c r="AH920" i="1"/>
  <c r="AG920" i="1"/>
  <c r="AD920" i="1"/>
  <c r="AE920" i="1" s="1"/>
  <c r="AC920" i="1"/>
  <c r="Z920" i="1"/>
  <c r="Y920" i="1"/>
  <c r="V920" i="1"/>
  <c r="U920" i="1"/>
  <c r="R920" i="1"/>
  <c r="S920" i="1" s="1"/>
  <c r="Q920" i="1"/>
  <c r="N920" i="1"/>
  <c r="M920" i="1"/>
  <c r="J920" i="1"/>
  <c r="I920" i="1"/>
  <c r="G920" i="1"/>
  <c r="F920" i="1"/>
  <c r="E920" i="1"/>
  <c r="BN919" i="1"/>
  <c r="BL919" i="1"/>
  <c r="BJ919" i="1"/>
  <c r="BI919" i="1"/>
  <c r="BF919" i="1"/>
  <c r="BE919" i="1"/>
  <c r="BB919" i="1"/>
  <c r="BA919" i="1"/>
  <c r="AY919" i="1"/>
  <c r="AX919" i="1"/>
  <c r="AW919" i="1"/>
  <c r="AU919" i="1"/>
  <c r="AT919" i="1"/>
  <c r="AS919" i="1"/>
  <c r="AP919" i="1"/>
  <c r="AQ919" i="1" s="1"/>
  <c r="AO919" i="1"/>
  <c r="AL919" i="1"/>
  <c r="AK919" i="1"/>
  <c r="AI919" i="1"/>
  <c r="AH919" i="1"/>
  <c r="AG919" i="1"/>
  <c r="AE919" i="1"/>
  <c r="AD919" i="1"/>
  <c r="AC919" i="1"/>
  <c r="AA919" i="1"/>
  <c r="Z919" i="1"/>
  <c r="Y919" i="1"/>
  <c r="W919" i="1"/>
  <c r="V919" i="1"/>
  <c r="U919" i="1"/>
  <c r="R919" i="1"/>
  <c r="S919" i="1" s="1"/>
  <c r="Q919" i="1"/>
  <c r="N919" i="1"/>
  <c r="O919" i="1" s="1"/>
  <c r="M919" i="1"/>
  <c r="J919" i="1"/>
  <c r="K919" i="1" s="1"/>
  <c r="I919" i="1"/>
  <c r="F919" i="1"/>
  <c r="E919" i="1"/>
  <c r="BN918" i="1"/>
  <c r="BL918" i="1"/>
  <c r="BJ918" i="1"/>
  <c r="BI918" i="1"/>
  <c r="BF918" i="1"/>
  <c r="BE918" i="1"/>
  <c r="BC918" i="1"/>
  <c r="BB918" i="1"/>
  <c r="BA918" i="1"/>
  <c r="AY918" i="1"/>
  <c r="AX918" i="1"/>
  <c r="AW918" i="1"/>
  <c r="AU918" i="1"/>
  <c r="AT918" i="1"/>
  <c r="AS918" i="1"/>
  <c r="AQ918" i="1"/>
  <c r="AP918" i="1"/>
  <c r="AO918" i="1"/>
  <c r="AL918" i="1"/>
  <c r="AM918" i="1" s="1"/>
  <c r="AK918" i="1"/>
  <c r="AH918" i="1"/>
  <c r="AI918" i="1" s="1"/>
  <c r="AG918" i="1"/>
  <c r="AD918" i="1"/>
  <c r="AE918" i="1" s="1"/>
  <c r="AC918" i="1"/>
  <c r="Z918" i="1"/>
  <c r="Y918" i="1"/>
  <c r="W918" i="1"/>
  <c r="V918" i="1"/>
  <c r="U918" i="1"/>
  <c r="S918" i="1"/>
  <c r="R918" i="1"/>
  <c r="Q918" i="1"/>
  <c r="O918" i="1"/>
  <c r="N918" i="1"/>
  <c r="M918" i="1"/>
  <c r="K918" i="1"/>
  <c r="J918" i="1"/>
  <c r="I918" i="1"/>
  <c r="F918" i="1"/>
  <c r="G918" i="1" s="1"/>
  <c r="E918" i="1"/>
  <c r="BN917" i="1"/>
  <c r="BM917" i="1"/>
  <c r="BL917" i="1"/>
  <c r="BJ917" i="1"/>
  <c r="BI917" i="1"/>
  <c r="BH917" i="1"/>
  <c r="BG917" i="1"/>
  <c r="BF917" i="1"/>
  <c r="BE917" i="1"/>
  <c r="BC917" i="1"/>
  <c r="BB917" i="1"/>
  <c r="BA917" i="1"/>
  <c r="AY917" i="1"/>
  <c r="AX917" i="1"/>
  <c r="AW917" i="1"/>
  <c r="AU917" i="1"/>
  <c r="AT917" i="1"/>
  <c r="AS917" i="1"/>
  <c r="AQ917" i="1"/>
  <c r="AP917" i="1"/>
  <c r="AO917" i="1"/>
  <c r="AL917" i="1"/>
  <c r="AM917" i="1" s="1"/>
  <c r="AK917" i="1"/>
  <c r="AJ917" i="1"/>
  <c r="AI917" i="1"/>
  <c r="AH917" i="1"/>
  <c r="AG917" i="1"/>
  <c r="AE917" i="1"/>
  <c r="AD917" i="1"/>
  <c r="AC917" i="1"/>
  <c r="AA917" i="1"/>
  <c r="Z917" i="1"/>
  <c r="Y917" i="1"/>
  <c r="W917" i="1"/>
  <c r="V917" i="1"/>
  <c r="U917" i="1"/>
  <c r="R917" i="1"/>
  <c r="S917" i="1" s="1"/>
  <c r="Q917" i="1"/>
  <c r="N917" i="1"/>
  <c r="O917" i="1" s="1"/>
  <c r="M917" i="1"/>
  <c r="J917" i="1"/>
  <c r="K917" i="1" s="1"/>
  <c r="I917" i="1"/>
  <c r="F917" i="1"/>
  <c r="E917" i="1"/>
  <c r="BN916" i="1"/>
  <c r="BL916" i="1"/>
  <c r="BJ916" i="1"/>
  <c r="BM916" i="1" s="1"/>
  <c r="BI916" i="1"/>
  <c r="BF916" i="1"/>
  <c r="BE916" i="1"/>
  <c r="BC916" i="1"/>
  <c r="BB916" i="1"/>
  <c r="BA916" i="1"/>
  <c r="AY916" i="1"/>
  <c r="AX916" i="1"/>
  <c r="AW916" i="1"/>
  <c r="AU916" i="1"/>
  <c r="AT916" i="1"/>
  <c r="AS916" i="1"/>
  <c r="AQ916" i="1"/>
  <c r="AP916" i="1"/>
  <c r="AO916" i="1"/>
  <c r="AL916" i="1"/>
  <c r="AM916" i="1" s="1"/>
  <c r="AK916" i="1"/>
  <c r="AJ916" i="1"/>
  <c r="AI916" i="1"/>
  <c r="AH916" i="1"/>
  <c r="AG916" i="1"/>
  <c r="AE916" i="1"/>
  <c r="AD916" i="1"/>
  <c r="AC916" i="1"/>
  <c r="AA916" i="1"/>
  <c r="Z916" i="1"/>
  <c r="Y916" i="1"/>
  <c r="W916" i="1"/>
  <c r="V916" i="1"/>
  <c r="U916" i="1"/>
  <c r="R916" i="1"/>
  <c r="S916" i="1" s="1"/>
  <c r="Q916" i="1"/>
  <c r="N916" i="1"/>
  <c r="O916" i="1" s="1"/>
  <c r="M916" i="1"/>
  <c r="J916" i="1"/>
  <c r="I916" i="1"/>
  <c r="F916" i="1"/>
  <c r="E916" i="1"/>
  <c r="BN915" i="1"/>
  <c r="BL915" i="1"/>
  <c r="BJ915" i="1"/>
  <c r="BM915" i="1" s="1"/>
  <c r="BI915" i="1"/>
  <c r="BF915" i="1"/>
  <c r="BE915" i="1"/>
  <c r="BC915" i="1"/>
  <c r="BB915" i="1"/>
  <c r="BA915" i="1"/>
  <c r="AY915" i="1"/>
  <c r="AX915" i="1"/>
  <c r="AW915" i="1"/>
  <c r="AU915" i="1"/>
  <c r="AT915" i="1"/>
  <c r="AS915" i="1"/>
  <c r="AQ915" i="1"/>
  <c r="AP915" i="1"/>
  <c r="AO915" i="1"/>
  <c r="AL915" i="1"/>
  <c r="AM915" i="1" s="1"/>
  <c r="AK915" i="1"/>
  <c r="AJ915" i="1"/>
  <c r="AI915" i="1"/>
  <c r="AH915" i="1"/>
  <c r="AG915" i="1"/>
  <c r="AE915" i="1"/>
  <c r="AD915" i="1"/>
  <c r="AC915" i="1"/>
  <c r="AA915" i="1"/>
  <c r="Z915" i="1"/>
  <c r="Y915" i="1"/>
  <c r="W915" i="1"/>
  <c r="V915" i="1"/>
  <c r="U915" i="1"/>
  <c r="R915" i="1"/>
  <c r="S915" i="1" s="1"/>
  <c r="Q915" i="1"/>
  <c r="N915" i="1"/>
  <c r="O915" i="1" s="1"/>
  <c r="M915" i="1"/>
  <c r="J915" i="1"/>
  <c r="I915" i="1"/>
  <c r="F915" i="1"/>
  <c r="E915" i="1"/>
  <c r="BN914" i="1"/>
  <c r="BL914" i="1"/>
  <c r="BJ914" i="1"/>
  <c r="BM914" i="1" s="1"/>
  <c r="BI914" i="1"/>
  <c r="BF914" i="1"/>
  <c r="BE914" i="1"/>
  <c r="BC914" i="1"/>
  <c r="BB914" i="1"/>
  <c r="BA914" i="1"/>
  <c r="AY914" i="1"/>
  <c r="AX914" i="1"/>
  <c r="AW914" i="1"/>
  <c r="AU914" i="1"/>
  <c r="AT914" i="1"/>
  <c r="AS914" i="1"/>
  <c r="AQ914" i="1"/>
  <c r="AP914" i="1"/>
  <c r="AO914" i="1"/>
  <c r="AL914" i="1"/>
  <c r="AM914" i="1" s="1"/>
  <c r="AK914" i="1"/>
  <c r="AH914" i="1"/>
  <c r="AI914" i="1" s="1"/>
  <c r="AG914" i="1"/>
  <c r="AD914" i="1"/>
  <c r="AE914" i="1" s="1"/>
  <c r="AC914" i="1"/>
  <c r="Z914" i="1"/>
  <c r="Y914" i="1"/>
  <c r="W914" i="1"/>
  <c r="V914" i="1"/>
  <c r="U914" i="1"/>
  <c r="S914" i="1"/>
  <c r="R914" i="1"/>
  <c r="Q914" i="1"/>
  <c r="O914" i="1"/>
  <c r="N914" i="1"/>
  <c r="M914" i="1"/>
  <c r="K914" i="1"/>
  <c r="J914" i="1"/>
  <c r="I914" i="1"/>
  <c r="F914" i="1"/>
  <c r="G914" i="1" s="1"/>
  <c r="E914" i="1"/>
  <c r="BN913" i="1"/>
  <c r="BM913" i="1"/>
  <c r="BL913" i="1"/>
  <c r="BJ913" i="1"/>
  <c r="BI913" i="1"/>
  <c r="BF913" i="1"/>
  <c r="BG913" i="1" s="1"/>
  <c r="BE913" i="1"/>
  <c r="BB913" i="1"/>
  <c r="BC913" i="1" s="1"/>
  <c r="BA913" i="1"/>
  <c r="AX913" i="1"/>
  <c r="AY913" i="1" s="1"/>
  <c r="AW913" i="1"/>
  <c r="AT913" i="1"/>
  <c r="AS913" i="1"/>
  <c r="AQ913" i="1"/>
  <c r="AP913" i="1"/>
  <c r="AO913" i="1"/>
  <c r="AM913" i="1"/>
  <c r="AL913" i="1"/>
  <c r="AK913" i="1"/>
  <c r="AI913" i="1"/>
  <c r="AH913" i="1"/>
  <c r="AG913" i="1"/>
  <c r="AE913" i="1"/>
  <c r="AD913" i="1"/>
  <c r="AC913" i="1"/>
  <c r="Z913" i="1"/>
  <c r="AA913" i="1" s="1"/>
  <c r="Y913" i="1"/>
  <c r="V913" i="1"/>
  <c r="W913" i="1" s="1"/>
  <c r="U913" i="1"/>
  <c r="R913" i="1"/>
  <c r="Q913" i="1"/>
  <c r="N913" i="1"/>
  <c r="M913" i="1"/>
  <c r="K913" i="1"/>
  <c r="J913" i="1"/>
  <c r="I913" i="1"/>
  <c r="G913" i="1"/>
  <c r="F913" i="1"/>
  <c r="E913" i="1"/>
  <c r="BN912" i="1"/>
  <c r="BL912" i="1"/>
  <c r="BJ912" i="1"/>
  <c r="BM912" i="1" s="1"/>
  <c r="BI912" i="1"/>
  <c r="BG912" i="1"/>
  <c r="BF912" i="1"/>
  <c r="BE912" i="1"/>
  <c r="BC912" i="1"/>
  <c r="BB912" i="1"/>
  <c r="BA912" i="1"/>
  <c r="AY912" i="1"/>
  <c r="AX912" i="1"/>
  <c r="AW912" i="1"/>
  <c r="AT912" i="1"/>
  <c r="AU912" i="1" s="1"/>
  <c r="AS912" i="1"/>
  <c r="AP912" i="1"/>
  <c r="AQ912" i="1" s="1"/>
  <c r="AO912" i="1"/>
  <c r="AL912" i="1"/>
  <c r="AK912" i="1"/>
  <c r="AH912" i="1"/>
  <c r="AG912" i="1"/>
  <c r="AE912" i="1"/>
  <c r="AD912" i="1"/>
  <c r="AC912" i="1"/>
  <c r="AA912" i="1"/>
  <c r="Z912" i="1"/>
  <c r="Y912" i="1"/>
  <c r="W912" i="1"/>
  <c r="V912" i="1"/>
  <c r="U912" i="1"/>
  <c r="S912" i="1"/>
  <c r="R912" i="1"/>
  <c r="Q912" i="1"/>
  <c r="N912" i="1"/>
  <c r="O912" i="1" s="1"/>
  <c r="M912" i="1"/>
  <c r="J912" i="1"/>
  <c r="K912" i="1" s="1"/>
  <c r="I912" i="1"/>
  <c r="F912" i="1"/>
  <c r="E912" i="1"/>
  <c r="BN911" i="1"/>
  <c r="BL911" i="1"/>
  <c r="BJ911" i="1"/>
  <c r="BM911" i="1" s="1"/>
  <c r="BI911" i="1"/>
  <c r="BF911" i="1"/>
  <c r="BE911" i="1"/>
  <c r="BB911" i="1"/>
  <c r="BA911" i="1"/>
  <c r="AY911" i="1"/>
  <c r="AX911" i="1"/>
  <c r="AW911" i="1"/>
  <c r="AU911" i="1"/>
  <c r="AT911" i="1"/>
  <c r="AS911" i="1"/>
  <c r="AQ911" i="1"/>
  <c r="AP911" i="1"/>
  <c r="AO911" i="1"/>
  <c r="AM911" i="1"/>
  <c r="AL911" i="1"/>
  <c r="AK911" i="1"/>
  <c r="AH911" i="1"/>
  <c r="AI911" i="1" s="1"/>
  <c r="AG911" i="1"/>
  <c r="AD911" i="1"/>
  <c r="AE911" i="1" s="1"/>
  <c r="AC911" i="1"/>
  <c r="Z911" i="1"/>
  <c r="Y911" i="1"/>
  <c r="V911" i="1"/>
  <c r="U911" i="1"/>
  <c r="S911" i="1"/>
  <c r="R911" i="1"/>
  <c r="Q911" i="1"/>
  <c r="O911" i="1"/>
  <c r="N911" i="1"/>
  <c r="M911" i="1"/>
  <c r="K911" i="1"/>
  <c r="J911" i="1"/>
  <c r="I911" i="1"/>
  <c r="G911" i="1"/>
  <c r="F911" i="1"/>
  <c r="E911" i="1"/>
  <c r="BN910" i="1"/>
  <c r="BM910" i="1"/>
  <c r="BL910" i="1"/>
  <c r="BJ910" i="1"/>
  <c r="BI910" i="1"/>
  <c r="BG910" i="1"/>
  <c r="BF910" i="1"/>
  <c r="BE910" i="1"/>
  <c r="BB910" i="1"/>
  <c r="BC910" i="1" s="1"/>
  <c r="BA910" i="1"/>
  <c r="AX910" i="1"/>
  <c r="AY910" i="1" s="1"/>
  <c r="AW910" i="1"/>
  <c r="AT910" i="1"/>
  <c r="AS910" i="1"/>
  <c r="AP910" i="1"/>
  <c r="AO910" i="1"/>
  <c r="AM910" i="1"/>
  <c r="AL910" i="1"/>
  <c r="AK910" i="1"/>
  <c r="AI910" i="1"/>
  <c r="AH910" i="1"/>
  <c r="AG910" i="1"/>
  <c r="AE910" i="1"/>
  <c r="AD910" i="1"/>
  <c r="AC910" i="1"/>
  <c r="AA910" i="1"/>
  <c r="Z910" i="1"/>
  <c r="Y910" i="1"/>
  <c r="V910" i="1"/>
  <c r="W910" i="1" s="1"/>
  <c r="U910" i="1"/>
  <c r="R910" i="1"/>
  <c r="S910" i="1" s="1"/>
  <c r="Q910" i="1"/>
  <c r="N910" i="1"/>
  <c r="M910" i="1"/>
  <c r="J910" i="1"/>
  <c r="I910" i="1"/>
  <c r="G910" i="1"/>
  <c r="F910" i="1"/>
  <c r="E910" i="1"/>
  <c r="BN909" i="1"/>
  <c r="BL909" i="1"/>
  <c r="BJ909" i="1"/>
  <c r="BI909" i="1"/>
  <c r="BG909" i="1"/>
  <c r="BF909" i="1"/>
  <c r="BE909" i="1"/>
  <c r="BC909" i="1"/>
  <c r="BB909" i="1"/>
  <c r="BA909" i="1"/>
  <c r="AY909" i="1"/>
  <c r="AX909" i="1"/>
  <c r="AW909" i="1"/>
  <c r="AU909" i="1"/>
  <c r="AT909" i="1"/>
  <c r="AS909" i="1"/>
  <c r="AP909" i="1"/>
  <c r="AQ909" i="1" s="1"/>
  <c r="AO909" i="1"/>
  <c r="AL909" i="1"/>
  <c r="AM909" i="1" s="1"/>
  <c r="AK909" i="1"/>
  <c r="AH909" i="1"/>
  <c r="AF909" i="1"/>
  <c r="AG909" i="1" s="1"/>
  <c r="AD909" i="1"/>
  <c r="AC909" i="1"/>
  <c r="AA909" i="1"/>
  <c r="Z909" i="1"/>
  <c r="Y909" i="1"/>
  <c r="V909" i="1"/>
  <c r="W909" i="1" s="1"/>
  <c r="U909" i="1"/>
  <c r="R909" i="1"/>
  <c r="S909" i="1" s="1"/>
  <c r="Q909" i="1"/>
  <c r="N909" i="1"/>
  <c r="M909" i="1"/>
  <c r="J909" i="1"/>
  <c r="I909" i="1"/>
  <c r="G909" i="1"/>
  <c r="F909" i="1"/>
  <c r="E909" i="1"/>
  <c r="BN908" i="1"/>
  <c r="BL908" i="1"/>
  <c r="BJ908" i="1"/>
  <c r="BM908" i="1" s="1"/>
  <c r="BI908" i="1"/>
  <c r="BG908" i="1"/>
  <c r="BF908" i="1"/>
  <c r="BE908" i="1"/>
  <c r="BC908" i="1"/>
  <c r="BB908" i="1"/>
  <c r="BA908" i="1"/>
  <c r="AY908" i="1"/>
  <c r="AX908" i="1"/>
  <c r="AW908" i="1"/>
  <c r="AU908" i="1"/>
  <c r="AT908" i="1"/>
  <c r="AS908" i="1"/>
  <c r="AP908" i="1"/>
  <c r="AQ908" i="1" s="1"/>
  <c r="AO908" i="1"/>
  <c r="AL908" i="1"/>
  <c r="AM908" i="1" s="1"/>
  <c r="AK908" i="1"/>
  <c r="AH908" i="1"/>
  <c r="AF908" i="1"/>
  <c r="AG908" i="1" s="1"/>
  <c r="AD908" i="1"/>
  <c r="AC908" i="1"/>
  <c r="AA908" i="1"/>
  <c r="Z908" i="1"/>
  <c r="Y908" i="1"/>
  <c r="V908" i="1"/>
  <c r="W908" i="1" s="1"/>
  <c r="U908" i="1"/>
  <c r="R908" i="1"/>
  <c r="S908" i="1" s="1"/>
  <c r="Q908" i="1"/>
  <c r="N908" i="1"/>
  <c r="M908" i="1"/>
  <c r="J908" i="1"/>
  <c r="I908" i="1"/>
  <c r="G908" i="1"/>
  <c r="F908" i="1"/>
  <c r="E908" i="1"/>
  <c r="BN907" i="1"/>
  <c r="BL907" i="1"/>
  <c r="BJ907" i="1"/>
  <c r="BI907" i="1"/>
  <c r="BG907" i="1"/>
  <c r="BF907" i="1"/>
  <c r="BE907" i="1"/>
  <c r="BC907" i="1"/>
  <c r="BB907" i="1"/>
  <c r="BA907" i="1"/>
  <c r="AY907" i="1"/>
  <c r="AX907" i="1"/>
  <c r="AW907" i="1"/>
  <c r="AU907" i="1"/>
  <c r="AT907" i="1"/>
  <c r="AS907" i="1"/>
  <c r="AP907" i="1"/>
  <c r="AQ907" i="1" s="1"/>
  <c r="AO907" i="1"/>
  <c r="AL907" i="1"/>
  <c r="AM907" i="1" s="1"/>
  <c r="AK907" i="1"/>
  <c r="AH907" i="1"/>
  <c r="AF907" i="1"/>
  <c r="AG907" i="1" s="1"/>
  <c r="AD907" i="1"/>
  <c r="AC907" i="1"/>
  <c r="AA907" i="1"/>
  <c r="Z907" i="1"/>
  <c r="Y907" i="1"/>
  <c r="V907" i="1"/>
  <c r="W907" i="1" s="1"/>
  <c r="U907" i="1"/>
  <c r="R907" i="1"/>
  <c r="S907" i="1" s="1"/>
  <c r="Q907" i="1"/>
  <c r="N907" i="1"/>
  <c r="M907" i="1"/>
  <c r="J907" i="1"/>
  <c r="I907" i="1"/>
  <c r="G907" i="1"/>
  <c r="F907" i="1"/>
  <c r="E907" i="1"/>
  <c r="BN906" i="1"/>
  <c r="BL906" i="1"/>
  <c r="BJ906" i="1"/>
  <c r="BM906" i="1" s="1"/>
  <c r="BI906" i="1"/>
  <c r="BG906" i="1"/>
  <c r="BF906" i="1"/>
  <c r="BE906" i="1"/>
  <c r="BC906" i="1"/>
  <c r="BB906" i="1"/>
  <c r="BA906" i="1"/>
  <c r="AY906" i="1"/>
  <c r="AX906" i="1"/>
  <c r="AW906" i="1"/>
  <c r="AU906" i="1"/>
  <c r="AT906" i="1"/>
  <c r="AS906" i="1"/>
  <c r="AP906" i="1"/>
  <c r="AQ906" i="1" s="1"/>
  <c r="AO906" i="1"/>
  <c r="AL906" i="1"/>
  <c r="AM906" i="1" s="1"/>
  <c r="AK906" i="1"/>
  <c r="AH906" i="1"/>
  <c r="AG906" i="1"/>
  <c r="AD906" i="1"/>
  <c r="AC906" i="1"/>
  <c r="AA906" i="1"/>
  <c r="Z906" i="1"/>
  <c r="Y906" i="1"/>
  <c r="W906" i="1"/>
  <c r="V906" i="1"/>
  <c r="U906" i="1"/>
  <c r="S906" i="1"/>
  <c r="R906" i="1"/>
  <c r="Q906" i="1"/>
  <c r="O906" i="1"/>
  <c r="N906" i="1"/>
  <c r="M906" i="1"/>
  <c r="J906" i="1"/>
  <c r="K906" i="1" s="1"/>
  <c r="I906" i="1"/>
  <c r="F906" i="1"/>
  <c r="G906" i="1" s="1"/>
  <c r="E906" i="1"/>
  <c r="BN905" i="1"/>
  <c r="BM905" i="1"/>
  <c r="BL905" i="1"/>
  <c r="BJ905" i="1"/>
  <c r="BI905" i="1"/>
  <c r="BF905" i="1"/>
  <c r="BG905" i="1" s="1"/>
  <c r="BE905" i="1"/>
  <c r="BB905" i="1"/>
  <c r="BA905" i="1"/>
  <c r="AX905" i="1"/>
  <c r="AW905" i="1"/>
  <c r="AU905" i="1"/>
  <c r="AT905" i="1"/>
  <c r="AS905" i="1"/>
  <c r="AQ905" i="1"/>
  <c r="AP905" i="1"/>
  <c r="AO905" i="1"/>
  <c r="AM905" i="1"/>
  <c r="AL905" i="1"/>
  <c r="AK905" i="1"/>
  <c r="AI905" i="1"/>
  <c r="AH905" i="1"/>
  <c r="AG905" i="1"/>
  <c r="AD905" i="1"/>
  <c r="AE905" i="1" s="1"/>
  <c r="AC905" i="1"/>
  <c r="Z905" i="1"/>
  <c r="AA905" i="1" s="1"/>
  <c r="Y905" i="1"/>
  <c r="V905" i="1"/>
  <c r="U905" i="1"/>
  <c r="R905" i="1"/>
  <c r="Q905" i="1"/>
  <c r="O905" i="1"/>
  <c r="N905" i="1"/>
  <c r="M905" i="1"/>
  <c r="K905" i="1"/>
  <c r="J905" i="1"/>
  <c r="I905" i="1"/>
  <c r="G905" i="1"/>
  <c r="F905" i="1"/>
  <c r="E905" i="1"/>
  <c r="BN904" i="1"/>
  <c r="BL904" i="1"/>
  <c r="BJ904" i="1"/>
  <c r="BM904" i="1" s="1"/>
  <c r="BI904" i="1"/>
  <c r="BG904" i="1"/>
  <c r="BF904" i="1"/>
  <c r="BE904" i="1"/>
  <c r="BC904" i="1"/>
  <c r="BB904" i="1"/>
  <c r="BA904" i="1"/>
  <c r="AX904" i="1"/>
  <c r="AY904" i="1" s="1"/>
  <c r="AW904" i="1"/>
  <c r="AT904" i="1"/>
  <c r="AS904" i="1"/>
  <c r="AP904" i="1"/>
  <c r="AQ904" i="1" s="1"/>
  <c r="AO904" i="1"/>
  <c r="AL904" i="1"/>
  <c r="AK904" i="1"/>
  <c r="AI904" i="1"/>
  <c r="AH904" i="1"/>
  <c r="AG904" i="1"/>
  <c r="AE904" i="1"/>
  <c r="AD904" i="1"/>
  <c r="AC904" i="1"/>
  <c r="AA904" i="1"/>
  <c r="Z904" i="1"/>
  <c r="Y904" i="1"/>
  <c r="W904" i="1"/>
  <c r="V904" i="1"/>
  <c r="U904" i="1"/>
  <c r="R904" i="1"/>
  <c r="S904" i="1" s="1"/>
  <c r="Q904" i="1"/>
  <c r="N904" i="1"/>
  <c r="O904" i="1" s="1"/>
  <c r="M904" i="1"/>
  <c r="J904" i="1"/>
  <c r="I904" i="1"/>
  <c r="F904" i="1"/>
  <c r="E904" i="1"/>
  <c r="BN903" i="1"/>
  <c r="BL903" i="1"/>
  <c r="BJ903" i="1"/>
  <c r="BI903" i="1"/>
  <c r="BF903" i="1"/>
  <c r="BE903" i="1"/>
  <c r="BB903" i="1"/>
  <c r="BC903" i="1" s="1"/>
  <c r="BA903" i="1"/>
  <c r="AY903" i="1"/>
  <c r="AX903" i="1"/>
  <c r="AW903" i="1"/>
  <c r="AU903" i="1"/>
  <c r="AT903" i="1"/>
  <c r="AS903" i="1"/>
  <c r="AQ903" i="1"/>
  <c r="AP903" i="1"/>
  <c r="AO903" i="1"/>
  <c r="AL903" i="1"/>
  <c r="AM903" i="1" s="1"/>
  <c r="AK903" i="1"/>
  <c r="AH903" i="1"/>
  <c r="AI903" i="1" s="1"/>
  <c r="AG903" i="1"/>
  <c r="AD903" i="1"/>
  <c r="AC903" i="1"/>
  <c r="AA903" i="1"/>
  <c r="Z903" i="1"/>
  <c r="Y903" i="1"/>
  <c r="V903" i="1"/>
  <c r="W903" i="1" s="1"/>
  <c r="U903" i="1"/>
  <c r="R903" i="1"/>
  <c r="Q903" i="1"/>
  <c r="O903" i="1"/>
  <c r="N903" i="1"/>
  <c r="M903" i="1"/>
  <c r="K903" i="1"/>
  <c r="J903" i="1"/>
  <c r="I903" i="1"/>
  <c r="F903" i="1"/>
  <c r="G903" i="1" s="1"/>
  <c r="E903" i="1"/>
  <c r="BN902" i="1"/>
  <c r="BM902" i="1"/>
  <c r="BL902" i="1"/>
  <c r="BJ902" i="1"/>
  <c r="BI902" i="1"/>
  <c r="BF902" i="1"/>
  <c r="BG902" i="1" s="1"/>
  <c r="BE902" i="1"/>
  <c r="BB902" i="1"/>
  <c r="BC902" i="1" s="1"/>
  <c r="BA902" i="1"/>
  <c r="AX902" i="1"/>
  <c r="AW902" i="1"/>
  <c r="AT902" i="1"/>
  <c r="AU902" i="1" s="1"/>
  <c r="AS902" i="1"/>
  <c r="AQ902" i="1"/>
  <c r="AP902" i="1"/>
  <c r="AM902" i="1" s="1"/>
  <c r="AO902" i="1"/>
  <c r="AL902" i="1"/>
  <c r="AK902" i="1"/>
  <c r="AI902" i="1"/>
  <c r="AH902" i="1"/>
  <c r="AG902" i="1"/>
  <c r="AE902" i="1"/>
  <c r="AD902" i="1"/>
  <c r="AC902" i="1"/>
  <c r="Z902" i="1"/>
  <c r="AA902" i="1" s="1"/>
  <c r="Y902" i="1"/>
  <c r="V902" i="1"/>
  <c r="W902" i="1" s="1"/>
  <c r="U902" i="1"/>
  <c r="R902" i="1"/>
  <c r="S902" i="1" s="1"/>
  <c r="Q902" i="1"/>
  <c r="O902" i="1"/>
  <c r="N902" i="1"/>
  <c r="M902" i="1"/>
  <c r="K902" i="1"/>
  <c r="J902" i="1"/>
  <c r="I902" i="1"/>
  <c r="G902" i="1"/>
  <c r="F902" i="1"/>
  <c r="E902" i="1"/>
  <c r="BN901" i="1"/>
  <c r="BL901" i="1"/>
  <c r="BJ901" i="1"/>
  <c r="BM901" i="1" s="1"/>
  <c r="BI901" i="1"/>
  <c r="BF901" i="1"/>
  <c r="BE901" i="1"/>
  <c r="BC901" i="1"/>
  <c r="BB901" i="1"/>
  <c r="BA901" i="1"/>
  <c r="AY901" i="1"/>
  <c r="AX901" i="1"/>
  <c r="AW901" i="1"/>
  <c r="AT901" i="1"/>
  <c r="AU901" i="1" s="1"/>
  <c r="AS901" i="1"/>
  <c r="AP901" i="1"/>
  <c r="AQ901" i="1" s="1"/>
  <c r="AO901" i="1"/>
  <c r="AL901" i="1"/>
  <c r="AK901" i="1"/>
  <c r="AI901" i="1"/>
  <c r="AH901" i="1"/>
  <c r="AG901" i="1"/>
  <c r="AD901" i="1"/>
  <c r="AC901" i="1"/>
  <c r="Z901" i="1"/>
  <c r="Y901" i="1"/>
  <c r="W901" i="1"/>
  <c r="V901" i="1"/>
  <c r="U901" i="1"/>
  <c r="S901" i="1"/>
  <c r="R901" i="1"/>
  <c r="Q901" i="1"/>
  <c r="N901" i="1"/>
  <c r="O901" i="1" s="1"/>
  <c r="M901" i="1"/>
  <c r="J901" i="1"/>
  <c r="I901" i="1"/>
  <c r="F901" i="1"/>
  <c r="G901" i="1" s="1"/>
  <c r="E901" i="1"/>
  <c r="BN900" i="1"/>
  <c r="BL900" i="1"/>
  <c r="BJ900" i="1"/>
  <c r="BM900" i="1" s="1"/>
  <c r="BI900" i="1"/>
  <c r="BF900" i="1"/>
  <c r="BG900" i="1" s="1"/>
  <c r="BE900" i="1"/>
  <c r="BC900" i="1"/>
  <c r="BB900" i="1"/>
  <c r="BA900" i="1"/>
  <c r="AX900" i="1"/>
  <c r="AY900" i="1" s="1"/>
  <c r="AW900" i="1"/>
  <c r="AU900" i="1"/>
  <c r="AT900" i="1"/>
  <c r="AS900" i="1"/>
  <c r="AQ900" i="1"/>
  <c r="AP900" i="1"/>
  <c r="AO900" i="1"/>
  <c r="AM900" i="1"/>
  <c r="AL900" i="1"/>
  <c r="AK900" i="1"/>
  <c r="AH900" i="1"/>
  <c r="AI900" i="1" s="1"/>
  <c r="AG900" i="1"/>
  <c r="AD900" i="1"/>
  <c r="AC900" i="1"/>
  <c r="Z900" i="1"/>
  <c r="AA900" i="1" s="1"/>
  <c r="Y900" i="1"/>
  <c r="V900" i="1"/>
  <c r="W900" i="1" s="1"/>
  <c r="U900" i="1"/>
  <c r="S900" i="1"/>
  <c r="R900" i="1"/>
  <c r="Q900" i="1"/>
  <c r="O900" i="1"/>
  <c r="N900" i="1"/>
  <c r="M900" i="1"/>
  <c r="K900" i="1"/>
  <c r="J900" i="1"/>
  <c r="I900" i="1"/>
  <c r="G900" i="1"/>
  <c r="F900" i="1"/>
  <c r="E900" i="1"/>
  <c r="BN899" i="1"/>
  <c r="BM899" i="1"/>
  <c r="BL899" i="1"/>
  <c r="BJ899" i="1"/>
  <c r="BI899" i="1"/>
  <c r="BG899" i="1"/>
  <c r="BF899" i="1"/>
  <c r="BE899" i="1"/>
  <c r="BB899" i="1"/>
  <c r="BC899" i="1" s="1"/>
  <c r="BA899" i="1"/>
  <c r="AX899" i="1"/>
  <c r="AY899" i="1" s="1"/>
  <c r="AW899" i="1"/>
  <c r="AT899" i="1"/>
  <c r="AU899" i="1" s="1"/>
  <c r="AS899" i="1"/>
  <c r="AP899" i="1"/>
  <c r="AO899" i="1"/>
  <c r="AL899" i="1"/>
  <c r="AM899" i="1" s="1"/>
  <c r="AK899" i="1"/>
  <c r="AI899" i="1"/>
  <c r="AH899" i="1"/>
  <c r="AG899" i="1"/>
  <c r="AE899" i="1"/>
  <c r="AD899" i="1"/>
  <c r="AC899" i="1"/>
  <c r="AA899" i="1"/>
  <c r="Z899" i="1"/>
  <c r="Y899" i="1"/>
  <c r="V899" i="1"/>
  <c r="W899" i="1" s="1"/>
  <c r="U899" i="1"/>
  <c r="R899" i="1"/>
  <c r="S899" i="1" s="1"/>
  <c r="Q899" i="1"/>
  <c r="N899" i="1"/>
  <c r="M899" i="1"/>
  <c r="J899" i="1"/>
  <c r="K899" i="1" s="1"/>
  <c r="I899" i="1"/>
  <c r="F899" i="1"/>
  <c r="G899" i="1" s="1"/>
  <c r="E899" i="1"/>
  <c r="BN898" i="1"/>
  <c r="BL898" i="1"/>
  <c r="BJ898" i="1"/>
  <c r="BM898" i="1" s="1"/>
  <c r="BI898" i="1"/>
  <c r="BF898" i="1"/>
  <c r="BG898" i="1" s="1"/>
  <c r="BE898" i="1"/>
  <c r="BC898" i="1"/>
  <c r="BB898" i="1"/>
  <c r="BA898" i="1"/>
  <c r="AY898" i="1"/>
  <c r="AX898" i="1"/>
  <c r="AW898" i="1"/>
  <c r="AU898" i="1"/>
  <c r="AT898" i="1"/>
  <c r="AS898" i="1"/>
  <c r="AP898" i="1"/>
  <c r="AQ898" i="1" s="1"/>
  <c r="AO898" i="1"/>
  <c r="AL898" i="1"/>
  <c r="AM898" i="1" s="1"/>
  <c r="AK898" i="1"/>
  <c r="AH898" i="1"/>
  <c r="AG898" i="1"/>
  <c r="AD898" i="1"/>
  <c r="AE898" i="1" s="1"/>
  <c r="AC898" i="1"/>
  <c r="AA898" i="1"/>
  <c r="Z898" i="1"/>
  <c r="W898" i="1" s="1"/>
  <c r="Y898" i="1"/>
  <c r="V898" i="1"/>
  <c r="U898" i="1"/>
  <c r="S898" i="1"/>
  <c r="R898" i="1"/>
  <c r="Q898" i="1"/>
  <c r="O898" i="1"/>
  <c r="N898" i="1"/>
  <c r="M898" i="1"/>
  <c r="J898" i="1"/>
  <c r="K898" i="1" s="1"/>
  <c r="I898" i="1"/>
  <c r="F898" i="1"/>
  <c r="G898" i="1" s="1"/>
  <c r="E898" i="1"/>
  <c r="BN897" i="1"/>
  <c r="BM897" i="1"/>
  <c r="BL897" i="1"/>
  <c r="BJ897" i="1"/>
  <c r="BI897" i="1"/>
  <c r="BF897" i="1"/>
  <c r="BG897" i="1" s="1"/>
  <c r="BE897" i="1"/>
  <c r="BB897" i="1"/>
  <c r="BA897" i="1"/>
  <c r="AZ897" i="1"/>
  <c r="AY897" i="1"/>
  <c r="AX897" i="1"/>
  <c r="AW897" i="1"/>
  <c r="AU897" i="1"/>
  <c r="AT897" i="1"/>
  <c r="AS897" i="1"/>
  <c r="AQ897" i="1"/>
  <c r="AP897" i="1"/>
  <c r="AO897" i="1"/>
  <c r="AL897" i="1"/>
  <c r="AK897" i="1"/>
  <c r="AH897" i="1"/>
  <c r="AI897" i="1" s="1"/>
  <c r="AG897" i="1"/>
  <c r="AD897" i="1"/>
  <c r="AE897" i="1" s="1"/>
  <c r="AB897" i="1"/>
  <c r="AC897" i="1" s="1"/>
  <c r="AA897" i="1"/>
  <c r="Z897" i="1"/>
  <c r="X897" i="1"/>
  <c r="Y897" i="1" s="1"/>
  <c r="W897" i="1"/>
  <c r="V897" i="1"/>
  <c r="T897" i="1"/>
  <c r="U897" i="1" s="1"/>
  <c r="S897" i="1"/>
  <c r="R897" i="1"/>
  <c r="Q897" i="1"/>
  <c r="N897" i="1"/>
  <c r="O897" i="1" s="1"/>
  <c r="M897" i="1"/>
  <c r="J897" i="1"/>
  <c r="I897" i="1"/>
  <c r="F897" i="1"/>
  <c r="G897" i="1" s="1"/>
  <c r="E897" i="1"/>
  <c r="BN896" i="1"/>
  <c r="BL896" i="1"/>
  <c r="BJ896" i="1"/>
  <c r="BM896" i="1" s="1"/>
  <c r="BI896" i="1"/>
  <c r="BF896" i="1"/>
  <c r="BG896" i="1" s="1"/>
  <c r="BE896" i="1"/>
  <c r="BC896" i="1"/>
  <c r="BB896" i="1"/>
  <c r="AZ896" i="1"/>
  <c r="BA896" i="1" s="1"/>
  <c r="AY896" i="1"/>
  <c r="AX896" i="1"/>
  <c r="AW896" i="1"/>
  <c r="AU896" i="1"/>
  <c r="AT896" i="1"/>
  <c r="AS896" i="1"/>
  <c r="AP896" i="1"/>
  <c r="AO896" i="1"/>
  <c r="AL896" i="1"/>
  <c r="AM896" i="1" s="1"/>
  <c r="AK896" i="1"/>
  <c r="AH896" i="1"/>
  <c r="AI896" i="1" s="1"/>
  <c r="AG896" i="1"/>
  <c r="AE896" i="1"/>
  <c r="AD896" i="1"/>
  <c r="AB896" i="1"/>
  <c r="AC896" i="1" s="1"/>
  <c r="Z896" i="1"/>
  <c r="AA896" i="1" s="1"/>
  <c r="Y896" i="1"/>
  <c r="X896" i="1"/>
  <c r="V896" i="1"/>
  <c r="W896" i="1" s="1"/>
  <c r="T896" i="1"/>
  <c r="U896" i="1" s="1"/>
  <c r="R896" i="1"/>
  <c r="S896" i="1" s="1"/>
  <c r="Q896" i="1"/>
  <c r="N896" i="1"/>
  <c r="M896" i="1"/>
  <c r="J896" i="1"/>
  <c r="K896" i="1" s="1"/>
  <c r="I896" i="1"/>
  <c r="F896" i="1"/>
  <c r="G896" i="1" s="1"/>
  <c r="E896" i="1"/>
  <c r="BN895" i="1"/>
  <c r="BL895" i="1"/>
  <c r="BJ895" i="1"/>
  <c r="BM895" i="1" s="1"/>
  <c r="BI895" i="1"/>
  <c r="BF895" i="1"/>
  <c r="BG895" i="1" s="1"/>
  <c r="BE895" i="1"/>
  <c r="BC895" i="1"/>
  <c r="BB895" i="1"/>
  <c r="AZ895" i="1"/>
  <c r="BA895" i="1" s="1"/>
  <c r="AX895" i="1"/>
  <c r="AY895" i="1" s="1"/>
  <c r="AW895" i="1"/>
  <c r="AT895" i="1"/>
  <c r="AU895" i="1" s="1"/>
  <c r="AS895" i="1"/>
  <c r="AP895" i="1"/>
  <c r="AQ895" i="1" s="1"/>
  <c r="AO895" i="1"/>
  <c r="AM895" i="1"/>
  <c r="AL895" i="1"/>
  <c r="AK895" i="1"/>
  <c r="AH895" i="1"/>
  <c r="AI895" i="1" s="1"/>
  <c r="AG895" i="1"/>
  <c r="AE895" i="1"/>
  <c r="AD895" i="1"/>
  <c r="AC895" i="1"/>
  <c r="AB895" i="1"/>
  <c r="Z895" i="1"/>
  <c r="AA895" i="1" s="1"/>
  <c r="Y895" i="1"/>
  <c r="X895" i="1"/>
  <c r="W895" i="1"/>
  <c r="V895" i="1"/>
  <c r="U895" i="1"/>
  <c r="T895" i="1"/>
  <c r="R895" i="1"/>
  <c r="S895" i="1" s="1"/>
  <c r="Q895" i="1"/>
  <c r="N895" i="1"/>
  <c r="O895" i="1" s="1"/>
  <c r="M895" i="1"/>
  <c r="K895" i="1"/>
  <c r="J895" i="1"/>
  <c r="I895" i="1"/>
  <c r="F895" i="1"/>
  <c r="G895" i="1" s="1"/>
  <c r="E895" i="1"/>
  <c r="BN894" i="1"/>
  <c r="BM894" i="1" s="1"/>
  <c r="BL894" i="1"/>
  <c r="BJ894" i="1"/>
  <c r="BI894" i="1"/>
  <c r="BF894" i="1"/>
  <c r="BG894" i="1" s="1"/>
  <c r="BE894" i="1"/>
  <c r="BC894" i="1"/>
  <c r="BB894" i="1"/>
  <c r="BA894" i="1"/>
  <c r="AX894" i="1"/>
  <c r="AY894" i="1" s="1"/>
  <c r="AW894" i="1"/>
  <c r="AU894" i="1"/>
  <c r="AT894" i="1"/>
  <c r="AS894" i="1"/>
  <c r="AP894" i="1"/>
  <c r="AQ894" i="1" s="1"/>
  <c r="AO894" i="1"/>
  <c r="AL894" i="1"/>
  <c r="AM894" i="1" s="1"/>
  <c r="AK894" i="1"/>
  <c r="AH894" i="1"/>
  <c r="AI894" i="1" s="1"/>
  <c r="AG894" i="1"/>
  <c r="AE894" i="1"/>
  <c r="AD894" i="1"/>
  <c r="AC894" i="1"/>
  <c r="Z894" i="1"/>
  <c r="AA894" i="1" s="1"/>
  <c r="Y894" i="1"/>
  <c r="W894" i="1"/>
  <c r="V894" i="1"/>
  <c r="U894" i="1"/>
  <c r="R894" i="1"/>
  <c r="S894" i="1" s="1"/>
  <c r="Q894" i="1"/>
  <c r="O894" i="1"/>
  <c r="N894" i="1"/>
  <c r="M894" i="1"/>
  <c r="J894" i="1"/>
  <c r="K894" i="1" s="1"/>
  <c r="I894" i="1"/>
  <c r="F894" i="1"/>
  <c r="G894" i="1" s="1"/>
  <c r="E894" i="1"/>
  <c r="BN893" i="1"/>
  <c r="BM893" i="1"/>
  <c r="BK893" i="1"/>
  <c r="BL893" i="1" s="1"/>
  <c r="BJ893" i="1"/>
  <c r="BI893" i="1"/>
  <c r="BF893" i="1"/>
  <c r="BG893" i="1" s="1"/>
  <c r="BE893" i="1"/>
  <c r="BC893" i="1"/>
  <c r="BB893" i="1"/>
  <c r="BA893" i="1"/>
  <c r="AX893" i="1"/>
  <c r="AY893" i="1" s="1"/>
  <c r="AW893" i="1"/>
  <c r="AU893" i="1"/>
  <c r="AT893" i="1"/>
  <c r="AS893" i="1"/>
  <c r="AP893" i="1"/>
  <c r="AQ893" i="1" s="1"/>
  <c r="AO893" i="1"/>
  <c r="AL893" i="1"/>
  <c r="AM893" i="1" s="1"/>
  <c r="AK893" i="1"/>
  <c r="AH893" i="1"/>
  <c r="AI893" i="1" s="1"/>
  <c r="AG893" i="1"/>
  <c r="AE893" i="1"/>
  <c r="AD893" i="1"/>
  <c r="AC893" i="1"/>
  <c r="Z893" i="1"/>
  <c r="AA893" i="1" s="1"/>
  <c r="Y893" i="1"/>
  <c r="W893" i="1"/>
  <c r="V893" i="1"/>
  <c r="U893" i="1"/>
  <c r="R893" i="1"/>
  <c r="S893" i="1" s="1"/>
  <c r="Q893" i="1"/>
  <c r="O893" i="1"/>
  <c r="N893" i="1"/>
  <c r="M893" i="1"/>
  <c r="J893" i="1"/>
  <c r="K893" i="1" s="1"/>
  <c r="I893" i="1"/>
  <c r="F893" i="1"/>
  <c r="G893" i="1" s="1"/>
  <c r="E893" i="1"/>
  <c r="BN892" i="1"/>
  <c r="BM892" i="1"/>
  <c r="BK892" i="1"/>
  <c r="BL892" i="1" s="1"/>
  <c r="BJ892" i="1"/>
  <c r="BI892" i="1"/>
  <c r="BF892" i="1"/>
  <c r="BG892" i="1" s="1"/>
  <c r="BE892" i="1"/>
  <c r="BC892" i="1"/>
  <c r="BB892" i="1"/>
  <c r="BA892" i="1"/>
  <c r="AX892" i="1"/>
  <c r="AY892" i="1" s="1"/>
  <c r="AW892" i="1"/>
  <c r="AU892" i="1"/>
  <c r="AT892" i="1"/>
  <c r="AS892" i="1"/>
  <c r="AP892" i="1"/>
  <c r="AQ892" i="1" s="1"/>
  <c r="AO892" i="1"/>
  <c r="AL892" i="1"/>
  <c r="AK892" i="1"/>
  <c r="AH892" i="1"/>
  <c r="AI892" i="1" s="1"/>
  <c r="AG892" i="1"/>
  <c r="AE892" i="1"/>
  <c r="AD892" i="1"/>
  <c r="AC892" i="1"/>
  <c r="Z892" i="1"/>
  <c r="AA892" i="1" s="1"/>
  <c r="Y892" i="1"/>
  <c r="W892" i="1"/>
  <c r="V892" i="1"/>
  <c r="U892" i="1"/>
  <c r="R892" i="1"/>
  <c r="S892" i="1" s="1"/>
  <c r="Q892" i="1"/>
  <c r="O892" i="1"/>
  <c r="N892" i="1"/>
  <c r="M892" i="1"/>
  <c r="J892" i="1"/>
  <c r="K892" i="1" s="1"/>
  <c r="I892" i="1"/>
  <c r="F892" i="1"/>
  <c r="E892" i="1"/>
  <c r="BN891" i="1"/>
  <c r="BM891" i="1"/>
  <c r="BK891" i="1"/>
  <c r="BL891" i="1" s="1"/>
  <c r="BJ891" i="1"/>
  <c r="BI891" i="1"/>
  <c r="BF891" i="1"/>
  <c r="BG891" i="1" s="1"/>
  <c r="BE891" i="1"/>
  <c r="BC891" i="1"/>
  <c r="BB891" i="1"/>
  <c r="BA891" i="1"/>
  <c r="AX891" i="1"/>
  <c r="AY891" i="1" s="1"/>
  <c r="AW891" i="1"/>
  <c r="AU891" i="1"/>
  <c r="AT891" i="1"/>
  <c r="AS891" i="1"/>
  <c r="AP891" i="1"/>
  <c r="AQ891" i="1" s="1"/>
  <c r="AO891" i="1"/>
  <c r="AL891" i="1"/>
  <c r="AK891" i="1"/>
  <c r="AH891" i="1"/>
  <c r="AI891" i="1" s="1"/>
  <c r="AG891" i="1"/>
  <c r="AE891" i="1"/>
  <c r="AD891" i="1"/>
  <c r="AC891" i="1"/>
  <c r="Z891" i="1"/>
  <c r="AA891" i="1" s="1"/>
  <c r="Y891" i="1"/>
  <c r="W891" i="1"/>
  <c r="V891" i="1"/>
  <c r="U891" i="1"/>
  <c r="R891" i="1"/>
  <c r="S891" i="1" s="1"/>
  <c r="Q891" i="1"/>
  <c r="O891" i="1"/>
  <c r="N891" i="1"/>
  <c r="M891" i="1"/>
  <c r="J891" i="1"/>
  <c r="K891" i="1" s="1"/>
  <c r="I891" i="1"/>
  <c r="F891" i="1"/>
  <c r="E891" i="1"/>
  <c r="BN890" i="1"/>
  <c r="BL890" i="1"/>
  <c r="BJ890" i="1"/>
  <c r="BM890" i="1" s="1"/>
  <c r="BI890" i="1"/>
  <c r="BF890" i="1"/>
  <c r="BG890" i="1" s="1"/>
  <c r="BE890" i="1"/>
  <c r="BB890" i="1"/>
  <c r="BC890" i="1" s="1"/>
  <c r="BA890" i="1"/>
  <c r="AY890" i="1"/>
  <c r="AX890" i="1"/>
  <c r="AW890" i="1"/>
  <c r="AT890" i="1"/>
  <c r="AU890" i="1" s="1"/>
  <c r="AS890" i="1"/>
  <c r="AQ890" i="1"/>
  <c r="AP890" i="1"/>
  <c r="AO890" i="1"/>
  <c r="AL890" i="1"/>
  <c r="AM890" i="1" s="1"/>
  <c r="AK890" i="1"/>
  <c r="AI890" i="1"/>
  <c r="AH890" i="1"/>
  <c r="AG890" i="1"/>
  <c r="AD890" i="1"/>
  <c r="AE890" i="1" s="1"/>
  <c r="AC890" i="1"/>
  <c r="Z890" i="1"/>
  <c r="AA890" i="1" s="1"/>
  <c r="Y890" i="1"/>
  <c r="V890" i="1"/>
  <c r="W890" i="1" s="1"/>
  <c r="U890" i="1"/>
  <c r="S890" i="1"/>
  <c r="R890" i="1"/>
  <c r="Q890" i="1"/>
  <c r="N890" i="1"/>
  <c r="O890" i="1" s="1"/>
  <c r="M890" i="1"/>
  <c r="K890" i="1"/>
  <c r="J890" i="1"/>
  <c r="I890" i="1"/>
  <c r="F890" i="1"/>
  <c r="G890" i="1" s="1"/>
  <c r="E890" i="1"/>
  <c r="BN889" i="1"/>
  <c r="BL889" i="1"/>
  <c r="BJ889" i="1"/>
  <c r="BM889" i="1" s="1"/>
  <c r="BI889" i="1"/>
  <c r="BF889" i="1"/>
  <c r="BG889" i="1" s="1"/>
  <c r="BE889" i="1"/>
  <c r="BC889" i="1"/>
  <c r="BB889" i="1"/>
  <c r="BA889" i="1"/>
  <c r="AX889" i="1"/>
  <c r="AY889" i="1" s="1"/>
  <c r="AW889" i="1"/>
  <c r="AT889" i="1"/>
  <c r="AS889" i="1"/>
  <c r="AP889" i="1"/>
  <c r="AQ889" i="1" s="1"/>
  <c r="AO889" i="1"/>
  <c r="AM889" i="1"/>
  <c r="AL889" i="1"/>
  <c r="AK889" i="1"/>
  <c r="AH889" i="1"/>
  <c r="AI889" i="1" s="1"/>
  <c r="AG889" i="1"/>
  <c r="AE889" i="1"/>
  <c r="AD889" i="1"/>
  <c r="AC889" i="1"/>
  <c r="Z889" i="1"/>
  <c r="AA889" i="1" s="1"/>
  <c r="Y889" i="1"/>
  <c r="W889" i="1"/>
  <c r="V889" i="1"/>
  <c r="U889" i="1"/>
  <c r="R889" i="1"/>
  <c r="S889" i="1" s="1"/>
  <c r="Q889" i="1"/>
  <c r="N889" i="1"/>
  <c r="M889" i="1"/>
  <c r="J889" i="1"/>
  <c r="K889" i="1" s="1"/>
  <c r="I889" i="1"/>
  <c r="G889" i="1"/>
  <c r="F889" i="1"/>
  <c r="E889" i="1"/>
  <c r="BN888" i="1"/>
  <c r="BL888" i="1"/>
  <c r="BJ888" i="1"/>
  <c r="BM888" i="1" s="1"/>
  <c r="BI888" i="1"/>
  <c r="BG888" i="1"/>
  <c r="BF888" i="1"/>
  <c r="BE888" i="1"/>
  <c r="BB888" i="1"/>
  <c r="BC888" i="1" s="1"/>
  <c r="BA888" i="1"/>
  <c r="AY888" i="1"/>
  <c r="AX888" i="1"/>
  <c r="AW888" i="1"/>
  <c r="AT888" i="1"/>
  <c r="AU888" i="1" s="1"/>
  <c r="AS888" i="1"/>
  <c r="AQ888" i="1"/>
  <c r="AP888" i="1"/>
  <c r="AO888" i="1"/>
  <c r="AL888" i="1"/>
  <c r="AM888" i="1" s="1"/>
  <c r="AK888" i="1"/>
  <c r="AH888" i="1"/>
  <c r="AG888" i="1"/>
  <c r="AD888" i="1"/>
  <c r="AE888" i="1" s="1"/>
  <c r="AC888" i="1"/>
  <c r="AA888" i="1"/>
  <c r="Z888" i="1"/>
  <c r="Y888" i="1"/>
  <c r="V888" i="1"/>
  <c r="W888" i="1" s="1"/>
  <c r="U888" i="1"/>
  <c r="S888" i="1"/>
  <c r="R888" i="1"/>
  <c r="Q888" i="1"/>
  <c r="N888" i="1"/>
  <c r="O888" i="1" s="1"/>
  <c r="M888" i="1"/>
  <c r="K888" i="1"/>
  <c r="J888" i="1"/>
  <c r="I888" i="1"/>
  <c r="F888" i="1"/>
  <c r="G888" i="1" s="1"/>
  <c r="E888" i="1"/>
  <c r="BN887" i="1"/>
  <c r="BL887" i="1"/>
  <c r="BJ887" i="1"/>
  <c r="BM887" i="1" s="1"/>
  <c r="BI887" i="1"/>
  <c r="BF887" i="1"/>
  <c r="BG887" i="1" s="1"/>
  <c r="BE887" i="1"/>
  <c r="BB887" i="1"/>
  <c r="BA887" i="1"/>
  <c r="AX887" i="1"/>
  <c r="AY887" i="1" s="1"/>
  <c r="AW887" i="1"/>
  <c r="AU887" i="1"/>
  <c r="AT887" i="1"/>
  <c r="AS887" i="1"/>
  <c r="AP887" i="1"/>
  <c r="AQ887" i="1" s="1"/>
  <c r="AO887" i="1"/>
  <c r="AM887" i="1"/>
  <c r="AL887" i="1"/>
  <c r="AK887" i="1"/>
  <c r="AH887" i="1"/>
  <c r="AI887" i="1" s="1"/>
  <c r="AG887" i="1"/>
  <c r="AE887" i="1"/>
  <c r="AD887" i="1"/>
  <c r="AC887" i="1"/>
  <c r="Z887" i="1"/>
  <c r="AA887" i="1" s="1"/>
  <c r="Y887" i="1"/>
  <c r="V887" i="1"/>
  <c r="W887" i="1" s="1"/>
  <c r="U887" i="1"/>
  <c r="R887" i="1"/>
  <c r="S887" i="1" s="1"/>
  <c r="Q887" i="1"/>
  <c r="O887" i="1"/>
  <c r="N887" i="1"/>
  <c r="M887" i="1"/>
  <c r="J887" i="1"/>
  <c r="K887" i="1" s="1"/>
  <c r="I887" i="1"/>
  <c r="G887" i="1"/>
  <c r="F887" i="1"/>
  <c r="E887" i="1"/>
  <c r="BN886" i="1"/>
  <c r="BL886" i="1"/>
  <c r="BJ886" i="1"/>
  <c r="BM886" i="1" s="1"/>
  <c r="BI886" i="1"/>
  <c r="BG886" i="1"/>
  <c r="BF886" i="1"/>
  <c r="BE886" i="1"/>
  <c r="BB886" i="1"/>
  <c r="BC886" i="1" s="1"/>
  <c r="BA886" i="1"/>
  <c r="AY886" i="1"/>
  <c r="AX886" i="1"/>
  <c r="AW886" i="1"/>
  <c r="AT886" i="1"/>
  <c r="AU886" i="1" s="1"/>
  <c r="AS886" i="1"/>
  <c r="AP886" i="1"/>
  <c r="AO886" i="1"/>
  <c r="AL886" i="1"/>
  <c r="AM886" i="1" s="1"/>
  <c r="AK886" i="1"/>
  <c r="AI886" i="1"/>
  <c r="AH886" i="1"/>
  <c r="AG886" i="1"/>
  <c r="AD886" i="1"/>
  <c r="AE886" i="1" s="1"/>
  <c r="AC886" i="1"/>
  <c r="AA886" i="1"/>
  <c r="Z886" i="1"/>
  <c r="Y886" i="1"/>
  <c r="V886" i="1"/>
  <c r="W886" i="1" s="1"/>
  <c r="U886" i="1"/>
  <c r="S886" i="1"/>
  <c r="R886" i="1"/>
  <c r="Q886" i="1"/>
  <c r="N886" i="1"/>
  <c r="O886" i="1" s="1"/>
  <c r="M886" i="1"/>
  <c r="J886" i="1"/>
  <c r="I886" i="1"/>
  <c r="F886" i="1"/>
  <c r="G886" i="1" s="1"/>
  <c r="E886" i="1"/>
  <c r="BN885" i="1"/>
  <c r="BL885" i="1"/>
  <c r="BJ885" i="1"/>
  <c r="BM885" i="1" s="1"/>
  <c r="BI885" i="1"/>
  <c r="BF885" i="1"/>
  <c r="BG885" i="1" s="1"/>
  <c r="BE885" i="1"/>
  <c r="BC885" i="1"/>
  <c r="BB885" i="1"/>
  <c r="BA885" i="1"/>
  <c r="AX885" i="1"/>
  <c r="AY885" i="1" s="1"/>
  <c r="AV885" i="1"/>
  <c r="AW885" i="1" s="1"/>
  <c r="AT885" i="1"/>
  <c r="AU885" i="1" s="1"/>
  <c r="AS885" i="1"/>
  <c r="AP885" i="1"/>
  <c r="AQ885" i="1" s="1"/>
  <c r="AO885" i="1"/>
  <c r="AL885" i="1"/>
  <c r="AI885" i="1" s="1"/>
  <c r="AJ885" i="1"/>
  <c r="AK885" i="1" s="1"/>
  <c r="AH885" i="1"/>
  <c r="AF885" i="1"/>
  <c r="AG885" i="1" s="1"/>
  <c r="AD885" i="1"/>
  <c r="AA885" i="1" s="1"/>
  <c r="AB885" i="1"/>
  <c r="AC885" i="1" s="1"/>
  <c r="Z885" i="1"/>
  <c r="Y885" i="1"/>
  <c r="W885" i="1"/>
  <c r="V885" i="1"/>
  <c r="U885" i="1"/>
  <c r="R885" i="1"/>
  <c r="S885" i="1" s="1"/>
  <c r="Q885" i="1"/>
  <c r="N885" i="1"/>
  <c r="M885" i="1"/>
  <c r="J885" i="1"/>
  <c r="K885" i="1" s="1"/>
  <c r="I885" i="1"/>
  <c r="G885" i="1"/>
  <c r="F885" i="1"/>
  <c r="E885" i="1"/>
  <c r="BN884" i="1"/>
  <c r="BL884" i="1"/>
  <c r="BJ884" i="1"/>
  <c r="BM884" i="1" s="1"/>
  <c r="BI884" i="1"/>
  <c r="BG884" i="1"/>
  <c r="BF884" i="1"/>
  <c r="BE884" i="1"/>
  <c r="BB884" i="1"/>
  <c r="BC884" i="1" s="1"/>
  <c r="BA884" i="1"/>
  <c r="AY884" i="1"/>
  <c r="AX884" i="1"/>
  <c r="AW884" i="1"/>
  <c r="AV884" i="1"/>
  <c r="AT884" i="1"/>
  <c r="AU884" i="1" s="1"/>
  <c r="AS884" i="1"/>
  <c r="AP884" i="1"/>
  <c r="AQ884" i="1" s="1"/>
  <c r="AO884" i="1"/>
  <c r="AM884" i="1"/>
  <c r="AL884" i="1"/>
  <c r="AJ884" i="1"/>
  <c r="AK884" i="1" s="1"/>
  <c r="AI884" i="1"/>
  <c r="AH884" i="1"/>
  <c r="AG884" i="1"/>
  <c r="AF884" i="1"/>
  <c r="AE884" i="1"/>
  <c r="AD884" i="1"/>
  <c r="AB884" i="1"/>
  <c r="AC884" i="1" s="1"/>
  <c r="AA884" i="1"/>
  <c r="Z884" i="1"/>
  <c r="Y884" i="1"/>
  <c r="V884" i="1"/>
  <c r="W884" i="1" s="1"/>
  <c r="U884" i="1"/>
  <c r="R884" i="1"/>
  <c r="S884" i="1" s="1"/>
  <c r="Q884" i="1"/>
  <c r="N884" i="1"/>
  <c r="O884" i="1" s="1"/>
  <c r="M884" i="1"/>
  <c r="K884" i="1"/>
  <c r="J884" i="1"/>
  <c r="I884" i="1"/>
  <c r="F884" i="1"/>
  <c r="G884" i="1" s="1"/>
  <c r="E884" i="1"/>
  <c r="BN883" i="1"/>
  <c r="BM883" i="1" s="1"/>
  <c r="BL883" i="1"/>
  <c r="BJ883" i="1"/>
  <c r="BI883" i="1"/>
  <c r="BF883" i="1"/>
  <c r="BG883" i="1" s="1"/>
  <c r="BE883" i="1"/>
  <c r="BC883" i="1"/>
  <c r="BB883" i="1"/>
  <c r="BA883" i="1"/>
  <c r="AX883" i="1"/>
  <c r="AY883" i="1" s="1"/>
  <c r="AV883" i="1"/>
  <c r="AW883" i="1" s="1"/>
  <c r="AT883" i="1"/>
  <c r="AU883" i="1" s="1"/>
  <c r="AS883" i="1"/>
  <c r="AQ883" i="1"/>
  <c r="AP883" i="1"/>
  <c r="AO883" i="1"/>
  <c r="AL883" i="1"/>
  <c r="AM883" i="1" s="1"/>
  <c r="AJ883" i="1"/>
  <c r="AK883" i="1" s="1"/>
  <c r="AH883" i="1"/>
  <c r="AI883" i="1" s="1"/>
  <c r="AF883" i="1"/>
  <c r="AG883" i="1" s="1"/>
  <c r="AD883" i="1"/>
  <c r="AE883" i="1" s="1"/>
  <c r="AB883" i="1"/>
  <c r="AC883" i="1" s="1"/>
  <c r="Z883" i="1"/>
  <c r="AA883" i="1" s="1"/>
  <c r="Y883" i="1"/>
  <c r="V883" i="1"/>
  <c r="U883" i="1"/>
  <c r="R883" i="1"/>
  <c r="S883" i="1" s="1"/>
  <c r="Q883" i="1"/>
  <c r="O883" i="1"/>
  <c r="N883" i="1"/>
  <c r="M883" i="1"/>
  <c r="J883" i="1"/>
  <c r="K883" i="1" s="1"/>
  <c r="I883" i="1"/>
  <c r="G883" i="1"/>
  <c r="F883" i="1"/>
  <c r="E883" i="1"/>
  <c r="BN882" i="1"/>
  <c r="BL882" i="1"/>
  <c r="BJ882" i="1"/>
  <c r="BM882" i="1" s="1"/>
  <c r="BI882" i="1"/>
  <c r="BG882" i="1"/>
  <c r="BF882" i="1"/>
  <c r="BE882" i="1"/>
  <c r="BB882" i="1"/>
  <c r="BC882" i="1" s="1"/>
  <c r="BA882" i="1"/>
  <c r="AY882" i="1"/>
  <c r="AX882" i="1"/>
  <c r="AW882" i="1"/>
  <c r="AT882" i="1"/>
  <c r="AU882" i="1" s="1"/>
  <c r="AS882" i="1"/>
  <c r="AP882" i="1"/>
  <c r="AO882" i="1"/>
  <c r="AL882" i="1"/>
  <c r="AM882" i="1" s="1"/>
  <c r="AK882" i="1"/>
  <c r="AI882" i="1"/>
  <c r="AH882" i="1"/>
  <c r="AG882" i="1"/>
  <c r="AD882" i="1"/>
  <c r="AE882" i="1" s="1"/>
  <c r="AC882" i="1"/>
  <c r="AA882" i="1"/>
  <c r="Z882" i="1"/>
  <c r="Y882" i="1"/>
  <c r="V882" i="1"/>
  <c r="W882" i="1" s="1"/>
  <c r="U882" i="1"/>
  <c r="S882" i="1"/>
  <c r="R882" i="1"/>
  <c r="Q882" i="1"/>
  <c r="N882" i="1"/>
  <c r="O882" i="1" s="1"/>
  <c r="M882" i="1"/>
  <c r="J882" i="1"/>
  <c r="I882" i="1"/>
  <c r="F882" i="1"/>
  <c r="G882" i="1" s="1"/>
  <c r="E882" i="1"/>
  <c r="BN881" i="1"/>
  <c r="BL881" i="1"/>
  <c r="BJ881" i="1"/>
  <c r="BM881" i="1" s="1"/>
  <c r="BI881" i="1"/>
  <c r="BF881" i="1"/>
  <c r="BG881" i="1" s="1"/>
  <c r="BE881" i="1"/>
  <c r="BC881" i="1"/>
  <c r="BB881" i="1"/>
  <c r="BA881" i="1"/>
  <c r="AX881" i="1"/>
  <c r="AY881" i="1" s="1"/>
  <c r="AW881" i="1"/>
  <c r="AU881" i="1"/>
  <c r="AT881" i="1"/>
  <c r="AS881" i="1"/>
  <c r="AP881" i="1"/>
  <c r="AQ881" i="1" s="1"/>
  <c r="AO881" i="1"/>
  <c r="AM881" i="1"/>
  <c r="AL881" i="1"/>
  <c r="AK881" i="1"/>
  <c r="AH881" i="1"/>
  <c r="AI881" i="1" s="1"/>
  <c r="AG881" i="1"/>
  <c r="AD881" i="1"/>
  <c r="AE881" i="1" s="1"/>
  <c r="AC881" i="1"/>
  <c r="Z881" i="1"/>
  <c r="AA881" i="1" s="1"/>
  <c r="Y881" i="1"/>
  <c r="W881" i="1"/>
  <c r="V881" i="1"/>
  <c r="U881" i="1"/>
  <c r="R881" i="1"/>
  <c r="S881" i="1" s="1"/>
  <c r="Q881" i="1"/>
  <c r="O881" i="1"/>
  <c r="N881" i="1"/>
  <c r="M881" i="1"/>
  <c r="J881" i="1"/>
  <c r="K881" i="1" s="1"/>
  <c r="I881" i="1"/>
  <c r="G881" i="1"/>
  <c r="F881" i="1"/>
  <c r="E881" i="1"/>
  <c r="BN880" i="1"/>
  <c r="BM880" i="1"/>
  <c r="BL880" i="1"/>
  <c r="BJ880" i="1"/>
  <c r="BI880" i="1"/>
  <c r="BG880" i="1"/>
  <c r="BF880" i="1"/>
  <c r="BE880" i="1"/>
  <c r="BB880" i="1"/>
  <c r="BC880" i="1" s="1"/>
  <c r="BA880" i="1"/>
  <c r="AX880" i="1"/>
  <c r="AY880" i="1" s="1"/>
  <c r="AW880" i="1"/>
  <c r="AT880" i="1"/>
  <c r="AU880" i="1" s="1"/>
  <c r="AS880" i="1"/>
  <c r="AQ880" i="1"/>
  <c r="AP880" i="1"/>
  <c r="AO880" i="1"/>
  <c r="AL880" i="1"/>
  <c r="AM880" i="1" s="1"/>
  <c r="AK880" i="1"/>
  <c r="AI880" i="1"/>
  <c r="AH880" i="1"/>
  <c r="AG880" i="1"/>
  <c r="AD880" i="1"/>
  <c r="AE880" i="1" s="1"/>
  <c r="AC880" i="1"/>
  <c r="AA880" i="1"/>
  <c r="Z880" i="1"/>
  <c r="Y880" i="1"/>
  <c r="V880" i="1"/>
  <c r="W880" i="1" s="1"/>
  <c r="U880" i="1"/>
  <c r="R880" i="1"/>
  <c r="S880" i="1" s="1"/>
  <c r="Q880" i="1"/>
  <c r="N880" i="1"/>
  <c r="O880" i="1" s="1"/>
  <c r="M880" i="1"/>
  <c r="K880" i="1"/>
  <c r="J880" i="1"/>
  <c r="I880" i="1"/>
  <c r="F880" i="1"/>
  <c r="G880" i="1" s="1"/>
  <c r="E880" i="1"/>
  <c r="BN879" i="1"/>
  <c r="BM879" i="1" s="1"/>
  <c r="BL879" i="1"/>
  <c r="BJ879" i="1"/>
  <c r="BI879" i="1"/>
  <c r="BF879" i="1"/>
  <c r="BG879" i="1" s="1"/>
  <c r="BE879" i="1"/>
  <c r="BC879" i="1"/>
  <c r="BB879" i="1"/>
  <c r="BA879" i="1"/>
  <c r="AX879" i="1"/>
  <c r="AY879" i="1" s="1"/>
  <c r="AW879" i="1"/>
  <c r="AU879" i="1"/>
  <c r="AT879" i="1"/>
  <c r="AS879" i="1"/>
  <c r="AP879" i="1"/>
  <c r="AO879" i="1"/>
  <c r="AL879" i="1"/>
  <c r="AK879" i="1"/>
  <c r="AH879" i="1"/>
  <c r="AI879" i="1" s="1"/>
  <c r="AG879" i="1"/>
  <c r="AE879" i="1"/>
  <c r="AD879" i="1"/>
  <c r="AC879" i="1"/>
  <c r="Z879" i="1"/>
  <c r="AA879" i="1" s="1"/>
  <c r="Y879" i="1"/>
  <c r="W879" i="1"/>
  <c r="V879" i="1"/>
  <c r="U879" i="1"/>
  <c r="R879" i="1"/>
  <c r="S879" i="1" s="1"/>
  <c r="Q879" i="1"/>
  <c r="O879" i="1"/>
  <c r="N879" i="1"/>
  <c r="M879" i="1"/>
  <c r="J879" i="1"/>
  <c r="I879" i="1"/>
  <c r="F879" i="1"/>
  <c r="E879" i="1"/>
  <c r="BN878" i="1"/>
  <c r="BL878" i="1"/>
  <c r="BJ878" i="1"/>
  <c r="BI878" i="1"/>
  <c r="BF878" i="1"/>
  <c r="BE878" i="1"/>
  <c r="BB878" i="1"/>
  <c r="BC878" i="1" s="1"/>
  <c r="BA878" i="1"/>
  <c r="AY878" i="1"/>
  <c r="AX878" i="1"/>
  <c r="AW878" i="1"/>
  <c r="AT878" i="1"/>
  <c r="AU878" i="1" s="1"/>
  <c r="AS878" i="1"/>
  <c r="AQ878" i="1"/>
  <c r="AP878" i="1"/>
  <c r="AO878" i="1"/>
  <c r="AL878" i="1"/>
  <c r="AM878" i="1" s="1"/>
  <c r="AK878" i="1"/>
  <c r="AI878" i="1"/>
  <c r="AH878" i="1"/>
  <c r="AG878" i="1"/>
  <c r="AD878" i="1"/>
  <c r="AC878" i="1"/>
  <c r="Z878" i="1"/>
  <c r="Y878" i="1"/>
  <c r="V878" i="1"/>
  <c r="W878" i="1" s="1"/>
  <c r="U878" i="1"/>
  <c r="S878" i="1"/>
  <c r="R878" i="1"/>
  <c r="Q878" i="1"/>
  <c r="N878" i="1"/>
  <c r="O878" i="1" s="1"/>
  <c r="M878" i="1"/>
  <c r="K878" i="1"/>
  <c r="J878" i="1"/>
  <c r="I878" i="1"/>
  <c r="F878" i="1"/>
  <c r="G878" i="1" s="1"/>
  <c r="E878" i="1"/>
  <c r="BN877" i="1"/>
  <c r="BL877" i="1"/>
  <c r="BJ877" i="1"/>
  <c r="BM877" i="1" s="1"/>
  <c r="BI877" i="1"/>
  <c r="BF877" i="1"/>
  <c r="BG877" i="1" s="1"/>
  <c r="BE877" i="1"/>
  <c r="BC877" i="1"/>
  <c r="BB877" i="1"/>
  <c r="BA877" i="1"/>
  <c r="AX877" i="1"/>
  <c r="AW877" i="1"/>
  <c r="AT877" i="1"/>
  <c r="AS877" i="1"/>
  <c r="AP877" i="1"/>
  <c r="AQ877" i="1" s="1"/>
  <c r="AO877" i="1"/>
  <c r="AM877" i="1"/>
  <c r="AL877" i="1"/>
  <c r="AK877" i="1"/>
  <c r="AH877" i="1"/>
  <c r="AI877" i="1" s="1"/>
  <c r="AG877" i="1"/>
  <c r="AE877" i="1"/>
  <c r="AD877" i="1"/>
  <c r="AC877" i="1"/>
  <c r="Z877" i="1"/>
  <c r="AA877" i="1" s="1"/>
  <c r="Y877" i="1"/>
  <c r="W877" i="1"/>
  <c r="V877" i="1"/>
  <c r="U877" i="1"/>
  <c r="R877" i="1"/>
  <c r="Q877" i="1"/>
  <c r="N877" i="1"/>
  <c r="M877" i="1"/>
  <c r="J877" i="1"/>
  <c r="K877" i="1" s="1"/>
  <c r="I877" i="1"/>
  <c r="G877" i="1"/>
  <c r="F877" i="1"/>
  <c r="E877" i="1"/>
  <c r="BN876" i="1"/>
  <c r="BL876" i="1"/>
  <c r="BJ876" i="1"/>
  <c r="BM876" i="1" s="1"/>
  <c r="BI876" i="1"/>
  <c r="BG876" i="1"/>
  <c r="BF876" i="1"/>
  <c r="BE876" i="1"/>
  <c r="BB876" i="1"/>
  <c r="BC876" i="1" s="1"/>
  <c r="BA876" i="1"/>
  <c r="AY876" i="1"/>
  <c r="AX876" i="1"/>
  <c r="AW876" i="1"/>
  <c r="AT876" i="1"/>
  <c r="AU876" i="1" s="1"/>
  <c r="AS876" i="1"/>
  <c r="AQ876" i="1"/>
  <c r="AP876" i="1"/>
  <c r="AO876" i="1"/>
  <c r="AL876" i="1"/>
  <c r="AK876" i="1"/>
  <c r="AH876" i="1"/>
  <c r="AG876" i="1"/>
  <c r="AD876" i="1"/>
  <c r="AE876" i="1" s="1"/>
  <c r="AC876" i="1"/>
  <c r="AA876" i="1"/>
  <c r="Z876" i="1"/>
  <c r="Y876" i="1"/>
  <c r="V876" i="1"/>
  <c r="W876" i="1" s="1"/>
  <c r="U876" i="1"/>
  <c r="S876" i="1"/>
  <c r="R876" i="1"/>
  <c r="Q876" i="1"/>
  <c r="N876" i="1"/>
  <c r="O876" i="1" s="1"/>
  <c r="M876" i="1"/>
  <c r="K876" i="1"/>
  <c r="J876" i="1"/>
  <c r="I876" i="1"/>
  <c r="F876" i="1"/>
  <c r="G876" i="1" s="1"/>
  <c r="E876" i="1"/>
  <c r="BN875" i="1"/>
  <c r="BL875" i="1"/>
  <c r="BJ875" i="1"/>
  <c r="BM875" i="1" s="1"/>
  <c r="BI875" i="1"/>
  <c r="BF875" i="1"/>
  <c r="BE875" i="1"/>
  <c r="BB875" i="1"/>
  <c r="BA875" i="1"/>
  <c r="AX875" i="1"/>
  <c r="AY875" i="1" s="1"/>
  <c r="AW875" i="1"/>
  <c r="AU875" i="1"/>
  <c r="AT875" i="1"/>
  <c r="AS875" i="1"/>
  <c r="AP875" i="1"/>
  <c r="AQ875" i="1" s="1"/>
  <c r="AO875" i="1"/>
  <c r="AM875" i="1"/>
  <c r="AL875" i="1"/>
  <c r="AK875" i="1"/>
  <c r="AH875" i="1"/>
  <c r="AI875" i="1" s="1"/>
  <c r="AG875" i="1"/>
  <c r="AE875" i="1"/>
  <c r="AD875" i="1"/>
  <c r="AC875" i="1"/>
  <c r="Z875" i="1"/>
  <c r="Y875" i="1"/>
  <c r="V875" i="1"/>
  <c r="U875" i="1"/>
  <c r="R875" i="1"/>
  <c r="S875" i="1" s="1"/>
  <c r="Q875" i="1"/>
  <c r="O875" i="1"/>
  <c r="N875" i="1"/>
  <c r="M875" i="1"/>
  <c r="J875" i="1"/>
  <c r="K875" i="1" s="1"/>
  <c r="I875" i="1"/>
  <c r="G875" i="1"/>
  <c r="F875" i="1"/>
  <c r="E875" i="1"/>
  <c r="BN874" i="1"/>
  <c r="BL874" i="1"/>
  <c r="BJ874" i="1"/>
  <c r="BM874" i="1" s="1"/>
  <c r="BI874" i="1"/>
  <c r="BG874" i="1"/>
  <c r="BF874" i="1"/>
  <c r="BE874" i="1"/>
  <c r="BB874" i="1"/>
  <c r="BC874" i="1" s="1"/>
  <c r="BA874" i="1"/>
  <c r="AY874" i="1"/>
  <c r="AX874" i="1"/>
  <c r="AW874" i="1"/>
  <c r="AT874" i="1"/>
  <c r="AS874" i="1"/>
  <c r="AP874" i="1"/>
  <c r="AO874" i="1"/>
  <c r="AL874" i="1"/>
  <c r="AM874" i="1" s="1"/>
  <c r="AK874" i="1"/>
  <c r="AI874" i="1"/>
  <c r="AH874" i="1"/>
  <c r="AG874" i="1"/>
  <c r="AD874" i="1"/>
  <c r="AE874" i="1" s="1"/>
  <c r="AC874" i="1"/>
  <c r="AA874" i="1"/>
  <c r="Z874" i="1"/>
  <c r="Y874" i="1"/>
  <c r="V874" i="1"/>
  <c r="W874" i="1" s="1"/>
  <c r="U874" i="1"/>
  <c r="S874" i="1"/>
  <c r="R874" i="1"/>
  <c r="Q874" i="1"/>
  <c r="N874" i="1"/>
  <c r="M874" i="1"/>
  <c r="J874" i="1"/>
  <c r="I874" i="1"/>
  <c r="F874" i="1"/>
  <c r="G874" i="1" s="1"/>
  <c r="E874" i="1"/>
  <c r="BN873" i="1"/>
  <c r="BL873" i="1"/>
  <c r="BJ873" i="1"/>
  <c r="BM873" i="1" s="1"/>
  <c r="BI873" i="1"/>
  <c r="BF873" i="1"/>
  <c r="BG873" i="1" s="1"/>
  <c r="BE873" i="1"/>
  <c r="BC873" i="1"/>
  <c r="BB873" i="1"/>
  <c r="BA873" i="1"/>
  <c r="AX873" i="1"/>
  <c r="AY873" i="1" s="1"/>
  <c r="AW873" i="1"/>
  <c r="AU873" i="1"/>
  <c r="AT873" i="1"/>
  <c r="AS873" i="1"/>
  <c r="AP873" i="1"/>
  <c r="AQ873" i="1" s="1"/>
  <c r="AO873" i="1"/>
  <c r="AM873" i="1"/>
  <c r="AL873" i="1"/>
  <c r="AK873" i="1"/>
  <c r="AH873" i="1"/>
  <c r="AG873" i="1"/>
  <c r="AD873" i="1"/>
  <c r="AC873" i="1"/>
  <c r="Z873" i="1"/>
  <c r="AA873" i="1" s="1"/>
  <c r="Y873" i="1"/>
  <c r="W873" i="1"/>
  <c r="V873" i="1"/>
  <c r="U873" i="1"/>
  <c r="R873" i="1"/>
  <c r="S873" i="1" s="1"/>
  <c r="Q873" i="1"/>
  <c r="O873" i="1"/>
  <c r="N873" i="1"/>
  <c r="M873" i="1"/>
  <c r="J873" i="1"/>
  <c r="K873" i="1" s="1"/>
  <c r="I873" i="1"/>
  <c r="G873" i="1"/>
  <c r="F873" i="1"/>
  <c r="E873" i="1"/>
  <c r="BN872" i="1"/>
  <c r="BM872" i="1"/>
  <c r="BL872" i="1"/>
  <c r="BJ872" i="1"/>
  <c r="BI872" i="1"/>
  <c r="BG872" i="1"/>
  <c r="BF872" i="1"/>
  <c r="BE872" i="1"/>
  <c r="BB872" i="1"/>
  <c r="BA872" i="1"/>
  <c r="AX872" i="1"/>
  <c r="AW872" i="1"/>
  <c r="AT872" i="1"/>
  <c r="AU872" i="1" s="1"/>
  <c r="AS872" i="1"/>
  <c r="AQ872" i="1"/>
  <c r="AP872" i="1"/>
  <c r="AO872" i="1"/>
  <c r="AL872" i="1"/>
  <c r="AM872" i="1" s="1"/>
  <c r="AK872" i="1"/>
  <c r="AI872" i="1"/>
  <c r="AH872" i="1"/>
  <c r="AG872" i="1"/>
  <c r="AD872" i="1"/>
  <c r="AE872" i="1" s="1"/>
  <c r="AC872" i="1"/>
  <c r="AA872" i="1"/>
  <c r="Z872" i="1"/>
  <c r="Y872" i="1"/>
  <c r="V872" i="1"/>
  <c r="U872" i="1"/>
  <c r="R872" i="1"/>
  <c r="Q872" i="1"/>
  <c r="N872" i="1"/>
  <c r="O872" i="1" s="1"/>
  <c r="M872" i="1"/>
  <c r="K872" i="1"/>
  <c r="J872" i="1"/>
  <c r="I872" i="1"/>
  <c r="F872" i="1"/>
  <c r="G872" i="1" s="1"/>
  <c r="E872" i="1"/>
  <c r="BN871" i="1"/>
  <c r="BM871" i="1" s="1"/>
  <c r="BL871" i="1"/>
  <c r="BJ871" i="1"/>
  <c r="BI871" i="1"/>
  <c r="BF871" i="1"/>
  <c r="BG871" i="1" s="1"/>
  <c r="BE871" i="1"/>
  <c r="BC871" i="1"/>
  <c r="BB871" i="1"/>
  <c r="BA871" i="1"/>
  <c r="AX871" i="1"/>
  <c r="AY871" i="1" s="1"/>
  <c r="AW871" i="1"/>
  <c r="AU871" i="1"/>
  <c r="AT871" i="1"/>
  <c r="AS871" i="1"/>
  <c r="AP871" i="1"/>
  <c r="AO871" i="1"/>
  <c r="AL871" i="1"/>
  <c r="AK871" i="1"/>
  <c r="AH871" i="1"/>
  <c r="AI871" i="1" s="1"/>
  <c r="AG871" i="1"/>
  <c r="AE871" i="1"/>
  <c r="AD871" i="1"/>
  <c r="AC871" i="1"/>
  <c r="Z871" i="1"/>
  <c r="AA871" i="1" s="1"/>
  <c r="Y871" i="1"/>
  <c r="W871" i="1"/>
  <c r="V871" i="1"/>
  <c r="U871" i="1"/>
  <c r="R871" i="1"/>
  <c r="S871" i="1" s="1"/>
  <c r="Q871" i="1"/>
  <c r="O871" i="1"/>
  <c r="N871" i="1"/>
  <c r="M871" i="1"/>
  <c r="J871" i="1"/>
  <c r="I871" i="1"/>
  <c r="F871" i="1"/>
  <c r="E871" i="1"/>
  <c r="BN870" i="1"/>
  <c r="BL870" i="1"/>
  <c r="BJ870" i="1"/>
  <c r="BI870" i="1"/>
  <c r="BF870" i="1"/>
  <c r="BE870" i="1"/>
  <c r="BB870" i="1"/>
  <c r="BC870" i="1" s="1"/>
  <c r="BA870" i="1"/>
  <c r="AY870" i="1"/>
  <c r="AX870" i="1"/>
  <c r="AW870" i="1"/>
  <c r="AT870" i="1"/>
  <c r="AU870" i="1" s="1"/>
  <c r="AS870" i="1"/>
  <c r="AQ870" i="1"/>
  <c r="AP870" i="1"/>
  <c r="AO870" i="1"/>
  <c r="AL870" i="1"/>
  <c r="AM870" i="1" s="1"/>
  <c r="AK870" i="1"/>
  <c r="AI870" i="1"/>
  <c r="AH870" i="1"/>
  <c r="AG870" i="1"/>
  <c r="AD870" i="1"/>
  <c r="AC870" i="1"/>
  <c r="Z870" i="1"/>
  <c r="Y870" i="1"/>
  <c r="V870" i="1"/>
  <c r="W870" i="1" s="1"/>
  <c r="U870" i="1"/>
  <c r="S870" i="1"/>
  <c r="R870" i="1"/>
  <c r="Q870" i="1"/>
  <c r="N870" i="1"/>
  <c r="O870" i="1" s="1"/>
  <c r="M870" i="1"/>
  <c r="K870" i="1"/>
  <c r="J870" i="1"/>
  <c r="I870" i="1"/>
  <c r="F870" i="1"/>
  <c r="G870" i="1" s="1"/>
  <c r="E870" i="1"/>
  <c r="BN869" i="1"/>
  <c r="BL869" i="1"/>
  <c r="BJ869" i="1"/>
  <c r="BM869" i="1" s="1"/>
  <c r="BI869" i="1"/>
  <c r="BF869" i="1"/>
  <c r="BG869" i="1" s="1"/>
  <c r="BE869" i="1"/>
  <c r="BC869" i="1"/>
  <c r="BB869" i="1"/>
  <c r="BA869" i="1"/>
  <c r="AX869" i="1"/>
  <c r="AW869" i="1"/>
  <c r="AT869" i="1"/>
  <c r="AS869" i="1"/>
  <c r="AP869" i="1"/>
  <c r="AQ869" i="1" s="1"/>
  <c r="AO869" i="1"/>
  <c r="AM869" i="1"/>
  <c r="AL869" i="1"/>
  <c r="AK869" i="1"/>
  <c r="AH869" i="1"/>
  <c r="AI869" i="1" s="1"/>
  <c r="AG869" i="1"/>
  <c r="AE869" i="1"/>
  <c r="AD869" i="1"/>
  <c r="AC869" i="1"/>
  <c r="Z869" i="1"/>
  <c r="AA869" i="1" s="1"/>
  <c r="Y869" i="1"/>
  <c r="W869" i="1"/>
  <c r="V869" i="1"/>
  <c r="U869" i="1"/>
  <c r="R869" i="1"/>
  <c r="Q869" i="1"/>
  <c r="N869" i="1"/>
  <c r="M869" i="1"/>
  <c r="J869" i="1"/>
  <c r="K869" i="1" s="1"/>
  <c r="I869" i="1"/>
  <c r="G869" i="1"/>
  <c r="F869" i="1"/>
  <c r="E869" i="1"/>
  <c r="BN868" i="1"/>
  <c r="BL868" i="1"/>
  <c r="BJ868" i="1"/>
  <c r="BM868" i="1" s="1"/>
  <c r="BI868" i="1"/>
  <c r="BG868" i="1"/>
  <c r="BF868" i="1"/>
  <c r="BE868" i="1"/>
  <c r="BB868" i="1"/>
  <c r="BC868" i="1" s="1"/>
  <c r="BA868" i="1"/>
  <c r="AY868" i="1"/>
  <c r="AX868" i="1"/>
  <c r="AW868" i="1"/>
  <c r="AT868" i="1"/>
  <c r="AU868" i="1" s="1"/>
  <c r="AS868" i="1"/>
  <c r="AQ868" i="1"/>
  <c r="AP868" i="1"/>
  <c r="AO868" i="1"/>
  <c r="AL868" i="1"/>
  <c r="AK868" i="1"/>
  <c r="AH868" i="1"/>
  <c r="AG868" i="1"/>
  <c r="AD868" i="1"/>
  <c r="AE868" i="1" s="1"/>
  <c r="AC868" i="1"/>
  <c r="AA868" i="1"/>
  <c r="Z868" i="1"/>
  <c r="Y868" i="1"/>
  <c r="V868" i="1"/>
  <c r="W868" i="1" s="1"/>
  <c r="U868" i="1"/>
  <c r="S868" i="1"/>
  <c r="R868" i="1"/>
  <c r="Q868" i="1"/>
  <c r="N868" i="1"/>
  <c r="O868" i="1" s="1"/>
  <c r="M868" i="1"/>
  <c r="K868" i="1"/>
  <c r="J868" i="1"/>
  <c r="I868" i="1"/>
  <c r="F868" i="1"/>
  <c r="G868" i="1" s="1"/>
  <c r="E868" i="1"/>
  <c r="BN867" i="1"/>
  <c r="BL867" i="1"/>
  <c r="BJ867" i="1"/>
  <c r="BM867" i="1" s="1"/>
  <c r="BI867" i="1"/>
  <c r="BF867" i="1"/>
  <c r="BE867" i="1"/>
  <c r="BB867" i="1"/>
  <c r="BA867" i="1"/>
  <c r="AX867" i="1"/>
  <c r="AY867" i="1" s="1"/>
  <c r="AW867" i="1"/>
  <c r="AU867" i="1"/>
  <c r="AT867" i="1"/>
  <c r="AS867" i="1"/>
  <c r="AP867" i="1"/>
  <c r="AQ867" i="1" s="1"/>
  <c r="AO867" i="1"/>
  <c r="AM867" i="1"/>
  <c r="AL867" i="1"/>
  <c r="AK867" i="1"/>
  <c r="AH867" i="1"/>
  <c r="AI867" i="1" s="1"/>
  <c r="AG867" i="1"/>
  <c r="AE867" i="1"/>
  <c r="AD867" i="1"/>
  <c r="AC867" i="1"/>
  <c r="Z867" i="1"/>
  <c r="Y867" i="1"/>
  <c r="V867" i="1"/>
  <c r="U867" i="1"/>
  <c r="R867" i="1"/>
  <c r="S867" i="1" s="1"/>
  <c r="Q867" i="1"/>
  <c r="O867" i="1"/>
  <c r="N867" i="1"/>
  <c r="M867" i="1"/>
  <c r="J867" i="1"/>
  <c r="K867" i="1" s="1"/>
  <c r="I867" i="1"/>
  <c r="G867" i="1"/>
  <c r="F867" i="1"/>
  <c r="E867" i="1"/>
  <c r="BN866" i="1"/>
  <c r="BL866" i="1"/>
  <c r="BJ866" i="1"/>
  <c r="BM866" i="1" s="1"/>
  <c r="BI866" i="1"/>
  <c r="BG866" i="1"/>
  <c r="BF866" i="1"/>
  <c r="BE866" i="1"/>
  <c r="BB866" i="1"/>
  <c r="BC866" i="1" s="1"/>
  <c r="BA866" i="1"/>
  <c r="AY866" i="1"/>
  <c r="AX866" i="1"/>
  <c r="AW866" i="1"/>
  <c r="AT866" i="1"/>
  <c r="AU866" i="1" s="1"/>
  <c r="AS866" i="1"/>
  <c r="AP866" i="1"/>
  <c r="AO866" i="1"/>
  <c r="AL866" i="1"/>
  <c r="AM866" i="1" s="1"/>
  <c r="AK866" i="1"/>
  <c r="AI866" i="1"/>
  <c r="AH866" i="1"/>
  <c r="AG866" i="1"/>
  <c r="AD866" i="1"/>
  <c r="AE866" i="1" s="1"/>
  <c r="AC866" i="1"/>
  <c r="AA866" i="1"/>
  <c r="Z866" i="1"/>
  <c r="Y866" i="1"/>
  <c r="V866" i="1"/>
  <c r="W866" i="1" s="1"/>
  <c r="U866" i="1"/>
  <c r="S866" i="1"/>
  <c r="R866" i="1"/>
  <c r="Q866" i="1"/>
  <c r="N866" i="1"/>
  <c r="O866" i="1" s="1"/>
  <c r="M866" i="1"/>
  <c r="J866" i="1"/>
  <c r="K866" i="1" s="1"/>
  <c r="I866" i="1"/>
  <c r="F866" i="1"/>
  <c r="G866" i="1" s="1"/>
  <c r="E866" i="1"/>
  <c r="BN865" i="1"/>
  <c r="BL865" i="1"/>
  <c r="BJ865" i="1"/>
  <c r="BM865" i="1" s="1"/>
  <c r="BI865" i="1"/>
  <c r="BF865" i="1"/>
  <c r="BG865" i="1" s="1"/>
  <c r="BE865" i="1"/>
  <c r="BC865" i="1"/>
  <c r="BB865" i="1"/>
  <c r="BA865" i="1"/>
  <c r="AX865" i="1"/>
  <c r="AY865" i="1" s="1"/>
  <c r="AW865" i="1"/>
  <c r="AU865" i="1"/>
  <c r="AT865" i="1"/>
  <c r="AS865" i="1"/>
  <c r="AP865" i="1"/>
  <c r="AQ865" i="1" s="1"/>
  <c r="AO865" i="1"/>
  <c r="AM865" i="1"/>
  <c r="AL865" i="1"/>
  <c r="AK865" i="1"/>
  <c r="AH865" i="1"/>
  <c r="AG865" i="1"/>
  <c r="AD865" i="1"/>
  <c r="AC865" i="1"/>
  <c r="Z865" i="1"/>
  <c r="AA865" i="1" s="1"/>
  <c r="Y865" i="1"/>
  <c r="W865" i="1"/>
  <c r="V865" i="1"/>
  <c r="U865" i="1"/>
  <c r="R865" i="1"/>
  <c r="S865" i="1" s="1"/>
  <c r="Q865" i="1"/>
  <c r="O865" i="1"/>
  <c r="N865" i="1"/>
  <c r="M865" i="1"/>
  <c r="J865" i="1"/>
  <c r="K865" i="1" s="1"/>
  <c r="I865" i="1"/>
  <c r="G865" i="1"/>
  <c r="F865" i="1"/>
  <c r="E865" i="1"/>
  <c r="BN864" i="1"/>
  <c r="BM864" i="1"/>
  <c r="BL864" i="1"/>
  <c r="BJ864" i="1"/>
  <c r="BI864" i="1"/>
  <c r="BG864" i="1"/>
  <c r="BF864" i="1"/>
  <c r="BE864" i="1"/>
  <c r="BB864" i="1"/>
  <c r="BC864" i="1" s="1"/>
  <c r="BA864" i="1"/>
  <c r="AX864" i="1"/>
  <c r="AW864" i="1"/>
  <c r="AT864" i="1"/>
  <c r="AU864" i="1" s="1"/>
  <c r="AS864" i="1"/>
  <c r="AQ864" i="1"/>
  <c r="AP864" i="1"/>
  <c r="AO864" i="1"/>
  <c r="AL864" i="1"/>
  <c r="AM864" i="1" s="1"/>
  <c r="AK864" i="1"/>
  <c r="AI864" i="1"/>
  <c r="AH864" i="1"/>
  <c r="AG864" i="1"/>
  <c r="AD864" i="1"/>
  <c r="AE864" i="1" s="1"/>
  <c r="AC864" i="1"/>
  <c r="AA864" i="1"/>
  <c r="Z864" i="1"/>
  <c r="Y864" i="1"/>
  <c r="V864" i="1"/>
  <c r="W864" i="1" s="1"/>
  <c r="U864" i="1"/>
  <c r="R864" i="1"/>
  <c r="Q864" i="1"/>
  <c r="N864" i="1"/>
  <c r="O864" i="1" s="1"/>
  <c r="M864" i="1"/>
  <c r="K864" i="1"/>
  <c r="J864" i="1"/>
  <c r="I864" i="1"/>
  <c r="F864" i="1"/>
  <c r="G864" i="1" s="1"/>
  <c r="E864" i="1"/>
  <c r="BN863" i="1"/>
  <c r="BM863" i="1" s="1"/>
  <c r="BL863" i="1"/>
  <c r="BJ863" i="1"/>
  <c r="BI863" i="1"/>
  <c r="BF863" i="1"/>
  <c r="BG863" i="1" s="1"/>
  <c r="BE863" i="1"/>
  <c r="BC863" i="1"/>
  <c r="BB863" i="1"/>
  <c r="BA863" i="1"/>
  <c r="AX863" i="1"/>
  <c r="AY863" i="1" s="1"/>
  <c r="AW863" i="1"/>
  <c r="AU863" i="1"/>
  <c r="AT863" i="1"/>
  <c r="AS863" i="1"/>
  <c r="AP863" i="1"/>
  <c r="AQ863" i="1" s="1"/>
  <c r="AO863" i="1"/>
  <c r="AL863" i="1"/>
  <c r="AM863" i="1" s="1"/>
  <c r="AK863" i="1"/>
  <c r="AH863" i="1"/>
  <c r="AI863" i="1" s="1"/>
  <c r="AG863" i="1"/>
  <c r="AE863" i="1"/>
  <c r="AD863" i="1"/>
  <c r="AC863" i="1"/>
  <c r="Z863" i="1"/>
  <c r="AA863" i="1" s="1"/>
  <c r="Y863" i="1"/>
  <c r="W863" i="1"/>
  <c r="V863" i="1"/>
  <c r="U863" i="1"/>
  <c r="R863" i="1"/>
  <c r="S863" i="1" s="1"/>
  <c r="Q863" i="1"/>
  <c r="O863" i="1"/>
  <c r="N863" i="1"/>
  <c r="M863" i="1"/>
  <c r="J863" i="1"/>
  <c r="K863" i="1" s="1"/>
  <c r="I863" i="1"/>
  <c r="F863" i="1"/>
  <c r="G863" i="1" s="1"/>
  <c r="E863" i="1"/>
  <c r="BN862" i="1"/>
  <c r="BL862" i="1"/>
  <c r="BJ862" i="1"/>
  <c r="BM862" i="1" s="1"/>
  <c r="BI862" i="1"/>
  <c r="BF862" i="1"/>
  <c r="BG862" i="1" s="1"/>
  <c r="BE862" i="1"/>
  <c r="BB862" i="1"/>
  <c r="BC862" i="1" s="1"/>
  <c r="BA862" i="1"/>
  <c r="AY862" i="1"/>
  <c r="AX862" i="1"/>
  <c r="AW862" i="1"/>
  <c r="AT862" i="1"/>
  <c r="AU862" i="1" s="1"/>
  <c r="AS862" i="1"/>
  <c r="AQ862" i="1"/>
  <c r="AP862" i="1"/>
  <c r="AO862" i="1"/>
  <c r="AL862" i="1"/>
  <c r="AM862" i="1" s="1"/>
  <c r="AK862" i="1"/>
  <c r="AI862" i="1"/>
  <c r="AH862" i="1"/>
  <c r="AG862" i="1"/>
  <c r="AD862" i="1"/>
  <c r="AE862" i="1" s="1"/>
  <c r="AC862" i="1"/>
  <c r="Z862" i="1"/>
  <c r="Y862" i="1"/>
  <c r="V862" i="1"/>
  <c r="W862" i="1" s="1"/>
  <c r="U862" i="1"/>
  <c r="S862" i="1"/>
  <c r="R862" i="1"/>
  <c r="Q862" i="1"/>
  <c r="N862" i="1"/>
  <c r="O862" i="1" s="1"/>
  <c r="M862" i="1"/>
  <c r="K862" i="1"/>
  <c r="J862" i="1"/>
  <c r="I862" i="1"/>
  <c r="F862" i="1"/>
  <c r="G862" i="1" s="1"/>
  <c r="E862" i="1"/>
  <c r="BN861" i="1"/>
  <c r="BM861" i="1" s="1"/>
  <c r="BL861" i="1"/>
  <c r="BJ861" i="1"/>
  <c r="BI861" i="1"/>
  <c r="BF861" i="1"/>
  <c r="BG861" i="1" s="1"/>
  <c r="BE861" i="1"/>
  <c r="BC861" i="1"/>
  <c r="BB861" i="1"/>
  <c r="BA861" i="1"/>
  <c r="AX861" i="1"/>
  <c r="AY861" i="1" s="1"/>
  <c r="AW861" i="1"/>
  <c r="AT861" i="1"/>
  <c r="AS861" i="1"/>
  <c r="AP861" i="1"/>
  <c r="AQ861" i="1" s="1"/>
  <c r="AO861" i="1"/>
  <c r="AM861" i="1"/>
  <c r="AL861" i="1"/>
  <c r="AK861" i="1"/>
  <c r="AH861" i="1"/>
  <c r="AI861" i="1" s="1"/>
  <c r="AG861" i="1"/>
  <c r="AE861" i="1"/>
  <c r="AD861" i="1"/>
  <c r="AC861" i="1"/>
  <c r="Z861" i="1"/>
  <c r="AA861" i="1" s="1"/>
  <c r="Y861" i="1"/>
  <c r="W861" i="1"/>
  <c r="V861" i="1"/>
  <c r="U861" i="1"/>
  <c r="R861" i="1"/>
  <c r="S861" i="1" s="1"/>
  <c r="Q861" i="1"/>
  <c r="N861" i="1"/>
  <c r="O861" i="1" s="1"/>
  <c r="M861" i="1"/>
  <c r="J861" i="1"/>
  <c r="K861" i="1" s="1"/>
  <c r="I861" i="1"/>
  <c r="G861" i="1"/>
  <c r="F861" i="1"/>
  <c r="E861" i="1"/>
  <c r="BN860" i="1"/>
  <c r="BL860" i="1"/>
  <c r="BJ860" i="1"/>
  <c r="BM860" i="1" s="1"/>
  <c r="BI860" i="1"/>
  <c r="BG860" i="1"/>
  <c r="BF860" i="1"/>
  <c r="BE860" i="1"/>
  <c r="BB860" i="1"/>
  <c r="BC860" i="1" s="1"/>
  <c r="BA860" i="1"/>
  <c r="AY860" i="1"/>
  <c r="AX860" i="1"/>
  <c r="AW860" i="1"/>
  <c r="AT860" i="1"/>
  <c r="AU860" i="1" s="1"/>
  <c r="AS860" i="1"/>
  <c r="AQ860" i="1"/>
  <c r="AP860" i="1"/>
  <c r="AO860" i="1"/>
  <c r="AL860" i="1"/>
  <c r="AK860" i="1"/>
  <c r="AH860" i="1"/>
  <c r="AG860" i="1"/>
  <c r="AD860" i="1"/>
  <c r="AE860" i="1" s="1"/>
  <c r="AC860" i="1"/>
  <c r="AA860" i="1"/>
  <c r="Z860" i="1"/>
  <c r="Y860" i="1"/>
  <c r="V860" i="1"/>
  <c r="W860" i="1" s="1"/>
  <c r="U860" i="1"/>
  <c r="S860" i="1"/>
  <c r="R860" i="1"/>
  <c r="Q860" i="1"/>
  <c r="N860" i="1"/>
  <c r="O860" i="1" s="1"/>
  <c r="M860" i="1"/>
  <c r="K860" i="1"/>
  <c r="J860" i="1"/>
  <c r="I860" i="1"/>
  <c r="F860" i="1"/>
  <c r="G860" i="1" s="1"/>
  <c r="E860" i="1"/>
  <c r="BN859" i="1"/>
  <c r="BL859" i="1"/>
  <c r="BJ859" i="1"/>
  <c r="BM859" i="1" s="1"/>
  <c r="BI859" i="1"/>
  <c r="BF859" i="1"/>
  <c r="BE859" i="1"/>
  <c r="BB859" i="1"/>
  <c r="BA859" i="1"/>
  <c r="AX859" i="1"/>
  <c r="AY859" i="1" s="1"/>
  <c r="AW859" i="1"/>
  <c r="AU859" i="1"/>
  <c r="AT859" i="1"/>
  <c r="AS859" i="1"/>
  <c r="AP859" i="1"/>
  <c r="AQ859" i="1" s="1"/>
  <c r="AO859" i="1"/>
  <c r="AM859" i="1"/>
  <c r="AL859" i="1"/>
  <c r="AK859" i="1"/>
  <c r="AH859" i="1"/>
  <c r="AI859" i="1" s="1"/>
  <c r="AG859" i="1"/>
  <c r="AE859" i="1"/>
  <c r="AD859" i="1"/>
  <c r="AC859" i="1"/>
  <c r="Z859" i="1"/>
  <c r="Y859" i="1"/>
  <c r="V859" i="1"/>
  <c r="U859" i="1"/>
  <c r="R859" i="1"/>
  <c r="S859" i="1" s="1"/>
  <c r="Q859" i="1"/>
  <c r="O859" i="1"/>
  <c r="N859" i="1"/>
  <c r="M859" i="1"/>
  <c r="J859" i="1"/>
  <c r="K859" i="1" s="1"/>
  <c r="I859" i="1"/>
  <c r="G859" i="1"/>
  <c r="F859" i="1"/>
  <c r="E859" i="1"/>
  <c r="BN858" i="1"/>
  <c r="BL858" i="1"/>
  <c r="BJ858" i="1"/>
  <c r="BM858" i="1" s="1"/>
  <c r="BI858" i="1"/>
  <c r="BG858" i="1"/>
  <c r="BF858" i="1"/>
  <c r="BE858" i="1"/>
  <c r="BB858" i="1"/>
  <c r="BC858" i="1" s="1"/>
  <c r="BA858" i="1"/>
  <c r="AY858" i="1"/>
  <c r="AX858" i="1"/>
  <c r="AW858" i="1"/>
  <c r="AT858" i="1"/>
  <c r="AS858" i="1"/>
  <c r="AP858" i="1"/>
  <c r="AO858" i="1"/>
  <c r="AL858" i="1"/>
  <c r="AM858" i="1" s="1"/>
  <c r="AK858" i="1"/>
  <c r="AI858" i="1"/>
  <c r="AH858" i="1"/>
  <c r="AG858" i="1"/>
  <c r="AD858" i="1"/>
  <c r="AE858" i="1" s="1"/>
  <c r="AC858" i="1"/>
  <c r="AA858" i="1"/>
  <c r="Z858" i="1"/>
  <c r="Y858" i="1"/>
  <c r="V858" i="1"/>
  <c r="W858" i="1" s="1"/>
  <c r="U858" i="1"/>
  <c r="S858" i="1"/>
  <c r="R858" i="1"/>
  <c r="Q858" i="1"/>
  <c r="N858" i="1"/>
  <c r="M858" i="1"/>
  <c r="J858" i="1"/>
  <c r="I858" i="1"/>
  <c r="F858" i="1"/>
  <c r="G858" i="1" s="1"/>
  <c r="E858" i="1"/>
  <c r="BN857" i="1"/>
  <c r="BL857" i="1"/>
  <c r="BJ857" i="1"/>
  <c r="BM857" i="1" s="1"/>
  <c r="BI857" i="1"/>
  <c r="BF857" i="1"/>
  <c r="BG857" i="1" s="1"/>
  <c r="BE857" i="1"/>
  <c r="BC857" i="1"/>
  <c r="BB857" i="1"/>
  <c r="BA857" i="1"/>
  <c r="AX857" i="1"/>
  <c r="AY857" i="1" s="1"/>
  <c r="AW857" i="1"/>
  <c r="AU857" i="1"/>
  <c r="AT857" i="1"/>
  <c r="AS857" i="1"/>
  <c r="AP857" i="1"/>
  <c r="AQ857" i="1" s="1"/>
  <c r="AO857" i="1"/>
  <c r="AM857" i="1"/>
  <c r="AL857" i="1"/>
  <c r="AK857" i="1"/>
  <c r="AH857" i="1"/>
  <c r="AI857" i="1" s="1"/>
  <c r="AF857" i="1"/>
  <c r="AG857" i="1" s="1"/>
  <c r="AD857" i="1"/>
  <c r="AB857" i="1"/>
  <c r="AC857" i="1" s="1"/>
  <c r="Z857" i="1"/>
  <c r="AA857" i="1" s="1"/>
  <c r="X857" i="1"/>
  <c r="Y857" i="1" s="1"/>
  <c r="V857" i="1"/>
  <c r="W857" i="1" s="1"/>
  <c r="U857" i="1"/>
  <c r="S857" i="1"/>
  <c r="R857" i="1"/>
  <c r="Q857" i="1"/>
  <c r="N857" i="1"/>
  <c r="O857" i="1" s="1"/>
  <c r="M857" i="1"/>
  <c r="K857" i="1"/>
  <c r="J857" i="1"/>
  <c r="I857" i="1"/>
  <c r="F857" i="1"/>
  <c r="G857" i="1" s="1"/>
  <c r="E857" i="1"/>
  <c r="BN856" i="1"/>
  <c r="BL856" i="1"/>
  <c r="BJ856" i="1"/>
  <c r="BM856" i="1" s="1"/>
  <c r="BI856" i="1"/>
  <c r="BF856" i="1"/>
  <c r="BG856" i="1" s="1"/>
  <c r="BE856" i="1"/>
  <c r="BB856" i="1"/>
  <c r="BA856" i="1"/>
  <c r="AX856" i="1"/>
  <c r="AY856" i="1" s="1"/>
  <c r="AW856" i="1"/>
  <c r="AU856" i="1"/>
  <c r="AT856" i="1"/>
  <c r="AS856" i="1"/>
  <c r="AP856" i="1"/>
  <c r="AQ856" i="1" s="1"/>
  <c r="AO856" i="1"/>
  <c r="AM856" i="1"/>
  <c r="AL856" i="1"/>
  <c r="AK856" i="1"/>
  <c r="AH856" i="1"/>
  <c r="AI856" i="1" s="1"/>
  <c r="AF856" i="1"/>
  <c r="AG856" i="1" s="1"/>
  <c r="AD856" i="1"/>
  <c r="AE856" i="1" s="1"/>
  <c r="AB856" i="1"/>
  <c r="AC856" i="1" s="1"/>
  <c r="Z856" i="1"/>
  <c r="AA856" i="1" s="1"/>
  <c r="X856" i="1"/>
  <c r="Y856" i="1" s="1"/>
  <c r="V856" i="1"/>
  <c r="W856" i="1" s="1"/>
  <c r="U856" i="1"/>
  <c r="S856" i="1"/>
  <c r="R856" i="1"/>
  <c r="Q856" i="1"/>
  <c r="N856" i="1"/>
  <c r="O856" i="1" s="1"/>
  <c r="M856" i="1"/>
  <c r="K856" i="1"/>
  <c r="J856" i="1"/>
  <c r="I856" i="1"/>
  <c r="F856" i="1"/>
  <c r="G856" i="1" s="1"/>
  <c r="E856" i="1"/>
  <c r="BN855" i="1"/>
  <c r="BL855" i="1"/>
  <c r="BJ855" i="1"/>
  <c r="BM855" i="1" s="1"/>
  <c r="BI855" i="1"/>
  <c r="BF855" i="1"/>
  <c r="BG855" i="1" s="1"/>
  <c r="BE855" i="1"/>
  <c r="BC855" i="1"/>
  <c r="BB855" i="1"/>
  <c r="BA855" i="1"/>
  <c r="AX855" i="1"/>
  <c r="AY855" i="1" s="1"/>
  <c r="AW855" i="1"/>
  <c r="AT855" i="1"/>
  <c r="AU855" i="1" s="1"/>
  <c r="AS855" i="1"/>
  <c r="AP855" i="1"/>
  <c r="AQ855" i="1" s="1"/>
  <c r="AO855" i="1"/>
  <c r="AM855" i="1"/>
  <c r="AL855" i="1"/>
  <c r="AK855" i="1"/>
  <c r="AH855" i="1"/>
  <c r="AI855" i="1" s="1"/>
  <c r="AF855" i="1"/>
  <c r="AG855" i="1" s="1"/>
  <c r="AD855" i="1"/>
  <c r="AE855" i="1" s="1"/>
  <c r="AB855" i="1"/>
  <c r="AC855" i="1" s="1"/>
  <c r="Z855" i="1"/>
  <c r="AA855" i="1" s="1"/>
  <c r="X855" i="1"/>
  <c r="Y855" i="1" s="1"/>
  <c r="V855" i="1"/>
  <c r="W855" i="1" s="1"/>
  <c r="U855" i="1"/>
  <c r="R855" i="1"/>
  <c r="Q855" i="1"/>
  <c r="N855" i="1"/>
  <c r="O855" i="1" s="1"/>
  <c r="M855" i="1"/>
  <c r="K855" i="1"/>
  <c r="J855" i="1"/>
  <c r="I855" i="1"/>
  <c r="F855" i="1"/>
  <c r="G855" i="1" s="1"/>
  <c r="E855" i="1"/>
  <c r="BN854" i="1"/>
  <c r="BM854" i="1" s="1"/>
  <c r="BL854" i="1"/>
  <c r="BJ854" i="1"/>
  <c r="BI854" i="1"/>
  <c r="BF854" i="1"/>
  <c r="BG854" i="1" s="1"/>
  <c r="BE854" i="1"/>
  <c r="BC854" i="1"/>
  <c r="BB854" i="1"/>
  <c r="BA854" i="1"/>
  <c r="AX854" i="1"/>
  <c r="AY854" i="1" s="1"/>
  <c r="AW854" i="1"/>
  <c r="AU854" i="1"/>
  <c r="AT854" i="1"/>
  <c r="AS854" i="1"/>
  <c r="AP854" i="1"/>
  <c r="AO854" i="1"/>
  <c r="AL854" i="1"/>
  <c r="AK854" i="1"/>
  <c r="AH854" i="1"/>
  <c r="AI854" i="1" s="1"/>
  <c r="AG854" i="1"/>
  <c r="AE854" i="1"/>
  <c r="AD854" i="1"/>
  <c r="AC854" i="1"/>
  <c r="Z854" i="1"/>
  <c r="AA854" i="1" s="1"/>
  <c r="Y854" i="1"/>
  <c r="W854" i="1"/>
  <c r="V854" i="1"/>
  <c r="U854" i="1"/>
  <c r="R854" i="1"/>
  <c r="S854" i="1" s="1"/>
  <c r="Q854" i="1"/>
  <c r="O854" i="1"/>
  <c r="N854" i="1"/>
  <c r="M854" i="1"/>
  <c r="J854" i="1"/>
  <c r="I854" i="1"/>
  <c r="F854" i="1"/>
  <c r="E854" i="1"/>
  <c r="BN853" i="1"/>
  <c r="BL853" i="1"/>
  <c r="BJ853" i="1"/>
  <c r="BI853" i="1"/>
  <c r="BF853" i="1"/>
  <c r="BE853" i="1"/>
  <c r="BB853" i="1"/>
  <c r="BC853" i="1" s="1"/>
  <c r="BA853" i="1"/>
  <c r="AY853" i="1"/>
  <c r="AX853" i="1"/>
  <c r="AW853" i="1"/>
  <c r="AT853" i="1"/>
  <c r="AU853" i="1" s="1"/>
  <c r="AS853" i="1"/>
  <c r="AQ853" i="1"/>
  <c r="AP853" i="1"/>
  <c r="AO853" i="1"/>
  <c r="AL853" i="1"/>
  <c r="AM853" i="1" s="1"/>
  <c r="AK853" i="1"/>
  <c r="AI853" i="1"/>
  <c r="AH853" i="1"/>
  <c r="AG853" i="1"/>
  <c r="AD853" i="1"/>
  <c r="AC853" i="1"/>
  <c r="Z853" i="1"/>
  <c r="Y853" i="1"/>
  <c r="V853" i="1"/>
  <c r="W853" i="1" s="1"/>
  <c r="U853" i="1"/>
  <c r="S853" i="1"/>
  <c r="R853" i="1"/>
  <c r="Q853" i="1"/>
  <c r="N853" i="1"/>
  <c r="O853" i="1" s="1"/>
  <c r="M853" i="1"/>
  <c r="K853" i="1"/>
  <c r="J853" i="1"/>
  <c r="I853" i="1"/>
  <c r="F853" i="1"/>
  <c r="G853" i="1" s="1"/>
  <c r="E853" i="1"/>
  <c r="BN852" i="1"/>
  <c r="BL852" i="1"/>
  <c r="BJ852" i="1"/>
  <c r="BM852" i="1" s="1"/>
  <c r="BI852" i="1"/>
  <c r="BF852" i="1"/>
  <c r="BG852" i="1" s="1"/>
  <c r="BE852" i="1"/>
  <c r="BC852" i="1"/>
  <c r="BB852" i="1"/>
  <c r="BA852" i="1"/>
  <c r="AX852" i="1"/>
  <c r="AW852" i="1"/>
  <c r="AT852" i="1"/>
  <c r="AS852" i="1"/>
  <c r="AP852" i="1"/>
  <c r="AQ852" i="1" s="1"/>
  <c r="AO852" i="1"/>
  <c r="AM852" i="1"/>
  <c r="AL852" i="1"/>
  <c r="AK852" i="1"/>
  <c r="AH852" i="1"/>
  <c r="AI852" i="1" s="1"/>
  <c r="AG852" i="1"/>
  <c r="AE852" i="1"/>
  <c r="AD852" i="1"/>
  <c r="AC852" i="1"/>
  <c r="Z852" i="1"/>
  <c r="AA852" i="1" s="1"/>
  <c r="Y852" i="1"/>
  <c r="W852" i="1"/>
  <c r="V852" i="1"/>
  <c r="U852" i="1"/>
  <c r="R852" i="1"/>
  <c r="Q852" i="1"/>
  <c r="N852" i="1"/>
  <c r="M852" i="1"/>
  <c r="J852" i="1"/>
  <c r="K852" i="1" s="1"/>
  <c r="I852" i="1"/>
  <c r="G852" i="1"/>
  <c r="F852" i="1"/>
  <c r="E852" i="1"/>
  <c r="BN851" i="1"/>
  <c r="BL851" i="1"/>
  <c r="BJ851" i="1"/>
  <c r="BM851" i="1" s="1"/>
  <c r="BI851" i="1"/>
  <c r="BG851" i="1"/>
  <c r="BF851" i="1"/>
  <c r="BE851" i="1"/>
  <c r="BB851" i="1"/>
  <c r="BC851" i="1" s="1"/>
  <c r="BA851" i="1"/>
  <c r="AY851" i="1"/>
  <c r="AX851" i="1"/>
  <c r="AW851" i="1"/>
  <c r="AT851" i="1"/>
  <c r="AU851" i="1" s="1"/>
  <c r="AS851" i="1"/>
  <c r="AQ851" i="1"/>
  <c r="AP851" i="1"/>
  <c r="AO851" i="1"/>
  <c r="AL851" i="1"/>
  <c r="AK851" i="1"/>
  <c r="AH851" i="1"/>
  <c r="AG851" i="1"/>
  <c r="AD851" i="1"/>
  <c r="AE851" i="1" s="1"/>
  <c r="AC851" i="1"/>
  <c r="AA851" i="1"/>
  <c r="Z851" i="1"/>
  <c r="Y851" i="1"/>
  <c r="V851" i="1"/>
  <c r="W851" i="1" s="1"/>
  <c r="U851" i="1"/>
  <c r="S851" i="1"/>
  <c r="R851" i="1"/>
  <c r="Q851" i="1"/>
  <c r="N851" i="1"/>
  <c r="O851" i="1" s="1"/>
  <c r="M851" i="1"/>
  <c r="K851" i="1"/>
  <c r="J851" i="1"/>
  <c r="I851" i="1"/>
  <c r="F851" i="1"/>
  <c r="G851" i="1" s="1"/>
  <c r="E851" i="1"/>
  <c r="BN850" i="1"/>
  <c r="BL850" i="1"/>
  <c r="BJ850" i="1"/>
  <c r="BM850" i="1" s="1"/>
  <c r="BI850" i="1"/>
  <c r="BF850" i="1"/>
  <c r="BE850" i="1"/>
  <c r="BB850" i="1"/>
  <c r="BA850" i="1"/>
  <c r="AX850" i="1"/>
  <c r="AY850" i="1" s="1"/>
  <c r="AW850" i="1"/>
  <c r="AU850" i="1"/>
  <c r="AT850" i="1"/>
  <c r="AS850" i="1"/>
  <c r="AP850" i="1"/>
  <c r="AQ850" i="1" s="1"/>
  <c r="AO850" i="1"/>
  <c r="AM850" i="1"/>
  <c r="AL850" i="1"/>
  <c r="AK850" i="1"/>
  <c r="AH850" i="1"/>
  <c r="AI850" i="1" s="1"/>
  <c r="AG850" i="1"/>
  <c r="AE850" i="1"/>
  <c r="AD850" i="1"/>
  <c r="AC850" i="1"/>
  <c r="Z850" i="1"/>
  <c r="Y850" i="1"/>
  <c r="V850" i="1"/>
  <c r="U850" i="1"/>
  <c r="R850" i="1"/>
  <c r="S850" i="1" s="1"/>
  <c r="Q850" i="1"/>
  <c r="O850" i="1"/>
  <c r="N850" i="1"/>
  <c r="M850" i="1"/>
  <c r="J850" i="1"/>
  <c r="K850" i="1" s="1"/>
  <c r="I850" i="1"/>
  <c r="G850" i="1"/>
  <c r="F850" i="1"/>
  <c r="E850" i="1"/>
  <c r="BN849" i="1"/>
  <c r="BL849" i="1"/>
  <c r="BJ849" i="1"/>
  <c r="BM849" i="1" s="1"/>
  <c r="BI849" i="1"/>
  <c r="BG849" i="1"/>
  <c r="BF849" i="1"/>
  <c r="BE849" i="1"/>
  <c r="BB849" i="1"/>
  <c r="BC849" i="1" s="1"/>
  <c r="BA849" i="1"/>
  <c r="AY849" i="1"/>
  <c r="AX849" i="1"/>
  <c r="AW849" i="1"/>
  <c r="AT849" i="1"/>
  <c r="AS849" i="1"/>
  <c r="AP849" i="1"/>
  <c r="AO849" i="1"/>
  <c r="AL849" i="1"/>
  <c r="AM849" i="1" s="1"/>
  <c r="AK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N849" i="1"/>
  <c r="O849" i="1" s="1"/>
  <c r="M849" i="1"/>
  <c r="K849" i="1"/>
  <c r="J849" i="1"/>
  <c r="I849" i="1"/>
  <c r="F849" i="1"/>
  <c r="G849" i="1" s="1"/>
  <c r="E849" i="1"/>
  <c r="BN848" i="1"/>
  <c r="BM848" i="1" s="1"/>
  <c r="BL848" i="1"/>
  <c r="BJ848" i="1"/>
  <c r="BI848" i="1"/>
  <c r="BF848" i="1"/>
  <c r="BG848" i="1" s="1"/>
  <c r="BE848" i="1"/>
  <c r="BC848" i="1"/>
  <c r="BB848" i="1"/>
  <c r="BA848" i="1"/>
  <c r="AX848" i="1"/>
  <c r="AW848" i="1"/>
  <c r="AT848" i="1"/>
  <c r="AS848" i="1"/>
  <c r="AP848" i="1"/>
  <c r="AQ848" i="1" s="1"/>
  <c r="AO848" i="1"/>
  <c r="AM848" i="1"/>
  <c r="AL848" i="1"/>
  <c r="AK848" i="1"/>
  <c r="AH848" i="1"/>
  <c r="AI848" i="1" s="1"/>
  <c r="AF848" i="1"/>
  <c r="AG848" i="1" s="1"/>
  <c r="AD848" i="1"/>
  <c r="AE848" i="1" s="1"/>
  <c r="AB848" i="1"/>
  <c r="AC848" i="1" s="1"/>
  <c r="Z848" i="1"/>
  <c r="X848" i="1"/>
  <c r="Y848" i="1" s="1"/>
  <c r="V848" i="1"/>
  <c r="W848" i="1" s="1"/>
  <c r="T848" i="1"/>
  <c r="U848" i="1" s="1"/>
  <c r="R848" i="1"/>
  <c r="S848" i="1" s="1"/>
  <c r="Q848" i="1"/>
  <c r="O848" i="1"/>
  <c r="N848" i="1"/>
  <c r="M848" i="1"/>
  <c r="J848" i="1"/>
  <c r="K848" i="1" s="1"/>
  <c r="I848" i="1"/>
  <c r="G848" i="1"/>
  <c r="F848" i="1"/>
  <c r="E848" i="1"/>
  <c r="BN847" i="1"/>
  <c r="BM847" i="1"/>
  <c r="BL847" i="1"/>
  <c r="BJ847" i="1"/>
  <c r="BI847" i="1"/>
  <c r="BG847" i="1"/>
  <c r="BF847" i="1"/>
  <c r="BE847" i="1"/>
  <c r="BB847" i="1"/>
  <c r="BA847" i="1"/>
  <c r="AX847" i="1"/>
  <c r="AW847" i="1"/>
  <c r="AT847" i="1"/>
  <c r="AU847" i="1" s="1"/>
  <c r="AS847" i="1"/>
  <c r="AQ847" i="1"/>
  <c r="AP847" i="1"/>
  <c r="AO847" i="1"/>
  <c r="AL847" i="1"/>
  <c r="AM847" i="1" s="1"/>
  <c r="AK847" i="1"/>
  <c r="AI847" i="1"/>
  <c r="AH847" i="1"/>
  <c r="AE847" i="1" s="1"/>
  <c r="AG847" i="1"/>
  <c r="AF847" i="1"/>
  <c r="AD847" i="1"/>
  <c r="AC847" i="1"/>
  <c r="AB847" i="1"/>
  <c r="AA847" i="1"/>
  <c r="Z847" i="1"/>
  <c r="W847" i="1" s="1"/>
  <c r="Y847" i="1"/>
  <c r="X847" i="1"/>
  <c r="V847" i="1"/>
  <c r="U847" i="1"/>
  <c r="T847" i="1"/>
  <c r="S847" i="1"/>
  <c r="R847" i="1"/>
  <c r="Q847" i="1"/>
  <c r="N847" i="1"/>
  <c r="O847" i="1" s="1"/>
  <c r="M847" i="1"/>
  <c r="K847" i="1"/>
  <c r="J847" i="1"/>
  <c r="I847" i="1"/>
  <c r="F847" i="1"/>
  <c r="G847" i="1" s="1"/>
  <c r="E847" i="1"/>
  <c r="BN846" i="1"/>
  <c r="BL846" i="1"/>
  <c r="BJ846" i="1"/>
  <c r="BM846" i="1" s="1"/>
  <c r="BI846" i="1"/>
  <c r="BF846" i="1"/>
  <c r="BE846" i="1"/>
  <c r="BB846" i="1"/>
  <c r="BA846" i="1"/>
  <c r="AX846" i="1"/>
  <c r="AY846" i="1" s="1"/>
  <c r="AW846" i="1"/>
  <c r="AT846" i="1"/>
  <c r="AS846" i="1"/>
  <c r="AP846" i="1"/>
  <c r="AQ846" i="1" s="1"/>
  <c r="AO846" i="1"/>
  <c r="AM846" i="1"/>
  <c r="AL846" i="1"/>
  <c r="AK846" i="1"/>
  <c r="AH846" i="1"/>
  <c r="AI846" i="1" s="1"/>
  <c r="AG846" i="1"/>
  <c r="AE846" i="1"/>
  <c r="AD846" i="1"/>
  <c r="AC846" i="1"/>
  <c r="Z846" i="1"/>
  <c r="Y846" i="1"/>
  <c r="V846" i="1"/>
  <c r="U846" i="1"/>
  <c r="R846" i="1"/>
  <c r="Q846" i="1"/>
  <c r="N846" i="1"/>
  <c r="M846" i="1"/>
  <c r="J846" i="1"/>
  <c r="K846" i="1" s="1"/>
  <c r="I846" i="1"/>
  <c r="G846" i="1"/>
  <c r="F846" i="1"/>
  <c r="E846" i="1"/>
  <c r="BN845" i="1"/>
  <c r="BL845" i="1"/>
  <c r="BJ845" i="1"/>
  <c r="BM845" i="1" s="1"/>
  <c r="BI845" i="1"/>
  <c r="BG845" i="1"/>
  <c r="BF845" i="1"/>
  <c r="BE845" i="1"/>
  <c r="BB845" i="1"/>
  <c r="BC845" i="1" s="1"/>
  <c r="BA845" i="1"/>
  <c r="AY845" i="1"/>
  <c r="AX845" i="1"/>
  <c r="AW845" i="1"/>
  <c r="AT845" i="1"/>
  <c r="AU845" i="1" s="1"/>
  <c r="AS845" i="1"/>
  <c r="AP845" i="1"/>
  <c r="AQ845" i="1" s="1"/>
  <c r="AO845" i="1"/>
  <c r="AL845" i="1"/>
  <c r="AM845" i="1" s="1"/>
  <c r="AK845" i="1"/>
  <c r="AH845" i="1"/>
  <c r="AF845" i="1"/>
  <c r="AG845" i="1" s="1"/>
  <c r="AE845" i="1"/>
  <c r="AD845" i="1"/>
  <c r="AC845" i="1"/>
  <c r="AB845" i="1"/>
  <c r="AA845" i="1"/>
  <c r="Z845" i="1"/>
  <c r="X845" i="1"/>
  <c r="Y845" i="1" s="1"/>
  <c r="W845" i="1"/>
  <c r="V845" i="1"/>
  <c r="U845" i="1"/>
  <c r="R845" i="1"/>
  <c r="S845" i="1" s="1"/>
  <c r="Q845" i="1"/>
  <c r="N845" i="1"/>
  <c r="O845" i="1" s="1"/>
  <c r="M845" i="1"/>
  <c r="J845" i="1"/>
  <c r="K845" i="1" s="1"/>
  <c r="I845" i="1"/>
  <c r="F845" i="1"/>
  <c r="E845" i="1"/>
  <c r="BN844" i="1"/>
  <c r="BL844" i="1"/>
  <c r="BJ844" i="1"/>
  <c r="BM844" i="1" s="1"/>
  <c r="BI844" i="1"/>
  <c r="BG844" i="1"/>
  <c r="BF844" i="1"/>
  <c r="BE844" i="1"/>
  <c r="BB844" i="1"/>
  <c r="BC844" i="1" s="1"/>
  <c r="BA844" i="1"/>
  <c r="AY844" i="1"/>
  <c r="AX844" i="1"/>
  <c r="AW844" i="1"/>
  <c r="AT844" i="1"/>
  <c r="AU844" i="1" s="1"/>
  <c r="AS844" i="1"/>
  <c r="AQ844" i="1"/>
  <c r="AP844" i="1"/>
  <c r="AO844" i="1"/>
  <c r="AL844" i="1"/>
  <c r="AM844" i="1" s="1"/>
  <c r="AK844" i="1"/>
  <c r="AH844" i="1"/>
  <c r="AI844" i="1" s="1"/>
  <c r="AG844" i="1"/>
  <c r="AF844" i="1"/>
  <c r="AE844" i="1"/>
  <c r="AD844" i="1"/>
  <c r="AC844" i="1"/>
  <c r="AB844" i="1"/>
  <c r="Z844" i="1"/>
  <c r="AA844" i="1" s="1"/>
  <c r="Y844" i="1"/>
  <c r="X844" i="1"/>
  <c r="W844" i="1"/>
  <c r="V844" i="1"/>
  <c r="U844" i="1"/>
  <c r="R844" i="1"/>
  <c r="S844" i="1" s="1"/>
  <c r="Q844" i="1"/>
  <c r="O844" i="1"/>
  <c r="N844" i="1"/>
  <c r="M844" i="1"/>
  <c r="J844" i="1"/>
  <c r="K844" i="1" s="1"/>
  <c r="I844" i="1"/>
  <c r="F844" i="1"/>
  <c r="G844" i="1" s="1"/>
  <c r="E844" i="1"/>
  <c r="BN843" i="1"/>
  <c r="BL843" i="1"/>
  <c r="BJ843" i="1"/>
  <c r="BM843" i="1" s="1"/>
  <c r="BI843" i="1"/>
  <c r="BF843" i="1"/>
  <c r="BG843" i="1" s="1"/>
  <c r="BE843" i="1"/>
  <c r="BB843" i="1"/>
  <c r="BC843" i="1" s="1"/>
  <c r="BA843" i="1"/>
  <c r="AX843" i="1"/>
  <c r="AW843" i="1"/>
  <c r="AT843" i="1"/>
  <c r="AU843" i="1" s="1"/>
  <c r="AS843" i="1"/>
  <c r="AQ843" i="1"/>
  <c r="AP843" i="1"/>
  <c r="AO843" i="1"/>
  <c r="AL843" i="1"/>
  <c r="AM843" i="1" s="1"/>
  <c r="AK843" i="1"/>
  <c r="AI843" i="1"/>
  <c r="AH843" i="1"/>
  <c r="AG843" i="1"/>
  <c r="AF843" i="1"/>
  <c r="AE843" i="1"/>
  <c r="AD843" i="1"/>
  <c r="AB843" i="1"/>
  <c r="AC843" i="1" s="1"/>
  <c r="AA843" i="1"/>
  <c r="Z843" i="1"/>
  <c r="Y843" i="1"/>
  <c r="X843" i="1"/>
  <c r="W843" i="1"/>
  <c r="V843" i="1"/>
  <c r="U843" i="1"/>
  <c r="R843" i="1"/>
  <c r="S843" i="1" s="1"/>
  <c r="Q843" i="1"/>
  <c r="O843" i="1"/>
  <c r="N843" i="1"/>
  <c r="M843" i="1"/>
  <c r="J843" i="1"/>
  <c r="K843" i="1" s="1"/>
  <c r="I843" i="1"/>
  <c r="G843" i="1"/>
  <c r="F843" i="1"/>
  <c r="E843" i="1"/>
  <c r="BN842" i="1"/>
  <c r="BM842" i="1"/>
  <c r="BL842" i="1"/>
  <c r="BJ842" i="1"/>
  <c r="BI842" i="1"/>
  <c r="BG842" i="1"/>
  <c r="BF842" i="1"/>
  <c r="BE842" i="1"/>
  <c r="BB842" i="1"/>
  <c r="BC842" i="1" s="1"/>
  <c r="BA842" i="1"/>
  <c r="AX842" i="1"/>
  <c r="AY842" i="1" s="1"/>
  <c r="AW842" i="1"/>
  <c r="AT842" i="1"/>
  <c r="AU842" i="1" s="1"/>
  <c r="AS842" i="1"/>
  <c r="AP842" i="1"/>
  <c r="AO842" i="1"/>
  <c r="AL842" i="1"/>
  <c r="AM842" i="1" s="1"/>
  <c r="AK842" i="1"/>
  <c r="AI842" i="1"/>
  <c r="AH842" i="1"/>
  <c r="AG842" i="1"/>
  <c r="AD842" i="1"/>
  <c r="AE842" i="1" s="1"/>
  <c r="AC842" i="1"/>
  <c r="AA842" i="1"/>
  <c r="Z842" i="1"/>
  <c r="Y842" i="1"/>
  <c r="V842" i="1"/>
  <c r="W842" i="1" s="1"/>
  <c r="U842" i="1"/>
  <c r="R842" i="1"/>
  <c r="S842" i="1" s="1"/>
  <c r="Q842" i="1"/>
  <c r="N842" i="1"/>
  <c r="O842" i="1" s="1"/>
  <c r="M842" i="1"/>
  <c r="J842" i="1"/>
  <c r="I842" i="1"/>
  <c r="F842" i="1"/>
  <c r="G842" i="1" s="1"/>
  <c r="E842" i="1"/>
  <c r="BN841" i="1"/>
  <c r="BM841" i="1" s="1"/>
  <c r="BL841" i="1"/>
  <c r="BJ841" i="1"/>
  <c r="BH841" i="1"/>
  <c r="BI841" i="1" s="1"/>
  <c r="BG841" i="1"/>
  <c r="BF841" i="1"/>
  <c r="BE841" i="1"/>
  <c r="BD841" i="1"/>
  <c r="BC841" i="1"/>
  <c r="BB841" i="1"/>
  <c r="AZ841" i="1"/>
  <c r="BA841" i="1" s="1"/>
  <c r="AY841" i="1"/>
  <c r="AX841" i="1"/>
  <c r="AW841" i="1"/>
  <c r="AV841" i="1"/>
  <c r="AU841" i="1"/>
  <c r="AT841" i="1"/>
  <c r="AS841" i="1"/>
  <c r="AP841" i="1"/>
  <c r="AQ841" i="1" s="1"/>
  <c r="AN841" i="1"/>
  <c r="AO841" i="1" s="1"/>
  <c r="AL841" i="1"/>
  <c r="AK841" i="1"/>
  <c r="AH841" i="1"/>
  <c r="AG841" i="1"/>
  <c r="AD841" i="1"/>
  <c r="AE841" i="1" s="1"/>
  <c r="AC841" i="1"/>
  <c r="AA841" i="1"/>
  <c r="Z841" i="1"/>
  <c r="Y841" i="1"/>
  <c r="V841" i="1"/>
  <c r="W841" i="1" s="1"/>
  <c r="U841" i="1"/>
  <c r="S841" i="1"/>
  <c r="R841" i="1"/>
  <c r="O841" i="1" s="1"/>
  <c r="Q841" i="1"/>
  <c r="P841" i="1"/>
  <c r="N841" i="1"/>
  <c r="M841" i="1"/>
  <c r="L841" i="1"/>
  <c r="K841" i="1"/>
  <c r="J841" i="1"/>
  <c r="G841" i="1" s="1"/>
  <c r="I841" i="1"/>
  <c r="H841" i="1"/>
  <c r="F841" i="1"/>
  <c r="E841" i="1"/>
  <c r="BN840" i="1"/>
  <c r="BL840" i="1"/>
  <c r="BJ840" i="1"/>
  <c r="BM840" i="1" s="1"/>
  <c r="BH840" i="1"/>
  <c r="BI840" i="1" s="1"/>
  <c r="BF840" i="1"/>
  <c r="BG840" i="1" s="1"/>
  <c r="BD840" i="1"/>
  <c r="BE840" i="1" s="1"/>
  <c r="BB840" i="1"/>
  <c r="BC840" i="1" s="1"/>
  <c r="AZ840" i="1"/>
  <c r="BA840" i="1" s="1"/>
  <c r="AX840" i="1"/>
  <c r="AV840" i="1"/>
  <c r="AW840" i="1" s="1"/>
  <c r="AT840" i="1"/>
  <c r="AS840" i="1"/>
  <c r="AP840" i="1"/>
  <c r="AO840" i="1"/>
  <c r="AL840" i="1"/>
  <c r="AM840" i="1" s="1"/>
  <c r="AK840" i="1"/>
  <c r="AH840" i="1"/>
  <c r="AG840" i="1"/>
  <c r="AD840" i="1"/>
  <c r="AE840" i="1" s="1"/>
  <c r="AC840" i="1"/>
  <c r="AA840" i="1"/>
  <c r="Z840" i="1"/>
  <c r="Y840" i="1"/>
  <c r="V840" i="1"/>
  <c r="W840" i="1" s="1"/>
  <c r="U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BN839" i="1"/>
  <c r="BM839" i="1"/>
  <c r="BK839" i="1"/>
  <c r="BL839" i="1" s="1"/>
  <c r="BJ839" i="1"/>
  <c r="BG839" i="1" s="1"/>
  <c r="BI839" i="1"/>
  <c r="BH839" i="1"/>
  <c r="BF839" i="1"/>
  <c r="BE839" i="1"/>
  <c r="BD839" i="1"/>
  <c r="BC839" i="1"/>
  <c r="BB839" i="1"/>
  <c r="AY839" i="1" s="1"/>
  <c r="BA839" i="1"/>
  <c r="AZ839" i="1"/>
  <c r="AX839" i="1"/>
  <c r="AW839" i="1"/>
  <c r="AV839" i="1"/>
  <c r="AU839" i="1"/>
  <c r="AT839" i="1"/>
  <c r="AQ839" i="1" s="1"/>
  <c r="AS839" i="1"/>
  <c r="AR839" i="1"/>
  <c r="AP839" i="1"/>
  <c r="AO839" i="1"/>
  <c r="AN839" i="1"/>
  <c r="AM839" i="1"/>
  <c r="AL839" i="1"/>
  <c r="AI839" i="1" s="1"/>
  <c r="AK839" i="1"/>
  <c r="AJ839" i="1"/>
  <c r="AH839" i="1"/>
  <c r="AG839" i="1"/>
  <c r="AD839" i="1"/>
  <c r="AE839" i="1" s="1"/>
  <c r="AC839" i="1"/>
  <c r="Z839" i="1"/>
  <c r="Y839" i="1"/>
  <c r="V839" i="1"/>
  <c r="W839" i="1" s="1"/>
  <c r="U839" i="1"/>
  <c r="S839" i="1"/>
  <c r="R839" i="1"/>
  <c r="O839" i="1" s="1"/>
  <c r="Q839" i="1"/>
  <c r="P839" i="1"/>
  <c r="N839" i="1"/>
  <c r="M839" i="1"/>
  <c r="L839" i="1"/>
  <c r="K839" i="1"/>
  <c r="J839" i="1"/>
  <c r="G839" i="1" s="1"/>
  <c r="I839" i="1"/>
  <c r="H839" i="1"/>
  <c r="F839" i="1"/>
  <c r="E839" i="1"/>
  <c r="BN838" i="1"/>
  <c r="BL838" i="1"/>
  <c r="BJ838" i="1"/>
  <c r="BG838" i="1" s="1"/>
  <c r="BI838" i="1"/>
  <c r="BF838" i="1"/>
  <c r="BE838" i="1"/>
  <c r="BB838" i="1"/>
  <c r="BC838" i="1" s="1"/>
  <c r="BA838" i="1"/>
  <c r="AX838" i="1"/>
  <c r="AW838" i="1"/>
  <c r="AT838" i="1"/>
  <c r="AU838" i="1" s="1"/>
  <c r="AS838" i="1"/>
  <c r="AQ838" i="1"/>
  <c r="AP838" i="1"/>
  <c r="AO838" i="1"/>
  <c r="AL838" i="1"/>
  <c r="AM838" i="1" s="1"/>
  <c r="AK838" i="1"/>
  <c r="AI838" i="1"/>
  <c r="AH838" i="1"/>
  <c r="AG838" i="1"/>
  <c r="AD838" i="1"/>
  <c r="AC838" i="1"/>
  <c r="Z838" i="1"/>
  <c r="Y838" i="1"/>
  <c r="V838" i="1"/>
  <c r="W838" i="1" s="1"/>
  <c r="U838" i="1"/>
  <c r="R838" i="1"/>
  <c r="Q838" i="1"/>
  <c r="N838" i="1"/>
  <c r="O838" i="1" s="1"/>
  <c r="M838" i="1"/>
  <c r="K838" i="1"/>
  <c r="J838" i="1"/>
  <c r="I838" i="1"/>
  <c r="F838" i="1"/>
  <c r="G838" i="1" s="1"/>
  <c r="E838" i="1"/>
  <c r="BN837" i="1"/>
  <c r="BM837" i="1" s="1"/>
  <c r="BL837" i="1"/>
  <c r="BJ837" i="1"/>
  <c r="BI837" i="1"/>
  <c r="BF837" i="1"/>
  <c r="BG837" i="1" s="1"/>
  <c r="BE837" i="1"/>
  <c r="BC837" i="1"/>
  <c r="BB837" i="1"/>
  <c r="BA837" i="1"/>
  <c r="AX837" i="1"/>
  <c r="AW837" i="1"/>
  <c r="AT837" i="1"/>
  <c r="AS837" i="1"/>
  <c r="AP837" i="1"/>
  <c r="AQ837" i="1" s="1"/>
  <c r="AO837" i="1"/>
  <c r="AM837" i="1"/>
  <c r="AL837" i="1"/>
  <c r="AK837" i="1"/>
  <c r="AH837" i="1"/>
  <c r="AI837" i="1" s="1"/>
  <c r="AF837" i="1"/>
  <c r="AG837" i="1" s="1"/>
  <c r="AD837" i="1"/>
  <c r="AE837" i="1" s="1"/>
  <c r="AB837" i="1"/>
  <c r="AC837" i="1" s="1"/>
  <c r="Z837" i="1"/>
  <c r="X837" i="1"/>
  <c r="Y837" i="1" s="1"/>
  <c r="V837" i="1"/>
  <c r="W837" i="1" s="1"/>
  <c r="T837" i="1"/>
  <c r="U837" i="1" s="1"/>
  <c r="R837" i="1"/>
  <c r="S837" i="1" s="1"/>
  <c r="Q837" i="1"/>
  <c r="O837" i="1"/>
  <c r="N837" i="1"/>
  <c r="M837" i="1"/>
  <c r="J837" i="1"/>
  <c r="K837" i="1" s="1"/>
  <c r="I837" i="1"/>
  <c r="G837" i="1"/>
  <c r="F837" i="1"/>
  <c r="E837" i="1"/>
  <c r="BN836" i="1"/>
  <c r="BM836" i="1"/>
  <c r="BL836" i="1"/>
  <c r="BJ836" i="1"/>
  <c r="BI836" i="1"/>
  <c r="BG836" i="1"/>
  <c r="BF836" i="1"/>
  <c r="BE836" i="1"/>
  <c r="BB836" i="1"/>
  <c r="BA836" i="1"/>
  <c r="AX836" i="1"/>
  <c r="AW836" i="1"/>
  <c r="AT836" i="1"/>
  <c r="AU836" i="1" s="1"/>
  <c r="AS836" i="1"/>
  <c r="AQ836" i="1"/>
  <c r="AP836" i="1"/>
  <c r="AO836" i="1"/>
  <c r="AL836" i="1"/>
  <c r="AM836" i="1" s="1"/>
  <c r="AK836" i="1"/>
  <c r="AI836" i="1"/>
  <c r="AH836" i="1"/>
  <c r="AE836" i="1" s="1"/>
  <c r="AG836" i="1"/>
  <c r="AF836" i="1"/>
  <c r="AD836" i="1"/>
  <c r="AC836" i="1"/>
  <c r="Z836" i="1"/>
  <c r="AA836" i="1" s="1"/>
  <c r="Y836" i="1"/>
  <c r="W836" i="1"/>
  <c r="V836" i="1"/>
  <c r="U836" i="1"/>
  <c r="T836" i="1"/>
  <c r="S836" i="1"/>
  <c r="R836" i="1"/>
  <c r="Q836" i="1"/>
  <c r="N836" i="1"/>
  <c r="M836" i="1"/>
  <c r="J836" i="1"/>
  <c r="I836" i="1"/>
  <c r="F836" i="1"/>
  <c r="G836" i="1" s="1"/>
  <c r="E836" i="1"/>
  <c r="BN835" i="1"/>
  <c r="BM835" i="1" s="1"/>
  <c r="BL835" i="1"/>
  <c r="BJ835" i="1"/>
  <c r="BI835" i="1"/>
  <c r="BF835" i="1"/>
  <c r="BG835" i="1" s="1"/>
  <c r="BE835" i="1"/>
  <c r="BC835" i="1"/>
  <c r="BB835" i="1"/>
  <c r="BA835" i="1"/>
  <c r="AX835" i="1"/>
  <c r="AY835" i="1" s="1"/>
  <c r="AW835" i="1"/>
  <c r="AU835" i="1"/>
  <c r="AT835" i="1"/>
  <c r="AS835" i="1"/>
  <c r="AP835" i="1"/>
  <c r="AQ835" i="1" s="1"/>
  <c r="AO835" i="1"/>
  <c r="AM835" i="1"/>
  <c r="AL835" i="1"/>
  <c r="AK835" i="1"/>
  <c r="AH835" i="1"/>
  <c r="AI835" i="1" s="1"/>
  <c r="AF835" i="1"/>
  <c r="AG835" i="1" s="1"/>
  <c r="AD835" i="1"/>
  <c r="AC835" i="1"/>
  <c r="AA835" i="1"/>
  <c r="Z835" i="1"/>
  <c r="Y835" i="1"/>
  <c r="V835" i="1"/>
  <c r="W835" i="1" s="1"/>
  <c r="T835" i="1"/>
  <c r="U835" i="1" s="1"/>
  <c r="R835" i="1"/>
  <c r="S835" i="1" s="1"/>
  <c r="Q835" i="1"/>
  <c r="O835" i="1"/>
  <c r="N835" i="1"/>
  <c r="M835" i="1"/>
  <c r="J835" i="1"/>
  <c r="K835" i="1" s="1"/>
  <c r="I835" i="1"/>
  <c r="G835" i="1"/>
  <c r="F835" i="1"/>
  <c r="E835" i="1"/>
  <c r="BN834" i="1"/>
  <c r="BL834" i="1"/>
  <c r="BJ834" i="1"/>
  <c r="BM834" i="1" s="1"/>
  <c r="BI834" i="1"/>
  <c r="BG834" i="1"/>
  <c r="BF834" i="1"/>
  <c r="BE834" i="1"/>
  <c r="BB834" i="1"/>
  <c r="BC834" i="1" s="1"/>
  <c r="BA834" i="1"/>
  <c r="AY834" i="1"/>
  <c r="AX834" i="1"/>
  <c r="AW834" i="1"/>
  <c r="AT834" i="1"/>
  <c r="AS834" i="1"/>
  <c r="AP834" i="1"/>
  <c r="AO834" i="1"/>
  <c r="AL834" i="1"/>
  <c r="AM834" i="1" s="1"/>
  <c r="AK834" i="1"/>
  <c r="AI834" i="1"/>
  <c r="AH834" i="1"/>
  <c r="AG834" i="1"/>
  <c r="AD834" i="1"/>
  <c r="AE834" i="1" s="1"/>
  <c r="AC834" i="1"/>
  <c r="AA834" i="1"/>
  <c r="Z834" i="1"/>
  <c r="Y834" i="1"/>
  <c r="V834" i="1"/>
  <c r="W834" i="1" s="1"/>
  <c r="U834" i="1"/>
  <c r="S834" i="1"/>
  <c r="R834" i="1"/>
  <c r="Q834" i="1"/>
  <c r="N834" i="1"/>
  <c r="M834" i="1"/>
  <c r="J834" i="1"/>
  <c r="I834" i="1"/>
  <c r="F834" i="1"/>
  <c r="G834" i="1" s="1"/>
  <c r="E834" i="1"/>
  <c r="BN833" i="1"/>
  <c r="BM833" i="1" s="1"/>
  <c r="BL833" i="1"/>
  <c r="BJ833" i="1"/>
  <c r="BI833" i="1"/>
  <c r="BF833" i="1"/>
  <c r="BG833" i="1" s="1"/>
  <c r="BE833" i="1"/>
  <c r="BC833" i="1"/>
  <c r="BB833" i="1"/>
  <c r="BA833" i="1"/>
  <c r="AX833" i="1"/>
  <c r="AY833" i="1" s="1"/>
  <c r="AW833" i="1"/>
  <c r="AU833" i="1"/>
  <c r="AT833" i="1"/>
  <c r="AS833" i="1"/>
  <c r="AP833" i="1"/>
  <c r="AQ833" i="1" s="1"/>
  <c r="AO833" i="1"/>
  <c r="AM833" i="1"/>
  <c r="AL833" i="1"/>
  <c r="AK833" i="1"/>
  <c r="AH833" i="1"/>
  <c r="AG833" i="1"/>
  <c r="AD833" i="1"/>
  <c r="AC833" i="1"/>
  <c r="Z833" i="1"/>
  <c r="AA833" i="1" s="1"/>
  <c r="Y833" i="1"/>
  <c r="W833" i="1"/>
  <c r="V833" i="1"/>
  <c r="U833" i="1"/>
  <c r="R833" i="1"/>
  <c r="S833" i="1" s="1"/>
  <c r="Q833" i="1"/>
  <c r="O833" i="1"/>
  <c r="N833" i="1"/>
  <c r="M833" i="1"/>
  <c r="J833" i="1"/>
  <c r="K833" i="1" s="1"/>
  <c r="I833" i="1"/>
  <c r="G833" i="1"/>
  <c r="F833" i="1"/>
  <c r="E833" i="1"/>
  <c r="BN832" i="1"/>
  <c r="BM832" i="1"/>
  <c r="BL832" i="1"/>
  <c r="BJ832" i="1"/>
  <c r="BI832" i="1"/>
  <c r="BG832" i="1"/>
  <c r="BF832" i="1"/>
  <c r="BE832" i="1"/>
  <c r="BB832" i="1"/>
  <c r="BA832" i="1"/>
  <c r="AX832" i="1"/>
  <c r="AW832" i="1"/>
  <c r="AT832" i="1"/>
  <c r="AU832" i="1" s="1"/>
  <c r="AS832" i="1"/>
  <c r="AP832" i="1"/>
  <c r="AO832" i="1"/>
  <c r="AL832" i="1"/>
  <c r="AM832" i="1" s="1"/>
  <c r="AK832" i="1"/>
  <c r="AI832" i="1"/>
  <c r="AH832" i="1"/>
  <c r="AG832" i="1"/>
  <c r="AD832" i="1"/>
  <c r="AE832" i="1" s="1"/>
  <c r="AC832" i="1"/>
  <c r="AA832" i="1"/>
  <c r="Z832" i="1"/>
  <c r="Y832" i="1"/>
  <c r="V832" i="1"/>
  <c r="U832" i="1"/>
  <c r="R832" i="1"/>
  <c r="Q832" i="1"/>
  <c r="N832" i="1"/>
  <c r="O832" i="1" s="1"/>
  <c r="M832" i="1"/>
  <c r="J832" i="1"/>
  <c r="I832" i="1"/>
  <c r="F832" i="1"/>
  <c r="G832" i="1" s="1"/>
  <c r="E832" i="1"/>
  <c r="BN831" i="1"/>
  <c r="BM831" i="1" s="1"/>
  <c r="BL831" i="1"/>
  <c r="BJ831" i="1"/>
  <c r="BI831" i="1"/>
  <c r="BF831" i="1"/>
  <c r="BG831" i="1" s="1"/>
  <c r="BE831" i="1"/>
  <c r="BC831" i="1"/>
  <c r="BB831" i="1"/>
  <c r="BA831" i="1"/>
  <c r="AX831" i="1"/>
  <c r="AY831" i="1" s="1"/>
  <c r="AW831" i="1"/>
  <c r="AU831" i="1"/>
  <c r="AT831" i="1"/>
  <c r="AS831" i="1"/>
  <c r="AP831" i="1"/>
  <c r="AO831" i="1"/>
  <c r="AL831" i="1"/>
  <c r="AK831" i="1"/>
  <c r="AH831" i="1"/>
  <c r="AI831" i="1" s="1"/>
  <c r="AG831" i="1"/>
  <c r="AE831" i="1"/>
  <c r="AD831" i="1"/>
  <c r="AC831" i="1"/>
  <c r="Z831" i="1"/>
  <c r="AA831" i="1" s="1"/>
  <c r="Y831" i="1"/>
  <c r="W831" i="1"/>
  <c r="V831" i="1"/>
  <c r="U831" i="1"/>
  <c r="R831" i="1"/>
  <c r="S831" i="1" s="1"/>
  <c r="Q831" i="1"/>
  <c r="O831" i="1"/>
  <c r="N831" i="1"/>
  <c r="M831" i="1"/>
  <c r="J831" i="1"/>
  <c r="I831" i="1"/>
  <c r="F831" i="1"/>
  <c r="E831" i="1"/>
  <c r="BN830" i="1"/>
  <c r="BM830" i="1"/>
  <c r="BL830" i="1"/>
  <c r="BJ830" i="1"/>
  <c r="BG830" i="1" s="1"/>
  <c r="BI830" i="1"/>
  <c r="BF830" i="1"/>
  <c r="BE830" i="1"/>
  <c r="BB830" i="1"/>
  <c r="BA830" i="1"/>
  <c r="AX830" i="1"/>
  <c r="AW830" i="1"/>
  <c r="AT830" i="1"/>
  <c r="AU830" i="1" s="1"/>
  <c r="AS830" i="1"/>
  <c r="AQ830" i="1"/>
  <c r="AP830" i="1"/>
  <c r="AO830" i="1"/>
  <c r="AL830" i="1"/>
  <c r="AM830" i="1" s="1"/>
  <c r="AK830" i="1"/>
  <c r="AI830" i="1"/>
  <c r="AH830" i="1"/>
  <c r="AG830" i="1"/>
  <c r="AD830" i="1"/>
  <c r="AC830" i="1"/>
  <c r="Z830" i="1"/>
  <c r="Y830" i="1"/>
  <c r="V830" i="1"/>
  <c r="W830" i="1" s="1"/>
  <c r="U830" i="1"/>
  <c r="S830" i="1"/>
  <c r="R830" i="1"/>
  <c r="Q830" i="1"/>
  <c r="N830" i="1"/>
  <c r="O830" i="1" s="1"/>
  <c r="M830" i="1"/>
  <c r="K830" i="1"/>
  <c r="J830" i="1"/>
  <c r="I830" i="1"/>
  <c r="F830" i="1"/>
  <c r="G830" i="1" s="1"/>
  <c r="E830" i="1"/>
  <c r="BN829" i="1"/>
  <c r="BM829" i="1" s="1"/>
  <c r="BL829" i="1"/>
  <c r="BJ829" i="1"/>
  <c r="BI829" i="1"/>
  <c r="BF829" i="1"/>
  <c r="BG829" i="1" s="1"/>
  <c r="BE829" i="1"/>
  <c r="BC829" i="1"/>
  <c r="BB829" i="1"/>
  <c r="BA829" i="1"/>
  <c r="AX829" i="1"/>
  <c r="AY829" i="1" s="1"/>
  <c r="AW829" i="1"/>
  <c r="AT829" i="1"/>
  <c r="AS829" i="1"/>
  <c r="AP829" i="1"/>
  <c r="AQ829" i="1" s="1"/>
  <c r="AO829" i="1"/>
  <c r="AM829" i="1"/>
  <c r="AL829" i="1"/>
  <c r="AK829" i="1"/>
  <c r="AH829" i="1"/>
  <c r="AI829" i="1" s="1"/>
  <c r="AG829" i="1"/>
  <c r="AE829" i="1"/>
  <c r="AD829" i="1"/>
  <c r="AC829" i="1"/>
  <c r="Z829" i="1"/>
  <c r="AA829" i="1" s="1"/>
  <c r="Y829" i="1"/>
  <c r="W829" i="1"/>
  <c r="V829" i="1"/>
  <c r="U829" i="1"/>
  <c r="R829" i="1"/>
  <c r="S829" i="1" s="1"/>
  <c r="Q829" i="1"/>
  <c r="N829" i="1"/>
  <c r="O829" i="1" s="1"/>
  <c r="M829" i="1"/>
  <c r="J829" i="1"/>
  <c r="K829" i="1" s="1"/>
  <c r="I829" i="1"/>
  <c r="F829" i="1"/>
  <c r="E829" i="1"/>
  <c r="BN828" i="1"/>
  <c r="BL828" i="1"/>
  <c r="BJ828" i="1"/>
  <c r="BM828" i="1" s="1"/>
  <c r="BI828" i="1"/>
  <c r="BG828" i="1"/>
  <c r="BF828" i="1"/>
  <c r="BE828" i="1"/>
  <c r="BB828" i="1"/>
  <c r="BC828" i="1" s="1"/>
  <c r="BA828" i="1"/>
  <c r="AY828" i="1"/>
  <c r="AX828" i="1"/>
  <c r="AW828" i="1"/>
  <c r="AT828" i="1"/>
  <c r="AU828" i="1" s="1"/>
  <c r="AS828" i="1"/>
  <c r="AQ828" i="1"/>
  <c r="AP828" i="1"/>
  <c r="AO828" i="1"/>
  <c r="AL828" i="1"/>
  <c r="AK828" i="1"/>
  <c r="AH828" i="1"/>
  <c r="AG828" i="1"/>
  <c r="AD828" i="1"/>
  <c r="AE828" i="1" s="1"/>
  <c r="AC828" i="1"/>
  <c r="AA828" i="1"/>
  <c r="Z828" i="1"/>
  <c r="Y828" i="1"/>
  <c r="V828" i="1"/>
  <c r="W828" i="1" s="1"/>
  <c r="U828" i="1"/>
  <c r="S828" i="1"/>
  <c r="R828" i="1"/>
  <c r="Q828" i="1"/>
  <c r="N828" i="1"/>
  <c r="O828" i="1" s="1"/>
  <c r="M828" i="1"/>
  <c r="K828" i="1"/>
  <c r="J828" i="1"/>
  <c r="I828" i="1"/>
  <c r="F828" i="1"/>
  <c r="G828" i="1" s="1"/>
  <c r="E828" i="1"/>
  <c r="BN827" i="1"/>
  <c r="BL827" i="1"/>
  <c r="BJ827" i="1"/>
  <c r="BM827" i="1" s="1"/>
  <c r="BI827" i="1"/>
  <c r="BF827" i="1"/>
  <c r="BE827" i="1"/>
  <c r="BB827" i="1"/>
  <c r="BA827" i="1"/>
  <c r="AX827" i="1"/>
  <c r="AY827" i="1" s="1"/>
  <c r="AW827" i="1"/>
  <c r="AT827" i="1"/>
  <c r="AS827" i="1"/>
  <c r="AP827" i="1"/>
  <c r="AQ827" i="1" s="1"/>
  <c r="AO827" i="1"/>
  <c r="AL827" i="1"/>
  <c r="AK827" i="1"/>
  <c r="AH827" i="1"/>
  <c r="AI827" i="1" s="1"/>
  <c r="AG827" i="1"/>
  <c r="AE827" i="1"/>
  <c r="AD827" i="1"/>
  <c r="AC827" i="1"/>
  <c r="Z827" i="1"/>
  <c r="Y827" i="1"/>
  <c r="V827" i="1"/>
  <c r="U827" i="1"/>
  <c r="R827" i="1"/>
  <c r="S827" i="1" s="1"/>
  <c r="Q827" i="1"/>
  <c r="N827" i="1"/>
  <c r="M827" i="1"/>
  <c r="J827" i="1"/>
  <c r="K827" i="1" s="1"/>
  <c r="I827" i="1"/>
  <c r="F827" i="1"/>
  <c r="E827" i="1"/>
  <c r="BN826" i="1"/>
  <c r="BL826" i="1"/>
  <c r="BJ826" i="1"/>
  <c r="BM826" i="1" s="1"/>
  <c r="BI826" i="1"/>
  <c r="BG826" i="1"/>
  <c r="BF826" i="1"/>
  <c r="BE826" i="1"/>
  <c r="BB826" i="1"/>
  <c r="BC826" i="1" s="1"/>
  <c r="BA826" i="1"/>
  <c r="AY826" i="1"/>
  <c r="AX826" i="1"/>
  <c r="AW826" i="1"/>
  <c r="AT826" i="1"/>
  <c r="AS826" i="1"/>
  <c r="AP826" i="1"/>
  <c r="AO826" i="1"/>
  <c r="AL826" i="1"/>
  <c r="AM826" i="1" s="1"/>
  <c r="AK826" i="1"/>
  <c r="AI826" i="1"/>
  <c r="AH826" i="1"/>
  <c r="AG826" i="1"/>
  <c r="AD826" i="1"/>
  <c r="AE826" i="1" s="1"/>
  <c r="AC826" i="1"/>
  <c r="AA826" i="1"/>
  <c r="Z826" i="1"/>
  <c r="Y826" i="1"/>
  <c r="V826" i="1"/>
  <c r="W826" i="1" s="1"/>
  <c r="U826" i="1"/>
  <c r="S826" i="1"/>
  <c r="R826" i="1"/>
  <c r="Q826" i="1"/>
  <c r="N826" i="1"/>
  <c r="M826" i="1"/>
  <c r="J826" i="1"/>
  <c r="I826" i="1"/>
  <c r="F826" i="1"/>
  <c r="G826" i="1" s="1"/>
  <c r="E826" i="1"/>
  <c r="BN825" i="1"/>
  <c r="BM825" i="1" s="1"/>
  <c r="BL825" i="1"/>
  <c r="BJ825" i="1"/>
  <c r="BI825" i="1"/>
  <c r="BF825" i="1"/>
  <c r="BE825" i="1"/>
  <c r="BB825" i="1"/>
  <c r="BA825" i="1"/>
  <c r="AX825" i="1"/>
  <c r="AY825" i="1" s="1"/>
  <c r="AW825" i="1"/>
  <c r="AT825" i="1"/>
  <c r="AS825" i="1"/>
  <c r="AP825" i="1"/>
  <c r="AQ825" i="1" s="1"/>
  <c r="AO825" i="1"/>
  <c r="AM825" i="1"/>
  <c r="AL825" i="1"/>
  <c r="AK825" i="1"/>
  <c r="AH825" i="1"/>
  <c r="AI825" i="1" s="1"/>
  <c r="AF825" i="1"/>
  <c r="AG825" i="1" s="1"/>
  <c r="AD825" i="1"/>
  <c r="AE825" i="1" s="1"/>
  <c r="AB825" i="1"/>
  <c r="AC825" i="1" s="1"/>
  <c r="Z825" i="1"/>
  <c r="AA825" i="1" s="1"/>
  <c r="X825" i="1"/>
  <c r="Y825" i="1" s="1"/>
  <c r="V825" i="1"/>
  <c r="W825" i="1" s="1"/>
  <c r="T825" i="1"/>
  <c r="U825" i="1" s="1"/>
  <c r="R825" i="1"/>
  <c r="Q825" i="1"/>
  <c r="N825" i="1"/>
  <c r="M825" i="1"/>
  <c r="J825" i="1"/>
  <c r="K825" i="1" s="1"/>
  <c r="H825" i="1"/>
  <c r="I825" i="1" s="1"/>
  <c r="F825" i="1"/>
  <c r="G825" i="1" s="1"/>
  <c r="D825" i="1"/>
  <c r="E825" i="1" s="1"/>
  <c r="BN824" i="1"/>
  <c r="BM824" i="1"/>
  <c r="BL824" i="1"/>
  <c r="BJ824" i="1"/>
  <c r="BG824" i="1" s="1"/>
  <c r="BI824" i="1"/>
  <c r="BF824" i="1"/>
  <c r="BE824" i="1"/>
  <c r="BB824" i="1"/>
  <c r="BC824" i="1" s="1"/>
  <c r="BA824" i="1"/>
  <c r="AY824" i="1"/>
  <c r="AX824" i="1"/>
  <c r="AW824" i="1"/>
  <c r="AT824" i="1"/>
  <c r="AU824" i="1" s="1"/>
  <c r="AS824" i="1"/>
  <c r="AQ824" i="1"/>
  <c r="AP824" i="1"/>
  <c r="AO824" i="1"/>
  <c r="AL824" i="1"/>
  <c r="AM824" i="1" s="1"/>
  <c r="AK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N824" i="1"/>
  <c r="M824" i="1"/>
  <c r="J824" i="1"/>
  <c r="I824" i="1"/>
  <c r="F824" i="1"/>
  <c r="G824" i="1" s="1"/>
  <c r="E824" i="1"/>
  <c r="BN823" i="1"/>
  <c r="BM823" i="1" s="1"/>
  <c r="BL823" i="1"/>
  <c r="BJ823" i="1"/>
  <c r="BI823" i="1"/>
  <c r="BF823" i="1"/>
  <c r="BG823" i="1" s="1"/>
  <c r="BE823" i="1"/>
  <c r="BC823" i="1"/>
  <c r="BB823" i="1"/>
  <c r="BA823" i="1"/>
  <c r="AX823" i="1"/>
  <c r="AY823" i="1" s="1"/>
  <c r="AW823" i="1"/>
  <c r="AU823" i="1"/>
  <c r="AT823" i="1"/>
  <c r="AS823" i="1"/>
  <c r="AP823" i="1"/>
  <c r="AQ823" i="1" s="1"/>
  <c r="AO823" i="1"/>
  <c r="AM823" i="1"/>
  <c r="AL823" i="1"/>
  <c r="AK823" i="1"/>
  <c r="AH823" i="1"/>
  <c r="AI823" i="1" s="1"/>
  <c r="AF823" i="1"/>
  <c r="AG823" i="1" s="1"/>
  <c r="AD823" i="1"/>
  <c r="AE823" i="1" s="1"/>
  <c r="AB823" i="1"/>
  <c r="AC823" i="1" s="1"/>
  <c r="Z823" i="1"/>
  <c r="X823" i="1"/>
  <c r="Y823" i="1" s="1"/>
  <c r="V823" i="1"/>
  <c r="T823" i="1"/>
  <c r="U823" i="1" s="1"/>
  <c r="R823" i="1"/>
  <c r="Q823" i="1"/>
  <c r="N823" i="1"/>
  <c r="M823" i="1"/>
  <c r="J823" i="1"/>
  <c r="K823" i="1" s="1"/>
  <c r="I823" i="1"/>
  <c r="F823" i="1"/>
  <c r="E823" i="1"/>
  <c r="D823" i="1"/>
  <c r="BN822" i="1"/>
  <c r="BM822" i="1" s="1"/>
  <c r="BL822" i="1"/>
  <c r="BJ822" i="1"/>
  <c r="BI822" i="1"/>
  <c r="BF822" i="1"/>
  <c r="BG822" i="1" s="1"/>
  <c r="BE822" i="1"/>
  <c r="BC822" i="1"/>
  <c r="BB822" i="1"/>
  <c r="BA822" i="1"/>
  <c r="AX822" i="1"/>
  <c r="AW822" i="1"/>
  <c r="AT822" i="1"/>
  <c r="AS822" i="1"/>
  <c r="AQ822" i="1"/>
  <c r="AP822" i="1"/>
  <c r="AO822" i="1"/>
  <c r="AM822" i="1"/>
  <c r="AL822" i="1"/>
  <c r="AK822" i="1"/>
  <c r="AH822" i="1"/>
  <c r="AI822" i="1" s="1"/>
  <c r="AG822" i="1"/>
  <c r="AE822" i="1"/>
  <c r="AD822" i="1"/>
  <c r="AC822" i="1"/>
  <c r="Z822" i="1"/>
  <c r="Y822" i="1"/>
  <c r="V822" i="1"/>
  <c r="U822" i="1"/>
  <c r="S822" i="1"/>
  <c r="R822" i="1"/>
  <c r="Q822" i="1"/>
  <c r="O822" i="1"/>
  <c r="N822" i="1"/>
  <c r="M822" i="1"/>
  <c r="J822" i="1"/>
  <c r="K822" i="1" s="1"/>
  <c r="I822" i="1"/>
  <c r="G822" i="1"/>
  <c r="F822" i="1"/>
  <c r="E822" i="1"/>
  <c r="BN821" i="1"/>
  <c r="BM821" i="1"/>
  <c r="BL821" i="1"/>
  <c r="BJ821" i="1"/>
  <c r="BI821" i="1"/>
  <c r="BG821" i="1"/>
  <c r="BF821" i="1"/>
  <c r="BE821" i="1"/>
  <c r="BB821" i="1"/>
  <c r="BC821" i="1" s="1"/>
  <c r="BA821" i="1"/>
  <c r="AX821" i="1"/>
  <c r="AY821" i="1" s="1"/>
  <c r="AW821" i="1"/>
  <c r="AT821" i="1"/>
  <c r="AU821" i="1" s="1"/>
  <c r="AS821" i="1"/>
  <c r="AQ821" i="1"/>
  <c r="AP821" i="1"/>
  <c r="AO821" i="1"/>
  <c r="AL821" i="1"/>
  <c r="AM821" i="1" s="1"/>
  <c r="AK821" i="1"/>
  <c r="AI821" i="1"/>
  <c r="AH821" i="1"/>
  <c r="AG821" i="1"/>
  <c r="AD821" i="1"/>
  <c r="AE821" i="1" s="1"/>
  <c r="AC821" i="1"/>
  <c r="Z821" i="1"/>
  <c r="Y821" i="1"/>
  <c r="V821" i="1"/>
  <c r="W821" i="1" s="1"/>
  <c r="U821" i="1"/>
  <c r="R821" i="1"/>
  <c r="S821" i="1" s="1"/>
  <c r="Q821" i="1"/>
  <c r="N821" i="1"/>
  <c r="M821" i="1"/>
  <c r="K821" i="1"/>
  <c r="J821" i="1"/>
  <c r="I821" i="1"/>
  <c r="F821" i="1"/>
  <c r="G821" i="1" s="1"/>
  <c r="E821" i="1"/>
  <c r="BN820" i="1"/>
  <c r="BL820" i="1"/>
  <c r="BJ820" i="1"/>
  <c r="BM820" i="1" s="1"/>
  <c r="BI820" i="1"/>
  <c r="BG820" i="1"/>
  <c r="BF820" i="1"/>
  <c r="BE820" i="1"/>
  <c r="BC820" i="1"/>
  <c r="BB820" i="1"/>
  <c r="BA820" i="1"/>
  <c r="AY820" i="1"/>
  <c r="AX820" i="1"/>
  <c r="AW820" i="1"/>
  <c r="AU820" i="1"/>
  <c r="AT820" i="1"/>
  <c r="AS820" i="1"/>
  <c r="AP820" i="1"/>
  <c r="AQ820" i="1" s="1"/>
  <c r="AO820" i="1"/>
  <c r="AM820" i="1"/>
  <c r="AL820" i="1"/>
  <c r="AK820" i="1"/>
  <c r="AH820" i="1"/>
  <c r="AI820" i="1" s="1"/>
  <c r="AG820" i="1"/>
  <c r="AD820" i="1"/>
  <c r="AE820" i="1" s="1"/>
  <c r="AC820" i="1"/>
  <c r="AA820" i="1"/>
  <c r="Z820" i="1"/>
  <c r="Y820" i="1"/>
  <c r="W820" i="1"/>
  <c r="V820" i="1"/>
  <c r="U820" i="1"/>
  <c r="R820" i="1"/>
  <c r="S820" i="1" s="1"/>
  <c r="Q820" i="1"/>
  <c r="N820" i="1"/>
  <c r="O820" i="1" s="1"/>
  <c r="M820" i="1"/>
  <c r="J820" i="1"/>
  <c r="I820" i="1"/>
  <c r="F820" i="1"/>
  <c r="G820" i="1" s="1"/>
  <c r="E820" i="1"/>
  <c r="BN819" i="1"/>
  <c r="BM819" i="1"/>
  <c r="BL819" i="1"/>
  <c r="BJ819" i="1"/>
  <c r="BI819" i="1"/>
  <c r="BF819" i="1"/>
  <c r="BG819" i="1" s="1"/>
  <c r="BE819" i="1"/>
  <c r="BB819" i="1"/>
  <c r="BA819" i="1"/>
  <c r="AX819" i="1"/>
  <c r="AW819" i="1"/>
  <c r="AU819" i="1"/>
  <c r="AT819" i="1"/>
  <c r="AS819" i="1"/>
  <c r="AQ819" i="1"/>
  <c r="AP819" i="1"/>
  <c r="AO819" i="1"/>
  <c r="AL819" i="1"/>
  <c r="AM819" i="1" s="1"/>
  <c r="AK819" i="1"/>
  <c r="AI819" i="1"/>
  <c r="AH819" i="1"/>
  <c r="AG819" i="1"/>
  <c r="AD819" i="1"/>
  <c r="AE819" i="1" s="1"/>
  <c r="AC819" i="1"/>
  <c r="Z819" i="1"/>
  <c r="AA819" i="1" s="1"/>
  <c r="Y819" i="1"/>
  <c r="V819" i="1"/>
  <c r="U819" i="1"/>
  <c r="R819" i="1"/>
  <c r="Q819" i="1"/>
  <c r="O819" i="1"/>
  <c r="N819" i="1"/>
  <c r="M819" i="1"/>
  <c r="K819" i="1"/>
  <c r="J819" i="1"/>
  <c r="I819" i="1"/>
  <c r="F819" i="1"/>
  <c r="G819" i="1" s="1"/>
  <c r="E819" i="1"/>
  <c r="BN818" i="1"/>
  <c r="BL818" i="1"/>
  <c r="BJ818" i="1"/>
  <c r="BM818" i="1" s="1"/>
  <c r="BI818" i="1"/>
  <c r="BF818" i="1"/>
  <c r="BG818" i="1" s="1"/>
  <c r="BE818" i="1"/>
  <c r="BC818" i="1"/>
  <c r="BB818" i="1"/>
  <c r="BA818" i="1"/>
  <c r="AX818" i="1"/>
  <c r="AY818" i="1" s="1"/>
  <c r="AW818" i="1"/>
  <c r="AT818" i="1"/>
  <c r="AU818" i="1" s="1"/>
  <c r="AS818" i="1"/>
  <c r="AP818" i="1"/>
  <c r="AO818" i="1"/>
  <c r="AL818" i="1"/>
  <c r="AK818" i="1"/>
  <c r="AI818" i="1"/>
  <c r="AH818" i="1"/>
  <c r="AG818" i="1"/>
  <c r="AE818" i="1"/>
  <c r="AD818" i="1"/>
  <c r="AC818" i="1"/>
  <c r="Z818" i="1"/>
  <c r="AA818" i="1" s="1"/>
  <c r="Y818" i="1"/>
  <c r="W818" i="1"/>
  <c r="V818" i="1"/>
  <c r="U818" i="1"/>
  <c r="R818" i="1"/>
  <c r="S818" i="1" s="1"/>
  <c r="Q818" i="1"/>
  <c r="N818" i="1"/>
  <c r="O818" i="1" s="1"/>
  <c r="M818" i="1"/>
  <c r="J818" i="1"/>
  <c r="I818" i="1"/>
  <c r="F818" i="1"/>
  <c r="E818" i="1"/>
  <c r="BN817" i="1"/>
  <c r="BL817" i="1"/>
  <c r="BJ817" i="1"/>
  <c r="BI817" i="1"/>
  <c r="BF817" i="1"/>
  <c r="BE817" i="1"/>
  <c r="BC817" i="1"/>
  <c r="BB817" i="1"/>
  <c r="BA817" i="1"/>
  <c r="AY817" i="1"/>
  <c r="AX817" i="1"/>
  <c r="AW817" i="1"/>
  <c r="AT817" i="1"/>
  <c r="AU817" i="1" s="1"/>
  <c r="AS817" i="1"/>
  <c r="AQ817" i="1"/>
  <c r="AP817" i="1"/>
  <c r="AO817" i="1"/>
  <c r="AL817" i="1"/>
  <c r="AM817" i="1" s="1"/>
  <c r="AK817" i="1"/>
  <c r="AH817" i="1"/>
  <c r="AI817" i="1" s="1"/>
  <c r="AG817" i="1"/>
  <c r="AD817" i="1"/>
  <c r="AC817" i="1"/>
  <c r="Z817" i="1"/>
  <c r="Y817" i="1"/>
  <c r="W817" i="1"/>
  <c r="V817" i="1"/>
  <c r="U817" i="1"/>
  <c r="S817" i="1"/>
  <c r="R817" i="1"/>
  <c r="Q817" i="1"/>
  <c r="P817" i="1"/>
  <c r="N817" i="1"/>
  <c r="O817" i="1" s="1"/>
  <c r="M817" i="1"/>
  <c r="L817" i="1"/>
  <c r="K817" i="1"/>
  <c r="J817" i="1"/>
  <c r="I817" i="1"/>
  <c r="F817" i="1"/>
  <c r="G817" i="1" s="1"/>
  <c r="E817" i="1"/>
  <c r="BN816" i="1"/>
  <c r="BL816" i="1"/>
  <c r="BJ816" i="1"/>
  <c r="BM816" i="1" s="1"/>
  <c r="BI816" i="1"/>
  <c r="BF816" i="1"/>
  <c r="BG816" i="1" s="1"/>
  <c r="BE816" i="1"/>
  <c r="BC816" i="1"/>
  <c r="BB816" i="1"/>
  <c r="BA816" i="1"/>
  <c r="AX816" i="1"/>
  <c r="AY816" i="1" s="1"/>
  <c r="AW816" i="1"/>
  <c r="AT816" i="1"/>
  <c r="AU816" i="1" s="1"/>
  <c r="AS816" i="1"/>
  <c r="AP816" i="1"/>
  <c r="AO816" i="1"/>
  <c r="AL816" i="1"/>
  <c r="AK816" i="1"/>
  <c r="AI816" i="1"/>
  <c r="AH816" i="1"/>
  <c r="AG816" i="1"/>
  <c r="AE816" i="1"/>
  <c r="AD816" i="1"/>
  <c r="AC816" i="1"/>
  <c r="Z816" i="1"/>
  <c r="AA816" i="1" s="1"/>
  <c r="Y816" i="1"/>
  <c r="W816" i="1"/>
  <c r="V816" i="1"/>
  <c r="U816" i="1"/>
  <c r="R816" i="1"/>
  <c r="S816" i="1" s="1"/>
  <c r="P816" i="1"/>
  <c r="Q816" i="1" s="1"/>
  <c r="O816" i="1"/>
  <c r="N816" i="1"/>
  <c r="L816" i="1"/>
  <c r="M816" i="1" s="1"/>
  <c r="J816" i="1"/>
  <c r="K816" i="1" s="1"/>
  <c r="I816" i="1"/>
  <c r="F816" i="1"/>
  <c r="G816" i="1" s="1"/>
  <c r="E816" i="1"/>
  <c r="BN815" i="1"/>
  <c r="BM815" i="1"/>
  <c r="BL815" i="1"/>
  <c r="BJ815" i="1"/>
  <c r="BI815" i="1"/>
  <c r="BF815" i="1"/>
  <c r="BG815" i="1" s="1"/>
  <c r="BE815" i="1"/>
  <c r="BB815" i="1"/>
  <c r="BA815" i="1"/>
  <c r="AX815" i="1"/>
  <c r="AW815" i="1"/>
  <c r="AU815" i="1"/>
  <c r="AT815" i="1"/>
  <c r="AS815" i="1"/>
  <c r="AQ815" i="1"/>
  <c r="AP815" i="1"/>
  <c r="AO815" i="1"/>
  <c r="AL815" i="1"/>
  <c r="AM815" i="1" s="1"/>
  <c r="AK815" i="1"/>
  <c r="AI815" i="1"/>
  <c r="AH815" i="1"/>
  <c r="AG815" i="1"/>
  <c r="AD815" i="1"/>
  <c r="AE815" i="1" s="1"/>
  <c r="AC815" i="1"/>
  <c r="Z815" i="1"/>
  <c r="AA815" i="1" s="1"/>
  <c r="Y815" i="1"/>
  <c r="V815" i="1"/>
  <c r="U815" i="1"/>
  <c r="R815" i="1"/>
  <c r="P815" i="1"/>
  <c r="Q815" i="1" s="1"/>
  <c r="O815" i="1"/>
  <c r="N815" i="1"/>
  <c r="M815" i="1"/>
  <c r="L815" i="1"/>
  <c r="K815" i="1"/>
  <c r="J815" i="1"/>
  <c r="I815" i="1"/>
  <c r="G815" i="1"/>
  <c r="F815" i="1"/>
  <c r="E815" i="1"/>
  <c r="BN814" i="1"/>
  <c r="BL814" i="1"/>
  <c r="BJ814" i="1"/>
  <c r="BI814" i="1"/>
  <c r="BG814" i="1"/>
  <c r="BF814" i="1"/>
  <c r="BE814" i="1"/>
  <c r="BC814" i="1"/>
  <c r="BB814" i="1"/>
  <c r="BA814" i="1"/>
  <c r="AX814" i="1"/>
  <c r="AY814" i="1" s="1"/>
  <c r="AW814" i="1"/>
  <c r="AU814" i="1"/>
  <c r="AT814" i="1"/>
  <c r="AS814" i="1"/>
  <c r="AP814" i="1"/>
  <c r="AQ814" i="1" s="1"/>
  <c r="AO814" i="1"/>
  <c r="AL814" i="1"/>
  <c r="AM814" i="1" s="1"/>
  <c r="AK814" i="1"/>
  <c r="AH814" i="1"/>
  <c r="AG814" i="1"/>
  <c r="AD814" i="1"/>
  <c r="AC814" i="1"/>
  <c r="AA814" i="1"/>
  <c r="Z814" i="1"/>
  <c r="Y814" i="1"/>
  <c r="W814" i="1"/>
  <c r="V814" i="1"/>
  <c r="U814" i="1"/>
  <c r="R814" i="1"/>
  <c r="S814" i="1" s="1"/>
  <c r="Q814" i="1"/>
  <c r="O814" i="1"/>
  <c r="N814" i="1"/>
  <c r="M814" i="1"/>
  <c r="J814" i="1"/>
  <c r="K814" i="1" s="1"/>
  <c r="I814" i="1"/>
  <c r="F814" i="1"/>
  <c r="G814" i="1" s="1"/>
  <c r="E814" i="1"/>
  <c r="BN813" i="1"/>
  <c r="BM813" i="1"/>
  <c r="BL813" i="1"/>
  <c r="BJ813" i="1"/>
  <c r="BI813" i="1"/>
  <c r="BF813" i="1"/>
  <c r="BG813" i="1" s="1"/>
  <c r="BE813" i="1"/>
  <c r="BB813" i="1"/>
  <c r="BA813" i="1"/>
  <c r="AX813" i="1"/>
  <c r="AW813" i="1"/>
  <c r="AU813" i="1"/>
  <c r="AT813" i="1"/>
  <c r="AS813" i="1"/>
  <c r="AQ813" i="1"/>
  <c r="AP813" i="1"/>
  <c r="AO813" i="1"/>
  <c r="AL813" i="1"/>
  <c r="AM813" i="1" s="1"/>
  <c r="AK813" i="1"/>
  <c r="AI813" i="1"/>
  <c r="AH813" i="1"/>
  <c r="AG813" i="1"/>
  <c r="AD813" i="1"/>
  <c r="AE813" i="1" s="1"/>
  <c r="AC813" i="1"/>
  <c r="Z813" i="1"/>
  <c r="AA813" i="1" s="1"/>
  <c r="Y813" i="1"/>
  <c r="V813" i="1"/>
  <c r="U813" i="1"/>
  <c r="R813" i="1"/>
  <c r="P813" i="1"/>
  <c r="Q813" i="1" s="1"/>
  <c r="O813" i="1"/>
  <c r="N813" i="1"/>
  <c r="M813" i="1"/>
  <c r="J813" i="1"/>
  <c r="K813" i="1" s="1"/>
  <c r="I813" i="1"/>
  <c r="F813" i="1"/>
  <c r="G813" i="1" s="1"/>
  <c r="E813" i="1"/>
  <c r="BN812" i="1"/>
  <c r="BM812" i="1"/>
  <c r="BL812" i="1"/>
  <c r="BJ812" i="1"/>
  <c r="BI812" i="1"/>
  <c r="BF812" i="1"/>
  <c r="BG812" i="1" s="1"/>
  <c r="BE812" i="1"/>
  <c r="BB812" i="1"/>
  <c r="BA812" i="1"/>
  <c r="AX812" i="1"/>
  <c r="AW812" i="1"/>
  <c r="AU812" i="1"/>
  <c r="AT812" i="1"/>
  <c r="AS812" i="1"/>
  <c r="AQ812" i="1"/>
  <c r="AP812" i="1"/>
  <c r="AO812" i="1"/>
  <c r="AL812" i="1"/>
  <c r="AM812" i="1" s="1"/>
  <c r="AK812" i="1"/>
  <c r="AI812" i="1"/>
  <c r="AH812" i="1"/>
  <c r="AG812" i="1"/>
  <c r="AD812" i="1"/>
  <c r="AE812" i="1" s="1"/>
  <c r="AC812" i="1"/>
  <c r="Z812" i="1"/>
  <c r="AA812" i="1" s="1"/>
  <c r="Y812" i="1"/>
  <c r="V812" i="1"/>
  <c r="U812" i="1"/>
  <c r="R812" i="1"/>
  <c r="P812" i="1"/>
  <c r="Q812" i="1" s="1"/>
  <c r="O812" i="1"/>
  <c r="N812" i="1"/>
  <c r="M812" i="1"/>
  <c r="J812" i="1"/>
  <c r="K812" i="1" s="1"/>
  <c r="I812" i="1"/>
  <c r="F812" i="1"/>
  <c r="G812" i="1" s="1"/>
  <c r="E812" i="1"/>
  <c r="BN811" i="1"/>
  <c r="BM811" i="1"/>
  <c r="BL811" i="1"/>
  <c r="BJ811" i="1"/>
  <c r="BI811" i="1"/>
  <c r="BF811" i="1"/>
  <c r="BG811" i="1" s="1"/>
  <c r="BE811" i="1"/>
  <c r="BB811" i="1"/>
  <c r="BA811" i="1"/>
  <c r="AX811" i="1"/>
  <c r="AW811" i="1"/>
  <c r="AU811" i="1"/>
  <c r="AT811" i="1"/>
  <c r="AS811" i="1"/>
  <c r="AQ811" i="1"/>
  <c r="AP811" i="1"/>
  <c r="AO811" i="1"/>
  <c r="AL811" i="1"/>
  <c r="AM811" i="1" s="1"/>
  <c r="AK811" i="1"/>
  <c r="AI811" i="1"/>
  <c r="AH811" i="1"/>
  <c r="AG811" i="1"/>
  <c r="AD811" i="1"/>
  <c r="AE811" i="1" s="1"/>
  <c r="AC811" i="1"/>
  <c r="Z811" i="1"/>
  <c r="AA811" i="1" s="1"/>
  <c r="Y811" i="1"/>
  <c r="V811" i="1"/>
  <c r="U811" i="1"/>
  <c r="R811" i="1"/>
  <c r="P811" i="1"/>
  <c r="Q811" i="1" s="1"/>
  <c r="O811" i="1"/>
  <c r="N811" i="1"/>
  <c r="M811" i="1"/>
  <c r="J811" i="1"/>
  <c r="K811" i="1" s="1"/>
  <c r="I811" i="1"/>
  <c r="F811" i="1"/>
  <c r="G811" i="1" s="1"/>
  <c r="E811" i="1"/>
  <c r="BN810" i="1"/>
  <c r="BM810" i="1"/>
  <c r="BL810" i="1"/>
  <c r="BJ810" i="1"/>
  <c r="BI810" i="1"/>
  <c r="BF810" i="1"/>
  <c r="BG810" i="1" s="1"/>
  <c r="BE810" i="1"/>
  <c r="BB810" i="1"/>
  <c r="BA810" i="1"/>
  <c r="AX810" i="1"/>
  <c r="AW810" i="1"/>
  <c r="AT810" i="1"/>
  <c r="AU810" i="1" s="1"/>
  <c r="AS810" i="1"/>
  <c r="AQ810" i="1"/>
  <c r="AP810" i="1"/>
  <c r="AO810" i="1"/>
  <c r="AL810" i="1"/>
  <c r="AM810" i="1" s="1"/>
  <c r="AK810" i="1"/>
  <c r="AI810" i="1"/>
  <c r="AH810" i="1"/>
  <c r="AG810" i="1"/>
  <c r="AD810" i="1"/>
  <c r="AE810" i="1" s="1"/>
  <c r="AC810" i="1"/>
  <c r="Z810" i="1"/>
  <c r="AA810" i="1" s="1"/>
  <c r="Y810" i="1"/>
  <c r="V810" i="1"/>
  <c r="U810" i="1"/>
  <c r="R810" i="1"/>
  <c r="Q810" i="1"/>
  <c r="N810" i="1"/>
  <c r="O810" i="1" s="1"/>
  <c r="M810" i="1"/>
  <c r="K810" i="1"/>
  <c r="J810" i="1"/>
  <c r="I810" i="1"/>
  <c r="F810" i="1"/>
  <c r="G810" i="1" s="1"/>
  <c r="E810" i="1"/>
  <c r="BN809" i="1"/>
  <c r="BL809" i="1"/>
  <c r="BJ809" i="1"/>
  <c r="BM809" i="1" s="1"/>
  <c r="BI809" i="1"/>
  <c r="BF809" i="1"/>
  <c r="BG809" i="1" s="1"/>
  <c r="BE809" i="1"/>
  <c r="BC809" i="1"/>
  <c r="BB809" i="1"/>
  <c r="BA809" i="1"/>
  <c r="AX809" i="1"/>
  <c r="AY809" i="1" s="1"/>
  <c r="AV809" i="1"/>
  <c r="AW809" i="1" s="1"/>
  <c r="AU809" i="1"/>
  <c r="AT809" i="1"/>
  <c r="AR809" i="1"/>
  <c r="AS809" i="1" s="1"/>
  <c r="AP809" i="1"/>
  <c r="AQ809" i="1" s="1"/>
  <c r="AO809" i="1"/>
  <c r="AL809" i="1"/>
  <c r="AM809" i="1" s="1"/>
  <c r="AK809" i="1"/>
  <c r="AH809" i="1"/>
  <c r="AF809" i="1"/>
  <c r="AG809" i="1" s="1"/>
  <c r="AD809" i="1"/>
  <c r="AB809" i="1"/>
  <c r="AC809" i="1" s="1"/>
  <c r="Z809" i="1"/>
  <c r="X809" i="1"/>
  <c r="Y809" i="1" s="1"/>
  <c r="V809" i="1"/>
  <c r="T809" i="1"/>
  <c r="U809" i="1" s="1"/>
  <c r="R809" i="1"/>
  <c r="Q809" i="1"/>
  <c r="N809" i="1"/>
  <c r="M809" i="1"/>
  <c r="J809" i="1"/>
  <c r="K809" i="1" s="1"/>
  <c r="I809" i="1"/>
  <c r="G809" i="1"/>
  <c r="F809" i="1"/>
  <c r="E809" i="1"/>
  <c r="BN808" i="1"/>
  <c r="BL808" i="1"/>
  <c r="BJ808" i="1"/>
  <c r="BM808" i="1" s="1"/>
  <c r="BI808" i="1"/>
  <c r="BG808" i="1"/>
  <c r="BF808" i="1"/>
  <c r="BE808" i="1"/>
  <c r="BB808" i="1"/>
  <c r="BC808" i="1" s="1"/>
  <c r="BA808" i="1"/>
  <c r="AY808" i="1"/>
  <c r="AX808" i="1"/>
  <c r="AW808" i="1"/>
  <c r="AV808" i="1"/>
  <c r="AU808" i="1"/>
  <c r="AT808" i="1"/>
  <c r="AS808" i="1"/>
  <c r="AQ808" i="1"/>
  <c r="AP808" i="1"/>
  <c r="AO808" i="1"/>
  <c r="AM808" i="1"/>
  <c r="AL808" i="1"/>
  <c r="AK808" i="1"/>
  <c r="AH808" i="1"/>
  <c r="AI808" i="1" s="1"/>
  <c r="AG808" i="1"/>
  <c r="AF808" i="1"/>
  <c r="AD808" i="1"/>
  <c r="AE808" i="1" s="1"/>
  <c r="AB808" i="1"/>
  <c r="AC808" i="1" s="1"/>
  <c r="Z808" i="1"/>
  <c r="AA808" i="1" s="1"/>
  <c r="Y808" i="1"/>
  <c r="X808" i="1"/>
  <c r="V808" i="1"/>
  <c r="W808" i="1" s="1"/>
  <c r="T808" i="1"/>
  <c r="U808" i="1" s="1"/>
  <c r="R808" i="1"/>
  <c r="Q808" i="1"/>
  <c r="O808" i="1"/>
  <c r="N808" i="1"/>
  <c r="M808" i="1"/>
  <c r="J808" i="1"/>
  <c r="K808" i="1" s="1"/>
  <c r="I808" i="1"/>
  <c r="F808" i="1"/>
  <c r="G808" i="1" s="1"/>
  <c r="E808" i="1"/>
  <c r="BN807" i="1"/>
  <c r="BM807" i="1"/>
  <c r="BL807" i="1"/>
  <c r="BJ807" i="1"/>
  <c r="BI807" i="1"/>
  <c r="BF807" i="1"/>
  <c r="BG807" i="1" s="1"/>
  <c r="BE807" i="1"/>
  <c r="BB807" i="1"/>
  <c r="BA807" i="1"/>
  <c r="AX807" i="1"/>
  <c r="AV807" i="1"/>
  <c r="AW807" i="1" s="1"/>
  <c r="AU807" i="1"/>
  <c r="AT807" i="1"/>
  <c r="AS807" i="1"/>
  <c r="AP807" i="1"/>
  <c r="AQ807" i="1" s="1"/>
  <c r="AO807" i="1"/>
  <c r="AL807" i="1"/>
  <c r="AM807" i="1" s="1"/>
  <c r="AK807" i="1"/>
  <c r="AH807" i="1"/>
  <c r="AF807" i="1"/>
  <c r="AG807" i="1" s="1"/>
  <c r="AD807" i="1"/>
  <c r="AC807" i="1"/>
  <c r="AB807" i="1"/>
  <c r="Z807" i="1"/>
  <c r="X807" i="1"/>
  <c r="Y807" i="1" s="1"/>
  <c r="V807" i="1"/>
  <c r="U807" i="1"/>
  <c r="T807" i="1"/>
  <c r="R807" i="1"/>
  <c r="Q807" i="1"/>
  <c r="N807" i="1"/>
  <c r="M807" i="1"/>
  <c r="K807" i="1"/>
  <c r="J807" i="1"/>
  <c r="I807" i="1"/>
  <c r="G807" i="1"/>
  <c r="F807" i="1"/>
  <c r="E807" i="1"/>
  <c r="BN806" i="1"/>
  <c r="BL806" i="1"/>
  <c r="BJ806" i="1"/>
  <c r="BM806" i="1" s="1"/>
  <c r="BI806" i="1"/>
  <c r="BG806" i="1"/>
  <c r="BF806" i="1"/>
  <c r="BE806" i="1"/>
  <c r="BC806" i="1"/>
  <c r="BB806" i="1"/>
  <c r="BA806" i="1"/>
  <c r="AY806" i="1"/>
  <c r="AX806" i="1"/>
  <c r="AW806" i="1"/>
  <c r="AT806" i="1"/>
  <c r="AU806" i="1" s="1"/>
  <c r="AS806" i="1"/>
  <c r="AP806" i="1"/>
  <c r="AQ806" i="1" s="1"/>
  <c r="AO806" i="1"/>
  <c r="AL806" i="1"/>
  <c r="AK806" i="1"/>
  <c r="AH806" i="1"/>
  <c r="AG806" i="1"/>
  <c r="AE806" i="1"/>
  <c r="AD806" i="1"/>
  <c r="AC806" i="1"/>
  <c r="AA806" i="1"/>
  <c r="Z806" i="1"/>
  <c r="Y806" i="1"/>
  <c r="W806" i="1"/>
  <c r="V806" i="1"/>
  <c r="U806" i="1"/>
  <c r="S806" i="1"/>
  <c r="R806" i="1"/>
  <c r="Q806" i="1"/>
  <c r="N806" i="1"/>
  <c r="O806" i="1" s="1"/>
  <c r="M806" i="1"/>
  <c r="J806" i="1"/>
  <c r="K806" i="1" s="1"/>
  <c r="I806" i="1"/>
  <c r="F806" i="1"/>
  <c r="G806" i="1" s="1"/>
  <c r="E806" i="1"/>
  <c r="BN805" i="1"/>
  <c r="BL805" i="1"/>
  <c r="BJ805" i="1"/>
  <c r="BM805" i="1" s="1"/>
  <c r="BI805" i="1"/>
  <c r="BF805" i="1"/>
  <c r="BE805" i="1"/>
  <c r="BB805" i="1"/>
  <c r="BA805" i="1"/>
  <c r="AY805" i="1"/>
  <c r="AX805" i="1"/>
  <c r="AW805" i="1"/>
  <c r="AU805" i="1"/>
  <c r="AT805" i="1"/>
  <c r="AS805" i="1"/>
  <c r="AQ805" i="1"/>
  <c r="AP805" i="1"/>
  <c r="AO805" i="1"/>
  <c r="AM805" i="1"/>
  <c r="AL805" i="1"/>
  <c r="AK805" i="1"/>
  <c r="AH805" i="1"/>
  <c r="AI805" i="1" s="1"/>
  <c r="AG805" i="1"/>
  <c r="AD805" i="1"/>
  <c r="AE805" i="1" s="1"/>
  <c r="AC805" i="1"/>
  <c r="Z805" i="1"/>
  <c r="Y805" i="1"/>
  <c r="V805" i="1"/>
  <c r="U805" i="1"/>
  <c r="S805" i="1"/>
  <c r="R805" i="1"/>
  <c r="Q805" i="1"/>
  <c r="O805" i="1"/>
  <c r="N805" i="1"/>
  <c r="M805" i="1"/>
  <c r="K805" i="1"/>
  <c r="J805" i="1"/>
  <c r="I805" i="1"/>
  <c r="G805" i="1"/>
  <c r="F805" i="1"/>
  <c r="E805" i="1"/>
  <c r="BN804" i="1"/>
  <c r="BM804" i="1"/>
  <c r="BL804" i="1"/>
  <c r="BJ804" i="1"/>
  <c r="BI804" i="1"/>
  <c r="BG804" i="1"/>
  <c r="BF804" i="1"/>
  <c r="BE804" i="1"/>
  <c r="BB804" i="1"/>
  <c r="BC804" i="1" s="1"/>
  <c r="BA804" i="1"/>
  <c r="AX804" i="1"/>
  <c r="AY804" i="1" s="1"/>
  <c r="AW804" i="1"/>
  <c r="AT804" i="1"/>
  <c r="AS804" i="1"/>
  <c r="AP804" i="1"/>
  <c r="AO804" i="1"/>
  <c r="AM804" i="1"/>
  <c r="AL804" i="1"/>
  <c r="AK804" i="1"/>
  <c r="AI804" i="1"/>
  <c r="AH804" i="1"/>
  <c r="AG804" i="1"/>
  <c r="AE804" i="1"/>
  <c r="AD804" i="1"/>
  <c r="AC804" i="1"/>
  <c r="AA804" i="1"/>
  <c r="Z804" i="1"/>
  <c r="Y804" i="1"/>
  <c r="V804" i="1"/>
  <c r="W804" i="1" s="1"/>
  <c r="U804" i="1"/>
  <c r="R804" i="1"/>
  <c r="S804" i="1" s="1"/>
  <c r="Q804" i="1"/>
  <c r="N804" i="1"/>
  <c r="M804" i="1"/>
  <c r="J804" i="1"/>
  <c r="I804" i="1"/>
  <c r="G804" i="1"/>
  <c r="F804" i="1"/>
  <c r="E804" i="1"/>
  <c r="BN803" i="1"/>
  <c r="BL803" i="1"/>
  <c r="BJ803" i="1"/>
  <c r="BM803" i="1" s="1"/>
  <c r="BI803" i="1"/>
  <c r="BG803" i="1"/>
  <c r="BF803" i="1"/>
  <c r="BE803" i="1"/>
  <c r="BC803" i="1"/>
  <c r="BB803" i="1"/>
  <c r="BA803" i="1"/>
  <c r="AY803" i="1"/>
  <c r="AX803" i="1"/>
  <c r="AW803" i="1"/>
  <c r="AU803" i="1"/>
  <c r="AT803" i="1"/>
  <c r="AS803" i="1"/>
  <c r="AP803" i="1"/>
  <c r="AQ803" i="1" s="1"/>
  <c r="AO803" i="1"/>
  <c r="AL803" i="1"/>
  <c r="AM803" i="1" s="1"/>
  <c r="AK803" i="1"/>
  <c r="AH803" i="1"/>
  <c r="AG803" i="1"/>
  <c r="AD803" i="1"/>
  <c r="AC803" i="1"/>
  <c r="AA803" i="1"/>
  <c r="Z803" i="1"/>
  <c r="Y803" i="1"/>
  <c r="W803" i="1"/>
  <c r="V803" i="1"/>
  <c r="U803" i="1"/>
  <c r="S803" i="1"/>
  <c r="R803" i="1"/>
  <c r="Q803" i="1"/>
  <c r="O803" i="1"/>
  <c r="N803" i="1"/>
  <c r="M803" i="1"/>
  <c r="J803" i="1"/>
  <c r="K803" i="1" s="1"/>
  <c r="I803" i="1"/>
  <c r="F803" i="1"/>
  <c r="G803" i="1" s="1"/>
  <c r="E803" i="1"/>
  <c r="BN802" i="1"/>
  <c r="BM802" i="1"/>
  <c r="BL802" i="1"/>
  <c r="BJ802" i="1"/>
  <c r="BI802" i="1"/>
  <c r="BF802" i="1"/>
  <c r="BG802" i="1" s="1"/>
  <c r="BE802" i="1"/>
  <c r="BB802" i="1"/>
  <c r="BA802" i="1"/>
  <c r="AX802" i="1"/>
  <c r="AW802" i="1"/>
  <c r="AU802" i="1"/>
  <c r="AT802" i="1"/>
  <c r="AS802" i="1"/>
  <c r="AQ802" i="1"/>
  <c r="AP802" i="1"/>
  <c r="AO802" i="1"/>
  <c r="AM802" i="1"/>
  <c r="AL802" i="1"/>
  <c r="AK802" i="1"/>
  <c r="AI802" i="1"/>
  <c r="AH802" i="1"/>
  <c r="AG802" i="1"/>
  <c r="AD802" i="1"/>
  <c r="AE802" i="1" s="1"/>
  <c r="AC802" i="1"/>
  <c r="Z802" i="1"/>
  <c r="AA802" i="1" s="1"/>
  <c r="Y802" i="1"/>
  <c r="V802" i="1"/>
  <c r="U802" i="1"/>
  <c r="R802" i="1"/>
  <c r="Q802" i="1"/>
  <c r="N802" i="1"/>
  <c r="O802" i="1" s="1"/>
  <c r="M802" i="1"/>
  <c r="K802" i="1"/>
  <c r="J802" i="1"/>
  <c r="I802" i="1"/>
  <c r="G802" i="1"/>
  <c r="F802" i="1"/>
  <c r="E802" i="1"/>
  <c r="BN801" i="1"/>
  <c r="BL801" i="1"/>
  <c r="BJ801" i="1"/>
  <c r="BM801" i="1" s="1"/>
  <c r="BI801" i="1"/>
  <c r="BG801" i="1"/>
  <c r="BF801" i="1"/>
  <c r="BE801" i="1"/>
  <c r="BC801" i="1"/>
  <c r="BB801" i="1"/>
  <c r="BA801" i="1"/>
  <c r="AX801" i="1"/>
  <c r="AY801" i="1" s="1"/>
  <c r="AW801" i="1"/>
  <c r="AT801" i="1"/>
  <c r="AU801" i="1" s="1"/>
  <c r="AS801" i="1"/>
  <c r="AP801" i="1"/>
  <c r="AO801" i="1"/>
  <c r="AL801" i="1"/>
  <c r="AK801" i="1"/>
  <c r="AI801" i="1"/>
  <c r="AH801" i="1"/>
  <c r="AG801" i="1"/>
  <c r="AE801" i="1"/>
  <c r="AD801" i="1"/>
  <c r="AC801" i="1"/>
  <c r="AA801" i="1"/>
  <c r="Z801" i="1"/>
  <c r="Y801" i="1"/>
  <c r="W801" i="1"/>
  <c r="V801" i="1"/>
  <c r="U801" i="1"/>
  <c r="R801" i="1"/>
  <c r="S801" i="1" s="1"/>
  <c r="Q801" i="1"/>
  <c r="N801" i="1"/>
  <c r="O801" i="1" s="1"/>
  <c r="M801" i="1"/>
  <c r="J801" i="1"/>
  <c r="I801" i="1"/>
  <c r="F801" i="1"/>
  <c r="E801" i="1"/>
  <c r="BN800" i="1"/>
  <c r="BL800" i="1"/>
  <c r="BJ800" i="1"/>
  <c r="BI800" i="1"/>
  <c r="BF800" i="1"/>
  <c r="BE800" i="1"/>
  <c r="BC800" i="1"/>
  <c r="BB800" i="1"/>
  <c r="BA800" i="1"/>
  <c r="AY800" i="1"/>
  <c r="AX800" i="1"/>
  <c r="AW800" i="1"/>
  <c r="AU800" i="1"/>
  <c r="AT800" i="1"/>
  <c r="AS800" i="1"/>
  <c r="AQ800" i="1"/>
  <c r="AP800" i="1"/>
  <c r="AO800" i="1"/>
  <c r="AL800" i="1"/>
  <c r="AM800" i="1" s="1"/>
  <c r="AK800" i="1"/>
  <c r="AH800" i="1"/>
  <c r="AI800" i="1" s="1"/>
  <c r="AG800" i="1"/>
  <c r="AD800" i="1"/>
  <c r="AC800" i="1"/>
  <c r="Z800" i="1"/>
  <c r="Y800" i="1"/>
  <c r="W800" i="1"/>
  <c r="V800" i="1"/>
  <c r="U800" i="1"/>
  <c r="S800" i="1"/>
  <c r="R800" i="1"/>
  <c r="Q800" i="1"/>
  <c r="O800" i="1"/>
  <c r="N800" i="1"/>
  <c r="M800" i="1"/>
  <c r="K800" i="1"/>
  <c r="J800" i="1"/>
  <c r="I800" i="1"/>
  <c r="F800" i="1"/>
  <c r="G800" i="1" s="1"/>
  <c r="E800" i="1"/>
  <c r="BN799" i="1"/>
  <c r="BM799" i="1"/>
  <c r="BL799" i="1"/>
  <c r="BJ799" i="1"/>
  <c r="BI799" i="1"/>
  <c r="BF799" i="1"/>
  <c r="BG799" i="1" s="1"/>
  <c r="BE799" i="1"/>
  <c r="BB799" i="1"/>
  <c r="BC799" i="1" s="1"/>
  <c r="BA799" i="1"/>
  <c r="AX799" i="1"/>
  <c r="AW799" i="1"/>
  <c r="AT799" i="1"/>
  <c r="AS799" i="1"/>
  <c r="AQ799" i="1"/>
  <c r="AP799" i="1"/>
  <c r="AO799" i="1"/>
  <c r="AM799" i="1"/>
  <c r="AL799" i="1"/>
  <c r="AK799" i="1"/>
  <c r="AI799" i="1"/>
  <c r="AH799" i="1"/>
  <c r="AG799" i="1"/>
  <c r="AE799" i="1"/>
  <c r="AD799" i="1"/>
  <c r="AC799" i="1"/>
  <c r="Z799" i="1"/>
  <c r="AA799" i="1" s="1"/>
  <c r="Y799" i="1"/>
  <c r="V799" i="1"/>
  <c r="W799" i="1" s="1"/>
  <c r="U799" i="1"/>
  <c r="R799" i="1"/>
  <c r="Q799" i="1"/>
  <c r="N799" i="1"/>
  <c r="M799" i="1"/>
  <c r="K799" i="1"/>
  <c r="J799" i="1"/>
  <c r="I799" i="1"/>
  <c r="G799" i="1"/>
  <c r="F799" i="1"/>
  <c r="E799" i="1"/>
  <c r="BN798" i="1"/>
  <c r="BL798" i="1"/>
  <c r="BJ798" i="1"/>
  <c r="BM798" i="1" s="1"/>
  <c r="BI798" i="1"/>
  <c r="BG798" i="1"/>
  <c r="BF798" i="1"/>
  <c r="BE798" i="1"/>
  <c r="BC798" i="1"/>
  <c r="BB798" i="1"/>
  <c r="BA798" i="1"/>
  <c r="AY798" i="1"/>
  <c r="AX798" i="1"/>
  <c r="AW798" i="1"/>
  <c r="AT798" i="1"/>
  <c r="AU798" i="1" s="1"/>
  <c r="AS798" i="1"/>
  <c r="AP798" i="1"/>
  <c r="AQ798" i="1" s="1"/>
  <c r="AO798" i="1"/>
  <c r="AL798" i="1"/>
  <c r="AK798" i="1"/>
  <c r="AH798" i="1"/>
  <c r="AG798" i="1"/>
  <c r="AE798" i="1"/>
  <c r="AD798" i="1"/>
  <c r="AC798" i="1"/>
  <c r="AA798" i="1"/>
  <c r="Z798" i="1"/>
  <c r="Y798" i="1"/>
  <c r="W798" i="1"/>
  <c r="V798" i="1"/>
  <c r="U798" i="1"/>
  <c r="S798" i="1"/>
  <c r="R798" i="1"/>
  <c r="Q798" i="1"/>
  <c r="N798" i="1"/>
  <c r="O798" i="1" s="1"/>
  <c r="M798" i="1"/>
  <c r="J798" i="1"/>
  <c r="K798" i="1" s="1"/>
  <c r="I798" i="1"/>
  <c r="F798" i="1"/>
  <c r="G798" i="1" s="1"/>
  <c r="E798" i="1"/>
  <c r="BN797" i="1"/>
  <c r="BK797" i="1"/>
  <c r="BL797" i="1" s="1"/>
  <c r="BJ797" i="1"/>
  <c r="BM797" i="1" s="1"/>
  <c r="BI797" i="1"/>
  <c r="BG797" i="1"/>
  <c r="BF797" i="1"/>
  <c r="BE797" i="1"/>
  <c r="BC797" i="1"/>
  <c r="BB797" i="1"/>
  <c r="BA797" i="1"/>
  <c r="AY797" i="1"/>
  <c r="AX797" i="1"/>
  <c r="AW797" i="1"/>
  <c r="AT797" i="1"/>
  <c r="AU797" i="1" s="1"/>
  <c r="AS797" i="1"/>
  <c r="AP797" i="1"/>
  <c r="AQ797" i="1" s="1"/>
  <c r="AO797" i="1"/>
  <c r="AL797" i="1"/>
  <c r="AK797" i="1"/>
  <c r="AH797" i="1"/>
  <c r="AG797" i="1"/>
  <c r="AE797" i="1"/>
  <c r="AD797" i="1"/>
  <c r="AC797" i="1"/>
  <c r="AA797" i="1"/>
  <c r="Z797" i="1"/>
  <c r="Y797" i="1"/>
  <c r="W797" i="1"/>
  <c r="V797" i="1"/>
  <c r="U797" i="1"/>
  <c r="S797" i="1"/>
  <c r="R797" i="1"/>
  <c r="Q797" i="1"/>
  <c r="N797" i="1"/>
  <c r="O797" i="1" s="1"/>
  <c r="M797" i="1"/>
  <c r="J797" i="1"/>
  <c r="K797" i="1" s="1"/>
  <c r="I797" i="1"/>
  <c r="F797" i="1"/>
  <c r="G797" i="1" s="1"/>
  <c r="E797" i="1"/>
  <c r="BN796" i="1"/>
  <c r="BK796" i="1"/>
  <c r="BL796" i="1" s="1"/>
  <c r="BJ796" i="1"/>
  <c r="BM796" i="1" s="1"/>
  <c r="BI796" i="1"/>
  <c r="BG796" i="1"/>
  <c r="BF796" i="1"/>
  <c r="BE796" i="1"/>
  <c r="BC796" i="1"/>
  <c r="BB796" i="1"/>
  <c r="BA796" i="1"/>
  <c r="AY796" i="1"/>
  <c r="AX796" i="1"/>
  <c r="AW796" i="1"/>
  <c r="AT796" i="1"/>
  <c r="AU796" i="1" s="1"/>
  <c r="AS796" i="1"/>
  <c r="AP796" i="1"/>
  <c r="AQ796" i="1" s="1"/>
  <c r="AO796" i="1"/>
  <c r="AL796" i="1"/>
  <c r="AK796" i="1"/>
  <c r="AH796" i="1"/>
  <c r="AG796" i="1"/>
  <c r="AE796" i="1"/>
  <c r="AD796" i="1"/>
  <c r="AC796" i="1"/>
  <c r="AA796" i="1"/>
  <c r="Z796" i="1"/>
  <c r="Y796" i="1"/>
  <c r="W796" i="1"/>
  <c r="V796" i="1"/>
  <c r="U796" i="1"/>
  <c r="S796" i="1"/>
  <c r="R796" i="1"/>
  <c r="Q796" i="1"/>
  <c r="N796" i="1"/>
  <c r="O796" i="1" s="1"/>
  <c r="M796" i="1"/>
  <c r="J796" i="1"/>
  <c r="K796" i="1" s="1"/>
  <c r="I796" i="1"/>
  <c r="F796" i="1"/>
  <c r="G796" i="1" s="1"/>
  <c r="E796" i="1"/>
  <c r="BN795" i="1"/>
  <c r="BK795" i="1"/>
  <c r="BL795" i="1" s="1"/>
  <c r="BJ795" i="1"/>
  <c r="BM795" i="1" s="1"/>
  <c r="BI795" i="1"/>
  <c r="BG795" i="1"/>
  <c r="BF795" i="1"/>
  <c r="BE795" i="1"/>
  <c r="BC795" i="1"/>
  <c r="BB795" i="1"/>
  <c r="BA795" i="1"/>
  <c r="AY795" i="1"/>
  <c r="AX795" i="1"/>
  <c r="AW795" i="1"/>
  <c r="AT795" i="1"/>
  <c r="AU795" i="1" s="1"/>
  <c r="AS795" i="1"/>
  <c r="AP795" i="1"/>
  <c r="AQ795" i="1" s="1"/>
  <c r="AO795" i="1"/>
  <c r="AL795" i="1"/>
  <c r="AK795" i="1"/>
  <c r="AH795" i="1"/>
  <c r="AG795" i="1"/>
  <c r="AE795" i="1"/>
  <c r="AD795" i="1"/>
  <c r="AC795" i="1"/>
  <c r="AA795" i="1"/>
  <c r="Z795" i="1"/>
  <c r="Y795" i="1"/>
  <c r="W795" i="1"/>
  <c r="V795" i="1"/>
  <c r="U795" i="1"/>
  <c r="S795" i="1"/>
  <c r="R795" i="1"/>
  <c r="Q795" i="1"/>
  <c r="P795" i="1"/>
  <c r="O795" i="1"/>
  <c r="N795" i="1"/>
  <c r="M795" i="1"/>
  <c r="K795" i="1"/>
  <c r="J795" i="1"/>
  <c r="I795" i="1"/>
  <c r="G795" i="1"/>
  <c r="F795" i="1"/>
  <c r="E795" i="1"/>
  <c r="BN794" i="1"/>
  <c r="BL794" i="1"/>
  <c r="BJ794" i="1"/>
  <c r="BM794" i="1" s="1"/>
  <c r="BI794" i="1"/>
  <c r="BG794" i="1"/>
  <c r="BF794" i="1"/>
  <c r="BE794" i="1"/>
  <c r="BC794" i="1"/>
  <c r="BB794" i="1"/>
  <c r="BA794" i="1"/>
  <c r="AY794" i="1"/>
  <c r="AX794" i="1"/>
  <c r="AW794" i="1"/>
  <c r="AT794" i="1"/>
  <c r="AU794" i="1" s="1"/>
  <c r="AS794" i="1"/>
  <c r="AP794" i="1"/>
  <c r="AQ794" i="1" s="1"/>
  <c r="AO794" i="1"/>
  <c r="AL794" i="1"/>
  <c r="AK794" i="1"/>
  <c r="AH794" i="1"/>
  <c r="AG794" i="1"/>
  <c r="AE794" i="1"/>
  <c r="AD794" i="1"/>
  <c r="AC794" i="1"/>
  <c r="AA794" i="1"/>
  <c r="Z794" i="1"/>
  <c r="Y794" i="1"/>
  <c r="W794" i="1"/>
  <c r="V794" i="1"/>
  <c r="U794" i="1"/>
  <c r="S794" i="1"/>
  <c r="R794" i="1"/>
  <c r="Q794" i="1"/>
  <c r="N794" i="1"/>
  <c r="O794" i="1" s="1"/>
  <c r="M794" i="1"/>
  <c r="J794" i="1"/>
  <c r="K794" i="1" s="1"/>
  <c r="I794" i="1"/>
  <c r="F794" i="1"/>
  <c r="G794" i="1" s="1"/>
  <c r="E794" i="1"/>
  <c r="BN793" i="1"/>
  <c r="BL793" i="1"/>
  <c r="BJ793" i="1"/>
  <c r="BM793" i="1" s="1"/>
  <c r="BI793" i="1"/>
  <c r="BF793" i="1"/>
  <c r="BE793" i="1"/>
  <c r="BB793" i="1"/>
  <c r="BA793" i="1"/>
  <c r="AY793" i="1"/>
  <c r="AX793" i="1"/>
  <c r="AW793" i="1"/>
  <c r="AU793" i="1"/>
  <c r="AT793" i="1"/>
  <c r="AS793" i="1"/>
  <c r="AQ793" i="1"/>
  <c r="AP793" i="1"/>
  <c r="AO793" i="1"/>
  <c r="AM793" i="1"/>
  <c r="AL793" i="1"/>
  <c r="AK793" i="1"/>
  <c r="AH793" i="1"/>
  <c r="AI793" i="1" s="1"/>
  <c r="AG793" i="1"/>
  <c r="AD793" i="1"/>
  <c r="AE793" i="1" s="1"/>
  <c r="AC793" i="1"/>
  <c r="Z793" i="1"/>
  <c r="Y793" i="1"/>
  <c r="V793" i="1"/>
  <c r="U793" i="1"/>
  <c r="S793" i="1"/>
  <c r="R793" i="1"/>
  <c r="Q793" i="1"/>
  <c r="O793" i="1"/>
  <c r="N793" i="1"/>
  <c r="M793" i="1"/>
  <c r="K793" i="1"/>
  <c r="J793" i="1"/>
  <c r="I793" i="1"/>
  <c r="G793" i="1"/>
  <c r="F793" i="1"/>
  <c r="E793" i="1"/>
  <c r="BN792" i="1"/>
  <c r="BM792" i="1"/>
  <c r="BL792" i="1"/>
  <c r="BJ792" i="1"/>
  <c r="BI792" i="1"/>
  <c r="BG792" i="1"/>
  <c r="BF792" i="1"/>
  <c r="BE792" i="1"/>
  <c r="BB792" i="1"/>
  <c r="BC792" i="1" s="1"/>
  <c r="BA792" i="1"/>
  <c r="AX792" i="1"/>
  <c r="AY792" i="1" s="1"/>
  <c r="AW792" i="1"/>
  <c r="AT792" i="1"/>
  <c r="AS792" i="1"/>
  <c r="AP792" i="1"/>
  <c r="AO792" i="1"/>
  <c r="AM792" i="1"/>
  <c r="AL792" i="1"/>
  <c r="AK792" i="1"/>
  <c r="AI792" i="1"/>
  <c r="AH792" i="1"/>
  <c r="AG792" i="1"/>
  <c r="AE792" i="1"/>
  <c r="AD792" i="1"/>
  <c r="AC792" i="1"/>
  <c r="AA792" i="1"/>
  <c r="Z792" i="1"/>
  <c r="Y792" i="1"/>
  <c r="V792" i="1"/>
  <c r="W792" i="1" s="1"/>
  <c r="U792" i="1"/>
  <c r="R792" i="1"/>
  <c r="S792" i="1" s="1"/>
  <c r="Q792" i="1"/>
  <c r="N792" i="1"/>
  <c r="M792" i="1"/>
  <c r="J792" i="1"/>
  <c r="I792" i="1"/>
  <c r="G792" i="1"/>
  <c r="F792" i="1"/>
  <c r="E792" i="1"/>
  <c r="BN791" i="1"/>
  <c r="BL791" i="1"/>
  <c r="BJ791" i="1"/>
  <c r="BI791" i="1"/>
  <c r="BG791" i="1"/>
  <c r="BF791" i="1"/>
  <c r="BE791" i="1"/>
  <c r="BC791" i="1"/>
  <c r="BB791" i="1"/>
  <c r="BA791" i="1"/>
  <c r="AY791" i="1"/>
  <c r="AX791" i="1"/>
  <c r="AW791" i="1"/>
  <c r="AU791" i="1"/>
  <c r="AT791" i="1"/>
  <c r="AS791" i="1"/>
  <c r="AP791" i="1"/>
  <c r="AQ791" i="1" s="1"/>
  <c r="AO791" i="1"/>
  <c r="AL791" i="1"/>
  <c r="AM791" i="1" s="1"/>
  <c r="AK791" i="1"/>
  <c r="AH791" i="1"/>
  <c r="AG791" i="1"/>
  <c r="AD791" i="1"/>
  <c r="AC791" i="1"/>
  <c r="AA791" i="1"/>
  <c r="Z791" i="1"/>
  <c r="Y791" i="1"/>
  <c r="W791" i="1"/>
  <c r="V791" i="1"/>
  <c r="U791" i="1"/>
  <c r="S791" i="1"/>
  <c r="R791" i="1"/>
  <c r="Q791" i="1"/>
  <c r="O791" i="1"/>
  <c r="N791" i="1"/>
  <c r="M791" i="1"/>
  <c r="J791" i="1"/>
  <c r="K791" i="1" s="1"/>
  <c r="I791" i="1"/>
  <c r="F791" i="1"/>
  <c r="G791" i="1" s="1"/>
  <c r="E791" i="1"/>
  <c r="BN790" i="1"/>
  <c r="BM790" i="1"/>
  <c r="BL790" i="1"/>
  <c r="BJ790" i="1"/>
  <c r="BI790" i="1"/>
  <c r="BF790" i="1"/>
  <c r="BG790" i="1" s="1"/>
  <c r="BE790" i="1"/>
  <c r="BB790" i="1"/>
  <c r="BC790" i="1" s="1"/>
  <c r="BA790" i="1"/>
  <c r="AX790" i="1"/>
  <c r="AY790" i="1" s="1"/>
  <c r="AW790" i="1"/>
  <c r="AU790" i="1"/>
  <c r="AT790" i="1"/>
  <c r="AS790" i="1"/>
  <c r="AQ790" i="1"/>
  <c r="AP790" i="1"/>
  <c r="AO790" i="1"/>
  <c r="AM790" i="1"/>
  <c r="AL790" i="1"/>
  <c r="AK790" i="1"/>
  <c r="AI790" i="1"/>
  <c r="AH790" i="1"/>
  <c r="AG790" i="1"/>
  <c r="AD790" i="1"/>
  <c r="AE790" i="1" s="1"/>
  <c r="AC790" i="1"/>
  <c r="Z790" i="1"/>
  <c r="AA790" i="1" s="1"/>
  <c r="Y790" i="1"/>
  <c r="V790" i="1"/>
  <c r="U790" i="1"/>
  <c r="R790" i="1"/>
  <c r="Q790" i="1"/>
  <c r="O790" i="1"/>
  <c r="N790" i="1"/>
  <c r="M790" i="1"/>
  <c r="K790" i="1"/>
  <c r="J790" i="1"/>
  <c r="I790" i="1"/>
  <c r="G790" i="1"/>
  <c r="F790" i="1"/>
  <c r="E790" i="1"/>
  <c r="BN789" i="1"/>
  <c r="BL789" i="1"/>
  <c r="BK789" i="1"/>
  <c r="BJ789" i="1"/>
  <c r="BM789" i="1" s="1"/>
  <c r="BI789" i="1"/>
  <c r="BH789" i="1"/>
  <c r="BG789" i="1"/>
  <c r="BF789" i="1"/>
  <c r="BD789" i="1"/>
  <c r="BE789" i="1" s="1"/>
  <c r="BB789" i="1"/>
  <c r="BC789" i="1" s="1"/>
  <c r="BA789" i="1"/>
  <c r="AX789" i="1"/>
  <c r="AY789" i="1" s="1"/>
  <c r="AW789" i="1"/>
  <c r="AT789" i="1"/>
  <c r="AU789" i="1" s="1"/>
  <c r="AS789" i="1"/>
  <c r="AP789" i="1"/>
  <c r="AQ789" i="1" s="1"/>
  <c r="AO789" i="1"/>
  <c r="AM789" i="1"/>
  <c r="AL789" i="1"/>
  <c r="AJ789" i="1"/>
  <c r="AK789" i="1" s="1"/>
  <c r="AH789" i="1"/>
  <c r="AI789" i="1" s="1"/>
  <c r="AG789" i="1"/>
  <c r="AF789" i="1"/>
  <c r="AE789" i="1"/>
  <c r="AD789" i="1"/>
  <c r="AC789" i="1"/>
  <c r="AA789" i="1"/>
  <c r="Z789" i="1"/>
  <c r="Y789" i="1"/>
  <c r="W789" i="1"/>
  <c r="V789" i="1"/>
  <c r="U789" i="1"/>
  <c r="T789" i="1"/>
  <c r="R789" i="1"/>
  <c r="S789" i="1" s="1"/>
  <c r="Q789" i="1"/>
  <c r="N789" i="1"/>
  <c r="O789" i="1" s="1"/>
  <c r="M789" i="1"/>
  <c r="K789" i="1"/>
  <c r="J789" i="1"/>
  <c r="I789" i="1"/>
  <c r="G789" i="1"/>
  <c r="F789" i="1"/>
  <c r="E789" i="1"/>
  <c r="BN788" i="1"/>
  <c r="BM788" i="1" s="1"/>
  <c r="BL788" i="1"/>
  <c r="BK788" i="1"/>
  <c r="BJ788" i="1"/>
  <c r="BI788" i="1"/>
  <c r="BH788" i="1"/>
  <c r="BF788" i="1"/>
  <c r="BG788" i="1" s="1"/>
  <c r="BD788" i="1"/>
  <c r="BE788" i="1" s="1"/>
  <c r="BC788" i="1"/>
  <c r="BB788" i="1"/>
  <c r="BA788" i="1"/>
  <c r="AX788" i="1"/>
  <c r="AY788" i="1" s="1"/>
  <c r="AW788" i="1"/>
  <c r="AT788" i="1"/>
  <c r="AU788" i="1" s="1"/>
  <c r="AS788" i="1"/>
  <c r="AP788" i="1"/>
  <c r="AQ788" i="1" s="1"/>
  <c r="AO788" i="1"/>
  <c r="AL788" i="1"/>
  <c r="AM788" i="1" s="1"/>
  <c r="AJ788" i="1"/>
  <c r="AK788" i="1" s="1"/>
  <c r="AI788" i="1"/>
  <c r="AH788" i="1"/>
  <c r="AG788" i="1"/>
  <c r="AF788" i="1"/>
  <c r="AD788" i="1"/>
  <c r="AE788" i="1" s="1"/>
  <c r="AC788" i="1"/>
  <c r="AA788" i="1"/>
  <c r="Z788" i="1"/>
  <c r="Y788" i="1"/>
  <c r="W788" i="1"/>
  <c r="V788" i="1"/>
  <c r="T788" i="1"/>
  <c r="U788" i="1" s="1"/>
  <c r="R788" i="1"/>
  <c r="S788" i="1" s="1"/>
  <c r="Q788" i="1"/>
  <c r="N788" i="1"/>
  <c r="O788" i="1" s="1"/>
  <c r="M788" i="1"/>
  <c r="J788" i="1"/>
  <c r="I788" i="1"/>
  <c r="G788" i="1"/>
  <c r="F788" i="1"/>
  <c r="E788" i="1"/>
  <c r="BN787" i="1"/>
  <c r="BK787" i="1"/>
  <c r="BL787" i="1" s="1"/>
  <c r="BJ787" i="1"/>
  <c r="BI787" i="1"/>
  <c r="BH787" i="1"/>
  <c r="BF787" i="1"/>
  <c r="BD787" i="1"/>
  <c r="BE787" i="1" s="1"/>
  <c r="BB787" i="1"/>
  <c r="BA787" i="1"/>
  <c r="AY787" i="1"/>
  <c r="AX787" i="1"/>
  <c r="AW787" i="1"/>
  <c r="AV787" i="1"/>
  <c r="AT787" i="1"/>
  <c r="AU787" i="1" s="1"/>
  <c r="AS787" i="1"/>
  <c r="AQ787" i="1"/>
  <c r="AP787" i="1"/>
  <c r="AN787" i="1"/>
  <c r="AO787" i="1" s="1"/>
  <c r="AL787" i="1"/>
  <c r="AM787" i="1" s="1"/>
  <c r="AK787" i="1"/>
  <c r="AJ787" i="1"/>
  <c r="AI787" i="1"/>
  <c r="AH787" i="1"/>
  <c r="AF787" i="1"/>
  <c r="AG787" i="1" s="1"/>
  <c r="AD787" i="1"/>
  <c r="AE787" i="1" s="1"/>
  <c r="AC787" i="1"/>
  <c r="Z787" i="1"/>
  <c r="AA787" i="1" s="1"/>
  <c r="Y787" i="1"/>
  <c r="V787" i="1"/>
  <c r="T787" i="1"/>
  <c r="U787" i="1" s="1"/>
  <c r="R787" i="1"/>
  <c r="Q787" i="1"/>
  <c r="O787" i="1"/>
  <c r="N787" i="1"/>
  <c r="M787" i="1"/>
  <c r="J787" i="1"/>
  <c r="K787" i="1" s="1"/>
  <c r="I787" i="1"/>
  <c r="F787" i="1"/>
  <c r="G787" i="1" s="1"/>
  <c r="E787" i="1"/>
  <c r="BN786" i="1"/>
  <c r="BM786" i="1"/>
  <c r="BL786" i="1"/>
  <c r="BJ786" i="1"/>
  <c r="BI786" i="1"/>
  <c r="BF786" i="1"/>
  <c r="BG786" i="1" s="1"/>
  <c r="BE786" i="1"/>
  <c r="BB786" i="1"/>
  <c r="BC786" i="1" s="1"/>
  <c r="BA786" i="1"/>
  <c r="AX786" i="1"/>
  <c r="AY786" i="1" s="1"/>
  <c r="AW786" i="1"/>
  <c r="AU786" i="1"/>
  <c r="AT786" i="1"/>
  <c r="AS786" i="1"/>
  <c r="AQ786" i="1"/>
  <c r="AP786" i="1"/>
  <c r="AO786" i="1"/>
  <c r="AM786" i="1"/>
  <c r="AL786" i="1"/>
  <c r="AK786" i="1"/>
  <c r="AI786" i="1"/>
  <c r="AH786" i="1"/>
  <c r="AG786" i="1"/>
  <c r="AD786" i="1"/>
  <c r="AE786" i="1" s="1"/>
  <c r="AC786" i="1"/>
  <c r="Z786" i="1"/>
  <c r="AA786" i="1" s="1"/>
  <c r="Y786" i="1"/>
  <c r="V786" i="1"/>
  <c r="W786" i="1" s="1"/>
  <c r="U786" i="1"/>
  <c r="R786" i="1"/>
  <c r="Q786" i="1"/>
  <c r="O786" i="1"/>
  <c r="N786" i="1"/>
  <c r="M786" i="1"/>
  <c r="K786" i="1"/>
  <c r="J786" i="1"/>
  <c r="I786" i="1"/>
  <c r="G786" i="1"/>
  <c r="F786" i="1"/>
  <c r="E786" i="1"/>
  <c r="BN785" i="1"/>
  <c r="BM785" i="1" s="1"/>
  <c r="BL785" i="1"/>
  <c r="BJ785" i="1"/>
  <c r="BI785" i="1"/>
  <c r="BG785" i="1"/>
  <c r="BF785" i="1"/>
  <c r="BE785" i="1"/>
  <c r="BC785" i="1"/>
  <c r="BB785" i="1"/>
  <c r="BA785" i="1"/>
  <c r="AX785" i="1"/>
  <c r="AY785" i="1" s="1"/>
  <c r="AW785" i="1"/>
  <c r="AT785" i="1"/>
  <c r="AU785" i="1" s="1"/>
  <c r="AS785" i="1"/>
  <c r="AP785" i="1"/>
  <c r="AQ785" i="1" s="1"/>
  <c r="AO785" i="1"/>
  <c r="AL785" i="1"/>
  <c r="AK785" i="1"/>
  <c r="AI785" i="1"/>
  <c r="AH785" i="1"/>
  <c r="AG785" i="1"/>
  <c r="AE785" i="1"/>
  <c r="AD785" i="1"/>
  <c r="AC785" i="1"/>
  <c r="AA785" i="1"/>
  <c r="Z785" i="1"/>
  <c r="Y785" i="1"/>
  <c r="W785" i="1"/>
  <c r="V785" i="1"/>
  <c r="U785" i="1"/>
  <c r="R785" i="1"/>
  <c r="S785" i="1" s="1"/>
  <c r="Q785" i="1"/>
  <c r="N785" i="1"/>
  <c r="O785" i="1" s="1"/>
  <c r="M785" i="1"/>
  <c r="J785" i="1"/>
  <c r="K785" i="1" s="1"/>
  <c r="I785" i="1"/>
  <c r="F785" i="1"/>
  <c r="E785" i="1"/>
  <c r="BN784" i="1"/>
  <c r="BL784" i="1"/>
  <c r="BJ784" i="1"/>
  <c r="BM784" i="1" s="1"/>
  <c r="BI784" i="1"/>
  <c r="BF784" i="1"/>
  <c r="BG784" i="1" s="1"/>
  <c r="BE784" i="1"/>
  <c r="BC784" i="1"/>
  <c r="BB784" i="1"/>
  <c r="BA784" i="1"/>
  <c r="AY784" i="1"/>
  <c r="AX784" i="1"/>
  <c r="AW784" i="1"/>
  <c r="AU784" i="1"/>
  <c r="AT784" i="1"/>
  <c r="AS784" i="1"/>
  <c r="AQ784" i="1"/>
  <c r="AP784" i="1"/>
  <c r="AO784" i="1"/>
  <c r="AL784" i="1"/>
  <c r="AM784" i="1" s="1"/>
  <c r="AK784" i="1"/>
  <c r="AH784" i="1"/>
  <c r="AI784" i="1" s="1"/>
  <c r="AG784" i="1"/>
  <c r="AD784" i="1"/>
  <c r="AE784" i="1" s="1"/>
  <c r="AC784" i="1"/>
  <c r="Z784" i="1"/>
  <c r="AA784" i="1" s="1"/>
  <c r="Y784" i="1"/>
  <c r="W784" i="1"/>
  <c r="V784" i="1"/>
  <c r="U784" i="1"/>
  <c r="S784" i="1"/>
  <c r="R784" i="1"/>
  <c r="Q784" i="1"/>
  <c r="O784" i="1"/>
  <c r="N784" i="1"/>
  <c r="M784" i="1"/>
  <c r="K784" i="1"/>
  <c r="J784" i="1"/>
  <c r="I784" i="1"/>
  <c r="F784" i="1"/>
  <c r="G784" i="1" s="1"/>
  <c r="E784" i="1"/>
  <c r="BN783" i="1"/>
  <c r="BM783" i="1"/>
  <c r="BL783" i="1"/>
  <c r="BJ783" i="1"/>
  <c r="BI783" i="1"/>
  <c r="BF783" i="1"/>
  <c r="BG783" i="1" s="1"/>
  <c r="BE783" i="1"/>
  <c r="BB783" i="1"/>
  <c r="BC783" i="1" s="1"/>
  <c r="BA783" i="1"/>
  <c r="AX783" i="1"/>
  <c r="AY783" i="1" s="1"/>
  <c r="AW783" i="1"/>
  <c r="AT783" i="1"/>
  <c r="AU783" i="1" s="1"/>
  <c r="AS783" i="1"/>
  <c r="AQ783" i="1"/>
  <c r="AP783" i="1"/>
  <c r="AO783" i="1"/>
  <c r="AM783" i="1"/>
  <c r="AL783" i="1"/>
  <c r="AK783" i="1"/>
  <c r="AI783" i="1"/>
  <c r="AH783" i="1"/>
  <c r="AG783" i="1"/>
  <c r="AE783" i="1"/>
  <c r="AD783" i="1"/>
  <c r="AC783" i="1"/>
  <c r="Z783" i="1"/>
  <c r="AA783" i="1" s="1"/>
  <c r="Y783" i="1"/>
  <c r="V783" i="1"/>
  <c r="W783" i="1" s="1"/>
  <c r="U783" i="1"/>
  <c r="R783" i="1"/>
  <c r="S783" i="1" s="1"/>
  <c r="Q783" i="1"/>
  <c r="N783" i="1"/>
  <c r="M783" i="1"/>
  <c r="K783" i="1"/>
  <c r="J783" i="1"/>
  <c r="I783" i="1"/>
  <c r="G783" i="1"/>
  <c r="F783" i="1"/>
  <c r="E783" i="1"/>
  <c r="BN782" i="1"/>
  <c r="BL782" i="1"/>
  <c r="BJ782" i="1"/>
  <c r="BM782" i="1" s="1"/>
  <c r="BI782" i="1"/>
  <c r="BG782" i="1"/>
  <c r="BF782" i="1"/>
  <c r="BE782" i="1"/>
  <c r="BC782" i="1"/>
  <c r="BB782" i="1"/>
  <c r="BA782" i="1"/>
  <c r="AY782" i="1"/>
  <c r="AX782" i="1"/>
  <c r="AW782" i="1"/>
  <c r="AT782" i="1"/>
  <c r="AU782" i="1" s="1"/>
  <c r="AS782" i="1"/>
  <c r="AP782" i="1"/>
  <c r="AQ782" i="1" s="1"/>
  <c r="AO782" i="1"/>
  <c r="AL782" i="1"/>
  <c r="AM782" i="1" s="1"/>
  <c r="AK782" i="1"/>
  <c r="AH782" i="1"/>
  <c r="AG782" i="1"/>
  <c r="AE782" i="1"/>
  <c r="AD782" i="1"/>
  <c r="AC782" i="1"/>
  <c r="AA782" i="1"/>
  <c r="Z782" i="1"/>
  <c r="Y782" i="1"/>
  <c r="W782" i="1"/>
  <c r="V782" i="1"/>
  <c r="U782" i="1"/>
  <c r="S782" i="1"/>
  <c r="R782" i="1"/>
  <c r="Q782" i="1"/>
  <c r="N782" i="1"/>
  <c r="O782" i="1" s="1"/>
  <c r="M782" i="1"/>
  <c r="J782" i="1"/>
  <c r="K782" i="1" s="1"/>
  <c r="I782" i="1"/>
  <c r="F782" i="1"/>
  <c r="G782" i="1" s="1"/>
  <c r="E782" i="1"/>
  <c r="BN781" i="1"/>
  <c r="BL781" i="1"/>
  <c r="BJ781" i="1"/>
  <c r="BM781" i="1" s="1"/>
  <c r="BI781" i="1"/>
  <c r="BF781" i="1"/>
  <c r="BG781" i="1" s="1"/>
  <c r="BE781" i="1"/>
  <c r="BB781" i="1"/>
  <c r="BC781" i="1" s="1"/>
  <c r="BA781" i="1"/>
  <c r="AY781" i="1"/>
  <c r="AX781" i="1"/>
  <c r="AW781" i="1"/>
  <c r="AU781" i="1"/>
  <c r="AT781" i="1"/>
  <c r="AS781" i="1"/>
  <c r="AQ781" i="1"/>
  <c r="AP781" i="1"/>
  <c r="AO781" i="1"/>
  <c r="AM781" i="1"/>
  <c r="AL781" i="1"/>
  <c r="AK781" i="1"/>
  <c r="AH781" i="1"/>
  <c r="AI781" i="1" s="1"/>
  <c r="AG781" i="1"/>
  <c r="AD781" i="1"/>
  <c r="AE781" i="1" s="1"/>
  <c r="AC781" i="1"/>
  <c r="Z781" i="1"/>
  <c r="AA781" i="1" s="1"/>
  <c r="Y781" i="1"/>
  <c r="V781" i="1"/>
  <c r="W781" i="1" s="1"/>
  <c r="U781" i="1"/>
  <c r="S781" i="1"/>
  <c r="R781" i="1"/>
  <c r="Q781" i="1"/>
  <c r="O781" i="1"/>
  <c r="N781" i="1"/>
  <c r="M781" i="1"/>
  <c r="K781" i="1"/>
  <c r="J781" i="1"/>
  <c r="I781" i="1"/>
  <c r="G781" i="1"/>
  <c r="F781" i="1"/>
  <c r="E781" i="1"/>
  <c r="BN780" i="1"/>
  <c r="BM780" i="1"/>
  <c r="BL780" i="1"/>
  <c r="BJ780" i="1"/>
  <c r="BI780" i="1"/>
  <c r="BG780" i="1"/>
  <c r="BF780" i="1"/>
  <c r="BE780" i="1"/>
  <c r="BB780" i="1"/>
  <c r="BC780" i="1" s="1"/>
  <c r="BA780" i="1"/>
  <c r="AX780" i="1"/>
  <c r="AY780" i="1" s="1"/>
  <c r="AW780" i="1"/>
  <c r="AT780" i="1"/>
  <c r="AU780" i="1" s="1"/>
  <c r="AS780" i="1"/>
  <c r="AP780" i="1"/>
  <c r="AQ780" i="1" s="1"/>
  <c r="AO780" i="1"/>
  <c r="AM780" i="1"/>
  <c r="AL780" i="1"/>
  <c r="AK780" i="1"/>
  <c r="AI780" i="1"/>
  <c r="AH780" i="1"/>
  <c r="AG780" i="1"/>
  <c r="AE780" i="1"/>
  <c r="AD780" i="1"/>
  <c r="AC780" i="1"/>
  <c r="AA780" i="1"/>
  <c r="Z780" i="1"/>
  <c r="Y780" i="1"/>
  <c r="V780" i="1"/>
  <c r="W780" i="1" s="1"/>
  <c r="U780" i="1"/>
  <c r="R780" i="1"/>
  <c r="S780" i="1" s="1"/>
  <c r="Q780" i="1"/>
  <c r="N780" i="1"/>
  <c r="O780" i="1" s="1"/>
  <c r="M780" i="1"/>
  <c r="J780" i="1"/>
  <c r="K780" i="1" s="1"/>
  <c r="I780" i="1"/>
  <c r="G780" i="1"/>
  <c r="F780" i="1"/>
  <c r="E780" i="1"/>
  <c r="BN779" i="1"/>
  <c r="BL779" i="1"/>
  <c r="BJ779" i="1"/>
  <c r="BI779" i="1"/>
  <c r="BG779" i="1"/>
  <c r="BF779" i="1"/>
  <c r="BE779" i="1"/>
  <c r="BC779" i="1"/>
  <c r="BB779" i="1"/>
  <c r="BA779" i="1"/>
  <c r="AY779" i="1"/>
  <c r="AX779" i="1"/>
  <c r="AW779" i="1"/>
  <c r="AU779" i="1"/>
  <c r="AT779" i="1"/>
  <c r="AS779" i="1"/>
  <c r="AP779" i="1"/>
  <c r="AQ779" i="1" s="1"/>
  <c r="AO779" i="1"/>
  <c r="AL779" i="1"/>
  <c r="AM779" i="1" s="1"/>
  <c r="AK779" i="1"/>
  <c r="AH779" i="1"/>
  <c r="AI779" i="1" s="1"/>
  <c r="AG779" i="1"/>
  <c r="AD779" i="1"/>
  <c r="AE779" i="1" s="1"/>
  <c r="AC779" i="1"/>
  <c r="AA779" i="1"/>
  <c r="Z779" i="1"/>
  <c r="Y779" i="1"/>
  <c r="W779" i="1"/>
  <c r="V779" i="1"/>
  <c r="U779" i="1"/>
  <c r="S779" i="1"/>
  <c r="R779" i="1"/>
  <c r="Q779" i="1"/>
  <c r="O779" i="1"/>
  <c r="N779" i="1"/>
  <c r="M779" i="1"/>
  <c r="J779" i="1"/>
  <c r="K779" i="1" s="1"/>
  <c r="I779" i="1"/>
  <c r="F779" i="1"/>
  <c r="G779" i="1" s="1"/>
  <c r="E779" i="1"/>
  <c r="BN778" i="1"/>
  <c r="BM778" i="1"/>
  <c r="BL778" i="1"/>
  <c r="BJ778" i="1"/>
  <c r="BI778" i="1"/>
  <c r="BF778" i="1"/>
  <c r="BG778" i="1" s="1"/>
  <c r="BE778" i="1"/>
  <c r="BB778" i="1"/>
  <c r="BC778" i="1" s="1"/>
  <c r="BA778" i="1"/>
  <c r="AX778" i="1"/>
  <c r="AW778" i="1"/>
  <c r="AU778" i="1"/>
  <c r="AT778" i="1"/>
  <c r="AS778" i="1"/>
  <c r="AQ778" i="1"/>
  <c r="AP778" i="1"/>
  <c r="AO778" i="1"/>
  <c r="AM778" i="1"/>
  <c r="AL778" i="1"/>
  <c r="AK778" i="1"/>
  <c r="AI778" i="1"/>
  <c r="AH778" i="1"/>
  <c r="AG778" i="1"/>
  <c r="AD778" i="1"/>
  <c r="AE778" i="1" s="1"/>
  <c r="AC778" i="1"/>
  <c r="Z778" i="1"/>
  <c r="AA778" i="1" s="1"/>
  <c r="Y778" i="1"/>
  <c r="V778" i="1"/>
  <c r="W778" i="1" s="1"/>
  <c r="U778" i="1"/>
  <c r="R778" i="1"/>
  <c r="Q778" i="1"/>
  <c r="O778" i="1"/>
  <c r="N778" i="1"/>
  <c r="M778" i="1"/>
  <c r="K778" i="1"/>
  <c r="J778" i="1"/>
  <c r="I778" i="1"/>
  <c r="G778" i="1"/>
  <c r="F778" i="1"/>
  <c r="E778" i="1"/>
  <c r="BN777" i="1"/>
  <c r="BM777" i="1" s="1"/>
  <c r="BL777" i="1"/>
  <c r="BJ777" i="1"/>
  <c r="BI777" i="1"/>
  <c r="BG777" i="1"/>
  <c r="BF777" i="1"/>
  <c r="BE777" i="1"/>
  <c r="BC777" i="1"/>
  <c r="BB777" i="1"/>
  <c r="BA777" i="1"/>
  <c r="AX777" i="1"/>
  <c r="AY777" i="1" s="1"/>
  <c r="AW777" i="1"/>
  <c r="AT777" i="1"/>
  <c r="AU777" i="1" s="1"/>
  <c r="AS777" i="1"/>
  <c r="AP777" i="1"/>
  <c r="AQ777" i="1" s="1"/>
  <c r="AO777" i="1"/>
  <c r="AL777" i="1"/>
  <c r="AK777" i="1"/>
  <c r="AI777" i="1"/>
  <c r="AH777" i="1"/>
  <c r="AG777" i="1"/>
  <c r="AE777" i="1"/>
  <c r="AD777" i="1"/>
  <c r="AC777" i="1"/>
  <c r="AA777" i="1"/>
  <c r="Z777" i="1"/>
  <c r="Y777" i="1"/>
  <c r="W777" i="1"/>
  <c r="V777" i="1"/>
  <c r="U777" i="1"/>
  <c r="R777" i="1"/>
  <c r="S777" i="1" s="1"/>
  <c r="Q777" i="1"/>
  <c r="N777" i="1"/>
  <c r="O777" i="1" s="1"/>
  <c r="M777" i="1"/>
  <c r="J777" i="1"/>
  <c r="K777" i="1" s="1"/>
  <c r="I777" i="1"/>
  <c r="F777" i="1"/>
  <c r="G777" i="1" s="1"/>
  <c r="E777" i="1"/>
  <c r="BN776" i="1"/>
  <c r="BL776" i="1"/>
  <c r="BJ776" i="1"/>
  <c r="BM776" i="1" s="1"/>
  <c r="BI776" i="1"/>
  <c r="BF776" i="1"/>
  <c r="BE776" i="1"/>
  <c r="BC776" i="1"/>
  <c r="BB776" i="1"/>
  <c r="BA776" i="1"/>
  <c r="AY776" i="1"/>
  <c r="AX776" i="1"/>
  <c r="AW776" i="1"/>
  <c r="AU776" i="1"/>
  <c r="AT776" i="1"/>
  <c r="AS776" i="1"/>
  <c r="AQ776" i="1"/>
  <c r="AP776" i="1"/>
  <c r="AO776" i="1"/>
  <c r="AL776" i="1"/>
  <c r="AM776" i="1" s="1"/>
  <c r="AK776" i="1"/>
  <c r="AH776" i="1"/>
  <c r="AI776" i="1" s="1"/>
  <c r="AG776" i="1"/>
  <c r="AD776" i="1"/>
  <c r="AE776" i="1" s="1"/>
  <c r="AC776" i="1"/>
  <c r="Z776" i="1"/>
  <c r="AA776" i="1" s="1"/>
  <c r="Y776" i="1"/>
  <c r="W776" i="1"/>
  <c r="V776" i="1"/>
  <c r="U776" i="1"/>
  <c r="S776" i="1"/>
  <c r="R776" i="1"/>
  <c r="Q776" i="1"/>
  <c r="O776" i="1"/>
  <c r="N776" i="1"/>
  <c r="M776" i="1"/>
  <c r="K776" i="1"/>
  <c r="J776" i="1"/>
  <c r="I776" i="1"/>
  <c r="F776" i="1"/>
  <c r="G776" i="1" s="1"/>
  <c r="E776" i="1"/>
  <c r="BN775" i="1"/>
  <c r="BM775" i="1"/>
  <c r="BL775" i="1"/>
  <c r="BJ775" i="1"/>
  <c r="BI775" i="1"/>
  <c r="BF775" i="1"/>
  <c r="BG775" i="1" s="1"/>
  <c r="BE775" i="1"/>
  <c r="BB775" i="1"/>
  <c r="BC775" i="1" s="1"/>
  <c r="BA775" i="1"/>
  <c r="AX775" i="1"/>
  <c r="AY775" i="1" s="1"/>
  <c r="AW775" i="1"/>
  <c r="AT775" i="1"/>
  <c r="AS775" i="1"/>
  <c r="AQ775" i="1"/>
  <c r="AP775" i="1"/>
  <c r="AO775" i="1"/>
  <c r="AM775" i="1"/>
  <c r="AL775" i="1"/>
  <c r="AK775" i="1"/>
  <c r="AI775" i="1"/>
  <c r="AH775" i="1"/>
  <c r="AG775" i="1"/>
  <c r="AE775" i="1"/>
  <c r="AD775" i="1"/>
  <c r="AC775" i="1"/>
  <c r="Z775" i="1"/>
  <c r="AA775" i="1" s="1"/>
  <c r="Y775" i="1"/>
  <c r="V775" i="1"/>
  <c r="W775" i="1" s="1"/>
  <c r="U775" i="1"/>
  <c r="R775" i="1"/>
  <c r="S775" i="1" s="1"/>
  <c r="Q775" i="1"/>
  <c r="N775" i="1"/>
  <c r="M775" i="1"/>
  <c r="K775" i="1"/>
  <c r="J775" i="1"/>
  <c r="I775" i="1"/>
  <c r="G775" i="1"/>
  <c r="F775" i="1"/>
  <c r="E775" i="1"/>
  <c r="BN774" i="1"/>
  <c r="BL774" i="1"/>
  <c r="BJ774" i="1"/>
  <c r="BM774" i="1" s="1"/>
  <c r="BI774" i="1"/>
  <c r="BG774" i="1"/>
  <c r="BF774" i="1"/>
  <c r="BE774" i="1"/>
  <c r="BC774" i="1"/>
  <c r="BB774" i="1"/>
  <c r="BA774" i="1"/>
  <c r="AY774" i="1"/>
  <c r="AX774" i="1"/>
  <c r="AW774" i="1"/>
  <c r="AT774" i="1"/>
  <c r="AU774" i="1" s="1"/>
  <c r="AS774" i="1"/>
  <c r="AP774" i="1"/>
  <c r="AQ774" i="1" s="1"/>
  <c r="AO774" i="1"/>
  <c r="AL774" i="1"/>
  <c r="AM774" i="1" s="1"/>
  <c r="AK774" i="1"/>
  <c r="AH774" i="1"/>
  <c r="AG774" i="1"/>
  <c r="AE774" i="1"/>
  <c r="AD774" i="1"/>
  <c r="AC774" i="1"/>
  <c r="AA774" i="1"/>
  <c r="Z774" i="1"/>
  <c r="Y774" i="1"/>
  <c r="W774" i="1"/>
  <c r="V774" i="1"/>
  <c r="U774" i="1"/>
  <c r="S774" i="1"/>
  <c r="R774" i="1"/>
  <c r="Q774" i="1"/>
  <c r="N774" i="1"/>
  <c r="O774" i="1" s="1"/>
  <c r="M774" i="1"/>
  <c r="J774" i="1"/>
  <c r="K774" i="1" s="1"/>
  <c r="I774" i="1"/>
  <c r="F774" i="1"/>
  <c r="G774" i="1" s="1"/>
  <c r="E774" i="1"/>
  <c r="BN773" i="1"/>
  <c r="BL773" i="1"/>
  <c r="BJ773" i="1"/>
  <c r="BM773" i="1" s="1"/>
  <c r="BI773" i="1"/>
  <c r="BH773" i="1"/>
  <c r="BG773" i="1"/>
  <c r="BF773" i="1"/>
  <c r="BD773" i="1"/>
  <c r="BE773" i="1" s="1"/>
  <c r="BB773" i="1"/>
  <c r="BC773" i="1" s="1"/>
  <c r="BA773" i="1"/>
  <c r="AZ773" i="1"/>
  <c r="AY773" i="1"/>
  <c r="AX773" i="1"/>
  <c r="AW773" i="1"/>
  <c r="AU773" i="1"/>
  <c r="AT773" i="1"/>
  <c r="AS773" i="1"/>
  <c r="AQ773" i="1"/>
  <c r="AP773" i="1"/>
  <c r="AO773" i="1"/>
  <c r="AL773" i="1"/>
  <c r="AM773" i="1" s="1"/>
  <c r="AK773" i="1"/>
  <c r="AH773" i="1"/>
  <c r="AI773" i="1" s="1"/>
  <c r="AG773" i="1"/>
  <c r="AF773" i="1"/>
  <c r="AE773" i="1"/>
  <c r="AD773" i="1"/>
  <c r="AC773" i="1"/>
  <c r="AA773" i="1"/>
  <c r="Z773" i="1"/>
  <c r="Y773" i="1"/>
  <c r="W773" i="1"/>
  <c r="V773" i="1"/>
  <c r="U773" i="1"/>
  <c r="R773" i="1"/>
  <c r="S773" i="1" s="1"/>
  <c r="Q773" i="1"/>
  <c r="N773" i="1"/>
  <c r="O773" i="1" s="1"/>
  <c r="M773" i="1"/>
  <c r="J773" i="1"/>
  <c r="K773" i="1" s="1"/>
  <c r="I773" i="1"/>
  <c r="F773" i="1"/>
  <c r="G773" i="1" s="1"/>
  <c r="E773" i="1"/>
  <c r="BN772" i="1"/>
  <c r="BL772" i="1"/>
  <c r="BJ772" i="1"/>
  <c r="BH772" i="1"/>
  <c r="BI772" i="1" s="1"/>
  <c r="BF772" i="1"/>
  <c r="BE772" i="1"/>
  <c r="BD772" i="1"/>
  <c r="BB772" i="1"/>
  <c r="AZ772" i="1"/>
  <c r="BA772" i="1" s="1"/>
  <c r="AX772" i="1"/>
  <c r="AW772" i="1"/>
  <c r="AU772" i="1"/>
  <c r="AT772" i="1"/>
  <c r="AS772" i="1"/>
  <c r="AP772" i="1"/>
  <c r="AQ772" i="1" s="1"/>
  <c r="AO772" i="1"/>
  <c r="AL772" i="1"/>
  <c r="AM772" i="1" s="1"/>
  <c r="AK772" i="1"/>
  <c r="AH772" i="1"/>
  <c r="AF772" i="1"/>
  <c r="AG772" i="1" s="1"/>
  <c r="AD772" i="1"/>
  <c r="AC772" i="1"/>
  <c r="AA772" i="1"/>
  <c r="Z772" i="1"/>
  <c r="Y772" i="1"/>
  <c r="V772" i="1"/>
  <c r="W772" i="1" s="1"/>
  <c r="U772" i="1"/>
  <c r="R772" i="1"/>
  <c r="S772" i="1" s="1"/>
  <c r="Q772" i="1"/>
  <c r="N772" i="1"/>
  <c r="O772" i="1" s="1"/>
  <c r="M772" i="1"/>
  <c r="J772" i="1"/>
  <c r="I772" i="1"/>
  <c r="G772" i="1"/>
  <c r="F772" i="1"/>
  <c r="E772" i="1"/>
  <c r="BN771" i="1"/>
  <c r="BL771" i="1"/>
  <c r="BJ771" i="1"/>
  <c r="BM771" i="1" s="1"/>
  <c r="BH771" i="1"/>
  <c r="BI771" i="1" s="1"/>
  <c r="BG771" i="1"/>
  <c r="BF771" i="1"/>
  <c r="BE771" i="1"/>
  <c r="BD771" i="1"/>
  <c r="BB771" i="1"/>
  <c r="BC771" i="1" s="1"/>
  <c r="AZ771" i="1"/>
  <c r="BA771" i="1" s="1"/>
  <c r="AY771" i="1"/>
  <c r="AX771" i="1"/>
  <c r="AW771" i="1"/>
  <c r="AT771" i="1"/>
  <c r="AU771" i="1" s="1"/>
  <c r="AS771" i="1"/>
  <c r="AP771" i="1"/>
  <c r="AQ771" i="1" s="1"/>
  <c r="AO771" i="1"/>
  <c r="AL771" i="1"/>
  <c r="AM771" i="1" s="1"/>
  <c r="AK771" i="1"/>
  <c r="AH771" i="1"/>
  <c r="AF771" i="1"/>
  <c r="AG771" i="1" s="1"/>
  <c r="AE771" i="1"/>
  <c r="AD771" i="1"/>
  <c r="AC771" i="1"/>
  <c r="Z771" i="1"/>
  <c r="AA771" i="1" s="1"/>
  <c r="Y771" i="1"/>
  <c r="V771" i="1"/>
  <c r="W771" i="1" s="1"/>
  <c r="U771" i="1"/>
  <c r="R771" i="1"/>
  <c r="S771" i="1" s="1"/>
  <c r="Q771" i="1"/>
  <c r="N771" i="1"/>
  <c r="M771" i="1"/>
  <c r="K771" i="1"/>
  <c r="J771" i="1"/>
  <c r="I771" i="1"/>
  <c r="G771" i="1"/>
  <c r="F771" i="1"/>
  <c r="E771" i="1"/>
  <c r="BN770" i="1"/>
  <c r="BL770" i="1"/>
  <c r="BJ770" i="1"/>
  <c r="BM770" i="1" s="1"/>
  <c r="BI770" i="1"/>
  <c r="BG770" i="1"/>
  <c r="BF770" i="1"/>
  <c r="BE770" i="1"/>
  <c r="BC770" i="1"/>
  <c r="BB770" i="1"/>
  <c r="BA770" i="1"/>
  <c r="AY770" i="1"/>
  <c r="AX770" i="1"/>
  <c r="AW770" i="1"/>
  <c r="AT770" i="1"/>
  <c r="AU770" i="1" s="1"/>
  <c r="AS770" i="1"/>
  <c r="AP770" i="1"/>
  <c r="AQ770" i="1" s="1"/>
  <c r="AO770" i="1"/>
  <c r="AL770" i="1"/>
  <c r="AM770" i="1" s="1"/>
  <c r="AK770" i="1"/>
  <c r="AH770" i="1"/>
  <c r="AI770" i="1" s="1"/>
  <c r="AG770" i="1"/>
  <c r="AE770" i="1"/>
  <c r="AD770" i="1"/>
  <c r="AC770" i="1"/>
  <c r="AA770" i="1"/>
  <c r="Z770" i="1"/>
  <c r="Y770" i="1"/>
  <c r="W770" i="1"/>
  <c r="V770" i="1"/>
  <c r="U770" i="1"/>
  <c r="S770" i="1"/>
  <c r="R770" i="1"/>
  <c r="Q770" i="1"/>
  <c r="N770" i="1"/>
  <c r="O770" i="1" s="1"/>
  <c r="M770" i="1"/>
  <c r="J770" i="1"/>
  <c r="K770" i="1" s="1"/>
  <c r="I770" i="1"/>
  <c r="F770" i="1"/>
  <c r="G770" i="1" s="1"/>
  <c r="E770" i="1"/>
  <c r="BN769" i="1"/>
  <c r="BL769" i="1"/>
  <c r="BJ769" i="1"/>
  <c r="BM769" i="1" s="1"/>
  <c r="BI769" i="1"/>
  <c r="BF769" i="1"/>
  <c r="BG769" i="1" s="1"/>
  <c r="BE769" i="1"/>
  <c r="BB769" i="1"/>
  <c r="BA769" i="1"/>
  <c r="AY769" i="1"/>
  <c r="AX769" i="1"/>
  <c r="AW769" i="1"/>
  <c r="AU769" i="1"/>
  <c r="AT769" i="1"/>
  <c r="AS769" i="1"/>
  <c r="AQ769" i="1"/>
  <c r="AP769" i="1"/>
  <c r="AO769" i="1"/>
  <c r="AM769" i="1"/>
  <c r="AL769" i="1"/>
  <c r="AK769" i="1"/>
  <c r="AH769" i="1"/>
  <c r="AI769" i="1" s="1"/>
  <c r="AG769" i="1"/>
  <c r="AD769" i="1"/>
  <c r="AE769" i="1" s="1"/>
  <c r="AC769" i="1"/>
  <c r="Z769" i="1"/>
  <c r="AA769" i="1" s="1"/>
  <c r="Y769" i="1"/>
  <c r="V769" i="1"/>
  <c r="U769" i="1"/>
  <c r="S769" i="1"/>
  <c r="R769" i="1"/>
  <c r="Q769" i="1"/>
  <c r="O769" i="1"/>
  <c r="N769" i="1"/>
  <c r="M769" i="1"/>
  <c r="K769" i="1"/>
  <c r="J769" i="1"/>
  <c r="I769" i="1"/>
  <c r="G769" i="1"/>
  <c r="F769" i="1"/>
  <c r="E769" i="1"/>
  <c r="BN768" i="1"/>
  <c r="BM768" i="1"/>
  <c r="BL768" i="1"/>
  <c r="BJ768" i="1"/>
  <c r="BI768" i="1"/>
  <c r="BG768" i="1"/>
  <c r="BF768" i="1"/>
  <c r="BE768" i="1"/>
  <c r="BB768" i="1"/>
  <c r="BC768" i="1" s="1"/>
  <c r="BA768" i="1"/>
  <c r="AX768" i="1"/>
  <c r="AY768" i="1" s="1"/>
  <c r="AW768" i="1"/>
  <c r="AT768" i="1"/>
  <c r="AU768" i="1" s="1"/>
  <c r="AS768" i="1"/>
  <c r="AP768" i="1"/>
  <c r="AO768" i="1"/>
  <c r="AM768" i="1"/>
  <c r="AL768" i="1"/>
  <c r="AK768" i="1"/>
  <c r="AI768" i="1"/>
  <c r="AH768" i="1"/>
  <c r="AG768" i="1"/>
  <c r="AE768" i="1"/>
  <c r="AD768" i="1"/>
  <c r="AC768" i="1"/>
  <c r="AA768" i="1"/>
  <c r="Z768" i="1"/>
  <c r="Y768" i="1"/>
  <c r="V768" i="1"/>
  <c r="W768" i="1" s="1"/>
  <c r="U768" i="1"/>
  <c r="R768" i="1"/>
  <c r="S768" i="1" s="1"/>
  <c r="Q768" i="1"/>
  <c r="N768" i="1"/>
  <c r="O768" i="1" s="1"/>
  <c r="M768" i="1"/>
  <c r="J768" i="1"/>
  <c r="I768" i="1"/>
  <c r="G768" i="1"/>
  <c r="F768" i="1"/>
  <c r="E768" i="1"/>
  <c r="BN767" i="1"/>
  <c r="BL767" i="1"/>
  <c r="BJ767" i="1"/>
  <c r="BI767" i="1"/>
  <c r="BG767" i="1"/>
  <c r="BF767" i="1"/>
  <c r="BE767" i="1"/>
  <c r="BC767" i="1"/>
  <c r="BB767" i="1"/>
  <c r="BA767" i="1"/>
  <c r="AY767" i="1"/>
  <c r="AX767" i="1"/>
  <c r="AW767" i="1"/>
  <c r="AU767" i="1"/>
  <c r="AT767" i="1"/>
  <c r="AS767" i="1"/>
  <c r="AP767" i="1"/>
  <c r="AQ767" i="1" s="1"/>
  <c r="AO767" i="1"/>
  <c r="AL767" i="1"/>
  <c r="AM767" i="1" s="1"/>
  <c r="AK767" i="1"/>
  <c r="AH767" i="1"/>
  <c r="AI767" i="1" s="1"/>
  <c r="AG767" i="1"/>
  <c r="AD767" i="1"/>
  <c r="AE767" i="1" s="1"/>
  <c r="AC767" i="1"/>
  <c r="AA767" i="1"/>
  <c r="Z767" i="1"/>
  <c r="Y767" i="1"/>
  <c r="W767" i="1"/>
  <c r="V767" i="1"/>
  <c r="U767" i="1"/>
  <c r="S767" i="1"/>
  <c r="R767" i="1"/>
  <c r="Q767" i="1"/>
  <c r="O767" i="1"/>
  <c r="N767" i="1"/>
  <c r="M767" i="1"/>
  <c r="J767" i="1"/>
  <c r="K767" i="1" s="1"/>
  <c r="I767" i="1"/>
  <c r="F767" i="1"/>
  <c r="G767" i="1" s="1"/>
  <c r="E767" i="1"/>
  <c r="BN766" i="1"/>
  <c r="BM766" i="1"/>
  <c r="BL766" i="1"/>
  <c r="BJ766" i="1"/>
  <c r="BI766" i="1"/>
  <c r="BF766" i="1"/>
  <c r="BG766" i="1" s="1"/>
  <c r="BE766" i="1"/>
  <c r="BB766" i="1"/>
  <c r="BC766" i="1" s="1"/>
  <c r="BA766" i="1"/>
  <c r="AX766" i="1"/>
  <c r="AY766" i="1" s="1"/>
  <c r="AW766" i="1"/>
  <c r="AU766" i="1"/>
  <c r="AT766" i="1"/>
  <c r="AS766" i="1"/>
  <c r="AQ766" i="1"/>
  <c r="AP766" i="1"/>
  <c r="AO766" i="1"/>
  <c r="AM766" i="1"/>
  <c r="AL766" i="1"/>
  <c r="AK766" i="1"/>
  <c r="AI766" i="1"/>
  <c r="AH766" i="1"/>
  <c r="AG766" i="1"/>
  <c r="AD766" i="1"/>
  <c r="AE766" i="1" s="1"/>
  <c r="AC766" i="1"/>
  <c r="Z766" i="1"/>
  <c r="AA766" i="1" s="1"/>
  <c r="Y766" i="1"/>
  <c r="V766" i="1"/>
  <c r="W766" i="1" s="1"/>
  <c r="U766" i="1"/>
  <c r="R766" i="1"/>
  <c r="S766" i="1" s="1"/>
  <c r="Q766" i="1"/>
  <c r="O766" i="1"/>
  <c r="N766" i="1"/>
  <c r="M766" i="1"/>
  <c r="K766" i="1"/>
  <c r="J766" i="1"/>
  <c r="I766" i="1"/>
  <c r="G766" i="1"/>
  <c r="F766" i="1"/>
  <c r="E766" i="1"/>
  <c r="BN765" i="1"/>
  <c r="BL765" i="1"/>
  <c r="BJ765" i="1"/>
  <c r="BM765" i="1" s="1"/>
  <c r="BI765" i="1"/>
  <c r="BG765" i="1"/>
  <c r="BF765" i="1"/>
  <c r="BE765" i="1"/>
  <c r="BC765" i="1"/>
  <c r="BB765" i="1"/>
  <c r="BA765" i="1"/>
  <c r="AX765" i="1"/>
  <c r="AY765" i="1" s="1"/>
  <c r="AW765" i="1"/>
  <c r="AT765" i="1"/>
  <c r="AU765" i="1" s="1"/>
  <c r="AS765" i="1"/>
  <c r="AP765" i="1"/>
  <c r="AQ765" i="1" s="1"/>
  <c r="AO765" i="1"/>
  <c r="AL765" i="1"/>
  <c r="AM765" i="1" s="1"/>
  <c r="AK765" i="1"/>
  <c r="AI765" i="1"/>
  <c r="AH765" i="1"/>
  <c r="AG765" i="1"/>
  <c r="AE765" i="1"/>
  <c r="AD765" i="1"/>
  <c r="AC765" i="1"/>
  <c r="AA765" i="1"/>
  <c r="Z765" i="1"/>
  <c r="Y765" i="1"/>
  <c r="W765" i="1"/>
  <c r="V765" i="1"/>
  <c r="U765" i="1"/>
  <c r="R765" i="1"/>
  <c r="S765" i="1" s="1"/>
  <c r="Q765" i="1"/>
  <c r="N765" i="1"/>
  <c r="O765" i="1" s="1"/>
  <c r="M765" i="1"/>
  <c r="J765" i="1"/>
  <c r="K765" i="1" s="1"/>
  <c r="I765" i="1"/>
  <c r="F765" i="1"/>
  <c r="G765" i="1" s="1"/>
  <c r="E765" i="1"/>
  <c r="BN764" i="1"/>
  <c r="BL764" i="1"/>
  <c r="BJ764" i="1"/>
  <c r="BM764" i="1" s="1"/>
  <c r="BI764" i="1"/>
  <c r="BF764" i="1"/>
  <c r="BE764" i="1"/>
  <c r="BC764" i="1"/>
  <c r="BB764" i="1"/>
  <c r="BA764" i="1"/>
  <c r="AY764" i="1"/>
  <c r="AX764" i="1"/>
  <c r="AW764" i="1"/>
  <c r="AU764" i="1"/>
  <c r="AT764" i="1"/>
  <c r="AS764" i="1"/>
  <c r="AQ764" i="1"/>
  <c r="AP764" i="1"/>
  <c r="AO764" i="1"/>
  <c r="AL764" i="1"/>
  <c r="AM764" i="1" s="1"/>
  <c r="AK764" i="1"/>
  <c r="AH764" i="1"/>
  <c r="AI764" i="1" s="1"/>
  <c r="AG764" i="1"/>
  <c r="AD764" i="1"/>
  <c r="AE764" i="1" s="1"/>
  <c r="AC764" i="1"/>
  <c r="Z764" i="1"/>
  <c r="AA764" i="1" s="1"/>
  <c r="Y764" i="1"/>
  <c r="W764" i="1"/>
  <c r="V764" i="1"/>
  <c r="U764" i="1"/>
  <c r="S764" i="1"/>
  <c r="R764" i="1"/>
  <c r="Q764" i="1"/>
  <c r="O764" i="1"/>
  <c r="N764" i="1"/>
  <c r="M764" i="1"/>
  <c r="K764" i="1"/>
  <c r="J764" i="1"/>
  <c r="I764" i="1"/>
  <c r="F764" i="1"/>
  <c r="G764" i="1" s="1"/>
  <c r="E764" i="1"/>
  <c r="BN763" i="1"/>
  <c r="BM763" i="1"/>
  <c r="BL763" i="1"/>
  <c r="BJ763" i="1"/>
  <c r="BI763" i="1"/>
  <c r="BF763" i="1"/>
  <c r="BG763" i="1" s="1"/>
  <c r="BE763" i="1"/>
  <c r="BB763" i="1"/>
  <c r="BC763" i="1" s="1"/>
  <c r="BA763" i="1"/>
  <c r="AX763" i="1"/>
  <c r="AY763" i="1" s="1"/>
  <c r="AW763" i="1"/>
  <c r="AT763" i="1"/>
  <c r="AU763" i="1" s="1"/>
  <c r="AS763" i="1"/>
  <c r="AQ763" i="1"/>
  <c r="AP763" i="1"/>
  <c r="AO763" i="1"/>
  <c r="AM763" i="1"/>
  <c r="AL763" i="1"/>
  <c r="AK763" i="1"/>
  <c r="AI763" i="1"/>
  <c r="AH763" i="1"/>
  <c r="AG763" i="1"/>
  <c r="AE763" i="1"/>
  <c r="AD763" i="1"/>
  <c r="AC763" i="1"/>
  <c r="Z763" i="1"/>
  <c r="AA763" i="1" s="1"/>
  <c r="Y763" i="1"/>
  <c r="V763" i="1"/>
  <c r="W763" i="1" s="1"/>
  <c r="U763" i="1"/>
  <c r="R763" i="1"/>
  <c r="S763" i="1" s="1"/>
  <c r="Q763" i="1"/>
  <c r="N763" i="1"/>
  <c r="O763" i="1" s="1"/>
  <c r="M763" i="1"/>
  <c r="K763" i="1"/>
  <c r="J763" i="1"/>
  <c r="I763" i="1"/>
  <c r="G763" i="1"/>
  <c r="F763" i="1"/>
  <c r="E763" i="1"/>
  <c r="BN762" i="1"/>
  <c r="BL762" i="1"/>
  <c r="BJ762" i="1"/>
  <c r="BM762" i="1" s="1"/>
  <c r="BI762" i="1"/>
  <c r="BG762" i="1"/>
  <c r="BF762" i="1"/>
  <c r="BE762" i="1"/>
  <c r="BC762" i="1"/>
  <c r="BB762" i="1"/>
  <c r="BA762" i="1"/>
  <c r="AY762" i="1"/>
  <c r="AX762" i="1"/>
  <c r="AW762" i="1"/>
  <c r="AT762" i="1"/>
  <c r="AU762" i="1" s="1"/>
  <c r="AS762" i="1"/>
  <c r="AP762" i="1"/>
  <c r="AQ762" i="1" s="1"/>
  <c r="AO762" i="1"/>
  <c r="AL762" i="1"/>
  <c r="AM762" i="1" s="1"/>
  <c r="AK762" i="1"/>
  <c r="AH762" i="1"/>
  <c r="AI762" i="1" s="1"/>
  <c r="AG762" i="1"/>
  <c r="AE762" i="1"/>
  <c r="AD762" i="1"/>
  <c r="AC762" i="1"/>
  <c r="AA762" i="1"/>
  <c r="Z762" i="1"/>
  <c r="Y762" i="1"/>
  <c r="W762" i="1"/>
  <c r="V762" i="1"/>
  <c r="U762" i="1"/>
  <c r="S762" i="1"/>
  <c r="R762" i="1"/>
  <c r="Q762" i="1"/>
  <c r="N762" i="1"/>
  <c r="O762" i="1" s="1"/>
  <c r="M762" i="1"/>
  <c r="J762" i="1"/>
  <c r="K762" i="1" s="1"/>
  <c r="I762" i="1"/>
  <c r="F762" i="1"/>
  <c r="G762" i="1" s="1"/>
  <c r="E762" i="1"/>
  <c r="BN761" i="1"/>
  <c r="BL761" i="1"/>
  <c r="BJ761" i="1"/>
  <c r="BM761" i="1" s="1"/>
  <c r="BI761" i="1"/>
  <c r="BF761" i="1"/>
  <c r="BG761" i="1" s="1"/>
  <c r="BE761" i="1"/>
  <c r="BB761" i="1"/>
  <c r="BA761" i="1"/>
  <c r="AX761" i="1"/>
  <c r="AY761" i="1" s="1"/>
  <c r="AW761" i="1"/>
  <c r="AU761" i="1"/>
  <c r="AT761" i="1"/>
  <c r="AS761" i="1"/>
  <c r="AQ761" i="1"/>
  <c r="AP761" i="1"/>
  <c r="AO761" i="1"/>
  <c r="AM761" i="1"/>
  <c r="AL761" i="1"/>
  <c r="AK761" i="1"/>
  <c r="AH761" i="1"/>
  <c r="AI761" i="1" s="1"/>
  <c r="AG761" i="1"/>
  <c r="AD761" i="1"/>
  <c r="AE761" i="1" s="1"/>
  <c r="AC761" i="1"/>
  <c r="Z761" i="1"/>
  <c r="AA761" i="1" s="1"/>
  <c r="Y761" i="1"/>
  <c r="V761" i="1"/>
  <c r="W761" i="1" s="1"/>
  <c r="U761" i="1"/>
  <c r="R761" i="1"/>
  <c r="S761" i="1" s="1"/>
  <c r="Q761" i="1"/>
  <c r="O761" i="1"/>
  <c r="N761" i="1"/>
  <c r="M761" i="1"/>
  <c r="K761" i="1"/>
  <c r="J761" i="1"/>
  <c r="I761" i="1"/>
  <c r="G761" i="1"/>
  <c r="F761" i="1"/>
  <c r="E761" i="1"/>
  <c r="BN760" i="1"/>
  <c r="BM760" i="1"/>
  <c r="BL760" i="1"/>
  <c r="BJ760" i="1"/>
  <c r="BI760" i="1"/>
  <c r="BG760" i="1"/>
  <c r="BF760" i="1"/>
  <c r="BE760" i="1"/>
  <c r="BB760" i="1"/>
  <c r="BC760" i="1" s="1"/>
  <c r="BA760" i="1"/>
  <c r="AX760" i="1"/>
  <c r="AY760" i="1" s="1"/>
  <c r="AW760" i="1"/>
  <c r="AT760" i="1"/>
  <c r="AU760" i="1" s="1"/>
  <c r="AS760" i="1"/>
  <c r="AP760" i="1"/>
  <c r="AO760" i="1"/>
  <c r="AL760" i="1"/>
  <c r="AM760" i="1" s="1"/>
  <c r="AK760" i="1"/>
  <c r="AI760" i="1"/>
  <c r="AH760" i="1"/>
  <c r="AG760" i="1"/>
  <c r="AE760" i="1"/>
  <c r="AD760" i="1"/>
  <c r="AC760" i="1"/>
  <c r="AA760" i="1"/>
  <c r="Z760" i="1"/>
  <c r="Y760" i="1"/>
  <c r="V760" i="1"/>
  <c r="W760" i="1" s="1"/>
  <c r="U760" i="1"/>
  <c r="R760" i="1"/>
  <c r="S760" i="1" s="1"/>
  <c r="Q760" i="1"/>
  <c r="N760" i="1"/>
  <c r="O760" i="1" s="1"/>
  <c r="M760" i="1"/>
  <c r="J760" i="1"/>
  <c r="I760" i="1"/>
  <c r="F760" i="1"/>
  <c r="G760" i="1" s="1"/>
  <c r="E760" i="1"/>
  <c r="BN759" i="1"/>
  <c r="BL759" i="1"/>
  <c r="BJ759" i="1"/>
  <c r="BM759" i="1" s="1"/>
  <c r="BI759" i="1"/>
  <c r="BF759" i="1"/>
  <c r="BG759" i="1" s="1"/>
  <c r="BE759" i="1"/>
  <c r="BC759" i="1"/>
  <c r="BB759" i="1"/>
  <c r="BA759" i="1"/>
  <c r="AY759" i="1"/>
  <c r="AX759" i="1"/>
  <c r="AW759" i="1"/>
  <c r="AU759" i="1"/>
  <c r="AT759" i="1"/>
  <c r="AS759" i="1"/>
  <c r="AP759" i="1"/>
  <c r="AQ759" i="1" s="1"/>
  <c r="AO759" i="1"/>
  <c r="AL759" i="1"/>
  <c r="AM759" i="1" s="1"/>
  <c r="AK759" i="1"/>
  <c r="AH759" i="1"/>
  <c r="AI759" i="1" s="1"/>
  <c r="AG759" i="1"/>
  <c r="AD759" i="1"/>
  <c r="AE759" i="1" s="1"/>
  <c r="AC759" i="1"/>
  <c r="Z759" i="1"/>
  <c r="AA759" i="1" s="1"/>
  <c r="Y759" i="1"/>
  <c r="W759" i="1"/>
  <c r="V759" i="1"/>
  <c r="U759" i="1"/>
  <c r="S759" i="1"/>
  <c r="R759" i="1"/>
  <c r="Q759" i="1"/>
  <c r="O759" i="1"/>
  <c r="N759" i="1"/>
  <c r="M759" i="1"/>
  <c r="J759" i="1"/>
  <c r="K759" i="1" s="1"/>
  <c r="I759" i="1"/>
  <c r="F759" i="1"/>
  <c r="G759" i="1" s="1"/>
  <c r="E759" i="1"/>
  <c r="BN758" i="1"/>
  <c r="BM758" i="1"/>
  <c r="BL758" i="1"/>
  <c r="BJ758" i="1"/>
  <c r="BI758" i="1"/>
  <c r="BF758" i="1"/>
  <c r="BG758" i="1" s="1"/>
  <c r="BE758" i="1"/>
  <c r="BB758" i="1"/>
  <c r="BC758" i="1" s="1"/>
  <c r="BA758" i="1"/>
  <c r="AX758" i="1"/>
  <c r="AW758" i="1"/>
  <c r="AT758" i="1"/>
  <c r="AU758" i="1" s="1"/>
  <c r="AS758" i="1"/>
  <c r="AQ758" i="1"/>
  <c r="AP758" i="1"/>
  <c r="AO758" i="1"/>
  <c r="AM758" i="1"/>
  <c r="AL758" i="1"/>
  <c r="AK758" i="1"/>
  <c r="AI758" i="1"/>
  <c r="AH758" i="1"/>
  <c r="AG758" i="1"/>
  <c r="AD758" i="1"/>
  <c r="AE758" i="1" s="1"/>
  <c r="AC758" i="1"/>
  <c r="Z758" i="1"/>
  <c r="AA758" i="1" s="1"/>
  <c r="Y758" i="1"/>
  <c r="V758" i="1"/>
  <c r="W758" i="1" s="1"/>
  <c r="U758" i="1"/>
  <c r="R758" i="1"/>
  <c r="S758" i="1" s="1"/>
  <c r="Q758" i="1"/>
  <c r="N758" i="1"/>
  <c r="O758" i="1" s="1"/>
  <c r="M758" i="1"/>
  <c r="K758" i="1"/>
  <c r="J758" i="1"/>
  <c r="I758" i="1"/>
  <c r="G758" i="1"/>
  <c r="F758" i="1"/>
  <c r="E758" i="1"/>
  <c r="BN757" i="1"/>
  <c r="BL757" i="1"/>
  <c r="BJ757" i="1"/>
  <c r="BM757" i="1" s="1"/>
  <c r="BI757" i="1"/>
  <c r="BG757" i="1"/>
  <c r="BF757" i="1"/>
  <c r="BE757" i="1"/>
  <c r="BC757" i="1"/>
  <c r="BB757" i="1"/>
  <c r="BA757" i="1"/>
  <c r="AX757" i="1"/>
  <c r="AY757" i="1" s="1"/>
  <c r="AW757" i="1"/>
  <c r="AT757" i="1"/>
  <c r="AU757" i="1" s="1"/>
  <c r="AS757" i="1"/>
  <c r="AP757" i="1"/>
  <c r="AQ757" i="1" s="1"/>
  <c r="AO757" i="1"/>
  <c r="AL757" i="1"/>
  <c r="AK757" i="1"/>
  <c r="AH757" i="1"/>
  <c r="AI757" i="1" s="1"/>
  <c r="AG757" i="1"/>
  <c r="AE757" i="1"/>
  <c r="AD757" i="1"/>
  <c r="AC757" i="1"/>
  <c r="AA757" i="1"/>
  <c r="Z757" i="1"/>
  <c r="Y757" i="1"/>
  <c r="W757" i="1"/>
  <c r="V757" i="1"/>
  <c r="U757" i="1"/>
  <c r="R757" i="1"/>
  <c r="S757" i="1" s="1"/>
  <c r="Q757" i="1"/>
  <c r="N757" i="1"/>
  <c r="O757" i="1" s="1"/>
  <c r="M757" i="1"/>
  <c r="J757" i="1"/>
  <c r="K757" i="1" s="1"/>
  <c r="I757" i="1"/>
  <c r="F757" i="1"/>
  <c r="E757" i="1"/>
  <c r="BN756" i="1"/>
  <c r="BL756" i="1"/>
  <c r="BJ756" i="1"/>
  <c r="BM756" i="1" s="1"/>
  <c r="BI756" i="1"/>
  <c r="BF756" i="1"/>
  <c r="BG756" i="1" s="1"/>
  <c r="BE756" i="1"/>
  <c r="BB756" i="1"/>
  <c r="BC756" i="1" s="1"/>
  <c r="BA756" i="1"/>
  <c r="AY756" i="1"/>
  <c r="AX756" i="1"/>
  <c r="AW756" i="1"/>
  <c r="AU756" i="1"/>
  <c r="AT756" i="1"/>
  <c r="AS756" i="1"/>
  <c r="AQ756" i="1"/>
  <c r="AP756" i="1"/>
  <c r="AO756" i="1"/>
  <c r="AL756" i="1"/>
  <c r="AM756" i="1" s="1"/>
  <c r="AK756" i="1"/>
  <c r="AH756" i="1"/>
  <c r="AI756" i="1" s="1"/>
  <c r="AG756" i="1"/>
  <c r="AD756" i="1"/>
  <c r="AE756" i="1" s="1"/>
  <c r="AC756" i="1"/>
  <c r="Z756" i="1"/>
  <c r="Y756" i="1"/>
  <c r="V756" i="1"/>
  <c r="W756" i="1" s="1"/>
  <c r="U756" i="1"/>
  <c r="S756" i="1"/>
  <c r="R756" i="1"/>
  <c r="Q756" i="1"/>
  <c r="O756" i="1"/>
  <c r="N756" i="1"/>
  <c r="M756" i="1"/>
  <c r="K756" i="1"/>
  <c r="J756" i="1"/>
  <c r="I756" i="1"/>
  <c r="F756" i="1"/>
  <c r="G756" i="1" s="1"/>
  <c r="E756" i="1"/>
  <c r="BN755" i="1"/>
  <c r="BM755" i="1"/>
  <c r="BL755" i="1"/>
  <c r="BJ755" i="1"/>
  <c r="BI755" i="1"/>
  <c r="BF755" i="1"/>
  <c r="BG755" i="1" s="1"/>
  <c r="BE755" i="1"/>
  <c r="BB755" i="1"/>
  <c r="BC755" i="1" s="1"/>
  <c r="BA755" i="1"/>
  <c r="AX755" i="1"/>
  <c r="AY755" i="1" s="1"/>
  <c r="AW755" i="1"/>
  <c r="AT755" i="1"/>
  <c r="AU755" i="1" s="1"/>
  <c r="AS755" i="1"/>
  <c r="AP755" i="1"/>
  <c r="AQ755" i="1" s="1"/>
  <c r="AO755" i="1"/>
  <c r="AM755" i="1"/>
  <c r="AL755" i="1"/>
  <c r="AK755" i="1"/>
  <c r="AI755" i="1"/>
  <c r="AH755" i="1"/>
  <c r="AG755" i="1"/>
  <c r="AE755" i="1"/>
  <c r="AD755" i="1"/>
  <c r="AC755" i="1"/>
  <c r="Z755" i="1"/>
  <c r="AA755" i="1" s="1"/>
  <c r="Y755" i="1"/>
  <c r="V755" i="1"/>
  <c r="W755" i="1" s="1"/>
  <c r="U755" i="1"/>
  <c r="R755" i="1"/>
  <c r="S755" i="1" s="1"/>
  <c r="Q755" i="1"/>
  <c r="N755" i="1"/>
  <c r="O755" i="1" s="1"/>
  <c r="M755" i="1"/>
  <c r="J755" i="1"/>
  <c r="K755" i="1" s="1"/>
  <c r="I755" i="1"/>
  <c r="G755" i="1"/>
  <c r="F755" i="1"/>
  <c r="E755" i="1"/>
  <c r="BN754" i="1"/>
  <c r="BL754" i="1"/>
  <c r="BJ754" i="1"/>
  <c r="BM754" i="1" s="1"/>
  <c r="BI754" i="1"/>
  <c r="BG754" i="1"/>
  <c r="BF754" i="1"/>
  <c r="BE754" i="1"/>
  <c r="BC754" i="1"/>
  <c r="BB754" i="1"/>
  <c r="BA754" i="1"/>
  <c r="AY754" i="1"/>
  <c r="AX754" i="1"/>
  <c r="AW754" i="1"/>
  <c r="AT754" i="1"/>
  <c r="AU754" i="1" s="1"/>
  <c r="AS754" i="1"/>
  <c r="AP754" i="1"/>
  <c r="AQ754" i="1" s="1"/>
  <c r="AO754" i="1"/>
  <c r="AL754" i="1"/>
  <c r="AM754" i="1" s="1"/>
  <c r="AK754" i="1"/>
  <c r="AH754" i="1"/>
  <c r="AG754" i="1"/>
  <c r="AD754" i="1"/>
  <c r="AE754" i="1" s="1"/>
  <c r="AC754" i="1"/>
  <c r="AA754" i="1"/>
  <c r="Z754" i="1"/>
  <c r="Y754" i="1"/>
  <c r="W754" i="1"/>
  <c r="V754" i="1"/>
  <c r="U754" i="1"/>
  <c r="S754" i="1"/>
  <c r="R754" i="1"/>
  <c r="Q754" i="1"/>
  <c r="N754" i="1"/>
  <c r="O754" i="1" s="1"/>
  <c r="M754" i="1"/>
  <c r="J754" i="1"/>
  <c r="K754" i="1" s="1"/>
  <c r="I754" i="1"/>
  <c r="F754" i="1"/>
  <c r="G754" i="1" s="1"/>
  <c r="E754" i="1"/>
  <c r="BN753" i="1"/>
  <c r="BL753" i="1"/>
  <c r="BJ753" i="1"/>
  <c r="BM753" i="1" s="1"/>
  <c r="BI753" i="1"/>
  <c r="BF753" i="1"/>
  <c r="BG753" i="1" s="1"/>
  <c r="BE753" i="1"/>
  <c r="BB753" i="1"/>
  <c r="BA753" i="1"/>
  <c r="AX753" i="1"/>
  <c r="AY753" i="1" s="1"/>
  <c r="AW753" i="1"/>
  <c r="AU753" i="1"/>
  <c r="AT753" i="1"/>
  <c r="AS753" i="1"/>
  <c r="AQ753" i="1"/>
  <c r="AP753" i="1"/>
  <c r="AO753" i="1"/>
  <c r="AM753" i="1"/>
  <c r="AL753" i="1"/>
  <c r="AK753" i="1"/>
  <c r="AH753" i="1"/>
  <c r="AI753" i="1" s="1"/>
  <c r="AG753" i="1"/>
  <c r="AF753" i="1"/>
  <c r="AD753" i="1"/>
  <c r="AE753" i="1" s="1"/>
  <c r="AB753" i="1"/>
  <c r="AC753" i="1" s="1"/>
  <c r="Z753" i="1"/>
  <c r="AA753" i="1" s="1"/>
  <c r="Y753" i="1"/>
  <c r="V753" i="1"/>
  <c r="W753" i="1" s="1"/>
  <c r="U753" i="1"/>
  <c r="R753" i="1"/>
  <c r="S753" i="1" s="1"/>
  <c r="Q753" i="1"/>
  <c r="N753" i="1"/>
  <c r="M753" i="1"/>
  <c r="J753" i="1"/>
  <c r="K753" i="1" s="1"/>
  <c r="I753" i="1"/>
  <c r="G753" i="1"/>
  <c r="F753" i="1"/>
  <c r="E753" i="1"/>
  <c r="BN752" i="1"/>
  <c r="BL752" i="1"/>
  <c r="BJ752" i="1"/>
  <c r="BM752" i="1" s="1"/>
  <c r="BI752" i="1"/>
  <c r="BG752" i="1"/>
  <c r="BF752" i="1"/>
  <c r="BE752" i="1"/>
  <c r="BC752" i="1"/>
  <c r="BB752" i="1"/>
  <c r="BA752" i="1"/>
  <c r="AY752" i="1"/>
  <c r="AX752" i="1"/>
  <c r="AW752" i="1"/>
  <c r="AT752" i="1"/>
  <c r="AU752" i="1" s="1"/>
  <c r="AS752" i="1"/>
  <c r="AP752" i="1"/>
  <c r="AQ752" i="1" s="1"/>
  <c r="AO752" i="1"/>
  <c r="AL752" i="1"/>
  <c r="AM752" i="1" s="1"/>
  <c r="AK752" i="1"/>
  <c r="AH752" i="1"/>
  <c r="AI752" i="1" s="1"/>
  <c r="AF752" i="1"/>
  <c r="AG752" i="1" s="1"/>
  <c r="AE752" i="1"/>
  <c r="AD752" i="1"/>
  <c r="AC752" i="1"/>
  <c r="AB752" i="1"/>
  <c r="Z752" i="1"/>
  <c r="AA752" i="1" s="1"/>
  <c r="Y752" i="1"/>
  <c r="V752" i="1"/>
  <c r="W752" i="1" s="1"/>
  <c r="U752" i="1"/>
  <c r="S752" i="1"/>
  <c r="R752" i="1"/>
  <c r="Q752" i="1"/>
  <c r="O752" i="1"/>
  <c r="N752" i="1"/>
  <c r="M752" i="1"/>
  <c r="K752" i="1"/>
  <c r="J752" i="1"/>
  <c r="I752" i="1"/>
  <c r="F752" i="1"/>
  <c r="G752" i="1" s="1"/>
  <c r="E752" i="1"/>
  <c r="BN751" i="1"/>
  <c r="BM751" i="1"/>
  <c r="BL751" i="1"/>
  <c r="BJ751" i="1"/>
  <c r="BI751" i="1"/>
  <c r="BF751" i="1"/>
  <c r="BG751" i="1" s="1"/>
  <c r="BE751" i="1"/>
  <c r="BB751" i="1"/>
  <c r="BC751" i="1" s="1"/>
  <c r="BA751" i="1"/>
  <c r="AX751" i="1"/>
  <c r="AY751" i="1" s="1"/>
  <c r="AW751" i="1"/>
  <c r="AT751" i="1"/>
  <c r="AU751" i="1" s="1"/>
  <c r="AS751" i="1"/>
  <c r="AP751" i="1"/>
  <c r="AQ751" i="1" s="1"/>
  <c r="AO751" i="1"/>
  <c r="AM751" i="1"/>
  <c r="AL751" i="1"/>
  <c r="AK751" i="1"/>
  <c r="AI751" i="1"/>
  <c r="AH751" i="1"/>
  <c r="AF751" i="1"/>
  <c r="AG751" i="1" s="1"/>
  <c r="AD751" i="1"/>
  <c r="AE751" i="1" s="1"/>
  <c r="AC751" i="1"/>
  <c r="Z751" i="1"/>
  <c r="AA751" i="1" s="1"/>
  <c r="Y751" i="1"/>
  <c r="V751" i="1"/>
  <c r="W751" i="1" s="1"/>
  <c r="U751" i="1"/>
  <c r="S751" i="1"/>
  <c r="R751" i="1"/>
  <c r="Q751" i="1"/>
  <c r="O751" i="1"/>
  <c r="N751" i="1"/>
  <c r="M751" i="1"/>
  <c r="K751" i="1"/>
  <c r="J751" i="1"/>
  <c r="I751" i="1"/>
  <c r="F751" i="1"/>
  <c r="G751" i="1" s="1"/>
  <c r="E751" i="1"/>
  <c r="BN750" i="1"/>
  <c r="BM750" i="1"/>
  <c r="BL750" i="1"/>
  <c r="BJ750" i="1"/>
  <c r="BI750" i="1"/>
  <c r="BF750" i="1"/>
  <c r="BG750" i="1" s="1"/>
  <c r="BE750" i="1"/>
  <c r="BB750" i="1"/>
  <c r="BC750" i="1" s="1"/>
  <c r="BA750" i="1"/>
  <c r="AX750" i="1"/>
  <c r="AY750" i="1" s="1"/>
  <c r="AW750" i="1"/>
  <c r="AT750" i="1"/>
  <c r="AS750" i="1"/>
  <c r="AP750" i="1"/>
  <c r="AQ750" i="1" s="1"/>
  <c r="AO750" i="1"/>
  <c r="AM750" i="1"/>
  <c r="AL750" i="1"/>
  <c r="AK750" i="1"/>
  <c r="AI750" i="1"/>
  <c r="AH750" i="1"/>
  <c r="AG750" i="1"/>
  <c r="AE750" i="1"/>
  <c r="AD750" i="1"/>
  <c r="AC750" i="1"/>
  <c r="Z750" i="1"/>
  <c r="AA750" i="1" s="1"/>
  <c r="Y750" i="1"/>
  <c r="V750" i="1"/>
  <c r="W750" i="1" s="1"/>
  <c r="U750" i="1"/>
  <c r="R750" i="1"/>
  <c r="S750" i="1" s="1"/>
  <c r="Q750" i="1"/>
  <c r="N750" i="1"/>
  <c r="O750" i="1" s="1"/>
  <c r="M750" i="1"/>
  <c r="J750" i="1"/>
  <c r="K750" i="1" s="1"/>
  <c r="I750" i="1"/>
  <c r="G750" i="1"/>
  <c r="F750" i="1"/>
  <c r="E750" i="1"/>
  <c r="BN749" i="1"/>
  <c r="BL749" i="1"/>
  <c r="BJ749" i="1"/>
  <c r="BM749" i="1" s="1"/>
  <c r="BI749" i="1"/>
  <c r="BG749" i="1"/>
  <c r="BF749" i="1"/>
  <c r="BE749" i="1"/>
  <c r="BC749" i="1"/>
  <c r="BB749" i="1"/>
  <c r="AZ749" i="1"/>
  <c r="BA749" i="1" s="1"/>
  <c r="AX749" i="1"/>
  <c r="AY749" i="1" s="1"/>
  <c r="AW749" i="1"/>
  <c r="AT749" i="1"/>
  <c r="AU749" i="1" s="1"/>
  <c r="AS749" i="1"/>
  <c r="AP749" i="1"/>
  <c r="AQ749" i="1" s="1"/>
  <c r="AO749" i="1"/>
  <c r="AM749" i="1"/>
  <c r="AL749" i="1"/>
  <c r="AK749" i="1"/>
  <c r="AI749" i="1"/>
  <c r="AH749" i="1"/>
  <c r="AG749" i="1"/>
  <c r="AE749" i="1"/>
  <c r="AD749" i="1"/>
  <c r="AC749" i="1"/>
  <c r="Z749" i="1"/>
  <c r="AA749" i="1" s="1"/>
  <c r="Y749" i="1"/>
  <c r="V749" i="1"/>
  <c r="W749" i="1" s="1"/>
  <c r="U749" i="1"/>
  <c r="R749" i="1"/>
  <c r="S749" i="1" s="1"/>
  <c r="Q749" i="1"/>
  <c r="N749" i="1"/>
  <c r="O749" i="1" s="1"/>
  <c r="M749" i="1"/>
  <c r="J749" i="1"/>
  <c r="K749" i="1" s="1"/>
  <c r="I749" i="1"/>
  <c r="G749" i="1"/>
  <c r="F749" i="1"/>
  <c r="E749" i="1"/>
  <c r="BN748" i="1"/>
  <c r="BL748" i="1"/>
  <c r="BJ748" i="1"/>
  <c r="BM748" i="1" s="1"/>
  <c r="BI748" i="1"/>
  <c r="BG748" i="1"/>
  <c r="BF748" i="1"/>
  <c r="BE748" i="1"/>
  <c r="BC748" i="1"/>
  <c r="BB748" i="1"/>
  <c r="AZ748" i="1"/>
  <c r="BA748" i="1" s="1"/>
  <c r="AX748" i="1"/>
  <c r="AY748" i="1" s="1"/>
  <c r="AW748" i="1"/>
  <c r="AT748" i="1"/>
  <c r="AS748" i="1"/>
  <c r="AP748" i="1"/>
  <c r="AQ748" i="1" s="1"/>
  <c r="AO748" i="1"/>
  <c r="AM748" i="1"/>
  <c r="AL748" i="1"/>
  <c r="AK748" i="1"/>
  <c r="AI748" i="1"/>
  <c r="AH748" i="1"/>
  <c r="AG748" i="1"/>
  <c r="AE748" i="1"/>
  <c r="AD748" i="1"/>
  <c r="AC748" i="1"/>
  <c r="Z748" i="1"/>
  <c r="AA748" i="1" s="1"/>
  <c r="Y748" i="1"/>
  <c r="V748" i="1"/>
  <c r="W748" i="1" s="1"/>
  <c r="U748" i="1"/>
  <c r="R748" i="1"/>
  <c r="S748" i="1" s="1"/>
  <c r="Q748" i="1"/>
  <c r="N748" i="1"/>
  <c r="M748" i="1"/>
  <c r="J748" i="1"/>
  <c r="K748" i="1" s="1"/>
  <c r="I748" i="1"/>
  <c r="G748" i="1"/>
  <c r="F748" i="1"/>
  <c r="E748" i="1"/>
  <c r="BN747" i="1"/>
  <c r="BM747" i="1" s="1"/>
  <c r="BK747" i="1"/>
  <c r="BL747" i="1" s="1"/>
  <c r="BJ747" i="1"/>
  <c r="BI747" i="1"/>
  <c r="BH747" i="1"/>
  <c r="BF747" i="1"/>
  <c r="BG747" i="1" s="1"/>
  <c r="BD747" i="1"/>
  <c r="BE747" i="1" s="1"/>
  <c r="BC747" i="1"/>
  <c r="BB747" i="1"/>
  <c r="BA747" i="1"/>
  <c r="AZ747" i="1"/>
  <c r="AX747" i="1"/>
  <c r="AY747" i="1" s="1"/>
  <c r="AW747" i="1"/>
  <c r="AT747" i="1"/>
  <c r="AU747" i="1" s="1"/>
  <c r="AS747" i="1"/>
  <c r="AQ747" i="1"/>
  <c r="AP747" i="1"/>
  <c r="AO747" i="1"/>
  <c r="AM747" i="1"/>
  <c r="AL747" i="1"/>
  <c r="AK747" i="1"/>
  <c r="AI747" i="1"/>
  <c r="AH747" i="1"/>
  <c r="AG747" i="1"/>
  <c r="AD747" i="1"/>
  <c r="AE747" i="1" s="1"/>
  <c r="AC747" i="1"/>
  <c r="Z747" i="1"/>
  <c r="AA747" i="1" s="1"/>
  <c r="Y747" i="1"/>
  <c r="V747" i="1"/>
  <c r="W747" i="1" s="1"/>
  <c r="U747" i="1"/>
  <c r="R747" i="1"/>
  <c r="Q747" i="1"/>
  <c r="N747" i="1"/>
  <c r="O747" i="1" s="1"/>
  <c r="M747" i="1"/>
  <c r="K747" i="1"/>
  <c r="J747" i="1"/>
  <c r="I747" i="1"/>
  <c r="G747" i="1"/>
  <c r="F747" i="1"/>
  <c r="E747" i="1"/>
  <c r="BN746" i="1"/>
  <c r="BM746" i="1" s="1"/>
  <c r="BL746" i="1"/>
  <c r="BJ746" i="1"/>
  <c r="BI746" i="1"/>
  <c r="BG746" i="1"/>
  <c r="BF746" i="1"/>
  <c r="BE746" i="1"/>
  <c r="BC746" i="1"/>
  <c r="BB746" i="1"/>
  <c r="BA746" i="1"/>
  <c r="AX746" i="1"/>
  <c r="AY746" i="1" s="1"/>
  <c r="AW746" i="1"/>
  <c r="AT746" i="1"/>
  <c r="AU746" i="1" s="1"/>
  <c r="AS746" i="1"/>
  <c r="AP746" i="1"/>
  <c r="AQ746" i="1" s="1"/>
  <c r="AO746" i="1"/>
  <c r="AL746" i="1"/>
  <c r="AM746" i="1" s="1"/>
  <c r="AK746" i="1"/>
  <c r="AH746" i="1"/>
  <c r="AI746" i="1" s="1"/>
  <c r="AG746" i="1"/>
  <c r="AE746" i="1"/>
  <c r="AD746" i="1"/>
  <c r="AC746" i="1"/>
  <c r="AA746" i="1"/>
  <c r="Z746" i="1"/>
  <c r="Y746" i="1"/>
  <c r="W746" i="1"/>
  <c r="V746" i="1"/>
  <c r="U746" i="1"/>
  <c r="R746" i="1"/>
  <c r="S746" i="1" s="1"/>
  <c r="Q746" i="1"/>
  <c r="N746" i="1"/>
  <c r="O746" i="1" s="1"/>
  <c r="M746" i="1"/>
  <c r="J746" i="1"/>
  <c r="K746" i="1" s="1"/>
  <c r="I746" i="1"/>
  <c r="F746" i="1"/>
  <c r="G746" i="1" s="1"/>
  <c r="E746" i="1"/>
  <c r="BN745" i="1"/>
  <c r="BM745" i="1"/>
  <c r="BK745" i="1"/>
  <c r="BL745" i="1" s="1"/>
  <c r="BJ745" i="1"/>
  <c r="BI745" i="1"/>
  <c r="BG745" i="1"/>
  <c r="BF745" i="1"/>
  <c r="BE745" i="1"/>
  <c r="BC745" i="1"/>
  <c r="BB745" i="1"/>
  <c r="BA745" i="1"/>
  <c r="AX745" i="1"/>
  <c r="AY745" i="1" s="1"/>
  <c r="AW745" i="1"/>
  <c r="AT745" i="1"/>
  <c r="AU745" i="1" s="1"/>
  <c r="AS745" i="1"/>
  <c r="AP745" i="1"/>
  <c r="AQ745" i="1" s="1"/>
  <c r="AO745" i="1"/>
  <c r="AL745" i="1"/>
  <c r="AK745" i="1"/>
  <c r="AH745" i="1"/>
  <c r="AI745" i="1" s="1"/>
  <c r="AF745" i="1"/>
  <c r="AG745" i="1" s="1"/>
  <c r="AD745" i="1"/>
  <c r="AE745" i="1" s="1"/>
  <c r="AC745" i="1"/>
  <c r="Z745" i="1"/>
  <c r="AA745" i="1" s="1"/>
  <c r="Y745" i="1"/>
  <c r="V745" i="1"/>
  <c r="W745" i="1" s="1"/>
  <c r="U745" i="1"/>
  <c r="R745" i="1"/>
  <c r="S745" i="1" s="1"/>
  <c r="P745" i="1"/>
  <c r="Q745" i="1" s="1"/>
  <c r="O745" i="1"/>
  <c r="N745" i="1"/>
  <c r="M745" i="1"/>
  <c r="J745" i="1"/>
  <c r="K745" i="1" s="1"/>
  <c r="I745" i="1"/>
  <c r="F745" i="1"/>
  <c r="G745" i="1" s="1"/>
  <c r="E745" i="1"/>
  <c r="BN744" i="1"/>
  <c r="BM744" i="1"/>
  <c r="BK744" i="1"/>
  <c r="BL744" i="1" s="1"/>
  <c r="BJ744" i="1"/>
  <c r="BI744" i="1"/>
  <c r="BF744" i="1"/>
  <c r="BG744" i="1" s="1"/>
  <c r="BE744" i="1"/>
  <c r="BC744" i="1"/>
  <c r="BB744" i="1"/>
  <c r="BA744" i="1"/>
  <c r="AY744" i="1"/>
  <c r="AX744" i="1"/>
  <c r="AW744" i="1"/>
  <c r="AU744" i="1"/>
  <c r="AT744" i="1"/>
  <c r="AS744" i="1"/>
  <c r="AP744" i="1"/>
  <c r="AQ744" i="1" s="1"/>
  <c r="AO744" i="1"/>
  <c r="AL744" i="1"/>
  <c r="AM744" i="1" s="1"/>
  <c r="AK744" i="1"/>
  <c r="AH744" i="1"/>
  <c r="AF744" i="1"/>
  <c r="AG744" i="1" s="1"/>
  <c r="AD744" i="1"/>
  <c r="AC744" i="1"/>
  <c r="AA744" i="1"/>
  <c r="Z744" i="1"/>
  <c r="Y744" i="1"/>
  <c r="V744" i="1"/>
  <c r="W744" i="1" s="1"/>
  <c r="U744" i="1"/>
  <c r="R744" i="1"/>
  <c r="S744" i="1" s="1"/>
  <c r="Q744" i="1"/>
  <c r="P744" i="1"/>
  <c r="O744" i="1"/>
  <c r="N744" i="1"/>
  <c r="M744" i="1"/>
  <c r="K744" i="1"/>
  <c r="J744" i="1"/>
  <c r="I744" i="1"/>
  <c r="G744" i="1"/>
  <c r="F744" i="1"/>
  <c r="E744" i="1"/>
  <c r="BN743" i="1"/>
  <c r="BL743" i="1"/>
  <c r="BK743" i="1"/>
  <c r="BJ743" i="1"/>
  <c r="BM743" i="1" s="1"/>
  <c r="BI743" i="1"/>
  <c r="BF743" i="1"/>
  <c r="BG743" i="1" s="1"/>
  <c r="BE743" i="1"/>
  <c r="BB743" i="1"/>
  <c r="BA743" i="1"/>
  <c r="AX743" i="1"/>
  <c r="AY743" i="1" s="1"/>
  <c r="AW743" i="1"/>
  <c r="AU743" i="1"/>
  <c r="AT743" i="1"/>
  <c r="AS743" i="1"/>
  <c r="AQ743" i="1"/>
  <c r="AP743" i="1"/>
  <c r="AO743" i="1"/>
  <c r="AM743" i="1"/>
  <c r="AL743" i="1"/>
  <c r="AK743" i="1"/>
  <c r="AH743" i="1"/>
  <c r="AI743" i="1" s="1"/>
  <c r="AG743" i="1"/>
  <c r="AF743" i="1"/>
  <c r="AD743" i="1"/>
  <c r="AE743" i="1" s="1"/>
  <c r="AC743" i="1"/>
  <c r="AA743" i="1"/>
  <c r="Z743" i="1"/>
  <c r="Y743" i="1"/>
  <c r="W743" i="1"/>
  <c r="V743" i="1"/>
  <c r="U743" i="1"/>
  <c r="S743" i="1"/>
  <c r="R743" i="1"/>
  <c r="Q743" i="1"/>
  <c r="P743" i="1"/>
  <c r="N743" i="1"/>
  <c r="O743" i="1" s="1"/>
  <c r="M743" i="1"/>
  <c r="J743" i="1"/>
  <c r="K743" i="1" s="1"/>
  <c r="I743" i="1"/>
  <c r="G743" i="1"/>
  <c r="F743" i="1"/>
  <c r="E743" i="1"/>
  <c r="BN742" i="1"/>
  <c r="BL742" i="1"/>
  <c r="BJ742" i="1"/>
  <c r="BM742" i="1" s="1"/>
  <c r="BI742" i="1"/>
  <c r="BG742" i="1"/>
  <c r="BF742" i="1"/>
  <c r="BE742" i="1"/>
  <c r="BC742" i="1"/>
  <c r="BB742" i="1"/>
  <c r="BA742" i="1"/>
  <c r="AY742" i="1"/>
  <c r="AX742" i="1"/>
  <c r="AW742" i="1"/>
  <c r="AT742" i="1"/>
  <c r="AU742" i="1" s="1"/>
  <c r="AS742" i="1"/>
  <c r="AP742" i="1"/>
  <c r="AQ742" i="1" s="1"/>
  <c r="AO742" i="1"/>
  <c r="AL742" i="1"/>
  <c r="AM742" i="1" s="1"/>
  <c r="AK742" i="1"/>
  <c r="AH742" i="1"/>
  <c r="AI742" i="1" s="1"/>
  <c r="AG742" i="1"/>
  <c r="AE742" i="1"/>
  <c r="AD742" i="1"/>
  <c r="AC742" i="1"/>
  <c r="AA742" i="1"/>
  <c r="Z742" i="1"/>
  <c r="Y742" i="1"/>
  <c r="W742" i="1"/>
  <c r="V742" i="1"/>
  <c r="U742" i="1"/>
  <c r="S742" i="1"/>
  <c r="R742" i="1"/>
  <c r="Q742" i="1"/>
  <c r="N742" i="1"/>
  <c r="O742" i="1" s="1"/>
  <c r="M742" i="1"/>
  <c r="J742" i="1"/>
  <c r="K742" i="1" s="1"/>
  <c r="I742" i="1"/>
  <c r="F742" i="1"/>
  <c r="G742" i="1" s="1"/>
  <c r="E742" i="1"/>
  <c r="BN741" i="1"/>
  <c r="BL741" i="1"/>
  <c r="BJ741" i="1"/>
  <c r="BM741" i="1" s="1"/>
  <c r="BI741" i="1"/>
  <c r="BF741" i="1"/>
  <c r="BG741" i="1" s="1"/>
  <c r="BE741" i="1"/>
  <c r="BB741" i="1"/>
  <c r="BA741" i="1"/>
  <c r="AX741" i="1"/>
  <c r="AY741" i="1" s="1"/>
  <c r="AW741" i="1"/>
  <c r="AU741" i="1"/>
  <c r="AT741" i="1"/>
  <c r="AS741" i="1"/>
  <c r="AQ741" i="1"/>
  <c r="AP741" i="1"/>
  <c r="AO741" i="1"/>
  <c r="AM741" i="1"/>
  <c r="AL741" i="1"/>
  <c r="AK741" i="1"/>
  <c r="AH741" i="1"/>
  <c r="AI741" i="1" s="1"/>
  <c r="AG741" i="1"/>
  <c r="AD741" i="1"/>
  <c r="AE741" i="1" s="1"/>
  <c r="AC741" i="1"/>
  <c r="Z741" i="1"/>
  <c r="AA741" i="1" s="1"/>
  <c r="Y741" i="1"/>
  <c r="V741" i="1"/>
  <c r="W741" i="1" s="1"/>
  <c r="U741" i="1"/>
  <c r="R741" i="1"/>
  <c r="S741" i="1" s="1"/>
  <c r="Q741" i="1"/>
  <c r="O741" i="1"/>
  <c r="N741" i="1"/>
  <c r="M741" i="1"/>
  <c r="K741" i="1"/>
  <c r="J741" i="1"/>
  <c r="I741" i="1"/>
  <c r="G741" i="1"/>
  <c r="F741" i="1"/>
  <c r="E741" i="1"/>
  <c r="BN740" i="1"/>
  <c r="BM740" i="1"/>
  <c r="BL740" i="1"/>
  <c r="BJ740" i="1"/>
  <c r="BI740" i="1"/>
  <c r="BG740" i="1"/>
  <c r="BF740" i="1"/>
  <c r="BE740" i="1"/>
  <c r="BB740" i="1"/>
  <c r="BC740" i="1" s="1"/>
  <c r="BA740" i="1"/>
  <c r="AX740" i="1"/>
  <c r="AY740" i="1" s="1"/>
  <c r="AW740" i="1"/>
  <c r="AT740" i="1"/>
  <c r="AU740" i="1" s="1"/>
  <c r="AS740" i="1"/>
  <c r="AP740" i="1"/>
  <c r="AQ740" i="1" s="1"/>
  <c r="AO740" i="1"/>
  <c r="AL740" i="1"/>
  <c r="AM740" i="1" s="1"/>
  <c r="AK740" i="1"/>
  <c r="AI740" i="1"/>
  <c r="AH740" i="1"/>
  <c r="AG740" i="1"/>
  <c r="AE740" i="1"/>
  <c r="AD740" i="1"/>
  <c r="AC740" i="1"/>
  <c r="AA740" i="1"/>
  <c r="Z740" i="1"/>
  <c r="Y740" i="1"/>
  <c r="V740" i="1"/>
  <c r="W740" i="1" s="1"/>
  <c r="U740" i="1"/>
  <c r="R740" i="1"/>
  <c r="S740" i="1" s="1"/>
  <c r="Q740" i="1"/>
  <c r="N740" i="1"/>
  <c r="O740" i="1" s="1"/>
  <c r="M740" i="1"/>
  <c r="J740" i="1"/>
  <c r="I740" i="1"/>
  <c r="G740" i="1"/>
  <c r="F740" i="1"/>
  <c r="E740" i="1"/>
  <c r="BN739" i="1"/>
  <c r="BL739" i="1"/>
  <c r="BJ739" i="1"/>
  <c r="BI739" i="1"/>
  <c r="BG739" i="1"/>
  <c r="BF739" i="1"/>
  <c r="BE739" i="1"/>
  <c r="BC739" i="1"/>
  <c r="BB739" i="1"/>
  <c r="BA739" i="1"/>
  <c r="AY739" i="1"/>
  <c r="AX739" i="1"/>
  <c r="AW739" i="1"/>
  <c r="AU739" i="1"/>
  <c r="AT739" i="1"/>
  <c r="AS739" i="1"/>
  <c r="AP739" i="1"/>
  <c r="AQ739" i="1" s="1"/>
  <c r="AO739" i="1"/>
  <c r="AL739" i="1"/>
  <c r="AM739" i="1" s="1"/>
  <c r="AK739" i="1"/>
  <c r="AH739" i="1"/>
  <c r="AG739" i="1"/>
  <c r="AD739" i="1"/>
  <c r="AC739" i="1"/>
  <c r="AA739" i="1"/>
  <c r="Z739" i="1"/>
  <c r="Y739" i="1"/>
  <c r="W739" i="1"/>
  <c r="V739" i="1"/>
  <c r="U739" i="1"/>
  <c r="S739" i="1"/>
  <c r="R739" i="1"/>
  <c r="Q739" i="1"/>
  <c r="O739" i="1"/>
  <c r="N739" i="1"/>
  <c r="M739" i="1"/>
  <c r="J739" i="1"/>
  <c r="K739" i="1" s="1"/>
  <c r="I739" i="1"/>
  <c r="F739" i="1"/>
  <c r="G739" i="1" s="1"/>
  <c r="E739" i="1"/>
  <c r="BN738" i="1"/>
  <c r="BM738" i="1"/>
  <c r="BL738" i="1"/>
  <c r="BJ738" i="1"/>
  <c r="BI738" i="1"/>
  <c r="BF738" i="1"/>
  <c r="BG738" i="1" s="1"/>
  <c r="BE738" i="1"/>
  <c r="BB738" i="1"/>
  <c r="BA738" i="1"/>
  <c r="AX738" i="1"/>
  <c r="AW738" i="1"/>
  <c r="AU738" i="1"/>
  <c r="AT738" i="1"/>
  <c r="AS738" i="1"/>
  <c r="AQ738" i="1"/>
  <c r="AP738" i="1"/>
  <c r="AO738" i="1"/>
  <c r="AM738" i="1"/>
  <c r="AL738" i="1"/>
  <c r="AK738" i="1"/>
  <c r="AI738" i="1"/>
  <c r="AH738" i="1"/>
  <c r="AG738" i="1"/>
  <c r="AD738" i="1"/>
  <c r="AE738" i="1" s="1"/>
  <c r="AC738" i="1"/>
  <c r="Z738" i="1"/>
  <c r="AA738" i="1" s="1"/>
  <c r="Y738" i="1"/>
  <c r="V738" i="1"/>
  <c r="U738" i="1"/>
  <c r="R738" i="1"/>
  <c r="Q738" i="1"/>
  <c r="O738" i="1"/>
  <c r="N738" i="1"/>
  <c r="M738" i="1"/>
  <c r="K738" i="1"/>
  <c r="J738" i="1"/>
  <c r="I738" i="1"/>
  <c r="G738" i="1"/>
  <c r="F738" i="1"/>
  <c r="E738" i="1"/>
  <c r="BN737" i="1"/>
  <c r="BL737" i="1"/>
  <c r="BJ737" i="1"/>
  <c r="BM737" i="1" s="1"/>
  <c r="BI737" i="1"/>
  <c r="BG737" i="1"/>
  <c r="BF737" i="1"/>
  <c r="BE737" i="1"/>
  <c r="BC737" i="1"/>
  <c r="BB737" i="1"/>
  <c r="BA737" i="1"/>
  <c r="AZ737" i="1"/>
  <c r="AY737" i="1"/>
  <c r="AX737" i="1"/>
  <c r="AW737" i="1"/>
  <c r="AU737" i="1"/>
  <c r="AT737" i="1"/>
  <c r="AS737" i="1"/>
  <c r="AQ737" i="1"/>
  <c r="AP737" i="1"/>
  <c r="AO737" i="1"/>
  <c r="AM737" i="1"/>
  <c r="AL737" i="1"/>
  <c r="AK737" i="1"/>
  <c r="AI737" i="1"/>
  <c r="AH737" i="1"/>
  <c r="AG737" i="1"/>
  <c r="AF737" i="1"/>
  <c r="AE737" i="1"/>
  <c r="AD737" i="1"/>
  <c r="AB737" i="1"/>
  <c r="AC737" i="1" s="1"/>
  <c r="AA737" i="1"/>
  <c r="Z737" i="1"/>
  <c r="Y737" i="1"/>
  <c r="V737" i="1"/>
  <c r="W737" i="1" s="1"/>
  <c r="U737" i="1"/>
  <c r="R737" i="1"/>
  <c r="S737" i="1" s="1"/>
  <c r="Q737" i="1"/>
  <c r="N737" i="1"/>
  <c r="L737" i="1"/>
  <c r="M737" i="1" s="1"/>
  <c r="J737" i="1"/>
  <c r="I737" i="1"/>
  <c r="H737" i="1"/>
  <c r="F737" i="1"/>
  <c r="G737" i="1" s="1"/>
  <c r="D737" i="1"/>
  <c r="E737" i="1" s="1"/>
  <c r="BN736" i="1"/>
  <c r="BL736" i="1"/>
  <c r="BJ736" i="1"/>
  <c r="BM736" i="1" s="1"/>
  <c r="BI736" i="1"/>
  <c r="BG736" i="1"/>
  <c r="BF736" i="1"/>
  <c r="BE736" i="1"/>
  <c r="BC736" i="1"/>
  <c r="BB736" i="1"/>
  <c r="BA736" i="1"/>
  <c r="AZ736" i="1"/>
  <c r="AX736" i="1"/>
  <c r="AW736" i="1"/>
  <c r="AT736" i="1"/>
  <c r="AS736" i="1"/>
  <c r="AQ736" i="1"/>
  <c r="AP736" i="1"/>
  <c r="AO736" i="1"/>
  <c r="AM736" i="1"/>
  <c r="AL736" i="1"/>
  <c r="AK736" i="1"/>
  <c r="AI736" i="1"/>
  <c r="AH736" i="1"/>
  <c r="AG736" i="1"/>
  <c r="AF736" i="1"/>
  <c r="AD736" i="1"/>
  <c r="AB736" i="1"/>
  <c r="AC736" i="1" s="1"/>
  <c r="Z736" i="1"/>
  <c r="Y736" i="1"/>
  <c r="W736" i="1"/>
  <c r="V736" i="1"/>
  <c r="U736" i="1"/>
  <c r="R736" i="1"/>
  <c r="S736" i="1" s="1"/>
  <c r="Q736" i="1"/>
  <c r="N736" i="1"/>
  <c r="O736" i="1" s="1"/>
  <c r="M736" i="1"/>
  <c r="L736" i="1"/>
  <c r="K736" i="1"/>
  <c r="J736" i="1"/>
  <c r="I736" i="1"/>
  <c r="H736" i="1"/>
  <c r="F736" i="1"/>
  <c r="G736" i="1" s="1"/>
  <c r="E736" i="1"/>
  <c r="D736" i="1"/>
  <c r="BN735" i="1"/>
  <c r="BL735" i="1"/>
  <c r="BJ735" i="1"/>
  <c r="BI735" i="1"/>
  <c r="BG735" i="1"/>
  <c r="BF735" i="1"/>
  <c r="BE735" i="1"/>
  <c r="BC735" i="1"/>
  <c r="BB735" i="1"/>
  <c r="BA735" i="1"/>
  <c r="AZ735" i="1"/>
  <c r="AX735" i="1"/>
  <c r="AY735" i="1" s="1"/>
  <c r="AW735" i="1"/>
  <c r="AT735" i="1"/>
  <c r="AS735" i="1"/>
  <c r="AP735" i="1"/>
  <c r="AO735" i="1"/>
  <c r="AM735" i="1"/>
  <c r="AL735" i="1"/>
  <c r="AK735" i="1"/>
  <c r="AI735" i="1"/>
  <c r="AH735" i="1"/>
  <c r="AG735" i="1"/>
  <c r="AF735" i="1"/>
  <c r="AD735" i="1"/>
  <c r="AE735" i="1" s="1"/>
  <c r="AC735" i="1"/>
  <c r="AB735" i="1"/>
  <c r="AA735" i="1"/>
  <c r="Z735" i="1"/>
  <c r="Y735" i="1"/>
  <c r="X735" i="1"/>
  <c r="V735" i="1"/>
  <c r="W735" i="1" s="1"/>
  <c r="U735" i="1"/>
  <c r="R735" i="1"/>
  <c r="Q735" i="1"/>
  <c r="N735" i="1"/>
  <c r="L735" i="1"/>
  <c r="M735" i="1" s="1"/>
  <c r="K735" i="1"/>
  <c r="J735" i="1"/>
  <c r="I735" i="1"/>
  <c r="H735" i="1"/>
  <c r="G735" i="1"/>
  <c r="F735" i="1"/>
  <c r="D735" i="1"/>
  <c r="E735" i="1" s="1"/>
  <c r="BN734" i="1"/>
  <c r="BM734" i="1" s="1"/>
  <c r="BL734" i="1"/>
  <c r="BJ734" i="1"/>
  <c r="BI734" i="1"/>
  <c r="BG734" i="1"/>
  <c r="BF734" i="1"/>
  <c r="BE734" i="1"/>
  <c r="BC734" i="1"/>
  <c r="BB734" i="1"/>
  <c r="BA734" i="1"/>
  <c r="AX734" i="1"/>
  <c r="AY734" i="1" s="1"/>
  <c r="AW734" i="1"/>
  <c r="AT734" i="1"/>
  <c r="AU734" i="1" s="1"/>
  <c r="AS734" i="1"/>
  <c r="AP734" i="1"/>
  <c r="AO734" i="1"/>
  <c r="AL734" i="1"/>
  <c r="AK734" i="1"/>
  <c r="AI734" i="1"/>
  <c r="AH734" i="1"/>
  <c r="AG734" i="1"/>
  <c r="AE734" i="1"/>
  <c r="AD734" i="1"/>
  <c r="AC734" i="1"/>
  <c r="AA734" i="1"/>
  <c r="Z734" i="1"/>
  <c r="Y734" i="1"/>
  <c r="W734" i="1"/>
  <c r="V734" i="1"/>
  <c r="U734" i="1"/>
  <c r="R734" i="1"/>
  <c r="S734" i="1" s="1"/>
  <c r="Q734" i="1"/>
  <c r="N734" i="1"/>
  <c r="O734" i="1" s="1"/>
  <c r="M734" i="1"/>
  <c r="J734" i="1"/>
  <c r="I734" i="1"/>
  <c r="F734" i="1"/>
  <c r="E734" i="1"/>
  <c r="BN733" i="1"/>
  <c r="BL733" i="1"/>
  <c r="BJ733" i="1"/>
  <c r="BI733" i="1"/>
  <c r="BF733" i="1"/>
  <c r="BE733" i="1"/>
  <c r="BC733" i="1"/>
  <c r="BB733" i="1"/>
  <c r="BA733" i="1"/>
  <c r="AY733" i="1"/>
  <c r="AX733" i="1"/>
  <c r="AW733" i="1"/>
  <c r="AU733" i="1"/>
  <c r="AT733" i="1"/>
  <c r="AS733" i="1"/>
  <c r="AQ733" i="1"/>
  <c r="AP733" i="1"/>
  <c r="AO733" i="1"/>
  <c r="AL733" i="1"/>
  <c r="AM733" i="1" s="1"/>
  <c r="AK733" i="1"/>
  <c r="AH733" i="1"/>
  <c r="AI733" i="1" s="1"/>
  <c r="AG733" i="1"/>
  <c r="AF733" i="1"/>
  <c r="AE733" i="1"/>
  <c r="AD733" i="1"/>
  <c r="AC733" i="1"/>
  <c r="AA733" i="1"/>
  <c r="Z733" i="1"/>
  <c r="Y733" i="1"/>
  <c r="W733" i="1"/>
  <c r="V733" i="1"/>
  <c r="U733" i="1"/>
  <c r="R733" i="1"/>
  <c r="S733" i="1" s="1"/>
  <c r="Q733" i="1"/>
  <c r="N733" i="1"/>
  <c r="O733" i="1" s="1"/>
  <c r="M733" i="1"/>
  <c r="J733" i="1"/>
  <c r="I733" i="1"/>
  <c r="F733" i="1"/>
  <c r="E733" i="1"/>
  <c r="BN732" i="1"/>
  <c r="BL732" i="1"/>
  <c r="BJ732" i="1"/>
  <c r="BI732" i="1"/>
  <c r="BF732" i="1"/>
  <c r="BE732" i="1"/>
  <c r="BC732" i="1"/>
  <c r="BB732" i="1"/>
  <c r="BA732" i="1"/>
  <c r="AY732" i="1"/>
  <c r="AX732" i="1"/>
  <c r="AW732" i="1"/>
  <c r="AU732" i="1"/>
  <c r="AT732" i="1"/>
  <c r="AS732" i="1"/>
  <c r="AQ732" i="1"/>
  <c r="AP732" i="1"/>
  <c r="AO732" i="1"/>
  <c r="AL732" i="1"/>
  <c r="AM732" i="1" s="1"/>
  <c r="AK732" i="1"/>
  <c r="AH732" i="1"/>
  <c r="AI732" i="1" s="1"/>
  <c r="AG732" i="1"/>
  <c r="AF732" i="1"/>
  <c r="AE732" i="1"/>
  <c r="AD732" i="1"/>
  <c r="AC732" i="1"/>
  <c r="AA732" i="1"/>
  <c r="Z732" i="1"/>
  <c r="Y732" i="1"/>
  <c r="W732" i="1"/>
  <c r="V732" i="1"/>
  <c r="U732" i="1"/>
  <c r="R732" i="1"/>
  <c r="S732" i="1" s="1"/>
  <c r="Q732" i="1"/>
  <c r="N732" i="1"/>
  <c r="O732" i="1" s="1"/>
  <c r="M732" i="1"/>
  <c r="J732" i="1"/>
  <c r="I732" i="1"/>
  <c r="F732" i="1"/>
  <c r="E732" i="1"/>
  <c r="BN731" i="1"/>
  <c r="BL731" i="1"/>
  <c r="BJ731" i="1"/>
  <c r="BI731" i="1"/>
  <c r="BF731" i="1"/>
  <c r="BE731" i="1"/>
  <c r="BC731" i="1"/>
  <c r="BB731" i="1"/>
  <c r="BA731" i="1"/>
  <c r="AY731" i="1"/>
  <c r="AX731" i="1"/>
  <c r="AW731" i="1"/>
  <c r="AU731" i="1"/>
  <c r="AT731" i="1"/>
  <c r="AS731" i="1"/>
  <c r="AQ731" i="1"/>
  <c r="AP731" i="1"/>
  <c r="AO731" i="1"/>
  <c r="AL731" i="1"/>
  <c r="AM731" i="1" s="1"/>
  <c r="AK731" i="1"/>
  <c r="AH731" i="1"/>
  <c r="AI731" i="1" s="1"/>
  <c r="AG731" i="1"/>
  <c r="AF731" i="1"/>
  <c r="AE731" i="1"/>
  <c r="AD731" i="1"/>
  <c r="AC731" i="1"/>
  <c r="AA731" i="1"/>
  <c r="Z731" i="1"/>
  <c r="Y731" i="1"/>
  <c r="W731" i="1"/>
  <c r="V731" i="1"/>
  <c r="U731" i="1"/>
  <c r="R731" i="1"/>
  <c r="S731" i="1" s="1"/>
  <c r="Q731" i="1"/>
  <c r="N731" i="1"/>
  <c r="O731" i="1" s="1"/>
  <c r="M731" i="1"/>
  <c r="J731" i="1"/>
  <c r="I731" i="1"/>
  <c r="F731" i="1"/>
  <c r="E731" i="1"/>
  <c r="BN730" i="1"/>
  <c r="BL730" i="1"/>
  <c r="BJ730" i="1"/>
  <c r="BI730" i="1"/>
  <c r="BF730" i="1"/>
  <c r="BE730" i="1"/>
  <c r="BC730" i="1"/>
  <c r="BB730" i="1"/>
  <c r="BA730" i="1"/>
  <c r="AY730" i="1"/>
  <c r="AX730" i="1"/>
  <c r="AW730" i="1"/>
  <c r="AU730" i="1"/>
  <c r="AT730" i="1"/>
  <c r="AS730" i="1"/>
  <c r="AQ730" i="1"/>
  <c r="AP730" i="1"/>
  <c r="AO730" i="1"/>
  <c r="AL730" i="1"/>
  <c r="AM730" i="1" s="1"/>
  <c r="AK730" i="1"/>
  <c r="AH730" i="1"/>
  <c r="AI730" i="1" s="1"/>
  <c r="AG730" i="1"/>
  <c r="AD730" i="1"/>
  <c r="AC730" i="1"/>
  <c r="Z730" i="1"/>
  <c r="Y730" i="1"/>
  <c r="W730" i="1"/>
  <c r="V730" i="1"/>
  <c r="U730" i="1"/>
  <c r="S730" i="1"/>
  <c r="R730" i="1"/>
  <c r="Q730" i="1"/>
  <c r="O730" i="1"/>
  <c r="N730" i="1"/>
  <c r="M730" i="1"/>
  <c r="K730" i="1"/>
  <c r="J730" i="1"/>
  <c r="I730" i="1"/>
  <c r="F730" i="1"/>
  <c r="G730" i="1" s="1"/>
  <c r="E730" i="1"/>
  <c r="BN729" i="1"/>
  <c r="BM729" i="1"/>
  <c r="BL729" i="1"/>
  <c r="BJ729" i="1"/>
  <c r="BI729" i="1"/>
  <c r="BF729" i="1"/>
  <c r="BG729" i="1" s="1"/>
  <c r="BE729" i="1"/>
  <c r="BB729" i="1"/>
  <c r="BC729" i="1" s="1"/>
  <c r="BA729" i="1"/>
  <c r="AX729" i="1"/>
  <c r="AV729" i="1"/>
  <c r="AW729" i="1" s="1"/>
  <c r="AT729" i="1"/>
  <c r="AS729" i="1"/>
  <c r="AR729" i="1"/>
  <c r="AP729" i="1"/>
  <c r="AO729" i="1"/>
  <c r="AL729" i="1"/>
  <c r="AK729" i="1"/>
  <c r="AI729" i="1"/>
  <c r="AH729" i="1"/>
  <c r="AG729" i="1"/>
  <c r="AE729" i="1"/>
  <c r="AD729" i="1"/>
  <c r="AC729" i="1"/>
  <c r="AA729" i="1"/>
  <c r="Z729" i="1"/>
  <c r="Y729" i="1"/>
  <c r="W729" i="1"/>
  <c r="V729" i="1"/>
  <c r="U729" i="1"/>
  <c r="R729" i="1"/>
  <c r="S729" i="1" s="1"/>
  <c r="Q729" i="1"/>
  <c r="N729" i="1"/>
  <c r="O729" i="1" s="1"/>
  <c r="M729" i="1"/>
  <c r="J729" i="1"/>
  <c r="I729" i="1"/>
  <c r="F729" i="1"/>
  <c r="E729" i="1"/>
  <c r="BN728" i="1"/>
  <c r="BL728" i="1"/>
  <c r="BJ728" i="1"/>
  <c r="BI728" i="1"/>
  <c r="BF728" i="1"/>
  <c r="BE728" i="1"/>
  <c r="BC728" i="1"/>
  <c r="BB728" i="1"/>
  <c r="BA728" i="1"/>
  <c r="AY728" i="1"/>
  <c r="AX728" i="1"/>
  <c r="AW728" i="1"/>
  <c r="AV728" i="1"/>
  <c r="AT728" i="1"/>
  <c r="AU728" i="1" s="1"/>
  <c r="AS728" i="1"/>
  <c r="AP728" i="1"/>
  <c r="AO728" i="1"/>
  <c r="AL728" i="1"/>
  <c r="AK728" i="1"/>
  <c r="AI728" i="1"/>
  <c r="AH728" i="1"/>
  <c r="AG728" i="1"/>
  <c r="AE728" i="1"/>
  <c r="AD728" i="1"/>
  <c r="AC728" i="1"/>
  <c r="AA728" i="1"/>
  <c r="Z728" i="1"/>
  <c r="Y728" i="1"/>
  <c r="W728" i="1"/>
  <c r="V728" i="1"/>
  <c r="U728" i="1"/>
  <c r="R728" i="1"/>
  <c r="S728" i="1" s="1"/>
  <c r="Q728" i="1"/>
  <c r="N728" i="1"/>
  <c r="O728" i="1" s="1"/>
  <c r="M728" i="1"/>
  <c r="J728" i="1"/>
  <c r="I728" i="1"/>
  <c r="F728" i="1"/>
  <c r="E728" i="1"/>
  <c r="BN727" i="1"/>
  <c r="BL727" i="1"/>
  <c r="BJ727" i="1"/>
  <c r="BI727" i="1"/>
  <c r="BF727" i="1"/>
  <c r="BE727" i="1"/>
  <c r="BC727" i="1"/>
  <c r="BB727" i="1"/>
  <c r="BA727" i="1"/>
  <c r="AY727" i="1"/>
  <c r="AX727" i="1"/>
  <c r="AW727" i="1"/>
  <c r="AV727" i="1"/>
  <c r="AT727" i="1"/>
  <c r="AU727" i="1" s="1"/>
  <c r="AS727" i="1"/>
  <c r="AP727" i="1"/>
  <c r="AO727" i="1"/>
  <c r="AL727" i="1"/>
  <c r="AK727" i="1"/>
  <c r="AI727" i="1"/>
  <c r="AH727" i="1"/>
  <c r="AG727" i="1"/>
  <c r="AE727" i="1"/>
  <c r="AD727" i="1"/>
  <c r="AC727" i="1"/>
  <c r="AA727" i="1"/>
  <c r="Z727" i="1"/>
  <c r="Y727" i="1"/>
  <c r="W727" i="1"/>
  <c r="V727" i="1"/>
  <c r="U727" i="1"/>
  <c r="R727" i="1"/>
  <c r="S727" i="1" s="1"/>
  <c r="Q727" i="1"/>
  <c r="N727" i="1"/>
  <c r="O727" i="1" s="1"/>
  <c r="M727" i="1"/>
  <c r="J727" i="1"/>
  <c r="I727" i="1"/>
  <c r="F727" i="1"/>
  <c r="E727" i="1"/>
  <c r="BN726" i="1"/>
  <c r="BL726" i="1"/>
  <c r="BJ726" i="1"/>
  <c r="BI726" i="1"/>
  <c r="BF726" i="1"/>
  <c r="BE726" i="1"/>
  <c r="BC726" i="1"/>
  <c r="BB726" i="1"/>
  <c r="BA726" i="1"/>
  <c r="AY726" i="1"/>
  <c r="AX726" i="1"/>
  <c r="AW726" i="1"/>
  <c r="AU726" i="1"/>
  <c r="AT726" i="1"/>
  <c r="AS726" i="1"/>
  <c r="AQ726" i="1"/>
  <c r="AP726" i="1"/>
  <c r="AO726" i="1"/>
  <c r="AL726" i="1"/>
  <c r="AM726" i="1" s="1"/>
  <c r="AK726" i="1"/>
  <c r="AH726" i="1"/>
  <c r="AI726" i="1" s="1"/>
  <c r="AG726" i="1"/>
  <c r="AD726" i="1"/>
  <c r="AC726" i="1"/>
  <c r="Z726" i="1"/>
  <c r="Y726" i="1"/>
  <c r="W726" i="1"/>
  <c r="V726" i="1"/>
  <c r="U726" i="1"/>
  <c r="S726" i="1"/>
  <c r="R726" i="1"/>
  <c r="Q726" i="1"/>
  <c r="O726" i="1"/>
  <c r="N726" i="1"/>
  <c r="M726" i="1"/>
  <c r="K726" i="1"/>
  <c r="J726" i="1"/>
  <c r="I726" i="1"/>
  <c r="F726" i="1"/>
  <c r="G726" i="1" s="1"/>
  <c r="E726" i="1"/>
  <c r="BN725" i="1"/>
  <c r="BM725" i="1"/>
  <c r="BL725" i="1"/>
  <c r="BJ725" i="1"/>
  <c r="BI725" i="1"/>
  <c r="BF725" i="1"/>
  <c r="BG725" i="1" s="1"/>
  <c r="BE725" i="1"/>
  <c r="BB725" i="1"/>
  <c r="BC725" i="1" s="1"/>
  <c r="BA725" i="1"/>
  <c r="AX725" i="1"/>
  <c r="AW725" i="1"/>
  <c r="AT725" i="1"/>
  <c r="AS725" i="1"/>
  <c r="AQ725" i="1"/>
  <c r="AP725" i="1"/>
  <c r="AO725" i="1"/>
  <c r="AM725" i="1"/>
  <c r="AL725" i="1"/>
  <c r="AK725" i="1"/>
  <c r="AI725" i="1"/>
  <c r="AH725" i="1"/>
  <c r="AG725" i="1"/>
  <c r="AE725" i="1"/>
  <c r="AD725" i="1"/>
  <c r="AC725" i="1"/>
  <c r="Z725" i="1"/>
  <c r="AA725" i="1" s="1"/>
  <c r="Y725" i="1"/>
  <c r="V725" i="1"/>
  <c r="W725" i="1" s="1"/>
  <c r="U725" i="1"/>
  <c r="R725" i="1"/>
  <c r="Q725" i="1"/>
  <c r="N725" i="1"/>
  <c r="M725" i="1"/>
  <c r="K725" i="1"/>
  <c r="J725" i="1"/>
  <c r="I725" i="1"/>
  <c r="G725" i="1"/>
  <c r="F725" i="1"/>
  <c r="E725" i="1"/>
  <c r="BN724" i="1"/>
  <c r="BL724" i="1"/>
  <c r="BJ724" i="1"/>
  <c r="BM724" i="1" s="1"/>
  <c r="BI724" i="1"/>
  <c r="BG724" i="1"/>
  <c r="BF724" i="1"/>
  <c r="BE724" i="1"/>
  <c r="BC724" i="1"/>
  <c r="BB724" i="1"/>
  <c r="BA724" i="1"/>
  <c r="AY724" i="1"/>
  <c r="AX724" i="1"/>
  <c r="AW724" i="1"/>
  <c r="AT724" i="1"/>
  <c r="AU724" i="1" s="1"/>
  <c r="AS724" i="1"/>
  <c r="AP724" i="1"/>
  <c r="AQ724" i="1" s="1"/>
  <c r="AO724" i="1"/>
  <c r="AL724" i="1"/>
  <c r="AK724" i="1"/>
  <c r="AH724" i="1"/>
  <c r="AG724" i="1"/>
  <c r="AE724" i="1"/>
  <c r="AD724" i="1"/>
  <c r="AC724" i="1"/>
  <c r="AA724" i="1"/>
  <c r="Z724" i="1"/>
  <c r="Y724" i="1"/>
  <c r="W724" i="1"/>
  <c r="V724" i="1"/>
  <c r="U724" i="1"/>
  <c r="S724" i="1"/>
  <c r="R724" i="1"/>
  <c r="Q724" i="1"/>
  <c r="N724" i="1"/>
  <c r="O724" i="1" s="1"/>
  <c r="M724" i="1"/>
  <c r="J724" i="1"/>
  <c r="K724" i="1" s="1"/>
  <c r="I724" i="1"/>
  <c r="F724" i="1"/>
  <c r="G724" i="1" s="1"/>
  <c r="E724" i="1"/>
  <c r="BN723" i="1"/>
  <c r="BL723" i="1"/>
  <c r="BJ723" i="1"/>
  <c r="BM723" i="1" s="1"/>
  <c r="BI723" i="1"/>
  <c r="BF723" i="1"/>
  <c r="BE723" i="1"/>
  <c r="BB723" i="1"/>
  <c r="BA723" i="1"/>
  <c r="AX723" i="1"/>
  <c r="AY723" i="1" s="1"/>
  <c r="AW723" i="1"/>
  <c r="AU723" i="1"/>
  <c r="AT723" i="1"/>
  <c r="AS723" i="1"/>
  <c r="AQ723" i="1"/>
  <c r="AP723" i="1"/>
  <c r="AO723" i="1"/>
  <c r="AM723" i="1"/>
  <c r="AL723" i="1"/>
  <c r="AK723" i="1"/>
  <c r="AH723" i="1"/>
  <c r="AI723" i="1" s="1"/>
  <c r="AG723" i="1"/>
  <c r="AD723" i="1"/>
  <c r="AE723" i="1" s="1"/>
  <c r="AC723" i="1"/>
  <c r="Z723" i="1"/>
  <c r="Y723" i="1"/>
  <c r="V723" i="1"/>
  <c r="U723" i="1"/>
  <c r="R723" i="1"/>
  <c r="S723" i="1" s="1"/>
  <c r="Q723" i="1"/>
  <c r="O723" i="1"/>
  <c r="N723" i="1"/>
  <c r="M723" i="1"/>
  <c r="K723" i="1"/>
  <c r="J723" i="1"/>
  <c r="I723" i="1"/>
  <c r="G723" i="1"/>
  <c r="F723" i="1"/>
  <c r="E723" i="1"/>
  <c r="BN722" i="1"/>
  <c r="BM722" i="1"/>
  <c r="BL722" i="1"/>
  <c r="BJ722" i="1"/>
  <c r="BI722" i="1"/>
  <c r="BG722" i="1"/>
  <c r="BF722" i="1"/>
  <c r="BE722" i="1"/>
  <c r="BB722" i="1"/>
  <c r="BC722" i="1" s="1"/>
  <c r="BA722" i="1"/>
  <c r="AX722" i="1"/>
  <c r="AY722" i="1" s="1"/>
  <c r="AW722" i="1"/>
  <c r="AT722" i="1"/>
  <c r="AS722" i="1"/>
  <c r="AP722" i="1"/>
  <c r="AO722" i="1"/>
  <c r="AL722" i="1"/>
  <c r="AM722" i="1" s="1"/>
  <c r="AK722" i="1"/>
  <c r="AI722" i="1"/>
  <c r="AH722" i="1"/>
  <c r="AG722" i="1"/>
  <c r="AE722" i="1"/>
  <c r="AD722" i="1"/>
  <c r="AC722" i="1"/>
  <c r="AA722" i="1"/>
  <c r="Z722" i="1"/>
  <c r="Y722" i="1"/>
  <c r="V722" i="1"/>
  <c r="W722" i="1" s="1"/>
  <c r="U722" i="1"/>
  <c r="R722" i="1"/>
  <c r="S722" i="1" s="1"/>
  <c r="Q722" i="1"/>
  <c r="N722" i="1"/>
  <c r="M722" i="1"/>
  <c r="J722" i="1"/>
  <c r="I722" i="1"/>
  <c r="F722" i="1"/>
  <c r="G722" i="1" s="1"/>
  <c r="E722" i="1"/>
  <c r="BN721" i="1"/>
  <c r="BL721" i="1"/>
  <c r="BJ721" i="1"/>
  <c r="BM721" i="1" s="1"/>
  <c r="BI721" i="1"/>
  <c r="BF721" i="1"/>
  <c r="BG721" i="1" s="1"/>
  <c r="BE721" i="1"/>
  <c r="BC721" i="1"/>
  <c r="BB721" i="1"/>
  <c r="BA721" i="1"/>
  <c r="AY721" i="1"/>
  <c r="AX721" i="1"/>
  <c r="AW721" i="1"/>
  <c r="AU721" i="1"/>
  <c r="AT721" i="1"/>
  <c r="AS721" i="1"/>
  <c r="AP721" i="1"/>
  <c r="AQ721" i="1" s="1"/>
  <c r="AO721" i="1"/>
  <c r="AL721" i="1"/>
  <c r="AM721" i="1" s="1"/>
  <c r="AK721" i="1"/>
  <c r="AH721" i="1"/>
  <c r="AG721" i="1"/>
  <c r="AD721" i="1"/>
  <c r="AC721" i="1"/>
  <c r="Z721" i="1"/>
  <c r="AA721" i="1" s="1"/>
  <c r="Y721" i="1"/>
  <c r="W721" i="1"/>
  <c r="V721" i="1"/>
  <c r="U721" i="1"/>
  <c r="S721" i="1"/>
  <c r="R721" i="1"/>
  <c r="Q721" i="1"/>
  <c r="O721" i="1"/>
  <c r="N721" i="1"/>
  <c r="M721" i="1"/>
  <c r="J721" i="1"/>
  <c r="K721" i="1" s="1"/>
  <c r="I721" i="1"/>
  <c r="F721" i="1"/>
  <c r="G721" i="1" s="1"/>
  <c r="E721" i="1"/>
  <c r="BN720" i="1"/>
  <c r="BM720" i="1"/>
  <c r="BL720" i="1"/>
  <c r="BJ720" i="1"/>
  <c r="BI720" i="1"/>
  <c r="BF720" i="1"/>
  <c r="BG720" i="1" s="1"/>
  <c r="BE720" i="1"/>
  <c r="BB720" i="1"/>
  <c r="BA720" i="1"/>
  <c r="AX720" i="1"/>
  <c r="AW720" i="1"/>
  <c r="AT720" i="1"/>
  <c r="AU720" i="1" s="1"/>
  <c r="AS720" i="1"/>
  <c r="AQ720" i="1"/>
  <c r="AP720" i="1"/>
  <c r="AO720" i="1"/>
  <c r="AM720" i="1"/>
  <c r="AL720" i="1"/>
  <c r="AK720" i="1"/>
  <c r="AI720" i="1"/>
  <c r="AH720" i="1"/>
  <c r="AG720" i="1"/>
  <c r="AD720" i="1"/>
  <c r="AE720" i="1" s="1"/>
  <c r="AC720" i="1"/>
  <c r="Z720" i="1"/>
  <c r="AA720" i="1" s="1"/>
  <c r="Y720" i="1"/>
  <c r="V720" i="1"/>
  <c r="U720" i="1"/>
  <c r="R720" i="1"/>
  <c r="Q720" i="1"/>
  <c r="N720" i="1"/>
  <c r="O720" i="1" s="1"/>
  <c r="M720" i="1"/>
  <c r="K720" i="1"/>
  <c r="J720" i="1"/>
  <c r="I720" i="1"/>
  <c r="G720" i="1"/>
  <c r="F720" i="1"/>
  <c r="E720" i="1"/>
  <c r="BN719" i="1"/>
  <c r="BM719" i="1" s="1"/>
  <c r="BL719" i="1"/>
  <c r="BJ719" i="1"/>
  <c r="BI719" i="1"/>
  <c r="BG719" i="1"/>
  <c r="BF719" i="1"/>
  <c r="BE719" i="1"/>
  <c r="BC719" i="1"/>
  <c r="BB719" i="1"/>
  <c r="BA719" i="1"/>
  <c r="AX719" i="1"/>
  <c r="AY719" i="1" s="1"/>
  <c r="AW719" i="1"/>
  <c r="AT719" i="1"/>
  <c r="AU719" i="1" s="1"/>
  <c r="AS719" i="1"/>
  <c r="AP719" i="1"/>
  <c r="AO719" i="1"/>
  <c r="AL719" i="1"/>
  <c r="AK719" i="1"/>
  <c r="AH719" i="1"/>
  <c r="AI719" i="1" s="1"/>
  <c r="AG719" i="1"/>
  <c r="AE719" i="1"/>
  <c r="AD719" i="1"/>
  <c r="AC719" i="1"/>
  <c r="AA719" i="1"/>
  <c r="Z719" i="1"/>
  <c r="Y719" i="1"/>
  <c r="W719" i="1"/>
  <c r="V719" i="1"/>
  <c r="U719" i="1"/>
  <c r="R719" i="1"/>
  <c r="S719" i="1" s="1"/>
  <c r="Q719" i="1"/>
  <c r="N719" i="1"/>
  <c r="O719" i="1" s="1"/>
  <c r="M719" i="1"/>
  <c r="J719" i="1"/>
  <c r="I719" i="1"/>
  <c r="F719" i="1"/>
  <c r="E719" i="1"/>
  <c r="BN718" i="1"/>
  <c r="BL718" i="1"/>
  <c r="BJ718" i="1"/>
  <c r="BI718" i="1"/>
  <c r="BF718" i="1"/>
  <c r="BE718" i="1"/>
  <c r="BB718" i="1"/>
  <c r="BC718" i="1" s="1"/>
  <c r="BA718" i="1"/>
  <c r="AY718" i="1"/>
  <c r="AX718" i="1"/>
  <c r="AW718" i="1"/>
  <c r="AU718" i="1"/>
  <c r="AT718" i="1"/>
  <c r="AS718" i="1"/>
  <c r="AQ718" i="1"/>
  <c r="AP718" i="1"/>
  <c r="AO718" i="1"/>
  <c r="AL718" i="1"/>
  <c r="AM718" i="1" s="1"/>
  <c r="AK718" i="1"/>
  <c r="AH718" i="1"/>
  <c r="AI718" i="1" s="1"/>
  <c r="AG718" i="1"/>
  <c r="AD718" i="1"/>
  <c r="AC718" i="1"/>
  <c r="Z718" i="1"/>
  <c r="Y718" i="1"/>
  <c r="V718" i="1"/>
  <c r="W718" i="1" s="1"/>
  <c r="U718" i="1"/>
  <c r="S718" i="1"/>
  <c r="R718" i="1"/>
  <c r="Q718" i="1"/>
  <c r="O718" i="1"/>
  <c r="N718" i="1"/>
  <c r="M718" i="1"/>
  <c r="K718" i="1"/>
  <c r="J718" i="1"/>
  <c r="I718" i="1"/>
  <c r="F718" i="1"/>
  <c r="G718" i="1" s="1"/>
  <c r="E718" i="1"/>
  <c r="BN717" i="1"/>
  <c r="BM717" i="1"/>
  <c r="BL717" i="1"/>
  <c r="BJ717" i="1"/>
  <c r="BI717" i="1"/>
  <c r="BF717" i="1"/>
  <c r="BG717" i="1" s="1"/>
  <c r="BE717" i="1"/>
  <c r="BB717" i="1"/>
  <c r="BC717" i="1" s="1"/>
  <c r="BA717" i="1"/>
  <c r="AX717" i="1"/>
  <c r="AW717" i="1"/>
  <c r="AT717" i="1"/>
  <c r="AS717" i="1"/>
  <c r="AP717" i="1"/>
  <c r="AQ717" i="1" s="1"/>
  <c r="AO717" i="1"/>
  <c r="AM717" i="1"/>
  <c r="AL717" i="1"/>
  <c r="AK717" i="1"/>
  <c r="AI717" i="1"/>
  <c r="AH717" i="1"/>
  <c r="AG717" i="1"/>
  <c r="AE717" i="1"/>
  <c r="AD717" i="1"/>
  <c r="AC717" i="1"/>
  <c r="Z717" i="1"/>
  <c r="AA717" i="1" s="1"/>
  <c r="Y717" i="1"/>
  <c r="V717" i="1"/>
  <c r="W717" i="1" s="1"/>
  <c r="U717" i="1"/>
  <c r="R717" i="1"/>
  <c r="Q717" i="1"/>
  <c r="N717" i="1"/>
  <c r="M717" i="1"/>
  <c r="J717" i="1"/>
  <c r="K717" i="1" s="1"/>
  <c r="I717" i="1"/>
  <c r="G717" i="1"/>
  <c r="F717" i="1"/>
  <c r="E717" i="1"/>
  <c r="BN716" i="1"/>
  <c r="BL716" i="1"/>
  <c r="BJ716" i="1"/>
  <c r="BM716" i="1" s="1"/>
  <c r="BI716" i="1"/>
  <c r="BG716" i="1"/>
  <c r="BF716" i="1"/>
  <c r="BE716" i="1"/>
  <c r="BC716" i="1"/>
  <c r="BB716" i="1"/>
  <c r="BA716" i="1"/>
  <c r="AY716" i="1"/>
  <c r="AX716" i="1"/>
  <c r="AW716" i="1"/>
  <c r="AT716" i="1"/>
  <c r="AU716" i="1" s="1"/>
  <c r="AS716" i="1"/>
  <c r="AP716" i="1"/>
  <c r="AQ716" i="1" s="1"/>
  <c r="AO716" i="1"/>
  <c r="AL716" i="1"/>
  <c r="AK716" i="1"/>
  <c r="AH716" i="1"/>
  <c r="AG716" i="1"/>
  <c r="AD716" i="1"/>
  <c r="AE716" i="1" s="1"/>
  <c r="AC716" i="1"/>
  <c r="AA716" i="1"/>
  <c r="Z716" i="1"/>
  <c r="Y716" i="1"/>
  <c r="W716" i="1"/>
  <c r="V716" i="1"/>
  <c r="U716" i="1"/>
  <c r="S716" i="1"/>
  <c r="R716" i="1"/>
  <c r="Q716" i="1"/>
  <c r="N716" i="1"/>
  <c r="O716" i="1" s="1"/>
  <c r="M716" i="1"/>
  <c r="J716" i="1"/>
  <c r="K716" i="1" s="1"/>
  <c r="I716" i="1"/>
  <c r="F716" i="1"/>
  <c r="G716" i="1" s="1"/>
  <c r="E716" i="1"/>
  <c r="BN715" i="1"/>
  <c r="BL715" i="1"/>
  <c r="BJ715" i="1"/>
  <c r="BM715" i="1" s="1"/>
  <c r="BI715" i="1"/>
  <c r="BF715" i="1"/>
  <c r="BE715" i="1"/>
  <c r="BB715" i="1"/>
  <c r="BA715" i="1"/>
  <c r="AX715" i="1"/>
  <c r="AY715" i="1" s="1"/>
  <c r="AW715" i="1"/>
  <c r="AU715" i="1"/>
  <c r="AT715" i="1"/>
  <c r="AS715" i="1"/>
  <c r="AQ715" i="1"/>
  <c r="AP715" i="1"/>
  <c r="AO715" i="1"/>
  <c r="AM715" i="1"/>
  <c r="AL715" i="1"/>
  <c r="AK715" i="1"/>
  <c r="AH715" i="1"/>
  <c r="AI715" i="1" s="1"/>
  <c r="AG715" i="1"/>
  <c r="AD715" i="1"/>
  <c r="AE715" i="1" s="1"/>
  <c r="AC715" i="1"/>
  <c r="Z715" i="1"/>
  <c r="Y715" i="1"/>
  <c r="V715" i="1"/>
  <c r="U715" i="1"/>
  <c r="R715" i="1"/>
  <c r="S715" i="1" s="1"/>
  <c r="Q715" i="1"/>
  <c r="O715" i="1"/>
  <c r="N715" i="1"/>
  <c r="M715" i="1"/>
  <c r="K715" i="1"/>
  <c r="J715" i="1"/>
  <c r="I715" i="1"/>
  <c r="G715" i="1"/>
  <c r="F715" i="1"/>
  <c r="E715" i="1"/>
  <c r="BN714" i="1"/>
  <c r="BM714" i="1"/>
  <c r="BL714" i="1"/>
  <c r="BJ714" i="1"/>
  <c r="BI714" i="1"/>
  <c r="BG714" i="1"/>
  <c r="BF714" i="1"/>
  <c r="BE714" i="1"/>
  <c r="BB714" i="1"/>
  <c r="BC714" i="1" s="1"/>
  <c r="BA714" i="1"/>
  <c r="AX714" i="1"/>
  <c r="AY714" i="1" s="1"/>
  <c r="AW714" i="1"/>
  <c r="AT714" i="1"/>
  <c r="AS714" i="1"/>
  <c r="AP714" i="1"/>
  <c r="AO714" i="1"/>
  <c r="AM714" i="1"/>
  <c r="AL714" i="1"/>
  <c r="AK714" i="1"/>
  <c r="AI714" i="1"/>
  <c r="AH714" i="1"/>
  <c r="AG714" i="1"/>
  <c r="AE714" i="1"/>
  <c r="AD714" i="1"/>
  <c r="AC714" i="1"/>
  <c r="AA714" i="1"/>
  <c r="Z714" i="1"/>
  <c r="Y714" i="1"/>
  <c r="V714" i="1"/>
  <c r="W714" i="1" s="1"/>
  <c r="U714" i="1"/>
  <c r="R714" i="1"/>
  <c r="S714" i="1" s="1"/>
  <c r="Q714" i="1"/>
  <c r="N714" i="1"/>
  <c r="M714" i="1"/>
  <c r="J714" i="1"/>
  <c r="I714" i="1"/>
  <c r="G714" i="1"/>
  <c r="F714" i="1"/>
  <c r="E714" i="1"/>
  <c r="BN713" i="1"/>
  <c r="BL713" i="1"/>
  <c r="BJ713" i="1"/>
  <c r="BM713" i="1" s="1"/>
  <c r="BI713" i="1"/>
  <c r="BG713" i="1"/>
  <c r="BF713" i="1"/>
  <c r="BE713" i="1"/>
  <c r="BC713" i="1"/>
  <c r="BB713" i="1"/>
  <c r="BA713" i="1"/>
  <c r="AY713" i="1"/>
  <c r="AX713" i="1"/>
  <c r="AW713" i="1"/>
  <c r="AU713" i="1"/>
  <c r="AT713" i="1"/>
  <c r="AS713" i="1"/>
  <c r="AP713" i="1"/>
  <c r="AQ713" i="1" s="1"/>
  <c r="AO713" i="1"/>
  <c r="AL713" i="1"/>
  <c r="AM713" i="1" s="1"/>
  <c r="AK713" i="1"/>
  <c r="AH713" i="1"/>
  <c r="AG713" i="1"/>
  <c r="AD713" i="1"/>
  <c r="AC713" i="1"/>
  <c r="AA713" i="1"/>
  <c r="Z713" i="1"/>
  <c r="Y713" i="1"/>
  <c r="W713" i="1"/>
  <c r="V713" i="1"/>
  <c r="U713" i="1"/>
  <c r="S713" i="1"/>
  <c r="R713" i="1"/>
  <c r="Q713" i="1"/>
  <c r="O713" i="1"/>
  <c r="N713" i="1"/>
  <c r="M713" i="1"/>
  <c r="J713" i="1"/>
  <c r="K713" i="1" s="1"/>
  <c r="I713" i="1"/>
  <c r="F713" i="1"/>
  <c r="G713" i="1" s="1"/>
  <c r="E713" i="1"/>
  <c r="BN712" i="1"/>
  <c r="BM712" i="1"/>
  <c r="BL712" i="1"/>
  <c r="BJ712" i="1"/>
  <c r="BI712" i="1"/>
  <c r="BF712" i="1"/>
  <c r="BG712" i="1" s="1"/>
  <c r="BE712" i="1"/>
  <c r="BB712" i="1"/>
  <c r="BA712" i="1"/>
  <c r="AX712" i="1"/>
  <c r="AW712" i="1"/>
  <c r="AU712" i="1"/>
  <c r="AT712" i="1"/>
  <c r="AS712" i="1"/>
  <c r="AQ712" i="1"/>
  <c r="AP712" i="1"/>
  <c r="AO712" i="1"/>
  <c r="AM712" i="1"/>
  <c r="AL712" i="1"/>
  <c r="AK712" i="1"/>
  <c r="AI712" i="1"/>
  <c r="AH712" i="1"/>
  <c r="AG712" i="1"/>
  <c r="AD712" i="1"/>
  <c r="AE712" i="1" s="1"/>
  <c r="AC712" i="1"/>
  <c r="Z712" i="1"/>
  <c r="AA712" i="1" s="1"/>
  <c r="Y712" i="1"/>
  <c r="V712" i="1"/>
  <c r="U712" i="1"/>
  <c r="R712" i="1"/>
  <c r="Q712" i="1"/>
  <c r="O712" i="1"/>
  <c r="N712" i="1"/>
  <c r="M712" i="1"/>
  <c r="K712" i="1"/>
  <c r="J712" i="1"/>
  <c r="I712" i="1"/>
  <c r="G712" i="1"/>
  <c r="F712" i="1"/>
  <c r="E712" i="1"/>
  <c r="BN711" i="1"/>
  <c r="BL711" i="1"/>
  <c r="BJ711" i="1"/>
  <c r="BM711" i="1" s="1"/>
  <c r="BI711" i="1"/>
  <c r="BG711" i="1"/>
  <c r="BF711" i="1"/>
  <c r="BE711" i="1"/>
  <c r="BC711" i="1"/>
  <c r="BB711" i="1"/>
  <c r="BA711" i="1"/>
  <c r="AX711" i="1"/>
  <c r="AY711" i="1" s="1"/>
  <c r="AW711" i="1"/>
  <c r="AT711" i="1"/>
  <c r="AU711" i="1" s="1"/>
  <c r="AS711" i="1"/>
  <c r="AP711" i="1"/>
  <c r="AO711" i="1"/>
  <c r="AL711" i="1"/>
  <c r="AK711" i="1"/>
  <c r="AI711" i="1"/>
  <c r="AH711" i="1"/>
  <c r="AG711" i="1"/>
  <c r="AE711" i="1"/>
  <c r="AD711" i="1"/>
  <c r="AC711" i="1"/>
  <c r="AA711" i="1"/>
  <c r="Z711" i="1"/>
  <c r="Y711" i="1"/>
  <c r="W711" i="1"/>
  <c r="V711" i="1"/>
  <c r="U711" i="1"/>
  <c r="R711" i="1"/>
  <c r="S711" i="1" s="1"/>
  <c r="Q711" i="1"/>
  <c r="N711" i="1"/>
  <c r="O711" i="1" s="1"/>
  <c r="M711" i="1"/>
  <c r="J711" i="1"/>
  <c r="I711" i="1"/>
  <c r="F711" i="1"/>
  <c r="E711" i="1"/>
  <c r="BN710" i="1"/>
  <c r="BL710" i="1"/>
  <c r="BJ710" i="1"/>
  <c r="BI710" i="1"/>
  <c r="BF710" i="1"/>
  <c r="BE710" i="1"/>
  <c r="BC710" i="1"/>
  <c r="BB710" i="1"/>
  <c r="BA710" i="1"/>
  <c r="AY710" i="1"/>
  <c r="AX710" i="1"/>
  <c r="AW710" i="1"/>
  <c r="AU710" i="1"/>
  <c r="AT710" i="1"/>
  <c r="AS710" i="1"/>
  <c r="AQ710" i="1"/>
  <c r="AP710" i="1"/>
  <c r="AO710" i="1"/>
  <c r="AL710" i="1"/>
  <c r="AM710" i="1" s="1"/>
  <c r="AK710" i="1"/>
  <c r="AH710" i="1"/>
  <c r="AI710" i="1" s="1"/>
  <c r="AG710" i="1"/>
  <c r="AD710" i="1"/>
  <c r="AC710" i="1"/>
  <c r="Z710" i="1"/>
  <c r="Y710" i="1"/>
  <c r="W710" i="1"/>
  <c r="V710" i="1"/>
  <c r="U710" i="1"/>
  <c r="S710" i="1"/>
  <c r="R710" i="1"/>
  <c r="Q710" i="1"/>
  <c r="O710" i="1"/>
  <c r="N710" i="1"/>
  <c r="M710" i="1"/>
  <c r="K710" i="1"/>
  <c r="J710" i="1"/>
  <c r="I710" i="1"/>
  <c r="F710" i="1"/>
  <c r="G710" i="1" s="1"/>
  <c r="E710" i="1"/>
  <c r="BN709" i="1"/>
  <c r="BM709" i="1"/>
  <c r="BL709" i="1"/>
  <c r="BJ709" i="1"/>
  <c r="BI709" i="1"/>
  <c r="BF709" i="1"/>
  <c r="BG709" i="1" s="1"/>
  <c r="BE709" i="1"/>
  <c r="BB709" i="1"/>
  <c r="BC709" i="1" s="1"/>
  <c r="BA709" i="1"/>
  <c r="AX709" i="1"/>
  <c r="AW709" i="1"/>
  <c r="AT709" i="1"/>
  <c r="AS709" i="1"/>
  <c r="AQ709" i="1"/>
  <c r="AP709" i="1"/>
  <c r="AO709" i="1"/>
  <c r="AM709" i="1"/>
  <c r="AL709" i="1"/>
  <c r="AK709" i="1"/>
  <c r="AI709" i="1"/>
  <c r="AH709" i="1"/>
  <c r="AG709" i="1"/>
  <c r="AE709" i="1"/>
  <c r="AD709" i="1"/>
  <c r="AC709" i="1"/>
  <c r="Z709" i="1"/>
  <c r="AA709" i="1" s="1"/>
  <c r="Y709" i="1"/>
  <c r="V709" i="1"/>
  <c r="W709" i="1" s="1"/>
  <c r="U709" i="1"/>
  <c r="R709" i="1"/>
  <c r="Q709" i="1"/>
  <c r="N709" i="1"/>
  <c r="M709" i="1"/>
  <c r="K709" i="1"/>
  <c r="J709" i="1"/>
  <c r="I709" i="1"/>
  <c r="G709" i="1"/>
  <c r="F709" i="1"/>
  <c r="E709" i="1"/>
  <c r="BN708" i="1"/>
  <c r="BL708" i="1"/>
  <c r="BJ708" i="1"/>
  <c r="BM708" i="1" s="1"/>
  <c r="BI708" i="1"/>
  <c r="BG708" i="1"/>
  <c r="BF708" i="1"/>
  <c r="BE708" i="1"/>
  <c r="BC708" i="1"/>
  <c r="BB708" i="1"/>
  <c r="BA708" i="1"/>
  <c r="AY708" i="1"/>
  <c r="AX708" i="1"/>
  <c r="AW708" i="1"/>
  <c r="AT708" i="1"/>
  <c r="AU708" i="1" s="1"/>
  <c r="AS708" i="1"/>
  <c r="AP708" i="1"/>
  <c r="AQ708" i="1" s="1"/>
  <c r="AO708" i="1"/>
  <c r="AL708" i="1"/>
  <c r="AK708" i="1"/>
  <c r="AH708" i="1"/>
  <c r="AG708" i="1"/>
  <c r="AE708" i="1"/>
  <c r="AD708" i="1"/>
  <c r="AC708" i="1"/>
  <c r="AA708" i="1"/>
  <c r="Z708" i="1"/>
  <c r="Y708" i="1"/>
  <c r="W708" i="1"/>
  <c r="V708" i="1"/>
  <c r="U708" i="1"/>
  <c r="S708" i="1"/>
  <c r="R708" i="1"/>
  <c r="Q708" i="1"/>
  <c r="N708" i="1"/>
  <c r="O708" i="1" s="1"/>
  <c r="M708" i="1"/>
  <c r="J708" i="1"/>
  <c r="K708" i="1" s="1"/>
  <c r="I708" i="1"/>
  <c r="F708" i="1"/>
  <c r="G708" i="1" s="1"/>
  <c r="E708" i="1"/>
  <c r="BN707" i="1"/>
  <c r="BL707" i="1"/>
  <c r="BJ707" i="1"/>
  <c r="BM707" i="1" s="1"/>
  <c r="BI707" i="1"/>
  <c r="BF707" i="1"/>
  <c r="BE707" i="1"/>
  <c r="BB707" i="1"/>
  <c r="BA707" i="1"/>
  <c r="AX707" i="1"/>
  <c r="AY707" i="1" s="1"/>
  <c r="AW707" i="1"/>
  <c r="AU707" i="1"/>
  <c r="AT707" i="1"/>
  <c r="AS707" i="1"/>
  <c r="AQ707" i="1"/>
  <c r="AP707" i="1"/>
  <c r="AO707" i="1"/>
  <c r="AM707" i="1"/>
  <c r="AL707" i="1"/>
  <c r="AK707" i="1"/>
  <c r="AH707" i="1"/>
  <c r="AI707" i="1" s="1"/>
  <c r="AG707" i="1"/>
  <c r="AD707" i="1"/>
  <c r="AE707" i="1" s="1"/>
  <c r="AC707" i="1"/>
  <c r="Z707" i="1"/>
  <c r="Y707" i="1"/>
  <c r="V707" i="1"/>
  <c r="U707" i="1"/>
  <c r="S707" i="1"/>
  <c r="R707" i="1"/>
  <c r="Q707" i="1"/>
  <c r="O707" i="1"/>
  <c r="N707" i="1"/>
  <c r="M707" i="1"/>
  <c r="K707" i="1"/>
  <c r="J707" i="1"/>
  <c r="I707" i="1"/>
  <c r="G707" i="1"/>
  <c r="F707" i="1"/>
  <c r="E707" i="1"/>
  <c r="BN706" i="1"/>
  <c r="BM706" i="1"/>
  <c r="BL706" i="1"/>
  <c r="BJ706" i="1"/>
  <c r="BI706" i="1"/>
  <c r="BG706" i="1"/>
  <c r="BF706" i="1"/>
  <c r="BE706" i="1"/>
  <c r="BB706" i="1"/>
  <c r="BC706" i="1" s="1"/>
  <c r="BA706" i="1"/>
  <c r="AX706" i="1"/>
  <c r="AY706" i="1" s="1"/>
  <c r="AW706" i="1"/>
  <c r="AT706" i="1"/>
  <c r="AS706" i="1"/>
  <c r="AP706" i="1"/>
  <c r="AO706" i="1"/>
  <c r="AM706" i="1"/>
  <c r="AL706" i="1"/>
  <c r="AK706" i="1"/>
  <c r="AI706" i="1"/>
  <c r="AH706" i="1"/>
  <c r="AG706" i="1"/>
  <c r="AE706" i="1"/>
  <c r="AD706" i="1"/>
  <c r="AC706" i="1"/>
  <c r="AA706" i="1"/>
  <c r="Z706" i="1"/>
  <c r="Y706" i="1"/>
  <c r="V706" i="1"/>
  <c r="W706" i="1" s="1"/>
  <c r="U706" i="1"/>
  <c r="R706" i="1"/>
  <c r="S706" i="1" s="1"/>
  <c r="Q706" i="1"/>
  <c r="N706" i="1"/>
  <c r="M706" i="1"/>
  <c r="J706" i="1"/>
  <c r="I706" i="1"/>
  <c r="G706" i="1"/>
  <c r="F706" i="1"/>
  <c r="E706" i="1"/>
  <c r="BN705" i="1"/>
  <c r="BL705" i="1"/>
  <c r="BJ705" i="1"/>
  <c r="BI705" i="1"/>
  <c r="BG705" i="1"/>
  <c r="BF705" i="1"/>
  <c r="BE705" i="1"/>
  <c r="BC705" i="1"/>
  <c r="BB705" i="1"/>
  <c r="BA705" i="1"/>
  <c r="AY705" i="1"/>
  <c r="AX705" i="1"/>
  <c r="AW705" i="1"/>
  <c r="AU705" i="1"/>
  <c r="AT705" i="1"/>
  <c r="AS705" i="1"/>
  <c r="AP705" i="1"/>
  <c r="AQ705" i="1" s="1"/>
  <c r="AO705" i="1"/>
  <c r="AL705" i="1"/>
  <c r="AM705" i="1" s="1"/>
  <c r="AK705" i="1"/>
  <c r="AH705" i="1"/>
  <c r="AG705" i="1"/>
  <c r="AD705" i="1"/>
  <c r="AC705" i="1"/>
  <c r="AA705" i="1"/>
  <c r="Z705" i="1"/>
  <c r="Y705" i="1"/>
  <c r="W705" i="1"/>
  <c r="V705" i="1"/>
  <c r="U705" i="1"/>
  <c r="S705" i="1"/>
  <c r="R705" i="1"/>
  <c r="Q705" i="1"/>
  <c r="O705" i="1"/>
  <c r="N705" i="1"/>
  <c r="M705" i="1"/>
  <c r="J705" i="1"/>
  <c r="K705" i="1" s="1"/>
  <c r="I705" i="1"/>
  <c r="F705" i="1"/>
  <c r="G705" i="1" s="1"/>
  <c r="E705" i="1"/>
  <c r="BN704" i="1"/>
  <c r="BM704" i="1"/>
  <c r="BL704" i="1"/>
  <c r="BJ704" i="1"/>
  <c r="BI704" i="1"/>
  <c r="BF704" i="1"/>
  <c r="BG704" i="1" s="1"/>
  <c r="BE704" i="1"/>
  <c r="BB704" i="1"/>
  <c r="BA704" i="1"/>
  <c r="AX704" i="1"/>
  <c r="AW704" i="1"/>
  <c r="AU704" i="1"/>
  <c r="AT704" i="1"/>
  <c r="AS704" i="1"/>
  <c r="AQ704" i="1"/>
  <c r="AP704" i="1"/>
  <c r="AO704" i="1"/>
  <c r="AM704" i="1"/>
  <c r="AL704" i="1"/>
  <c r="AK704" i="1"/>
  <c r="AI704" i="1"/>
  <c r="AH704" i="1"/>
  <c r="AG704" i="1"/>
  <c r="AD704" i="1"/>
  <c r="AE704" i="1" s="1"/>
  <c r="AC704" i="1"/>
  <c r="Z704" i="1"/>
  <c r="AA704" i="1" s="1"/>
  <c r="Y704" i="1"/>
  <c r="V704" i="1"/>
  <c r="U704" i="1"/>
  <c r="R704" i="1"/>
  <c r="Q704" i="1"/>
  <c r="N704" i="1"/>
  <c r="O704" i="1" s="1"/>
  <c r="M704" i="1"/>
  <c r="K704" i="1"/>
  <c r="J704" i="1"/>
  <c r="I704" i="1"/>
  <c r="G704" i="1"/>
  <c r="F704" i="1"/>
  <c r="E704" i="1"/>
  <c r="BN703" i="1"/>
  <c r="BL703" i="1"/>
  <c r="BJ703" i="1"/>
  <c r="BM703" i="1" s="1"/>
  <c r="BI703" i="1"/>
  <c r="BG703" i="1"/>
  <c r="BF703" i="1"/>
  <c r="BE703" i="1"/>
  <c r="BC703" i="1"/>
  <c r="BB703" i="1"/>
  <c r="BA703" i="1"/>
  <c r="AX703" i="1"/>
  <c r="AY703" i="1" s="1"/>
  <c r="AW703" i="1"/>
  <c r="AT703" i="1"/>
  <c r="AU703" i="1" s="1"/>
  <c r="AS703" i="1"/>
  <c r="AP703" i="1"/>
  <c r="AO703" i="1"/>
  <c r="AL703" i="1"/>
  <c r="AK703" i="1"/>
  <c r="AI703" i="1"/>
  <c r="AH703" i="1"/>
  <c r="AG703" i="1"/>
  <c r="AE703" i="1"/>
  <c r="AD703" i="1"/>
  <c r="AC703" i="1"/>
  <c r="AA703" i="1"/>
  <c r="Z703" i="1"/>
  <c r="Y703" i="1"/>
  <c r="W703" i="1"/>
  <c r="V703" i="1"/>
  <c r="U703" i="1"/>
  <c r="R703" i="1"/>
  <c r="S703" i="1" s="1"/>
  <c r="Q703" i="1"/>
  <c r="N703" i="1"/>
  <c r="O703" i="1" s="1"/>
  <c r="M703" i="1"/>
  <c r="J703" i="1"/>
  <c r="I703" i="1"/>
  <c r="F703" i="1"/>
  <c r="E703" i="1"/>
  <c r="BN702" i="1"/>
  <c r="BL702" i="1"/>
  <c r="BJ702" i="1"/>
  <c r="BI702" i="1"/>
  <c r="BF702" i="1"/>
  <c r="BE702" i="1"/>
  <c r="BC702" i="1"/>
  <c r="BB702" i="1"/>
  <c r="BA702" i="1"/>
  <c r="AY702" i="1"/>
  <c r="AX702" i="1"/>
  <c r="AW702" i="1"/>
  <c r="AU702" i="1"/>
  <c r="AT702" i="1"/>
  <c r="AS702" i="1"/>
  <c r="AQ702" i="1"/>
  <c r="AP702" i="1"/>
  <c r="AO702" i="1"/>
  <c r="AL702" i="1"/>
  <c r="AM702" i="1" s="1"/>
  <c r="AK702" i="1"/>
  <c r="AH702" i="1"/>
  <c r="AI702" i="1" s="1"/>
  <c r="AG702" i="1"/>
  <c r="AD702" i="1"/>
  <c r="AC702" i="1"/>
  <c r="Z702" i="1"/>
  <c r="Y702" i="1"/>
  <c r="W702" i="1"/>
  <c r="V702" i="1"/>
  <c r="U702" i="1"/>
  <c r="S702" i="1"/>
  <c r="R702" i="1"/>
  <c r="Q702" i="1"/>
  <c r="O702" i="1"/>
  <c r="N702" i="1"/>
  <c r="M702" i="1"/>
  <c r="K702" i="1"/>
  <c r="J702" i="1"/>
  <c r="I702" i="1"/>
  <c r="F702" i="1"/>
  <c r="G702" i="1" s="1"/>
  <c r="E702" i="1"/>
  <c r="BN701" i="1"/>
  <c r="BL701" i="1"/>
  <c r="BK701" i="1"/>
  <c r="BJ701" i="1"/>
  <c r="BI701" i="1"/>
  <c r="BF701" i="1"/>
  <c r="BE701" i="1"/>
  <c r="BC701" i="1"/>
  <c r="BB701" i="1"/>
  <c r="BA701" i="1"/>
  <c r="AY701" i="1"/>
  <c r="AX701" i="1"/>
  <c r="AW701" i="1"/>
  <c r="AU701" i="1"/>
  <c r="AT701" i="1"/>
  <c r="AS701" i="1"/>
  <c r="AQ701" i="1"/>
  <c r="AP701" i="1"/>
  <c r="AO701" i="1"/>
  <c r="AL701" i="1"/>
  <c r="AM701" i="1" s="1"/>
  <c r="AK701" i="1"/>
  <c r="AH701" i="1"/>
  <c r="AI701" i="1" s="1"/>
  <c r="AG701" i="1"/>
  <c r="AF701" i="1"/>
  <c r="AE701" i="1"/>
  <c r="AD701" i="1"/>
  <c r="AC701" i="1"/>
  <c r="AA701" i="1"/>
  <c r="Z701" i="1"/>
  <c r="Y701" i="1"/>
  <c r="X701" i="1"/>
  <c r="V701" i="1"/>
  <c r="W701" i="1" s="1"/>
  <c r="U701" i="1"/>
  <c r="S701" i="1"/>
  <c r="R701" i="1"/>
  <c r="P701" i="1"/>
  <c r="Q701" i="1" s="1"/>
  <c r="O701" i="1"/>
  <c r="N701" i="1"/>
  <c r="M701" i="1"/>
  <c r="J701" i="1"/>
  <c r="K701" i="1" s="1"/>
  <c r="I701" i="1"/>
  <c r="F701" i="1"/>
  <c r="G701" i="1" s="1"/>
  <c r="E701" i="1"/>
  <c r="BN700" i="1"/>
  <c r="BM700" i="1"/>
  <c r="BK700" i="1"/>
  <c r="BL700" i="1" s="1"/>
  <c r="BJ700" i="1"/>
  <c r="BI700" i="1"/>
  <c r="BG700" i="1"/>
  <c r="BF700" i="1"/>
  <c r="BE700" i="1"/>
  <c r="BC700" i="1"/>
  <c r="BB700" i="1"/>
  <c r="BA700" i="1"/>
  <c r="AY700" i="1"/>
  <c r="AX700" i="1"/>
  <c r="AW700" i="1"/>
  <c r="AU700" i="1"/>
  <c r="AT700" i="1"/>
  <c r="AS700" i="1"/>
  <c r="AP700" i="1"/>
  <c r="AQ700" i="1" s="1"/>
  <c r="AO700" i="1"/>
  <c r="AL700" i="1"/>
  <c r="AK700" i="1"/>
  <c r="AH700" i="1"/>
  <c r="AF700" i="1"/>
  <c r="AG700" i="1" s="1"/>
  <c r="AD700" i="1"/>
  <c r="AC700" i="1"/>
  <c r="AA700" i="1"/>
  <c r="Z700" i="1"/>
  <c r="Y700" i="1"/>
  <c r="X700" i="1"/>
  <c r="W700" i="1"/>
  <c r="V700" i="1"/>
  <c r="U700" i="1"/>
  <c r="S700" i="1"/>
  <c r="R700" i="1"/>
  <c r="P700" i="1"/>
  <c r="Q700" i="1" s="1"/>
  <c r="N700" i="1"/>
  <c r="O700" i="1" s="1"/>
  <c r="M700" i="1"/>
  <c r="J700" i="1"/>
  <c r="K700" i="1" s="1"/>
  <c r="I700" i="1"/>
  <c r="F700" i="1"/>
  <c r="G700" i="1" s="1"/>
  <c r="E700" i="1"/>
  <c r="BN699" i="1"/>
  <c r="BK699" i="1"/>
  <c r="BL699" i="1" s="1"/>
  <c r="BJ699" i="1"/>
  <c r="BI699" i="1"/>
  <c r="BG699" i="1"/>
  <c r="BF699" i="1"/>
  <c r="BE699" i="1"/>
  <c r="BC699" i="1"/>
  <c r="BB699" i="1"/>
  <c r="BA699" i="1"/>
  <c r="AY699" i="1"/>
  <c r="AX699" i="1"/>
  <c r="AW699" i="1"/>
  <c r="AT699" i="1"/>
  <c r="AU699" i="1" s="1"/>
  <c r="AS699" i="1"/>
  <c r="AP699" i="1"/>
  <c r="AQ699" i="1" s="1"/>
  <c r="AO699" i="1"/>
  <c r="AL699" i="1"/>
  <c r="AM699" i="1" s="1"/>
  <c r="AK699" i="1"/>
  <c r="AH699" i="1"/>
  <c r="AF699" i="1"/>
  <c r="AG699" i="1" s="1"/>
  <c r="AE699" i="1"/>
  <c r="AD699" i="1"/>
  <c r="AC699" i="1"/>
  <c r="Z699" i="1"/>
  <c r="Y699" i="1"/>
  <c r="X699" i="1"/>
  <c r="V699" i="1"/>
  <c r="U699" i="1"/>
  <c r="S699" i="1"/>
  <c r="R699" i="1"/>
  <c r="Q699" i="1"/>
  <c r="P699" i="1"/>
  <c r="N699" i="1"/>
  <c r="O699" i="1" s="1"/>
  <c r="M699" i="1"/>
  <c r="J699" i="1"/>
  <c r="I699" i="1"/>
  <c r="F699" i="1"/>
  <c r="E699" i="1"/>
  <c r="BN698" i="1"/>
  <c r="BL698" i="1"/>
  <c r="BJ698" i="1"/>
  <c r="BM698" i="1" s="1"/>
  <c r="BI698" i="1"/>
  <c r="BG698" i="1"/>
  <c r="BF698" i="1"/>
  <c r="BE698" i="1"/>
  <c r="BB698" i="1"/>
  <c r="BC698" i="1" s="1"/>
  <c r="BA698" i="1"/>
  <c r="AY698" i="1"/>
  <c r="AX698" i="1"/>
  <c r="AW698" i="1"/>
  <c r="AU698" i="1"/>
  <c r="AT698" i="1"/>
  <c r="AS698" i="1"/>
  <c r="AQ698" i="1"/>
  <c r="AP698" i="1"/>
  <c r="AO698" i="1"/>
  <c r="AL698" i="1"/>
  <c r="AM698" i="1" s="1"/>
  <c r="AK698" i="1"/>
  <c r="AH698" i="1"/>
  <c r="AI698" i="1" s="1"/>
  <c r="AG698" i="1"/>
  <c r="AD698" i="1"/>
  <c r="AE698" i="1" s="1"/>
  <c r="AC698" i="1"/>
  <c r="Z698" i="1"/>
  <c r="Y698" i="1"/>
  <c r="V698" i="1"/>
  <c r="W698" i="1" s="1"/>
  <c r="U698" i="1"/>
  <c r="S698" i="1"/>
  <c r="R698" i="1"/>
  <c r="Q698" i="1"/>
  <c r="O698" i="1"/>
  <c r="N698" i="1"/>
  <c r="M698" i="1"/>
  <c r="K698" i="1"/>
  <c r="J698" i="1"/>
  <c r="I698" i="1"/>
  <c r="F698" i="1"/>
  <c r="G698" i="1" s="1"/>
  <c r="E698" i="1"/>
  <c r="BN697" i="1"/>
  <c r="BM697" i="1"/>
  <c r="BL697" i="1"/>
  <c r="BJ697" i="1"/>
  <c r="BI697" i="1"/>
  <c r="BF697" i="1"/>
  <c r="BG697" i="1" s="1"/>
  <c r="BE697" i="1"/>
  <c r="BB697" i="1"/>
  <c r="BC697" i="1" s="1"/>
  <c r="BA697" i="1"/>
  <c r="AX697" i="1"/>
  <c r="AY697" i="1" s="1"/>
  <c r="AW697" i="1"/>
  <c r="AU697" i="1"/>
  <c r="AT697" i="1"/>
  <c r="AS697" i="1"/>
  <c r="AQ697" i="1"/>
  <c r="AP697" i="1"/>
  <c r="AO697" i="1"/>
  <c r="AM697" i="1"/>
  <c r="AL697" i="1"/>
  <c r="AK697" i="1"/>
  <c r="AI697" i="1"/>
  <c r="AH697" i="1"/>
  <c r="AG697" i="1"/>
  <c r="AE697" i="1"/>
  <c r="AD697" i="1"/>
  <c r="AC697" i="1"/>
  <c r="Z697" i="1"/>
  <c r="AA697" i="1" s="1"/>
  <c r="Y697" i="1"/>
  <c r="V697" i="1"/>
  <c r="W697" i="1" s="1"/>
  <c r="U697" i="1"/>
  <c r="R697" i="1"/>
  <c r="S697" i="1" s="1"/>
  <c r="Q697" i="1"/>
  <c r="N697" i="1"/>
  <c r="M697" i="1"/>
  <c r="K697" i="1"/>
  <c r="J697" i="1"/>
  <c r="I697" i="1"/>
  <c r="G697" i="1"/>
  <c r="F697" i="1"/>
  <c r="E697" i="1"/>
  <c r="BN696" i="1"/>
  <c r="BL696" i="1"/>
  <c r="BJ696" i="1"/>
  <c r="BM696" i="1" s="1"/>
  <c r="BI696" i="1"/>
  <c r="BG696" i="1"/>
  <c r="BF696" i="1"/>
  <c r="BE696" i="1"/>
  <c r="BC696" i="1"/>
  <c r="BB696" i="1"/>
  <c r="BA696" i="1"/>
  <c r="AY696" i="1"/>
  <c r="AX696" i="1"/>
  <c r="AW696" i="1"/>
  <c r="AT696" i="1"/>
  <c r="AU696" i="1" s="1"/>
  <c r="AS696" i="1"/>
  <c r="AP696" i="1"/>
  <c r="AO696" i="1"/>
  <c r="AL696" i="1"/>
  <c r="AM696" i="1" s="1"/>
  <c r="AK696" i="1"/>
  <c r="AI696" i="1"/>
  <c r="AH696" i="1"/>
  <c r="AG696" i="1"/>
  <c r="AE696" i="1"/>
  <c r="AD696" i="1"/>
  <c r="AC696" i="1"/>
  <c r="AA696" i="1"/>
  <c r="Z696" i="1"/>
  <c r="Y696" i="1"/>
  <c r="W696" i="1"/>
  <c r="V696" i="1"/>
  <c r="U696" i="1"/>
  <c r="S696" i="1"/>
  <c r="R696" i="1"/>
  <c r="Q696" i="1"/>
  <c r="N696" i="1"/>
  <c r="O696" i="1" s="1"/>
  <c r="M696" i="1"/>
  <c r="J696" i="1"/>
  <c r="I696" i="1"/>
  <c r="F696" i="1"/>
  <c r="G696" i="1" s="1"/>
  <c r="E696" i="1"/>
  <c r="BN695" i="1"/>
  <c r="BL695" i="1"/>
  <c r="BJ695" i="1"/>
  <c r="BM695" i="1" s="1"/>
  <c r="BI695" i="1"/>
  <c r="BF695" i="1"/>
  <c r="BG695" i="1" s="1"/>
  <c r="BE695" i="1"/>
  <c r="BC695" i="1"/>
  <c r="BB695" i="1"/>
  <c r="BA695" i="1"/>
  <c r="AY695" i="1"/>
  <c r="AX695" i="1"/>
  <c r="AW695" i="1"/>
  <c r="AU695" i="1"/>
  <c r="AT695" i="1"/>
  <c r="AS695" i="1"/>
  <c r="AQ695" i="1"/>
  <c r="AP695" i="1"/>
  <c r="AO695" i="1"/>
  <c r="AM695" i="1"/>
  <c r="AL695" i="1"/>
  <c r="AK695" i="1"/>
  <c r="AH695" i="1"/>
  <c r="AI695" i="1" s="1"/>
  <c r="AG695" i="1"/>
  <c r="AD695" i="1"/>
  <c r="AC695" i="1"/>
  <c r="Z695" i="1"/>
  <c r="AA695" i="1" s="1"/>
  <c r="Y695" i="1"/>
  <c r="W695" i="1"/>
  <c r="V695" i="1"/>
  <c r="U695" i="1"/>
  <c r="S695" i="1"/>
  <c r="R695" i="1"/>
  <c r="Q695" i="1"/>
  <c r="O695" i="1"/>
  <c r="N695" i="1"/>
  <c r="M695" i="1"/>
  <c r="K695" i="1"/>
  <c r="J695" i="1"/>
  <c r="I695" i="1"/>
  <c r="G695" i="1"/>
  <c r="F695" i="1"/>
  <c r="E695" i="1"/>
  <c r="BN694" i="1"/>
  <c r="BM694" i="1"/>
  <c r="BL694" i="1"/>
  <c r="BJ694" i="1"/>
  <c r="BI694" i="1"/>
  <c r="BG694" i="1"/>
  <c r="BF694" i="1"/>
  <c r="BE694" i="1"/>
  <c r="BB694" i="1"/>
  <c r="BC694" i="1" s="1"/>
  <c r="BA694" i="1"/>
  <c r="AX694" i="1"/>
  <c r="AW694" i="1"/>
  <c r="AT694" i="1"/>
  <c r="AU694" i="1" s="1"/>
  <c r="AS694" i="1"/>
  <c r="AP694" i="1"/>
  <c r="AO694" i="1"/>
  <c r="AM694" i="1"/>
  <c r="AL694" i="1"/>
  <c r="AK694" i="1"/>
  <c r="AI694" i="1"/>
  <c r="AH694" i="1"/>
  <c r="AG694" i="1"/>
  <c r="AE694" i="1"/>
  <c r="AD694" i="1"/>
  <c r="AC694" i="1"/>
  <c r="AA694" i="1"/>
  <c r="Z694" i="1"/>
  <c r="Y694" i="1"/>
  <c r="V694" i="1"/>
  <c r="W694" i="1" s="1"/>
  <c r="U694" i="1"/>
  <c r="R694" i="1"/>
  <c r="S694" i="1" s="1"/>
  <c r="Q694" i="1"/>
  <c r="N694" i="1"/>
  <c r="O694" i="1" s="1"/>
  <c r="M694" i="1"/>
  <c r="K694" i="1"/>
  <c r="J694" i="1"/>
  <c r="I694" i="1"/>
  <c r="G694" i="1"/>
  <c r="F694" i="1"/>
  <c r="E694" i="1"/>
  <c r="BN693" i="1"/>
  <c r="BL693" i="1"/>
  <c r="BJ693" i="1"/>
  <c r="BM693" i="1" s="1"/>
  <c r="BI693" i="1"/>
  <c r="BF693" i="1"/>
  <c r="BG693" i="1" s="1"/>
  <c r="BE693" i="1"/>
  <c r="BC693" i="1"/>
  <c r="BB693" i="1"/>
  <c r="BA693" i="1"/>
  <c r="AY693" i="1"/>
  <c r="AX693" i="1"/>
  <c r="AW693" i="1"/>
  <c r="AU693" i="1"/>
  <c r="AT693" i="1"/>
  <c r="AS693" i="1"/>
  <c r="AP693" i="1"/>
  <c r="AQ693" i="1" s="1"/>
  <c r="AO693" i="1"/>
  <c r="AL693" i="1"/>
  <c r="AM693" i="1" s="1"/>
  <c r="AK693" i="1"/>
  <c r="AH693" i="1"/>
  <c r="AG693" i="1"/>
  <c r="AE693" i="1"/>
  <c r="AD693" i="1"/>
  <c r="AC693" i="1"/>
  <c r="Z693" i="1"/>
  <c r="AA693" i="1" s="1"/>
  <c r="Y693" i="1"/>
  <c r="V693" i="1"/>
  <c r="U693" i="1"/>
  <c r="S693" i="1"/>
  <c r="R693" i="1"/>
  <c r="Q693" i="1"/>
  <c r="O693" i="1"/>
  <c r="N693" i="1"/>
  <c r="M693" i="1"/>
  <c r="J693" i="1"/>
  <c r="K693" i="1" s="1"/>
  <c r="I693" i="1"/>
  <c r="F693" i="1"/>
  <c r="G693" i="1" s="1"/>
  <c r="E693" i="1"/>
  <c r="BN692" i="1"/>
  <c r="BM692" i="1"/>
  <c r="BL692" i="1"/>
  <c r="BJ692" i="1"/>
  <c r="BI692" i="1"/>
  <c r="BF692" i="1"/>
  <c r="BG692" i="1" s="1"/>
  <c r="BE692" i="1"/>
  <c r="BB692" i="1"/>
  <c r="BC692" i="1" s="1"/>
  <c r="BA692" i="1"/>
  <c r="AY692" i="1"/>
  <c r="AX692" i="1"/>
  <c r="AW692" i="1"/>
  <c r="AT692" i="1"/>
  <c r="AU692" i="1" s="1"/>
  <c r="AS692" i="1"/>
  <c r="AQ692" i="1"/>
  <c r="AP692" i="1"/>
  <c r="AO692" i="1"/>
  <c r="AM692" i="1"/>
  <c r="AL692" i="1"/>
  <c r="AK692" i="1"/>
  <c r="AI692" i="1"/>
  <c r="AH692" i="1"/>
  <c r="AG692" i="1"/>
  <c r="AD692" i="1"/>
  <c r="AE692" i="1" s="1"/>
  <c r="AC692" i="1"/>
  <c r="Z692" i="1"/>
  <c r="AA692" i="1" s="1"/>
  <c r="Y692" i="1"/>
  <c r="V692" i="1"/>
  <c r="U692" i="1"/>
  <c r="S692" i="1"/>
  <c r="R692" i="1"/>
  <c r="Q692" i="1"/>
  <c r="O692" i="1"/>
  <c r="N692" i="1"/>
  <c r="K692" i="1" s="1"/>
  <c r="M692" i="1"/>
  <c r="J692" i="1"/>
  <c r="I692" i="1"/>
  <c r="G692" i="1"/>
  <c r="F692" i="1"/>
  <c r="E692" i="1"/>
  <c r="BN691" i="1"/>
  <c r="BM691" i="1" s="1"/>
  <c r="BL691" i="1"/>
  <c r="BJ691" i="1"/>
  <c r="BI691" i="1"/>
  <c r="BG691" i="1"/>
  <c r="BF691" i="1"/>
  <c r="BE691" i="1"/>
  <c r="BC691" i="1"/>
  <c r="BB691" i="1"/>
  <c r="BA691" i="1"/>
  <c r="AX691" i="1"/>
  <c r="AY691" i="1" s="1"/>
  <c r="AW691" i="1"/>
  <c r="AT691" i="1"/>
  <c r="AU691" i="1" s="1"/>
  <c r="AS691" i="1"/>
  <c r="AP691" i="1"/>
  <c r="AO691" i="1"/>
  <c r="AM691" i="1"/>
  <c r="AL691" i="1"/>
  <c r="AK691" i="1"/>
  <c r="AH691" i="1"/>
  <c r="AG691" i="1"/>
  <c r="AD691" i="1"/>
  <c r="AC691" i="1"/>
  <c r="AA691" i="1"/>
  <c r="Z691" i="1"/>
  <c r="Y691" i="1"/>
  <c r="W691" i="1"/>
  <c r="V691" i="1"/>
  <c r="U691" i="1"/>
  <c r="R691" i="1"/>
  <c r="S691" i="1" s="1"/>
  <c r="Q691" i="1"/>
  <c r="N691" i="1"/>
  <c r="M691" i="1"/>
  <c r="J691" i="1"/>
  <c r="K691" i="1" s="1"/>
  <c r="I691" i="1"/>
  <c r="G691" i="1"/>
  <c r="F691" i="1"/>
  <c r="E691" i="1"/>
  <c r="BN690" i="1"/>
  <c r="BL690" i="1"/>
  <c r="BJ690" i="1"/>
  <c r="BM690" i="1" s="1"/>
  <c r="BI690" i="1"/>
  <c r="BG690" i="1"/>
  <c r="BF690" i="1"/>
  <c r="BE690" i="1"/>
  <c r="BC690" i="1"/>
  <c r="BB690" i="1"/>
  <c r="BA690" i="1"/>
  <c r="AY690" i="1"/>
  <c r="AX690" i="1"/>
  <c r="AW690" i="1"/>
  <c r="AU690" i="1"/>
  <c r="AT690" i="1"/>
  <c r="AS690" i="1"/>
  <c r="AQ690" i="1"/>
  <c r="AP690" i="1"/>
  <c r="AO690" i="1"/>
  <c r="AL690" i="1"/>
  <c r="AM690" i="1" s="1"/>
  <c r="AK690" i="1"/>
  <c r="AH690" i="1"/>
  <c r="AG690" i="1"/>
  <c r="AD690" i="1"/>
  <c r="AE690" i="1" s="1"/>
  <c r="AC690" i="1"/>
  <c r="Z690" i="1"/>
  <c r="Y690" i="1"/>
  <c r="W690" i="1"/>
  <c r="V690" i="1"/>
  <c r="U690" i="1"/>
  <c r="S690" i="1"/>
  <c r="R690" i="1"/>
  <c r="Q690" i="1"/>
  <c r="O690" i="1"/>
  <c r="N690" i="1"/>
  <c r="M690" i="1"/>
  <c r="K690" i="1"/>
  <c r="J690" i="1"/>
  <c r="I690" i="1"/>
  <c r="F690" i="1"/>
  <c r="G690" i="1" s="1"/>
  <c r="E690" i="1"/>
  <c r="BN689" i="1"/>
  <c r="BM689" i="1"/>
  <c r="BL689" i="1"/>
  <c r="BJ689" i="1"/>
  <c r="BI689" i="1"/>
  <c r="BF689" i="1"/>
  <c r="BG689" i="1" s="1"/>
  <c r="BE689" i="1"/>
  <c r="BB689" i="1"/>
  <c r="BA689" i="1"/>
  <c r="AZ689" i="1"/>
  <c r="AY689" i="1"/>
  <c r="AX689" i="1"/>
  <c r="AV689" i="1"/>
  <c r="AW689" i="1" s="1"/>
  <c r="AT689" i="1"/>
  <c r="AU689" i="1" s="1"/>
  <c r="AS689" i="1"/>
  <c r="AR689" i="1"/>
  <c r="AQ689" i="1"/>
  <c r="AP689" i="1"/>
  <c r="AN689" i="1"/>
  <c r="AO689" i="1" s="1"/>
  <c r="AL689" i="1"/>
  <c r="AM689" i="1" s="1"/>
  <c r="AK689" i="1"/>
  <c r="AH689" i="1"/>
  <c r="AG689" i="1"/>
  <c r="AE689" i="1"/>
  <c r="AD689" i="1"/>
  <c r="AC689" i="1"/>
  <c r="Z689" i="1"/>
  <c r="AA689" i="1" s="1"/>
  <c r="Y689" i="1"/>
  <c r="V689" i="1"/>
  <c r="U689" i="1"/>
  <c r="S689" i="1"/>
  <c r="R689" i="1"/>
  <c r="Q689" i="1"/>
  <c r="O689" i="1"/>
  <c r="N689" i="1"/>
  <c r="M689" i="1"/>
  <c r="J689" i="1"/>
  <c r="K689" i="1" s="1"/>
  <c r="I689" i="1"/>
  <c r="F689" i="1"/>
  <c r="G689" i="1" s="1"/>
  <c r="E689" i="1"/>
  <c r="BN688" i="1"/>
  <c r="BM688" i="1"/>
  <c r="BL688" i="1"/>
  <c r="BJ688" i="1"/>
  <c r="BI688" i="1"/>
  <c r="BF688" i="1"/>
  <c r="BG688" i="1" s="1"/>
  <c r="BE688" i="1"/>
  <c r="BB688" i="1"/>
  <c r="AZ688" i="1"/>
  <c r="BA688" i="1" s="1"/>
  <c r="AY688" i="1"/>
  <c r="AX688" i="1"/>
  <c r="AV688" i="1"/>
  <c r="AW688" i="1" s="1"/>
  <c r="AT688" i="1"/>
  <c r="AR688" i="1"/>
  <c r="AS688" i="1" s="1"/>
  <c r="AP688" i="1"/>
  <c r="AO688" i="1"/>
  <c r="AN688" i="1"/>
  <c r="AL688" i="1"/>
  <c r="AM688" i="1" s="1"/>
  <c r="AK688" i="1"/>
  <c r="AI688" i="1"/>
  <c r="AH688" i="1"/>
  <c r="AG688" i="1"/>
  <c r="AD688" i="1"/>
  <c r="AE688" i="1" s="1"/>
  <c r="AC688" i="1"/>
  <c r="Z688" i="1"/>
  <c r="Y688" i="1"/>
  <c r="W688" i="1"/>
  <c r="V688" i="1"/>
  <c r="U688" i="1"/>
  <c r="S688" i="1"/>
  <c r="R688" i="1"/>
  <c r="Q688" i="1"/>
  <c r="N688" i="1"/>
  <c r="O688" i="1" s="1"/>
  <c r="M688" i="1"/>
  <c r="J688" i="1"/>
  <c r="K688" i="1" s="1"/>
  <c r="I688" i="1"/>
  <c r="F688" i="1"/>
  <c r="G688" i="1" s="1"/>
  <c r="E688" i="1"/>
  <c r="BN687" i="1"/>
  <c r="BL687" i="1"/>
  <c r="BJ687" i="1"/>
  <c r="BM687" i="1" s="1"/>
  <c r="BI687" i="1"/>
  <c r="BF687" i="1"/>
  <c r="BE687" i="1"/>
  <c r="BC687" i="1"/>
  <c r="BB687" i="1"/>
  <c r="AZ687" i="1"/>
  <c r="BA687" i="1" s="1"/>
  <c r="AY687" i="1"/>
  <c r="AX687" i="1"/>
  <c r="AW687" i="1"/>
  <c r="AV687" i="1"/>
  <c r="AT687" i="1"/>
  <c r="AU687" i="1" s="1"/>
  <c r="AR687" i="1"/>
  <c r="AS687" i="1" s="1"/>
  <c r="AP687" i="1"/>
  <c r="AO687" i="1"/>
  <c r="AN687" i="1"/>
  <c r="AL687" i="1"/>
  <c r="AM687" i="1" s="1"/>
  <c r="AK687" i="1"/>
  <c r="AH687" i="1"/>
  <c r="AI687" i="1" s="1"/>
  <c r="AG687" i="1"/>
  <c r="AE687" i="1"/>
  <c r="AD687" i="1"/>
  <c r="AC687" i="1"/>
  <c r="AA687" i="1"/>
  <c r="Z687" i="1"/>
  <c r="Y687" i="1"/>
  <c r="W687" i="1"/>
  <c r="V687" i="1"/>
  <c r="U687" i="1"/>
  <c r="R687" i="1"/>
  <c r="S687" i="1" s="1"/>
  <c r="Q687" i="1"/>
  <c r="N687" i="1"/>
  <c r="O687" i="1" s="1"/>
  <c r="M687" i="1"/>
  <c r="J687" i="1"/>
  <c r="I687" i="1"/>
  <c r="F687" i="1"/>
  <c r="G687" i="1" s="1"/>
  <c r="E687" i="1"/>
  <c r="BN686" i="1"/>
  <c r="BM686" i="1"/>
  <c r="BL686" i="1"/>
  <c r="BJ686" i="1"/>
  <c r="BI686" i="1"/>
  <c r="BF686" i="1"/>
  <c r="BG686" i="1" s="1"/>
  <c r="BE686" i="1"/>
  <c r="BB686" i="1"/>
  <c r="BA686" i="1"/>
  <c r="AX686" i="1"/>
  <c r="AW686" i="1"/>
  <c r="AU686" i="1"/>
  <c r="AT686" i="1"/>
  <c r="AS686" i="1"/>
  <c r="AQ686" i="1"/>
  <c r="AP686" i="1"/>
  <c r="AO686" i="1"/>
  <c r="AL686" i="1"/>
  <c r="AM686" i="1" s="1"/>
  <c r="AK686" i="1"/>
  <c r="AH686" i="1"/>
  <c r="AI686" i="1" s="1"/>
  <c r="AG686" i="1"/>
  <c r="AD686" i="1"/>
  <c r="AC686" i="1"/>
  <c r="AA686" i="1"/>
  <c r="Z686" i="1"/>
  <c r="Y686" i="1"/>
  <c r="V686" i="1"/>
  <c r="U686" i="1"/>
  <c r="R686" i="1"/>
  <c r="Q686" i="1"/>
  <c r="O686" i="1"/>
  <c r="N686" i="1"/>
  <c r="M686" i="1"/>
  <c r="K686" i="1"/>
  <c r="J686" i="1"/>
  <c r="I686" i="1"/>
  <c r="F686" i="1"/>
  <c r="G686" i="1" s="1"/>
  <c r="E686" i="1"/>
  <c r="BN685" i="1"/>
  <c r="BL685" i="1"/>
  <c r="BK685" i="1"/>
  <c r="BJ685" i="1"/>
  <c r="BM685" i="1" s="1"/>
  <c r="BH685" i="1"/>
  <c r="BI685" i="1" s="1"/>
  <c r="BG685" i="1"/>
  <c r="BF685" i="1"/>
  <c r="BE685" i="1"/>
  <c r="BD685" i="1"/>
  <c r="BB685" i="1"/>
  <c r="BC685" i="1" s="1"/>
  <c r="BA685" i="1"/>
  <c r="AY685" i="1"/>
  <c r="AX685" i="1"/>
  <c r="AV685" i="1"/>
  <c r="AW685" i="1" s="1"/>
  <c r="AU685" i="1"/>
  <c r="AT685" i="1"/>
  <c r="AS685" i="1"/>
  <c r="AR685" i="1"/>
  <c r="AQ685" i="1"/>
  <c r="AP685" i="1"/>
  <c r="AN685" i="1"/>
  <c r="AO685" i="1" s="1"/>
  <c r="AM685" i="1"/>
  <c r="AL685" i="1"/>
  <c r="AK685" i="1"/>
  <c r="AH685" i="1"/>
  <c r="AI685" i="1" s="1"/>
  <c r="AG685" i="1"/>
  <c r="AF685" i="1"/>
  <c r="AE685" i="1"/>
  <c r="AD685" i="1"/>
  <c r="AB685" i="1"/>
  <c r="AC685" i="1" s="1"/>
  <c r="Z685" i="1"/>
  <c r="AA685" i="1" s="1"/>
  <c r="Y685" i="1"/>
  <c r="V685" i="1"/>
  <c r="U685" i="1"/>
  <c r="R685" i="1"/>
  <c r="S685" i="1" s="1"/>
  <c r="Q685" i="1"/>
  <c r="N685" i="1"/>
  <c r="O685" i="1" s="1"/>
  <c r="M685" i="1"/>
  <c r="J685" i="1"/>
  <c r="I685" i="1"/>
  <c r="G685" i="1"/>
  <c r="F685" i="1"/>
  <c r="E685" i="1"/>
  <c r="BN684" i="1"/>
  <c r="BM684" i="1" s="1"/>
  <c r="BL684" i="1"/>
  <c r="BK684" i="1"/>
  <c r="BJ684" i="1"/>
  <c r="BI684" i="1"/>
  <c r="BH684" i="1"/>
  <c r="BG684" i="1"/>
  <c r="BF684" i="1"/>
  <c r="BD684" i="1"/>
  <c r="BE684" i="1" s="1"/>
  <c r="BC684" i="1"/>
  <c r="BB684" i="1"/>
  <c r="BA684" i="1"/>
  <c r="AX684" i="1"/>
  <c r="AY684" i="1" s="1"/>
  <c r="AW684" i="1"/>
  <c r="AV684" i="1"/>
  <c r="AT684" i="1"/>
  <c r="AU684" i="1" s="1"/>
  <c r="AR684" i="1"/>
  <c r="AS684" i="1" s="1"/>
  <c r="AP684" i="1"/>
  <c r="AO684" i="1"/>
  <c r="AN684" i="1"/>
  <c r="AM684" i="1"/>
  <c r="AL684" i="1"/>
  <c r="AK684" i="1"/>
  <c r="AI684" i="1"/>
  <c r="AH684" i="1"/>
  <c r="AF684" i="1"/>
  <c r="AG684" i="1" s="1"/>
  <c r="AD684" i="1"/>
  <c r="AE684" i="1" s="1"/>
  <c r="AC684" i="1"/>
  <c r="AB684" i="1"/>
  <c r="Z684" i="1"/>
  <c r="Y684" i="1"/>
  <c r="W684" i="1"/>
  <c r="V684" i="1"/>
  <c r="U684" i="1"/>
  <c r="S684" i="1"/>
  <c r="R684" i="1"/>
  <c r="Q684" i="1"/>
  <c r="N684" i="1"/>
  <c r="O684" i="1" s="1"/>
  <c r="M684" i="1"/>
  <c r="J684" i="1"/>
  <c r="I684" i="1"/>
  <c r="F684" i="1"/>
  <c r="G684" i="1" s="1"/>
  <c r="E684" i="1"/>
  <c r="BN683" i="1"/>
  <c r="BK683" i="1"/>
  <c r="BL683" i="1" s="1"/>
  <c r="BJ683" i="1"/>
  <c r="BM683" i="1" s="1"/>
  <c r="BH683" i="1"/>
  <c r="BI683" i="1" s="1"/>
  <c r="BF683" i="1"/>
  <c r="BE683" i="1"/>
  <c r="BD683" i="1"/>
  <c r="BC683" i="1"/>
  <c r="BB683" i="1"/>
  <c r="BA683" i="1"/>
  <c r="AY683" i="1"/>
  <c r="AX683" i="1"/>
  <c r="AV683" i="1"/>
  <c r="AW683" i="1" s="1"/>
  <c r="AT683" i="1"/>
  <c r="AS683" i="1"/>
  <c r="AR683" i="1"/>
  <c r="AP683" i="1"/>
  <c r="AN683" i="1"/>
  <c r="AO683" i="1" s="1"/>
  <c r="AL683" i="1"/>
  <c r="AM683" i="1" s="1"/>
  <c r="AK683" i="1"/>
  <c r="AH683" i="1"/>
  <c r="AF683" i="1"/>
  <c r="AG683" i="1" s="1"/>
  <c r="AE683" i="1"/>
  <c r="AD683" i="1"/>
  <c r="AB683" i="1"/>
  <c r="AC683" i="1" s="1"/>
  <c r="Z683" i="1"/>
  <c r="AA683" i="1" s="1"/>
  <c r="Y683" i="1"/>
  <c r="V683" i="1"/>
  <c r="U683" i="1"/>
  <c r="S683" i="1"/>
  <c r="R683" i="1"/>
  <c r="Q683" i="1"/>
  <c r="O683" i="1"/>
  <c r="N683" i="1"/>
  <c r="M683" i="1"/>
  <c r="K683" i="1"/>
  <c r="J683" i="1"/>
  <c r="I683" i="1"/>
  <c r="G683" i="1"/>
  <c r="F683" i="1"/>
  <c r="E683" i="1"/>
  <c r="BN682" i="1"/>
  <c r="BM682" i="1"/>
  <c r="BL682" i="1"/>
  <c r="BJ682" i="1"/>
  <c r="BI682" i="1"/>
  <c r="BG682" i="1"/>
  <c r="BF682" i="1"/>
  <c r="BE682" i="1"/>
  <c r="BB682" i="1"/>
  <c r="BC682" i="1" s="1"/>
  <c r="BA682" i="1"/>
  <c r="AX682" i="1"/>
  <c r="AW682" i="1"/>
  <c r="AT682" i="1"/>
  <c r="AU682" i="1" s="1"/>
  <c r="AS682" i="1"/>
  <c r="AP682" i="1"/>
  <c r="AQ682" i="1" s="1"/>
  <c r="AO682" i="1"/>
  <c r="AL682" i="1"/>
  <c r="AM682" i="1" s="1"/>
  <c r="AK682" i="1"/>
  <c r="AI682" i="1"/>
  <c r="AH682" i="1"/>
  <c r="AG682" i="1"/>
  <c r="AE682" i="1"/>
  <c r="AD682" i="1"/>
  <c r="AC682" i="1"/>
  <c r="AA682" i="1"/>
  <c r="Z682" i="1"/>
  <c r="Y682" i="1"/>
  <c r="V682" i="1"/>
  <c r="W682" i="1" s="1"/>
  <c r="U682" i="1"/>
  <c r="R682" i="1"/>
  <c r="S682" i="1" s="1"/>
  <c r="Q682" i="1"/>
  <c r="N682" i="1"/>
  <c r="M682" i="1"/>
  <c r="J682" i="1"/>
  <c r="K682" i="1" s="1"/>
  <c r="I682" i="1"/>
  <c r="F682" i="1"/>
  <c r="G682" i="1" s="1"/>
  <c r="E682" i="1"/>
  <c r="BN681" i="1"/>
  <c r="BL681" i="1"/>
  <c r="BJ681" i="1"/>
  <c r="BM681" i="1" s="1"/>
  <c r="BI681" i="1"/>
  <c r="BF681" i="1"/>
  <c r="BG681" i="1" s="1"/>
  <c r="BE681" i="1"/>
  <c r="BC681" i="1"/>
  <c r="BB681" i="1"/>
  <c r="BA681" i="1"/>
  <c r="AY681" i="1"/>
  <c r="AX681" i="1"/>
  <c r="AV681" i="1"/>
  <c r="AW681" i="1" s="1"/>
  <c r="AT681" i="1"/>
  <c r="AU681" i="1" s="1"/>
  <c r="AS681" i="1"/>
  <c r="AP681" i="1"/>
  <c r="AQ681" i="1" s="1"/>
  <c r="AO681" i="1"/>
  <c r="AM681" i="1"/>
  <c r="AL681" i="1"/>
  <c r="AK681" i="1"/>
  <c r="AI681" i="1"/>
  <c r="AH681" i="1"/>
  <c r="AF681" i="1"/>
  <c r="AG681" i="1" s="1"/>
  <c r="AD681" i="1"/>
  <c r="AE681" i="1" s="1"/>
  <c r="AC681" i="1"/>
  <c r="Z681" i="1"/>
  <c r="Y681" i="1"/>
  <c r="V681" i="1"/>
  <c r="W681" i="1" s="1"/>
  <c r="U681" i="1"/>
  <c r="R681" i="1"/>
  <c r="S681" i="1" s="1"/>
  <c r="Q681" i="1"/>
  <c r="N681" i="1"/>
  <c r="M681" i="1"/>
  <c r="K681" i="1"/>
  <c r="J681" i="1"/>
  <c r="I681" i="1"/>
  <c r="G681" i="1"/>
  <c r="F681" i="1"/>
  <c r="E681" i="1"/>
  <c r="BN680" i="1"/>
  <c r="BM680" i="1"/>
  <c r="BL680" i="1"/>
  <c r="BJ680" i="1"/>
  <c r="BI680" i="1"/>
  <c r="BG680" i="1"/>
  <c r="BF680" i="1"/>
  <c r="BE680" i="1"/>
  <c r="BB680" i="1"/>
  <c r="BC680" i="1" s="1"/>
  <c r="BA680" i="1"/>
  <c r="AY680" i="1"/>
  <c r="AX680" i="1"/>
  <c r="AW680" i="1"/>
  <c r="AV680" i="1"/>
  <c r="AU680" i="1"/>
  <c r="AT680" i="1"/>
  <c r="AS680" i="1"/>
  <c r="AP680" i="1"/>
  <c r="AO680" i="1"/>
  <c r="AL680" i="1"/>
  <c r="AK680" i="1"/>
  <c r="AH680" i="1"/>
  <c r="AI680" i="1" s="1"/>
  <c r="AF680" i="1"/>
  <c r="AG680" i="1" s="1"/>
  <c r="AE680" i="1"/>
  <c r="AD680" i="1"/>
  <c r="AC680" i="1"/>
  <c r="AA680" i="1"/>
  <c r="Z680" i="1"/>
  <c r="Y680" i="1"/>
  <c r="V680" i="1"/>
  <c r="S680" i="1" s="1"/>
  <c r="U680" i="1"/>
  <c r="R680" i="1"/>
  <c r="Q680" i="1"/>
  <c r="N680" i="1"/>
  <c r="O680" i="1" s="1"/>
  <c r="M680" i="1"/>
  <c r="J680" i="1"/>
  <c r="K680" i="1" s="1"/>
  <c r="I680" i="1"/>
  <c r="F680" i="1"/>
  <c r="E680" i="1"/>
  <c r="BN679" i="1"/>
  <c r="BM679" i="1"/>
  <c r="BL679" i="1"/>
  <c r="BJ679" i="1"/>
  <c r="BI679" i="1"/>
  <c r="BF679" i="1"/>
  <c r="BG679" i="1" s="1"/>
  <c r="BE679" i="1"/>
  <c r="BB679" i="1"/>
  <c r="BC679" i="1" s="1"/>
  <c r="BA679" i="1"/>
  <c r="AX679" i="1"/>
  <c r="AV679" i="1"/>
  <c r="AW679" i="1" s="1"/>
  <c r="AT679" i="1"/>
  <c r="AU679" i="1" s="1"/>
  <c r="AS679" i="1"/>
  <c r="AP679" i="1"/>
  <c r="AO679" i="1"/>
  <c r="AL679" i="1"/>
  <c r="AK679" i="1"/>
  <c r="AH679" i="1"/>
  <c r="AF679" i="1"/>
  <c r="AG679" i="1" s="1"/>
  <c r="AD679" i="1"/>
  <c r="AC679" i="1"/>
  <c r="Z679" i="1"/>
  <c r="AA679" i="1" s="1"/>
  <c r="Y679" i="1"/>
  <c r="W679" i="1"/>
  <c r="V679" i="1"/>
  <c r="U679" i="1"/>
  <c r="R679" i="1"/>
  <c r="S679" i="1" s="1"/>
  <c r="Q679" i="1"/>
  <c r="N679" i="1"/>
  <c r="M679" i="1"/>
  <c r="K679" i="1"/>
  <c r="J679" i="1"/>
  <c r="I679" i="1"/>
  <c r="G679" i="1"/>
  <c r="F679" i="1"/>
  <c r="E679" i="1"/>
  <c r="BN678" i="1"/>
  <c r="BM678" i="1"/>
  <c r="BL678" i="1"/>
  <c r="BJ678" i="1"/>
  <c r="BI678" i="1"/>
  <c r="BG678" i="1"/>
  <c r="BF678" i="1"/>
  <c r="BE678" i="1"/>
  <c r="BB678" i="1"/>
  <c r="AY678" i="1" s="1"/>
  <c r="BA678" i="1"/>
  <c r="AX678" i="1"/>
  <c r="AW678" i="1"/>
  <c r="AT678" i="1"/>
  <c r="AU678" i="1" s="1"/>
  <c r="AS678" i="1"/>
  <c r="AP678" i="1"/>
  <c r="AQ678" i="1" s="1"/>
  <c r="AO678" i="1"/>
  <c r="AL678" i="1"/>
  <c r="AK678" i="1"/>
  <c r="AH678" i="1"/>
  <c r="AI678" i="1" s="1"/>
  <c r="AG678" i="1"/>
  <c r="AD678" i="1"/>
  <c r="AA678" i="1" s="1"/>
  <c r="AC678" i="1"/>
  <c r="Z678" i="1"/>
  <c r="Y678" i="1"/>
  <c r="W678" i="1"/>
  <c r="V678" i="1"/>
  <c r="U678" i="1"/>
  <c r="S678" i="1"/>
  <c r="R678" i="1"/>
  <c r="Q678" i="1"/>
  <c r="N678" i="1"/>
  <c r="O678" i="1" s="1"/>
  <c r="M678" i="1"/>
  <c r="K678" i="1"/>
  <c r="J678" i="1"/>
  <c r="I678" i="1"/>
  <c r="F678" i="1"/>
  <c r="G678" i="1" s="1"/>
  <c r="E678" i="1"/>
  <c r="BN677" i="1"/>
  <c r="BL677" i="1"/>
  <c r="BJ677" i="1"/>
  <c r="BM677" i="1" s="1"/>
  <c r="BI677" i="1"/>
  <c r="BF677" i="1"/>
  <c r="BE677" i="1"/>
  <c r="BC677" i="1"/>
  <c r="BB677" i="1"/>
  <c r="BA677" i="1"/>
  <c r="AX677" i="1"/>
  <c r="AY677" i="1" s="1"/>
  <c r="AW677" i="1"/>
  <c r="AT677" i="1"/>
  <c r="AS677" i="1"/>
  <c r="AP677" i="1"/>
  <c r="AQ677" i="1" s="1"/>
  <c r="AO677" i="1"/>
  <c r="AM677" i="1"/>
  <c r="AL677" i="1"/>
  <c r="AK677" i="1"/>
  <c r="AH677" i="1"/>
  <c r="AI677" i="1" s="1"/>
  <c r="AG677" i="1"/>
  <c r="AD677" i="1"/>
  <c r="AE677" i="1" s="1"/>
  <c r="AC677" i="1"/>
  <c r="Z677" i="1"/>
  <c r="AA677" i="1" s="1"/>
  <c r="Y677" i="1"/>
  <c r="V677" i="1"/>
  <c r="W677" i="1" s="1"/>
  <c r="U677" i="1"/>
  <c r="R677" i="1"/>
  <c r="S677" i="1" s="1"/>
  <c r="Q677" i="1"/>
  <c r="O677" i="1"/>
  <c r="N677" i="1"/>
  <c r="M677" i="1"/>
  <c r="J677" i="1"/>
  <c r="I677" i="1"/>
  <c r="F677" i="1"/>
  <c r="E677" i="1"/>
  <c r="BN676" i="1"/>
  <c r="BL676" i="1"/>
  <c r="BJ676" i="1"/>
  <c r="BI676" i="1"/>
  <c r="BF676" i="1"/>
  <c r="BE676" i="1"/>
  <c r="BB676" i="1"/>
  <c r="BC676" i="1" s="1"/>
  <c r="BA676" i="1"/>
  <c r="AX676" i="1"/>
  <c r="AY676" i="1" s="1"/>
  <c r="AW676" i="1"/>
  <c r="AT676" i="1"/>
  <c r="AS676" i="1"/>
  <c r="AQ676" i="1"/>
  <c r="AP676" i="1"/>
  <c r="AO676" i="1"/>
  <c r="AL676" i="1"/>
  <c r="AK676" i="1"/>
  <c r="AH676" i="1"/>
  <c r="AG676" i="1"/>
  <c r="AD676" i="1"/>
  <c r="AE676" i="1" s="1"/>
  <c r="AC676" i="1"/>
  <c r="AA676" i="1"/>
  <c r="Z676" i="1"/>
  <c r="Y676" i="1"/>
  <c r="V676" i="1"/>
  <c r="W676" i="1" s="1"/>
  <c r="U676" i="1"/>
  <c r="R676" i="1"/>
  <c r="S676" i="1" s="1"/>
  <c r="Q676" i="1"/>
  <c r="N676" i="1"/>
  <c r="O676" i="1" s="1"/>
  <c r="M676" i="1"/>
  <c r="J676" i="1"/>
  <c r="I676" i="1"/>
  <c r="F676" i="1"/>
  <c r="G676" i="1" s="1"/>
  <c r="E676" i="1"/>
  <c r="BN675" i="1"/>
  <c r="BL675" i="1"/>
  <c r="BJ675" i="1"/>
  <c r="BI675" i="1"/>
  <c r="BG675" i="1"/>
  <c r="BF675" i="1"/>
  <c r="BE675" i="1"/>
  <c r="BC675" i="1"/>
  <c r="BB675" i="1"/>
  <c r="BA675" i="1"/>
  <c r="AX675" i="1"/>
  <c r="AY675" i="1" s="1"/>
  <c r="AW675" i="1"/>
  <c r="AT675" i="1"/>
  <c r="AS675" i="1"/>
  <c r="AP675" i="1"/>
  <c r="AQ675" i="1" s="1"/>
  <c r="AO675" i="1"/>
  <c r="AL675" i="1"/>
  <c r="AM675" i="1" s="1"/>
  <c r="AK675" i="1"/>
  <c r="AH675" i="1"/>
  <c r="AG675" i="1"/>
  <c r="AD675" i="1"/>
  <c r="AE675" i="1" s="1"/>
  <c r="AC675" i="1"/>
  <c r="Z675" i="1"/>
  <c r="AA675" i="1" s="1"/>
  <c r="Y675" i="1"/>
  <c r="V675" i="1"/>
  <c r="U675" i="1"/>
  <c r="S675" i="1"/>
  <c r="R675" i="1"/>
  <c r="Q675" i="1"/>
  <c r="O675" i="1"/>
  <c r="N675" i="1"/>
  <c r="M675" i="1"/>
  <c r="J675" i="1"/>
  <c r="K675" i="1" s="1"/>
  <c r="I675" i="1"/>
  <c r="G675" i="1"/>
  <c r="F675" i="1"/>
  <c r="E675" i="1"/>
  <c r="BN674" i="1"/>
  <c r="BM674" i="1"/>
  <c r="BL674" i="1"/>
  <c r="BJ674" i="1"/>
  <c r="BI674" i="1"/>
  <c r="BG674" i="1"/>
  <c r="BF674" i="1"/>
  <c r="BE674" i="1"/>
  <c r="BB674" i="1"/>
  <c r="BC674" i="1" s="1"/>
  <c r="BA674" i="1"/>
  <c r="AX674" i="1"/>
  <c r="AW674" i="1"/>
  <c r="AU674" i="1"/>
  <c r="AT674" i="1"/>
  <c r="AS674" i="1"/>
  <c r="AQ674" i="1"/>
  <c r="AP674" i="1"/>
  <c r="AO674" i="1"/>
  <c r="AL674" i="1"/>
  <c r="AI674" i="1" s="1"/>
  <c r="AK674" i="1"/>
  <c r="AH674" i="1"/>
  <c r="AG674" i="1"/>
  <c r="AD674" i="1"/>
  <c r="AE674" i="1" s="1"/>
  <c r="AC674" i="1"/>
  <c r="Z674" i="1"/>
  <c r="AA674" i="1" s="1"/>
  <c r="Y674" i="1"/>
  <c r="V674" i="1"/>
  <c r="U674" i="1"/>
  <c r="R674" i="1"/>
  <c r="S674" i="1" s="1"/>
  <c r="Q674" i="1"/>
  <c r="N674" i="1"/>
  <c r="K674" i="1" s="1"/>
  <c r="M674" i="1"/>
  <c r="J674" i="1"/>
  <c r="I674" i="1"/>
  <c r="G674" i="1"/>
  <c r="F674" i="1"/>
  <c r="E674" i="1"/>
  <c r="BN673" i="1"/>
  <c r="BL673" i="1"/>
  <c r="BK673" i="1"/>
  <c r="BJ673" i="1"/>
  <c r="BG673" i="1" s="1"/>
  <c r="BH673" i="1"/>
  <c r="BI673" i="1" s="1"/>
  <c r="BF673" i="1"/>
  <c r="BD673" i="1"/>
  <c r="BE673" i="1" s="1"/>
  <c r="BB673" i="1"/>
  <c r="BC673" i="1" s="1"/>
  <c r="AZ673" i="1"/>
  <c r="BA673" i="1" s="1"/>
  <c r="AX673" i="1"/>
  <c r="AV673" i="1"/>
  <c r="AW673" i="1" s="1"/>
  <c r="AT673" i="1"/>
  <c r="AR673" i="1"/>
  <c r="AS673" i="1" s="1"/>
  <c r="AP673" i="1"/>
  <c r="AQ673" i="1" s="1"/>
  <c r="AN673" i="1"/>
  <c r="AO673" i="1" s="1"/>
  <c r="AL673" i="1"/>
  <c r="AM673" i="1" s="1"/>
  <c r="AK673" i="1"/>
  <c r="AH673" i="1"/>
  <c r="AE673" i="1" s="1"/>
  <c r="AG673" i="1"/>
  <c r="AF673" i="1"/>
  <c r="AD673" i="1"/>
  <c r="AC673" i="1"/>
  <c r="AB673" i="1"/>
  <c r="Z673" i="1"/>
  <c r="AA673" i="1" s="1"/>
  <c r="Y673" i="1"/>
  <c r="V673" i="1"/>
  <c r="U673" i="1"/>
  <c r="R673" i="1"/>
  <c r="S673" i="1" s="1"/>
  <c r="Q673" i="1"/>
  <c r="P673" i="1"/>
  <c r="N673" i="1"/>
  <c r="M673" i="1"/>
  <c r="J673" i="1"/>
  <c r="K673" i="1" s="1"/>
  <c r="I673" i="1"/>
  <c r="G673" i="1"/>
  <c r="F673" i="1"/>
  <c r="E673" i="1"/>
  <c r="BN672" i="1"/>
  <c r="BM672" i="1"/>
  <c r="BK672" i="1"/>
  <c r="BL672" i="1" s="1"/>
  <c r="BJ672" i="1"/>
  <c r="BG672" i="1" s="1"/>
  <c r="BH672" i="1"/>
  <c r="BI672" i="1" s="1"/>
  <c r="BF672" i="1"/>
  <c r="BE672" i="1"/>
  <c r="BD672" i="1"/>
  <c r="BC672" i="1"/>
  <c r="BB672" i="1"/>
  <c r="BA672" i="1"/>
  <c r="AY672" i="1"/>
  <c r="AX672" i="1"/>
  <c r="AV672" i="1"/>
  <c r="AW672" i="1" s="1"/>
  <c r="AT672" i="1"/>
  <c r="AU672" i="1" s="1"/>
  <c r="AS672" i="1"/>
  <c r="AR672" i="1"/>
  <c r="AP672" i="1"/>
  <c r="AQ672" i="1" s="1"/>
  <c r="AN672" i="1"/>
  <c r="AO672" i="1" s="1"/>
  <c r="AL672" i="1"/>
  <c r="AK672" i="1"/>
  <c r="AH672" i="1"/>
  <c r="AG672" i="1"/>
  <c r="AF672" i="1"/>
  <c r="AD672" i="1"/>
  <c r="AC672" i="1"/>
  <c r="AB672" i="1"/>
  <c r="Z672" i="1"/>
  <c r="AA672" i="1" s="1"/>
  <c r="Y672" i="1"/>
  <c r="V672" i="1"/>
  <c r="U672" i="1"/>
  <c r="S672" i="1"/>
  <c r="R672" i="1"/>
  <c r="P672" i="1"/>
  <c r="Q672" i="1" s="1"/>
  <c r="O672" i="1"/>
  <c r="N672" i="1"/>
  <c r="M672" i="1"/>
  <c r="J672" i="1"/>
  <c r="K672" i="1" s="1"/>
  <c r="I672" i="1"/>
  <c r="F672" i="1"/>
  <c r="E672" i="1"/>
  <c r="BN671" i="1"/>
  <c r="BK671" i="1"/>
  <c r="BL671" i="1" s="1"/>
  <c r="BJ671" i="1"/>
  <c r="BM671" i="1" s="1"/>
  <c r="BI671" i="1"/>
  <c r="BH671" i="1"/>
  <c r="BF671" i="1"/>
  <c r="BE671" i="1"/>
  <c r="BD671" i="1"/>
  <c r="BB671" i="1"/>
  <c r="BC671" i="1" s="1"/>
  <c r="BA671" i="1"/>
  <c r="AX671" i="1"/>
  <c r="AV671" i="1"/>
  <c r="AW671" i="1" s="1"/>
  <c r="AT671" i="1"/>
  <c r="AU671" i="1" s="1"/>
  <c r="AS671" i="1"/>
  <c r="AR671" i="1"/>
  <c r="AP671" i="1"/>
  <c r="AQ671" i="1" s="1"/>
  <c r="AN671" i="1"/>
  <c r="AO671" i="1" s="1"/>
  <c r="AL671" i="1"/>
  <c r="AK671" i="1"/>
  <c r="AI671" i="1"/>
  <c r="AH671" i="1"/>
  <c r="AG671" i="1"/>
  <c r="AF671" i="1"/>
  <c r="AE671" i="1"/>
  <c r="AD671" i="1"/>
  <c r="AB671" i="1"/>
  <c r="AC671" i="1" s="1"/>
  <c r="AA671" i="1"/>
  <c r="Z671" i="1"/>
  <c r="Y671" i="1"/>
  <c r="V671" i="1"/>
  <c r="W671" i="1" s="1"/>
  <c r="U671" i="1"/>
  <c r="R671" i="1"/>
  <c r="P671" i="1"/>
  <c r="Q671" i="1" s="1"/>
  <c r="O671" i="1"/>
  <c r="N671" i="1"/>
  <c r="M671" i="1"/>
  <c r="J671" i="1"/>
  <c r="K671" i="1" s="1"/>
  <c r="I671" i="1"/>
  <c r="F671" i="1"/>
  <c r="G671" i="1" s="1"/>
  <c r="E671" i="1"/>
  <c r="BN670" i="1"/>
  <c r="BL670" i="1"/>
  <c r="BJ670" i="1"/>
  <c r="BM670" i="1" s="1"/>
  <c r="BI670" i="1"/>
  <c r="BF670" i="1"/>
  <c r="BG670" i="1" s="1"/>
  <c r="BE670" i="1"/>
  <c r="BB670" i="1"/>
  <c r="BA670" i="1"/>
  <c r="AX670" i="1"/>
  <c r="AY670" i="1" s="1"/>
  <c r="AW670" i="1"/>
  <c r="AT670" i="1"/>
  <c r="AQ670" i="1" s="1"/>
  <c r="AS670" i="1"/>
  <c r="AP670" i="1"/>
  <c r="AO670" i="1"/>
  <c r="AM670" i="1"/>
  <c r="AL670" i="1"/>
  <c r="AK670" i="1"/>
  <c r="AI670" i="1"/>
  <c r="AH670" i="1"/>
  <c r="AG670" i="1"/>
  <c r="AD670" i="1"/>
  <c r="AE670" i="1" s="1"/>
  <c r="AC670" i="1"/>
  <c r="AA670" i="1"/>
  <c r="Z670" i="1"/>
  <c r="Y670" i="1"/>
  <c r="V670" i="1"/>
  <c r="W670" i="1" s="1"/>
  <c r="U670" i="1"/>
  <c r="R670" i="1"/>
  <c r="Q670" i="1"/>
  <c r="O670" i="1"/>
  <c r="N670" i="1"/>
  <c r="M670" i="1"/>
  <c r="K670" i="1"/>
  <c r="J670" i="1"/>
  <c r="I670" i="1"/>
  <c r="F670" i="1"/>
  <c r="G670" i="1" s="1"/>
  <c r="E670" i="1"/>
  <c r="BN669" i="1"/>
  <c r="BL669" i="1"/>
  <c r="BJ669" i="1"/>
  <c r="BM669" i="1" s="1"/>
  <c r="BI669" i="1"/>
  <c r="BG669" i="1"/>
  <c r="BF669" i="1"/>
  <c r="BE669" i="1"/>
  <c r="BC669" i="1"/>
  <c r="BB669" i="1"/>
  <c r="BA669" i="1"/>
  <c r="AX669" i="1"/>
  <c r="AY669" i="1" s="1"/>
  <c r="AW669" i="1"/>
  <c r="AT669" i="1"/>
  <c r="AS669" i="1"/>
  <c r="AP669" i="1"/>
  <c r="AQ669" i="1" s="1"/>
  <c r="AO669" i="1"/>
  <c r="AL669" i="1"/>
  <c r="AI669" i="1" s="1"/>
  <c r="AK669" i="1"/>
  <c r="AH669" i="1"/>
  <c r="AF669" i="1"/>
  <c r="AG669" i="1" s="1"/>
  <c r="AD669" i="1"/>
  <c r="AE669" i="1" s="1"/>
  <c r="AC669" i="1"/>
  <c r="Z669" i="1"/>
  <c r="AA669" i="1" s="1"/>
  <c r="Y669" i="1"/>
  <c r="V669" i="1"/>
  <c r="U669" i="1"/>
  <c r="R669" i="1"/>
  <c r="S669" i="1" s="1"/>
  <c r="Q669" i="1"/>
  <c r="N669" i="1"/>
  <c r="K669" i="1" s="1"/>
  <c r="M669" i="1"/>
  <c r="J669" i="1"/>
  <c r="I669" i="1"/>
  <c r="G669" i="1"/>
  <c r="F669" i="1"/>
  <c r="E669" i="1"/>
  <c r="BN668" i="1"/>
  <c r="BL668" i="1"/>
  <c r="BJ668" i="1"/>
  <c r="BI668" i="1"/>
  <c r="BF668" i="1"/>
  <c r="BG668" i="1" s="1"/>
  <c r="BE668" i="1"/>
  <c r="BB668" i="1"/>
  <c r="BA668" i="1"/>
  <c r="AX668" i="1"/>
  <c r="AY668" i="1" s="1"/>
  <c r="AW668" i="1"/>
  <c r="AT668" i="1"/>
  <c r="AU668" i="1" s="1"/>
  <c r="AS668" i="1"/>
  <c r="AP668" i="1"/>
  <c r="AO668" i="1"/>
  <c r="AM668" i="1"/>
  <c r="AL668" i="1"/>
  <c r="AK668" i="1"/>
  <c r="AH668" i="1"/>
  <c r="AI668" i="1" s="1"/>
  <c r="AF668" i="1"/>
  <c r="AG668" i="1" s="1"/>
  <c r="AD668" i="1"/>
  <c r="AC668" i="1"/>
  <c r="AA668" i="1"/>
  <c r="Z668" i="1"/>
  <c r="Y668" i="1"/>
  <c r="V668" i="1"/>
  <c r="W668" i="1" s="1"/>
  <c r="U668" i="1"/>
  <c r="R668" i="1"/>
  <c r="Q668" i="1"/>
  <c r="O668" i="1"/>
  <c r="N668" i="1"/>
  <c r="M668" i="1"/>
  <c r="K668" i="1"/>
  <c r="J668" i="1"/>
  <c r="I668" i="1"/>
  <c r="F668" i="1"/>
  <c r="G668" i="1" s="1"/>
  <c r="E668" i="1"/>
  <c r="BN667" i="1"/>
  <c r="BL667" i="1"/>
  <c r="BJ667" i="1"/>
  <c r="BM667" i="1" s="1"/>
  <c r="BI667" i="1"/>
  <c r="BG667" i="1"/>
  <c r="BF667" i="1"/>
  <c r="BE667" i="1"/>
  <c r="BC667" i="1"/>
  <c r="BB667" i="1"/>
  <c r="BA667" i="1"/>
  <c r="AX667" i="1"/>
  <c r="AY667" i="1" s="1"/>
  <c r="AW667" i="1"/>
  <c r="AT667" i="1"/>
  <c r="AS667" i="1"/>
  <c r="AP667" i="1"/>
  <c r="AQ667" i="1" s="1"/>
  <c r="AO667" i="1"/>
  <c r="AL667" i="1"/>
  <c r="AK667" i="1"/>
  <c r="AH667" i="1"/>
  <c r="AF667" i="1"/>
  <c r="AG667" i="1" s="1"/>
  <c r="AD667" i="1"/>
  <c r="AE667" i="1" s="1"/>
  <c r="AC667" i="1"/>
  <c r="Z667" i="1"/>
  <c r="Y667" i="1"/>
  <c r="V667" i="1"/>
  <c r="U667" i="1"/>
  <c r="R667" i="1"/>
  <c r="S667" i="1" s="1"/>
  <c r="Q667" i="1"/>
  <c r="N667" i="1"/>
  <c r="O667" i="1" s="1"/>
  <c r="M667" i="1"/>
  <c r="J667" i="1"/>
  <c r="I667" i="1"/>
  <c r="G667" i="1"/>
  <c r="F667" i="1"/>
  <c r="E667" i="1"/>
  <c r="BN666" i="1"/>
  <c r="BL666" i="1"/>
  <c r="BJ666" i="1"/>
  <c r="BI666" i="1"/>
  <c r="BF666" i="1"/>
  <c r="BE666" i="1"/>
  <c r="BB666" i="1"/>
  <c r="BA666" i="1"/>
  <c r="AX666" i="1"/>
  <c r="AY666" i="1" s="1"/>
  <c r="AW666" i="1"/>
  <c r="AT666" i="1"/>
  <c r="AU666" i="1" s="1"/>
  <c r="AS666" i="1"/>
  <c r="AP666" i="1"/>
  <c r="AO666" i="1"/>
  <c r="AM666" i="1"/>
  <c r="AL666" i="1"/>
  <c r="AK666" i="1"/>
  <c r="AH666" i="1"/>
  <c r="AG666" i="1"/>
  <c r="AD666" i="1"/>
  <c r="AC666" i="1"/>
  <c r="AA666" i="1"/>
  <c r="Z666" i="1"/>
  <c r="Y666" i="1"/>
  <c r="W666" i="1"/>
  <c r="V666" i="1"/>
  <c r="U666" i="1"/>
  <c r="R666" i="1"/>
  <c r="S666" i="1" s="1"/>
  <c r="Q666" i="1"/>
  <c r="N666" i="1"/>
  <c r="M666" i="1"/>
  <c r="J666" i="1"/>
  <c r="K666" i="1" s="1"/>
  <c r="I666" i="1"/>
  <c r="F666" i="1"/>
  <c r="G666" i="1" s="1"/>
  <c r="E666" i="1"/>
  <c r="BN665" i="1"/>
  <c r="BL665" i="1"/>
  <c r="BJ665" i="1"/>
  <c r="BM665" i="1" s="1"/>
  <c r="BI665" i="1"/>
  <c r="BF665" i="1"/>
  <c r="BG665" i="1" s="1"/>
  <c r="BE665" i="1"/>
  <c r="BB665" i="1"/>
  <c r="BA665" i="1"/>
  <c r="AY665" i="1"/>
  <c r="AX665" i="1"/>
  <c r="AW665" i="1"/>
  <c r="AT665" i="1"/>
  <c r="AU665" i="1" s="1"/>
  <c r="AS665" i="1"/>
  <c r="AP665" i="1"/>
  <c r="AO665" i="1"/>
  <c r="AL665" i="1"/>
  <c r="AM665" i="1" s="1"/>
  <c r="AK665" i="1"/>
  <c r="AH665" i="1"/>
  <c r="AI665" i="1" s="1"/>
  <c r="AG665" i="1"/>
  <c r="AD665" i="1"/>
  <c r="AC665" i="1"/>
  <c r="AA665" i="1"/>
  <c r="Z665" i="1"/>
  <c r="Y665" i="1"/>
  <c r="V665" i="1"/>
  <c r="W665" i="1" s="1"/>
  <c r="U665" i="1"/>
  <c r="R665" i="1"/>
  <c r="Q665" i="1"/>
  <c r="O665" i="1"/>
  <c r="N665" i="1"/>
  <c r="M665" i="1"/>
  <c r="K665" i="1"/>
  <c r="J665" i="1"/>
  <c r="I665" i="1"/>
  <c r="F665" i="1"/>
  <c r="G665" i="1" s="1"/>
  <c r="E665" i="1"/>
  <c r="BN664" i="1"/>
  <c r="BM664" i="1" s="1"/>
  <c r="BL664" i="1"/>
  <c r="BJ664" i="1"/>
  <c r="BI664" i="1"/>
  <c r="BF664" i="1"/>
  <c r="BG664" i="1" s="1"/>
  <c r="BE664" i="1"/>
  <c r="BC664" i="1"/>
  <c r="BB664" i="1"/>
  <c r="BA664" i="1"/>
  <c r="AX664" i="1"/>
  <c r="AY664" i="1" s="1"/>
  <c r="AW664" i="1"/>
  <c r="AT664" i="1"/>
  <c r="AS664" i="1"/>
  <c r="AQ664" i="1"/>
  <c r="AP664" i="1"/>
  <c r="AO664" i="1"/>
  <c r="AM664" i="1"/>
  <c r="AL664" i="1"/>
  <c r="AK664" i="1"/>
  <c r="AH664" i="1"/>
  <c r="AE664" i="1" s="1"/>
  <c r="AG664" i="1"/>
  <c r="AD664" i="1"/>
  <c r="AC664" i="1"/>
  <c r="Z664" i="1"/>
  <c r="AA664" i="1" s="1"/>
  <c r="Y664" i="1"/>
  <c r="V664" i="1"/>
  <c r="W664" i="1" s="1"/>
  <c r="U664" i="1"/>
  <c r="R664" i="1"/>
  <c r="Q664" i="1"/>
  <c r="N664" i="1"/>
  <c r="O664" i="1" s="1"/>
  <c r="M664" i="1"/>
  <c r="J664" i="1"/>
  <c r="G664" i="1" s="1"/>
  <c r="I664" i="1"/>
  <c r="F664" i="1"/>
  <c r="E664" i="1"/>
  <c r="BN663" i="1"/>
  <c r="BL663" i="1"/>
  <c r="BJ663" i="1"/>
  <c r="BG663" i="1" s="1"/>
  <c r="BI663" i="1"/>
  <c r="BF663" i="1"/>
  <c r="BE663" i="1"/>
  <c r="BC663" i="1"/>
  <c r="BB663" i="1"/>
  <c r="BA663" i="1"/>
  <c r="AY663" i="1"/>
  <c r="AX663" i="1"/>
  <c r="AW663" i="1"/>
  <c r="AT663" i="1"/>
  <c r="AU663" i="1" s="1"/>
  <c r="AS663" i="1"/>
  <c r="AQ663" i="1"/>
  <c r="AP663" i="1"/>
  <c r="AO663" i="1"/>
  <c r="AL663" i="1"/>
  <c r="AM663" i="1" s="1"/>
  <c r="AK663" i="1"/>
  <c r="AH663" i="1"/>
  <c r="AG663" i="1"/>
  <c r="AE663" i="1"/>
  <c r="AD663" i="1"/>
  <c r="AC663" i="1"/>
  <c r="AA663" i="1"/>
  <c r="Z663" i="1"/>
  <c r="Y663" i="1"/>
  <c r="V663" i="1"/>
  <c r="W663" i="1" s="1"/>
  <c r="U663" i="1"/>
  <c r="R663" i="1"/>
  <c r="Q663" i="1"/>
  <c r="N663" i="1"/>
  <c r="O663" i="1" s="1"/>
  <c r="M663" i="1"/>
  <c r="J663" i="1"/>
  <c r="I663" i="1"/>
  <c r="F663" i="1"/>
  <c r="E663" i="1"/>
  <c r="BN662" i="1"/>
  <c r="BM662" i="1"/>
  <c r="BL662" i="1"/>
  <c r="BJ662" i="1"/>
  <c r="BI662" i="1"/>
  <c r="BF662" i="1"/>
  <c r="BG662" i="1" s="1"/>
  <c r="BE662" i="1"/>
  <c r="BB662" i="1"/>
  <c r="AY662" i="1" s="1"/>
  <c r="BA662" i="1"/>
  <c r="AX662" i="1"/>
  <c r="AW662" i="1"/>
  <c r="AU662" i="1"/>
  <c r="AT662" i="1"/>
  <c r="AS662" i="1"/>
  <c r="AP662" i="1"/>
  <c r="AO662" i="1"/>
  <c r="AL662" i="1"/>
  <c r="AK662" i="1"/>
  <c r="AH662" i="1"/>
  <c r="AI662" i="1" s="1"/>
  <c r="AG662" i="1"/>
  <c r="AD662" i="1"/>
  <c r="AE662" i="1" s="1"/>
  <c r="AC662" i="1"/>
  <c r="Z662" i="1"/>
  <c r="Y662" i="1"/>
  <c r="W662" i="1"/>
  <c r="V662" i="1"/>
  <c r="U662" i="1"/>
  <c r="R662" i="1"/>
  <c r="Q662" i="1"/>
  <c r="N662" i="1"/>
  <c r="M662" i="1"/>
  <c r="J662" i="1"/>
  <c r="K662" i="1" s="1"/>
  <c r="I662" i="1"/>
  <c r="G662" i="1"/>
  <c r="F662" i="1"/>
  <c r="E662" i="1"/>
  <c r="BN661" i="1"/>
  <c r="BM661" i="1"/>
  <c r="BL661" i="1"/>
  <c r="BJ661" i="1"/>
  <c r="BI661" i="1"/>
  <c r="BG661" i="1"/>
  <c r="BF661" i="1"/>
  <c r="BE661" i="1"/>
  <c r="BB661" i="1"/>
  <c r="BC661" i="1" s="1"/>
  <c r="BA661" i="1"/>
  <c r="AX661" i="1"/>
  <c r="AY661" i="1" s="1"/>
  <c r="AW661" i="1"/>
  <c r="AT661" i="1"/>
  <c r="AU661" i="1" s="1"/>
  <c r="AS661" i="1"/>
  <c r="AP661" i="1"/>
  <c r="AQ661" i="1" s="1"/>
  <c r="AO661" i="1"/>
  <c r="AL661" i="1"/>
  <c r="AM661" i="1" s="1"/>
  <c r="AK661" i="1"/>
  <c r="AI661" i="1"/>
  <c r="AH661" i="1"/>
  <c r="AG661" i="1"/>
  <c r="AD661" i="1"/>
  <c r="AE661" i="1" s="1"/>
  <c r="AC661" i="1"/>
  <c r="Z661" i="1"/>
  <c r="Y661" i="1"/>
  <c r="V661" i="1"/>
  <c r="W661" i="1" s="1"/>
  <c r="U661" i="1"/>
  <c r="R661" i="1"/>
  <c r="S661" i="1" s="1"/>
  <c r="Q661" i="1"/>
  <c r="N661" i="1"/>
  <c r="M661" i="1"/>
  <c r="K661" i="1"/>
  <c r="J661" i="1"/>
  <c r="I661" i="1"/>
  <c r="F661" i="1"/>
  <c r="G661" i="1" s="1"/>
  <c r="E661" i="1"/>
  <c r="BN660" i="1"/>
  <c r="BL660" i="1"/>
  <c r="BJ660" i="1"/>
  <c r="BM660" i="1" s="1"/>
  <c r="BI660" i="1"/>
  <c r="BF660" i="1"/>
  <c r="BE660" i="1"/>
  <c r="BB660" i="1"/>
  <c r="BA660" i="1"/>
  <c r="AY660" i="1"/>
  <c r="AX660" i="1"/>
  <c r="AW660" i="1"/>
  <c r="AU660" i="1"/>
  <c r="AT660" i="1"/>
  <c r="AS660" i="1"/>
  <c r="AP660" i="1"/>
  <c r="AQ660" i="1" s="1"/>
  <c r="AO660" i="1"/>
  <c r="AM660" i="1"/>
  <c r="AL660" i="1"/>
  <c r="AK660" i="1"/>
  <c r="AH660" i="1"/>
  <c r="AI660" i="1" s="1"/>
  <c r="AG660" i="1"/>
  <c r="AD660" i="1"/>
  <c r="AC660" i="1"/>
  <c r="AA660" i="1"/>
  <c r="Z660" i="1"/>
  <c r="Y660" i="1"/>
  <c r="W660" i="1"/>
  <c r="V660" i="1"/>
  <c r="U660" i="1"/>
  <c r="R660" i="1"/>
  <c r="O660" i="1" s="1"/>
  <c r="Q660" i="1"/>
  <c r="N660" i="1"/>
  <c r="M660" i="1"/>
  <c r="J660" i="1"/>
  <c r="K660" i="1" s="1"/>
  <c r="I660" i="1"/>
  <c r="F660" i="1"/>
  <c r="G660" i="1" s="1"/>
  <c r="E660" i="1"/>
  <c r="BN659" i="1"/>
  <c r="BL659" i="1"/>
  <c r="BJ659" i="1"/>
  <c r="BM659" i="1" s="1"/>
  <c r="BI659" i="1"/>
  <c r="BF659" i="1"/>
  <c r="BG659" i="1" s="1"/>
  <c r="BE659" i="1"/>
  <c r="BB659" i="1"/>
  <c r="BA659" i="1"/>
  <c r="AX659" i="1"/>
  <c r="AY659" i="1" s="1"/>
  <c r="AW659" i="1"/>
  <c r="AT659" i="1"/>
  <c r="AQ659" i="1" s="1"/>
  <c r="AS659" i="1"/>
  <c r="AP659" i="1"/>
  <c r="AO659" i="1"/>
  <c r="AM659" i="1"/>
  <c r="AL659" i="1"/>
  <c r="AK659" i="1"/>
  <c r="AI659" i="1"/>
  <c r="AH659" i="1"/>
  <c r="AG659" i="1"/>
  <c r="AD659" i="1"/>
  <c r="AE659" i="1" s="1"/>
  <c r="AC659" i="1"/>
  <c r="Z659" i="1"/>
  <c r="Y659" i="1"/>
  <c r="V659" i="1"/>
  <c r="W659" i="1" s="1"/>
  <c r="U659" i="1"/>
  <c r="R659" i="1"/>
  <c r="S659" i="1" s="1"/>
  <c r="Q659" i="1"/>
  <c r="N659" i="1"/>
  <c r="M659" i="1"/>
  <c r="K659" i="1"/>
  <c r="J659" i="1"/>
  <c r="I659" i="1"/>
  <c r="F659" i="1"/>
  <c r="G659" i="1" s="1"/>
  <c r="E659" i="1"/>
  <c r="BN658" i="1"/>
  <c r="BL658" i="1"/>
  <c r="BJ658" i="1"/>
  <c r="BM658" i="1" s="1"/>
  <c r="BI658" i="1"/>
  <c r="BF658" i="1"/>
  <c r="BE658" i="1"/>
  <c r="BB658" i="1"/>
  <c r="BA658" i="1"/>
  <c r="AY658" i="1"/>
  <c r="AX658" i="1"/>
  <c r="AW658" i="1"/>
  <c r="AT658" i="1"/>
  <c r="AU658" i="1" s="1"/>
  <c r="AS658" i="1"/>
  <c r="AP658" i="1"/>
  <c r="AO658" i="1"/>
  <c r="AM658" i="1"/>
  <c r="AL658" i="1"/>
  <c r="AK658" i="1"/>
  <c r="AH658" i="1"/>
  <c r="AI658" i="1" s="1"/>
  <c r="AG658" i="1"/>
  <c r="AD658" i="1"/>
  <c r="AA658" i="1" s="1"/>
  <c r="AC658" i="1"/>
  <c r="Z658" i="1"/>
  <c r="Y658" i="1"/>
  <c r="W658" i="1"/>
  <c r="V658" i="1"/>
  <c r="U658" i="1"/>
  <c r="R658" i="1"/>
  <c r="S658" i="1" s="1"/>
  <c r="Q658" i="1"/>
  <c r="N658" i="1"/>
  <c r="M658" i="1"/>
  <c r="J658" i="1"/>
  <c r="I658" i="1"/>
  <c r="F658" i="1"/>
  <c r="G658" i="1" s="1"/>
  <c r="E658" i="1"/>
  <c r="BN657" i="1"/>
  <c r="BM657" i="1"/>
  <c r="BL657" i="1"/>
  <c r="BJ657" i="1"/>
  <c r="BI657" i="1"/>
  <c r="BF657" i="1"/>
  <c r="BG657" i="1" s="1"/>
  <c r="BE657" i="1"/>
  <c r="BB657" i="1"/>
  <c r="BC657" i="1" s="1"/>
  <c r="BA657" i="1"/>
  <c r="AX657" i="1"/>
  <c r="AW657" i="1"/>
  <c r="AU657" i="1"/>
  <c r="AT657" i="1"/>
  <c r="AS657" i="1"/>
  <c r="AQ657" i="1"/>
  <c r="AP657" i="1"/>
  <c r="AO657" i="1"/>
  <c r="AL657" i="1"/>
  <c r="AI657" i="1" s="1"/>
  <c r="AK657" i="1"/>
  <c r="AH657" i="1"/>
  <c r="AE657" i="1" s="1"/>
  <c r="AG657" i="1"/>
  <c r="AF657" i="1"/>
  <c r="AD657" i="1"/>
  <c r="AC657" i="1"/>
  <c r="AA657" i="1"/>
  <c r="Z657" i="1"/>
  <c r="Y657" i="1"/>
  <c r="W657" i="1"/>
  <c r="V657" i="1"/>
  <c r="U657" i="1"/>
  <c r="R657" i="1"/>
  <c r="O657" i="1" s="1"/>
  <c r="Q657" i="1"/>
  <c r="N657" i="1"/>
  <c r="M657" i="1"/>
  <c r="J657" i="1"/>
  <c r="K657" i="1" s="1"/>
  <c r="I657" i="1"/>
  <c r="F657" i="1"/>
  <c r="G657" i="1" s="1"/>
  <c r="E657" i="1"/>
  <c r="BN656" i="1"/>
  <c r="BL656" i="1"/>
  <c r="BJ656" i="1"/>
  <c r="BM656" i="1" s="1"/>
  <c r="BI656" i="1"/>
  <c r="BF656" i="1"/>
  <c r="BC656" i="1" s="1"/>
  <c r="BE656" i="1"/>
  <c r="BB656" i="1"/>
  <c r="BA656" i="1"/>
  <c r="AY656" i="1"/>
  <c r="AX656" i="1"/>
  <c r="AW656" i="1"/>
  <c r="AT656" i="1"/>
  <c r="AU656" i="1" s="1"/>
  <c r="AS656" i="1"/>
  <c r="AP656" i="1"/>
  <c r="AO656" i="1"/>
  <c r="AL656" i="1"/>
  <c r="AK656" i="1"/>
  <c r="AI656" i="1"/>
  <c r="AH656" i="1"/>
  <c r="AF656" i="1"/>
  <c r="AG656" i="1" s="1"/>
  <c r="AE656" i="1"/>
  <c r="AD656" i="1"/>
  <c r="AC656" i="1"/>
  <c r="Z656" i="1"/>
  <c r="AA656" i="1" s="1"/>
  <c r="Y656" i="1"/>
  <c r="V656" i="1"/>
  <c r="W656" i="1" s="1"/>
  <c r="U656" i="1"/>
  <c r="R656" i="1"/>
  <c r="Q656" i="1"/>
  <c r="O656" i="1"/>
  <c r="N656" i="1"/>
  <c r="M656" i="1"/>
  <c r="J656" i="1"/>
  <c r="K656" i="1" s="1"/>
  <c r="I656" i="1"/>
  <c r="F656" i="1"/>
  <c r="G656" i="1" s="1"/>
  <c r="E656" i="1"/>
  <c r="BN655" i="1"/>
  <c r="BL655" i="1"/>
  <c r="BJ655" i="1"/>
  <c r="BM655" i="1" s="1"/>
  <c r="BI655" i="1"/>
  <c r="BF655" i="1"/>
  <c r="BC655" i="1" s="1"/>
  <c r="BE655" i="1"/>
  <c r="BB655" i="1"/>
  <c r="BA655" i="1"/>
  <c r="AY655" i="1"/>
  <c r="AX655" i="1"/>
  <c r="AW655" i="1"/>
  <c r="AT655" i="1"/>
  <c r="AU655" i="1" s="1"/>
  <c r="AS655" i="1"/>
  <c r="AP655" i="1"/>
  <c r="AQ655" i="1" s="1"/>
  <c r="AO655" i="1"/>
  <c r="AL655" i="1"/>
  <c r="AK655" i="1"/>
  <c r="AI655" i="1"/>
  <c r="AH655" i="1"/>
  <c r="AF655" i="1"/>
  <c r="AG655" i="1" s="1"/>
  <c r="AE655" i="1"/>
  <c r="AD655" i="1"/>
  <c r="AC655" i="1"/>
  <c r="Z655" i="1"/>
  <c r="AA655" i="1" s="1"/>
  <c r="Y655" i="1"/>
  <c r="V655" i="1"/>
  <c r="U655" i="1"/>
  <c r="R655" i="1"/>
  <c r="Q655" i="1"/>
  <c r="O655" i="1"/>
  <c r="N655" i="1"/>
  <c r="M655" i="1"/>
  <c r="J655" i="1"/>
  <c r="K655" i="1" s="1"/>
  <c r="I655" i="1"/>
  <c r="F655" i="1"/>
  <c r="G655" i="1" s="1"/>
  <c r="E655" i="1"/>
  <c r="BN654" i="1"/>
  <c r="BL654" i="1"/>
  <c r="BJ654" i="1"/>
  <c r="BM654" i="1" s="1"/>
  <c r="BI654" i="1"/>
  <c r="BF654" i="1"/>
  <c r="BC654" i="1" s="1"/>
  <c r="BE654" i="1"/>
  <c r="BB654" i="1"/>
  <c r="BA654" i="1"/>
  <c r="AY654" i="1"/>
  <c r="AX654" i="1"/>
  <c r="AW654" i="1"/>
  <c r="AT654" i="1"/>
  <c r="AU654" i="1" s="1"/>
  <c r="AS654" i="1"/>
  <c r="AP654" i="1"/>
  <c r="AO654" i="1"/>
  <c r="AL654" i="1"/>
  <c r="AK654" i="1"/>
  <c r="AI654" i="1"/>
  <c r="AH654" i="1"/>
  <c r="AG654" i="1"/>
  <c r="AD654" i="1"/>
  <c r="AE654" i="1" s="1"/>
  <c r="AC654" i="1"/>
  <c r="Z654" i="1"/>
  <c r="W654" i="1" s="1"/>
  <c r="Y654" i="1"/>
  <c r="V654" i="1"/>
  <c r="U654" i="1"/>
  <c r="S654" i="1"/>
  <c r="R654" i="1"/>
  <c r="Q654" i="1"/>
  <c r="N654" i="1"/>
  <c r="O654" i="1" s="1"/>
  <c r="M654" i="1"/>
  <c r="J654" i="1"/>
  <c r="K654" i="1" s="1"/>
  <c r="I654" i="1"/>
  <c r="F654" i="1"/>
  <c r="E654" i="1"/>
  <c r="BN653" i="1"/>
  <c r="BL653" i="1"/>
  <c r="BJ653" i="1"/>
  <c r="BI653" i="1"/>
  <c r="BF653" i="1"/>
  <c r="BE653" i="1"/>
  <c r="BC653" i="1"/>
  <c r="BB653" i="1"/>
  <c r="BA653" i="1"/>
  <c r="AX653" i="1"/>
  <c r="AY653" i="1" s="1"/>
  <c r="AW653" i="1"/>
  <c r="AT653" i="1"/>
  <c r="AQ653" i="1" s="1"/>
  <c r="AS653" i="1"/>
  <c r="AP653" i="1"/>
  <c r="AO653" i="1"/>
  <c r="AM653" i="1"/>
  <c r="AL653" i="1"/>
  <c r="AK653" i="1"/>
  <c r="AH653" i="1"/>
  <c r="AI653" i="1" s="1"/>
  <c r="AG653" i="1"/>
  <c r="AD653" i="1"/>
  <c r="AE653" i="1" s="1"/>
  <c r="AC653" i="1"/>
  <c r="Z653" i="1"/>
  <c r="Y653" i="1"/>
  <c r="W653" i="1"/>
  <c r="V653" i="1"/>
  <c r="U653" i="1"/>
  <c r="R653" i="1"/>
  <c r="S653" i="1" s="1"/>
  <c r="Q653" i="1"/>
  <c r="N653" i="1"/>
  <c r="K653" i="1" s="1"/>
  <c r="M653" i="1"/>
  <c r="J653" i="1"/>
  <c r="I653" i="1"/>
  <c r="G653" i="1"/>
  <c r="F653" i="1"/>
  <c r="E653" i="1"/>
  <c r="BN652" i="1"/>
  <c r="BM652" i="1"/>
  <c r="BL652" i="1"/>
  <c r="BJ652" i="1"/>
  <c r="BI652" i="1"/>
  <c r="BG652" i="1"/>
  <c r="BF652" i="1"/>
  <c r="BE652" i="1"/>
  <c r="BB652" i="1"/>
  <c r="BC652" i="1" s="1"/>
  <c r="BA652" i="1"/>
  <c r="AX652" i="1"/>
  <c r="AY652" i="1" s="1"/>
  <c r="AW652" i="1"/>
  <c r="AT652" i="1"/>
  <c r="AS652" i="1"/>
  <c r="AQ652" i="1"/>
  <c r="AP652" i="1"/>
  <c r="AO652" i="1"/>
  <c r="AL652" i="1"/>
  <c r="AM652" i="1" s="1"/>
  <c r="AK652" i="1"/>
  <c r="AH652" i="1"/>
  <c r="AE652" i="1" s="1"/>
  <c r="AG652" i="1"/>
  <c r="AD652" i="1"/>
  <c r="AC652" i="1"/>
  <c r="AA652" i="1"/>
  <c r="Z652" i="1"/>
  <c r="Y652" i="1"/>
  <c r="V652" i="1"/>
  <c r="W652" i="1" s="1"/>
  <c r="U652" i="1"/>
  <c r="R652" i="1"/>
  <c r="Q652" i="1"/>
  <c r="N652" i="1"/>
  <c r="M652" i="1"/>
  <c r="K652" i="1"/>
  <c r="J652" i="1"/>
  <c r="I652" i="1"/>
  <c r="F652" i="1"/>
  <c r="G652" i="1" s="1"/>
  <c r="E652" i="1"/>
  <c r="BN651" i="1"/>
  <c r="BM651" i="1"/>
  <c r="BL651" i="1"/>
  <c r="BJ651" i="1"/>
  <c r="BI651" i="1"/>
  <c r="BF651" i="1"/>
  <c r="BG651" i="1" s="1"/>
  <c r="BE651" i="1"/>
  <c r="BB651" i="1"/>
  <c r="AY651" i="1" s="1"/>
  <c r="BA651" i="1"/>
  <c r="AX651" i="1"/>
  <c r="AW651" i="1"/>
  <c r="AU651" i="1"/>
  <c r="AT651" i="1"/>
  <c r="AS651" i="1"/>
  <c r="AP651" i="1"/>
  <c r="AQ651" i="1" s="1"/>
  <c r="AO651" i="1"/>
  <c r="AL651" i="1"/>
  <c r="AK651" i="1"/>
  <c r="AH651" i="1"/>
  <c r="AG651" i="1"/>
  <c r="AE651" i="1"/>
  <c r="AD651" i="1"/>
  <c r="AC651" i="1"/>
  <c r="Z651" i="1"/>
  <c r="AA651" i="1" s="1"/>
  <c r="Y651" i="1"/>
  <c r="V651" i="1"/>
  <c r="S651" i="1" s="1"/>
  <c r="U651" i="1"/>
  <c r="R651" i="1"/>
  <c r="Q651" i="1"/>
  <c r="O651" i="1"/>
  <c r="N651" i="1"/>
  <c r="M651" i="1"/>
  <c r="J651" i="1"/>
  <c r="K651" i="1" s="1"/>
  <c r="I651" i="1"/>
  <c r="F651" i="1"/>
  <c r="G651" i="1" s="1"/>
  <c r="E651" i="1"/>
  <c r="BN650" i="1"/>
  <c r="BL650" i="1"/>
  <c r="BJ650" i="1"/>
  <c r="BM650" i="1" s="1"/>
  <c r="BI650" i="1"/>
  <c r="BF650" i="1"/>
  <c r="BE650" i="1"/>
  <c r="BB650" i="1"/>
  <c r="BC650" i="1" s="1"/>
  <c r="BA650" i="1"/>
  <c r="AY650" i="1"/>
  <c r="AX650" i="1"/>
  <c r="AW650" i="1"/>
  <c r="AT650" i="1"/>
  <c r="AU650" i="1" s="1"/>
  <c r="AS650" i="1"/>
  <c r="AP650" i="1"/>
  <c r="AM650" i="1" s="1"/>
  <c r="AO650" i="1"/>
  <c r="AL650" i="1"/>
  <c r="AK650" i="1"/>
  <c r="AI650" i="1"/>
  <c r="AH650" i="1"/>
  <c r="AG650" i="1"/>
  <c r="AD650" i="1"/>
  <c r="AE650" i="1" s="1"/>
  <c r="AC650" i="1"/>
  <c r="Z650" i="1"/>
  <c r="AA650" i="1" s="1"/>
  <c r="Y650" i="1"/>
  <c r="V650" i="1"/>
  <c r="W650" i="1" s="1"/>
  <c r="U650" i="1"/>
  <c r="S650" i="1"/>
  <c r="R650" i="1"/>
  <c r="Q650" i="1"/>
  <c r="N650" i="1"/>
  <c r="O650" i="1" s="1"/>
  <c r="M650" i="1"/>
  <c r="J650" i="1"/>
  <c r="G650" i="1" s="1"/>
  <c r="I650" i="1"/>
  <c r="F650" i="1"/>
  <c r="E650" i="1"/>
  <c r="BN649" i="1"/>
  <c r="BL649" i="1"/>
  <c r="BJ649" i="1"/>
  <c r="BG649" i="1" s="1"/>
  <c r="BI649" i="1"/>
  <c r="BF649" i="1"/>
  <c r="BE649" i="1"/>
  <c r="BC649" i="1"/>
  <c r="BB649" i="1"/>
  <c r="BA649" i="1"/>
  <c r="AX649" i="1"/>
  <c r="AY649" i="1" s="1"/>
  <c r="AW649" i="1"/>
  <c r="AT649" i="1"/>
  <c r="AU649" i="1" s="1"/>
  <c r="AS649" i="1"/>
  <c r="AP649" i="1"/>
  <c r="AQ649" i="1" s="1"/>
  <c r="AO649" i="1"/>
  <c r="AM649" i="1"/>
  <c r="AL649" i="1"/>
  <c r="AK649" i="1"/>
  <c r="AH649" i="1"/>
  <c r="AI649" i="1" s="1"/>
  <c r="AG649" i="1"/>
  <c r="AD649" i="1"/>
  <c r="AA649" i="1" s="1"/>
  <c r="AC649" i="1"/>
  <c r="Z649" i="1"/>
  <c r="Y649" i="1"/>
  <c r="W649" i="1"/>
  <c r="V649" i="1"/>
  <c r="U649" i="1"/>
  <c r="R649" i="1"/>
  <c r="S649" i="1" s="1"/>
  <c r="Q649" i="1"/>
  <c r="N649" i="1"/>
  <c r="M649" i="1"/>
  <c r="J649" i="1"/>
  <c r="K649" i="1" s="1"/>
  <c r="I649" i="1"/>
  <c r="G649" i="1"/>
  <c r="F649" i="1"/>
  <c r="E649" i="1"/>
  <c r="BN648" i="1"/>
  <c r="BM648" i="1"/>
  <c r="BL648" i="1"/>
  <c r="BJ648" i="1"/>
  <c r="BI648" i="1"/>
  <c r="BG648" i="1"/>
  <c r="BF648" i="1"/>
  <c r="BE648" i="1"/>
  <c r="BB648" i="1"/>
  <c r="BC648" i="1" s="1"/>
  <c r="BA648" i="1"/>
  <c r="AX648" i="1"/>
  <c r="AU648" i="1" s="1"/>
  <c r="AW648" i="1"/>
  <c r="AT648" i="1"/>
  <c r="AS648" i="1"/>
  <c r="AQ648" i="1"/>
  <c r="AP648" i="1"/>
  <c r="AO648" i="1"/>
  <c r="AL648" i="1"/>
  <c r="AM648" i="1" s="1"/>
  <c r="AK648" i="1"/>
  <c r="AH648" i="1"/>
  <c r="AI648" i="1" s="1"/>
  <c r="AG648" i="1"/>
  <c r="AD648" i="1"/>
  <c r="AE648" i="1" s="1"/>
  <c r="AC648" i="1"/>
  <c r="AA648" i="1"/>
  <c r="Z648" i="1"/>
  <c r="Y648" i="1"/>
  <c r="V648" i="1"/>
  <c r="W648" i="1" s="1"/>
  <c r="U648" i="1"/>
  <c r="R648" i="1"/>
  <c r="O648" i="1" s="1"/>
  <c r="Q648" i="1"/>
  <c r="N648" i="1"/>
  <c r="M648" i="1"/>
  <c r="K648" i="1"/>
  <c r="J648" i="1"/>
  <c r="I648" i="1"/>
  <c r="F648" i="1"/>
  <c r="G648" i="1" s="1"/>
  <c r="E648" i="1"/>
  <c r="BN647" i="1"/>
  <c r="BM647" i="1"/>
  <c r="BL647" i="1"/>
  <c r="BK647" i="1"/>
  <c r="BJ647" i="1"/>
  <c r="BI647" i="1"/>
  <c r="BG647" i="1"/>
  <c r="BF647" i="1"/>
  <c r="BE647" i="1"/>
  <c r="BB647" i="1"/>
  <c r="BC647" i="1" s="1"/>
  <c r="BA647" i="1"/>
  <c r="AX647" i="1"/>
  <c r="AU647" i="1" s="1"/>
  <c r="AW647" i="1"/>
  <c r="AT647" i="1"/>
  <c r="AS647" i="1"/>
  <c r="AQ647" i="1"/>
  <c r="AP647" i="1"/>
  <c r="AO647" i="1"/>
  <c r="AL647" i="1"/>
  <c r="AM647" i="1" s="1"/>
  <c r="AK647" i="1"/>
  <c r="AH647" i="1"/>
  <c r="AG647" i="1"/>
  <c r="AD647" i="1"/>
  <c r="AE647" i="1" s="1"/>
  <c r="AC647" i="1"/>
  <c r="AA647" i="1"/>
  <c r="Z647" i="1"/>
  <c r="Y647" i="1"/>
  <c r="V647" i="1"/>
  <c r="W647" i="1" s="1"/>
  <c r="U647" i="1"/>
  <c r="R647" i="1"/>
  <c r="O647" i="1" s="1"/>
  <c r="Q647" i="1"/>
  <c r="N647" i="1"/>
  <c r="M647" i="1"/>
  <c r="K647" i="1"/>
  <c r="J647" i="1"/>
  <c r="I647" i="1"/>
  <c r="F647" i="1"/>
  <c r="G647" i="1" s="1"/>
  <c r="E647" i="1"/>
  <c r="BN646" i="1"/>
  <c r="BM646" i="1"/>
  <c r="BL646" i="1"/>
  <c r="BJ646" i="1"/>
  <c r="BI646" i="1"/>
  <c r="BF646" i="1"/>
  <c r="BG646" i="1" s="1"/>
  <c r="BE646" i="1"/>
  <c r="BB646" i="1"/>
  <c r="BC646" i="1" s="1"/>
  <c r="BA646" i="1"/>
  <c r="AX646" i="1"/>
  <c r="AY646" i="1" s="1"/>
  <c r="AW646" i="1"/>
  <c r="AU646" i="1"/>
  <c r="AT646" i="1"/>
  <c r="AS646" i="1"/>
  <c r="AP646" i="1"/>
  <c r="AQ646" i="1" s="1"/>
  <c r="AO646" i="1"/>
  <c r="AL646" i="1"/>
  <c r="AI646" i="1" s="1"/>
  <c r="AK646" i="1"/>
  <c r="AH646" i="1"/>
  <c r="AG646" i="1"/>
  <c r="AE646" i="1"/>
  <c r="AD646" i="1"/>
  <c r="AC646" i="1"/>
  <c r="Z646" i="1"/>
  <c r="AA646" i="1" s="1"/>
  <c r="Y646" i="1"/>
  <c r="V646" i="1"/>
  <c r="U646" i="1"/>
  <c r="R646" i="1"/>
  <c r="S646" i="1" s="1"/>
  <c r="Q646" i="1"/>
  <c r="O646" i="1"/>
  <c r="N646" i="1"/>
  <c r="M646" i="1"/>
  <c r="J646" i="1"/>
  <c r="K646" i="1" s="1"/>
  <c r="I646" i="1"/>
  <c r="F646" i="1"/>
  <c r="G646" i="1" s="1"/>
  <c r="E646" i="1"/>
  <c r="BN645" i="1"/>
  <c r="BM645" i="1" s="1"/>
  <c r="BK645" i="1"/>
  <c r="BL645" i="1" s="1"/>
  <c r="BJ645" i="1"/>
  <c r="BH645" i="1"/>
  <c r="BI645" i="1" s="1"/>
  <c r="BG645" i="1"/>
  <c r="BF645" i="1"/>
  <c r="BD645" i="1"/>
  <c r="BE645" i="1" s="1"/>
  <c r="BC645" i="1"/>
  <c r="BB645" i="1"/>
  <c r="AZ645" i="1"/>
  <c r="BA645" i="1" s="1"/>
  <c r="AY645" i="1"/>
  <c r="AX645" i="1"/>
  <c r="AV645" i="1"/>
  <c r="AW645" i="1" s="1"/>
  <c r="AU645" i="1"/>
  <c r="AT645" i="1"/>
  <c r="AR645" i="1"/>
  <c r="AS645" i="1" s="1"/>
  <c r="AQ645" i="1"/>
  <c r="AP645" i="1"/>
  <c r="AN645" i="1"/>
  <c r="AO645" i="1" s="1"/>
  <c r="AM645" i="1"/>
  <c r="AL645" i="1"/>
  <c r="AK645" i="1"/>
  <c r="AH645" i="1"/>
  <c r="AI645" i="1" s="1"/>
  <c r="AG645" i="1"/>
  <c r="AF645" i="1"/>
  <c r="AD645" i="1"/>
  <c r="AC645" i="1"/>
  <c r="Z645" i="1"/>
  <c r="W645" i="1" s="1"/>
  <c r="Y645" i="1"/>
  <c r="V645" i="1"/>
  <c r="U645" i="1"/>
  <c r="S645" i="1"/>
  <c r="R645" i="1"/>
  <c r="Q645" i="1"/>
  <c r="N645" i="1"/>
  <c r="O645" i="1" s="1"/>
  <c r="M645" i="1"/>
  <c r="J645" i="1"/>
  <c r="K645" i="1" s="1"/>
  <c r="I645" i="1"/>
  <c r="F645" i="1"/>
  <c r="G645" i="1" s="1"/>
  <c r="E645" i="1"/>
  <c r="BN644" i="1"/>
  <c r="BK644" i="1"/>
  <c r="BL644" i="1" s="1"/>
  <c r="BJ644" i="1"/>
  <c r="BH644" i="1"/>
  <c r="BI644" i="1" s="1"/>
  <c r="BF644" i="1"/>
  <c r="BG644" i="1" s="1"/>
  <c r="BE644" i="1"/>
  <c r="BD644" i="1"/>
  <c r="BB644" i="1"/>
  <c r="AZ644" i="1"/>
  <c r="BA644" i="1" s="1"/>
  <c r="AX644" i="1"/>
  <c r="AY644" i="1" s="1"/>
  <c r="AW644" i="1"/>
  <c r="AV644" i="1"/>
  <c r="AT644" i="1"/>
  <c r="AU644" i="1" s="1"/>
  <c r="AR644" i="1"/>
  <c r="AS644" i="1" s="1"/>
  <c r="AP644" i="1"/>
  <c r="AQ644" i="1" s="1"/>
  <c r="AO644" i="1"/>
  <c r="AN644" i="1"/>
  <c r="AL644" i="1"/>
  <c r="AK644" i="1"/>
  <c r="AH644" i="1"/>
  <c r="AI644" i="1" s="1"/>
  <c r="AG644" i="1"/>
  <c r="AF644" i="1"/>
  <c r="AD644" i="1"/>
  <c r="AE644" i="1" s="1"/>
  <c r="AC644" i="1"/>
  <c r="Z644" i="1"/>
  <c r="AA644" i="1" s="1"/>
  <c r="Y644" i="1"/>
  <c r="W644" i="1"/>
  <c r="V644" i="1"/>
  <c r="U644" i="1"/>
  <c r="R644" i="1"/>
  <c r="S644" i="1" s="1"/>
  <c r="Q644" i="1"/>
  <c r="N644" i="1"/>
  <c r="K644" i="1" s="1"/>
  <c r="M644" i="1"/>
  <c r="J644" i="1"/>
  <c r="I644" i="1"/>
  <c r="G644" i="1"/>
  <c r="F644" i="1"/>
  <c r="E644" i="1"/>
  <c r="BN643" i="1"/>
  <c r="BM643" i="1"/>
  <c r="BL643" i="1"/>
  <c r="BK643" i="1"/>
  <c r="BJ643" i="1"/>
  <c r="BI643" i="1"/>
  <c r="BH643" i="1"/>
  <c r="BF643" i="1"/>
  <c r="BG643" i="1" s="1"/>
  <c r="BE643" i="1"/>
  <c r="BD643" i="1"/>
  <c r="BB643" i="1"/>
  <c r="BC643" i="1" s="1"/>
  <c r="BA643" i="1"/>
  <c r="AZ643" i="1"/>
  <c r="AX643" i="1"/>
  <c r="AY643" i="1" s="1"/>
  <c r="AW643" i="1"/>
  <c r="AV643" i="1"/>
  <c r="AT643" i="1"/>
  <c r="AU643" i="1" s="1"/>
  <c r="AS643" i="1"/>
  <c r="AR643" i="1"/>
  <c r="AP643" i="1"/>
  <c r="AQ643" i="1" s="1"/>
  <c r="AO643" i="1"/>
  <c r="AN643" i="1"/>
  <c r="AL643" i="1"/>
  <c r="AM643" i="1" s="1"/>
  <c r="AK643" i="1"/>
  <c r="AH643" i="1"/>
  <c r="AI643" i="1" s="1"/>
  <c r="AF643" i="1"/>
  <c r="AG643" i="1" s="1"/>
  <c r="AE643" i="1"/>
  <c r="AD643" i="1"/>
  <c r="AC643" i="1"/>
  <c r="AA643" i="1"/>
  <c r="Z643" i="1"/>
  <c r="Y643" i="1"/>
  <c r="V643" i="1"/>
  <c r="W643" i="1" s="1"/>
  <c r="U643" i="1"/>
  <c r="R643" i="1"/>
  <c r="S643" i="1" s="1"/>
  <c r="Q643" i="1"/>
  <c r="N643" i="1"/>
  <c r="O643" i="1" s="1"/>
  <c r="M643" i="1"/>
  <c r="K643" i="1"/>
  <c r="J643" i="1"/>
  <c r="I643" i="1"/>
  <c r="F643" i="1"/>
  <c r="G643" i="1" s="1"/>
  <c r="E643" i="1"/>
  <c r="BN642" i="1"/>
  <c r="BM642" i="1"/>
  <c r="BL642" i="1"/>
  <c r="BJ642" i="1"/>
  <c r="BI642" i="1"/>
  <c r="BF642" i="1"/>
  <c r="BG642" i="1" s="1"/>
  <c r="BE642" i="1"/>
  <c r="BB642" i="1"/>
  <c r="AY642" i="1" s="1"/>
  <c r="BA642" i="1"/>
  <c r="AX642" i="1"/>
  <c r="AW642" i="1"/>
  <c r="AU642" i="1"/>
  <c r="AT642" i="1"/>
  <c r="AS642" i="1"/>
  <c r="AP642" i="1"/>
  <c r="AQ642" i="1" s="1"/>
  <c r="AO642" i="1"/>
  <c r="AL642" i="1"/>
  <c r="AM642" i="1" s="1"/>
  <c r="AK642" i="1"/>
  <c r="AH642" i="1"/>
  <c r="AI642" i="1" s="1"/>
  <c r="AG642" i="1"/>
  <c r="AE642" i="1"/>
  <c r="AD642" i="1"/>
  <c r="AC642" i="1"/>
  <c r="Z642" i="1"/>
  <c r="AA642" i="1" s="1"/>
  <c r="Y642" i="1"/>
  <c r="V642" i="1"/>
  <c r="S642" i="1" s="1"/>
  <c r="U642" i="1"/>
  <c r="R642" i="1"/>
  <c r="Q642" i="1"/>
  <c r="O642" i="1"/>
  <c r="N642" i="1"/>
  <c r="M642" i="1"/>
  <c r="J642" i="1"/>
  <c r="K642" i="1" s="1"/>
  <c r="I642" i="1"/>
  <c r="F642" i="1"/>
  <c r="G642" i="1" s="1"/>
  <c r="E642" i="1"/>
  <c r="BN641" i="1"/>
  <c r="BL641" i="1"/>
  <c r="BJ641" i="1"/>
  <c r="BM641" i="1" s="1"/>
  <c r="BI641" i="1"/>
  <c r="BF641" i="1"/>
  <c r="BG641" i="1" s="1"/>
  <c r="BE641" i="1"/>
  <c r="BB641" i="1"/>
  <c r="BC641" i="1" s="1"/>
  <c r="BA641" i="1"/>
  <c r="AY641" i="1"/>
  <c r="AX641" i="1"/>
  <c r="AW641" i="1"/>
  <c r="AT641" i="1"/>
  <c r="AU641" i="1" s="1"/>
  <c r="AS641" i="1"/>
  <c r="AP641" i="1"/>
  <c r="AM641" i="1" s="1"/>
  <c r="AO641" i="1"/>
  <c r="AL641" i="1"/>
  <c r="AK641" i="1"/>
  <c r="AI641" i="1"/>
  <c r="AH641" i="1"/>
  <c r="AG641" i="1"/>
  <c r="AD641" i="1"/>
  <c r="AE641" i="1" s="1"/>
  <c r="AC641" i="1"/>
  <c r="Z641" i="1"/>
  <c r="AA641" i="1" s="1"/>
  <c r="Y641" i="1"/>
  <c r="V641" i="1"/>
  <c r="W641" i="1" s="1"/>
  <c r="U641" i="1"/>
  <c r="S641" i="1"/>
  <c r="R641" i="1"/>
  <c r="Q641" i="1"/>
  <c r="N641" i="1"/>
  <c r="O641" i="1" s="1"/>
  <c r="M641" i="1"/>
  <c r="J641" i="1"/>
  <c r="G641" i="1" s="1"/>
  <c r="I641" i="1"/>
  <c r="F641" i="1"/>
  <c r="E641" i="1"/>
  <c r="BN640" i="1"/>
  <c r="BL640" i="1"/>
  <c r="BJ640" i="1"/>
  <c r="BG640" i="1" s="1"/>
  <c r="BI640" i="1"/>
  <c r="BF640" i="1"/>
  <c r="BE640" i="1"/>
  <c r="BC640" i="1"/>
  <c r="BB640" i="1"/>
  <c r="BA640" i="1"/>
  <c r="AX640" i="1"/>
  <c r="AY640" i="1" s="1"/>
  <c r="AW640" i="1"/>
  <c r="AT640" i="1"/>
  <c r="AU640" i="1" s="1"/>
  <c r="AS640" i="1"/>
  <c r="AP640" i="1"/>
  <c r="AQ640" i="1" s="1"/>
  <c r="AO640" i="1"/>
  <c r="AM640" i="1"/>
  <c r="AL640" i="1"/>
  <c r="AK640" i="1"/>
  <c r="AH640" i="1"/>
  <c r="AI640" i="1" s="1"/>
  <c r="AG640" i="1"/>
  <c r="AD640" i="1"/>
  <c r="AA640" i="1" s="1"/>
  <c r="AC640" i="1"/>
  <c r="Z640" i="1"/>
  <c r="Y640" i="1"/>
  <c r="W640" i="1"/>
  <c r="V640" i="1"/>
  <c r="U640" i="1"/>
  <c r="R640" i="1"/>
  <c r="S640" i="1" s="1"/>
  <c r="Q640" i="1"/>
  <c r="N640" i="1"/>
  <c r="M640" i="1"/>
  <c r="J640" i="1"/>
  <c r="K640" i="1" s="1"/>
  <c r="I640" i="1"/>
  <c r="G640" i="1"/>
  <c r="F640" i="1"/>
  <c r="E640" i="1"/>
  <c r="BN639" i="1"/>
  <c r="BM639" i="1"/>
  <c r="BL639" i="1"/>
  <c r="BJ639" i="1"/>
  <c r="BI639" i="1"/>
  <c r="BG639" i="1"/>
  <c r="BF639" i="1"/>
  <c r="BE639" i="1"/>
  <c r="BB639" i="1"/>
  <c r="BC639" i="1" s="1"/>
  <c r="BA639" i="1"/>
  <c r="AX639" i="1"/>
  <c r="AU639" i="1" s="1"/>
  <c r="AW639" i="1"/>
  <c r="AT639" i="1"/>
  <c r="AS639" i="1"/>
  <c r="AQ639" i="1"/>
  <c r="AP639" i="1"/>
  <c r="AO639" i="1"/>
  <c r="AL639" i="1"/>
  <c r="AM639" i="1" s="1"/>
  <c r="AK639" i="1"/>
  <c r="AH639" i="1"/>
  <c r="AG639" i="1"/>
  <c r="AD639" i="1"/>
  <c r="AC639" i="1"/>
  <c r="AA639" i="1"/>
  <c r="Z639" i="1"/>
  <c r="Y639" i="1"/>
  <c r="V639" i="1"/>
  <c r="W639" i="1" s="1"/>
  <c r="U639" i="1"/>
  <c r="R639" i="1"/>
  <c r="O639" i="1" s="1"/>
  <c r="Q639" i="1"/>
  <c r="N639" i="1"/>
  <c r="M639" i="1"/>
  <c r="K639" i="1"/>
  <c r="J639" i="1"/>
  <c r="I639" i="1"/>
  <c r="F639" i="1"/>
  <c r="G639" i="1" s="1"/>
  <c r="E639" i="1"/>
  <c r="BN638" i="1"/>
  <c r="BM638" i="1"/>
  <c r="BL638" i="1"/>
  <c r="BJ638" i="1"/>
  <c r="BI638" i="1"/>
  <c r="BF638" i="1"/>
  <c r="BG638" i="1" s="1"/>
  <c r="BE638" i="1"/>
  <c r="BB638" i="1"/>
  <c r="BC638" i="1" s="1"/>
  <c r="BA638" i="1"/>
  <c r="AX638" i="1"/>
  <c r="AY638" i="1" s="1"/>
  <c r="AW638" i="1"/>
  <c r="AU638" i="1"/>
  <c r="AT638" i="1"/>
  <c r="AS638" i="1"/>
  <c r="AP638" i="1"/>
  <c r="AQ638" i="1" s="1"/>
  <c r="AO638" i="1"/>
  <c r="AL638" i="1"/>
  <c r="AI638" i="1" s="1"/>
  <c r="AK638" i="1"/>
  <c r="AH638" i="1"/>
  <c r="AG638" i="1"/>
  <c r="AE638" i="1"/>
  <c r="AD638" i="1"/>
  <c r="AC638" i="1"/>
  <c r="Z638" i="1"/>
  <c r="AA638" i="1" s="1"/>
  <c r="Y638" i="1"/>
  <c r="V638" i="1"/>
  <c r="U638" i="1"/>
  <c r="R638" i="1"/>
  <c r="S638" i="1" s="1"/>
  <c r="Q638" i="1"/>
  <c r="O638" i="1"/>
  <c r="N638" i="1"/>
  <c r="M638" i="1"/>
  <c r="J638" i="1"/>
  <c r="K638" i="1" s="1"/>
  <c r="I638" i="1"/>
  <c r="F638" i="1"/>
  <c r="G638" i="1" s="1"/>
  <c r="E638" i="1"/>
  <c r="BN637" i="1"/>
  <c r="BL637" i="1"/>
  <c r="BJ637" i="1"/>
  <c r="BM637" i="1" s="1"/>
  <c r="BI637" i="1"/>
  <c r="BF637" i="1"/>
  <c r="BC637" i="1" s="1"/>
  <c r="BE637" i="1"/>
  <c r="BB637" i="1"/>
  <c r="BA637" i="1"/>
  <c r="AY637" i="1"/>
  <c r="AX637" i="1"/>
  <c r="AW637" i="1"/>
  <c r="AT637" i="1"/>
  <c r="AU637" i="1" s="1"/>
  <c r="AS637" i="1"/>
  <c r="AP637" i="1"/>
  <c r="AO637" i="1"/>
  <c r="AL637" i="1"/>
  <c r="AK637" i="1"/>
  <c r="AI637" i="1"/>
  <c r="AH637" i="1"/>
  <c r="AG637" i="1"/>
  <c r="AD637" i="1"/>
  <c r="AE637" i="1" s="1"/>
  <c r="AC637" i="1"/>
  <c r="Z637" i="1"/>
  <c r="W637" i="1" s="1"/>
  <c r="Y637" i="1"/>
  <c r="V637" i="1"/>
  <c r="U637" i="1"/>
  <c r="S637" i="1"/>
  <c r="R637" i="1"/>
  <c r="P637" i="1"/>
  <c r="Q637" i="1" s="1"/>
  <c r="O637" i="1"/>
  <c r="N637" i="1"/>
  <c r="L637" i="1"/>
  <c r="M637" i="1" s="1"/>
  <c r="K637" i="1"/>
  <c r="J637" i="1"/>
  <c r="H637" i="1"/>
  <c r="I637" i="1" s="1"/>
  <c r="G637" i="1"/>
  <c r="F637" i="1"/>
  <c r="D637" i="1"/>
  <c r="E637" i="1" s="1"/>
  <c r="BN636" i="1"/>
  <c r="BL636" i="1"/>
  <c r="BJ636" i="1"/>
  <c r="BG636" i="1" s="1"/>
  <c r="BI636" i="1"/>
  <c r="BF636" i="1"/>
  <c r="BE636" i="1"/>
  <c r="BC636" i="1"/>
  <c r="BB636" i="1"/>
  <c r="BA636" i="1"/>
  <c r="AX636" i="1"/>
  <c r="AY636" i="1" s="1"/>
  <c r="AW636" i="1"/>
  <c r="AT636" i="1"/>
  <c r="AS636" i="1"/>
  <c r="AP636" i="1"/>
  <c r="AQ636" i="1" s="1"/>
  <c r="AO636" i="1"/>
  <c r="AM636" i="1"/>
  <c r="AL636" i="1"/>
  <c r="AK636" i="1"/>
  <c r="AH636" i="1"/>
  <c r="AI636" i="1" s="1"/>
  <c r="AG636" i="1"/>
  <c r="AD636" i="1"/>
  <c r="AA636" i="1" s="1"/>
  <c r="AC636" i="1"/>
  <c r="Z636" i="1"/>
  <c r="Y636" i="1"/>
  <c r="W636" i="1"/>
  <c r="V636" i="1"/>
  <c r="U636" i="1"/>
  <c r="R636" i="1"/>
  <c r="S636" i="1" s="1"/>
  <c r="Q636" i="1"/>
  <c r="P636" i="1"/>
  <c r="N636" i="1"/>
  <c r="M636" i="1"/>
  <c r="L636" i="1"/>
  <c r="J636" i="1"/>
  <c r="K636" i="1" s="1"/>
  <c r="I636" i="1"/>
  <c r="H636" i="1"/>
  <c r="F636" i="1"/>
  <c r="E636" i="1"/>
  <c r="BN635" i="1"/>
  <c r="BM635" i="1"/>
  <c r="BL635" i="1"/>
  <c r="BJ635" i="1"/>
  <c r="BI635" i="1"/>
  <c r="BF635" i="1"/>
  <c r="BG635" i="1" s="1"/>
  <c r="BE635" i="1"/>
  <c r="BB635" i="1"/>
  <c r="AY635" i="1" s="1"/>
  <c r="BA635" i="1"/>
  <c r="AX635" i="1"/>
  <c r="AW635" i="1"/>
  <c r="AU635" i="1"/>
  <c r="AT635" i="1"/>
  <c r="AS635" i="1"/>
  <c r="AP635" i="1"/>
  <c r="AQ635" i="1" s="1"/>
  <c r="AO635" i="1"/>
  <c r="AL635" i="1"/>
  <c r="AM635" i="1" s="1"/>
  <c r="AK635" i="1"/>
  <c r="AH635" i="1"/>
  <c r="AG635" i="1"/>
  <c r="AE635" i="1"/>
  <c r="AD635" i="1"/>
  <c r="AC635" i="1"/>
  <c r="Z635" i="1"/>
  <c r="AA635" i="1" s="1"/>
  <c r="Y635" i="1"/>
  <c r="V635" i="1"/>
  <c r="S635" i="1" s="1"/>
  <c r="U635" i="1"/>
  <c r="R635" i="1"/>
  <c r="O635" i="1" s="1"/>
  <c r="P635" i="1"/>
  <c r="Q635" i="1" s="1"/>
  <c r="N635" i="1"/>
  <c r="L635" i="1"/>
  <c r="M635" i="1" s="1"/>
  <c r="K635" i="1"/>
  <c r="J635" i="1"/>
  <c r="G635" i="1" s="1"/>
  <c r="H635" i="1"/>
  <c r="I635" i="1" s="1"/>
  <c r="F635" i="1"/>
  <c r="E635" i="1"/>
  <c r="BN634" i="1"/>
  <c r="BL634" i="1"/>
  <c r="BJ634" i="1"/>
  <c r="BI634" i="1"/>
  <c r="BF634" i="1"/>
  <c r="BE634" i="1"/>
  <c r="BC634" i="1"/>
  <c r="BB634" i="1"/>
  <c r="BA634" i="1"/>
  <c r="AX634" i="1"/>
  <c r="AY634" i="1" s="1"/>
  <c r="AW634" i="1"/>
  <c r="AT634" i="1"/>
  <c r="AQ634" i="1" s="1"/>
  <c r="AS634" i="1"/>
  <c r="AP634" i="1"/>
  <c r="AO634" i="1"/>
  <c r="AM634" i="1"/>
  <c r="AL634" i="1"/>
  <c r="AK634" i="1"/>
  <c r="AH634" i="1"/>
  <c r="AI634" i="1" s="1"/>
  <c r="AG634" i="1"/>
  <c r="AD634" i="1"/>
  <c r="AC634" i="1"/>
  <c r="Z634" i="1"/>
  <c r="Y634" i="1"/>
  <c r="W634" i="1"/>
  <c r="V634" i="1"/>
  <c r="U634" i="1"/>
  <c r="R634" i="1"/>
  <c r="S634" i="1" s="1"/>
  <c r="Q634" i="1"/>
  <c r="N634" i="1"/>
  <c r="K634" i="1" s="1"/>
  <c r="M634" i="1"/>
  <c r="J634" i="1"/>
  <c r="I634" i="1"/>
  <c r="G634" i="1"/>
  <c r="F634" i="1"/>
  <c r="E634" i="1"/>
  <c r="BN633" i="1"/>
  <c r="BM633" i="1"/>
  <c r="BL633" i="1"/>
  <c r="BJ633" i="1"/>
  <c r="BG633" i="1" s="1"/>
  <c r="BH633" i="1"/>
  <c r="BI633" i="1" s="1"/>
  <c r="BF633" i="1"/>
  <c r="BD633" i="1"/>
  <c r="BE633" i="1" s="1"/>
  <c r="BC633" i="1"/>
  <c r="BB633" i="1"/>
  <c r="AY633" i="1" s="1"/>
  <c r="AZ633" i="1"/>
  <c r="BA633" i="1" s="1"/>
  <c r="AX633" i="1"/>
  <c r="AW633" i="1"/>
  <c r="AU633" i="1"/>
  <c r="AT633" i="1"/>
  <c r="AR633" i="1"/>
  <c r="AS633" i="1" s="1"/>
  <c r="AQ633" i="1"/>
  <c r="AP633" i="1"/>
  <c r="AN633" i="1"/>
  <c r="AO633" i="1" s="1"/>
  <c r="AM633" i="1"/>
  <c r="AL633" i="1"/>
  <c r="AK633" i="1"/>
  <c r="AH633" i="1"/>
  <c r="AI633" i="1" s="1"/>
  <c r="AG633" i="1"/>
  <c r="AD633" i="1"/>
  <c r="AE633" i="1" s="1"/>
  <c r="AC633" i="1"/>
  <c r="AB633" i="1"/>
  <c r="Z633" i="1"/>
  <c r="AA633" i="1" s="1"/>
  <c r="Y633" i="1"/>
  <c r="X633" i="1"/>
  <c r="V633" i="1"/>
  <c r="S633" i="1" s="1"/>
  <c r="U633" i="1"/>
  <c r="R633" i="1"/>
  <c r="Q633" i="1"/>
  <c r="O633" i="1"/>
  <c r="N633" i="1"/>
  <c r="M633" i="1"/>
  <c r="J633" i="1"/>
  <c r="K633" i="1" s="1"/>
  <c r="I633" i="1"/>
  <c r="F633" i="1"/>
  <c r="G633" i="1" s="1"/>
  <c r="E633" i="1"/>
  <c r="BN632" i="1"/>
  <c r="BL632" i="1"/>
  <c r="BJ632" i="1"/>
  <c r="BM632" i="1" s="1"/>
  <c r="BI632" i="1"/>
  <c r="BH632" i="1"/>
  <c r="BF632" i="1"/>
  <c r="BE632" i="1"/>
  <c r="BD632" i="1"/>
  <c r="BB632" i="1"/>
  <c r="BC632" i="1" s="1"/>
  <c r="BA632" i="1"/>
  <c r="AZ632" i="1"/>
  <c r="AX632" i="1"/>
  <c r="AY632" i="1" s="1"/>
  <c r="AW632" i="1"/>
  <c r="AT632" i="1"/>
  <c r="AU632" i="1" s="1"/>
  <c r="AS632" i="1"/>
  <c r="AR632" i="1"/>
  <c r="AP632" i="1"/>
  <c r="AQ632" i="1" s="1"/>
  <c r="AO632" i="1"/>
  <c r="AN632" i="1"/>
  <c r="AL632" i="1"/>
  <c r="AI632" i="1" s="1"/>
  <c r="AK632" i="1"/>
  <c r="AH632" i="1"/>
  <c r="AG632" i="1"/>
  <c r="AE632" i="1"/>
  <c r="AD632" i="1"/>
  <c r="AB632" i="1"/>
  <c r="AC632" i="1" s="1"/>
  <c r="AA632" i="1"/>
  <c r="Z632" i="1"/>
  <c r="X632" i="1"/>
  <c r="Y632" i="1" s="1"/>
  <c r="W632" i="1"/>
  <c r="V632" i="1"/>
  <c r="U632" i="1"/>
  <c r="R632" i="1"/>
  <c r="S632" i="1" s="1"/>
  <c r="Q632" i="1"/>
  <c r="N632" i="1"/>
  <c r="O632" i="1" s="1"/>
  <c r="M632" i="1"/>
  <c r="J632" i="1"/>
  <c r="I632" i="1"/>
  <c r="G632" i="1"/>
  <c r="F632" i="1"/>
  <c r="E632" i="1"/>
  <c r="BN631" i="1"/>
  <c r="BM631" i="1"/>
  <c r="BL631" i="1"/>
  <c r="BJ631" i="1"/>
  <c r="BH631" i="1"/>
  <c r="BI631" i="1" s="1"/>
  <c r="BG631" i="1"/>
  <c r="BF631" i="1"/>
  <c r="BC631" i="1" s="1"/>
  <c r="BD631" i="1"/>
  <c r="BE631" i="1" s="1"/>
  <c r="BB631" i="1"/>
  <c r="AZ631" i="1"/>
  <c r="BA631" i="1" s="1"/>
  <c r="AY631" i="1"/>
  <c r="AX631" i="1"/>
  <c r="AW631" i="1"/>
  <c r="AU631" i="1"/>
  <c r="AT631" i="1"/>
  <c r="AR631" i="1"/>
  <c r="AS631" i="1" s="1"/>
  <c r="AQ631" i="1"/>
  <c r="AP631" i="1"/>
  <c r="AN631" i="1"/>
  <c r="AO631" i="1" s="1"/>
  <c r="AM631" i="1"/>
  <c r="AL631" i="1"/>
  <c r="AK631" i="1"/>
  <c r="AH631" i="1"/>
  <c r="AI631" i="1" s="1"/>
  <c r="AG631" i="1"/>
  <c r="AD631" i="1"/>
  <c r="AC631" i="1"/>
  <c r="AB631" i="1"/>
  <c r="Z631" i="1"/>
  <c r="AA631" i="1" s="1"/>
  <c r="Y631" i="1"/>
  <c r="X631" i="1"/>
  <c r="V631" i="1"/>
  <c r="W631" i="1" s="1"/>
  <c r="U631" i="1"/>
  <c r="R631" i="1"/>
  <c r="Q631" i="1"/>
  <c r="O631" i="1"/>
  <c r="N631" i="1"/>
  <c r="M631" i="1"/>
  <c r="J631" i="1"/>
  <c r="K631" i="1" s="1"/>
  <c r="I631" i="1"/>
  <c r="F631" i="1"/>
  <c r="G631" i="1" s="1"/>
  <c r="E631" i="1"/>
  <c r="BN630" i="1"/>
  <c r="BL630" i="1"/>
  <c r="BJ630" i="1"/>
  <c r="BM630" i="1" s="1"/>
  <c r="BI630" i="1"/>
  <c r="BF630" i="1"/>
  <c r="BC630" i="1" s="1"/>
  <c r="BE630" i="1"/>
  <c r="BB630" i="1"/>
  <c r="BA630" i="1"/>
  <c r="AY630" i="1"/>
  <c r="AX630" i="1"/>
  <c r="AW630" i="1"/>
  <c r="AT630" i="1"/>
  <c r="AU630" i="1" s="1"/>
  <c r="AS630" i="1"/>
  <c r="AP630" i="1"/>
  <c r="AQ630" i="1" s="1"/>
  <c r="AO630" i="1"/>
  <c r="AL630" i="1"/>
  <c r="AK630" i="1"/>
  <c r="AI630" i="1"/>
  <c r="AH630" i="1"/>
  <c r="AG630" i="1"/>
  <c r="AD630" i="1"/>
  <c r="AE630" i="1" s="1"/>
  <c r="AC630" i="1"/>
  <c r="Z630" i="1"/>
  <c r="W630" i="1" s="1"/>
  <c r="Y630" i="1"/>
  <c r="V630" i="1"/>
  <c r="U630" i="1"/>
  <c r="S630" i="1"/>
  <c r="R630" i="1"/>
  <c r="Q630" i="1"/>
  <c r="N630" i="1"/>
  <c r="O630" i="1" s="1"/>
  <c r="M630" i="1"/>
  <c r="J630" i="1"/>
  <c r="I630" i="1"/>
  <c r="F630" i="1"/>
  <c r="E630" i="1"/>
  <c r="BN629" i="1"/>
  <c r="BL629" i="1"/>
  <c r="BJ629" i="1"/>
  <c r="BM629" i="1" s="1"/>
  <c r="BI629" i="1"/>
  <c r="BF629" i="1"/>
  <c r="BE629" i="1"/>
  <c r="BC629" i="1"/>
  <c r="BB629" i="1"/>
  <c r="BA629" i="1"/>
  <c r="AX629" i="1"/>
  <c r="AY629" i="1" s="1"/>
  <c r="AW629" i="1"/>
  <c r="AT629" i="1"/>
  <c r="AQ629" i="1" s="1"/>
  <c r="AS629" i="1"/>
  <c r="AP629" i="1"/>
  <c r="AO629" i="1"/>
  <c r="AM629" i="1"/>
  <c r="AL629" i="1"/>
  <c r="AK629" i="1"/>
  <c r="AH629" i="1"/>
  <c r="AI629" i="1" s="1"/>
  <c r="AG629" i="1"/>
  <c r="AD629" i="1"/>
  <c r="AC629" i="1"/>
  <c r="Z629" i="1"/>
  <c r="Y629" i="1"/>
  <c r="W629" i="1"/>
  <c r="V629" i="1"/>
  <c r="U629" i="1"/>
  <c r="R629" i="1"/>
  <c r="S629" i="1" s="1"/>
  <c r="Q629" i="1"/>
  <c r="N629" i="1"/>
  <c r="K629" i="1" s="1"/>
  <c r="M629" i="1"/>
  <c r="J629" i="1"/>
  <c r="I629" i="1"/>
  <c r="G629" i="1"/>
  <c r="F629" i="1"/>
  <c r="E629" i="1"/>
  <c r="BN628" i="1"/>
  <c r="BM628" i="1"/>
  <c r="BL628" i="1"/>
  <c r="BJ628" i="1"/>
  <c r="BI628" i="1"/>
  <c r="BG628" i="1"/>
  <c r="BF628" i="1"/>
  <c r="BE628" i="1"/>
  <c r="BB628" i="1"/>
  <c r="BC628" i="1" s="1"/>
  <c r="BA628" i="1"/>
  <c r="AX628" i="1"/>
  <c r="AY628" i="1" s="1"/>
  <c r="AW628" i="1"/>
  <c r="AT628" i="1"/>
  <c r="AS628" i="1"/>
  <c r="AQ628" i="1"/>
  <c r="AP628" i="1"/>
  <c r="AO628" i="1"/>
  <c r="AL628" i="1"/>
  <c r="AM628" i="1" s="1"/>
  <c r="AK628" i="1"/>
  <c r="AH628" i="1"/>
  <c r="AE628" i="1" s="1"/>
  <c r="AG628" i="1"/>
  <c r="AD628" i="1"/>
  <c r="AC628" i="1"/>
  <c r="AA628" i="1"/>
  <c r="Z628" i="1"/>
  <c r="Y628" i="1"/>
  <c r="V628" i="1"/>
  <c r="W628" i="1" s="1"/>
  <c r="U628" i="1"/>
  <c r="R628" i="1"/>
  <c r="Q628" i="1"/>
  <c r="N628" i="1"/>
  <c r="M628" i="1"/>
  <c r="K628" i="1"/>
  <c r="J628" i="1"/>
  <c r="I628" i="1"/>
  <c r="F628" i="1"/>
  <c r="G628" i="1" s="1"/>
  <c r="E628" i="1"/>
  <c r="BN627" i="1"/>
  <c r="BM627" i="1"/>
  <c r="BL627" i="1"/>
  <c r="BJ627" i="1"/>
  <c r="BI627" i="1"/>
  <c r="BF627" i="1"/>
  <c r="BG627" i="1" s="1"/>
  <c r="BE627" i="1"/>
  <c r="BB627" i="1"/>
  <c r="AY627" i="1" s="1"/>
  <c r="BA627" i="1"/>
  <c r="AX627" i="1"/>
  <c r="AW627" i="1"/>
  <c r="AU627" i="1"/>
  <c r="AT627" i="1"/>
  <c r="AS627" i="1"/>
  <c r="AP627" i="1"/>
  <c r="AQ627" i="1" s="1"/>
  <c r="AO627" i="1"/>
  <c r="AL627" i="1"/>
  <c r="AM627" i="1" s="1"/>
  <c r="AK627" i="1"/>
  <c r="AH627" i="1"/>
  <c r="AG627" i="1"/>
  <c r="AE627" i="1"/>
  <c r="AD627" i="1"/>
  <c r="AC627" i="1"/>
  <c r="Z627" i="1"/>
  <c r="AA627" i="1" s="1"/>
  <c r="Y627" i="1"/>
  <c r="V627" i="1"/>
  <c r="S627" i="1" s="1"/>
  <c r="U627" i="1"/>
  <c r="R627" i="1"/>
  <c r="Q627" i="1"/>
  <c r="O627" i="1"/>
  <c r="N627" i="1"/>
  <c r="M627" i="1"/>
  <c r="J627" i="1"/>
  <c r="K627" i="1" s="1"/>
  <c r="I627" i="1"/>
  <c r="F627" i="1"/>
  <c r="G627" i="1" s="1"/>
  <c r="E627" i="1"/>
  <c r="BN626" i="1"/>
  <c r="BL626" i="1"/>
  <c r="BJ626" i="1"/>
  <c r="BM626" i="1" s="1"/>
  <c r="BI626" i="1"/>
  <c r="BF626" i="1"/>
  <c r="BG626" i="1" s="1"/>
  <c r="BE626" i="1"/>
  <c r="BB626" i="1"/>
  <c r="BA626" i="1"/>
  <c r="AY626" i="1"/>
  <c r="AX626" i="1"/>
  <c r="AW626" i="1"/>
  <c r="AT626" i="1"/>
  <c r="AU626" i="1" s="1"/>
  <c r="AS626" i="1"/>
  <c r="AP626" i="1"/>
  <c r="AM626" i="1" s="1"/>
  <c r="AO626" i="1"/>
  <c r="AL626" i="1"/>
  <c r="AK626" i="1"/>
  <c r="AI626" i="1"/>
  <c r="AH626" i="1"/>
  <c r="AG626" i="1"/>
  <c r="AD626" i="1"/>
  <c r="AE626" i="1" s="1"/>
  <c r="AC626" i="1"/>
  <c r="Z626" i="1"/>
  <c r="AA626" i="1" s="1"/>
  <c r="Y626" i="1"/>
  <c r="V626" i="1"/>
  <c r="U626" i="1"/>
  <c r="S626" i="1"/>
  <c r="R626" i="1"/>
  <c r="Q626" i="1"/>
  <c r="N626" i="1"/>
  <c r="O626" i="1" s="1"/>
  <c r="M626" i="1"/>
  <c r="J626" i="1"/>
  <c r="G626" i="1" s="1"/>
  <c r="I626" i="1"/>
  <c r="F626" i="1"/>
  <c r="E626" i="1"/>
  <c r="BN625" i="1"/>
  <c r="BL625" i="1"/>
  <c r="BJ625" i="1"/>
  <c r="BG625" i="1" s="1"/>
  <c r="BI625" i="1"/>
  <c r="BF625" i="1"/>
  <c r="BE625" i="1"/>
  <c r="BC625" i="1"/>
  <c r="BB625" i="1"/>
  <c r="BA625" i="1"/>
  <c r="AX625" i="1"/>
  <c r="AY625" i="1" s="1"/>
  <c r="AW625" i="1"/>
  <c r="AT625" i="1"/>
  <c r="AU625" i="1" s="1"/>
  <c r="AS625" i="1"/>
  <c r="AP625" i="1"/>
  <c r="AO625" i="1"/>
  <c r="AM625" i="1"/>
  <c r="AL625" i="1"/>
  <c r="AK625" i="1"/>
  <c r="AH625" i="1"/>
  <c r="AI625" i="1" s="1"/>
  <c r="AG625" i="1"/>
  <c r="AF625" i="1"/>
  <c r="AD625" i="1"/>
  <c r="AE625" i="1" s="1"/>
  <c r="AC625" i="1"/>
  <c r="Z625" i="1"/>
  <c r="Y625" i="1"/>
  <c r="V625" i="1"/>
  <c r="U625" i="1"/>
  <c r="S625" i="1"/>
  <c r="R625" i="1"/>
  <c r="Q625" i="1"/>
  <c r="N625" i="1"/>
  <c r="O625" i="1" s="1"/>
  <c r="M625" i="1"/>
  <c r="J625" i="1"/>
  <c r="G625" i="1" s="1"/>
  <c r="I625" i="1"/>
  <c r="F625" i="1"/>
  <c r="E625" i="1"/>
  <c r="BN624" i="1"/>
  <c r="BL624" i="1"/>
  <c r="BJ624" i="1"/>
  <c r="BG624" i="1" s="1"/>
  <c r="BI624" i="1"/>
  <c r="BF624" i="1"/>
  <c r="BE624" i="1"/>
  <c r="BC624" i="1"/>
  <c r="BB624" i="1"/>
  <c r="BA624" i="1"/>
  <c r="AX624" i="1"/>
  <c r="AY624" i="1" s="1"/>
  <c r="AW624" i="1"/>
  <c r="AT624" i="1"/>
  <c r="AS624" i="1"/>
  <c r="AP624" i="1"/>
  <c r="AO624" i="1"/>
  <c r="AM624" i="1"/>
  <c r="AL624" i="1"/>
  <c r="AK624" i="1"/>
  <c r="AH624" i="1"/>
  <c r="AI624" i="1" s="1"/>
  <c r="AG624" i="1"/>
  <c r="AF624" i="1"/>
  <c r="AD624" i="1"/>
  <c r="AE624" i="1" s="1"/>
  <c r="AC624" i="1"/>
  <c r="Z624" i="1"/>
  <c r="AA624" i="1" s="1"/>
  <c r="Y624" i="1"/>
  <c r="V624" i="1"/>
  <c r="U624" i="1"/>
  <c r="S624" i="1"/>
  <c r="R624" i="1"/>
  <c r="Q624" i="1"/>
  <c r="N624" i="1"/>
  <c r="O624" i="1" s="1"/>
  <c r="M624" i="1"/>
  <c r="J624" i="1"/>
  <c r="G624" i="1" s="1"/>
  <c r="I624" i="1"/>
  <c r="F624" i="1"/>
  <c r="E624" i="1"/>
  <c r="BN623" i="1"/>
  <c r="BL623" i="1"/>
  <c r="BJ623" i="1"/>
  <c r="BG623" i="1" s="1"/>
  <c r="BI623" i="1"/>
  <c r="BF623" i="1"/>
  <c r="BE623" i="1"/>
  <c r="BC623" i="1"/>
  <c r="BB623" i="1"/>
  <c r="BA623" i="1"/>
  <c r="AX623" i="1"/>
  <c r="AY623" i="1" s="1"/>
  <c r="AW623" i="1"/>
  <c r="AT623" i="1"/>
  <c r="AU623" i="1" s="1"/>
  <c r="AS623" i="1"/>
  <c r="AP623" i="1"/>
  <c r="AO623" i="1"/>
  <c r="AM623" i="1"/>
  <c r="AL623" i="1"/>
  <c r="AK623" i="1"/>
  <c r="AH623" i="1"/>
  <c r="AI623" i="1" s="1"/>
  <c r="AG623" i="1"/>
  <c r="AF623" i="1"/>
  <c r="AD623" i="1"/>
  <c r="AE623" i="1" s="1"/>
  <c r="AC623" i="1"/>
  <c r="Z623" i="1"/>
  <c r="Y623" i="1"/>
  <c r="V623" i="1"/>
  <c r="U623" i="1"/>
  <c r="S623" i="1"/>
  <c r="R623" i="1"/>
  <c r="Q623" i="1"/>
  <c r="N623" i="1"/>
  <c r="O623" i="1" s="1"/>
  <c r="M623" i="1"/>
  <c r="J623" i="1"/>
  <c r="G623" i="1" s="1"/>
  <c r="I623" i="1"/>
  <c r="F623" i="1"/>
  <c r="E623" i="1"/>
  <c r="BN622" i="1"/>
  <c r="BL622" i="1"/>
  <c r="BJ622" i="1"/>
  <c r="BG622" i="1" s="1"/>
  <c r="BI622" i="1"/>
  <c r="BF622" i="1"/>
  <c r="BE622" i="1"/>
  <c r="BC622" i="1"/>
  <c r="BB622" i="1"/>
  <c r="BA622" i="1"/>
  <c r="AX622" i="1"/>
  <c r="AY622" i="1" s="1"/>
  <c r="AW622" i="1"/>
  <c r="AT622" i="1"/>
  <c r="AS622" i="1"/>
  <c r="AP622" i="1"/>
  <c r="AO622" i="1"/>
  <c r="AM622" i="1"/>
  <c r="AL622" i="1"/>
  <c r="AK622" i="1"/>
  <c r="AH622" i="1"/>
  <c r="AI622" i="1" s="1"/>
  <c r="AG622" i="1"/>
  <c r="AD622" i="1"/>
  <c r="AA622" i="1" s="1"/>
  <c r="AC622" i="1"/>
  <c r="Z622" i="1"/>
  <c r="Y622" i="1"/>
  <c r="W622" i="1"/>
  <c r="V622" i="1"/>
  <c r="U622" i="1"/>
  <c r="R622" i="1"/>
  <c r="S622" i="1" s="1"/>
  <c r="Q622" i="1"/>
  <c r="N622" i="1"/>
  <c r="O622" i="1" s="1"/>
  <c r="M622" i="1"/>
  <c r="J622" i="1"/>
  <c r="I622" i="1"/>
  <c r="G622" i="1"/>
  <c r="F622" i="1"/>
  <c r="E622" i="1"/>
  <c r="BN621" i="1"/>
  <c r="BM621" i="1"/>
  <c r="BL621" i="1"/>
  <c r="BJ621" i="1"/>
  <c r="BI621" i="1"/>
  <c r="BG621" i="1"/>
  <c r="BF621" i="1"/>
  <c r="BE621" i="1"/>
  <c r="BB621" i="1"/>
  <c r="BC621" i="1" s="1"/>
  <c r="BA621" i="1"/>
  <c r="AX621" i="1"/>
  <c r="AU621" i="1" s="1"/>
  <c r="AW621" i="1"/>
  <c r="AT621" i="1"/>
  <c r="AS621" i="1"/>
  <c r="AQ621" i="1"/>
  <c r="AP621" i="1"/>
  <c r="AO621" i="1"/>
  <c r="AL621" i="1"/>
  <c r="AM621" i="1" s="1"/>
  <c r="AK621" i="1"/>
  <c r="AH621" i="1"/>
  <c r="AI621" i="1" s="1"/>
  <c r="AG621" i="1"/>
  <c r="AD621" i="1"/>
  <c r="AC621" i="1"/>
  <c r="AA621" i="1"/>
  <c r="Z621" i="1"/>
  <c r="Y621" i="1"/>
  <c r="V621" i="1"/>
  <c r="W621" i="1" s="1"/>
  <c r="U621" i="1"/>
  <c r="R621" i="1"/>
  <c r="O621" i="1" s="1"/>
  <c r="Q621" i="1"/>
  <c r="N621" i="1"/>
  <c r="M621" i="1"/>
  <c r="K621" i="1"/>
  <c r="J621" i="1"/>
  <c r="I621" i="1"/>
  <c r="F621" i="1"/>
  <c r="G621" i="1" s="1"/>
  <c r="E621" i="1"/>
  <c r="BN620" i="1"/>
  <c r="BM620" i="1"/>
  <c r="BL620" i="1"/>
  <c r="BJ620" i="1"/>
  <c r="BI620" i="1"/>
  <c r="BF620" i="1"/>
  <c r="BG620" i="1" s="1"/>
  <c r="BE620" i="1"/>
  <c r="BB620" i="1"/>
  <c r="BA620" i="1"/>
  <c r="AX620" i="1"/>
  <c r="AY620" i="1" s="1"/>
  <c r="AW620" i="1"/>
  <c r="AU620" i="1"/>
  <c r="AT620" i="1"/>
  <c r="AS620" i="1"/>
  <c r="AP620" i="1"/>
  <c r="AQ620" i="1" s="1"/>
  <c r="AO620" i="1"/>
  <c r="AL620" i="1"/>
  <c r="AI620" i="1" s="1"/>
  <c r="AK620" i="1"/>
  <c r="AH620" i="1"/>
  <c r="AG620" i="1"/>
  <c r="AE620" i="1"/>
  <c r="AD620" i="1"/>
  <c r="AC620" i="1"/>
  <c r="Z620" i="1"/>
  <c r="AA620" i="1" s="1"/>
  <c r="Y620" i="1"/>
  <c r="V620" i="1"/>
  <c r="W620" i="1" s="1"/>
  <c r="U620" i="1"/>
  <c r="R620" i="1"/>
  <c r="S620" i="1" s="1"/>
  <c r="Q620" i="1"/>
  <c r="O620" i="1"/>
  <c r="N620" i="1"/>
  <c r="M620" i="1"/>
  <c r="J620" i="1"/>
  <c r="K620" i="1" s="1"/>
  <c r="I620" i="1"/>
  <c r="F620" i="1"/>
  <c r="G620" i="1" s="1"/>
  <c r="E620" i="1"/>
  <c r="BN619" i="1"/>
  <c r="BL619" i="1"/>
  <c r="BJ619" i="1"/>
  <c r="BM619" i="1" s="1"/>
  <c r="BI619" i="1"/>
  <c r="BF619" i="1"/>
  <c r="BC619" i="1" s="1"/>
  <c r="BE619" i="1"/>
  <c r="BB619" i="1"/>
  <c r="BA619" i="1"/>
  <c r="AY619" i="1"/>
  <c r="AX619" i="1"/>
  <c r="AW619" i="1"/>
  <c r="AT619" i="1"/>
  <c r="AU619" i="1" s="1"/>
  <c r="AS619" i="1"/>
  <c r="AP619" i="1"/>
  <c r="AQ619" i="1" s="1"/>
  <c r="AO619" i="1"/>
  <c r="AL619" i="1"/>
  <c r="AM619" i="1" s="1"/>
  <c r="AK619" i="1"/>
  <c r="AI619" i="1"/>
  <c r="AH619" i="1"/>
  <c r="AG619" i="1"/>
  <c r="AD619" i="1"/>
  <c r="AE619" i="1" s="1"/>
  <c r="AC619" i="1"/>
  <c r="Z619" i="1"/>
  <c r="W619" i="1" s="1"/>
  <c r="Y619" i="1"/>
  <c r="V619" i="1"/>
  <c r="U619" i="1"/>
  <c r="S619" i="1"/>
  <c r="R619" i="1"/>
  <c r="Q619" i="1"/>
  <c r="N619" i="1"/>
  <c r="O619" i="1" s="1"/>
  <c r="M619" i="1"/>
  <c r="J619" i="1"/>
  <c r="I619" i="1"/>
  <c r="F619" i="1"/>
  <c r="G619" i="1" s="1"/>
  <c r="E619" i="1"/>
  <c r="BN618" i="1"/>
  <c r="BL618" i="1"/>
  <c r="BJ618" i="1"/>
  <c r="BM618" i="1" s="1"/>
  <c r="BI618" i="1"/>
  <c r="BF618" i="1"/>
  <c r="BG618" i="1" s="1"/>
  <c r="BE618" i="1"/>
  <c r="BC618" i="1"/>
  <c r="BB618" i="1"/>
  <c r="BA618" i="1"/>
  <c r="AX618" i="1"/>
  <c r="AY618" i="1" s="1"/>
  <c r="AW618" i="1"/>
  <c r="AT618" i="1"/>
  <c r="AQ618" i="1" s="1"/>
  <c r="AS618" i="1"/>
  <c r="AP618" i="1"/>
  <c r="AO618" i="1"/>
  <c r="AM618" i="1"/>
  <c r="AL618" i="1"/>
  <c r="AK618" i="1"/>
  <c r="AH618" i="1"/>
  <c r="AI618" i="1" s="1"/>
  <c r="AG618" i="1"/>
  <c r="AD618" i="1"/>
  <c r="AC618" i="1"/>
  <c r="Z618" i="1"/>
  <c r="AA618" i="1" s="1"/>
  <c r="Y618" i="1"/>
  <c r="W618" i="1"/>
  <c r="V618" i="1"/>
  <c r="U618" i="1"/>
  <c r="R618" i="1"/>
  <c r="S618" i="1" s="1"/>
  <c r="Q618" i="1"/>
  <c r="N618" i="1"/>
  <c r="K618" i="1" s="1"/>
  <c r="M618" i="1"/>
  <c r="J618" i="1"/>
  <c r="I618" i="1"/>
  <c r="G618" i="1"/>
  <c r="F618" i="1"/>
  <c r="E618" i="1"/>
  <c r="BN617" i="1"/>
  <c r="BM617" i="1"/>
  <c r="BL617" i="1"/>
  <c r="BJ617" i="1"/>
  <c r="BI617" i="1"/>
  <c r="BG617" i="1"/>
  <c r="BF617" i="1"/>
  <c r="BE617" i="1"/>
  <c r="BB617" i="1"/>
  <c r="BC617" i="1" s="1"/>
  <c r="BA617" i="1"/>
  <c r="AZ617" i="1"/>
  <c r="AX617" i="1"/>
  <c r="AW617" i="1"/>
  <c r="AT617" i="1"/>
  <c r="AQ617" i="1" s="1"/>
  <c r="AS617" i="1"/>
  <c r="AP617" i="1"/>
  <c r="AO617" i="1"/>
  <c r="AM617" i="1"/>
  <c r="AL617" i="1"/>
  <c r="AK617" i="1"/>
  <c r="AH617" i="1"/>
  <c r="AI617" i="1" s="1"/>
  <c r="AG617" i="1"/>
  <c r="AD617" i="1"/>
  <c r="AE617" i="1" s="1"/>
  <c r="AC617" i="1"/>
  <c r="Z617" i="1"/>
  <c r="AA617" i="1" s="1"/>
  <c r="Y617" i="1"/>
  <c r="W617" i="1"/>
  <c r="V617" i="1"/>
  <c r="U617" i="1"/>
  <c r="R617" i="1"/>
  <c r="S617" i="1" s="1"/>
  <c r="Q617" i="1"/>
  <c r="N617" i="1"/>
  <c r="K617" i="1" s="1"/>
  <c r="M617" i="1"/>
  <c r="J617" i="1"/>
  <c r="I617" i="1"/>
  <c r="G617" i="1"/>
  <c r="F617" i="1"/>
  <c r="E617" i="1"/>
  <c r="BN616" i="1"/>
  <c r="BM616" i="1"/>
  <c r="BL616" i="1"/>
  <c r="BJ616" i="1"/>
  <c r="BI616" i="1"/>
  <c r="BG616" i="1"/>
  <c r="BF616" i="1"/>
  <c r="BE616" i="1"/>
  <c r="BB616" i="1"/>
  <c r="BC616" i="1" s="1"/>
  <c r="BA616" i="1"/>
  <c r="AZ616" i="1"/>
  <c r="AX616" i="1"/>
  <c r="AW616" i="1"/>
  <c r="AT616" i="1"/>
  <c r="AQ616" i="1" s="1"/>
  <c r="AS616" i="1"/>
  <c r="AP616" i="1"/>
  <c r="AO616" i="1"/>
  <c r="AM616" i="1"/>
  <c r="AL616" i="1"/>
  <c r="AK616" i="1"/>
  <c r="AH616" i="1"/>
  <c r="AI616" i="1" s="1"/>
  <c r="AG616" i="1"/>
  <c r="AD616" i="1"/>
  <c r="AC616" i="1"/>
  <c r="Z616" i="1"/>
  <c r="AA616" i="1" s="1"/>
  <c r="Y616" i="1"/>
  <c r="W616" i="1"/>
  <c r="V616" i="1"/>
  <c r="U616" i="1"/>
  <c r="R616" i="1"/>
  <c r="S616" i="1" s="1"/>
  <c r="Q616" i="1"/>
  <c r="N616" i="1"/>
  <c r="K616" i="1" s="1"/>
  <c r="M616" i="1"/>
  <c r="J616" i="1"/>
  <c r="I616" i="1"/>
  <c r="G616" i="1"/>
  <c r="F616" i="1"/>
  <c r="E616" i="1"/>
  <c r="BN615" i="1"/>
  <c r="BM615" i="1"/>
  <c r="BL615" i="1"/>
  <c r="BJ615" i="1"/>
  <c r="BI615" i="1"/>
  <c r="BG615" i="1"/>
  <c r="BF615" i="1"/>
  <c r="BE615" i="1"/>
  <c r="BB615" i="1"/>
  <c r="BC615" i="1" s="1"/>
  <c r="BA615" i="1"/>
  <c r="AZ615" i="1"/>
  <c r="AX615" i="1"/>
  <c r="AW615" i="1"/>
  <c r="AT615" i="1"/>
  <c r="AQ615" i="1" s="1"/>
  <c r="AS615" i="1"/>
  <c r="AP615" i="1"/>
  <c r="AO615" i="1"/>
  <c r="AM615" i="1"/>
  <c r="AL615" i="1"/>
  <c r="AK615" i="1"/>
  <c r="AH615" i="1"/>
  <c r="AI615" i="1" s="1"/>
  <c r="AG615" i="1"/>
  <c r="AD615" i="1"/>
  <c r="AE615" i="1" s="1"/>
  <c r="AC615" i="1"/>
  <c r="Z615" i="1"/>
  <c r="AA615" i="1" s="1"/>
  <c r="Y615" i="1"/>
  <c r="W615" i="1"/>
  <c r="V615" i="1"/>
  <c r="U615" i="1"/>
  <c r="R615" i="1"/>
  <c r="S615" i="1" s="1"/>
  <c r="Q615" i="1"/>
  <c r="N615" i="1"/>
  <c r="K615" i="1" s="1"/>
  <c r="M615" i="1"/>
  <c r="J615" i="1"/>
  <c r="I615" i="1"/>
  <c r="G615" i="1"/>
  <c r="F615" i="1"/>
  <c r="E615" i="1"/>
  <c r="BN614" i="1"/>
  <c r="BM614" i="1"/>
  <c r="BL614" i="1"/>
  <c r="BJ614" i="1"/>
  <c r="BI614" i="1"/>
  <c r="BG614" i="1"/>
  <c r="BF614" i="1"/>
  <c r="BE614" i="1"/>
  <c r="BB614" i="1"/>
  <c r="BC614" i="1" s="1"/>
  <c r="BA614" i="1"/>
  <c r="AX614" i="1"/>
  <c r="AW614" i="1"/>
  <c r="AT614" i="1"/>
  <c r="AU614" i="1" s="1"/>
  <c r="AS614" i="1"/>
  <c r="AQ614" i="1"/>
  <c r="AP614" i="1"/>
  <c r="AO614" i="1"/>
  <c r="AL614" i="1"/>
  <c r="AM614" i="1" s="1"/>
  <c r="AK614" i="1"/>
  <c r="AH614" i="1"/>
  <c r="AE614" i="1" s="1"/>
  <c r="AG614" i="1"/>
  <c r="AD614" i="1"/>
  <c r="AC614" i="1"/>
  <c r="AA614" i="1"/>
  <c r="Z614" i="1"/>
  <c r="Y614" i="1"/>
  <c r="V614" i="1"/>
  <c r="W614" i="1" s="1"/>
  <c r="U614" i="1"/>
  <c r="R614" i="1"/>
  <c r="S614" i="1" s="1"/>
  <c r="Q614" i="1"/>
  <c r="N614" i="1"/>
  <c r="O614" i="1" s="1"/>
  <c r="M614" i="1"/>
  <c r="K614" i="1"/>
  <c r="J614" i="1"/>
  <c r="I614" i="1"/>
  <c r="F614" i="1"/>
  <c r="G614" i="1" s="1"/>
  <c r="E614" i="1"/>
  <c r="BN613" i="1"/>
  <c r="BM613" i="1"/>
  <c r="BL613" i="1"/>
  <c r="BJ613" i="1"/>
  <c r="BI613" i="1"/>
  <c r="BF613" i="1"/>
  <c r="BG613" i="1" s="1"/>
  <c r="BE613" i="1"/>
  <c r="BB613" i="1"/>
  <c r="AY613" i="1" s="1"/>
  <c r="BA613" i="1"/>
  <c r="AX613" i="1"/>
  <c r="AW613" i="1"/>
  <c r="AU613" i="1"/>
  <c r="AT613" i="1"/>
  <c r="AS613" i="1"/>
  <c r="AP613" i="1"/>
  <c r="AQ613" i="1" s="1"/>
  <c r="AO613" i="1"/>
  <c r="AL613" i="1"/>
  <c r="AK613" i="1"/>
  <c r="AH613" i="1"/>
  <c r="AI613" i="1" s="1"/>
  <c r="AG613" i="1"/>
  <c r="AE613" i="1"/>
  <c r="AD613" i="1"/>
  <c r="AC613" i="1"/>
  <c r="Z613" i="1"/>
  <c r="AA613" i="1" s="1"/>
  <c r="Y613" i="1"/>
  <c r="V613" i="1"/>
  <c r="S613" i="1" s="1"/>
  <c r="U613" i="1"/>
  <c r="R613" i="1"/>
  <c r="Q613" i="1"/>
  <c r="O613" i="1"/>
  <c r="N613" i="1"/>
  <c r="M613" i="1"/>
  <c r="J613" i="1"/>
  <c r="K613" i="1" s="1"/>
  <c r="I613" i="1"/>
  <c r="F613" i="1"/>
  <c r="G613" i="1" s="1"/>
  <c r="E613" i="1"/>
  <c r="BN612" i="1"/>
  <c r="BL612" i="1"/>
  <c r="BJ612" i="1"/>
  <c r="BM612" i="1" s="1"/>
  <c r="BI612" i="1"/>
  <c r="BF612" i="1"/>
  <c r="BE612" i="1"/>
  <c r="BB612" i="1"/>
  <c r="BC612" i="1" s="1"/>
  <c r="BA612" i="1"/>
  <c r="AY612" i="1"/>
  <c r="AX612" i="1"/>
  <c r="AW612" i="1"/>
  <c r="AT612" i="1"/>
  <c r="AU612" i="1" s="1"/>
  <c r="AS612" i="1"/>
  <c r="AP612" i="1"/>
  <c r="AM612" i="1" s="1"/>
  <c r="AO612" i="1"/>
  <c r="AL612" i="1"/>
  <c r="AK612" i="1"/>
  <c r="AI612" i="1"/>
  <c r="AH612" i="1"/>
  <c r="AG612" i="1"/>
  <c r="AD612" i="1"/>
  <c r="AE612" i="1" s="1"/>
  <c r="AC612" i="1"/>
  <c r="Z612" i="1"/>
  <c r="AA612" i="1" s="1"/>
  <c r="Y612" i="1"/>
  <c r="V612" i="1"/>
  <c r="W612" i="1" s="1"/>
  <c r="U612" i="1"/>
  <c r="S612" i="1"/>
  <c r="R612" i="1"/>
  <c r="Q612" i="1"/>
  <c r="N612" i="1"/>
  <c r="O612" i="1" s="1"/>
  <c r="M612" i="1"/>
  <c r="J612" i="1"/>
  <c r="G612" i="1" s="1"/>
  <c r="I612" i="1"/>
  <c r="F612" i="1"/>
  <c r="E612" i="1"/>
  <c r="BN611" i="1"/>
  <c r="BL611" i="1"/>
  <c r="BJ611" i="1"/>
  <c r="BG611" i="1" s="1"/>
  <c r="BI611" i="1"/>
  <c r="BF611" i="1"/>
  <c r="BE611" i="1"/>
  <c r="BC611" i="1"/>
  <c r="BB611" i="1"/>
  <c r="BA611" i="1"/>
  <c r="AX611" i="1"/>
  <c r="AY611" i="1" s="1"/>
  <c r="AW611" i="1"/>
  <c r="AT611" i="1"/>
  <c r="AU611" i="1" s="1"/>
  <c r="AS611" i="1"/>
  <c r="AP611" i="1"/>
  <c r="AQ611" i="1" s="1"/>
  <c r="AO611" i="1"/>
  <c r="AM611" i="1"/>
  <c r="AL611" i="1"/>
  <c r="AK611" i="1"/>
  <c r="AH611" i="1"/>
  <c r="AI611" i="1" s="1"/>
  <c r="AG611" i="1"/>
  <c r="AD611" i="1"/>
  <c r="AA611" i="1" s="1"/>
  <c r="AC611" i="1"/>
  <c r="Z611" i="1"/>
  <c r="Y611" i="1"/>
  <c r="W611" i="1"/>
  <c r="V611" i="1"/>
  <c r="U611" i="1"/>
  <c r="R611" i="1"/>
  <c r="S611" i="1" s="1"/>
  <c r="Q611" i="1"/>
  <c r="N611" i="1"/>
  <c r="M611" i="1"/>
  <c r="J611" i="1"/>
  <c r="K611" i="1" s="1"/>
  <c r="I611" i="1"/>
  <c r="G611" i="1"/>
  <c r="F611" i="1"/>
  <c r="E611" i="1"/>
  <c r="BN610" i="1"/>
  <c r="BM610" i="1"/>
  <c r="BL610" i="1"/>
  <c r="BJ610" i="1"/>
  <c r="BI610" i="1"/>
  <c r="BG610" i="1"/>
  <c r="BF610" i="1"/>
  <c r="BE610" i="1"/>
  <c r="BB610" i="1"/>
  <c r="BC610" i="1" s="1"/>
  <c r="BA610" i="1"/>
  <c r="AX610" i="1"/>
  <c r="AU610" i="1" s="1"/>
  <c r="AW610" i="1"/>
  <c r="AT610" i="1"/>
  <c r="AS610" i="1"/>
  <c r="AQ610" i="1"/>
  <c r="AP610" i="1"/>
  <c r="AO610" i="1"/>
  <c r="AL610" i="1"/>
  <c r="AM610" i="1" s="1"/>
  <c r="AK610" i="1"/>
  <c r="AH610" i="1"/>
  <c r="AI610" i="1" s="1"/>
  <c r="AG610" i="1"/>
  <c r="AD610" i="1"/>
  <c r="AE610" i="1" s="1"/>
  <c r="AC610" i="1"/>
  <c r="AA610" i="1"/>
  <c r="Z610" i="1"/>
  <c r="Y610" i="1"/>
  <c r="V610" i="1"/>
  <c r="W610" i="1" s="1"/>
  <c r="U610" i="1"/>
  <c r="R610" i="1"/>
  <c r="O610" i="1" s="1"/>
  <c r="Q610" i="1"/>
  <c r="N610" i="1"/>
  <c r="M610" i="1"/>
  <c r="K610" i="1"/>
  <c r="J610" i="1"/>
  <c r="I610" i="1"/>
  <c r="F610" i="1"/>
  <c r="G610" i="1" s="1"/>
  <c r="E610" i="1"/>
  <c r="BN609" i="1"/>
  <c r="BM609" i="1"/>
  <c r="BL609" i="1"/>
  <c r="BJ609" i="1"/>
  <c r="BI609" i="1"/>
  <c r="BF609" i="1"/>
  <c r="BG609" i="1" s="1"/>
  <c r="BE609" i="1"/>
  <c r="BB609" i="1"/>
  <c r="BC609" i="1" s="1"/>
  <c r="BA609" i="1"/>
  <c r="AX609" i="1"/>
  <c r="AY609" i="1" s="1"/>
  <c r="AW609" i="1"/>
  <c r="AU609" i="1"/>
  <c r="AT609" i="1"/>
  <c r="AS609" i="1"/>
  <c r="AP609" i="1"/>
  <c r="AQ609" i="1" s="1"/>
  <c r="AO609" i="1"/>
  <c r="AL609" i="1"/>
  <c r="AI609" i="1" s="1"/>
  <c r="AK609" i="1"/>
  <c r="AH609" i="1"/>
  <c r="AG609" i="1"/>
  <c r="AE609" i="1"/>
  <c r="AD609" i="1"/>
  <c r="AC609" i="1"/>
  <c r="Z609" i="1"/>
  <c r="AA609" i="1" s="1"/>
  <c r="Y609" i="1"/>
  <c r="V609" i="1"/>
  <c r="U609" i="1"/>
  <c r="R609" i="1"/>
  <c r="S609" i="1" s="1"/>
  <c r="Q609" i="1"/>
  <c r="O609" i="1"/>
  <c r="N609" i="1"/>
  <c r="M609" i="1"/>
  <c r="J609" i="1"/>
  <c r="K609" i="1" s="1"/>
  <c r="I609" i="1"/>
  <c r="F609" i="1"/>
  <c r="G609" i="1" s="1"/>
  <c r="E609" i="1"/>
  <c r="BN608" i="1"/>
  <c r="BL608" i="1"/>
  <c r="BJ608" i="1"/>
  <c r="BM608" i="1" s="1"/>
  <c r="BI608" i="1"/>
  <c r="BF608" i="1"/>
  <c r="BC608" i="1" s="1"/>
  <c r="BE608" i="1"/>
  <c r="BB608" i="1"/>
  <c r="BA608" i="1"/>
  <c r="AY608" i="1"/>
  <c r="AX608" i="1"/>
  <c r="AW608" i="1"/>
  <c r="AT608" i="1"/>
  <c r="AU608" i="1" s="1"/>
  <c r="AS608" i="1"/>
  <c r="AP608" i="1"/>
  <c r="AO608" i="1"/>
  <c r="AL608" i="1"/>
  <c r="AM608" i="1" s="1"/>
  <c r="AK608" i="1"/>
  <c r="AI608" i="1"/>
  <c r="AH608" i="1"/>
  <c r="AG608" i="1"/>
  <c r="AD608" i="1"/>
  <c r="AE608" i="1" s="1"/>
  <c r="AC608" i="1"/>
  <c r="Z608" i="1"/>
  <c r="W608" i="1" s="1"/>
  <c r="Y608" i="1"/>
  <c r="V608" i="1"/>
  <c r="U608" i="1"/>
  <c r="S608" i="1"/>
  <c r="R608" i="1"/>
  <c r="Q608" i="1"/>
  <c r="N608" i="1"/>
  <c r="O608" i="1" s="1"/>
  <c r="M608" i="1"/>
  <c r="J608" i="1"/>
  <c r="K608" i="1" s="1"/>
  <c r="I608" i="1"/>
  <c r="F608" i="1"/>
  <c r="G608" i="1" s="1"/>
  <c r="E608" i="1"/>
  <c r="BN607" i="1"/>
  <c r="BL607" i="1"/>
  <c r="BJ607" i="1"/>
  <c r="BI607" i="1"/>
  <c r="BF607" i="1"/>
  <c r="BG607" i="1" s="1"/>
  <c r="BE607" i="1"/>
  <c r="BC607" i="1"/>
  <c r="BB607" i="1"/>
  <c r="BA607" i="1"/>
  <c r="AX607" i="1"/>
  <c r="AY607" i="1" s="1"/>
  <c r="AW607" i="1"/>
  <c r="AT607" i="1"/>
  <c r="AQ607" i="1" s="1"/>
  <c r="AS607" i="1"/>
  <c r="AP607" i="1"/>
  <c r="AO607" i="1"/>
  <c r="AM607" i="1"/>
  <c r="AL607" i="1"/>
  <c r="AK607" i="1"/>
  <c r="AH607" i="1"/>
  <c r="AI607" i="1" s="1"/>
  <c r="AG607" i="1"/>
  <c r="AD607" i="1"/>
  <c r="AE607" i="1" s="1"/>
  <c r="AC607" i="1"/>
  <c r="Z607" i="1"/>
  <c r="AA607" i="1" s="1"/>
  <c r="Y607" i="1"/>
  <c r="W607" i="1"/>
  <c r="V607" i="1"/>
  <c r="U607" i="1"/>
  <c r="R607" i="1"/>
  <c r="S607" i="1" s="1"/>
  <c r="Q607" i="1"/>
  <c r="N607" i="1"/>
  <c r="K607" i="1" s="1"/>
  <c r="M607" i="1"/>
  <c r="J607" i="1"/>
  <c r="I607" i="1"/>
  <c r="G607" i="1"/>
  <c r="F607" i="1"/>
  <c r="E607" i="1"/>
  <c r="BN606" i="1"/>
  <c r="BM606" i="1"/>
  <c r="BL606" i="1"/>
  <c r="BJ606" i="1"/>
  <c r="BI606" i="1"/>
  <c r="BG606" i="1"/>
  <c r="BF606" i="1"/>
  <c r="BE606" i="1"/>
  <c r="BB606" i="1"/>
  <c r="BC606" i="1" s="1"/>
  <c r="BA606" i="1"/>
  <c r="AX606" i="1"/>
  <c r="AW606" i="1"/>
  <c r="AT606" i="1"/>
  <c r="AU606" i="1" s="1"/>
  <c r="AS606" i="1"/>
  <c r="AQ606" i="1"/>
  <c r="AP606" i="1"/>
  <c r="AO606" i="1"/>
  <c r="AL606" i="1"/>
  <c r="AM606" i="1" s="1"/>
  <c r="AK606" i="1"/>
  <c r="AH606" i="1"/>
  <c r="AE606" i="1" s="1"/>
  <c r="AG606" i="1"/>
  <c r="AD606" i="1"/>
  <c r="AC606" i="1"/>
  <c r="AA606" i="1"/>
  <c r="Z606" i="1"/>
  <c r="Y606" i="1"/>
  <c r="V606" i="1"/>
  <c r="W606" i="1" s="1"/>
  <c r="U606" i="1"/>
  <c r="R606" i="1"/>
  <c r="S606" i="1" s="1"/>
  <c r="Q606" i="1"/>
  <c r="N606" i="1"/>
  <c r="O606" i="1" s="1"/>
  <c r="M606" i="1"/>
  <c r="K606" i="1"/>
  <c r="J606" i="1"/>
  <c r="I606" i="1"/>
  <c r="F606" i="1"/>
  <c r="G606" i="1" s="1"/>
  <c r="E606" i="1"/>
  <c r="BN605" i="1"/>
  <c r="BM605" i="1"/>
  <c r="BL605" i="1"/>
  <c r="BJ605" i="1"/>
  <c r="BI605" i="1"/>
  <c r="BF605" i="1"/>
  <c r="BG605" i="1" s="1"/>
  <c r="BE605" i="1"/>
  <c r="BB605" i="1"/>
  <c r="AY605" i="1" s="1"/>
  <c r="BA605" i="1"/>
  <c r="AX605" i="1"/>
  <c r="AW605" i="1"/>
  <c r="AU605" i="1"/>
  <c r="AT605" i="1"/>
  <c r="AS605" i="1"/>
  <c r="AP605" i="1"/>
  <c r="AQ605" i="1" s="1"/>
  <c r="AO605" i="1"/>
  <c r="AL605" i="1"/>
  <c r="AK605" i="1"/>
  <c r="AH605" i="1"/>
  <c r="AI605" i="1" s="1"/>
  <c r="AG605" i="1"/>
  <c r="AE605" i="1"/>
  <c r="AD605" i="1"/>
  <c r="AC605" i="1"/>
  <c r="Z605" i="1"/>
  <c r="AA605" i="1" s="1"/>
  <c r="Y605" i="1"/>
  <c r="V605" i="1"/>
  <c r="S605" i="1" s="1"/>
  <c r="U605" i="1"/>
  <c r="R605" i="1"/>
  <c r="Q605" i="1"/>
  <c r="O605" i="1"/>
  <c r="N605" i="1"/>
  <c r="M605" i="1"/>
  <c r="J605" i="1"/>
  <c r="K605" i="1" s="1"/>
  <c r="I605" i="1"/>
  <c r="F605" i="1"/>
  <c r="G605" i="1" s="1"/>
  <c r="E605" i="1"/>
  <c r="BN604" i="1"/>
  <c r="BL604" i="1"/>
  <c r="BJ604" i="1"/>
  <c r="BM604" i="1" s="1"/>
  <c r="BI604" i="1"/>
  <c r="BF604" i="1"/>
  <c r="BE604" i="1"/>
  <c r="BB604" i="1"/>
  <c r="BC604" i="1" s="1"/>
  <c r="BA604" i="1"/>
  <c r="AY604" i="1"/>
  <c r="AX604" i="1"/>
  <c r="AW604" i="1"/>
  <c r="AT604" i="1"/>
  <c r="AU604" i="1" s="1"/>
  <c r="AS604" i="1"/>
  <c r="AP604" i="1"/>
  <c r="AM604" i="1" s="1"/>
  <c r="AO604" i="1"/>
  <c r="AL604" i="1"/>
  <c r="AK604" i="1"/>
  <c r="AI604" i="1"/>
  <c r="AH604" i="1"/>
  <c r="AG604" i="1"/>
  <c r="AD604" i="1"/>
  <c r="AE604" i="1" s="1"/>
  <c r="AC604" i="1"/>
  <c r="Z604" i="1"/>
  <c r="AA604" i="1" s="1"/>
  <c r="Y604" i="1"/>
  <c r="V604" i="1"/>
  <c r="W604" i="1" s="1"/>
  <c r="U604" i="1"/>
  <c r="S604" i="1"/>
  <c r="R604" i="1"/>
  <c r="Q604" i="1"/>
  <c r="N604" i="1"/>
  <c r="O604" i="1" s="1"/>
  <c r="M604" i="1"/>
  <c r="J604" i="1"/>
  <c r="G604" i="1" s="1"/>
  <c r="I604" i="1"/>
  <c r="F604" i="1"/>
  <c r="E604" i="1"/>
  <c r="BN603" i="1"/>
  <c r="BL603" i="1"/>
  <c r="BJ603" i="1"/>
  <c r="BG603" i="1" s="1"/>
  <c r="BI603" i="1"/>
  <c r="BF603" i="1"/>
  <c r="BE603" i="1"/>
  <c r="BC603" i="1"/>
  <c r="BB603" i="1"/>
  <c r="BA603" i="1"/>
  <c r="AX603" i="1"/>
  <c r="AY603" i="1" s="1"/>
  <c r="AW603" i="1"/>
  <c r="AT603" i="1"/>
  <c r="AU603" i="1" s="1"/>
  <c r="AS603" i="1"/>
  <c r="AP603" i="1"/>
  <c r="AQ603" i="1" s="1"/>
  <c r="AO603" i="1"/>
  <c r="AM603" i="1"/>
  <c r="AL603" i="1"/>
  <c r="AK603" i="1"/>
  <c r="AH603" i="1"/>
  <c r="AI603" i="1" s="1"/>
  <c r="AG603" i="1"/>
  <c r="AD603" i="1"/>
  <c r="AA603" i="1" s="1"/>
  <c r="AC603" i="1"/>
  <c r="Z603" i="1"/>
  <c r="Y603" i="1"/>
  <c r="W603" i="1"/>
  <c r="V603" i="1"/>
  <c r="U603" i="1"/>
  <c r="R603" i="1"/>
  <c r="S603" i="1" s="1"/>
  <c r="Q603" i="1"/>
  <c r="N603" i="1"/>
  <c r="M603" i="1"/>
  <c r="J603" i="1"/>
  <c r="K603" i="1" s="1"/>
  <c r="I603" i="1"/>
  <c r="G603" i="1"/>
  <c r="F603" i="1"/>
  <c r="E603" i="1"/>
  <c r="BN602" i="1"/>
  <c r="BM602" i="1"/>
  <c r="BL602" i="1"/>
  <c r="BJ602" i="1"/>
  <c r="BI602" i="1"/>
  <c r="BG602" i="1"/>
  <c r="BF602" i="1"/>
  <c r="BE602" i="1"/>
  <c r="BB602" i="1"/>
  <c r="BC602" i="1" s="1"/>
  <c r="BA602" i="1"/>
  <c r="AX602" i="1"/>
  <c r="AU602" i="1" s="1"/>
  <c r="AW602" i="1"/>
  <c r="AT602" i="1"/>
  <c r="AS602" i="1"/>
  <c r="AQ602" i="1"/>
  <c r="AP602" i="1"/>
  <c r="AO602" i="1"/>
  <c r="AL602" i="1"/>
  <c r="AM602" i="1" s="1"/>
  <c r="AK602" i="1"/>
  <c r="AH602" i="1"/>
  <c r="AI602" i="1" s="1"/>
  <c r="AG602" i="1"/>
  <c r="AD602" i="1"/>
  <c r="AE602" i="1" s="1"/>
  <c r="AC602" i="1"/>
  <c r="AA602" i="1"/>
  <c r="Z602" i="1"/>
  <c r="Y602" i="1"/>
  <c r="V602" i="1"/>
  <c r="W602" i="1" s="1"/>
  <c r="U602" i="1"/>
  <c r="R602" i="1"/>
  <c r="O602" i="1" s="1"/>
  <c r="Q602" i="1"/>
  <c r="N602" i="1"/>
  <c r="M602" i="1"/>
  <c r="K602" i="1"/>
  <c r="J602" i="1"/>
  <c r="I602" i="1"/>
  <c r="F602" i="1"/>
  <c r="G602" i="1" s="1"/>
  <c r="E602" i="1"/>
  <c r="BN601" i="1"/>
  <c r="BM601" i="1"/>
  <c r="BL601" i="1"/>
  <c r="BJ601" i="1"/>
  <c r="BI601" i="1"/>
  <c r="BF601" i="1"/>
  <c r="BG601" i="1" s="1"/>
  <c r="BE601" i="1"/>
  <c r="BB601" i="1"/>
  <c r="BC601" i="1" s="1"/>
  <c r="BA601" i="1"/>
  <c r="AX601" i="1"/>
  <c r="AY601" i="1" s="1"/>
  <c r="AW601" i="1"/>
  <c r="AU601" i="1"/>
  <c r="AT601" i="1"/>
  <c r="AS601" i="1"/>
  <c r="AP601" i="1"/>
  <c r="AQ601" i="1" s="1"/>
  <c r="AO601" i="1"/>
  <c r="AL601" i="1"/>
  <c r="AI601" i="1" s="1"/>
  <c r="AK601" i="1"/>
  <c r="AH601" i="1"/>
  <c r="AG601" i="1"/>
  <c r="AE601" i="1"/>
  <c r="AD601" i="1"/>
  <c r="AC601" i="1"/>
  <c r="Z601" i="1"/>
  <c r="AA601" i="1" s="1"/>
  <c r="Y601" i="1"/>
  <c r="V601" i="1"/>
  <c r="U601" i="1"/>
  <c r="R601" i="1"/>
  <c r="S601" i="1" s="1"/>
  <c r="Q601" i="1"/>
  <c r="O601" i="1"/>
  <c r="N601" i="1"/>
  <c r="M601" i="1"/>
  <c r="J601" i="1"/>
  <c r="K601" i="1" s="1"/>
  <c r="I601" i="1"/>
  <c r="F601" i="1"/>
  <c r="G601" i="1" s="1"/>
  <c r="E601" i="1"/>
  <c r="BN600" i="1"/>
  <c r="BL600" i="1"/>
  <c r="BJ600" i="1"/>
  <c r="BM600" i="1" s="1"/>
  <c r="BI600" i="1"/>
  <c r="BF600" i="1"/>
  <c r="BC600" i="1" s="1"/>
  <c r="BE600" i="1"/>
  <c r="BB600" i="1"/>
  <c r="BA600" i="1"/>
  <c r="AY600" i="1"/>
  <c r="AX600" i="1"/>
  <c r="AW600" i="1"/>
  <c r="AT600" i="1"/>
  <c r="AU600" i="1" s="1"/>
  <c r="AS600" i="1"/>
  <c r="AP600" i="1"/>
  <c r="AO600" i="1"/>
  <c r="AL600" i="1"/>
  <c r="AM600" i="1" s="1"/>
  <c r="AK600" i="1"/>
  <c r="AI600" i="1"/>
  <c r="AH600" i="1"/>
  <c r="AG600" i="1"/>
  <c r="AD600" i="1"/>
  <c r="AE600" i="1" s="1"/>
  <c r="AC600" i="1"/>
  <c r="Z600" i="1"/>
  <c r="W600" i="1" s="1"/>
  <c r="Y600" i="1"/>
  <c r="V600" i="1"/>
  <c r="U600" i="1"/>
  <c r="S600" i="1"/>
  <c r="R600" i="1"/>
  <c r="Q600" i="1"/>
  <c r="N600" i="1"/>
  <c r="O600" i="1" s="1"/>
  <c r="M600" i="1"/>
  <c r="J600" i="1"/>
  <c r="K600" i="1" s="1"/>
  <c r="I600" i="1"/>
  <c r="F600" i="1"/>
  <c r="G600" i="1" s="1"/>
  <c r="E600" i="1"/>
  <c r="BN599" i="1"/>
  <c r="BL599" i="1"/>
  <c r="BJ599" i="1"/>
  <c r="BI599" i="1"/>
  <c r="BF599" i="1"/>
  <c r="BG599" i="1" s="1"/>
  <c r="BE599" i="1"/>
  <c r="BC599" i="1"/>
  <c r="BB599" i="1"/>
  <c r="BA599" i="1"/>
  <c r="AX599" i="1"/>
  <c r="AY599" i="1" s="1"/>
  <c r="AW599" i="1"/>
  <c r="AT599" i="1"/>
  <c r="AQ599" i="1" s="1"/>
  <c r="AS599" i="1"/>
  <c r="AP599" i="1"/>
  <c r="AO599" i="1"/>
  <c r="AM599" i="1"/>
  <c r="AL599" i="1"/>
  <c r="AK599" i="1"/>
  <c r="AH599" i="1"/>
  <c r="AI599" i="1" s="1"/>
  <c r="AG599" i="1"/>
  <c r="AD599" i="1"/>
  <c r="AE599" i="1" s="1"/>
  <c r="AC599" i="1"/>
  <c r="Z599" i="1"/>
  <c r="AA599" i="1" s="1"/>
  <c r="Y599" i="1"/>
  <c r="W599" i="1"/>
  <c r="V599" i="1"/>
  <c r="U599" i="1"/>
  <c r="R599" i="1"/>
  <c r="S599" i="1" s="1"/>
  <c r="Q599" i="1"/>
  <c r="N599" i="1"/>
  <c r="K599" i="1" s="1"/>
  <c r="M599" i="1"/>
  <c r="J599" i="1"/>
  <c r="I599" i="1"/>
  <c r="G599" i="1"/>
  <c r="F599" i="1"/>
  <c r="E599" i="1"/>
  <c r="BN598" i="1"/>
  <c r="BM598" i="1"/>
  <c r="BL598" i="1"/>
  <c r="BJ598" i="1"/>
  <c r="BI598" i="1"/>
  <c r="BG598" i="1"/>
  <c r="BF598" i="1"/>
  <c r="BE598" i="1"/>
  <c r="BB598" i="1"/>
  <c r="BC598" i="1" s="1"/>
  <c r="BA598" i="1"/>
  <c r="AX598" i="1"/>
  <c r="AW598" i="1"/>
  <c r="AT598" i="1"/>
  <c r="AU598" i="1" s="1"/>
  <c r="AS598" i="1"/>
  <c r="AQ598" i="1"/>
  <c r="AP598" i="1"/>
  <c r="AO598" i="1"/>
  <c r="AL598" i="1"/>
  <c r="AM598" i="1" s="1"/>
  <c r="AK598" i="1"/>
  <c r="AH598" i="1"/>
  <c r="AE598" i="1" s="1"/>
  <c r="AG598" i="1"/>
  <c r="AD598" i="1"/>
  <c r="AC598" i="1"/>
  <c r="AA598" i="1"/>
  <c r="Z598" i="1"/>
  <c r="Y598" i="1"/>
  <c r="V598" i="1"/>
  <c r="W598" i="1" s="1"/>
  <c r="U598" i="1"/>
  <c r="R598" i="1"/>
  <c r="S598" i="1" s="1"/>
  <c r="Q598" i="1"/>
  <c r="N598" i="1"/>
  <c r="O598" i="1" s="1"/>
  <c r="M598" i="1"/>
  <c r="K598" i="1"/>
  <c r="J598" i="1"/>
  <c r="I598" i="1"/>
  <c r="F598" i="1"/>
  <c r="G598" i="1" s="1"/>
  <c r="E598" i="1"/>
  <c r="BN597" i="1"/>
  <c r="BM597" i="1"/>
  <c r="BL597" i="1"/>
  <c r="BJ597" i="1"/>
  <c r="BI597" i="1"/>
  <c r="BF597" i="1"/>
  <c r="BG597" i="1" s="1"/>
  <c r="BE597" i="1"/>
  <c r="BB597" i="1"/>
  <c r="AY597" i="1" s="1"/>
  <c r="BA597" i="1"/>
  <c r="AX597" i="1"/>
  <c r="AW597" i="1"/>
  <c r="AU597" i="1"/>
  <c r="AT597" i="1"/>
  <c r="AS597" i="1"/>
  <c r="AP597" i="1"/>
  <c r="AQ597" i="1" s="1"/>
  <c r="AO597" i="1"/>
  <c r="AL597" i="1"/>
  <c r="AK597" i="1"/>
  <c r="AH597" i="1"/>
  <c r="AI597" i="1" s="1"/>
  <c r="AG597" i="1"/>
  <c r="AE597" i="1"/>
  <c r="AD597" i="1"/>
  <c r="AC597" i="1"/>
  <c r="Z597" i="1"/>
  <c r="AA597" i="1" s="1"/>
  <c r="Y597" i="1"/>
  <c r="V597" i="1"/>
  <c r="S597" i="1" s="1"/>
  <c r="U597" i="1"/>
  <c r="R597" i="1"/>
  <c r="Q597" i="1"/>
  <c r="O597" i="1"/>
  <c r="N597" i="1"/>
  <c r="M597" i="1"/>
  <c r="J597" i="1"/>
  <c r="K597" i="1" s="1"/>
  <c r="I597" i="1"/>
  <c r="F597" i="1"/>
  <c r="G597" i="1" s="1"/>
  <c r="E597" i="1"/>
  <c r="BN596" i="1"/>
  <c r="BL596" i="1"/>
  <c r="BJ596" i="1"/>
  <c r="BM596" i="1" s="1"/>
  <c r="BI596" i="1"/>
  <c r="BF596" i="1"/>
  <c r="BE596" i="1"/>
  <c r="BB596" i="1"/>
  <c r="BC596" i="1" s="1"/>
  <c r="BA596" i="1"/>
  <c r="AY596" i="1"/>
  <c r="AX596" i="1"/>
  <c r="AW596" i="1"/>
  <c r="AT596" i="1"/>
  <c r="AU596" i="1" s="1"/>
  <c r="AS596" i="1"/>
  <c r="AP596" i="1"/>
  <c r="AM596" i="1" s="1"/>
  <c r="AO596" i="1"/>
  <c r="AL596" i="1"/>
  <c r="AK596" i="1"/>
  <c r="AI596" i="1"/>
  <c r="AH596" i="1"/>
  <c r="AG596" i="1"/>
  <c r="AD596" i="1"/>
  <c r="AE596" i="1" s="1"/>
  <c r="AC596" i="1"/>
  <c r="Z596" i="1"/>
  <c r="AA596" i="1" s="1"/>
  <c r="Y596" i="1"/>
  <c r="V596" i="1"/>
  <c r="W596" i="1" s="1"/>
  <c r="U596" i="1"/>
  <c r="S596" i="1"/>
  <c r="R596" i="1"/>
  <c r="Q596" i="1"/>
  <c r="N596" i="1"/>
  <c r="O596" i="1" s="1"/>
  <c r="M596" i="1"/>
  <c r="J596" i="1"/>
  <c r="G596" i="1" s="1"/>
  <c r="I596" i="1"/>
  <c r="F596" i="1"/>
  <c r="E596" i="1"/>
  <c r="BN595" i="1"/>
  <c r="BL595" i="1"/>
  <c r="BJ595" i="1"/>
  <c r="BG595" i="1" s="1"/>
  <c r="BI595" i="1"/>
  <c r="BF595" i="1"/>
  <c r="BE595" i="1"/>
  <c r="BC595" i="1"/>
  <c r="BB595" i="1"/>
  <c r="BA595" i="1"/>
  <c r="AX595" i="1"/>
  <c r="AY595" i="1" s="1"/>
  <c r="AW595" i="1"/>
  <c r="AT595" i="1"/>
  <c r="AU595" i="1" s="1"/>
  <c r="AS595" i="1"/>
  <c r="AP595" i="1"/>
  <c r="AQ595" i="1" s="1"/>
  <c r="AO595" i="1"/>
  <c r="AM595" i="1"/>
  <c r="AL595" i="1"/>
  <c r="AK595" i="1"/>
  <c r="AH595" i="1"/>
  <c r="AI595" i="1" s="1"/>
  <c r="AG595" i="1"/>
  <c r="AD595" i="1"/>
  <c r="AA595" i="1" s="1"/>
  <c r="AC595" i="1"/>
  <c r="Z595" i="1"/>
  <c r="Y595" i="1"/>
  <c r="W595" i="1"/>
  <c r="V595" i="1"/>
  <c r="U595" i="1"/>
  <c r="R595" i="1"/>
  <c r="S595" i="1" s="1"/>
  <c r="Q595" i="1"/>
  <c r="N595" i="1"/>
  <c r="M595" i="1"/>
  <c r="J595" i="1"/>
  <c r="K595" i="1" s="1"/>
  <c r="I595" i="1"/>
  <c r="G595" i="1"/>
  <c r="F595" i="1"/>
  <c r="E595" i="1"/>
  <c r="BN594" i="1"/>
  <c r="BM594" i="1"/>
  <c r="BL594" i="1"/>
  <c r="BJ594" i="1"/>
  <c r="BI594" i="1"/>
  <c r="BG594" i="1"/>
  <c r="BF594" i="1"/>
  <c r="BE594" i="1"/>
  <c r="BB594" i="1"/>
  <c r="BC594" i="1" s="1"/>
  <c r="BA594" i="1"/>
  <c r="AX594" i="1"/>
  <c r="AU594" i="1" s="1"/>
  <c r="AW594" i="1"/>
  <c r="AT594" i="1"/>
  <c r="AS594" i="1"/>
  <c r="AQ594" i="1"/>
  <c r="AP594" i="1"/>
  <c r="AO594" i="1"/>
  <c r="AL594" i="1"/>
  <c r="AM594" i="1" s="1"/>
  <c r="AK594" i="1"/>
  <c r="AH594" i="1"/>
  <c r="AI594" i="1" s="1"/>
  <c r="AG594" i="1"/>
  <c r="AD594" i="1"/>
  <c r="AE594" i="1" s="1"/>
  <c r="AC594" i="1"/>
  <c r="AA594" i="1"/>
  <c r="Z594" i="1"/>
  <c r="Y594" i="1"/>
  <c r="V594" i="1"/>
  <c r="W594" i="1" s="1"/>
  <c r="U594" i="1"/>
  <c r="R594" i="1"/>
  <c r="O594" i="1" s="1"/>
  <c r="Q594" i="1"/>
  <c r="N594" i="1"/>
  <c r="M594" i="1"/>
  <c r="K594" i="1"/>
  <c r="J594" i="1"/>
  <c r="I594" i="1"/>
  <c r="F594" i="1"/>
  <c r="G594" i="1" s="1"/>
  <c r="E594" i="1"/>
  <c r="BN593" i="1"/>
  <c r="BM593" i="1"/>
  <c r="BL593" i="1"/>
  <c r="BJ593" i="1"/>
  <c r="BI593" i="1"/>
  <c r="BF593" i="1"/>
  <c r="BG593" i="1" s="1"/>
  <c r="BE593" i="1"/>
  <c r="BB593" i="1"/>
  <c r="BC593" i="1" s="1"/>
  <c r="BA593" i="1"/>
  <c r="AX593" i="1"/>
  <c r="AY593" i="1" s="1"/>
  <c r="AW593" i="1"/>
  <c r="AU593" i="1"/>
  <c r="AT593" i="1"/>
  <c r="AS593" i="1"/>
  <c r="AP593" i="1"/>
  <c r="AQ593" i="1" s="1"/>
  <c r="AO593" i="1"/>
  <c r="AL593" i="1"/>
  <c r="AI593" i="1" s="1"/>
  <c r="AK593" i="1"/>
  <c r="AH593" i="1"/>
  <c r="AF593" i="1"/>
  <c r="AG593" i="1" s="1"/>
  <c r="AD593" i="1"/>
  <c r="AE593" i="1" s="1"/>
  <c r="AB593" i="1"/>
  <c r="AC593" i="1" s="1"/>
  <c r="AA593" i="1"/>
  <c r="Z593" i="1"/>
  <c r="Y593" i="1"/>
  <c r="W593" i="1"/>
  <c r="V593" i="1"/>
  <c r="U593" i="1"/>
  <c r="R593" i="1"/>
  <c r="S593" i="1" s="1"/>
  <c r="Q593" i="1"/>
  <c r="N593" i="1"/>
  <c r="O593" i="1" s="1"/>
  <c r="M593" i="1"/>
  <c r="L593" i="1"/>
  <c r="J593" i="1"/>
  <c r="G593" i="1" s="1"/>
  <c r="I593" i="1"/>
  <c r="F593" i="1"/>
  <c r="E593" i="1"/>
  <c r="BN592" i="1"/>
  <c r="BL592" i="1"/>
  <c r="BJ592" i="1"/>
  <c r="BG592" i="1" s="1"/>
  <c r="BI592" i="1"/>
  <c r="BF592" i="1"/>
  <c r="BE592" i="1"/>
  <c r="BC592" i="1"/>
  <c r="BB592" i="1"/>
  <c r="BA592" i="1"/>
  <c r="AX592" i="1"/>
  <c r="AY592" i="1" s="1"/>
  <c r="AW592" i="1"/>
  <c r="AT592" i="1"/>
  <c r="AS592" i="1"/>
  <c r="AP592" i="1"/>
  <c r="AQ592" i="1" s="1"/>
  <c r="AO592" i="1"/>
  <c r="AM592" i="1"/>
  <c r="AL592" i="1"/>
  <c r="AK592" i="1"/>
  <c r="AH592" i="1"/>
  <c r="AI592" i="1" s="1"/>
  <c r="AF592" i="1"/>
  <c r="AG592" i="1" s="1"/>
  <c r="AD592" i="1"/>
  <c r="AE592" i="1" s="1"/>
  <c r="AC592" i="1"/>
  <c r="AB592" i="1"/>
  <c r="Z592" i="1"/>
  <c r="Y592" i="1"/>
  <c r="V592" i="1"/>
  <c r="S592" i="1" s="1"/>
  <c r="U592" i="1"/>
  <c r="R592" i="1"/>
  <c r="Q592" i="1"/>
  <c r="O592" i="1"/>
  <c r="N592" i="1"/>
  <c r="M592" i="1"/>
  <c r="J592" i="1"/>
  <c r="K592" i="1" s="1"/>
  <c r="I592" i="1"/>
  <c r="F592" i="1"/>
  <c r="G592" i="1" s="1"/>
  <c r="E592" i="1"/>
  <c r="BN591" i="1"/>
  <c r="BL591" i="1"/>
  <c r="BJ591" i="1"/>
  <c r="BM591" i="1" s="1"/>
  <c r="BI591" i="1"/>
  <c r="BF591" i="1"/>
  <c r="BE591" i="1"/>
  <c r="BB591" i="1"/>
  <c r="BC591" i="1" s="1"/>
  <c r="BA591" i="1"/>
  <c r="AY591" i="1"/>
  <c r="AX591" i="1"/>
  <c r="AW591" i="1"/>
  <c r="AT591" i="1"/>
  <c r="AU591" i="1" s="1"/>
  <c r="AS591" i="1"/>
  <c r="AP591" i="1"/>
  <c r="AM591" i="1" s="1"/>
  <c r="AO591" i="1"/>
  <c r="AL591" i="1"/>
  <c r="AK591" i="1"/>
  <c r="AI591" i="1"/>
  <c r="AH591" i="1"/>
  <c r="AF591" i="1"/>
  <c r="AG591" i="1" s="1"/>
  <c r="AE591" i="1"/>
  <c r="AD591" i="1"/>
  <c r="AB591" i="1"/>
  <c r="AC591" i="1" s="1"/>
  <c r="AA591" i="1"/>
  <c r="Z591" i="1"/>
  <c r="Y591" i="1"/>
  <c r="V591" i="1"/>
  <c r="W591" i="1" s="1"/>
  <c r="U591" i="1"/>
  <c r="R591" i="1"/>
  <c r="Q591" i="1"/>
  <c r="N591" i="1"/>
  <c r="O591" i="1" s="1"/>
  <c r="M591" i="1"/>
  <c r="K591" i="1"/>
  <c r="J591" i="1"/>
  <c r="I591" i="1"/>
  <c r="F591" i="1"/>
  <c r="G591" i="1" s="1"/>
  <c r="E591" i="1"/>
  <c r="BN590" i="1"/>
  <c r="BM590" i="1"/>
  <c r="BL590" i="1"/>
  <c r="BJ590" i="1"/>
  <c r="BI590" i="1"/>
  <c r="BF590" i="1"/>
  <c r="BG590" i="1" s="1"/>
  <c r="BE590" i="1"/>
  <c r="BB590" i="1"/>
  <c r="AY590" i="1" s="1"/>
  <c r="BA590" i="1"/>
  <c r="AX590" i="1"/>
  <c r="AW590" i="1"/>
  <c r="AU590" i="1"/>
  <c r="AT590" i="1"/>
  <c r="AS590" i="1"/>
  <c r="AP590" i="1"/>
  <c r="AQ590" i="1" s="1"/>
  <c r="AO590" i="1"/>
  <c r="AL590" i="1"/>
  <c r="AM590" i="1" s="1"/>
  <c r="AK590" i="1"/>
  <c r="AH590" i="1"/>
  <c r="AI590" i="1" s="1"/>
  <c r="AG590" i="1"/>
  <c r="AE590" i="1"/>
  <c r="AD590" i="1"/>
  <c r="AC590" i="1"/>
  <c r="Z590" i="1"/>
  <c r="AA590" i="1" s="1"/>
  <c r="Y590" i="1"/>
  <c r="V590" i="1"/>
  <c r="S590" i="1" s="1"/>
  <c r="U590" i="1"/>
  <c r="R590" i="1"/>
  <c r="Q590" i="1"/>
  <c r="O590" i="1"/>
  <c r="N590" i="1"/>
  <c r="M590" i="1"/>
  <c r="J590" i="1"/>
  <c r="K590" i="1" s="1"/>
  <c r="I590" i="1"/>
  <c r="F590" i="1"/>
  <c r="E590" i="1"/>
  <c r="BN589" i="1"/>
  <c r="BL589" i="1"/>
  <c r="BJ589" i="1"/>
  <c r="BM589" i="1" s="1"/>
  <c r="BI589" i="1"/>
  <c r="BF589" i="1"/>
  <c r="BG589" i="1" s="1"/>
  <c r="BE589" i="1"/>
  <c r="BB589" i="1"/>
  <c r="BC589" i="1" s="1"/>
  <c r="BA589" i="1"/>
  <c r="AY589" i="1"/>
  <c r="AX589" i="1"/>
  <c r="AW589" i="1"/>
  <c r="AT589" i="1"/>
  <c r="AU589" i="1" s="1"/>
  <c r="AS589" i="1"/>
  <c r="AP589" i="1"/>
  <c r="AM589" i="1" s="1"/>
  <c r="AO589" i="1"/>
  <c r="AL589" i="1"/>
  <c r="AK589" i="1"/>
  <c r="AI589" i="1"/>
  <c r="AH589" i="1"/>
  <c r="AG589" i="1"/>
  <c r="AD589" i="1"/>
  <c r="AE589" i="1" s="1"/>
  <c r="AC589" i="1"/>
  <c r="Z589" i="1"/>
  <c r="Y589" i="1"/>
  <c r="V589" i="1"/>
  <c r="W589" i="1" s="1"/>
  <c r="U589" i="1"/>
  <c r="S589" i="1"/>
  <c r="R589" i="1"/>
  <c r="Q589" i="1"/>
  <c r="N589" i="1"/>
  <c r="O589" i="1" s="1"/>
  <c r="M589" i="1"/>
  <c r="J589" i="1"/>
  <c r="G589" i="1" s="1"/>
  <c r="I589" i="1"/>
  <c r="F589" i="1"/>
  <c r="E589" i="1"/>
  <c r="BN588" i="1"/>
  <c r="BL588" i="1"/>
  <c r="BJ588" i="1"/>
  <c r="BG588" i="1" s="1"/>
  <c r="BI588" i="1"/>
  <c r="BF588" i="1"/>
  <c r="BE588" i="1"/>
  <c r="BC588" i="1"/>
  <c r="BB588" i="1"/>
  <c r="BA588" i="1"/>
  <c r="AX588" i="1"/>
  <c r="AY588" i="1" s="1"/>
  <c r="AW588" i="1"/>
  <c r="AT588" i="1"/>
  <c r="AS588" i="1"/>
  <c r="AP588" i="1"/>
  <c r="AQ588" i="1" s="1"/>
  <c r="AO588" i="1"/>
  <c r="AM588" i="1"/>
  <c r="AL588" i="1"/>
  <c r="AK588" i="1"/>
  <c r="AH588" i="1"/>
  <c r="AI588" i="1" s="1"/>
  <c r="AG588" i="1"/>
  <c r="AD588" i="1"/>
  <c r="AA588" i="1" s="1"/>
  <c r="AC588" i="1"/>
  <c r="Z588" i="1"/>
  <c r="Y588" i="1"/>
  <c r="W588" i="1"/>
  <c r="V588" i="1"/>
  <c r="U588" i="1"/>
  <c r="R588" i="1"/>
  <c r="S588" i="1" s="1"/>
  <c r="Q588" i="1"/>
  <c r="N588" i="1"/>
  <c r="M588" i="1"/>
  <c r="J588" i="1"/>
  <c r="K588" i="1" s="1"/>
  <c r="I588" i="1"/>
  <c r="G588" i="1"/>
  <c r="F588" i="1"/>
  <c r="E588" i="1"/>
  <c r="BN587" i="1"/>
  <c r="BM587" i="1"/>
  <c r="BL587" i="1"/>
  <c r="BJ587" i="1"/>
  <c r="BI587" i="1"/>
  <c r="BG587" i="1"/>
  <c r="BF587" i="1"/>
  <c r="BE587" i="1"/>
  <c r="BB587" i="1"/>
  <c r="BC587" i="1" s="1"/>
  <c r="BA587" i="1"/>
  <c r="AX587" i="1"/>
  <c r="AU587" i="1" s="1"/>
  <c r="AW587" i="1"/>
  <c r="AT587" i="1"/>
  <c r="AS587" i="1"/>
  <c r="AQ587" i="1"/>
  <c r="AP587" i="1"/>
  <c r="AO587" i="1"/>
  <c r="AL587" i="1"/>
  <c r="AM587" i="1" s="1"/>
  <c r="AK587" i="1"/>
  <c r="AH587" i="1"/>
  <c r="AG587" i="1"/>
  <c r="AD587" i="1"/>
  <c r="AE587" i="1" s="1"/>
  <c r="AC587" i="1"/>
  <c r="AA587" i="1"/>
  <c r="Z587" i="1"/>
  <c r="Y587" i="1"/>
  <c r="V587" i="1"/>
  <c r="W587" i="1" s="1"/>
  <c r="U587" i="1"/>
  <c r="R587" i="1"/>
  <c r="O587" i="1" s="1"/>
  <c r="Q587" i="1"/>
  <c r="N587" i="1"/>
  <c r="M587" i="1"/>
  <c r="K587" i="1"/>
  <c r="J587" i="1"/>
  <c r="I587" i="1"/>
  <c r="F587" i="1"/>
  <c r="G587" i="1" s="1"/>
  <c r="E587" i="1"/>
  <c r="BN586" i="1"/>
  <c r="BM586" i="1"/>
  <c r="BL586" i="1"/>
  <c r="BJ586" i="1"/>
  <c r="BI586" i="1"/>
  <c r="BF586" i="1"/>
  <c r="BG586" i="1" s="1"/>
  <c r="BE586" i="1"/>
  <c r="BB586" i="1"/>
  <c r="BA586" i="1"/>
  <c r="AX586" i="1"/>
  <c r="AY586" i="1" s="1"/>
  <c r="AW586" i="1"/>
  <c r="AU586" i="1"/>
  <c r="AT586" i="1"/>
  <c r="AS586" i="1"/>
  <c r="AP586" i="1"/>
  <c r="AQ586" i="1" s="1"/>
  <c r="AO586" i="1"/>
  <c r="AL586" i="1"/>
  <c r="AI586" i="1" s="1"/>
  <c r="AK586" i="1"/>
  <c r="AH586" i="1"/>
  <c r="AG586" i="1"/>
  <c r="AE586" i="1"/>
  <c r="AD586" i="1"/>
  <c r="AC586" i="1"/>
  <c r="Z586" i="1"/>
  <c r="AA586" i="1" s="1"/>
  <c r="Y586" i="1"/>
  <c r="V586" i="1"/>
  <c r="W586" i="1" s="1"/>
  <c r="U586" i="1"/>
  <c r="R586" i="1"/>
  <c r="S586" i="1" s="1"/>
  <c r="Q586" i="1"/>
  <c r="O586" i="1"/>
  <c r="N586" i="1"/>
  <c r="M586" i="1"/>
  <c r="J586" i="1"/>
  <c r="K586" i="1" s="1"/>
  <c r="I586" i="1"/>
  <c r="F586" i="1"/>
  <c r="E586" i="1"/>
  <c r="BN585" i="1"/>
  <c r="BL585" i="1"/>
  <c r="BJ585" i="1"/>
  <c r="BM585" i="1" s="1"/>
  <c r="BI585" i="1"/>
  <c r="BF585" i="1"/>
  <c r="BC585" i="1" s="1"/>
  <c r="BE585" i="1"/>
  <c r="BB585" i="1"/>
  <c r="AZ585" i="1"/>
  <c r="BA585" i="1" s="1"/>
  <c r="AX585" i="1"/>
  <c r="AY585" i="1" s="1"/>
  <c r="AW585" i="1"/>
  <c r="AU585" i="1"/>
  <c r="AT585" i="1"/>
  <c r="AS585" i="1"/>
  <c r="AP585" i="1"/>
  <c r="AQ585" i="1" s="1"/>
  <c r="AO585" i="1"/>
  <c r="AL585" i="1"/>
  <c r="AI585" i="1" s="1"/>
  <c r="AK585" i="1"/>
  <c r="AH585" i="1"/>
  <c r="AG585" i="1"/>
  <c r="AE585" i="1"/>
  <c r="AD585" i="1"/>
  <c r="AC585" i="1"/>
  <c r="Z585" i="1"/>
  <c r="AA585" i="1" s="1"/>
  <c r="Y585" i="1"/>
  <c r="V585" i="1"/>
  <c r="U585" i="1"/>
  <c r="R585" i="1"/>
  <c r="S585" i="1" s="1"/>
  <c r="Q585" i="1"/>
  <c r="O585" i="1"/>
  <c r="N585" i="1"/>
  <c r="M585" i="1"/>
  <c r="J585" i="1"/>
  <c r="K585" i="1" s="1"/>
  <c r="I585" i="1"/>
  <c r="F585" i="1"/>
  <c r="G585" i="1" s="1"/>
  <c r="E585" i="1"/>
  <c r="BN584" i="1"/>
  <c r="BL584" i="1"/>
  <c r="BJ584" i="1"/>
  <c r="BM584" i="1" s="1"/>
  <c r="BI584" i="1"/>
  <c r="BF584" i="1"/>
  <c r="BC584" i="1" s="1"/>
  <c r="BE584" i="1"/>
  <c r="BB584" i="1"/>
  <c r="AZ584" i="1"/>
  <c r="BA584" i="1" s="1"/>
  <c r="AX584" i="1"/>
  <c r="AY584" i="1" s="1"/>
  <c r="AW584" i="1"/>
  <c r="AU584" i="1"/>
  <c r="AT584" i="1"/>
  <c r="AS584" i="1"/>
  <c r="AP584" i="1"/>
  <c r="AQ584" i="1" s="1"/>
  <c r="AO584" i="1"/>
  <c r="AL584" i="1"/>
  <c r="AI584" i="1" s="1"/>
  <c r="AK584" i="1"/>
  <c r="AH584" i="1"/>
  <c r="AG584" i="1"/>
  <c r="AE584" i="1"/>
  <c r="AD584" i="1"/>
  <c r="AC584" i="1"/>
  <c r="Z584" i="1"/>
  <c r="AA584" i="1" s="1"/>
  <c r="Y584" i="1"/>
  <c r="V584" i="1"/>
  <c r="U584" i="1"/>
  <c r="R584" i="1"/>
  <c r="S584" i="1" s="1"/>
  <c r="Q584" i="1"/>
  <c r="O584" i="1"/>
  <c r="N584" i="1"/>
  <c r="M584" i="1"/>
  <c r="J584" i="1"/>
  <c r="K584" i="1" s="1"/>
  <c r="I584" i="1"/>
  <c r="F584" i="1"/>
  <c r="G584" i="1" s="1"/>
  <c r="E584" i="1"/>
  <c r="BN583" i="1"/>
  <c r="BL583" i="1"/>
  <c r="BJ583" i="1"/>
  <c r="BM583" i="1" s="1"/>
  <c r="BI583" i="1"/>
  <c r="BF583" i="1"/>
  <c r="BC583" i="1" s="1"/>
  <c r="BE583" i="1"/>
  <c r="BB583" i="1"/>
  <c r="AZ583" i="1"/>
  <c r="BA583" i="1" s="1"/>
  <c r="AX583" i="1"/>
  <c r="AY583" i="1" s="1"/>
  <c r="AW583" i="1"/>
  <c r="AU583" i="1"/>
  <c r="AT583" i="1"/>
  <c r="AS583" i="1"/>
  <c r="AP583" i="1"/>
  <c r="AQ583" i="1" s="1"/>
  <c r="AO583" i="1"/>
  <c r="AL583" i="1"/>
  <c r="AI583" i="1" s="1"/>
  <c r="AK583" i="1"/>
  <c r="AH583" i="1"/>
  <c r="AG583" i="1"/>
  <c r="AE583" i="1"/>
  <c r="AD583" i="1"/>
  <c r="AC583" i="1"/>
  <c r="Z583" i="1"/>
  <c r="AA583" i="1" s="1"/>
  <c r="Y583" i="1"/>
  <c r="V583" i="1"/>
  <c r="U583" i="1"/>
  <c r="R583" i="1"/>
  <c r="S583" i="1" s="1"/>
  <c r="Q583" i="1"/>
  <c r="O583" i="1"/>
  <c r="N583" i="1"/>
  <c r="M583" i="1"/>
  <c r="J583" i="1"/>
  <c r="K583" i="1" s="1"/>
  <c r="I583" i="1"/>
  <c r="F583" i="1"/>
  <c r="E583" i="1"/>
  <c r="BN582" i="1"/>
  <c r="BL582" i="1"/>
  <c r="BJ582" i="1"/>
  <c r="BM582" i="1" s="1"/>
  <c r="BI582" i="1"/>
  <c r="BF582" i="1"/>
  <c r="BC582" i="1" s="1"/>
  <c r="BE582" i="1"/>
  <c r="BB582" i="1"/>
  <c r="BA582" i="1"/>
  <c r="AY582" i="1"/>
  <c r="AX582" i="1"/>
  <c r="AW582" i="1"/>
  <c r="AT582" i="1"/>
  <c r="AU582" i="1" s="1"/>
  <c r="AS582" i="1"/>
  <c r="AP582" i="1"/>
  <c r="AO582" i="1"/>
  <c r="AL582" i="1"/>
  <c r="AK582" i="1"/>
  <c r="AI582" i="1"/>
  <c r="AH582" i="1"/>
  <c r="AG582" i="1"/>
  <c r="AD582" i="1"/>
  <c r="AE582" i="1" s="1"/>
  <c r="AC582" i="1"/>
  <c r="Z582" i="1"/>
  <c r="W582" i="1" s="1"/>
  <c r="Y582" i="1"/>
  <c r="V582" i="1"/>
  <c r="U582" i="1"/>
  <c r="S582" i="1"/>
  <c r="R582" i="1"/>
  <c r="Q582" i="1"/>
  <c r="N582" i="1"/>
  <c r="O582" i="1" s="1"/>
  <c r="M582" i="1"/>
  <c r="J582" i="1"/>
  <c r="I582" i="1"/>
  <c r="F582" i="1"/>
  <c r="E582" i="1"/>
  <c r="BN581" i="1"/>
  <c r="BK581" i="1"/>
  <c r="BL581" i="1" s="1"/>
  <c r="BJ581" i="1"/>
  <c r="BI581" i="1"/>
  <c r="BF581" i="1"/>
  <c r="BC581" i="1" s="1"/>
  <c r="BE581" i="1"/>
  <c r="BB581" i="1"/>
  <c r="BA581" i="1"/>
  <c r="AY581" i="1"/>
  <c r="AX581" i="1"/>
  <c r="AW581" i="1"/>
  <c r="AT581" i="1"/>
  <c r="AU581" i="1" s="1"/>
  <c r="AS581" i="1"/>
  <c r="AP581" i="1"/>
  <c r="AQ581" i="1" s="1"/>
  <c r="AO581" i="1"/>
  <c r="AL581" i="1"/>
  <c r="AK581" i="1"/>
  <c r="AI581" i="1"/>
  <c r="AH581" i="1"/>
  <c r="AF581" i="1"/>
  <c r="AG581" i="1" s="1"/>
  <c r="AE581" i="1"/>
  <c r="AD581" i="1"/>
  <c r="AB581" i="1"/>
  <c r="AC581" i="1" s="1"/>
  <c r="AA581" i="1"/>
  <c r="Z581" i="1"/>
  <c r="Y581" i="1"/>
  <c r="V581" i="1"/>
  <c r="W581" i="1" s="1"/>
  <c r="U581" i="1"/>
  <c r="R581" i="1"/>
  <c r="Q581" i="1"/>
  <c r="P581" i="1"/>
  <c r="N581" i="1"/>
  <c r="O581" i="1" s="1"/>
  <c r="M581" i="1"/>
  <c r="L581" i="1"/>
  <c r="J581" i="1"/>
  <c r="K581" i="1" s="1"/>
  <c r="I581" i="1"/>
  <c r="H581" i="1"/>
  <c r="F581" i="1"/>
  <c r="G581" i="1" s="1"/>
  <c r="E581" i="1"/>
  <c r="BN580" i="1"/>
  <c r="BK580" i="1"/>
  <c r="BL580" i="1" s="1"/>
  <c r="BJ580" i="1"/>
  <c r="BM580" i="1" s="1"/>
  <c r="BI580" i="1"/>
  <c r="BF580" i="1"/>
  <c r="BG580" i="1" s="1"/>
  <c r="BE580" i="1"/>
  <c r="BB580" i="1"/>
  <c r="AY580" i="1" s="1"/>
  <c r="BA580" i="1"/>
  <c r="AX580" i="1"/>
  <c r="AW580" i="1"/>
  <c r="AU580" i="1"/>
  <c r="AT580" i="1"/>
  <c r="AS580" i="1"/>
  <c r="AP580" i="1"/>
  <c r="AQ580" i="1" s="1"/>
  <c r="AO580" i="1"/>
  <c r="AL580" i="1"/>
  <c r="AM580" i="1" s="1"/>
  <c r="AK580" i="1"/>
  <c r="AH580" i="1"/>
  <c r="AF580" i="1"/>
  <c r="AG580" i="1" s="1"/>
  <c r="AE580" i="1"/>
  <c r="AD580" i="1"/>
  <c r="AB580" i="1"/>
  <c r="AC580" i="1" s="1"/>
  <c r="AA580" i="1"/>
  <c r="Z580" i="1"/>
  <c r="Y580" i="1"/>
  <c r="W580" i="1"/>
  <c r="V580" i="1"/>
  <c r="U580" i="1"/>
  <c r="R580" i="1"/>
  <c r="S580" i="1" s="1"/>
  <c r="Q580" i="1"/>
  <c r="P580" i="1"/>
  <c r="N580" i="1"/>
  <c r="M580" i="1"/>
  <c r="L580" i="1"/>
  <c r="J580" i="1"/>
  <c r="K580" i="1" s="1"/>
  <c r="I580" i="1"/>
  <c r="H580" i="1"/>
  <c r="F580" i="1"/>
  <c r="E580" i="1"/>
  <c r="BN579" i="1"/>
  <c r="BM579" i="1"/>
  <c r="BL579" i="1"/>
  <c r="BK579" i="1"/>
  <c r="BJ579" i="1"/>
  <c r="BI579" i="1"/>
  <c r="BG579" i="1"/>
  <c r="BF579" i="1"/>
  <c r="BE579" i="1"/>
  <c r="BB579" i="1"/>
  <c r="BC579" i="1" s="1"/>
  <c r="BA579" i="1"/>
  <c r="AX579" i="1"/>
  <c r="AU579" i="1" s="1"/>
  <c r="AW579" i="1"/>
  <c r="AT579" i="1"/>
  <c r="AS579" i="1"/>
  <c r="AQ579" i="1"/>
  <c r="AP579" i="1"/>
  <c r="AO579" i="1"/>
  <c r="AL579" i="1"/>
  <c r="AM579" i="1" s="1"/>
  <c r="AK579" i="1"/>
  <c r="AH579" i="1"/>
  <c r="AG579" i="1"/>
  <c r="AF579" i="1"/>
  <c r="AD579" i="1"/>
  <c r="AE579" i="1" s="1"/>
  <c r="AC579" i="1"/>
  <c r="AB579" i="1"/>
  <c r="Z579" i="1"/>
  <c r="AA579" i="1" s="1"/>
  <c r="Y579" i="1"/>
  <c r="V579" i="1"/>
  <c r="U579" i="1"/>
  <c r="S579" i="1"/>
  <c r="R579" i="1"/>
  <c r="P579" i="1"/>
  <c r="Q579" i="1" s="1"/>
  <c r="O579" i="1"/>
  <c r="N579" i="1"/>
  <c r="L579" i="1"/>
  <c r="M579" i="1" s="1"/>
  <c r="K579" i="1"/>
  <c r="J579" i="1"/>
  <c r="H579" i="1"/>
  <c r="I579" i="1" s="1"/>
  <c r="G579" i="1"/>
  <c r="F579" i="1"/>
  <c r="D579" i="1"/>
  <c r="E579" i="1" s="1"/>
  <c r="BN578" i="1"/>
  <c r="BL578" i="1"/>
  <c r="BJ578" i="1"/>
  <c r="BI578" i="1"/>
  <c r="BF578" i="1"/>
  <c r="BE578" i="1"/>
  <c r="BC578" i="1"/>
  <c r="BB578" i="1"/>
  <c r="BA578" i="1"/>
  <c r="AX578" i="1"/>
  <c r="AY578" i="1" s="1"/>
  <c r="AW578" i="1"/>
  <c r="AT578" i="1"/>
  <c r="AQ578" i="1" s="1"/>
  <c r="AS578" i="1"/>
  <c r="AP578" i="1"/>
  <c r="AO578" i="1"/>
  <c r="AM578" i="1"/>
  <c r="AL578" i="1"/>
  <c r="AK578" i="1"/>
  <c r="AH578" i="1"/>
  <c r="AI578" i="1" s="1"/>
  <c r="AG578" i="1"/>
  <c r="AD578" i="1"/>
  <c r="AC578" i="1"/>
  <c r="Z578" i="1"/>
  <c r="Y578" i="1"/>
  <c r="W578" i="1"/>
  <c r="V578" i="1"/>
  <c r="U578" i="1"/>
  <c r="R578" i="1"/>
  <c r="S578" i="1" s="1"/>
  <c r="Q578" i="1"/>
  <c r="N578" i="1"/>
  <c r="K578" i="1" s="1"/>
  <c r="M578" i="1"/>
  <c r="J578" i="1"/>
  <c r="I578" i="1"/>
  <c r="G578" i="1"/>
  <c r="F578" i="1"/>
  <c r="E578" i="1"/>
  <c r="BN577" i="1"/>
  <c r="BM577" i="1"/>
  <c r="BL577" i="1"/>
  <c r="BJ577" i="1"/>
  <c r="BI577" i="1"/>
  <c r="BG577" i="1"/>
  <c r="BF577" i="1"/>
  <c r="BE577" i="1"/>
  <c r="BB577" i="1"/>
  <c r="BC577" i="1" s="1"/>
  <c r="BA577" i="1"/>
  <c r="AX577" i="1"/>
  <c r="AY577" i="1" s="1"/>
  <c r="AW577" i="1"/>
  <c r="AT577" i="1"/>
  <c r="AS577" i="1"/>
  <c r="AQ577" i="1"/>
  <c r="AP577" i="1"/>
  <c r="AO577" i="1"/>
  <c r="AL577" i="1"/>
  <c r="AM577" i="1" s="1"/>
  <c r="AK577" i="1"/>
  <c r="AH577" i="1"/>
  <c r="AE577" i="1" s="1"/>
  <c r="AG577" i="1"/>
  <c r="AD577" i="1"/>
  <c r="AC577" i="1"/>
  <c r="AA577" i="1"/>
  <c r="Z577" i="1"/>
  <c r="Y577" i="1"/>
  <c r="V577" i="1"/>
  <c r="W577" i="1" s="1"/>
  <c r="U577" i="1"/>
  <c r="R577" i="1"/>
  <c r="S577" i="1" s="1"/>
  <c r="Q577" i="1"/>
  <c r="N577" i="1"/>
  <c r="M577" i="1"/>
  <c r="K577" i="1"/>
  <c r="J577" i="1"/>
  <c r="I577" i="1"/>
  <c r="F577" i="1"/>
  <c r="G577" i="1" s="1"/>
  <c r="E577" i="1"/>
  <c r="BN576" i="1"/>
  <c r="BM576" i="1"/>
  <c r="BL576" i="1"/>
  <c r="BJ576" i="1"/>
  <c r="BI576" i="1"/>
  <c r="BF576" i="1"/>
  <c r="BG576" i="1" s="1"/>
  <c r="BE576" i="1"/>
  <c r="BB576" i="1"/>
  <c r="AY576" i="1" s="1"/>
  <c r="BA576" i="1"/>
  <c r="AX576" i="1"/>
  <c r="AW576" i="1"/>
  <c r="AU576" i="1"/>
  <c r="AT576" i="1"/>
  <c r="AS576" i="1"/>
  <c r="AP576" i="1"/>
  <c r="AQ576" i="1" s="1"/>
  <c r="AO576" i="1"/>
  <c r="AL576" i="1"/>
  <c r="AM576" i="1" s="1"/>
  <c r="AK576" i="1"/>
  <c r="AH576" i="1"/>
  <c r="AG576" i="1"/>
  <c r="AE576" i="1"/>
  <c r="AD576" i="1"/>
  <c r="AC576" i="1"/>
  <c r="Z576" i="1"/>
  <c r="AA576" i="1" s="1"/>
  <c r="Y576" i="1"/>
  <c r="V576" i="1"/>
  <c r="S576" i="1" s="1"/>
  <c r="U576" i="1"/>
  <c r="R576" i="1"/>
  <c r="Q576" i="1"/>
  <c r="O576" i="1"/>
  <c r="N576" i="1"/>
  <c r="M576" i="1"/>
  <c r="J576" i="1"/>
  <c r="K576" i="1" s="1"/>
  <c r="I576" i="1"/>
  <c r="F576" i="1"/>
  <c r="E576" i="1"/>
  <c r="BN575" i="1"/>
  <c r="BL575" i="1"/>
  <c r="BJ575" i="1"/>
  <c r="BM575" i="1" s="1"/>
  <c r="BI575" i="1"/>
  <c r="BF575" i="1"/>
  <c r="BG575" i="1" s="1"/>
  <c r="BE575" i="1"/>
  <c r="BB575" i="1"/>
  <c r="BA575" i="1"/>
  <c r="AY575" i="1"/>
  <c r="AX575" i="1"/>
  <c r="AW575" i="1"/>
  <c r="AT575" i="1"/>
  <c r="AU575" i="1" s="1"/>
  <c r="AS575" i="1"/>
  <c r="AP575" i="1"/>
  <c r="AM575" i="1" s="1"/>
  <c r="AO575" i="1"/>
  <c r="AL575" i="1"/>
  <c r="AK575" i="1"/>
  <c r="AI575" i="1"/>
  <c r="AH575" i="1"/>
  <c r="AG575" i="1"/>
  <c r="AD575" i="1"/>
  <c r="AE575" i="1" s="1"/>
  <c r="AC575" i="1"/>
  <c r="Z575" i="1"/>
  <c r="Y575" i="1"/>
  <c r="V575" i="1"/>
  <c r="U575" i="1"/>
  <c r="S575" i="1"/>
  <c r="R575" i="1"/>
  <c r="Q575" i="1"/>
  <c r="N575" i="1"/>
  <c r="O575" i="1" s="1"/>
  <c r="M575" i="1"/>
  <c r="J575" i="1"/>
  <c r="G575" i="1" s="1"/>
  <c r="I575" i="1"/>
  <c r="F575" i="1"/>
  <c r="E575" i="1"/>
  <c r="BN574" i="1"/>
  <c r="BL574" i="1"/>
  <c r="BJ574" i="1"/>
  <c r="BG574" i="1" s="1"/>
  <c r="BI574" i="1"/>
  <c r="BF574" i="1"/>
  <c r="BE574" i="1"/>
  <c r="BC574" i="1"/>
  <c r="BB574" i="1"/>
  <c r="BA574" i="1"/>
  <c r="AX574" i="1"/>
  <c r="AY574" i="1" s="1"/>
  <c r="AW574" i="1"/>
  <c r="AT574" i="1"/>
  <c r="AS574" i="1"/>
  <c r="AP574" i="1"/>
  <c r="AO574" i="1"/>
  <c r="AM574" i="1"/>
  <c r="AL574" i="1"/>
  <c r="AK574" i="1"/>
  <c r="AH574" i="1"/>
  <c r="AI574" i="1" s="1"/>
  <c r="AG574" i="1"/>
  <c r="AD574" i="1"/>
  <c r="AA574" i="1" s="1"/>
  <c r="AC574" i="1"/>
  <c r="Z574" i="1"/>
  <c r="Y574" i="1"/>
  <c r="W574" i="1"/>
  <c r="V574" i="1"/>
  <c r="U574" i="1"/>
  <c r="R574" i="1"/>
  <c r="S574" i="1" s="1"/>
  <c r="Q574" i="1"/>
  <c r="N574" i="1"/>
  <c r="O574" i="1" s="1"/>
  <c r="M574" i="1"/>
  <c r="J574" i="1"/>
  <c r="I574" i="1"/>
  <c r="G574" i="1"/>
  <c r="F574" i="1"/>
  <c r="E574" i="1"/>
  <c r="BN573" i="1"/>
  <c r="BM573" i="1"/>
  <c r="BL573" i="1"/>
  <c r="BJ573" i="1"/>
  <c r="BI573" i="1"/>
  <c r="BG573" i="1"/>
  <c r="BF573" i="1"/>
  <c r="BE573" i="1"/>
  <c r="BB573" i="1"/>
  <c r="BC573" i="1" s="1"/>
  <c r="BA573" i="1"/>
  <c r="AX573" i="1"/>
  <c r="AU573" i="1" s="1"/>
  <c r="AW573" i="1"/>
  <c r="AT573" i="1"/>
  <c r="AS573" i="1"/>
  <c r="AQ573" i="1"/>
  <c r="AP573" i="1"/>
  <c r="AO573" i="1"/>
  <c r="AL573" i="1"/>
  <c r="AM573" i="1" s="1"/>
  <c r="AK573" i="1"/>
  <c r="AH573" i="1"/>
  <c r="AG573" i="1"/>
  <c r="AD573" i="1"/>
  <c r="AC573" i="1"/>
  <c r="AA573" i="1"/>
  <c r="Z573" i="1"/>
  <c r="Y573" i="1"/>
  <c r="V573" i="1"/>
  <c r="W573" i="1" s="1"/>
  <c r="U573" i="1"/>
  <c r="R573" i="1"/>
  <c r="O573" i="1" s="1"/>
  <c r="Q573" i="1"/>
  <c r="N573" i="1"/>
  <c r="M573" i="1"/>
  <c r="K573" i="1"/>
  <c r="J573" i="1"/>
  <c r="I573" i="1"/>
  <c r="F573" i="1"/>
  <c r="G573" i="1" s="1"/>
  <c r="E573" i="1"/>
  <c r="BN572" i="1"/>
  <c r="BM572" i="1"/>
  <c r="BL572" i="1"/>
  <c r="BJ572" i="1"/>
  <c r="BI572" i="1"/>
  <c r="BF572" i="1"/>
  <c r="BG572" i="1" s="1"/>
  <c r="BE572" i="1"/>
  <c r="BB572" i="1"/>
  <c r="BC572" i="1" s="1"/>
  <c r="BA572" i="1"/>
  <c r="AX572" i="1"/>
  <c r="AW572" i="1"/>
  <c r="AU572" i="1"/>
  <c r="AT572" i="1"/>
  <c r="AS572" i="1"/>
  <c r="AP572" i="1"/>
  <c r="AQ572" i="1" s="1"/>
  <c r="AO572" i="1"/>
  <c r="AL572" i="1"/>
  <c r="AI572" i="1" s="1"/>
  <c r="AK572" i="1"/>
  <c r="AH572" i="1"/>
  <c r="AG572" i="1"/>
  <c r="AE572" i="1"/>
  <c r="AD572" i="1"/>
  <c r="AC572" i="1"/>
  <c r="Z572" i="1"/>
  <c r="AA572" i="1" s="1"/>
  <c r="Y572" i="1"/>
  <c r="V572" i="1"/>
  <c r="U572" i="1"/>
  <c r="R572" i="1"/>
  <c r="S572" i="1" s="1"/>
  <c r="Q572" i="1"/>
  <c r="O572" i="1"/>
  <c r="N572" i="1"/>
  <c r="M572" i="1"/>
  <c r="J572" i="1"/>
  <c r="K572" i="1" s="1"/>
  <c r="I572" i="1"/>
  <c r="F572" i="1"/>
  <c r="E572" i="1"/>
  <c r="BN571" i="1"/>
  <c r="BL571" i="1"/>
  <c r="BJ571" i="1"/>
  <c r="BM571" i="1" s="1"/>
  <c r="BI571" i="1"/>
  <c r="BF571" i="1"/>
  <c r="BC571" i="1" s="1"/>
  <c r="BE571" i="1"/>
  <c r="BB571" i="1"/>
  <c r="BA571" i="1"/>
  <c r="AY571" i="1"/>
  <c r="AX571" i="1"/>
  <c r="AW571" i="1"/>
  <c r="AT571" i="1"/>
  <c r="AU571" i="1" s="1"/>
  <c r="AS571" i="1"/>
  <c r="AP571" i="1"/>
  <c r="AO571" i="1"/>
  <c r="AL571" i="1"/>
  <c r="AK571" i="1"/>
  <c r="AI571" i="1"/>
  <c r="AH571" i="1"/>
  <c r="AG571" i="1"/>
  <c r="AD571" i="1"/>
  <c r="AE571" i="1" s="1"/>
  <c r="AC571" i="1"/>
  <c r="Z571" i="1"/>
  <c r="W571" i="1" s="1"/>
  <c r="Y571" i="1"/>
  <c r="V571" i="1"/>
  <c r="U571" i="1"/>
  <c r="S571" i="1"/>
  <c r="R571" i="1"/>
  <c r="Q571" i="1"/>
  <c r="N571" i="1"/>
  <c r="O571" i="1" s="1"/>
  <c r="M571" i="1"/>
  <c r="J571" i="1"/>
  <c r="I571" i="1"/>
  <c r="F571" i="1"/>
  <c r="G571" i="1" s="1"/>
  <c r="E571" i="1"/>
  <c r="BN570" i="1"/>
  <c r="BL570" i="1"/>
  <c r="BJ570" i="1"/>
  <c r="BI570" i="1"/>
  <c r="BF570" i="1"/>
  <c r="BG570" i="1" s="1"/>
  <c r="BE570" i="1"/>
  <c r="BC570" i="1"/>
  <c r="BB570" i="1"/>
  <c r="BA570" i="1"/>
  <c r="AX570" i="1"/>
  <c r="AY570" i="1" s="1"/>
  <c r="AW570" i="1"/>
  <c r="AT570" i="1"/>
  <c r="AQ570" i="1" s="1"/>
  <c r="AS570" i="1"/>
  <c r="AP570" i="1"/>
  <c r="AO570" i="1"/>
  <c r="AM570" i="1"/>
  <c r="AL570" i="1"/>
  <c r="AK570" i="1"/>
  <c r="AH570" i="1"/>
  <c r="AI570" i="1" s="1"/>
  <c r="AG570" i="1"/>
  <c r="AD570" i="1"/>
  <c r="AC570" i="1"/>
  <c r="Z570" i="1"/>
  <c r="AA570" i="1" s="1"/>
  <c r="Y570" i="1"/>
  <c r="W570" i="1"/>
  <c r="V570" i="1"/>
  <c r="U570" i="1"/>
  <c r="R570" i="1"/>
  <c r="S570" i="1" s="1"/>
  <c r="Q570" i="1"/>
  <c r="N570" i="1"/>
  <c r="K570" i="1" s="1"/>
  <c r="M570" i="1"/>
  <c r="J570" i="1"/>
  <c r="I570" i="1"/>
  <c r="G570" i="1"/>
  <c r="F570" i="1"/>
  <c r="E570" i="1"/>
  <c r="BN569" i="1"/>
  <c r="BM569" i="1"/>
  <c r="BL569" i="1"/>
  <c r="BK569" i="1"/>
  <c r="BJ569" i="1"/>
  <c r="BG569" i="1" s="1"/>
  <c r="BI569" i="1"/>
  <c r="BF569" i="1"/>
  <c r="BE569" i="1"/>
  <c r="BC569" i="1"/>
  <c r="BB569" i="1"/>
  <c r="BA569" i="1"/>
  <c r="AX569" i="1"/>
  <c r="AY569" i="1" s="1"/>
  <c r="AW569" i="1"/>
  <c r="AT569" i="1"/>
  <c r="AQ569" i="1" s="1"/>
  <c r="AS569" i="1"/>
  <c r="AP569" i="1"/>
  <c r="AO569" i="1"/>
  <c r="AM569" i="1"/>
  <c r="AL569" i="1"/>
  <c r="AK569" i="1"/>
  <c r="AH569" i="1"/>
  <c r="AI569" i="1" s="1"/>
  <c r="AG569" i="1"/>
  <c r="AF569" i="1"/>
  <c r="AD569" i="1"/>
  <c r="AC569" i="1"/>
  <c r="Z569" i="1"/>
  <c r="W569" i="1" s="1"/>
  <c r="Y569" i="1"/>
  <c r="V569" i="1"/>
  <c r="U569" i="1"/>
  <c r="S569" i="1"/>
  <c r="R569" i="1"/>
  <c r="Q569" i="1"/>
  <c r="N569" i="1"/>
  <c r="O569" i="1" s="1"/>
  <c r="M569" i="1"/>
  <c r="J569" i="1"/>
  <c r="K569" i="1" s="1"/>
  <c r="I569" i="1"/>
  <c r="F569" i="1"/>
  <c r="E569" i="1"/>
  <c r="BN568" i="1"/>
  <c r="BK568" i="1"/>
  <c r="BL568" i="1" s="1"/>
  <c r="BJ568" i="1"/>
  <c r="BI568" i="1"/>
  <c r="BF568" i="1"/>
  <c r="BC568" i="1" s="1"/>
  <c r="BE568" i="1"/>
  <c r="BB568" i="1"/>
  <c r="BA568" i="1"/>
  <c r="AY568" i="1"/>
  <c r="AX568" i="1"/>
  <c r="AW568" i="1"/>
  <c r="AT568" i="1"/>
  <c r="AU568" i="1" s="1"/>
  <c r="AS568" i="1"/>
  <c r="AP568" i="1"/>
  <c r="AO568" i="1"/>
  <c r="AL568" i="1"/>
  <c r="AM568" i="1" s="1"/>
  <c r="AK568" i="1"/>
  <c r="AI568" i="1"/>
  <c r="AH568" i="1"/>
  <c r="AF568" i="1"/>
  <c r="AG568" i="1" s="1"/>
  <c r="AE568" i="1"/>
  <c r="AD568" i="1"/>
  <c r="AC568" i="1"/>
  <c r="Z568" i="1"/>
  <c r="AA568" i="1" s="1"/>
  <c r="Y568" i="1"/>
  <c r="V568" i="1"/>
  <c r="U568" i="1"/>
  <c r="R568" i="1"/>
  <c r="S568" i="1" s="1"/>
  <c r="Q568" i="1"/>
  <c r="O568" i="1"/>
  <c r="N568" i="1"/>
  <c r="M568" i="1"/>
  <c r="J568" i="1"/>
  <c r="K568" i="1" s="1"/>
  <c r="I568" i="1"/>
  <c r="F568" i="1"/>
  <c r="G568" i="1" s="1"/>
  <c r="E568" i="1"/>
  <c r="BN567" i="1"/>
  <c r="BM567" i="1" s="1"/>
  <c r="BK567" i="1"/>
  <c r="BL567" i="1" s="1"/>
  <c r="BJ567" i="1"/>
  <c r="BI567" i="1"/>
  <c r="BF567" i="1"/>
  <c r="BG567" i="1" s="1"/>
  <c r="BE567" i="1"/>
  <c r="BB567" i="1"/>
  <c r="BC567" i="1" s="1"/>
  <c r="BA567" i="1"/>
  <c r="AX567" i="1"/>
  <c r="AV567" i="1"/>
  <c r="AW567" i="1" s="1"/>
  <c r="AU567" i="1"/>
  <c r="AT567" i="1"/>
  <c r="AS567" i="1"/>
  <c r="AQ567" i="1"/>
  <c r="AP567" i="1"/>
  <c r="AO567" i="1"/>
  <c r="AL567" i="1"/>
  <c r="AM567" i="1" s="1"/>
  <c r="AK567" i="1"/>
  <c r="AH567" i="1"/>
  <c r="AI567" i="1" s="1"/>
  <c r="AG567" i="1"/>
  <c r="AF567" i="1"/>
  <c r="AD567" i="1"/>
  <c r="AA567" i="1" s="1"/>
  <c r="AC567" i="1"/>
  <c r="Z567" i="1"/>
  <c r="Y567" i="1"/>
  <c r="W567" i="1"/>
  <c r="V567" i="1"/>
  <c r="U567" i="1"/>
  <c r="R567" i="1"/>
  <c r="S567" i="1" s="1"/>
  <c r="Q567" i="1"/>
  <c r="N567" i="1"/>
  <c r="O567" i="1" s="1"/>
  <c r="M567" i="1"/>
  <c r="J567" i="1"/>
  <c r="K567" i="1" s="1"/>
  <c r="I567" i="1"/>
  <c r="G567" i="1"/>
  <c r="F567" i="1"/>
  <c r="E567" i="1"/>
  <c r="BN566" i="1"/>
  <c r="BM566" i="1"/>
  <c r="BL566" i="1"/>
  <c r="BJ566" i="1"/>
  <c r="BI566" i="1"/>
  <c r="BG566" i="1"/>
  <c r="BF566" i="1"/>
  <c r="BE566" i="1"/>
  <c r="BB566" i="1"/>
  <c r="BC566" i="1" s="1"/>
  <c r="BA566" i="1"/>
  <c r="AX566" i="1"/>
  <c r="AU566" i="1" s="1"/>
  <c r="AW566" i="1"/>
  <c r="AT566" i="1"/>
  <c r="AS566" i="1"/>
  <c r="AQ566" i="1"/>
  <c r="AP566" i="1"/>
  <c r="AO566" i="1"/>
  <c r="AL566" i="1"/>
  <c r="AM566" i="1" s="1"/>
  <c r="AK566" i="1"/>
  <c r="AH566" i="1"/>
  <c r="AG566" i="1"/>
  <c r="AD566" i="1"/>
  <c r="AE566" i="1" s="1"/>
  <c r="AC566" i="1"/>
  <c r="AA566" i="1"/>
  <c r="Z566" i="1"/>
  <c r="Y566" i="1"/>
  <c r="V566" i="1"/>
  <c r="W566" i="1" s="1"/>
  <c r="U566" i="1"/>
  <c r="R566" i="1"/>
  <c r="O566" i="1" s="1"/>
  <c r="Q566" i="1"/>
  <c r="N566" i="1"/>
  <c r="M566" i="1"/>
  <c r="K566" i="1"/>
  <c r="J566" i="1"/>
  <c r="I566" i="1"/>
  <c r="F566" i="1"/>
  <c r="G566" i="1" s="1"/>
  <c r="E566" i="1"/>
  <c r="BN565" i="1"/>
  <c r="BM565" i="1"/>
  <c r="BL565" i="1"/>
  <c r="BK565" i="1"/>
  <c r="BJ565" i="1"/>
  <c r="BH565" i="1"/>
  <c r="BI565" i="1" s="1"/>
  <c r="BG565" i="1"/>
  <c r="BF565" i="1"/>
  <c r="BC565" i="1" s="1"/>
  <c r="BD565" i="1"/>
  <c r="BE565" i="1" s="1"/>
  <c r="BB565" i="1"/>
  <c r="AZ565" i="1"/>
  <c r="BA565" i="1" s="1"/>
  <c r="AY565" i="1"/>
  <c r="AX565" i="1"/>
  <c r="AU565" i="1" s="1"/>
  <c r="AV565" i="1"/>
  <c r="AW565" i="1" s="1"/>
  <c r="AT565" i="1"/>
  <c r="AS565" i="1"/>
  <c r="AQ565" i="1"/>
  <c r="AP565" i="1"/>
  <c r="AN565" i="1"/>
  <c r="AO565" i="1" s="1"/>
  <c r="AM565" i="1"/>
  <c r="AL565" i="1"/>
  <c r="AJ565" i="1"/>
  <c r="AK565" i="1" s="1"/>
  <c r="AI565" i="1"/>
  <c r="AH565" i="1"/>
  <c r="AF565" i="1"/>
  <c r="AG565" i="1" s="1"/>
  <c r="AE565" i="1"/>
  <c r="AD565" i="1"/>
  <c r="AC565" i="1"/>
  <c r="Z565" i="1"/>
  <c r="AA565" i="1" s="1"/>
  <c r="Y565" i="1"/>
  <c r="V565" i="1"/>
  <c r="U565" i="1"/>
  <c r="R565" i="1"/>
  <c r="S565" i="1" s="1"/>
  <c r="Q565" i="1"/>
  <c r="O565" i="1"/>
  <c r="N565" i="1"/>
  <c r="M565" i="1"/>
  <c r="J565" i="1"/>
  <c r="K565" i="1" s="1"/>
  <c r="I565" i="1"/>
  <c r="F565" i="1"/>
  <c r="E565" i="1"/>
  <c r="BN564" i="1"/>
  <c r="BM564" i="1" s="1"/>
  <c r="BK564" i="1"/>
  <c r="BL564" i="1" s="1"/>
  <c r="BJ564" i="1"/>
  <c r="BH564" i="1"/>
  <c r="BI564" i="1" s="1"/>
  <c r="BG564" i="1"/>
  <c r="BF564" i="1"/>
  <c r="BD564" i="1"/>
  <c r="BE564" i="1" s="1"/>
  <c r="BC564" i="1"/>
  <c r="BB564" i="1"/>
  <c r="AZ564" i="1"/>
  <c r="BA564" i="1" s="1"/>
  <c r="AY564" i="1"/>
  <c r="AX564" i="1"/>
  <c r="AV564" i="1"/>
  <c r="AW564" i="1" s="1"/>
  <c r="AU564" i="1"/>
  <c r="AT564" i="1"/>
  <c r="AS564" i="1"/>
  <c r="AP564" i="1"/>
  <c r="AQ564" i="1" s="1"/>
  <c r="AO564" i="1"/>
  <c r="AN564" i="1"/>
  <c r="AL564" i="1"/>
  <c r="AK564" i="1"/>
  <c r="AJ564" i="1"/>
  <c r="AH564" i="1"/>
  <c r="AI564" i="1" s="1"/>
  <c r="AG564" i="1"/>
  <c r="AF564" i="1"/>
  <c r="AD564" i="1"/>
  <c r="AE564" i="1" s="1"/>
  <c r="AC564" i="1"/>
  <c r="Z564" i="1"/>
  <c r="W564" i="1" s="1"/>
  <c r="Y564" i="1"/>
  <c r="V564" i="1"/>
  <c r="U564" i="1"/>
  <c r="S564" i="1"/>
  <c r="R564" i="1"/>
  <c r="Q564" i="1"/>
  <c r="N564" i="1"/>
  <c r="O564" i="1" s="1"/>
  <c r="M564" i="1"/>
  <c r="J564" i="1"/>
  <c r="K564" i="1" s="1"/>
  <c r="I564" i="1"/>
  <c r="F564" i="1"/>
  <c r="E564" i="1"/>
  <c r="BN563" i="1"/>
  <c r="BK563" i="1"/>
  <c r="BL563" i="1" s="1"/>
  <c r="BJ563" i="1"/>
  <c r="BI563" i="1"/>
  <c r="BH563" i="1"/>
  <c r="BF563" i="1"/>
  <c r="BE563" i="1"/>
  <c r="BD563" i="1"/>
  <c r="BB563" i="1"/>
  <c r="BC563" i="1" s="1"/>
  <c r="BA563" i="1"/>
  <c r="AZ563" i="1"/>
  <c r="AX563" i="1"/>
  <c r="AW563" i="1"/>
  <c r="AV563" i="1"/>
  <c r="AT563" i="1"/>
  <c r="AU563" i="1" s="1"/>
  <c r="AS563" i="1"/>
  <c r="AP563" i="1"/>
  <c r="AQ563" i="1" s="1"/>
  <c r="AO563" i="1"/>
  <c r="AN563" i="1"/>
  <c r="AL563" i="1"/>
  <c r="AM563" i="1" s="1"/>
  <c r="AK563" i="1"/>
  <c r="AJ563" i="1"/>
  <c r="AH563" i="1"/>
  <c r="AE563" i="1" s="1"/>
  <c r="AG563" i="1"/>
  <c r="AD563" i="1"/>
  <c r="AC563" i="1"/>
  <c r="AA563" i="1"/>
  <c r="Z563" i="1"/>
  <c r="Y563" i="1"/>
  <c r="V563" i="1"/>
  <c r="W563" i="1" s="1"/>
  <c r="U563" i="1"/>
  <c r="R563" i="1"/>
  <c r="S563" i="1" s="1"/>
  <c r="Q563" i="1"/>
  <c r="N563" i="1"/>
  <c r="M563" i="1"/>
  <c r="K563" i="1"/>
  <c r="J563" i="1"/>
  <c r="I563" i="1"/>
  <c r="F563" i="1"/>
  <c r="G563" i="1" s="1"/>
  <c r="E563" i="1"/>
  <c r="BN562" i="1"/>
  <c r="BM562" i="1"/>
  <c r="BL562" i="1"/>
  <c r="BJ562" i="1"/>
  <c r="BI562" i="1"/>
  <c r="BF562" i="1"/>
  <c r="BG562" i="1" s="1"/>
  <c r="BE562" i="1"/>
  <c r="BB562" i="1"/>
  <c r="AY562" i="1" s="1"/>
  <c r="BA562" i="1"/>
  <c r="AX562" i="1"/>
  <c r="AW562" i="1"/>
  <c r="AU562" i="1"/>
  <c r="AT562" i="1"/>
  <c r="AS562" i="1"/>
  <c r="AP562" i="1"/>
  <c r="AQ562" i="1" s="1"/>
  <c r="AO562" i="1"/>
  <c r="AL562" i="1"/>
  <c r="AM562" i="1" s="1"/>
  <c r="AK562" i="1"/>
  <c r="AH562" i="1"/>
  <c r="AG562" i="1"/>
  <c r="AE562" i="1"/>
  <c r="AD562" i="1"/>
  <c r="AC562" i="1"/>
  <c r="Z562" i="1"/>
  <c r="AA562" i="1" s="1"/>
  <c r="Y562" i="1"/>
  <c r="V562" i="1"/>
  <c r="S562" i="1" s="1"/>
  <c r="U562" i="1"/>
  <c r="R562" i="1"/>
  <c r="Q562" i="1"/>
  <c r="O562" i="1"/>
  <c r="N562" i="1"/>
  <c r="M562" i="1"/>
  <c r="J562" i="1"/>
  <c r="K562" i="1" s="1"/>
  <c r="I562" i="1"/>
  <c r="F562" i="1"/>
  <c r="E562" i="1"/>
  <c r="BN561" i="1"/>
  <c r="BL561" i="1"/>
  <c r="BJ561" i="1"/>
  <c r="BM561" i="1" s="1"/>
  <c r="BI561" i="1"/>
  <c r="BF561" i="1"/>
  <c r="BG561" i="1" s="1"/>
  <c r="BE561" i="1"/>
  <c r="BB561" i="1"/>
  <c r="BA561" i="1"/>
  <c r="AY561" i="1"/>
  <c r="AX561" i="1"/>
  <c r="AV561" i="1"/>
  <c r="AW561" i="1" s="1"/>
  <c r="AU561" i="1"/>
  <c r="AT561" i="1"/>
  <c r="AS561" i="1"/>
  <c r="AP561" i="1"/>
  <c r="AQ561" i="1" s="1"/>
  <c r="AO561" i="1"/>
  <c r="AN561" i="1"/>
  <c r="AL561" i="1"/>
  <c r="AK561" i="1"/>
  <c r="AJ561" i="1"/>
  <c r="AH561" i="1"/>
  <c r="AI561" i="1" s="1"/>
  <c r="AG561" i="1"/>
  <c r="AF561" i="1"/>
  <c r="AD561" i="1"/>
  <c r="AC561" i="1"/>
  <c r="AB561" i="1"/>
  <c r="Z561" i="1"/>
  <c r="AA561" i="1" s="1"/>
  <c r="Y561" i="1"/>
  <c r="X561" i="1"/>
  <c r="V561" i="1"/>
  <c r="W561" i="1" s="1"/>
  <c r="U561" i="1"/>
  <c r="T561" i="1"/>
  <c r="R561" i="1"/>
  <c r="S561" i="1" s="1"/>
  <c r="Q561" i="1"/>
  <c r="N561" i="1"/>
  <c r="M561" i="1"/>
  <c r="J561" i="1"/>
  <c r="I561" i="1"/>
  <c r="G561" i="1"/>
  <c r="F561" i="1"/>
  <c r="E561" i="1"/>
  <c r="BN560" i="1"/>
  <c r="BM560" i="1"/>
  <c r="BL560" i="1"/>
  <c r="BJ560" i="1"/>
  <c r="BI560" i="1"/>
  <c r="BG560" i="1"/>
  <c r="BF560" i="1"/>
  <c r="BE560" i="1"/>
  <c r="BB560" i="1"/>
  <c r="BC560" i="1" s="1"/>
  <c r="BA560" i="1"/>
  <c r="AX560" i="1"/>
  <c r="AY560" i="1" s="1"/>
  <c r="AW560" i="1"/>
  <c r="AV560" i="1"/>
  <c r="AT560" i="1"/>
  <c r="AU560" i="1" s="1"/>
  <c r="AS560" i="1"/>
  <c r="AR560" i="1"/>
  <c r="AP560" i="1"/>
  <c r="AQ560" i="1" s="1"/>
  <c r="AO560" i="1"/>
  <c r="AN560" i="1"/>
  <c r="AL560" i="1"/>
  <c r="AM560" i="1" s="1"/>
  <c r="AK560" i="1"/>
  <c r="AJ560" i="1"/>
  <c r="AH560" i="1"/>
  <c r="AI560" i="1" s="1"/>
  <c r="AG560" i="1"/>
  <c r="AF560" i="1"/>
  <c r="AD560" i="1"/>
  <c r="AE560" i="1" s="1"/>
  <c r="AC560" i="1"/>
  <c r="AB560" i="1"/>
  <c r="Z560" i="1"/>
  <c r="AA560" i="1" s="1"/>
  <c r="Y560" i="1"/>
  <c r="X560" i="1"/>
  <c r="V560" i="1"/>
  <c r="W560" i="1" s="1"/>
  <c r="U560" i="1"/>
  <c r="T560" i="1"/>
  <c r="R560" i="1"/>
  <c r="O560" i="1" s="1"/>
  <c r="Q560" i="1"/>
  <c r="N560" i="1"/>
  <c r="M560" i="1"/>
  <c r="K560" i="1"/>
  <c r="J560" i="1"/>
  <c r="I560" i="1"/>
  <c r="F560" i="1"/>
  <c r="G560" i="1" s="1"/>
  <c r="E560" i="1"/>
  <c r="BN559" i="1"/>
  <c r="BM559" i="1"/>
  <c r="BL559" i="1"/>
  <c r="BJ559" i="1"/>
  <c r="BI559" i="1"/>
  <c r="BF559" i="1"/>
  <c r="BG559" i="1" s="1"/>
  <c r="BE559" i="1"/>
  <c r="BB559" i="1"/>
  <c r="BC559" i="1" s="1"/>
  <c r="BA559" i="1"/>
  <c r="AX559" i="1"/>
  <c r="AV559" i="1"/>
  <c r="AW559" i="1" s="1"/>
  <c r="AU559" i="1"/>
  <c r="AT559" i="1"/>
  <c r="AR559" i="1"/>
  <c r="AS559" i="1" s="1"/>
  <c r="AQ559" i="1"/>
  <c r="AP559" i="1"/>
  <c r="AN559" i="1"/>
  <c r="AO559" i="1" s="1"/>
  <c r="AM559" i="1"/>
  <c r="AL559" i="1"/>
  <c r="AJ559" i="1"/>
  <c r="AK559" i="1" s="1"/>
  <c r="AI559" i="1"/>
  <c r="AH559" i="1"/>
  <c r="AF559" i="1"/>
  <c r="AG559" i="1" s="1"/>
  <c r="AE559" i="1"/>
  <c r="AD559" i="1"/>
  <c r="AB559" i="1"/>
  <c r="AC559" i="1" s="1"/>
  <c r="AA559" i="1"/>
  <c r="Z559" i="1"/>
  <c r="X559" i="1"/>
  <c r="Y559" i="1" s="1"/>
  <c r="W559" i="1"/>
  <c r="V559" i="1"/>
  <c r="T559" i="1"/>
  <c r="U559" i="1" s="1"/>
  <c r="S559" i="1"/>
  <c r="R559" i="1"/>
  <c r="Q559" i="1"/>
  <c r="O559" i="1"/>
  <c r="N559" i="1"/>
  <c r="M559" i="1"/>
  <c r="J559" i="1"/>
  <c r="K559" i="1" s="1"/>
  <c r="I559" i="1"/>
  <c r="F559" i="1"/>
  <c r="G559" i="1" s="1"/>
  <c r="E559" i="1"/>
  <c r="BN558" i="1"/>
  <c r="BL558" i="1"/>
  <c r="BJ558" i="1"/>
  <c r="BM558" i="1" s="1"/>
  <c r="BI558" i="1"/>
  <c r="BF558" i="1"/>
  <c r="BC558" i="1" s="1"/>
  <c r="BE558" i="1"/>
  <c r="BB558" i="1"/>
  <c r="BA558" i="1"/>
  <c r="AY558" i="1"/>
  <c r="AX558" i="1"/>
  <c r="AW558" i="1"/>
  <c r="AT558" i="1"/>
  <c r="AU558" i="1" s="1"/>
  <c r="AS558" i="1"/>
  <c r="AP558" i="1"/>
  <c r="AO558" i="1"/>
  <c r="AL558" i="1"/>
  <c r="AK558" i="1"/>
  <c r="AI558" i="1"/>
  <c r="AH558" i="1"/>
  <c r="AG558" i="1"/>
  <c r="AD558" i="1"/>
  <c r="AE558" i="1" s="1"/>
  <c r="AC558" i="1"/>
  <c r="Z558" i="1"/>
  <c r="W558" i="1" s="1"/>
  <c r="Y558" i="1"/>
  <c r="V558" i="1"/>
  <c r="U558" i="1"/>
  <c r="S558" i="1"/>
  <c r="R558" i="1"/>
  <c r="Q558" i="1"/>
  <c r="N558" i="1"/>
  <c r="O558" i="1" s="1"/>
  <c r="M558" i="1"/>
  <c r="J558" i="1"/>
  <c r="I558" i="1"/>
  <c r="F558" i="1"/>
  <c r="E558" i="1"/>
  <c r="BN557" i="1"/>
  <c r="BL557" i="1"/>
  <c r="BJ557" i="1"/>
  <c r="BI557" i="1"/>
  <c r="BF557" i="1"/>
  <c r="BE557" i="1"/>
  <c r="BC557" i="1"/>
  <c r="BB557" i="1"/>
  <c r="AZ557" i="1"/>
  <c r="BA557" i="1" s="1"/>
  <c r="AY557" i="1"/>
  <c r="AX557" i="1"/>
  <c r="AW557" i="1"/>
  <c r="AT557" i="1"/>
  <c r="AU557" i="1" s="1"/>
  <c r="AS557" i="1"/>
  <c r="AP557" i="1"/>
  <c r="AQ557" i="1" s="1"/>
  <c r="AO557" i="1"/>
  <c r="AN557" i="1"/>
  <c r="AL557" i="1"/>
  <c r="AI557" i="1" s="1"/>
  <c r="AK557" i="1"/>
  <c r="AH557" i="1"/>
  <c r="AG557" i="1"/>
  <c r="AE557" i="1"/>
  <c r="AD557" i="1"/>
  <c r="AC557" i="1"/>
  <c r="Z557" i="1"/>
  <c r="AA557" i="1" s="1"/>
  <c r="Y557" i="1"/>
  <c r="V557" i="1"/>
  <c r="U557" i="1"/>
  <c r="R557" i="1"/>
  <c r="Q557" i="1"/>
  <c r="O557" i="1"/>
  <c r="N557" i="1"/>
  <c r="M557" i="1"/>
  <c r="K557" i="1"/>
  <c r="J557" i="1"/>
  <c r="I557" i="1"/>
  <c r="F557" i="1"/>
  <c r="E557" i="1"/>
  <c r="BN556" i="1"/>
  <c r="BL556" i="1"/>
  <c r="BJ556" i="1"/>
  <c r="BM556" i="1" s="1"/>
  <c r="BI556" i="1"/>
  <c r="BF556" i="1"/>
  <c r="BC556" i="1" s="1"/>
  <c r="BE556" i="1"/>
  <c r="BB556" i="1"/>
  <c r="AZ556" i="1"/>
  <c r="BA556" i="1" s="1"/>
  <c r="AY556" i="1"/>
  <c r="AX556" i="1"/>
  <c r="AW556" i="1"/>
  <c r="AU556" i="1"/>
  <c r="AT556" i="1"/>
  <c r="AS556" i="1"/>
  <c r="AP556" i="1"/>
  <c r="AQ556" i="1" s="1"/>
  <c r="AO556" i="1"/>
  <c r="AL556" i="1"/>
  <c r="AI556" i="1" s="1"/>
  <c r="AK556" i="1"/>
  <c r="AH556" i="1"/>
  <c r="AG556" i="1"/>
  <c r="AE556" i="1"/>
  <c r="AD556" i="1"/>
  <c r="AC556" i="1"/>
  <c r="Z556" i="1"/>
  <c r="AA556" i="1" s="1"/>
  <c r="Y556" i="1"/>
  <c r="V556" i="1"/>
  <c r="U556" i="1"/>
  <c r="R556" i="1"/>
  <c r="Q556" i="1"/>
  <c r="O556" i="1"/>
  <c r="N556" i="1"/>
  <c r="M556" i="1"/>
  <c r="J556" i="1"/>
  <c r="K556" i="1" s="1"/>
  <c r="I556" i="1"/>
  <c r="F556" i="1"/>
  <c r="E556" i="1"/>
  <c r="BN555" i="1"/>
  <c r="BL555" i="1"/>
  <c r="BJ555" i="1"/>
  <c r="BM555" i="1" s="1"/>
  <c r="BI555" i="1"/>
  <c r="BF555" i="1"/>
  <c r="BC555" i="1" s="1"/>
  <c r="BE555" i="1"/>
  <c r="BB555" i="1"/>
  <c r="BA555" i="1"/>
  <c r="AZ555" i="1"/>
  <c r="AY555" i="1"/>
  <c r="AX555" i="1"/>
  <c r="AW555" i="1"/>
  <c r="AU555" i="1"/>
  <c r="AT555" i="1"/>
  <c r="AS555" i="1"/>
  <c r="AQ555" i="1"/>
  <c r="AP555" i="1"/>
  <c r="AO555" i="1"/>
  <c r="AL555" i="1"/>
  <c r="AI555" i="1" s="1"/>
  <c r="AK555" i="1"/>
  <c r="AH555" i="1"/>
  <c r="AG555" i="1"/>
  <c r="AE555" i="1"/>
  <c r="AD555" i="1"/>
  <c r="AC555" i="1"/>
  <c r="Z555" i="1"/>
  <c r="AA555" i="1" s="1"/>
  <c r="Y555" i="1"/>
  <c r="V555" i="1"/>
  <c r="U555" i="1"/>
  <c r="R555" i="1"/>
  <c r="Q555" i="1"/>
  <c r="O555" i="1"/>
  <c r="N555" i="1"/>
  <c r="M555" i="1"/>
  <c r="J555" i="1"/>
  <c r="K555" i="1" s="1"/>
  <c r="I555" i="1"/>
  <c r="F555" i="1"/>
  <c r="G555" i="1" s="1"/>
  <c r="E555" i="1"/>
  <c r="BN554" i="1"/>
  <c r="BL554" i="1"/>
  <c r="BJ554" i="1"/>
  <c r="BM554" i="1" s="1"/>
  <c r="BI554" i="1"/>
  <c r="BF554" i="1"/>
  <c r="BC554" i="1" s="1"/>
  <c r="BE554" i="1"/>
  <c r="BB554" i="1"/>
  <c r="BA554" i="1"/>
  <c r="AY554" i="1"/>
  <c r="AX554" i="1"/>
  <c r="AW554" i="1"/>
  <c r="AT554" i="1"/>
  <c r="AU554" i="1" s="1"/>
  <c r="AS554" i="1"/>
  <c r="AP554" i="1"/>
  <c r="AO554" i="1"/>
  <c r="AL554" i="1"/>
  <c r="AK554" i="1"/>
  <c r="AI554" i="1"/>
  <c r="AH554" i="1"/>
  <c r="AG554" i="1"/>
  <c r="AD554" i="1"/>
  <c r="AE554" i="1" s="1"/>
  <c r="AC554" i="1"/>
  <c r="Z554" i="1"/>
  <c r="W554" i="1" s="1"/>
  <c r="Y554" i="1"/>
  <c r="V554" i="1"/>
  <c r="U554" i="1"/>
  <c r="S554" i="1"/>
  <c r="R554" i="1"/>
  <c r="Q554" i="1"/>
  <c r="N554" i="1"/>
  <c r="O554" i="1" s="1"/>
  <c r="M554" i="1"/>
  <c r="J554" i="1"/>
  <c r="I554" i="1"/>
  <c r="F554" i="1"/>
  <c r="E554" i="1"/>
  <c r="BN553" i="1"/>
  <c r="BK553" i="1"/>
  <c r="BL553" i="1" s="1"/>
  <c r="BJ553" i="1"/>
  <c r="BM553" i="1" s="1"/>
  <c r="BI553" i="1"/>
  <c r="BF553" i="1"/>
  <c r="BC553" i="1" s="1"/>
  <c r="BE553" i="1"/>
  <c r="BB553" i="1"/>
  <c r="BA553" i="1"/>
  <c r="AY553" i="1"/>
  <c r="AX553" i="1"/>
  <c r="AV553" i="1"/>
  <c r="AW553" i="1" s="1"/>
  <c r="AU553" i="1"/>
  <c r="AT553" i="1"/>
  <c r="AS553" i="1"/>
  <c r="AQ553" i="1"/>
  <c r="AP553" i="1"/>
  <c r="AO553" i="1"/>
  <c r="AL553" i="1"/>
  <c r="AI553" i="1" s="1"/>
  <c r="AK553" i="1"/>
  <c r="AH553" i="1"/>
  <c r="AG553" i="1"/>
  <c r="AF553" i="1"/>
  <c r="AE553" i="1"/>
  <c r="AD553" i="1"/>
  <c r="AC553" i="1"/>
  <c r="AA553" i="1"/>
  <c r="Z553" i="1"/>
  <c r="Y553" i="1"/>
  <c r="W553" i="1"/>
  <c r="V553" i="1"/>
  <c r="U553" i="1"/>
  <c r="R553" i="1"/>
  <c r="O553" i="1" s="1"/>
  <c r="Q553" i="1"/>
  <c r="N553" i="1"/>
  <c r="M553" i="1"/>
  <c r="K553" i="1"/>
  <c r="J553" i="1"/>
  <c r="I553" i="1"/>
  <c r="F553" i="1"/>
  <c r="G553" i="1" s="1"/>
  <c r="E553" i="1"/>
  <c r="BN552" i="1"/>
  <c r="BM552" i="1"/>
  <c r="BL552" i="1"/>
  <c r="BK552" i="1"/>
  <c r="BJ552" i="1"/>
  <c r="BI552" i="1"/>
  <c r="BG552" i="1"/>
  <c r="BF552" i="1"/>
  <c r="BE552" i="1"/>
  <c r="BC552" i="1"/>
  <c r="BB552" i="1"/>
  <c r="BA552" i="1"/>
  <c r="AX552" i="1"/>
  <c r="AW552" i="1"/>
  <c r="AV552" i="1"/>
  <c r="AT552" i="1"/>
  <c r="AS552" i="1"/>
  <c r="AP552" i="1"/>
  <c r="AO552" i="1"/>
  <c r="AM552" i="1"/>
  <c r="AL552" i="1"/>
  <c r="AK552" i="1"/>
  <c r="AI552" i="1"/>
  <c r="AH552" i="1"/>
  <c r="AG552" i="1"/>
  <c r="AF552" i="1"/>
  <c r="AD552" i="1"/>
  <c r="AE552" i="1" s="1"/>
  <c r="AC552" i="1"/>
  <c r="Z552" i="1"/>
  <c r="Y552" i="1"/>
  <c r="V552" i="1"/>
  <c r="U552" i="1"/>
  <c r="S552" i="1"/>
  <c r="R552" i="1"/>
  <c r="Q552" i="1"/>
  <c r="N552" i="1"/>
  <c r="O552" i="1" s="1"/>
  <c r="M552" i="1"/>
  <c r="J552" i="1"/>
  <c r="G552" i="1" s="1"/>
  <c r="I552" i="1"/>
  <c r="F552" i="1"/>
  <c r="E552" i="1"/>
  <c r="BN551" i="1"/>
  <c r="BK551" i="1"/>
  <c r="BL551" i="1" s="1"/>
  <c r="BJ551" i="1"/>
  <c r="BI551" i="1"/>
  <c r="BF551" i="1"/>
  <c r="BE551" i="1"/>
  <c r="BB551" i="1"/>
  <c r="BA551" i="1"/>
  <c r="AY551" i="1"/>
  <c r="AX551" i="1"/>
  <c r="AV551" i="1"/>
  <c r="AW551" i="1" s="1"/>
  <c r="AU551" i="1"/>
  <c r="AT551" i="1"/>
  <c r="AS551" i="1"/>
  <c r="AP551" i="1"/>
  <c r="AQ551" i="1" s="1"/>
  <c r="AO551" i="1"/>
  <c r="AL551" i="1"/>
  <c r="AK551" i="1"/>
  <c r="AH551" i="1"/>
  <c r="AF551" i="1"/>
  <c r="AG551" i="1" s="1"/>
  <c r="AE551" i="1"/>
  <c r="AD551" i="1"/>
  <c r="AC551" i="1"/>
  <c r="AA551" i="1"/>
  <c r="Z551" i="1"/>
  <c r="Y551" i="1"/>
  <c r="V551" i="1"/>
  <c r="W551" i="1" s="1"/>
  <c r="U551" i="1"/>
  <c r="R551" i="1"/>
  <c r="Q551" i="1"/>
  <c r="N551" i="1"/>
  <c r="M551" i="1"/>
  <c r="K551" i="1"/>
  <c r="J551" i="1"/>
  <c r="I551" i="1"/>
  <c r="F551" i="1"/>
  <c r="G551" i="1" s="1"/>
  <c r="E551" i="1"/>
  <c r="BN550" i="1"/>
  <c r="BM550" i="1"/>
  <c r="BL550" i="1"/>
  <c r="BJ550" i="1"/>
  <c r="BI550" i="1"/>
  <c r="BF550" i="1"/>
  <c r="BG550" i="1" s="1"/>
  <c r="BE550" i="1"/>
  <c r="BB550" i="1"/>
  <c r="AY550" i="1" s="1"/>
  <c r="BA550" i="1"/>
  <c r="AX550" i="1"/>
  <c r="AW550" i="1"/>
  <c r="AU550" i="1"/>
  <c r="AT550" i="1"/>
  <c r="AS550" i="1"/>
  <c r="AP550" i="1"/>
  <c r="AQ550" i="1" s="1"/>
  <c r="AO550" i="1"/>
  <c r="AL550" i="1"/>
  <c r="AK550" i="1"/>
  <c r="AH550" i="1"/>
  <c r="AG550" i="1"/>
  <c r="AE550" i="1"/>
  <c r="AD550" i="1"/>
  <c r="AC550" i="1"/>
  <c r="Z550" i="1"/>
  <c r="AA550" i="1" s="1"/>
  <c r="Y550" i="1"/>
  <c r="V550" i="1"/>
  <c r="S550" i="1" s="1"/>
  <c r="U550" i="1"/>
  <c r="R550" i="1"/>
  <c r="Q550" i="1"/>
  <c r="O550" i="1"/>
  <c r="N550" i="1"/>
  <c r="M550" i="1"/>
  <c r="J550" i="1"/>
  <c r="K550" i="1" s="1"/>
  <c r="I550" i="1"/>
  <c r="F550" i="1"/>
  <c r="E550" i="1"/>
  <c r="BN549" i="1"/>
  <c r="BK549" i="1"/>
  <c r="BL549" i="1" s="1"/>
  <c r="BJ549" i="1"/>
  <c r="BM549" i="1" s="1"/>
  <c r="BI549" i="1"/>
  <c r="BG549" i="1"/>
  <c r="BF549" i="1"/>
  <c r="BE549" i="1"/>
  <c r="BB549" i="1"/>
  <c r="AY549" i="1" s="1"/>
  <c r="BA549" i="1"/>
  <c r="AX549" i="1"/>
  <c r="AW549" i="1"/>
  <c r="AU549" i="1"/>
  <c r="AT549" i="1"/>
  <c r="AS549" i="1"/>
  <c r="AP549" i="1"/>
  <c r="AQ549" i="1" s="1"/>
  <c r="AO549" i="1"/>
  <c r="AL549" i="1"/>
  <c r="AK549" i="1"/>
  <c r="AH549" i="1"/>
  <c r="AG549" i="1"/>
  <c r="AE549" i="1"/>
  <c r="AD549" i="1"/>
  <c r="AC549" i="1"/>
  <c r="Z549" i="1"/>
  <c r="AA549" i="1" s="1"/>
  <c r="Y549" i="1"/>
  <c r="V549" i="1"/>
  <c r="S549" i="1" s="1"/>
  <c r="U549" i="1"/>
  <c r="R549" i="1"/>
  <c r="Q549" i="1"/>
  <c r="O549" i="1"/>
  <c r="N549" i="1"/>
  <c r="M549" i="1"/>
  <c r="J549" i="1"/>
  <c r="K549" i="1" s="1"/>
  <c r="I549" i="1"/>
  <c r="F549" i="1"/>
  <c r="G549" i="1" s="1"/>
  <c r="E549" i="1"/>
  <c r="BN548" i="1"/>
  <c r="BK548" i="1"/>
  <c r="BL548" i="1" s="1"/>
  <c r="BJ548" i="1"/>
  <c r="BM548" i="1" s="1"/>
  <c r="BI548" i="1"/>
  <c r="BF548" i="1"/>
  <c r="BG548" i="1" s="1"/>
  <c r="BE548" i="1"/>
  <c r="BB548" i="1"/>
  <c r="AY548" i="1" s="1"/>
  <c r="BA548" i="1"/>
  <c r="AX548" i="1"/>
  <c r="AW548" i="1"/>
  <c r="AU548" i="1"/>
  <c r="AT548" i="1"/>
  <c r="AS548" i="1"/>
  <c r="AP548" i="1"/>
  <c r="AQ548" i="1" s="1"/>
  <c r="AO548" i="1"/>
  <c r="AL548" i="1"/>
  <c r="AK548" i="1"/>
  <c r="AH548" i="1"/>
  <c r="AG548" i="1"/>
  <c r="AE548" i="1"/>
  <c r="AD548" i="1"/>
  <c r="AC548" i="1"/>
  <c r="AA548" i="1"/>
  <c r="Z548" i="1"/>
  <c r="Y548" i="1"/>
  <c r="V548" i="1"/>
  <c r="S548" i="1" s="1"/>
  <c r="U548" i="1"/>
  <c r="R548" i="1"/>
  <c r="Q548" i="1"/>
  <c r="O548" i="1"/>
  <c r="N548" i="1"/>
  <c r="M548" i="1"/>
  <c r="J548" i="1"/>
  <c r="K548" i="1" s="1"/>
  <c r="I548" i="1"/>
  <c r="F548" i="1"/>
  <c r="G548" i="1" s="1"/>
  <c r="E548" i="1"/>
  <c r="BN547" i="1"/>
  <c r="BK547" i="1"/>
  <c r="BL547" i="1" s="1"/>
  <c r="BJ547" i="1"/>
  <c r="BM547" i="1" s="1"/>
  <c r="BI547" i="1"/>
  <c r="BG547" i="1"/>
  <c r="BF547" i="1"/>
  <c r="BE547" i="1"/>
  <c r="BB547" i="1"/>
  <c r="AY547" i="1" s="1"/>
  <c r="BA547" i="1"/>
  <c r="AX547" i="1"/>
  <c r="AW547" i="1"/>
  <c r="AU547" i="1"/>
  <c r="AT547" i="1"/>
  <c r="AS547" i="1"/>
  <c r="AP547" i="1"/>
  <c r="AQ547" i="1" s="1"/>
  <c r="AO547" i="1"/>
  <c r="AL547" i="1"/>
  <c r="AK547" i="1"/>
  <c r="AH547" i="1"/>
  <c r="AG547" i="1"/>
  <c r="AE547" i="1"/>
  <c r="AD547" i="1"/>
  <c r="AC547" i="1"/>
  <c r="Z547" i="1"/>
  <c r="AA547" i="1" s="1"/>
  <c r="Y547" i="1"/>
  <c r="V547" i="1"/>
  <c r="S547" i="1" s="1"/>
  <c r="U547" i="1"/>
  <c r="R547" i="1"/>
  <c r="Q547" i="1"/>
  <c r="O547" i="1"/>
  <c r="N547" i="1"/>
  <c r="M547" i="1"/>
  <c r="J547" i="1"/>
  <c r="K547" i="1" s="1"/>
  <c r="I547" i="1"/>
  <c r="F547" i="1"/>
  <c r="E547" i="1"/>
  <c r="BN546" i="1"/>
  <c r="BL546" i="1"/>
  <c r="BJ546" i="1"/>
  <c r="BM546" i="1" s="1"/>
  <c r="BI546" i="1"/>
  <c r="BF546" i="1"/>
  <c r="BE546" i="1"/>
  <c r="BB546" i="1"/>
  <c r="BA546" i="1"/>
  <c r="AY546" i="1"/>
  <c r="AX546" i="1"/>
  <c r="AW546" i="1"/>
  <c r="AT546" i="1"/>
  <c r="AU546" i="1" s="1"/>
  <c r="AS546" i="1"/>
  <c r="AP546" i="1"/>
  <c r="AM546" i="1" s="1"/>
  <c r="AO546" i="1"/>
  <c r="AL546" i="1"/>
  <c r="AK546" i="1"/>
  <c r="AI546" i="1"/>
  <c r="AH546" i="1"/>
  <c r="AG546" i="1"/>
  <c r="AD546" i="1"/>
  <c r="AE546" i="1" s="1"/>
  <c r="AC546" i="1"/>
  <c r="Z546" i="1"/>
  <c r="Y546" i="1"/>
  <c r="V546" i="1"/>
  <c r="U546" i="1"/>
  <c r="S546" i="1"/>
  <c r="R546" i="1"/>
  <c r="Q546" i="1"/>
  <c r="N546" i="1"/>
  <c r="O546" i="1" s="1"/>
  <c r="M546" i="1"/>
  <c r="J546" i="1"/>
  <c r="G546" i="1" s="1"/>
  <c r="I546" i="1"/>
  <c r="F546" i="1"/>
  <c r="E546" i="1"/>
  <c r="BN545" i="1"/>
  <c r="BL545" i="1"/>
  <c r="BJ545" i="1"/>
  <c r="BG545" i="1" s="1"/>
  <c r="BI545" i="1"/>
  <c r="BF545" i="1"/>
  <c r="BE545" i="1"/>
  <c r="BC545" i="1"/>
  <c r="BB545" i="1"/>
  <c r="BA545" i="1"/>
  <c r="AX545" i="1"/>
  <c r="AY545" i="1" s="1"/>
  <c r="AW545" i="1"/>
  <c r="AT545" i="1"/>
  <c r="AS545" i="1"/>
  <c r="AP545" i="1"/>
  <c r="AO545" i="1"/>
  <c r="AM545" i="1"/>
  <c r="AL545" i="1"/>
  <c r="AK545" i="1"/>
  <c r="AI545" i="1"/>
  <c r="AH545" i="1"/>
  <c r="AG545" i="1"/>
  <c r="AF545" i="1"/>
  <c r="AD545" i="1"/>
  <c r="AE545" i="1" s="1"/>
  <c r="AC545" i="1"/>
  <c r="AB545" i="1"/>
  <c r="Z545" i="1"/>
  <c r="AA545" i="1" s="1"/>
  <c r="Y545" i="1"/>
  <c r="V545" i="1"/>
  <c r="S545" i="1" s="1"/>
  <c r="U545" i="1"/>
  <c r="R545" i="1"/>
  <c r="Q545" i="1"/>
  <c r="O545" i="1"/>
  <c r="N545" i="1"/>
  <c r="M545" i="1"/>
  <c r="J545" i="1"/>
  <c r="K545" i="1" s="1"/>
  <c r="I545" i="1"/>
  <c r="F545" i="1"/>
  <c r="G545" i="1" s="1"/>
  <c r="E545" i="1"/>
  <c r="BN544" i="1"/>
  <c r="BL544" i="1"/>
  <c r="BJ544" i="1"/>
  <c r="BM544" i="1" s="1"/>
  <c r="BI544" i="1"/>
  <c r="BF544" i="1"/>
  <c r="BE544" i="1"/>
  <c r="BB544" i="1"/>
  <c r="BA544" i="1"/>
  <c r="AY544" i="1"/>
  <c r="AX544" i="1"/>
  <c r="AW544" i="1"/>
  <c r="AU544" i="1"/>
  <c r="AT544" i="1"/>
  <c r="AS544" i="1"/>
  <c r="AP544" i="1"/>
  <c r="AM544" i="1" s="1"/>
  <c r="AO544" i="1"/>
  <c r="AL544" i="1"/>
  <c r="AK544" i="1"/>
  <c r="AI544" i="1"/>
  <c r="AH544" i="1"/>
  <c r="AF544" i="1"/>
  <c r="AG544" i="1" s="1"/>
  <c r="AE544" i="1"/>
  <c r="AD544" i="1"/>
  <c r="AC544" i="1"/>
  <c r="AA544" i="1"/>
  <c r="Z544" i="1"/>
  <c r="Y544" i="1"/>
  <c r="V544" i="1"/>
  <c r="S544" i="1" s="1"/>
  <c r="U544" i="1"/>
  <c r="R544" i="1"/>
  <c r="Q544" i="1"/>
  <c r="O544" i="1"/>
  <c r="N544" i="1"/>
  <c r="M544" i="1"/>
  <c r="J544" i="1"/>
  <c r="K544" i="1" s="1"/>
  <c r="I544" i="1"/>
  <c r="F544" i="1"/>
  <c r="G544" i="1" s="1"/>
  <c r="E544" i="1"/>
  <c r="BN543" i="1"/>
  <c r="BL543" i="1"/>
  <c r="BJ543" i="1"/>
  <c r="BM543" i="1" s="1"/>
  <c r="BI543" i="1"/>
  <c r="BF543" i="1"/>
  <c r="BE543" i="1"/>
  <c r="BB543" i="1"/>
  <c r="BA543" i="1"/>
  <c r="AY543" i="1"/>
  <c r="AX543" i="1"/>
  <c r="AW543" i="1"/>
  <c r="AU543" i="1"/>
  <c r="AT543" i="1"/>
  <c r="AS543" i="1"/>
  <c r="AP543" i="1"/>
  <c r="AM543" i="1" s="1"/>
  <c r="AO543" i="1"/>
  <c r="AL543" i="1"/>
  <c r="AK543" i="1"/>
  <c r="AI543" i="1"/>
  <c r="AH543" i="1"/>
  <c r="AF543" i="1"/>
  <c r="AG543" i="1" s="1"/>
  <c r="AE543" i="1"/>
  <c r="AD543" i="1"/>
  <c r="AB543" i="1"/>
  <c r="AC543" i="1" s="1"/>
  <c r="AA543" i="1"/>
  <c r="Z543" i="1"/>
  <c r="Y543" i="1"/>
  <c r="V543" i="1"/>
  <c r="W543" i="1" s="1"/>
  <c r="U543" i="1"/>
  <c r="R543" i="1"/>
  <c r="Q543" i="1"/>
  <c r="N543" i="1"/>
  <c r="M543" i="1"/>
  <c r="K543" i="1"/>
  <c r="J543" i="1"/>
  <c r="I543" i="1"/>
  <c r="F543" i="1"/>
  <c r="G543" i="1" s="1"/>
  <c r="E543" i="1"/>
  <c r="BN542" i="1"/>
  <c r="BM542" i="1"/>
  <c r="BL542" i="1"/>
  <c r="BJ542" i="1"/>
  <c r="BI542" i="1"/>
  <c r="BF542" i="1"/>
  <c r="BG542" i="1" s="1"/>
  <c r="BE542" i="1"/>
  <c r="BB542" i="1"/>
  <c r="AY542" i="1" s="1"/>
  <c r="BA542" i="1"/>
  <c r="AX542" i="1"/>
  <c r="AW542" i="1"/>
  <c r="AU542" i="1"/>
  <c r="AT542" i="1"/>
  <c r="AS542" i="1"/>
  <c r="AP542" i="1"/>
  <c r="AQ542" i="1" s="1"/>
  <c r="AO542" i="1"/>
  <c r="AL542" i="1"/>
  <c r="AK542" i="1"/>
  <c r="AH542" i="1"/>
  <c r="AG542" i="1"/>
  <c r="AE542" i="1"/>
  <c r="AD542" i="1"/>
  <c r="AC542" i="1"/>
  <c r="AA542" i="1"/>
  <c r="Z542" i="1"/>
  <c r="Y542" i="1"/>
  <c r="V542" i="1"/>
  <c r="S542" i="1" s="1"/>
  <c r="U542" i="1"/>
  <c r="R542" i="1"/>
  <c r="Q542" i="1"/>
  <c r="O542" i="1"/>
  <c r="N542" i="1"/>
  <c r="M542" i="1"/>
  <c r="J542" i="1"/>
  <c r="K542" i="1" s="1"/>
  <c r="I542" i="1"/>
  <c r="F542" i="1"/>
  <c r="G542" i="1" s="1"/>
  <c r="E542" i="1"/>
  <c r="BN541" i="1"/>
  <c r="BL541" i="1"/>
  <c r="BJ541" i="1"/>
  <c r="BM541" i="1" s="1"/>
  <c r="BI541" i="1"/>
  <c r="BF541" i="1"/>
  <c r="BE541" i="1"/>
  <c r="BB541" i="1"/>
  <c r="BA541" i="1"/>
  <c r="AY541" i="1"/>
  <c r="AX541" i="1"/>
  <c r="AW541" i="1"/>
  <c r="AT541" i="1"/>
  <c r="AU541" i="1" s="1"/>
  <c r="AS541" i="1"/>
  <c r="AP541" i="1"/>
  <c r="AM541" i="1" s="1"/>
  <c r="AO541" i="1"/>
  <c r="AL541" i="1"/>
  <c r="AK541" i="1"/>
  <c r="AI541" i="1"/>
  <c r="AH541" i="1"/>
  <c r="AG541" i="1"/>
  <c r="AD541" i="1"/>
  <c r="AE541" i="1" s="1"/>
  <c r="AC541" i="1"/>
  <c r="Z541" i="1"/>
  <c r="Y541" i="1"/>
  <c r="V541" i="1"/>
  <c r="U541" i="1"/>
  <c r="S541" i="1"/>
  <c r="R541" i="1"/>
  <c r="Q541" i="1"/>
  <c r="O541" i="1"/>
  <c r="N541" i="1"/>
  <c r="M541" i="1"/>
  <c r="J541" i="1"/>
  <c r="G541" i="1" s="1"/>
  <c r="I541" i="1"/>
  <c r="F541" i="1"/>
  <c r="E541" i="1"/>
  <c r="BN540" i="1"/>
  <c r="BL540" i="1"/>
  <c r="BJ540" i="1"/>
  <c r="BG540" i="1" s="1"/>
  <c r="BI540" i="1"/>
  <c r="BF540" i="1"/>
  <c r="BE540" i="1"/>
  <c r="BC540" i="1"/>
  <c r="BB540" i="1"/>
  <c r="BA540" i="1"/>
  <c r="AX540" i="1"/>
  <c r="AY540" i="1" s="1"/>
  <c r="AW540" i="1"/>
  <c r="AT540" i="1"/>
  <c r="AS540" i="1"/>
  <c r="AP540" i="1"/>
  <c r="AO540" i="1"/>
  <c r="AM540" i="1"/>
  <c r="AL540" i="1"/>
  <c r="AK540" i="1"/>
  <c r="AH540" i="1"/>
  <c r="AI540" i="1" s="1"/>
  <c r="AG540" i="1"/>
  <c r="AD540" i="1"/>
  <c r="AA540" i="1" s="1"/>
  <c r="AC540" i="1"/>
  <c r="Z540" i="1"/>
  <c r="Y540" i="1"/>
  <c r="W540" i="1"/>
  <c r="V540" i="1"/>
  <c r="U540" i="1"/>
  <c r="R540" i="1"/>
  <c r="S540" i="1" s="1"/>
  <c r="Q540" i="1"/>
  <c r="N540" i="1"/>
  <c r="M540" i="1"/>
  <c r="J540" i="1"/>
  <c r="I540" i="1"/>
  <c r="G540" i="1"/>
  <c r="F540" i="1"/>
  <c r="E540" i="1"/>
  <c r="BN539" i="1"/>
  <c r="BM539" i="1" s="1"/>
  <c r="BL539" i="1"/>
  <c r="BJ539" i="1"/>
  <c r="BI539" i="1"/>
  <c r="BG539" i="1"/>
  <c r="BF539" i="1"/>
  <c r="BE539" i="1"/>
  <c r="BC539" i="1"/>
  <c r="BB539" i="1"/>
  <c r="BA539" i="1"/>
  <c r="AX539" i="1"/>
  <c r="AU539" i="1" s="1"/>
  <c r="AW539" i="1"/>
  <c r="AT539" i="1"/>
  <c r="AS539" i="1"/>
  <c r="AQ539" i="1"/>
  <c r="AP539" i="1"/>
  <c r="AO539" i="1"/>
  <c r="AL539" i="1"/>
  <c r="AM539" i="1" s="1"/>
  <c r="AK539" i="1"/>
  <c r="AH539" i="1"/>
  <c r="AG539" i="1"/>
  <c r="AD539" i="1"/>
  <c r="AC539" i="1"/>
  <c r="AA539" i="1"/>
  <c r="Z539" i="1"/>
  <c r="Y539" i="1"/>
  <c r="W539" i="1"/>
  <c r="V539" i="1"/>
  <c r="U539" i="1"/>
  <c r="R539" i="1"/>
  <c r="O539" i="1" s="1"/>
  <c r="Q539" i="1"/>
  <c r="N539" i="1"/>
  <c r="M539" i="1"/>
  <c r="K539" i="1"/>
  <c r="J539" i="1"/>
  <c r="I539" i="1"/>
  <c r="F539" i="1"/>
  <c r="G539" i="1" s="1"/>
  <c r="E539" i="1"/>
  <c r="BN538" i="1"/>
  <c r="BM538" i="1"/>
  <c r="BL538" i="1"/>
  <c r="BJ538" i="1"/>
  <c r="BI538" i="1"/>
  <c r="BF538" i="1"/>
  <c r="BG538" i="1" s="1"/>
  <c r="BE538" i="1"/>
  <c r="BB538" i="1"/>
  <c r="BA538" i="1"/>
  <c r="AX538" i="1"/>
  <c r="AW538" i="1"/>
  <c r="AU538" i="1"/>
  <c r="AT538" i="1"/>
  <c r="AS538" i="1"/>
  <c r="AP538" i="1"/>
  <c r="AQ538" i="1" s="1"/>
  <c r="AO538" i="1"/>
  <c r="AL538" i="1"/>
  <c r="AI538" i="1" s="1"/>
  <c r="AK538" i="1"/>
  <c r="AH538" i="1"/>
  <c r="AG538" i="1"/>
  <c r="AE538" i="1"/>
  <c r="AD538" i="1"/>
  <c r="AC538" i="1"/>
  <c r="Z538" i="1"/>
  <c r="AA538" i="1" s="1"/>
  <c r="Y538" i="1"/>
  <c r="V538" i="1"/>
  <c r="U538" i="1"/>
  <c r="R538" i="1"/>
  <c r="Q538" i="1"/>
  <c r="O538" i="1"/>
  <c r="N538" i="1"/>
  <c r="M538" i="1"/>
  <c r="K538" i="1"/>
  <c r="J538" i="1"/>
  <c r="I538" i="1"/>
  <c r="F538" i="1"/>
  <c r="G538" i="1" s="1"/>
  <c r="E538" i="1"/>
  <c r="BN537" i="1"/>
  <c r="BL537" i="1"/>
  <c r="BJ537" i="1"/>
  <c r="BM537" i="1" s="1"/>
  <c r="BI537" i="1"/>
  <c r="BF537" i="1"/>
  <c r="BC537" i="1" s="1"/>
  <c r="BE537" i="1"/>
  <c r="BB537" i="1"/>
  <c r="BA537" i="1"/>
  <c r="AY537" i="1"/>
  <c r="AX537" i="1"/>
  <c r="AW537" i="1"/>
  <c r="AT537" i="1"/>
  <c r="AU537" i="1" s="1"/>
  <c r="AS537" i="1"/>
  <c r="AP537" i="1"/>
  <c r="AO537" i="1"/>
  <c r="AL537" i="1"/>
  <c r="AK537" i="1"/>
  <c r="AI537" i="1"/>
  <c r="AH537" i="1"/>
  <c r="AG537" i="1"/>
  <c r="AD537" i="1"/>
  <c r="AE537" i="1" s="1"/>
  <c r="AC537" i="1"/>
  <c r="Z537" i="1"/>
  <c r="W537" i="1" s="1"/>
  <c r="Y537" i="1"/>
  <c r="V537" i="1"/>
  <c r="U537" i="1"/>
  <c r="S537" i="1"/>
  <c r="R537" i="1"/>
  <c r="Q537" i="1"/>
  <c r="N537" i="1"/>
  <c r="O537" i="1" s="1"/>
  <c r="M537" i="1"/>
  <c r="J537" i="1"/>
  <c r="I537" i="1"/>
  <c r="F537" i="1"/>
  <c r="E537" i="1"/>
  <c r="BN536" i="1"/>
  <c r="BL536" i="1"/>
  <c r="BJ536" i="1"/>
  <c r="BI536" i="1"/>
  <c r="BF536" i="1"/>
  <c r="BE536" i="1"/>
  <c r="BC536" i="1"/>
  <c r="BB536" i="1"/>
  <c r="BA536" i="1"/>
  <c r="AX536" i="1"/>
  <c r="AY536" i="1" s="1"/>
  <c r="AW536" i="1"/>
  <c r="AT536" i="1"/>
  <c r="AQ536" i="1" s="1"/>
  <c r="AS536" i="1"/>
  <c r="AP536" i="1"/>
  <c r="AO536" i="1"/>
  <c r="AM536" i="1"/>
  <c r="AL536" i="1"/>
  <c r="AK536" i="1"/>
  <c r="AH536" i="1"/>
  <c r="AI536" i="1" s="1"/>
  <c r="AG536" i="1"/>
  <c r="AD536" i="1"/>
  <c r="AC536" i="1"/>
  <c r="Z536" i="1"/>
  <c r="Y536" i="1"/>
  <c r="W536" i="1"/>
  <c r="V536" i="1"/>
  <c r="U536" i="1"/>
  <c r="R536" i="1"/>
  <c r="S536" i="1" s="1"/>
  <c r="Q536" i="1"/>
  <c r="N536" i="1"/>
  <c r="K536" i="1" s="1"/>
  <c r="M536" i="1"/>
  <c r="J536" i="1"/>
  <c r="I536" i="1"/>
  <c r="G536" i="1"/>
  <c r="F536" i="1"/>
  <c r="E536" i="1"/>
  <c r="BN535" i="1"/>
  <c r="BM535" i="1"/>
  <c r="BL535" i="1"/>
  <c r="BJ535" i="1"/>
  <c r="BI535" i="1"/>
  <c r="BG535" i="1"/>
  <c r="BF535" i="1"/>
  <c r="BE535" i="1"/>
  <c r="BB535" i="1"/>
  <c r="BC535" i="1" s="1"/>
  <c r="BA535" i="1"/>
  <c r="AX535" i="1"/>
  <c r="AW535" i="1"/>
  <c r="AT535" i="1"/>
  <c r="AS535" i="1"/>
  <c r="AQ535" i="1"/>
  <c r="AP535" i="1"/>
  <c r="AO535" i="1"/>
  <c r="AM535" i="1"/>
  <c r="AL535" i="1"/>
  <c r="AK535" i="1"/>
  <c r="AH535" i="1"/>
  <c r="AE535" i="1" s="1"/>
  <c r="AG535" i="1"/>
  <c r="AD535" i="1"/>
  <c r="AC535" i="1"/>
  <c r="AA535" i="1"/>
  <c r="Z535" i="1"/>
  <c r="Y535" i="1"/>
  <c r="V535" i="1"/>
  <c r="W535" i="1" s="1"/>
  <c r="U535" i="1"/>
  <c r="R535" i="1"/>
  <c r="Q535" i="1"/>
  <c r="N535" i="1"/>
  <c r="M535" i="1"/>
  <c r="K535" i="1"/>
  <c r="J535" i="1"/>
  <c r="I535" i="1"/>
  <c r="G535" i="1"/>
  <c r="F535" i="1"/>
  <c r="E535" i="1"/>
  <c r="BN534" i="1"/>
  <c r="BM534" i="1"/>
  <c r="BL534" i="1"/>
  <c r="BJ534" i="1"/>
  <c r="BI534" i="1"/>
  <c r="BG534" i="1"/>
  <c r="BF534" i="1"/>
  <c r="BE534" i="1"/>
  <c r="BB534" i="1"/>
  <c r="AY534" i="1" s="1"/>
  <c r="BA534" i="1"/>
  <c r="AX534" i="1"/>
  <c r="AW534" i="1"/>
  <c r="AU534" i="1"/>
  <c r="AT534" i="1"/>
  <c r="AS534" i="1"/>
  <c r="AP534" i="1"/>
  <c r="AQ534" i="1" s="1"/>
  <c r="AO534" i="1"/>
  <c r="AL534" i="1"/>
  <c r="AK534" i="1"/>
  <c r="AH534" i="1"/>
  <c r="AG534" i="1"/>
  <c r="AE534" i="1"/>
  <c r="AD534" i="1"/>
  <c r="AC534" i="1"/>
  <c r="AA534" i="1"/>
  <c r="Z534" i="1"/>
  <c r="Y534" i="1"/>
  <c r="V534" i="1"/>
  <c r="S534" i="1" s="1"/>
  <c r="U534" i="1"/>
  <c r="R534" i="1"/>
  <c r="Q534" i="1"/>
  <c r="O534" i="1"/>
  <c r="N534" i="1"/>
  <c r="M534" i="1"/>
  <c r="J534" i="1"/>
  <c r="K534" i="1" s="1"/>
  <c r="I534" i="1"/>
  <c r="F534" i="1"/>
  <c r="E534" i="1"/>
  <c r="BN533" i="1"/>
  <c r="BL533" i="1"/>
  <c r="BJ533" i="1"/>
  <c r="BM533" i="1" s="1"/>
  <c r="BI533" i="1"/>
  <c r="BF533" i="1"/>
  <c r="BE533" i="1"/>
  <c r="BB533" i="1"/>
  <c r="BA533" i="1"/>
  <c r="AY533" i="1"/>
  <c r="AX533" i="1"/>
  <c r="AW533" i="1"/>
  <c r="AT533" i="1"/>
  <c r="AU533" i="1" s="1"/>
  <c r="AS533" i="1"/>
  <c r="AP533" i="1"/>
  <c r="AM533" i="1" s="1"/>
  <c r="AO533" i="1"/>
  <c r="AL533" i="1"/>
  <c r="AK533" i="1"/>
  <c r="AI533" i="1"/>
  <c r="AH533" i="1"/>
  <c r="AG533" i="1"/>
  <c r="AD533" i="1"/>
  <c r="AE533" i="1" s="1"/>
  <c r="AC533" i="1"/>
  <c r="Z533" i="1"/>
  <c r="Y533" i="1"/>
  <c r="V533" i="1"/>
  <c r="U533" i="1"/>
  <c r="S533" i="1"/>
  <c r="R533" i="1"/>
  <c r="Q533" i="1"/>
  <c r="N533" i="1"/>
  <c r="O533" i="1" s="1"/>
  <c r="M533" i="1"/>
  <c r="J533" i="1"/>
  <c r="G533" i="1" s="1"/>
  <c r="I533" i="1"/>
  <c r="F533" i="1"/>
  <c r="E533" i="1"/>
  <c r="BN532" i="1"/>
  <c r="BL532" i="1"/>
  <c r="BJ532" i="1"/>
  <c r="BG532" i="1" s="1"/>
  <c r="BI532" i="1"/>
  <c r="BF532" i="1"/>
  <c r="BE532" i="1"/>
  <c r="BC532" i="1"/>
  <c r="BB532" i="1"/>
  <c r="BA532" i="1"/>
  <c r="AX532" i="1"/>
  <c r="AY532" i="1" s="1"/>
  <c r="AW532" i="1"/>
  <c r="AT532" i="1"/>
  <c r="AS532" i="1"/>
  <c r="AP532" i="1"/>
  <c r="AO532" i="1"/>
  <c r="AM532" i="1"/>
  <c r="AL532" i="1"/>
  <c r="AK532" i="1"/>
  <c r="AI532" i="1"/>
  <c r="AH532" i="1"/>
  <c r="AG532" i="1"/>
  <c r="AD532" i="1"/>
  <c r="AA532" i="1" s="1"/>
  <c r="AC532" i="1"/>
  <c r="Z532" i="1"/>
  <c r="Y532" i="1"/>
  <c r="W532" i="1"/>
  <c r="V532" i="1"/>
  <c r="U532" i="1"/>
  <c r="R532" i="1"/>
  <c r="S532" i="1" s="1"/>
  <c r="Q532" i="1"/>
  <c r="N532" i="1"/>
  <c r="M532" i="1"/>
  <c r="J532" i="1"/>
  <c r="I532" i="1"/>
  <c r="G532" i="1"/>
  <c r="F532" i="1"/>
  <c r="E532" i="1"/>
  <c r="BN531" i="1"/>
  <c r="BM531" i="1" s="1"/>
  <c r="BL531" i="1"/>
  <c r="BJ531" i="1"/>
  <c r="BI531" i="1"/>
  <c r="BG531" i="1"/>
  <c r="BF531" i="1"/>
  <c r="BE531" i="1"/>
  <c r="BC531" i="1"/>
  <c r="BB531" i="1"/>
  <c r="BA531" i="1"/>
  <c r="AX531" i="1"/>
  <c r="AU531" i="1" s="1"/>
  <c r="AW531" i="1"/>
  <c r="AT531" i="1"/>
  <c r="AS531" i="1"/>
  <c r="AQ531" i="1"/>
  <c r="AP531" i="1"/>
  <c r="AO531" i="1"/>
  <c r="AL531" i="1"/>
  <c r="AM531" i="1" s="1"/>
  <c r="AK531" i="1"/>
  <c r="AH531" i="1"/>
  <c r="AG531" i="1"/>
  <c r="AD531" i="1"/>
  <c r="AC531" i="1"/>
  <c r="AA531" i="1"/>
  <c r="Z531" i="1"/>
  <c r="Y531" i="1"/>
  <c r="V531" i="1"/>
  <c r="W531" i="1" s="1"/>
  <c r="U531" i="1"/>
  <c r="R531" i="1"/>
  <c r="Q531" i="1"/>
  <c r="N531" i="1"/>
  <c r="M531" i="1"/>
  <c r="K531" i="1"/>
  <c r="J531" i="1"/>
  <c r="I531" i="1"/>
  <c r="G531" i="1"/>
  <c r="F531" i="1"/>
  <c r="E531" i="1"/>
  <c r="BN530" i="1"/>
  <c r="BM530" i="1"/>
  <c r="BL530" i="1"/>
  <c r="BJ530" i="1"/>
  <c r="BI530" i="1"/>
  <c r="BG530" i="1"/>
  <c r="BF530" i="1"/>
  <c r="BE530" i="1"/>
  <c r="BB530" i="1"/>
  <c r="BA530" i="1"/>
  <c r="AX530" i="1"/>
  <c r="AW530" i="1"/>
  <c r="AU530" i="1"/>
  <c r="AT530" i="1"/>
  <c r="AS530" i="1"/>
  <c r="AP530" i="1"/>
  <c r="AQ530" i="1" s="1"/>
  <c r="AO530" i="1"/>
  <c r="AL530" i="1"/>
  <c r="AK530" i="1"/>
  <c r="AH530" i="1"/>
  <c r="AG530" i="1"/>
  <c r="AE530" i="1"/>
  <c r="AD530" i="1"/>
  <c r="AC530" i="1"/>
  <c r="Z530" i="1"/>
  <c r="AA530" i="1" s="1"/>
  <c r="Y530" i="1"/>
  <c r="V530" i="1"/>
  <c r="U530" i="1"/>
  <c r="R530" i="1"/>
  <c r="Q530" i="1"/>
  <c r="O530" i="1"/>
  <c r="N530" i="1"/>
  <c r="M530" i="1"/>
  <c r="J530" i="1"/>
  <c r="K530" i="1" s="1"/>
  <c r="I530" i="1"/>
  <c r="F530" i="1"/>
  <c r="G530" i="1" s="1"/>
  <c r="E530" i="1"/>
  <c r="BN529" i="1"/>
  <c r="BK529" i="1"/>
  <c r="BL529" i="1" s="1"/>
  <c r="BJ529" i="1"/>
  <c r="BM529" i="1" s="1"/>
  <c r="BI529" i="1"/>
  <c r="BG529" i="1"/>
  <c r="BF529" i="1"/>
  <c r="BE529" i="1"/>
  <c r="BB529" i="1"/>
  <c r="BA529" i="1"/>
  <c r="AZ529" i="1"/>
  <c r="AX529" i="1"/>
  <c r="AW529" i="1"/>
  <c r="AV529" i="1"/>
  <c r="AT529" i="1"/>
  <c r="AS529" i="1"/>
  <c r="AP529" i="1"/>
  <c r="AO529" i="1"/>
  <c r="AM529" i="1"/>
  <c r="AL529" i="1"/>
  <c r="AK529" i="1"/>
  <c r="AI529" i="1"/>
  <c r="AH529" i="1"/>
  <c r="AG529" i="1"/>
  <c r="AF529" i="1"/>
  <c r="AD529" i="1"/>
  <c r="AE529" i="1" s="1"/>
  <c r="AC529" i="1"/>
  <c r="Z529" i="1"/>
  <c r="Y529" i="1"/>
  <c r="V529" i="1"/>
  <c r="U529" i="1"/>
  <c r="S529" i="1"/>
  <c r="R529" i="1"/>
  <c r="P529" i="1"/>
  <c r="Q529" i="1" s="1"/>
  <c r="O529" i="1"/>
  <c r="N529" i="1"/>
  <c r="M529" i="1"/>
  <c r="K529" i="1"/>
  <c r="J529" i="1"/>
  <c r="I529" i="1"/>
  <c r="F529" i="1"/>
  <c r="G529" i="1" s="1"/>
  <c r="E529" i="1"/>
  <c r="BN528" i="1"/>
  <c r="BK528" i="1"/>
  <c r="BL528" i="1" s="1"/>
  <c r="BJ528" i="1"/>
  <c r="BM528" i="1" s="1"/>
  <c r="BI528" i="1"/>
  <c r="BG528" i="1"/>
  <c r="BF528" i="1"/>
  <c r="BE528" i="1"/>
  <c r="BB528" i="1"/>
  <c r="BA528" i="1"/>
  <c r="AX528" i="1"/>
  <c r="AW528" i="1"/>
  <c r="AV528" i="1"/>
  <c r="AU528" i="1"/>
  <c r="AT528" i="1"/>
  <c r="AS528" i="1"/>
  <c r="AQ528" i="1"/>
  <c r="AP528" i="1"/>
  <c r="AO528" i="1"/>
  <c r="AM528" i="1"/>
  <c r="AL528" i="1"/>
  <c r="AK528" i="1"/>
  <c r="AH528" i="1"/>
  <c r="AI528" i="1" s="1"/>
  <c r="AG528" i="1"/>
  <c r="AF528" i="1"/>
  <c r="AD528" i="1"/>
  <c r="AC528" i="1"/>
  <c r="Z528" i="1"/>
  <c r="Y528" i="1"/>
  <c r="W528" i="1"/>
  <c r="V528" i="1"/>
  <c r="U528" i="1"/>
  <c r="R528" i="1"/>
  <c r="S528" i="1" s="1"/>
  <c r="Q528" i="1"/>
  <c r="P528" i="1"/>
  <c r="N528" i="1"/>
  <c r="O528" i="1" s="1"/>
  <c r="M528" i="1"/>
  <c r="J528" i="1"/>
  <c r="I528" i="1"/>
  <c r="F528" i="1"/>
  <c r="E528" i="1"/>
  <c r="BN527" i="1"/>
  <c r="BK527" i="1"/>
  <c r="BL527" i="1" s="1"/>
  <c r="BJ527" i="1"/>
  <c r="BI527" i="1"/>
  <c r="BF527" i="1"/>
  <c r="BG527" i="1" s="1"/>
  <c r="BE527" i="1"/>
  <c r="BD527" i="1"/>
  <c r="BB527" i="1"/>
  <c r="BA527" i="1"/>
  <c r="AX527" i="1"/>
  <c r="AW527" i="1"/>
  <c r="AV527" i="1"/>
  <c r="AU527" i="1"/>
  <c r="AT527" i="1"/>
  <c r="AS527" i="1"/>
  <c r="AQ527" i="1"/>
  <c r="AP527" i="1"/>
  <c r="AO527" i="1"/>
  <c r="AM527" i="1"/>
  <c r="AL527" i="1"/>
  <c r="AK527" i="1"/>
  <c r="AH527" i="1"/>
  <c r="AG527" i="1"/>
  <c r="AF527" i="1"/>
  <c r="AD527" i="1"/>
  <c r="AC527" i="1"/>
  <c r="Z527" i="1"/>
  <c r="Y527" i="1"/>
  <c r="W527" i="1"/>
  <c r="V527" i="1"/>
  <c r="U527" i="1"/>
  <c r="S527" i="1"/>
  <c r="R527" i="1"/>
  <c r="Q527" i="1"/>
  <c r="P527" i="1"/>
  <c r="N527" i="1"/>
  <c r="O527" i="1" s="1"/>
  <c r="M527" i="1"/>
  <c r="J527" i="1"/>
  <c r="I527" i="1"/>
  <c r="F527" i="1"/>
  <c r="E527" i="1"/>
  <c r="BN526" i="1"/>
  <c r="BL526" i="1"/>
  <c r="BJ526" i="1"/>
  <c r="BI526" i="1"/>
  <c r="BF526" i="1"/>
  <c r="BE526" i="1"/>
  <c r="BC526" i="1"/>
  <c r="BB526" i="1"/>
  <c r="BA526" i="1"/>
  <c r="AX526" i="1"/>
  <c r="AY526" i="1" s="1"/>
  <c r="AW526" i="1"/>
  <c r="AT526" i="1"/>
  <c r="AS526" i="1"/>
  <c r="AP526" i="1"/>
  <c r="AO526" i="1"/>
  <c r="AM526" i="1"/>
  <c r="AL526" i="1"/>
  <c r="AK526" i="1"/>
  <c r="AI526" i="1"/>
  <c r="AH526" i="1"/>
  <c r="AG526" i="1"/>
  <c r="AD526" i="1"/>
  <c r="AC526" i="1"/>
  <c r="Z526" i="1"/>
  <c r="Y526" i="1"/>
  <c r="W526" i="1"/>
  <c r="V526" i="1"/>
  <c r="U526" i="1"/>
  <c r="S526" i="1"/>
  <c r="R526" i="1"/>
  <c r="Q526" i="1"/>
  <c r="N526" i="1"/>
  <c r="M526" i="1"/>
  <c r="J526" i="1"/>
  <c r="I526" i="1"/>
  <c r="G526" i="1"/>
  <c r="F526" i="1"/>
  <c r="E526" i="1"/>
  <c r="BN525" i="1"/>
  <c r="BM525" i="1"/>
  <c r="BL525" i="1"/>
  <c r="BJ525" i="1"/>
  <c r="BI525" i="1"/>
  <c r="BG525" i="1"/>
  <c r="BF525" i="1"/>
  <c r="BE525" i="1"/>
  <c r="BB525" i="1"/>
  <c r="BC525" i="1" s="1"/>
  <c r="BA525" i="1"/>
  <c r="AX525" i="1"/>
  <c r="AW525" i="1"/>
  <c r="AT525" i="1"/>
  <c r="AS525" i="1"/>
  <c r="AQ525" i="1"/>
  <c r="AP525" i="1"/>
  <c r="AO525" i="1"/>
  <c r="AL525" i="1"/>
  <c r="AM525" i="1" s="1"/>
  <c r="AK525" i="1"/>
  <c r="AH525" i="1"/>
  <c r="AG525" i="1"/>
  <c r="AD525" i="1"/>
  <c r="AC525" i="1"/>
  <c r="AA525" i="1"/>
  <c r="Z525" i="1"/>
  <c r="Y525" i="1"/>
  <c r="W525" i="1"/>
  <c r="V525" i="1"/>
  <c r="U525" i="1"/>
  <c r="R525" i="1"/>
  <c r="Q525" i="1"/>
  <c r="N525" i="1"/>
  <c r="M525" i="1"/>
  <c r="K525" i="1"/>
  <c r="J525" i="1"/>
  <c r="I525" i="1"/>
  <c r="G525" i="1"/>
  <c r="F525" i="1"/>
  <c r="E525" i="1"/>
  <c r="BN524" i="1"/>
  <c r="BM524" i="1"/>
  <c r="BL524" i="1"/>
  <c r="BJ524" i="1"/>
  <c r="BI524" i="1"/>
  <c r="BG524" i="1"/>
  <c r="BF524" i="1"/>
  <c r="BE524" i="1"/>
  <c r="BB524" i="1"/>
  <c r="BA524" i="1"/>
  <c r="AX524" i="1"/>
  <c r="AW524" i="1"/>
  <c r="AU524" i="1"/>
  <c r="AT524" i="1"/>
  <c r="AS524" i="1"/>
  <c r="AP524" i="1"/>
  <c r="AQ524" i="1" s="1"/>
  <c r="AO524" i="1"/>
  <c r="AL524" i="1"/>
  <c r="AK524" i="1"/>
  <c r="AH524" i="1"/>
  <c r="AG524" i="1"/>
  <c r="AE524" i="1"/>
  <c r="AD524" i="1"/>
  <c r="AC524" i="1"/>
  <c r="Z524" i="1"/>
  <c r="AA524" i="1" s="1"/>
  <c r="Y524" i="1"/>
  <c r="V524" i="1"/>
  <c r="U524" i="1"/>
  <c r="R524" i="1"/>
  <c r="S524" i="1" s="1"/>
  <c r="Q524" i="1"/>
  <c r="O524" i="1"/>
  <c r="N524" i="1"/>
  <c r="M524" i="1"/>
  <c r="K524" i="1"/>
  <c r="J524" i="1"/>
  <c r="I524" i="1"/>
  <c r="F524" i="1"/>
  <c r="G524" i="1" s="1"/>
  <c r="E524" i="1"/>
  <c r="BN523" i="1"/>
  <c r="BL523" i="1"/>
  <c r="BJ523" i="1"/>
  <c r="BM523" i="1" s="1"/>
  <c r="BI523" i="1"/>
  <c r="BF523" i="1"/>
  <c r="BE523" i="1"/>
  <c r="BB523" i="1"/>
  <c r="BA523" i="1"/>
  <c r="AY523" i="1"/>
  <c r="AX523" i="1"/>
  <c r="AW523" i="1"/>
  <c r="AU523" i="1"/>
  <c r="AT523" i="1"/>
  <c r="AS523" i="1"/>
  <c r="AP523" i="1"/>
  <c r="AO523" i="1"/>
  <c r="AL523" i="1"/>
  <c r="AK523" i="1"/>
  <c r="AI523" i="1"/>
  <c r="AH523" i="1"/>
  <c r="AG523" i="1"/>
  <c r="AE523" i="1"/>
  <c r="AD523" i="1"/>
  <c r="AC523" i="1"/>
  <c r="Z523" i="1"/>
  <c r="Y523" i="1"/>
  <c r="V523" i="1"/>
  <c r="U523" i="1"/>
  <c r="S523" i="1"/>
  <c r="R523" i="1"/>
  <c r="Q523" i="1"/>
  <c r="N523" i="1"/>
  <c r="O523" i="1" s="1"/>
  <c r="M523" i="1"/>
  <c r="J523" i="1"/>
  <c r="I523" i="1"/>
  <c r="F523" i="1"/>
  <c r="E523" i="1"/>
  <c r="BN522" i="1"/>
  <c r="BL522" i="1"/>
  <c r="BJ522" i="1"/>
  <c r="BI522" i="1"/>
  <c r="BF522" i="1"/>
  <c r="BE522" i="1"/>
  <c r="BC522" i="1"/>
  <c r="BB522" i="1"/>
  <c r="BA522" i="1"/>
  <c r="AX522" i="1"/>
  <c r="AY522" i="1" s="1"/>
  <c r="AW522" i="1"/>
  <c r="AT522" i="1"/>
  <c r="AS522" i="1"/>
  <c r="AP522" i="1"/>
  <c r="AO522" i="1"/>
  <c r="AM522" i="1"/>
  <c r="AL522" i="1"/>
  <c r="AK522" i="1"/>
  <c r="AH522" i="1"/>
  <c r="AI522" i="1" s="1"/>
  <c r="AG522" i="1"/>
  <c r="AD522" i="1"/>
  <c r="AC522" i="1"/>
  <c r="Z522" i="1"/>
  <c r="Y522" i="1"/>
  <c r="W522" i="1"/>
  <c r="V522" i="1"/>
  <c r="U522" i="1"/>
  <c r="S522" i="1"/>
  <c r="R522" i="1"/>
  <c r="Q522" i="1"/>
  <c r="N522" i="1"/>
  <c r="M522" i="1"/>
  <c r="J522" i="1"/>
  <c r="I522" i="1"/>
  <c r="G522" i="1"/>
  <c r="F522" i="1"/>
  <c r="E522" i="1"/>
  <c r="BN521" i="1"/>
  <c r="BM521" i="1" s="1"/>
  <c r="BL521" i="1"/>
  <c r="BJ521" i="1"/>
  <c r="BI521" i="1"/>
  <c r="BG521" i="1"/>
  <c r="BF521" i="1"/>
  <c r="BE521" i="1"/>
  <c r="BC521" i="1"/>
  <c r="BB521" i="1"/>
  <c r="BA521" i="1"/>
  <c r="AX521" i="1"/>
  <c r="AW521" i="1"/>
  <c r="AT521" i="1"/>
  <c r="AS521" i="1"/>
  <c r="AQ521" i="1"/>
  <c r="AP521" i="1"/>
  <c r="AO521" i="1"/>
  <c r="AL521" i="1"/>
  <c r="AM521" i="1" s="1"/>
  <c r="AK521" i="1"/>
  <c r="AH521" i="1"/>
  <c r="AG521" i="1"/>
  <c r="AD521" i="1"/>
  <c r="AC521" i="1"/>
  <c r="AA521" i="1"/>
  <c r="Z521" i="1"/>
  <c r="Y521" i="1"/>
  <c r="V521" i="1"/>
  <c r="W521" i="1" s="1"/>
  <c r="U521" i="1"/>
  <c r="R521" i="1"/>
  <c r="Q521" i="1"/>
  <c r="N521" i="1"/>
  <c r="M521" i="1"/>
  <c r="K521" i="1"/>
  <c r="J521" i="1"/>
  <c r="I521" i="1"/>
  <c r="G521" i="1"/>
  <c r="F521" i="1"/>
  <c r="E521" i="1"/>
  <c r="BN520" i="1"/>
  <c r="BM520" i="1"/>
  <c r="BL520" i="1"/>
  <c r="BJ520" i="1"/>
  <c r="BI520" i="1"/>
  <c r="BG520" i="1"/>
  <c r="BF520" i="1"/>
  <c r="BE520" i="1"/>
  <c r="BB520" i="1"/>
  <c r="BA520" i="1"/>
  <c r="AX520" i="1"/>
  <c r="AW520" i="1"/>
  <c r="AU520" i="1"/>
  <c r="AT520" i="1"/>
  <c r="AS520" i="1"/>
  <c r="AQ520" i="1"/>
  <c r="AP520" i="1"/>
  <c r="AO520" i="1"/>
  <c r="AL520" i="1"/>
  <c r="AK520" i="1"/>
  <c r="AH520" i="1"/>
  <c r="AG520" i="1"/>
  <c r="AE520" i="1"/>
  <c r="AD520" i="1"/>
  <c r="AC520" i="1"/>
  <c r="Z520" i="1"/>
  <c r="AA520" i="1" s="1"/>
  <c r="Y520" i="1"/>
  <c r="V520" i="1"/>
  <c r="U520" i="1"/>
  <c r="R520" i="1"/>
  <c r="Q520" i="1"/>
  <c r="O520" i="1"/>
  <c r="N520" i="1"/>
  <c r="M520" i="1"/>
  <c r="J520" i="1"/>
  <c r="K520" i="1" s="1"/>
  <c r="I520" i="1"/>
  <c r="F520" i="1"/>
  <c r="E520" i="1"/>
  <c r="BN519" i="1"/>
  <c r="BL519" i="1"/>
  <c r="BJ519" i="1"/>
  <c r="BM519" i="1" s="1"/>
  <c r="BI519" i="1"/>
  <c r="BF519" i="1"/>
  <c r="BE519" i="1"/>
  <c r="BB519" i="1"/>
  <c r="BA519" i="1"/>
  <c r="AY519" i="1"/>
  <c r="AX519" i="1"/>
  <c r="AW519" i="1"/>
  <c r="AT519" i="1"/>
  <c r="AU519" i="1" s="1"/>
  <c r="AS519" i="1"/>
  <c r="AP519" i="1"/>
  <c r="AO519" i="1"/>
  <c r="AL519" i="1"/>
  <c r="AK519" i="1"/>
  <c r="AI519" i="1"/>
  <c r="AH519" i="1"/>
  <c r="AG519" i="1"/>
  <c r="AE519" i="1"/>
  <c r="AD519" i="1"/>
  <c r="AC519" i="1"/>
  <c r="Z519" i="1"/>
  <c r="Y519" i="1"/>
  <c r="V519" i="1"/>
  <c r="U519" i="1"/>
  <c r="S519" i="1"/>
  <c r="R519" i="1"/>
  <c r="Q519" i="1"/>
  <c r="O519" i="1"/>
  <c r="N519" i="1"/>
  <c r="M519" i="1"/>
  <c r="J519" i="1"/>
  <c r="I519" i="1"/>
  <c r="F519" i="1"/>
  <c r="E519" i="1"/>
  <c r="BN518" i="1"/>
  <c r="BL518" i="1"/>
  <c r="BJ518" i="1"/>
  <c r="BI518" i="1"/>
  <c r="BF518" i="1"/>
  <c r="BE518" i="1"/>
  <c r="BC518" i="1"/>
  <c r="BB518" i="1"/>
  <c r="BA518" i="1"/>
  <c r="AY518" i="1"/>
  <c r="AX518" i="1"/>
  <c r="AW518" i="1"/>
  <c r="AT518" i="1"/>
  <c r="AS518" i="1"/>
  <c r="AP518" i="1"/>
  <c r="AQ518" i="1" s="1"/>
  <c r="AO518" i="1"/>
  <c r="AM518" i="1"/>
  <c r="AL518" i="1"/>
  <c r="AK518" i="1"/>
  <c r="AH518" i="1"/>
  <c r="AI518" i="1" s="1"/>
  <c r="AG518" i="1"/>
  <c r="AD518" i="1"/>
  <c r="AC518" i="1"/>
  <c r="Z518" i="1"/>
  <c r="Y518" i="1"/>
  <c r="W518" i="1"/>
  <c r="V518" i="1"/>
  <c r="U518" i="1"/>
  <c r="R518" i="1"/>
  <c r="S518" i="1" s="1"/>
  <c r="Q518" i="1"/>
  <c r="N518" i="1"/>
  <c r="M518" i="1"/>
  <c r="J518" i="1"/>
  <c r="I518" i="1"/>
  <c r="G518" i="1"/>
  <c r="F518" i="1"/>
  <c r="E518" i="1"/>
  <c r="BN517" i="1"/>
  <c r="BM517" i="1" s="1"/>
  <c r="BL517" i="1"/>
  <c r="BJ517" i="1"/>
  <c r="BI517" i="1"/>
  <c r="BG517" i="1"/>
  <c r="BF517" i="1"/>
  <c r="BD517" i="1"/>
  <c r="BE517" i="1" s="1"/>
  <c r="BC517" i="1"/>
  <c r="BB517" i="1"/>
  <c r="AZ517" i="1"/>
  <c r="BA517" i="1" s="1"/>
  <c r="AY517" i="1"/>
  <c r="AX517" i="1"/>
  <c r="AW517" i="1"/>
  <c r="AT517" i="1"/>
  <c r="AU517" i="1" s="1"/>
  <c r="AS517" i="1"/>
  <c r="AP517" i="1"/>
  <c r="AO517" i="1"/>
  <c r="AL517" i="1"/>
  <c r="AK517" i="1"/>
  <c r="AI517" i="1"/>
  <c r="AH517" i="1"/>
  <c r="AF517" i="1"/>
  <c r="AG517" i="1" s="1"/>
  <c r="AE517" i="1"/>
  <c r="AD517" i="1"/>
  <c r="AB517" i="1"/>
  <c r="AC517" i="1" s="1"/>
  <c r="AA517" i="1"/>
  <c r="Z517" i="1"/>
  <c r="Y517" i="1"/>
  <c r="V517" i="1"/>
  <c r="W517" i="1" s="1"/>
  <c r="U517" i="1"/>
  <c r="R517" i="1"/>
  <c r="Q517" i="1"/>
  <c r="N517" i="1"/>
  <c r="M517" i="1"/>
  <c r="K517" i="1"/>
  <c r="J517" i="1"/>
  <c r="I517" i="1"/>
  <c r="G517" i="1"/>
  <c r="F517" i="1"/>
  <c r="E517" i="1"/>
  <c r="BN516" i="1"/>
  <c r="BM516" i="1"/>
  <c r="BL516" i="1"/>
  <c r="BJ516" i="1"/>
  <c r="BI516" i="1"/>
  <c r="BG516" i="1"/>
  <c r="BF516" i="1"/>
  <c r="BE516" i="1"/>
  <c r="BD516" i="1"/>
  <c r="BB516" i="1"/>
  <c r="AY516" i="1" s="1"/>
  <c r="BA516" i="1"/>
  <c r="AZ516" i="1"/>
  <c r="AX516" i="1"/>
  <c r="AW516" i="1"/>
  <c r="AT516" i="1"/>
  <c r="AS516" i="1"/>
  <c r="AP516" i="1"/>
  <c r="AO516" i="1"/>
  <c r="AM516" i="1"/>
  <c r="AL516" i="1"/>
  <c r="AK516" i="1"/>
  <c r="AI516" i="1"/>
  <c r="AH516" i="1"/>
  <c r="AG516" i="1"/>
  <c r="AF516" i="1"/>
  <c r="AD516" i="1"/>
  <c r="AC516" i="1"/>
  <c r="AB516" i="1"/>
  <c r="Z516" i="1"/>
  <c r="Y516" i="1"/>
  <c r="V516" i="1"/>
  <c r="U516" i="1"/>
  <c r="R516" i="1"/>
  <c r="Q516" i="1"/>
  <c r="O516" i="1"/>
  <c r="N516" i="1"/>
  <c r="M516" i="1"/>
  <c r="J516" i="1"/>
  <c r="K516" i="1" s="1"/>
  <c r="I516" i="1"/>
  <c r="F516" i="1"/>
  <c r="G516" i="1" s="1"/>
  <c r="E516" i="1"/>
  <c r="BN515" i="1"/>
  <c r="BL515" i="1"/>
  <c r="BJ515" i="1"/>
  <c r="BM515" i="1" s="1"/>
  <c r="BI515" i="1"/>
  <c r="BF515" i="1"/>
  <c r="BG515" i="1" s="1"/>
  <c r="BE515" i="1"/>
  <c r="BD515" i="1"/>
  <c r="BB515" i="1"/>
  <c r="BA515" i="1"/>
  <c r="AZ515" i="1"/>
  <c r="AX515" i="1"/>
  <c r="AW515" i="1"/>
  <c r="AT515" i="1"/>
  <c r="AS515" i="1"/>
  <c r="AQ515" i="1"/>
  <c r="AP515" i="1"/>
  <c r="AO515" i="1"/>
  <c r="AM515" i="1"/>
  <c r="AL515" i="1"/>
  <c r="AK515" i="1"/>
  <c r="AH515" i="1"/>
  <c r="AI515" i="1" s="1"/>
  <c r="AG515" i="1"/>
  <c r="AF515" i="1"/>
  <c r="AD515" i="1"/>
  <c r="AC515" i="1"/>
  <c r="AB515" i="1"/>
  <c r="Z515" i="1"/>
  <c r="Y515" i="1"/>
  <c r="V515" i="1"/>
  <c r="U515" i="1"/>
  <c r="S515" i="1"/>
  <c r="R515" i="1"/>
  <c r="Q515" i="1"/>
  <c r="O515" i="1"/>
  <c r="N515" i="1"/>
  <c r="M515" i="1"/>
  <c r="J515" i="1"/>
  <c r="I515" i="1"/>
  <c r="F515" i="1"/>
  <c r="E515" i="1"/>
  <c r="BN514" i="1"/>
  <c r="BL514" i="1"/>
  <c r="BJ514" i="1"/>
  <c r="BI514" i="1"/>
  <c r="BF514" i="1"/>
  <c r="BE514" i="1"/>
  <c r="BC514" i="1"/>
  <c r="BB514" i="1"/>
  <c r="BA514" i="1"/>
  <c r="AY514" i="1"/>
  <c r="AX514" i="1"/>
  <c r="AW514" i="1"/>
  <c r="AT514" i="1"/>
  <c r="AS514" i="1"/>
  <c r="AP514" i="1"/>
  <c r="AO514" i="1"/>
  <c r="AM514" i="1"/>
  <c r="AL514" i="1"/>
  <c r="AK514" i="1"/>
  <c r="AH514" i="1"/>
  <c r="AI514" i="1" s="1"/>
  <c r="AG514" i="1"/>
  <c r="AD514" i="1"/>
  <c r="AC514" i="1"/>
  <c r="Z514" i="1"/>
  <c r="Y514" i="1"/>
  <c r="W514" i="1"/>
  <c r="V514" i="1"/>
  <c r="U514" i="1"/>
  <c r="R514" i="1"/>
  <c r="S514" i="1" s="1"/>
  <c r="Q514" i="1"/>
  <c r="N514" i="1"/>
  <c r="M514" i="1"/>
  <c r="J514" i="1"/>
  <c r="I514" i="1"/>
  <c r="G514" i="1"/>
  <c r="F514" i="1"/>
  <c r="E514" i="1"/>
  <c r="BN513" i="1"/>
  <c r="BL513" i="1"/>
  <c r="BK513" i="1"/>
  <c r="BJ513" i="1"/>
  <c r="BM513" i="1" s="1"/>
  <c r="BI513" i="1"/>
  <c r="BH513" i="1"/>
  <c r="BF513" i="1"/>
  <c r="BG513" i="1" s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Q513" i="1" s="1"/>
  <c r="AO513" i="1"/>
  <c r="AN513" i="1"/>
  <c r="AL513" i="1"/>
  <c r="AK513" i="1"/>
  <c r="AJ513" i="1"/>
  <c r="AH513" i="1"/>
  <c r="AG513" i="1"/>
  <c r="AF513" i="1"/>
  <c r="AD513" i="1"/>
  <c r="AE513" i="1" s="1"/>
  <c r="AC513" i="1"/>
  <c r="AB513" i="1"/>
  <c r="Z513" i="1"/>
  <c r="Y513" i="1"/>
  <c r="V513" i="1"/>
  <c r="U513" i="1"/>
  <c r="S513" i="1"/>
  <c r="R513" i="1"/>
  <c r="Q513" i="1"/>
  <c r="N513" i="1"/>
  <c r="O513" i="1" s="1"/>
  <c r="M513" i="1"/>
  <c r="J513" i="1"/>
  <c r="I513" i="1"/>
  <c r="F513" i="1"/>
  <c r="E513" i="1"/>
  <c r="BN512" i="1"/>
  <c r="BK512" i="1"/>
  <c r="BL512" i="1" s="1"/>
  <c r="BJ512" i="1"/>
  <c r="BI512" i="1"/>
  <c r="BH512" i="1"/>
  <c r="BF512" i="1"/>
  <c r="BE512" i="1"/>
  <c r="BD512" i="1"/>
  <c r="BB512" i="1"/>
  <c r="BA512" i="1"/>
  <c r="AZ512" i="1"/>
  <c r="AX512" i="1"/>
  <c r="AW512" i="1"/>
  <c r="AV512" i="1"/>
  <c r="AT512" i="1"/>
  <c r="AS512" i="1"/>
  <c r="AR512" i="1"/>
  <c r="AP512" i="1"/>
  <c r="AO512" i="1"/>
  <c r="AN512" i="1"/>
  <c r="AL512" i="1"/>
  <c r="AK512" i="1"/>
  <c r="AJ512" i="1"/>
  <c r="AH512" i="1"/>
  <c r="AG512" i="1"/>
  <c r="AF512" i="1"/>
  <c r="AD512" i="1"/>
  <c r="AC512" i="1"/>
  <c r="AB512" i="1"/>
  <c r="Z512" i="1"/>
  <c r="Y512" i="1"/>
  <c r="V512" i="1"/>
  <c r="U512" i="1"/>
  <c r="R512" i="1"/>
  <c r="Q512" i="1"/>
  <c r="O512" i="1"/>
  <c r="N512" i="1"/>
  <c r="M512" i="1"/>
  <c r="J512" i="1"/>
  <c r="K512" i="1" s="1"/>
  <c r="I512" i="1"/>
  <c r="F512" i="1"/>
  <c r="G512" i="1" s="1"/>
  <c r="E512" i="1"/>
  <c r="BN511" i="1"/>
  <c r="BL511" i="1"/>
  <c r="BK511" i="1"/>
  <c r="BJ511" i="1"/>
  <c r="BM511" i="1" s="1"/>
  <c r="BH511" i="1"/>
  <c r="BI511" i="1" s="1"/>
  <c r="BG511" i="1"/>
  <c r="BF511" i="1"/>
  <c r="BD511" i="1"/>
  <c r="BE511" i="1" s="1"/>
  <c r="BC511" i="1"/>
  <c r="BB511" i="1"/>
  <c r="AZ511" i="1"/>
  <c r="BA511" i="1" s="1"/>
  <c r="AY511" i="1"/>
  <c r="AX511" i="1"/>
  <c r="AV511" i="1"/>
  <c r="AW511" i="1" s="1"/>
  <c r="AU511" i="1"/>
  <c r="AT511" i="1"/>
  <c r="AR511" i="1"/>
  <c r="AS511" i="1" s="1"/>
  <c r="AQ511" i="1"/>
  <c r="AP511" i="1"/>
  <c r="AN511" i="1"/>
  <c r="AO511" i="1" s="1"/>
  <c r="AM511" i="1"/>
  <c r="AL511" i="1"/>
  <c r="AJ511" i="1"/>
  <c r="AK511" i="1" s="1"/>
  <c r="AI511" i="1"/>
  <c r="AH511" i="1"/>
  <c r="AF511" i="1"/>
  <c r="AG511" i="1" s="1"/>
  <c r="AE511" i="1"/>
  <c r="AD511" i="1"/>
  <c r="AB511" i="1"/>
  <c r="AC511" i="1" s="1"/>
  <c r="AA511" i="1"/>
  <c r="Z511" i="1"/>
  <c r="Y511" i="1"/>
  <c r="V511" i="1"/>
  <c r="W511" i="1" s="1"/>
  <c r="U511" i="1"/>
  <c r="R511" i="1"/>
  <c r="Q511" i="1"/>
  <c r="N511" i="1"/>
  <c r="M511" i="1"/>
  <c r="K511" i="1"/>
  <c r="J511" i="1"/>
  <c r="I511" i="1"/>
  <c r="G511" i="1"/>
  <c r="F511" i="1"/>
  <c r="E511" i="1"/>
  <c r="BN510" i="1"/>
  <c r="BM510" i="1"/>
  <c r="BL510" i="1"/>
  <c r="BJ510" i="1"/>
  <c r="BI510" i="1"/>
  <c r="BG510" i="1"/>
  <c r="BF510" i="1"/>
  <c r="BE510" i="1"/>
  <c r="BB510" i="1"/>
  <c r="BA510" i="1"/>
  <c r="AX510" i="1"/>
  <c r="AW510" i="1"/>
  <c r="AU510" i="1"/>
  <c r="AT510" i="1"/>
  <c r="AS510" i="1"/>
  <c r="AQ510" i="1"/>
  <c r="AP510" i="1"/>
  <c r="AO510" i="1"/>
  <c r="AL510" i="1"/>
  <c r="AK510" i="1"/>
  <c r="AH510" i="1"/>
  <c r="AG510" i="1"/>
  <c r="AE510" i="1"/>
  <c r="AD510" i="1"/>
  <c r="AC510" i="1"/>
  <c r="AA510" i="1"/>
  <c r="Z510" i="1"/>
  <c r="Y510" i="1"/>
  <c r="V510" i="1"/>
  <c r="U510" i="1"/>
  <c r="R510" i="1"/>
  <c r="Q510" i="1"/>
  <c r="O510" i="1"/>
  <c r="N510" i="1"/>
  <c r="M510" i="1"/>
  <c r="J510" i="1"/>
  <c r="K510" i="1" s="1"/>
  <c r="I510" i="1"/>
  <c r="F510" i="1"/>
  <c r="E510" i="1"/>
  <c r="BN509" i="1"/>
  <c r="BL509" i="1"/>
  <c r="BJ509" i="1"/>
  <c r="BM509" i="1" s="1"/>
  <c r="BI509" i="1"/>
  <c r="BF509" i="1"/>
  <c r="BE509" i="1"/>
  <c r="BB509" i="1"/>
  <c r="BA509" i="1"/>
  <c r="AX509" i="1"/>
  <c r="AY509" i="1" s="1"/>
  <c r="AW509" i="1"/>
  <c r="AT509" i="1"/>
  <c r="AS509" i="1"/>
  <c r="AP509" i="1"/>
  <c r="AM509" i="1" s="1"/>
  <c r="AO509" i="1"/>
  <c r="AL509" i="1"/>
  <c r="AK509" i="1"/>
  <c r="AI509" i="1"/>
  <c r="AH509" i="1"/>
  <c r="AG509" i="1"/>
  <c r="AD509" i="1"/>
  <c r="AE509" i="1" s="1"/>
  <c r="AC509" i="1"/>
  <c r="Z509" i="1"/>
  <c r="Y509" i="1"/>
  <c r="V509" i="1"/>
  <c r="U509" i="1"/>
  <c r="S509" i="1"/>
  <c r="R509" i="1"/>
  <c r="Q509" i="1"/>
  <c r="N509" i="1"/>
  <c r="O509" i="1" s="1"/>
  <c r="M509" i="1"/>
  <c r="J509" i="1"/>
  <c r="I509" i="1"/>
  <c r="G509" i="1"/>
  <c r="F509" i="1"/>
  <c r="E509" i="1"/>
  <c r="BN508" i="1"/>
  <c r="BL508" i="1"/>
  <c r="BJ508" i="1"/>
  <c r="BM508" i="1" s="1"/>
  <c r="BI508" i="1"/>
  <c r="BG508" i="1"/>
  <c r="BF508" i="1"/>
  <c r="BE508" i="1"/>
  <c r="BC508" i="1"/>
  <c r="BB508" i="1"/>
  <c r="BA508" i="1"/>
  <c r="AY508" i="1"/>
  <c r="AX508" i="1"/>
  <c r="AW508" i="1"/>
  <c r="AT508" i="1"/>
  <c r="AU508" i="1" s="1"/>
  <c r="AS508" i="1"/>
  <c r="AQ508" i="1"/>
  <c r="AP508" i="1"/>
  <c r="AO508" i="1"/>
  <c r="AM508" i="1"/>
  <c r="AL508" i="1"/>
  <c r="AK508" i="1"/>
  <c r="AI508" i="1"/>
  <c r="AH508" i="1"/>
  <c r="AG508" i="1"/>
  <c r="AD508" i="1"/>
  <c r="AC508" i="1"/>
  <c r="AA508" i="1"/>
  <c r="Z508" i="1"/>
  <c r="Y508" i="1"/>
  <c r="W508" i="1"/>
  <c r="V508" i="1"/>
  <c r="U508" i="1"/>
  <c r="R508" i="1"/>
  <c r="S508" i="1" s="1"/>
  <c r="Q508" i="1"/>
  <c r="N508" i="1"/>
  <c r="M508" i="1"/>
  <c r="K508" i="1"/>
  <c r="J508" i="1"/>
  <c r="I508" i="1"/>
  <c r="F508" i="1"/>
  <c r="G508" i="1" s="1"/>
  <c r="E508" i="1"/>
  <c r="BN507" i="1"/>
  <c r="BM507" i="1"/>
  <c r="BL507" i="1"/>
  <c r="BJ507" i="1"/>
  <c r="BI507" i="1"/>
  <c r="BF507" i="1"/>
  <c r="BG507" i="1" s="1"/>
  <c r="BE507" i="1"/>
  <c r="BB507" i="1"/>
  <c r="BA507" i="1"/>
  <c r="AX507" i="1"/>
  <c r="AU507" i="1" s="1"/>
  <c r="AW507" i="1"/>
  <c r="AT507" i="1"/>
  <c r="AS507" i="1"/>
  <c r="AP507" i="1"/>
  <c r="AQ507" i="1" s="1"/>
  <c r="AO507" i="1"/>
  <c r="AL507" i="1"/>
  <c r="AM507" i="1" s="1"/>
  <c r="AK507" i="1"/>
  <c r="AH507" i="1"/>
  <c r="AG507" i="1"/>
  <c r="AD507" i="1"/>
  <c r="AC507" i="1"/>
  <c r="Z507" i="1"/>
  <c r="AA507" i="1" s="1"/>
  <c r="Y507" i="1"/>
  <c r="W507" i="1"/>
  <c r="V507" i="1"/>
  <c r="U507" i="1"/>
  <c r="R507" i="1"/>
  <c r="S507" i="1" s="1"/>
  <c r="Q507" i="1"/>
  <c r="N507" i="1"/>
  <c r="M507" i="1"/>
  <c r="K507" i="1"/>
  <c r="J507" i="1"/>
  <c r="I507" i="1"/>
  <c r="G507" i="1"/>
  <c r="F507" i="1"/>
  <c r="E507" i="1"/>
  <c r="BN506" i="1"/>
  <c r="BL506" i="1"/>
  <c r="BJ506" i="1"/>
  <c r="BM506" i="1" s="1"/>
  <c r="BI506" i="1"/>
  <c r="BG506" i="1"/>
  <c r="BF506" i="1"/>
  <c r="BE506" i="1"/>
  <c r="BB506" i="1"/>
  <c r="BC506" i="1" s="1"/>
  <c r="BA506" i="1"/>
  <c r="AY506" i="1"/>
  <c r="AX506" i="1"/>
  <c r="AW506" i="1"/>
  <c r="AU506" i="1"/>
  <c r="AT506" i="1"/>
  <c r="AS506" i="1"/>
  <c r="AQ506" i="1"/>
  <c r="AP506" i="1"/>
  <c r="AO506" i="1"/>
  <c r="AM506" i="1"/>
  <c r="AL506" i="1"/>
  <c r="AK506" i="1"/>
  <c r="AI506" i="1"/>
  <c r="AH506" i="1"/>
  <c r="AG506" i="1"/>
  <c r="AD506" i="1"/>
  <c r="AE506" i="1" s="1"/>
  <c r="AC506" i="1"/>
  <c r="Z506" i="1"/>
  <c r="Y506" i="1"/>
  <c r="V506" i="1"/>
  <c r="U506" i="1"/>
  <c r="R506" i="1"/>
  <c r="S506" i="1" s="1"/>
  <c r="Q506" i="1"/>
  <c r="N506" i="1"/>
  <c r="O506" i="1" s="1"/>
  <c r="M506" i="1"/>
  <c r="J506" i="1"/>
  <c r="K506" i="1" s="1"/>
  <c r="I506" i="1"/>
  <c r="G506" i="1"/>
  <c r="F506" i="1"/>
  <c r="E506" i="1"/>
  <c r="BN505" i="1"/>
  <c r="BL505" i="1"/>
  <c r="BJ505" i="1"/>
  <c r="BM505" i="1" s="1"/>
  <c r="BI505" i="1"/>
  <c r="BG505" i="1"/>
  <c r="BF505" i="1"/>
  <c r="BE505" i="1"/>
  <c r="BC505" i="1"/>
  <c r="BB505" i="1"/>
  <c r="BA505" i="1"/>
  <c r="AY505" i="1"/>
  <c r="AX505" i="1"/>
  <c r="AW505" i="1"/>
  <c r="AU505" i="1"/>
  <c r="AT505" i="1"/>
  <c r="AS505" i="1"/>
  <c r="AQ505" i="1"/>
  <c r="AP505" i="1"/>
  <c r="AO505" i="1"/>
  <c r="AL505" i="1"/>
  <c r="AM505" i="1" s="1"/>
  <c r="AK505" i="1"/>
  <c r="AH505" i="1"/>
  <c r="AI505" i="1" s="1"/>
  <c r="AG505" i="1"/>
  <c r="AF505" i="1"/>
  <c r="AD505" i="1"/>
  <c r="AC505" i="1"/>
  <c r="AB505" i="1"/>
  <c r="Z505" i="1"/>
  <c r="AA505" i="1" s="1"/>
  <c r="Y505" i="1"/>
  <c r="V505" i="1"/>
  <c r="W505" i="1" s="1"/>
  <c r="U505" i="1"/>
  <c r="S505" i="1"/>
  <c r="R505" i="1"/>
  <c r="Q505" i="1"/>
  <c r="O505" i="1"/>
  <c r="N505" i="1"/>
  <c r="M505" i="1"/>
  <c r="K505" i="1"/>
  <c r="J505" i="1"/>
  <c r="I505" i="1"/>
  <c r="G505" i="1"/>
  <c r="F505" i="1"/>
  <c r="E505" i="1"/>
  <c r="BN504" i="1"/>
  <c r="BM504" i="1" s="1"/>
  <c r="BL504" i="1"/>
  <c r="BJ504" i="1"/>
  <c r="BI504" i="1"/>
  <c r="BG504" i="1"/>
  <c r="BF504" i="1"/>
  <c r="BE504" i="1"/>
  <c r="BC504" i="1"/>
  <c r="BB504" i="1"/>
  <c r="BA504" i="1"/>
  <c r="AX504" i="1"/>
  <c r="AY504" i="1" s="1"/>
  <c r="AW504" i="1"/>
  <c r="AT504" i="1"/>
  <c r="AS504" i="1"/>
  <c r="AP504" i="1"/>
  <c r="AQ504" i="1" s="1"/>
  <c r="AO504" i="1"/>
  <c r="AM504" i="1"/>
  <c r="AL504" i="1"/>
  <c r="AK504" i="1"/>
  <c r="AI504" i="1"/>
  <c r="AH504" i="1"/>
  <c r="AF504" i="1"/>
  <c r="AG504" i="1" s="1"/>
  <c r="AD504" i="1"/>
  <c r="AC504" i="1"/>
  <c r="AB504" i="1"/>
  <c r="Z504" i="1"/>
  <c r="X504" i="1"/>
  <c r="Y504" i="1" s="1"/>
  <c r="V504" i="1"/>
  <c r="W504" i="1" s="1"/>
  <c r="U504" i="1"/>
  <c r="R504" i="1"/>
  <c r="S504" i="1" s="1"/>
  <c r="Q504" i="1"/>
  <c r="N504" i="1"/>
  <c r="O504" i="1" s="1"/>
  <c r="M504" i="1"/>
  <c r="K504" i="1"/>
  <c r="J504" i="1"/>
  <c r="I504" i="1"/>
  <c r="G504" i="1"/>
  <c r="F504" i="1"/>
  <c r="E504" i="1"/>
  <c r="BN503" i="1"/>
  <c r="BL503" i="1"/>
  <c r="BJ503" i="1"/>
  <c r="BM503" i="1" s="1"/>
  <c r="BI503" i="1"/>
  <c r="BG503" i="1"/>
  <c r="BF503" i="1"/>
  <c r="BE503" i="1"/>
  <c r="BC503" i="1"/>
  <c r="BB503" i="1"/>
  <c r="BA503" i="1"/>
  <c r="AY503" i="1"/>
  <c r="AX503" i="1"/>
  <c r="AW503" i="1"/>
  <c r="AU503" i="1"/>
  <c r="AT503" i="1"/>
  <c r="AS503" i="1"/>
  <c r="AP503" i="1"/>
  <c r="AQ503" i="1" s="1"/>
  <c r="AO503" i="1"/>
  <c r="AL503" i="1"/>
  <c r="AK503" i="1"/>
  <c r="AH503" i="1"/>
  <c r="AE503" i="1" s="1"/>
  <c r="AF503" i="1"/>
  <c r="AG503" i="1" s="1"/>
  <c r="AD503" i="1"/>
  <c r="AC503" i="1"/>
  <c r="AB503" i="1"/>
  <c r="Z503" i="1"/>
  <c r="AA503" i="1" s="1"/>
  <c r="Y503" i="1"/>
  <c r="W503" i="1"/>
  <c r="V503" i="1"/>
  <c r="U503" i="1"/>
  <c r="S503" i="1"/>
  <c r="R503" i="1"/>
  <c r="Q503" i="1"/>
  <c r="O503" i="1"/>
  <c r="N503" i="1"/>
  <c r="M503" i="1"/>
  <c r="K503" i="1"/>
  <c r="J503" i="1"/>
  <c r="I503" i="1"/>
  <c r="G503" i="1"/>
  <c r="F503" i="1"/>
  <c r="E503" i="1"/>
  <c r="BN502" i="1"/>
  <c r="BM502" i="1"/>
  <c r="BL502" i="1"/>
  <c r="BJ502" i="1"/>
  <c r="BI502" i="1"/>
  <c r="BG502" i="1"/>
  <c r="BF502" i="1"/>
  <c r="BE502" i="1"/>
  <c r="BB502" i="1"/>
  <c r="BC502" i="1" s="1"/>
  <c r="BA502" i="1"/>
  <c r="AX502" i="1"/>
  <c r="AW502" i="1"/>
  <c r="AT502" i="1"/>
  <c r="AU502" i="1" s="1"/>
  <c r="AS502" i="1"/>
  <c r="AQ502" i="1"/>
  <c r="AP502" i="1"/>
  <c r="AO502" i="1"/>
  <c r="AM502" i="1"/>
  <c r="AL502" i="1"/>
  <c r="AK502" i="1"/>
  <c r="AI502" i="1"/>
  <c r="AH502" i="1"/>
  <c r="AG502" i="1"/>
  <c r="AE502" i="1"/>
  <c r="AD502" i="1"/>
  <c r="AC502" i="1"/>
  <c r="AA502" i="1"/>
  <c r="Z502" i="1"/>
  <c r="Y502" i="1"/>
  <c r="V502" i="1"/>
  <c r="W502" i="1" s="1"/>
  <c r="U502" i="1"/>
  <c r="R502" i="1"/>
  <c r="Q502" i="1"/>
  <c r="N502" i="1"/>
  <c r="O502" i="1" s="1"/>
  <c r="M502" i="1"/>
  <c r="K502" i="1"/>
  <c r="J502" i="1"/>
  <c r="I502" i="1"/>
  <c r="G502" i="1"/>
  <c r="F502" i="1"/>
  <c r="E502" i="1"/>
  <c r="BN501" i="1"/>
  <c r="BL501" i="1"/>
  <c r="BJ501" i="1"/>
  <c r="BM501" i="1" s="1"/>
  <c r="BI501" i="1"/>
  <c r="BG501" i="1"/>
  <c r="BF501" i="1"/>
  <c r="BE501" i="1"/>
  <c r="BC501" i="1"/>
  <c r="BB501" i="1"/>
  <c r="BA501" i="1"/>
  <c r="AY501" i="1"/>
  <c r="AX501" i="1"/>
  <c r="AW501" i="1"/>
  <c r="AU501" i="1"/>
  <c r="AT501" i="1"/>
  <c r="AS501" i="1"/>
  <c r="AP501" i="1"/>
  <c r="AQ501" i="1" s="1"/>
  <c r="AO501" i="1"/>
  <c r="AL501" i="1"/>
  <c r="AK501" i="1"/>
  <c r="AH501" i="1"/>
  <c r="AI501" i="1" s="1"/>
  <c r="AG501" i="1"/>
  <c r="AE501" i="1"/>
  <c r="AD501" i="1"/>
  <c r="AC501" i="1"/>
  <c r="AA501" i="1"/>
  <c r="Z501" i="1"/>
  <c r="Y501" i="1"/>
  <c r="W501" i="1"/>
  <c r="V501" i="1"/>
  <c r="U501" i="1"/>
  <c r="T501" i="1"/>
  <c r="R501" i="1"/>
  <c r="S501" i="1" s="1"/>
  <c r="Q501" i="1"/>
  <c r="N501" i="1"/>
  <c r="O501" i="1" s="1"/>
  <c r="M501" i="1"/>
  <c r="K501" i="1"/>
  <c r="J501" i="1"/>
  <c r="I501" i="1"/>
  <c r="G501" i="1"/>
  <c r="F501" i="1"/>
  <c r="E501" i="1"/>
  <c r="BN500" i="1"/>
  <c r="BL500" i="1"/>
  <c r="BJ500" i="1"/>
  <c r="BM500" i="1" s="1"/>
  <c r="BI500" i="1"/>
  <c r="BG500" i="1"/>
  <c r="BF500" i="1"/>
  <c r="BE500" i="1"/>
  <c r="BC500" i="1"/>
  <c r="BB500" i="1"/>
  <c r="BA500" i="1"/>
  <c r="AX500" i="1"/>
  <c r="AY500" i="1" s="1"/>
  <c r="AW500" i="1"/>
  <c r="AU500" i="1"/>
  <c r="AT500" i="1"/>
  <c r="AS500" i="1"/>
  <c r="AP500" i="1"/>
  <c r="AQ500" i="1" s="1"/>
  <c r="AO500" i="1"/>
  <c r="AL500" i="1"/>
  <c r="AM500" i="1" s="1"/>
  <c r="AK500" i="1"/>
  <c r="AJ500" i="1"/>
  <c r="AH500" i="1"/>
  <c r="AG500" i="1"/>
  <c r="AE500" i="1"/>
  <c r="AD500" i="1"/>
  <c r="AC500" i="1"/>
  <c r="AA500" i="1"/>
  <c r="Z500" i="1"/>
  <c r="Y500" i="1"/>
  <c r="V500" i="1"/>
  <c r="U500" i="1"/>
  <c r="T500" i="1"/>
  <c r="R500" i="1"/>
  <c r="Q500" i="1"/>
  <c r="O500" i="1"/>
  <c r="N500" i="1"/>
  <c r="M500" i="1"/>
  <c r="K500" i="1"/>
  <c r="J500" i="1"/>
  <c r="I500" i="1"/>
  <c r="G500" i="1"/>
  <c r="F500" i="1"/>
  <c r="E500" i="1"/>
  <c r="BN499" i="1"/>
  <c r="BM499" i="1"/>
  <c r="BL499" i="1"/>
  <c r="BJ499" i="1"/>
  <c r="BI499" i="1"/>
  <c r="BG499" i="1"/>
  <c r="BF499" i="1"/>
  <c r="BE499" i="1"/>
  <c r="BB499" i="1"/>
  <c r="BC499" i="1" s="1"/>
  <c r="BA499" i="1"/>
  <c r="AX499" i="1"/>
  <c r="AW499" i="1"/>
  <c r="AT499" i="1"/>
  <c r="AU499" i="1" s="1"/>
  <c r="AS499" i="1"/>
  <c r="AQ499" i="1"/>
  <c r="AP499" i="1"/>
  <c r="AO499" i="1"/>
  <c r="AM499" i="1"/>
  <c r="AL499" i="1"/>
  <c r="AJ499" i="1"/>
  <c r="AK499" i="1" s="1"/>
  <c r="AH499" i="1"/>
  <c r="AG499" i="1"/>
  <c r="AF499" i="1"/>
  <c r="AD499" i="1"/>
  <c r="AB499" i="1"/>
  <c r="AC499" i="1" s="1"/>
  <c r="Z499" i="1"/>
  <c r="Y499" i="1"/>
  <c r="X499" i="1"/>
  <c r="V499" i="1"/>
  <c r="T499" i="1"/>
  <c r="U499" i="1" s="1"/>
  <c r="R499" i="1"/>
  <c r="S499" i="1" s="1"/>
  <c r="Q499" i="1"/>
  <c r="N499" i="1"/>
  <c r="O499" i="1" s="1"/>
  <c r="M499" i="1"/>
  <c r="J499" i="1"/>
  <c r="K499" i="1" s="1"/>
  <c r="I499" i="1"/>
  <c r="G499" i="1"/>
  <c r="F499" i="1"/>
  <c r="E499" i="1"/>
  <c r="BN498" i="1"/>
  <c r="BL498" i="1"/>
  <c r="BJ498" i="1"/>
  <c r="BM498" i="1" s="1"/>
  <c r="BI498" i="1"/>
  <c r="BG498" i="1"/>
  <c r="BF498" i="1"/>
  <c r="BE498" i="1"/>
  <c r="BC498" i="1"/>
  <c r="BB498" i="1"/>
  <c r="BA498" i="1"/>
  <c r="AY498" i="1"/>
  <c r="AX498" i="1"/>
  <c r="AW498" i="1"/>
  <c r="AU498" i="1"/>
  <c r="AT498" i="1"/>
  <c r="AS498" i="1"/>
  <c r="AQ498" i="1"/>
  <c r="AP498" i="1"/>
  <c r="AO498" i="1"/>
  <c r="AL498" i="1"/>
  <c r="AM498" i="1" s="1"/>
  <c r="AK498" i="1"/>
  <c r="AH498" i="1"/>
  <c r="AI498" i="1" s="1"/>
  <c r="AG498" i="1"/>
  <c r="AD498" i="1"/>
  <c r="AE498" i="1" s="1"/>
  <c r="AC498" i="1"/>
  <c r="AA498" i="1"/>
  <c r="Z498" i="1"/>
  <c r="Y498" i="1"/>
  <c r="W498" i="1"/>
  <c r="V498" i="1"/>
  <c r="U498" i="1"/>
  <c r="S498" i="1"/>
  <c r="R498" i="1"/>
  <c r="Q498" i="1"/>
  <c r="O498" i="1"/>
  <c r="N498" i="1"/>
  <c r="M498" i="1"/>
  <c r="K498" i="1"/>
  <c r="J498" i="1"/>
  <c r="I498" i="1"/>
  <c r="F498" i="1"/>
  <c r="G498" i="1" s="1"/>
  <c r="E498" i="1"/>
  <c r="BN497" i="1"/>
  <c r="BM497" i="1"/>
  <c r="BL497" i="1"/>
  <c r="BK497" i="1"/>
  <c r="BJ497" i="1"/>
  <c r="BG497" i="1" s="1"/>
  <c r="BH497" i="1"/>
  <c r="BI497" i="1" s="1"/>
  <c r="BF497" i="1"/>
  <c r="BE497" i="1"/>
  <c r="BD497" i="1"/>
  <c r="BB497" i="1"/>
  <c r="AY497" i="1" s="1"/>
  <c r="AZ497" i="1"/>
  <c r="BA497" i="1" s="1"/>
  <c r="AX497" i="1"/>
  <c r="AW497" i="1"/>
  <c r="AU497" i="1"/>
  <c r="AT497" i="1"/>
  <c r="AS497" i="1"/>
  <c r="AR497" i="1"/>
  <c r="AQ497" i="1"/>
  <c r="AP497" i="1"/>
  <c r="AN497" i="1"/>
  <c r="AO497" i="1" s="1"/>
  <c r="AM497" i="1"/>
  <c r="AL497" i="1"/>
  <c r="AK497" i="1"/>
  <c r="AJ497" i="1"/>
  <c r="AI497" i="1"/>
  <c r="AH497" i="1"/>
  <c r="AG497" i="1"/>
  <c r="AE497" i="1"/>
  <c r="AD497" i="1"/>
  <c r="AC497" i="1"/>
  <c r="AA497" i="1"/>
  <c r="Z497" i="1"/>
  <c r="Y497" i="1"/>
  <c r="X497" i="1"/>
  <c r="V497" i="1"/>
  <c r="W497" i="1" s="1"/>
  <c r="U497" i="1"/>
  <c r="R497" i="1"/>
  <c r="S497" i="1" s="1"/>
  <c r="Q497" i="1"/>
  <c r="O497" i="1"/>
  <c r="N497" i="1"/>
  <c r="L497" i="1"/>
  <c r="M497" i="1" s="1"/>
  <c r="K497" i="1"/>
  <c r="J497" i="1"/>
  <c r="I497" i="1"/>
  <c r="H497" i="1"/>
  <c r="G497" i="1"/>
  <c r="F497" i="1"/>
  <c r="D497" i="1"/>
  <c r="E497" i="1" s="1"/>
  <c r="BN496" i="1"/>
  <c r="BL496" i="1"/>
  <c r="BK496" i="1"/>
  <c r="BJ496" i="1"/>
  <c r="BI496" i="1"/>
  <c r="BH496" i="1"/>
  <c r="BF496" i="1"/>
  <c r="BD496" i="1"/>
  <c r="BE496" i="1" s="1"/>
  <c r="BB496" i="1"/>
  <c r="BA496" i="1"/>
  <c r="AZ496" i="1"/>
  <c r="AX496" i="1"/>
  <c r="AW496" i="1"/>
  <c r="AU496" i="1"/>
  <c r="AT496" i="1"/>
  <c r="AS496" i="1"/>
  <c r="AR496" i="1"/>
  <c r="AP496" i="1"/>
  <c r="AQ496" i="1" s="1"/>
  <c r="AO496" i="1"/>
  <c r="AN496" i="1"/>
  <c r="AL496" i="1"/>
  <c r="AK496" i="1"/>
  <c r="AJ496" i="1"/>
  <c r="AH496" i="1"/>
  <c r="AI496" i="1" s="1"/>
  <c r="AG496" i="1"/>
  <c r="AD496" i="1"/>
  <c r="AE496" i="1" s="1"/>
  <c r="AC496" i="1"/>
  <c r="AA496" i="1"/>
  <c r="Z496" i="1"/>
  <c r="X496" i="1"/>
  <c r="Y496" i="1" s="1"/>
  <c r="W496" i="1"/>
  <c r="V496" i="1"/>
  <c r="U496" i="1"/>
  <c r="R496" i="1"/>
  <c r="S496" i="1" s="1"/>
  <c r="Q496" i="1"/>
  <c r="N496" i="1"/>
  <c r="O496" i="1" s="1"/>
  <c r="M496" i="1"/>
  <c r="L496" i="1"/>
  <c r="J496" i="1"/>
  <c r="I496" i="1"/>
  <c r="H496" i="1"/>
  <c r="F496" i="1"/>
  <c r="G496" i="1" s="1"/>
  <c r="E496" i="1"/>
  <c r="D496" i="1"/>
  <c r="BN495" i="1"/>
  <c r="BL495" i="1"/>
  <c r="BK495" i="1"/>
  <c r="BJ495" i="1"/>
  <c r="BM495" i="1" s="1"/>
  <c r="BI495" i="1"/>
  <c r="BH495" i="1"/>
  <c r="BF495" i="1"/>
  <c r="BC495" i="1" s="1"/>
  <c r="BD495" i="1"/>
  <c r="BE495" i="1" s="1"/>
  <c r="BB495" i="1"/>
  <c r="BA495" i="1"/>
  <c r="AZ495" i="1"/>
  <c r="AX495" i="1"/>
  <c r="AY495" i="1" s="1"/>
  <c r="AW495" i="1"/>
  <c r="AU495" i="1"/>
  <c r="AT495" i="1"/>
  <c r="AR495" i="1"/>
  <c r="AS495" i="1" s="1"/>
  <c r="AQ495" i="1"/>
  <c r="AP495" i="1"/>
  <c r="AO495" i="1"/>
  <c r="AN495" i="1"/>
  <c r="AM495" i="1"/>
  <c r="AL495" i="1"/>
  <c r="AJ495" i="1"/>
  <c r="AK495" i="1" s="1"/>
  <c r="AI495" i="1"/>
  <c r="AH495" i="1"/>
  <c r="AG495" i="1"/>
  <c r="AD495" i="1"/>
  <c r="AE495" i="1" s="1"/>
  <c r="AC495" i="1"/>
  <c r="Z495" i="1"/>
  <c r="Y495" i="1"/>
  <c r="X495" i="1"/>
  <c r="V495" i="1"/>
  <c r="U495" i="1"/>
  <c r="S495" i="1"/>
  <c r="R495" i="1"/>
  <c r="Q495" i="1"/>
  <c r="O495" i="1"/>
  <c r="N495" i="1"/>
  <c r="M495" i="1"/>
  <c r="L495" i="1"/>
  <c r="K495" i="1"/>
  <c r="J495" i="1"/>
  <c r="H495" i="1"/>
  <c r="I495" i="1" s="1"/>
  <c r="G495" i="1"/>
  <c r="F495" i="1"/>
  <c r="E495" i="1"/>
  <c r="D495" i="1"/>
  <c r="BN494" i="1"/>
  <c r="BL494" i="1"/>
  <c r="BJ494" i="1"/>
  <c r="BI494" i="1"/>
  <c r="BF494" i="1"/>
  <c r="BG494" i="1" s="1"/>
  <c r="BE494" i="1"/>
  <c r="BC494" i="1"/>
  <c r="BB494" i="1"/>
  <c r="BA494" i="1"/>
  <c r="AY494" i="1"/>
  <c r="AX494" i="1"/>
  <c r="AW494" i="1"/>
  <c r="AU494" i="1"/>
  <c r="AT494" i="1"/>
  <c r="AS494" i="1"/>
  <c r="AP494" i="1"/>
  <c r="AQ494" i="1" s="1"/>
  <c r="AO494" i="1"/>
  <c r="AM494" i="1"/>
  <c r="AL494" i="1"/>
  <c r="AK494" i="1"/>
  <c r="AH494" i="1"/>
  <c r="AI494" i="1" s="1"/>
  <c r="AG494" i="1"/>
  <c r="AD494" i="1"/>
  <c r="AC494" i="1"/>
  <c r="Z494" i="1"/>
  <c r="AA494" i="1" s="1"/>
  <c r="Y494" i="1"/>
  <c r="W494" i="1"/>
  <c r="V494" i="1"/>
  <c r="U494" i="1"/>
  <c r="S494" i="1"/>
  <c r="R494" i="1"/>
  <c r="Q494" i="1"/>
  <c r="O494" i="1"/>
  <c r="N494" i="1"/>
  <c r="M494" i="1"/>
  <c r="J494" i="1"/>
  <c r="K494" i="1" s="1"/>
  <c r="I494" i="1"/>
  <c r="G494" i="1"/>
  <c r="F494" i="1"/>
  <c r="E494" i="1"/>
  <c r="BN493" i="1"/>
  <c r="BM493" i="1"/>
  <c r="BK493" i="1"/>
  <c r="BL493" i="1" s="1"/>
  <c r="BJ493" i="1"/>
  <c r="BG493" i="1" s="1"/>
  <c r="BI493" i="1"/>
  <c r="BH493" i="1"/>
  <c r="BF493" i="1"/>
  <c r="BE493" i="1"/>
  <c r="BD493" i="1"/>
  <c r="BB493" i="1"/>
  <c r="BC493" i="1" s="1"/>
  <c r="BA493" i="1"/>
  <c r="AZ493" i="1"/>
  <c r="AX493" i="1"/>
  <c r="AW493" i="1"/>
  <c r="AV493" i="1"/>
  <c r="AT493" i="1"/>
  <c r="AU493" i="1" s="1"/>
  <c r="AS493" i="1"/>
  <c r="AR493" i="1"/>
  <c r="AP493" i="1"/>
  <c r="AO493" i="1"/>
  <c r="AN493" i="1"/>
  <c r="AL493" i="1"/>
  <c r="AM493" i="1" s="1"/>
  <c r="AK493" i="1"/>
  <c r="AH493" i="1"/>
  <c r="AE493" i="1" s="1"/>
  <c r="AF493" i="1"/>
  <c r="AG493" i="1" s="1"/>
  <c r="AD493" i="1"/>
  <c r="AC493" i="1"/>
  <c r="AB493" i="1"/>
  <c r="Z493" i="1"/>
  <c r="AA493" i="1" s="1"/>
  <c r="X493" i="1"/>
  <c r="Y493" i="1" s="1"/>
  <c r="V493" i="1"/>
  <c r="W493" i="1" s="1"/>
  <c r="U493" i="1"/>
  <c r="S493" i="1"/>
  <c r="R493" i="1"/>
  <c r="Q493" i="1"/>
  <c r="P493" i="1"/>
  <c r="O493" i="1"/>
  <c r="N493" i="1"/>
  <c r="L493" i="1"/>
  <c r="M493" i="1" s="1"/>
  <c r="K493" i="1"/>
  <c r="J493" i="1"/>
  <c r="I493" i="1"/>
  <c r="H493" i="1"/>
  <c r="G493" i="1"/>
  <c r="F493" i="1"/>
  <c r="E493" i="1"/>
  <c r="BN492" i="1"/>
  <c r="BM492" i="1" s="1"/>
  <c r="BK492" i="1"/>
  <c r="BL492" i="1" s="1"/>
  <c r="BJ492" i="1"/>
  <c r="BI492" i="1"/>
  <c r="BH492" i="1"/>
  <c r="BF492" i="1"/>
  <c r="BG492" i="1" s="1"/>
  <c r="BE492" i="1"/>
  <c r="BD492" i="1"/>
  <c r="BB492" i="1"/>
  <c r="BA492" i="1"/>
  <c r="AZ492" i="1"/>
  <c r="AX492" i="1"/>
  <c r="AY492" i="1" s="1"/>
  <c r="AW492" i="1"/>
  <c r="AV492" i="1"/>
  <c r="AT492" i="1"/>
  <c r="AS492" i="1"/>
  <c r="AR492" i="1"/>
  <c r="AP492" i="1"/>
  <c r="AQ492" i="1" s="1"/>
  <c r="AO492" i="1"/>
  <c r="AN492" i="1"/>
  <c r="AL492" i="1"/>
  <c r="AK492" i="1"/>
  <c r="AH492" i="1"/>
  <c r="AI492" i="1" s="1"/>
  <c r="AG492" i="1"/>
  <c r="AF492" i="1"/>
  <c r="AD492" i="1"/>
  <c r="AE492" i="1" s="1"/>
  <c r="AB492" i="1"/>
  <c r="AC492" i="1" s="1"/>
  <c r="Z492" i="1"/>
  <c r="AA492" i="1" s="1"/>
  <c r="Y492" i="1"/>
  <c r="X492" i="1"/>
  <c r="V492" i="1"/>
  <c r="W492" i="1" s="1"/>
  <c r="U492" i="1"/>
  <c r="S492" i="1"/>
  <c r="R492" i="1"/>
  <c r="P492" i="1"/>
  <c r="Q492" i="1" s="1"/>
  <c r="O492" i="1"/>
  <c r="N492" i="1"/>
  <c r="M492" i="1"/>
  <c r="L492" i="1"/>
  <c r="K492" i="1"/>
  <c r="J492" i="1"/>
  <c r="H492" i="1"/>
  <c r="I492" i="1" s="1"/>
  <c r="G492" i="1"/>
  <c r="F492" i="1"/>
  <c r="E492" i="1"/>
  <c r="BN491" i="1"/>
  <c r="BM491" i="1"/>
  <c r="BL491" i="1"/>
  <c r="BK491" i="1"/>
  <c r="BJ491" i="1"/>
  <c r="BG491" i="1" s="1"/>
  <c r="BI491" i="1"/>
  <c r="BH491" i="1"/>
  <c r="BF491" i="1"/>
  <c r="BE491" i="1"/>
  <c r="BD491" i="1"/>
  <c r="BB491" i="1"/>
  <c r="BC491" i="1" s="1"/>
  <c r="BA491" i="1"/>
  <c r="AZ491" i="1"/>
  <c r="AX491" i="1"/>
  <c r="AW491" i="1"/>
  <c r="AV491" i="1"/>
  <c r="AT491" i="1"/>
  <c r="AU491" i="1" s="1"/>
  <c r="AS491" i="1"/>
  <c r="AR491" i="1"/>
  <c r="AP491" i="1"/>
  <c r="AO491" i="1"/>
  <c r="AM491" i="1"/>
  <c r="AL491" i="1"/>
  <c r="AK491" i="1"/>
  <c r="AI491" i="1"/>
  <c r="AH491" i="1"/>
  <c r="AG491" i="1"/>
  <c r="AF491" i="1"/>
  <c r="AE491" i="1"/>
  <c r="AD491" i="1"/>
  <c r="AB491" i="1"/>
  <c r="AC491" i="1" s="1"/>
  <c r="AA491" i="1"/>
  <c r="Z491" i="1"/>
  <c r="Y491" i="1"/>
  <c r="X491" i="1"/>
  <c r="W491" i="1"/>
  <c r="V491" i="1"/>
  <c r="U491" i="1"/>
  <c r="S491" i="1"/>
  <c r="R491" i="1"/>
  <c r="P491" i="1"/>
  <c r="Q491" i="1" s="1"/>
  <c r="N491" i="1"/>
  <c r="L491" i="1"/>
  <c r="M491" i="1" s="1"/>
  <c r="J491" i="1"/>
  <c r="H491" i="1"/>
  <c r="I491" i="1" s="1"/>
  <c r="F491" i="1"/>
  <c r="G491" i="1" s="1"/>
  <c r="E491" i="1"/>
  <c r="BN490" i="1"/>
  <c r="BM490" i="1"/>
  <c r="BL490" i="1"/>
  <c r="BJ490" i="1"/>
  <c r="BI490" i="1"/>
  <c r="BF490" i="1"/>
  <c r="BG490" i="1" s="1"/>
  <c r="BE490" i="1"/>
  <c r="BB490" i="1"/>
  <c r="BA490" i="1"/>
  <c r="AX490" i="1"/>
  <c r="AY490" i="1" s="1"/>
  <c r="AW490" i="1"/>
  <c r="AU490" i="1"/>
  <c r="AT490" i="1"/>
  <c r="AS490" i="1"/>
  <c r="AQ490" i="1"/>
  <c r="AP490" i="1"/>
  <c r="AO490" i="1"/>
  <c r="AM490" i="1"/>
  <c r="AL490" i="1"/>
  <c r="AK490" i="1"/>
  <c r="AH490" i="1"/>
  <c r="AI490" i="1" s="1"/>
  <c r="AG490" i="1"/>
  <c r="AE490" i="1"/>
  <c r="AD490" i="1"/>
  <c r="AC490" i="1"/>
  <c r="Z490" i="1"/>
  <c r="AA490" i="1" s="1"/>
  <c r="Y490" i="1"/>
  <c r="V490" i="1"/>
  <c r="U490" i="1"/>
  <c r="R490" i="1"/>
  <c r="S490" i="1" s="1"/>
  <c r="Q490" i="1"/>
  <c r="O490" i="1"/>
  <c r="N490" i="1"/>
  <c r="M490" i="1"/>
  <c r="K490" i="1"/>
  <c r="J490" i="1"/>
  <c r="I490" i="1"/>
  <c r="G490" i="1"/>
  <c r="F490" i="1"/>
  <c r="E490" i="1"/>
  <c r="BN489" i="1"/>
  <c r="BL489" i="1"/>
  <c r="BJ489" i="1"/>
  <c r="BM489" i="1" s="1"/>
  <c r="BI489" i="1"/>
  <c r="BG489" i="1"/>
  <c r="BF489" i="1"/>
  <c r="BE489" i="1"/>
  <c r="BC489" i="1"/>
  <c r="BB489" i="1"/>
  <c r="BA489" i="1"/>
  <c r="AY489" i="1"/>
  <c r="AX489" i="1"/>
  <c r="AW489" i="1"/>
  <c r="AT489" i="1"/>
  <c r="AU489" i="1" s="1"/>
  <c r="AS489" i="1"/>
  <c r="AP489" i="1"/>
  <c r="AO489" i="1"/>
  <c r="AL489" i="1"/>
  <c r="AM489" i="1" s="1"/>
  <c r="AK489" i="1"/>
  <c r="AI489" i="1"/>
  <c r="AH489" i="1"/>
  <c r="AF489" i="1"/>
  <c r="AG489" i="1" s="1"/>
  <c r="AE489" i="1"/>
  <c r="AD489" i="1"/>
  <c r="AC489" i="1"/>
  <c r="AB489" i="1"/>
  <c r="AA489" i="1"/>
  <c r="Z489" i="1"/>
  <c r="Y489" i="1"/>
  <c r="W489" i="1"/>
  <c r="V489" i="1"/>
  <c r="U489" i="1"/>
  <c r="S489" i="1"/>
  <c r="R489" i="1"/>
  <c r="Q489" i="1"/>
  <c r="O489" i="1"/>
  <c r="N489" i="1"/>
  <c r="M489" i="1"/>
  <c r="K489" i="1"/>
  <c r="J489" i="1"/>
  <c r="I489" i="1"/>
  <c r="F489" i="1"/>
  <c r="G489" i="1" s="1"/>
  <c r="E489" i="1"/>
  <c r="BN488" i="1"/>
  <c r="BM488" i="1"/>
  <c r="BL488" i="1"/>
  <c r="BJ488" i="1"/>
  <c r="BI488" i="1"/>
  <c r="BF488" i="1"/>
  <c r="BG488" i="1" s="1"/>
  <c r="BE488" i="1"/>
  <c r="BB488" i="1"/>
  <c r="BC488" i="1" s="1"/>
  <c r="BA488" i="1"/>
  <c r="AX488" i="1"/>
  <c r="AY488" i="1" s="1"/>
  <c r="AW488" i="1"/>
  <c r="AU488" i="1"/>
  <c r="AT488" i="1"/>
  <c r="AS488" i="1"/>
  <c r="AQ488" i="1"/>
  <c r="AP488" i="1"/>
  <c r="AO488" i="1"/>
  <c r="AM488" i="1"/>
  <c r="AL488" i="1"/>
  <c r="AK488" i="1"/>
  <c r="AI488" i="1"/>
  <c r="AH488" i="1"/>
  <c r="AG488" i="1"/>
  <c r="AF488" i="1"/>
  <c r="AD488" i="1"/>
  <c r="AE488" i="1" s="1"/>
  <c r="AC488" i="1"/>
  <c r="AA488" i="1"/>
  <c r="Z488" i="1"/>
  <c r="Y488" i="1"/>
  <c r="W488" i="1"/>
  <c r="V488" i="1"/>
  <c r="U488" i="1"/>
  <c r="S488" i="1"/>
  <c r="R488" i="1"/>
  <c r="Q488" i="1"/>
  <c r="O488" i="1"/>
  <c r="N488" i="1"/>
  <c r="M488" i="1"/>
  <c r="K488" i="1"/>
  <c r="J488" i="1"/>
  <c r="I488" i="1"/>
  <c r="F488" i="1"/>
  <c r="G488" i="1" s="1"/>
  <c r="E488" i="1"/>
  <c r="BN487" i="1"/>
  <c r="BM487" i="1"/>
  <c r="BL487" i="1"/>
  <c r="BJ487" i="1"/>
  <c r="BI487" i="1"/>
  <c r="BF487" i="1"/>
  <c r="BG487" i="1" s="1"/>
  <c r="BE487" i="1"/>
  <c r="BB487" i="1"/>
  <c r="BA487" i="1"/>
  <c r="AX487" i="1"/>
  <c r="AY487" i="1" s="1"/>
  <c r="AW487" i="1"/>
  <c r="AU487" i="1"/>
  <c r="AT487" i="1"/>
  <c r="AS487" i="1"/>
  <c r="AQ487" i="1"/>
  <c r="AP487" i="1"/>
  <c r="AO487" i="1"/>
  <c r="AM487" i="1"/>
  <c r="AL487" i="1"/>
  <c r="AK487" i="1"/>
  <c r="AI487" i="1"/>
  <c r="AH487" i="1"/>
  <c r="AG487" i="1"/>
  <c r="AF487" i="1"/>
  <c r="AD487" i="1"/>
  <c r="AE487" i="1" s="1"/>
  <c r="AC487" i="1"/>
  <c r="AA487" i="1"/>
  <c r="Z487" i="1"/>
  <c r="Y487" i="1"/>
  <c r="W487" i="1"/>
  <c r="V487" i="1"/>
  <c r="U487" i="1"/>
  <c r="S487" i="1"/>
  <c r="R487" i="1"/>
  <c r="Q487" i="1"/>
  <c r="O487" i="1"/>
  <c r="N487" i="1"/>
  <c r="M487" i="1"/>
  <c r="K487" i="1"/>
  <c r="J487" i="1"/>
  <c r="I487" i="1"/>
  <c r="F487" i="1"/>
  <c r="G487" i="1" s="1"/>
  <c r="E487" i="1"/>
  <c r="BN486" i="1"/>
  <c r="BM486" i="1"/>
  <c r="BL486" i="1"/>
  <c r="BJ486" i="1"/>
  <c r="BI486" i="1"/>
  <c r="BF486" i="1"/>
  <c r="BG486" i="1" s="1"/>
  <c r="BE486" i="1"/>
  <c r="BB486" i="1"/>
  <c r="BA486" i="1"/>
  <c r="AX486" i="1"/>
  <c r="AY486" i="1" s="1"/>
  <c r="AW486" i="1"/>
  <c r="AU486" i="1"/>
  <c r="AT486" i="1"/>
  <c r="AS486" i="1"/>
  <c r="AQ486" i="1"/>
  <c r="AP486" i="1"/>
  <c r="AO486" i="1"/>
  <c r="AM486" i="1"/>
  <c r="AL486" i="1"/>
  <c r="AK486" i="1"/>
  <c r="AH486" i="1"/>
  <c r="AI486" i="1" s="1"/>
  <c r="AG486" i="1"/>
  <c r="AE486" i="1"/>
  <c r="AD486" i="1"/>
  <c r="AC486" i="1"/>
  <c r="Z486" i="1"/>
  <c r="AA486" i="1" s="1"/>
  <c r="Y486" i="1"/>
  <c r="V486" i="1"/>
  <c r="U486" i="1"/>
  <c r="R486" i="1"/>
  <c r="S486" i="1" s="1"/>
  <c r="Q486" i="1"/>
  <c r="O486" i="1"/>
  <c r="N486" i="1"/>
  <c r="M486" i="1"/>
  <c r="K486" i="1"/>
  <c r="J486" i="1"/>
  <c r="I486" i="1"/>
  <c r="G486" i="1"/>
  <c r="F486" i="1"/>
  <c r="E486" i="1"/>
  <c r="BN485" i="1"/>
  <c r="BL485" i="1"/>
  <c r="BJ485" i="1"/>
  <c r="BM485" i="1" s="1"/>
  <c r="BI485" i="1"/>
  <c r="BG485" i="1"/>
  <c r="BF485" i="1"/>
  <c r="BE485" i="1"/>
  <c r="BC485" i="1"/>
  <c r="BB485" i="1"/>
  <c r="BA485" i="1"/>
  <c r="AY485" i="1"/>
  <c r="AX485" i="1"/>
  <c r="AW485" i="1"/>
  <c r="AT485" i="1"/>
  <c r="AU485" i="1" s="1"/>
  <c r="AS485" i="1"/>
  <c r="AP485" i="1"/>
  <c r="AO485" i="1"/>
  <c r="AL485" i="1"/>
  <c r="AM485" i="1" s="1"/>
  <c r="AK485" i="1"/>
  <c r="AI485" i="1"/>
  <c r="AH485" i="1"/>
  <c r="AG485" i="1"/>
  <c r="AE485" i="1"/>
  <c r="AD485" i="1"/>
  <c r="AC485" i="1"/>
  <c r="AA485" i="1"/>
  <c r="Z485" i="1"/>
  <c r="Y485" i="1"/>
  <c r="W485" i="1"/>
  <c r="V485" i="1"/>
  <c r="U485" i="1"/>
  <c r="S485" i="1"/>
  <c r="R485" i="1"/>
  <c r="Q485" i="1"/>
  <c r="N485" i="1"/>
  <c r="O485" i="1" s="1"/>
  <c r="M485" i="1"/>
  <c r="J485" i="1"/>
  <c r="I485" i="1"/>
  <c r="F485" i="1"/>
  <c r="G485" i="1" s="1"/>
  <c r="E485" i="1"/>
  <c r="BN484" i="1"/>
  <c r="BL484" i="1"/>
  <c r="BJ484" i="1"/>
  <c r="BI484" i="1"/>
  <c r="BF484" i="1"/>
  <c r="BG484" i="1" s="1"/>
  <c r="BE484" i="1"/>
  <c r="BC484" i="1"/>
  <c r="BB484" i="1"/>
  <c r="BA484" i="1"/>
  <c r="AY484" i="1"/>
  <c r="AX484" i="1"/>
  <c r="AW484" i="1"/>
  <c r="AU484" i="1"/>
  <c r="AT484" i="1"/>
  <c r="AS484" i="1"/>
  <c r="AP484" i="1"/>
  <c r="AQ484" i="1" s="1"/>
  <c r="AO484" i="1"/>
  <c r="AM484" i="1"/>
  <c r="AL484" i="1"/>
  <c r="AK484" i="1"/>
  <c r="AH484" i="1"/>
  <c r="AI484" i="1" s="1"/>
  <c r="AG484" i="1"/>
  <c r="AD484" i="1"/>
  <c r="AC484" i="1"/>
  <c r="Z484" i="1"/>
  <c r="AA484" i="1" s="1"/>
  <c r="Y484" i="1"/>
  <c r="W484" i="1"/>
  <c r="V484" i="1"/>
  <c r="U484" i="1"/>
  <c r="S484" i="1"/>
  <c r="R484" i="1"/>
  <c r="Q484" i="1"/>
  <c r="O484" i="1"/>
  <c r="N484" i="1"/>
  <c r="K484" i="1" s="1"/>
  <c r="M484" i="1"/>
  <c r="J484" i="1"/>
  <c r="I484" i="1"/>
  <c r="G484" i="1"/>
  <c r="F484" i="1"/>
  <c r="E484" i="1"/>
  <c r="BN483" i="1"/>
  <c r="BM483" i="1"/>
  <c r="BL483" i="1"/>
  <c r="BJ483" i="1"/>
  <c r="BI483" i="1"/>
  <c r="BG483" i="1"/>
  <c r="BF483" i="1"/>
  <c r="BE483" i="1"/>
  <c r="BB483" i="1"/>
  <c r="BC483" i="1" s="1"/>
  <c r="BA483" i="1"/>
  <c r="AX483" i="1"/>
  <c r="AW483" i="1"/>
  <c r="AT483" i="1"/>
  <c r="AU483" i="1" s="1"/>
  <c r="AS483" i="1"/>
  <c r="AQ483" i="1"/>
  <c r="AP483" i="1"/>
  <c r="AO483" i="1"/>
  <c r="AM483" i="1"/>
  <c r="AL483" i="1"/>
  <c r="AK483" i="1"/>
  <c r="AI483" i="1"/>
  <c r="AH483" i="1"/>
  <c r="AG483" i="1"/>
  <c r="AE483" i="1"/>
  <c r="AD483" i="1"/>
  <c r="AC483" i="1"/>
  <c r="AA483" i="1"/>
  <c r="Z483" i="1"/>
  <c r="Y483" i="1"/>
  <c r="V483" i="1"/>
  <c r="W483" i="1" s="1"/>
  <c r="U483" i="1"/>
  <c r="R483" i="1"/>
  <c r="Q483" i="1"/>
  <c r="N483" i="1"/>
  <c r="O483" i="1" s="1"/>
  <c r="M483" i="1"/>
  <c r="K483" i="1"/>
  <c r="J483" i="1"/>
  <c r="I483" i="1"/>
  <c r="G483" i="1"/>
  <c r="F483" i="1"/>
  <c r="E483" i="1"/>
  <c r="BN482" i="1"/>
  <c r="BL482" i="1"/>
  <c r="BJ482" i="1"/>
  <c r="BM482" i="1" s="1"/>
  <c r="BI482" i="1"/>
  <c r="BG482" i="1"/>
  <c r="BF482" i="1"/>
  <c r="BE482" i="1"/>
  <c r="BC482" i="1"/>
  <c r="BB482" i="1"/>
  <c r="BA482" i="1"/>
  <c r="AX482" i="1"/>
  <c r="AY482" i="1" s="1"/>
  <c r="AW482" i="1"/>
  <c r="AU482" i="1"/>
  <c r="AT482" i="1"/>
  <c r="AS482" i="1"/>
  <c r="AP482" i="1"/>
  <c r="AQ482" i="1" s="1"/>
  <c r="AO482" i="1"/>
  <c r="AL482" i="1"/>
  <c r="AK482" i="1"/>
  <c r="AH482" i="1"/>
  <c r="AI482" i="1" s="1"/>
  <c r="AG482" i="1"/>
  <c r="AE482" i="1"/>
  <c r="AD482" i="1"/>
  <c r="AC482" i="1"/>
  <c r="AA482" i="1"/>
  <c r="Z482" i="1"/>
  <c r="Y482" i="1"/>
  <c r="W482" i="1"/>
  <c r="V482" i="1"/>
  <c r="U482" i="1"/>
  <c r="R482" i="1"/>
  <c r="S482" i="1" s="1"/>
  <c r="Q482" i="1"/>
  <c r="O482" i="1"/>
  <c r="N482" i="1"/>
  <c r="M482" i="1"/>
  <c r="J482" i="1"/>
  <c r="K482" i="1" s="1"/>
  <c r="I482" i="1"/>
  <c r="F482" i="1"/>
  <c r="E482" i="1"/>
  <c r="BN481" i="1"/>
  <c r="BL481" i="1"/>
  <c r="BJ481" i="1"/>
  <c r="BM481" i="1" s="1"/>
  <c r="BI481" i="1"/>
  <c r="BF481" i="1"/>
  <c r="BE481" i="1"/>
  <c r="BB481" i="1"/>
  <c r="BC481" i="1" s="1"/>
  <c r="BA481" i="1"/>
  <c r="AY481" i="1"/>
  <c r="AX481" i="1"/>
  <c r="AW481" i="1"/>
  <c r="AU481" i="1"/>
  <c r="AT481" i="1"/>
  <c r="AS481" i="1"/>
  <c r="AQ481" i="1"/>
  <c r="AP481" i="1"/>
  <c r="AO481" i="1"/>
  <c r="AL481" i="1"/>
  <c r="AM481" i="1" s="1"/>
  <c r="AK481" i="1"/>
  <c r="AI481" i="1"/>
  <c r="AH481" i="1"/>
  <c r="AG481" i="1"/>
  <c r="AD481" i="1"/>
  <c r="AE481" i="1" s="1"/>
  <c r="AC481" i="1"/>
  <c r="Z481" i="1"/>
  <c r="AA481" i="1" s="1"/>
  <c r="Y481" i="1"/>
  <c r="V481" i="1"/>
  <c r="W481" i="1" s="1"/>
  <c r="U481" i="1"/>
  <c r="S481" i="1"/>
  <c r="R481" i="1"/>
  <c r="Q481" i="1"/>
  <c r="O481" i="1"/>
  <c r="N481" i="1"/>
  <c r="M481" i="1"/>
  <c r="K481" i="1"/>
  <c r="J481" i="1"/>
  <c r="I481" i="1"/>
  <c r="F481" i="1"/>
  <c r="G481" i="1" s="1"/>
  <c r="E481" i="1"/>
  <c r="BN480" i="1"/>
  <c r="BM480" i="1" s="1"/>
  <c r="BL480" i="1"/>
  <c r="BJ480" i="1"/>
  <c r="BI480" i="1"/>
  <c r="BF480" i="1"/>
  <c r="BG480" i="1" s="1"/>
  <c r="BE480" i="1"/>
  <c r="BC480" i="1"/>
  <c r="BB480" i="1"/>
  <c r="BA480" i="1"/>
  <c r="AX480" i="1"/>
  <c r="AY480" i="1" s="1"/>
  <c r="AW480" i="1"/>
  <c r="AT480" i="1"/>
  <c r="AS480" i="1"/>
  <c r="AP480" i="1"/>
  <c r="AQ480" i="1" s="1"/>
  <c r="AO480" i="1"/>
  <c r="AM480" i="1"/>
  <c r="AL480" i="1"/>
  <c r="AK480" i="1"/>
  <c r="AI480" i="1"/>
  <c r="AH480" i="1"/>
  <c r="AG480" i="1"/>
  <c r="AE480" i="1"/>
  <c r="AD480" i="1"/>
  <c r="AC480" i="1"/>
  <c r="Z480" i="1"/>
  <c r="AA480" i="1" s="1"/>
  <c r="Y480" i="1"/>
  <c r="W480" i="1"/>
  <c r="V480" i="1"/>
  <c r="U480" i="1"/>
  <c r="R480" i="1"/>
  <c r="S480" i="1" s="1"/>
  <c r="Q480" i="1"/>
  <c r="N480" i="1"/>
  <c r="M480" i="1"/>
  <c r="J480" i="1"/>
  <c r="K480" i="1" s="1"/>
  <c r="I480" i="1"/>
  <c r="G480" i="1"/>
  <c r="F480" i="1"/>
  <c r="E480" i="1"/>
  <c r="BN479" i="1"/>
  <c r="BL479" i="1"/>
  <c r="BJ479" i="1"/>
  <c r="BM479" i="1" s="1"/>
  <c r="BI479" i="1"/>
  <c r="BG479" i="1"/>
  <c r="BF479" i="1"/>
  <c r="BE479" i="1"/>
  <c r="BC479" i="1"/>
  <c r="BB479" i="1"/>
  <c r="BA479" i="1"/>
  <c r="AY479" i="1"/>
  <c r="AX479" i="1"/>
  <c r="AW479" i="1"/>
  <c r="AT479" i="1"/>
  <c r="AU479" i="1" s="1"/>
  <c r="AS479" i="1"/>
  <c r="AQ479" i="1"/>
  <c r="AP479" i="1"/>
  <c r="AO479" i="1"/>
  <c r="AL479" i="1"/>
  <c r="AM479" i="1" s="1"/>
  <c r="AK479" i="1"/>
  <c r="AH479" i="1"/>
  <c r="AI479" i="1" s="1"/>
  <c r="AG479" i="1"/>
  <c r="AD479" i="1"/>
  <c r="AE479" i="1" s="1"/>
  <c r="AC479" i="1"/>
  <c r="AA479" i="1"/>
  <c r="Z479" i="1"/>
  <c r="Y479" i="1"/>
  <c r="W479" i="1"/>
  <c r="V479" i="1"/>
  <c r="U479" i="1"/>
  <c r="S479" i="1"/>
  <c r="R479" i="1"/>
  <c r="Q479" i="1"/>
  <c r="N479" i="1"/>
  <c r="O479" i="1" s="1"/>
  <c r="M479" i="1"/>
  <c r="K479" i="1"/>
  <c r="J479" i="1"/>
  <c r="I479" i="1"/>
  <c r="F479" i="1"/>
  <c r="G479" i="1" s="1"/>
  <c r="E479" i="1"/>
  <c r="BN478" i="1"/>
  <c r="BM478" i="1"/>
  <c r="BL478" i="1"/>
  <c r="BJ478" i="1"/>
  <c r="BI478" i="1"/>
  <c r="BF478" i="1"/>
  <c r="BG478" i="1" s="1"/>
  <c r="BE478" i="1"/>
  <c r="BB478" i="1"/>
  <c r="BA478" i="1"/>
  <c r="AX478" i="1"/>
  <c r="AY478" i="1" s="1"/>
  <c r="AW478" i="1"/>
  <c r="AU478" i="1"/>
  <c r="AT478" i="1"/>
  <c r="AS478" i="1"/>
  <c r="AQ478" i="1"/>
  <c r="AP478" i="1"/>
  <c r="AO478" i="1"/>
  <c r="AM478" i="1"/>
  <c r="AL478" i="1"/>
  <c r="AK478" i="1"/>
  <c r="AI478" i="1"/>
  <c r="AH478" i="1"/>
  <c r="AG478" i="1"/>
  <c r="AE478" i="1"/>
  <c r="AD478" i="1"/>
  <c r="AC478" i="1"/>
  <c r="Z478" i="1"/>
  <c r="AA478" i="1" s="1"/>
  <c r="Y478" i="1"/>
  <c r="V478" i="1"/>
  <c r="W478" i="1" s="1"/>
  <c r="U478" i="1"/>
  <c r="R478" i="1"/>
  <c r="S478" i="1" s="1"/>
  <c r="Q478" i="1"/>
  <c r="O478" i="1"/>
  <c r="N478" i="1"/>
  <c r="M478" i="1"/>
  <c r="K478" i="1"/>
  <c r="J478" i="1"/>
  <c r="I478" i="1"/>
  <c r="G478" i="1"/>
  <c r="F478" i="1"/>
  <c r="E478" i="1"/>
  <c r="BN477" i="1"/>
  <c r="BL477" i="1"/>
  <c r="BJ477" i="1"/>
  <c r="BM477" i="1" s="1"/>
  <c r="BI477" i="1"/>
  <c r="BG477" i="1"/>
  <c r="BF477" i="1"/>
  <c r="BE477" i="1"/>
  <c r="BB477" i="1"/>
  <c r="BC477" i="1" s="1"/>
  <c r="BA477" i="1"/>
  <c r="AY477" i="1"/>
  <c r="AX477" i="1"/>
  <c r="AW477" i="1"/>
  <c r="AT477" i="1"/>
  <c r="AU477" i="1" s="1"/>
  <c r="AS477" i="1"/>
  <c r="AP477" i="1"/>
  <c r="AO477" i="1"/>
  <c r="AL477" i="1"/>
  <c r="AM477" i="1" s="1"/>
  <c r="AK477" i="1"/>
  <c r="AI477" i="1"/>
  <c r="AH477" i="1"/>
  <c r="AF477" i="1"/>
  <c r="AG477" i="1" s="1"/>
  <c r="AE477" i="1"/>
  <c r="AD477" i="1"/>
  <c r="AC477" i="1"/>
  <c r="Z477" i="1"/>
  <c r="AA477" i="1" s="1"/>
  <c r="Y477" i="1"/>
  <c r="V477" i="1"/>
  <c r="W477" i="1" s="1"/>
  <c r="U477" i="1"/>
  <c r="R477" i="1"/>
  <c r="S477" i="1" s="1"/>
  <c r="Q477" i="1"/>
  <c r="O477" i="1"/>
  <c r="N477" i="1"/>
  <c r="M477" i="1"/>
  <c r="K477" i="1"/>
  <c r="J477" i="1"/>
  <c r="I477" i="1"/>
  <c r="G477" i="1"/>
  <c r="F477" i="1"/>
  <c r="E477" i="1"/>
  <c r="BN476" i="1"/>
  <c r="BL476" i="1"/>
  <c r="BJ476" i="1"/>
  <c r="BM476" i="1" s="1"/>
  <c r="BI476" i="1"/>
  <c r="BG476" i="1"/>
  <c r="BF476" i="1"/>
  <c r="BE476" i="1"/>
  <c r="BB476" i="1"/>
  <c r="BC476" i="1" s="1"/>
  <c r="BA476" i="1"/>
  <c r="AY476" i="1"/>
  <c r="AX476" i="1"/>
  <c r="AW476" i="1"/>
  <c r="AT476" i="1"/>
  <c r="AU476" i="1" s="1"/>
  <c r="AS476" i="1"/>
  <c r="AP476" i="1"/>
  <c r="AO476" i="1"/>
  <c r="AL476" i="1"/>
  <c r="AM476" i="1" s="1"/>
  <c r="AK476" i="1"/>
  <c r="AI476" i="1"/>
  <c r="AH476" i="1"/>
  <c r="AF476" i="1"/>
  <c r="AG476" i="1" s="1"/>
  <c r="AE476" i="1"/>
  <c r="AD476" i="1"/>
  <c r="AC476" i="1"/>
  <c r="Z476" i="1"/>
  <c r="AA476" i="1" s="1"/>
  <c r="Y476" i="1"/>
  <c r="V476" i="1"/>
  <c r="U476" i="1"/>
  <c r="R476" i="1"/>
  <c r="S476" i="1" s="1"/>
  <c r="Q476" i="1"/>
  <c r="O476" i="1"/>
  <c r="N476" i="1"/>
  <c r="M476" i="1"/>
  <c r="K476" i="1"/>
  <c r="J476" i="1"/>
  <c r="I476" i="1"/>
  <c r="G476" i="1"/>
  <c r="F476" i="1"/>
  <c r="E476" i="1"/>
  <c r="BN475" i="1"/>
  <c r="BL475" i="1"/>
  <c r="BJ475" i="1"/>
  <c r="BM475" i="1" s="1"/>
  <c r="BI475" i="1"/>
  <c r="BG475" i="1"/>
  <c r="BF475" i="1"/>
  <c r="BE475" i="1"/>
  <c r="BC475" i="1"/>
  <c r="BB475" i="1"/>
  <c r="BA475" i="1"/>
  <c r="AY475" i="1"/>
  <c r="AX475" i="1"/>
  <c r="AW475" i="1"/>
  <c r="AT475" i="1"/>
  <c r="AU475" i="1" s="1"/>
  <c r="AS475" i="1"/>
  <c r="AP475" i="1"/>
  <c r="AO475" i="1"/>
  <c r="AL475" i="1"/>
  <c r="AM475" i="1" s="1"/>
  <c r="AK475" i="1"/>
  <c r="AI475" i="1"/>
  <c r="AH475" i="1"/>
  <c r="AF475" i="1"/>
  <c r="AG475" i="1" s="1"/>
  <c r="AE475" i="1"/>
  <c r="AD475" i="1"/>
  <c r="AC475" i="1"/>
  <c r="Z475" i="1"/>
  <c r="AA475" i="1" s="1"/>
  <c r="Y475" i="1"/>
  <c r="V475" i="1"/>
  <c r="U475" i="1"/>
  <c r="R475" i="1"/>
  <c r="S475" i="1" s="1"/>
  <c r="Q475" i="1"/>
  <c r="O475" i="1"/>
  <c r="N475" i="1"/>
  <c r="M475" i="1"/>
  <c r="K475" i="1"/>
  <c r="J475" i="1"/>
  <c r="I475" i="1"/>
  <c r="G475" i="1"/>
  <c r="F475" i="1"/>
  <c r="E475" i="1"/>
  <c r="BN474" i="1"/>
  <c r="BL474" i="1"/>
  <c r="BJ474" i="1"/>
  <c r="BM474" i="1" s="1"/>
  <c r="BI474" i="1"/>
  <c r="BG474" i="1"/>
  <c r="BF474" i="1"/>
  <c r="BE474" i="1"/>
  <c r="BC474" i="1"/>
  <c r="BB474" i="1"/>
  <c r="BA474" i="1"/>
  <c r="AY474" i="1"/>
  <c r="AX474" i="1"/>
  <c r="AW474" i="1"/>
  <c r="AT474" i="1"/>
  <c r="AU474" i="1" s="1"/>
  <c r="AS474" i="1"/>
  <c r="AP474" i="1"/>
  <c r="AO474" i="1"/>
  <c r="AL474" i="1"/>
  <c r="AM474" i="1" s="1"/>
  <c r="AK474" i="1"/>
  <c r="AI474" i="1"/>
  <c r="AH474" i="1"/>
  <c r="AG474" i="1"/>
  <c r="AE474" i="1"/>
  <c r="AD474" i="1"/>
  <c r="AC474" i="1"/>
  <c r="AA474" i="1"/>
  <c r="Z474" i="1"/>
  <c r="Y474" i="1"/>
  <c r="W474" i="1"/>
  <c r="V474" i="1"/>
  <c r="U474" i="1"/>
  <c r="S474" i="1"/>
  <c r="R474" i="1"/>
  <c r="Q474" i="1"/>
  <c r="N474" i="1"/>
  <c r="O474" i="1" s="1"/>
  <c r="M474" i="1"/>
  <c r="J474" i="1"/>
  <c r="K474" i="1" s="1"/>
  <c r="I474" i="1"/>
  <c r="F474" i="1"/>
  <c r="G474" i="1" s="1"/>
  <c r="E474" i="1"/>
  <c r="BN473" i="1"/>
  <c r="BL473" i="1"/>
  <c r="BJ473" i="1"/>
  <c r="BI473" i="1"/>
  <c r="BF473" i="1"/>
  <c r="BG473" i="1" s="1"/>
  <c r="BE473" i="1"/>
  <c r="BC473" i="1"/>
  <c r="BB473" i="1"/>
  <c r="BA473" i="1"/>
  <c r="AY473" i="1"/>
  <c r="AX473" i="1"/>
  <c r="AW473" i="1"/>
  <c r="AU473" i="1"/>
  <c r="AT473" i="1"/>
  <c r="AS473" i="1"/>
  <c r="AP473" i="1"/>
  <c r="AQ473" i="1" s="1"/>
  <c r="AO473" i="1"/>
  <c r="AM473" i="1"/>
  <c r="AL473" i="1"/>
  <c r="AK473" i="1"/>
  <c r="AH473" i="1"/>
  <c r="AF473" i="1"/>
  <c r="AG473" i="1" s="1"/>
  <c r="AD473" i="1"/>
  <c r="AB473" i="1"/>
  <c r="AC473" i="1" s="1"/>
  <c r="Z473" i="1"/>
  <c r="X473" i="1"/>
  <c r="Y473" i="1" s="1"/>
  <c r="V473" i="1"/>
  <c r="T473" i="1"/>
  <c r="U473" i="1" s="1"/>
  <c r="R473" i="1"/>
  <c r="P473" i="1"/>
  <c r="Q473" i="1" s="1"/>
  <c r="N473" i="1"/>
  <c r="L473" i="1"/>
  <c r="M473" i="1" s="1"/>
  <c r="J473" i="1"/>
  <c r="H473" i="1"/>
  <c r="I473" i="1" s="1"/>
  <c r="F473" i="1"/>
  <c r="D473" i="1"/>
  <c r="E473" i="1" s="1"/>
  <c r="BN472" i="1"/>
  <c r="BM472" i="1"/>
  <c r="BL472" i="1"/>
  <c r="BJ472" i="1"/>
  <c r="BI472" i="1"/>
  <c r="BG472" i="1"/>
  <c r="BF472" i="1"/>
  <c r="BE472" i="1"/>
  <c r="BB472" i="1"/>
  <c r="BC472" i="1" s="1"/>
  <c r="BA472" i="1"/>
  <c r="AX472" i="1"/>
  <c r="AW472" i="1"/>
  <c r="AT472" i="1"/>
  <c r="AU472" i="1" s="1"/>
  <c r="AS472" i="1"/>
  <c r="AQ472" i="1"/>
  <c r="AP472" i="1"/>
  <c r="AO472" i="1"/>
  <c r="AM472" i="1"/>
  <c r="AL472" i="1"/>
  <c r="AK472" i="1"/>
  <c r="AI472" i="1"/>
  <c r="AH472" i="1"/>
  <c r="AG472" i="1"/>
  <c r="AF472" i="1"/>
  <c r="AD472" i="1"/>
  <c r="AE472" i="1" s="1"/>
  <c r="AC472" i="1"/>
  <c r="AB472" i="1"/>
  <c r="Z472" i="1"/>
  <c r="Y472" i="1"/>
  <c r="X472" i="1"/>
  <c r="V472" i="1"/>
  <c r="W472" i="1" s="1"/>
  <c r="U472" i="1"/>
  <c r="T472" i="1"/>
  <c r="R472" i="1"/>
  <c r="Q472" i="1"/>
  <c r="P472" i="1"/>
  <c r="N472" i="1"/>
  <c r="O472" i="1" s="1"/>
  <c r="M472" i="1"/>
  <c r="L472" i="1"/>
  <c r="J472" i="1"/>
  <c r="I472" i="1"/>
  <c r="H472" i="1"/>
  <c r="F472" i="1"/>
  <c r="G472" i="1" s="1"/>
  <c r="E472" i="1"/>
  <c r="D472" i="1"/>
  <c r="BN471" i="1"/>
  <c r="BL471" i="1"/>
  <c r="BJ471" i="1"/>
  <c r="BM471" i="1" s="1"/>
  <c r="BI471" i="1"/>
  <c r="BG471" i="1"/>
  <c r="BF471" i="1"/>
  <c r="BE471" i="1"/>
  <c r="BC471" i="1"/>
  <c r="BB471" i="1"/>
  <c r="BA471" i="1"/>
  <c r="AX471" i="1"/>
  <c r="AY471" i="1" s="1"/>
  <c r="AW471" i="1"/>
  <c r="AU471" i="1"/>
  <c r="AT471" i="1"/>
  <c r="AS471" i="1"/>
  <c r="AP471" i="1"/>
  <c r="AQ471" i="1" s="1"/>
  <c r="AO471" i="1"/>
  <c r="AL471" i="1"/>
  <c r="AK471" i="1"/>
  <c r="AH471" i="1"/>
  <c r="AI471" i="1" s="1"/>
  <c r="AF471" i="1"/>
  <c r="AG471" i="1" s="1"/>
  <c r="AD471" i="1"/>
  <c r="AE471" i="1" s="1"/>
  <c r="AC471" i="1"/>
  <c r="AB471" i="1"/>
  <c r="Z471" i="1"/>
  <c r="AA471" i="1" s="1"/>
  <c r="X471" i="1"/>
  <c r="Y471" i="1" s="1"/>
  <c r="V471" i="1"/>
  <c r="W471" i="1" s="1"/>
  <c r="U471" i="1"/>
  <c r="T471" i="1"/>
  <c r="R471" i="1"/>
  <c r="O471" i="1" s="1"/>
  <c r="P471" i="1"/>
  <c r="Q471" i="1" s="1"/>
  <c r="N471" i="1"/>
  <c r="M471" i="1"/>
  <c r="L471" i="1"/>
  <c r="J471" i="1"/>
  <c r="G471" i="1" s="1"/>
  <c r="H471" i="1"/>
  <c r="I471" i="1" s="1"/>
  <c r="F471" i="1"/>
  <c r="E471" i="1"/>
  <c r="D471" i="1"/>
  <c r="BN470" i="1"/>
  <c r="BL470" i="1"/>
  <c r="BJ470" i="1"/>
  <c r="BM470" i="1" s="1"/>
  <c r="BI470" i="1"/>
  <c r="BF470" i="1"/>
  <c r="BG470" i="1" s="1"/>
  <c r="BE470" i="1"/>
  <c r="BB470" i="1"/>
  <c r="BC470" i="1" s="1"/>
  <c r="BA470" i="1"/>
  <c r="AY470" i="1"/>
  <c r="AX470" i="1"/>
  <c r="AW470" i="1"/>
  <c r="AU470" i="1"/>
  <c r="AT470" i="1"/>
  <c r="AS470" i="1"/>
  <c r="AQ470" i="1"/>
  <c r="AP470" i="1"/>
  <c r="AO470" i="1"/>
  <c r="AL470" i="1"/>
  <c r="AM470" i="1" s="1"/>
  <c r="AK470" i="1"/>
  <c r="AI470" i="1"/>
  <c r="AH470" i="1"/>
  <c r="AG470" i="1"/>
  <c r="AD470" i="1"/>
  <c r="AE470" i="1" s="1"/>
  <c r="AC470" i="1"/>
  <c r="Z470" i="1"/>
  <c r="Y470" i="1"/>
  <c r="V470" i="1"/>
  <c r="W470" i="1" s="1"/>
  <c r="U470" i="1"/>
  <c r="S470" i="1"/>
  <c r="R470" i="1"/>
  <c r="Q470" i="1"/>
  <c r="O470" i="1"/>
  <c r="N470" i="1"/>
  <c r="M470" i="1"/>
  <c r="K470" i="1"/>
  <c r="J470" i="1"/>
  <c r="I470" i="1"/>
  <c r="F470" i="1"/>
  <c r="G470" i="1" s="1"/>
  <c r="E470" i="1"/>
  <c r="BN469" i="1"/>
  <c r="BL469" i="1"/>
  <c r="BK469" i="1"/>
  <c r="BJ469" i="1"/>
  <c r="BM469" i="1" s="1"/>
  <c r="BI469" i="1"/>
  <c r="BF469" i="1"/>
  <c r="BG469" i="1" s="1"/>
  <c r="BE469" i="1"/>
  <c r="BB469" i="1"/>
  <c r="BC469" i="1" s="1"/>
  <c r="BA469" i="1"/>
  <c r="AY469" i="1"/>
  <c r="AX469" i="1"/>
  <c r="AV469" i="1"/>
  <c r="AW469" i="1" s="1"/>
  <c r="AU469" i="1"/>
  <c r="AT469" i="1"/>
  <c r="AS469" i="1"/>
  <c r="AP469" i="1"/>
  <c r="AQ469" i="1" s="1"/>
  <c r="AO469" i="1"/>
  <c r="AL469" i="1"/>
  <c r="AK469" i="1"/>
  <c r="AH469" i="1"/>
  <c r="AI469" i="1" s="1"/>
  <c r="AG469" i="1"/>
  <c r="AE469" i="1"/>
  <c r="AD469" i="1"/>
  <c r="AC469" i="1"/>
  <c r="AA469" i="1"/>
  <c r="Z469" i="1"/>
  <c r="Y469" i="1"/>
  <c r="W469" i="1"/>
  <c r="V469" i="1"/>
  <c r="U469" i="1"/>
  <c r="R469" i="1"/>
  <c r="S469" i="1" s="1"/>
  <c r="Q469" i="1"/>
  <c r="O469" i="1"/>
  <c r="N469" i="1"/>
  <c r="M469" i="1"/>
  <c r="J469" i="1"/>
  <c r="K469" i="1" s="1"/>
  <c r="I469" i="1"/>
  <c r="F469" i="1"/>
  <c r="G469" i="1" s="1"/>
  <c r="E469" i="1"/>
  <c r="BN468" i="1"/>
  <c r="BM468" i="1"/>
  <c r="BK468" i="1"/>
  <c r="BL468" i="1" s="1"/>
  <c r="BJ468" i="1"/>
  <c r="BI468" i="1"/>
  <c r="BG468" i="1"/>
  <c r="BF468" i="1"/>
  <c r="BE468" i="1"/>
  <c r="BC468" i="1"/>
  <c r="BB468" i="1"/>
  <c r="BA468" i="1"/>
  <c r="AX468" i="1"/>
  <c r="AY468" i="1" s="1"/>
  <c r="AW468" i="1"/>
  <c r="AV468" i="1"/>
  <c r="AT468" i="1"/>
  <c r="AU468" i="1" s="1"/>
  <c r="AS468" i="1"/>
  <c r="AQ468" i="1"/>
  <c r="AP468" i="1"/>
  <c r="AO468" i="1"/>
  <c r="AM468" i="1"/>
  <c r="AL468" i="1"/>
  <c r="AK468" i="1"/>
  <c r="AI468" i="1"/>
  <c r="AH468" i="1"/>
  <c r="AG468" i="1"/>
  <c r="AD468" i="1"/>
  <c r="AE468" i="1" s="1"/>
  <c r="AC468" i="1"/>
  <c r="AA468" i="1"/>
  <c r="Z468" i="1"/>
  <c r="Y468" i="1"/>
  <c r="V468" i="1"/>
  <c r="W468" i="1" s="1"/>
  <c r="U468" i="1"/>
  <c r="R468" i="1"/>
  <c r="Q468" i="1"/>
  <c r="N468" i="1"/>
  <c r="O468" i="1" s="1"/>
  <c r="M468" i="1"/>
  <c r="K468" i="1"/>
  <c r="J468" i="1"/>
  <c r="I468" i="1"/>
  <c r="G468" i="1"/>
  <c r="F468" i="1"/>
  <c r="E468" i="1"/>
  <c r="BN467" i="1"/>
  <c r="BL467" i="1"/>
  <c r="BK467" i="1"/>
  <c r="BJ467" i="1"/>
  <c r="BM467" i="1" s="1"/>
  <c r="BI467" i="1"/>
  <c r="BG467" i="1"/>
  <c r="BF467" i="1"/>
  <c r="BE467" i="1"/>
  <c r="BB467" i="1"/>
  <c r="BC467" i="1" s="1"/>
  <c r="BA467" i="1"/>
  <c r="AX467" i="1"/>
  <c r="AW467" i="1"/>
  <c r="AV467" i="1"/>
  <c r="AT467" i="1"/>
  <c r="AS467" i="1"/>
  <c r="AQ467" i="1"/>
  <c r="AP467" i="1"/>
  <c r="AO467" i="1"/>
  <c r="AM467" i="1"/>
  <c r="AL467" i="1"/>
  <c r="AK467" i="1"/>
  <c r="AH467" i="1"/>
  <c r="AI467" i="1" s="1"/>
  <c r="AG467" i="1"/>
  <c r="AD467" i="1"/>
  <c r="AC467" i="1"/>
  <c r="Z467" i="1"/>
  <c r="AA467" i="1" s="1"/>
  <c r="Y467" i="1"/>
  <c r="W467" i="1"/>
  <c r="V467" i="1"/>
  <c r="U467" i="1"/>
  <c r="S467" i="1"/>
  <c r="R467" i="1"/>
  <c r="Q467" i="1"/>
  <c r="O467" i="1"/>
  <c r="N467" i="1"/>
  <c r="M467" i="1"/>
  <c r="J467" i="1"/>
  <c r="K467" i="1" s="1"/>
  <c r="I467" i="1"/>
  <c r="G467" i="1"/>
  <c r="F467" i="1"/>
  <c r="E467" i="1"/>
  <c r="BN466" i="1"/>
  <c r="BM466" i="1"/>
  <c r="BL466" i="1"/>
  <c r="BJ466" i="1"/>
  <c r="BI466" i="1"/>
  <c r="BG466" i="1"/>
  <c r="BF466" i="1"/>
  <c r="BE466" i="1"/>
  <c r="BB466" i="1"/>
  <c r="BC466" i="1" s="1"/>
  <c r="BA466" i="1"/>
  <c r="AX466" i="1"/>
  <c r="AW466" i="1"/>
  <c r="AT466" i="1"/>
  <c r="AU466" i="1" s="1"/>
  <c r="AS466" i="1"/>
  <c r="AQ466" i="1"/>
  <c r="AP466" i="1"/>
  <c r="AO466" i="1"/>
  <c r="AM466" i="1"/>
  <c r="AL466" i="1"/>
  <c r="AK466" i="1"/>
  <c r="AI466" i="1"/>
  <c r="AH466" i="1"/>
  <c r="AG466" i="1"/>
  <c r="AD466" i="1"/>
  <c r="AE466" i="1" s="1"/>
  <c r="AC466" i="1"/>
  <c r="AA466" i="1"/>
  <c r="Z466" i="1"/>
  <c r="Y466" i="1"/>
  <c r="V466" i="1"/>
  <c r="W466" i="1" s="1"/>
  <c r="U466" i="1"/>
  <c r="R466" i="1"/>
  <c r="Q466" i="1"/>
  <c r="N466" i="1"/>
  <c r="O466" i="1" s="1"/>
  <c r="M466" i="1"/>
  <c r="K466" i="1"/>
  <c r="J466" i="1"/>
  <c r="I466" i="1"/>
  <c r="G466" i="1"/>
  <c r="F466" i="1"/>
  <c r="E466" i="1"/>
  <c r="BN465" i="1"/>
  <c r="BL465" i="1"/>
  <c r="BJ465" i="1"/>
  <c r="BM465" i="1" s="1"/>
  <c r="BI465" i="1"/>
  <c r="BG465" i="1"/>
  <c r="BF465" i="1"/>
  <c r="BE465" i="1"/>
  <c r="BC465" i="1"/>
  <c r="BB465" i="1"/>
  <c r="BA465" i="1"/>
  <c r="AX465" i="1"/>
  <c r="AY465" i="1" s="1"/>
  <c r="AW465" i="1"/>
  <c r="AU465" i="1"/>
  <c r="AT465" i="1"/>
  <c r="AS465" i="1"/>
  <c r="AP465" i="1"/>
  <c r="AQ465" i="1" s="1"/>
  <c r="AO465" i="1"/>
  <c r="AL465" i="1"/>
  <c r="AK465" i="1"/>
  <c r="AH465" i="1"/>
  <c r="AI465" i="1" s="1"/>
  <c r="AG465" i="1"/>
  <c r="AE465" i="1"/>
  <c r="AD465" i="1"/>
  <c r="AC465" i="1"/>
  <c r="AA465" i="1"/>
  <c r="Z465" i="1"/>
  <c r="Y465" i="1"/>
  <c r="W465" i="1"/>
  <c r="V465" i="1"/>
  <c r="U465" i="1"/>
  <c r="R465" i="1"/>
  <c r="S465" i="1" s="1"/>
  <c r="Q465" i="1"/>
  <c r="O465" i="1"/>
  <c r="N465" i="1"/>
  <c r="M465" i="1"/>
  <c r="J465" i="1"/>
  <c r="K465" i="1" s="1"/>
  <c r="I465" i="1"/>
  <c r="F465" i="1"/>
  <c r="E465" i="1"/>
  <c r="BN464" i="1"/>
  <c r="BL464" i="1"/>
  <c r="BJ464" i="1"/>
  <c r="BM464" i="1" s="1"/>
  <c r="BI464" i="1"/>
  <c r="BF464" i="1"/>
  <c r="BG464" i="1" s="1"/>
  <c r="BE464" i="1"/>
  <c r="BB464" i="1"/>
  <c r="BC464" i="1" s="1"/>
  <c r="BA464" i="1"/>
  <c r="AY464" i="1"/>
  <c r="AX464" i="1"/>
  <c r="AW464" i="1"/>
  <c r="AU464" i="1"/>
  <c r="AT464" i="1"/>
  <c r="AS464" i="1"/>
  <c r="AQ464" i="1"/>
  <c r="AP464" i="1"/>
  <c r="AO464" i="1"/>
  <c r="AL464" i="1"/>
  <c r="AM464" i="1" s="1"/>
  <c r="AK464" i="1"/>
  <c r="AI464" i="1"/>
  <c r="AH464" i="1"/>
  <c r="AG464" i="1"/>
  <c r="AD464" i="1"/>
  <c r="AE464" i="1" s="1"/>
  <c r="AC464" i="1"/>
  <c r="Z464" i="1"/>
  <c r="Y464" i="1"/>
  <c r="V464" i="1"/>
  <c r="W464" i="1" s="1"/>
  <c r="U464" i="1"/>
  <c r="S464" i="1"/>
  <c r="R464" i="1"/>
  <c r="Q464" i="1"/>
  <c r="O464" i="1"/>
  <c r="N464" i="1"/>
  <c r="M464" i="1"/>
  <c r="K464" i="1"/>
  <c r="J464" i="1"/>
  <c r="I464" i="1"/>
  <c r="F464" i="1"/>
  <c r="G464" i="1" s="1"/>
  <c r="E464" i="1"/>
  <c r="BN463" i="1"/>
  <c r="BM463" i="1" s="1"/>
  <c r="BL463" i="1"/>
  <c r="BJ463" i="1"/>
  <c r="BI463" i="1"/>
  <c r="BF463" i="1"/>
  <c r="BG463" i="1" s="1"/>
  <c r="BE463" i="1"/>
  <c r="BC463" i="1"/>
  <c r="BB463" i="1"/>
  <c r="BA463" i="1"/>
  <c r="AX463" i="1"/>
  <c r="AY463" i="1" s="1"/>
  <c r="AW463" i="1"/>
  <c r="AT463" i="1"/>
  <c r="AS463" i="1"/>
  <c r="AP463" i="1"/>
  <c r="AQ463" i="1" s="1"/>
  <c r="AO463" i="1"/>
  <c r="AM463" i="1"/>
  <c r="AL463" i="1"/>
  <c r="AK463" i="1"/>
  <c r="AI463" i="1"/>
  <c r="AH463" i="1"/>
  <c r="AG463" i="1"/>
  <c r="AE463" i="1"/>
  <c r="AD463" i="1"/>
  <c r="AC463" i="1"/>
  <c r="Z463" i="1"/>
  <c r="AA463" i="1" s="1"/>
  <c r="Y463" i="1"/>
  <c r="W463" i="1"/>
  <c r="V463" i="1"/>
  <c r="U463" i="1"/>
  <c r="R463" i="1"/>
  <c r="S463" i="1" s="1"/>
  <c r="Q463" i="1"/>
  <c r="N463" i="1"/>
  <c r="M463" i="1"/>
  <c r="J463" i="1"/>
  <c r="K463" i="1" s="1"/>
  <c r="I463" i="1"/>
  <c r="G463" i="1"/>
  <c r="F463" i="1"/>
  <c r="E463" i="1"/>
  <c r="BN462" i="1"/>
  <c r="BL462" i="1"/>
  <c r="BJ462" i="1"/>
  <c r="BM462" i="1" s="1"/>
  <c r="BI462" i="1"/>
  <c r="BG462" i="1"/>
  <c r="BF462" i="1"/>
  <c r="BE462" i="1"/>
  <c r="BC462" i="1"/>
  <c r="BB462" i="1"/>
  <c r="BA462" i="1"/>
  <c r="AY462" i="1"/>
  <c r="AX462" i="1"/>
  <c r="AW462" i="1"/>
  <c r="AT462" i="1"/>
  <c r="AU462" i="1" s="1"/>
  <c r="AS462" i="1"/>
  <c r="AQ462" i="1"/>
  <c r="AP462" i="1"/>
  <c r="AO462" i="1"/>
  <c r="AL462" i="1"/>
  <c r="AM462" i="1" s="1"/>
  <c r="AK462" i="1"/>
  <c r="AH462" i="1"/>
  <c r="AI462" i="1" s="1"/>
  <c r="AG462" i="1"/>
  <c r="AD462" i="1"/>
  <c r="AE462" i="1" s="1"/>
  <c r="AC462" i="1"/>
  <c r="AA462" i="1"/>
  <c r="Z462" i="1"/>
  <c r="Y462" i="1"/>
  <c r="W462" i="1"/>
  <c r="V462" i="1"/>
  <c r="U462" i="1"/>
  <c r="S462" i="1"/>
  <c r="R462" i="1"/>
  <c r="Q462" i="1"/>
  <c r="N462" i="1"/>
  <c r="O462" i="1" s="1"/>
  <c r="M462" i="1"/>
  <c r="K462" i="1"/>
  <c r="J462" i="1"/>
  <c r="I462" i="1"/>
  <c r="F462" i="1"/>
  <c r="G462" i="1" s="1"/>
  <c r="E462" i="1"/>
  <c r="BN461" i="1"/>
  <c r="BM461" i="1"/>
  <c r="BL461" i="1"/>
  <c r="BJ461" i="1"/>
  <c r="BI461" i="1"/>
  <c r="BF461" i="1"/>
  <c r="BG461" i="1" s="1"/>
  <c r="BE461" i="1"/>
  <c r="BB461" i="1"/>
  <c r="BC461" i="1" s="1"/>
  <c r="BA461" i="1"/>
  <c r="AX461" i="1"/>
  <c r="AY461" i="1" s="1"/>
  <c r="AW461" i="1"/>
  <c r="AU461" i="1"/>
  <c r="AT461" i="1"/>
  <c r="AS461" i="1"/>
  <c r="AQ461" i="1"/>
  <c r="AP461" i="1"/>
  <c r="AO461" i="1"/>
  <c r="AM461" i="1"/>
  <c r="AL461" i="1"/>
  <c r="AK461" i="1"/>
  <c r="AH461" i="1"/>
  <c r="AI461" i="1" s="1"/>
  <c r="AG461" i="1"/>
  <c r="AF461" i="1"/>
  <c r="AD461" i="1"/>
  <c r="AE461" i="1" s="1"/>
  <c r="AC461" i="1"/>
  <c r="AA461" i="1"/>
  <c r="Z461" i="1"/>
  <c r="Y461" i="1"/>
  <c r="W461" i="1"/>
  <c r="V461" i="1"/>
  <c r="U461" i="1"/>
  <c r="S461" i="1"/>
  <c r="R461" i="1"/>
  <c r="Q461" i="1"/>
  <c r="N461" i="1"/>
  <c r="O461" i="1" s="1"/>
  <c r="M461" i="1"/>
  <c r="K461" i="1"/>
  <c r="J461" i="1"/>
  <c r="I461" i="1"/>
  <c r="F461" i="1"/>
  <c r="G461" i="1" s="1"/>
  <c r="E461" i="1"/>
  <c r="BN460" i="1"/>
  <c r="BM460" i="1"/>
  <c r="BL460" i="1"/>
  <c r="BJ460" i="1"/>
  <c r="BI460" i="1"/>
  <c r="BF460" i="1"/>
  <c r="BG460" i="1" s="1"/>
  <c r="BE460" i="1"/>
  <c r="BB460" i="1"/>
  <c r="BC460" i="1" s="1"/>
  <c r="BA460" i="1"/>
  <c r="AX460" i="1"/>
  <c r="AY460" i="1" s="1"/>
  <c r="AW460" i="1"/>
  <c r="AU460" i="1"/>
  <c r="AT460" i="1"/>
  <c r="AS460" i="1"/>
  <c r="AQ460" i="1"/>
  <c r="AP460" i="1"/>
  <c r="AO460" i="1"/>
  <c r="AM460" i="1"/>
  <c r="AL460" i="1"/>
  <c r="AI460" i="1" s="1"/>
  <c r="AK460" i="1"/>
  <c r="AH460" i="1"/>
  <c r="AG460" i="1"/>
  <c r="AF460" i="1"/>
  <c r="AD460" i="1"/>
  <c r="AE460" i="1" s="1"/>
  <c r="AC460" i="1"/>
  <c r="AA460" i="1"/>
  <c r="Z460" i="1"/>
  <c r="Y460" i="1"/>
  <c r="W460" i="1"/>
  <c r="V460" i="1"/>
  <c r="U460" i="1"/>
  <c r="S460" i="1"/>
  <c r="R460" i="1"/>
  <c r="O460" i="1" s="1"/>
  <c r="Q460" i="1"/>
  <c r="N460" i="1"/>
  <c r="M460" i="1"/>
  <c r="K460" i="1"/>
  <c r="J460" i="1"/>
  <c r="I460" i="1"/>
  <c r="F460" i="1"/>
  <c r="G460" i="1" s="1"/>
  <c r="E460" i="1"/>
  <c r="BN459" i="1"/>
  <c r="BM459" i="1"/>
  <c r="BL459" i="1"/>
  <c r="BJ459" i="1"/>
  <c r="BI459" i="1"/>
  <c r="BF459" i="1"/>
  <c r="BG459" i="1" s="1"/>
  <c r="BE459" i="1"/>
  <c r="BB459" i="1"/>
  <c r="BA459" i="1"/>
  <c r="AX459" i="1"/>
  <c r="AY459" i="1" s="1"/>
  <c r="AW459" i="1"/>
  <c r="AU459" i="1"/>
  <c r="AT459" i="1"/>
  <c r="AS459" i="1"/>
  <c r="AQ459" i="1"/>
  <c r="AP459" i="1"/>
  <c r="AO459" i="1"/>
  <c r="AM459" i="1"/>
  <c r="AL459" i="1"/>
  <c r="AK459" i="1"/>
  <c r="AI459" i="1"/>
  <c r="AH459" i="1"/>
  <c r="AG459" i="1"/>
  <c r="AF459" i="1"/>
  <c r="AD459" i="1"/>
  <c r="AE459" i="1" s="1"/>
  <c r="AC459" i="1"/>
  <c r="AA459" i="1"/>
  <c r="Z459" i="1"/>
  <c r="Y459" i="1"/>
  <c r="W459" i="1"/>
  <c r="V459" i="1"/>
  <c r="U459" i="1"/>
  <c r="S459" i="1"/>
  <c r="R459" i="1"/>
  <c r="Q459" i="1"/>
  <c r="N459" i="1"/>
  <c r="O459" i="1" s="1"/>
  <c r="M459" i="1"/>
  <c r="K459" i="1"/>
  <c r="J459" i="1"/>
  <c r="I459" i="1"/>
  <c r="F459" i="1"/>
  <c r="G459" i="1" s="1"/>
  <c r="E459" i="1"/>
  <c r="BN458" i="1"/>
  <c r="BM458" i="1"/>
  <c r="BL458" i="1"/>
  <c r="BJ458" i="1"/>
  <c r="BI458" i="1"/>
  <c r="BF458" i="1"/>
  <c r="BG458" i="1" s="1"/>
  <c r="BE458" i="1"/>
  <c r="BB458" i="1"/>
  <c r="BA458" i="1"/>
  <c r="AX458" i="1"/>
  <c r="AY458" i="1" s="1"/>
  <c r="AW458" i="1"/>
  <c r="AU458" i="1"/>
  <c r="AT458" i="1"/>
  <c r="AS458" i="1"/>
  <c r="AQ458" i="1"/>
  <c r="AP458" i="1"/>
  <c r="AO458" i="1"/>
  <c r="AM458" i="1"/>
  <c r="AL458" i="1"/>
  <c r="AK458" i="1"/>
  <c r="AH458" i="1"/>
  <c r="AI458" i="1" s="1"/>
  <c r="AG458" i="1"/>
  <c r="AE458" i="1"/>
  <c r="AD458" i="1"/>
  <c r="AC458" i="1"/>
  <c r="Z458" i="1"/>
  <c r="AA458" i="1" s="1"/>
  <c r="Y458" i="1"/>
  <c r="V458" i="1"/>
  <c r="W458" i="1" s="1"/>
  <c r="U458" i="1"/>
  <c r="R458" i="1"/>
  <c r="S458" i="1" s="1"/>
  <c r="Q458" i="1"/>
  <c r="O458" i="1"/>
  <c r="N458" i="1"/>
  <c r="M458" i="1"/>
  <c r="K458" i="1"/>
  <c r="J458" i="1"/>
  <c r="I458" i="1"/>
  <c r="G458" i="1"/>
  <c r="F458" i="1"/>
  <c r="E458" i="1"/>
  <c r="BN457" i="1"/>
  <c r="BL457" i="1"/>
  <c r="BJ457" i="1"/>
  <c r="BM457" i="1" s="1"/>
  <c r="BI457" i="1"/>
  <c r="BG457" i="1"/>
  <c r="BF457" i="1"/>
  <c r="BE457" i="1"/>
  <c r="BB457" i="1"/>
  <c r="BC457" i="1" s="1"/>
  <c r="BA457" i="1"/>
  <c r="AY457" i="1"/>
  <c r="AX457" i="1"/>
  <c r="AW457" i="1"/>
  <c r="AT457" i="1"/>
  <c r="AU457" i="1" s="1"/>
  <c r="AS457" i="1"/>
  <c r="AP457" i="1"/>
  <c r="AO457" i="1"/>
  <c r="AL457" i="1"/>
  <c r="AM457" i="1" s="1"/>
  <c r="AK457" i="1"/>
  <c r="AI457" i="1"/>
  <c r="AH457" i="1"/>
  <c r="AF457" i="1"/>
  <c r="AG457" i="1" s="1"/>
  <c r="AE457" i="1"/>
  <c r="AD457" i="1"/>
  <c r="AC457" i="1"/>
  <c r="Z457" i="1"/>
  <c r="AA457" i="1" s="1"/>
  <c r="Y457" i="1"/>
  <c r="V457" i="1"/>
  <c r="U457" i="1"/>
  <c r="R457" i="1"/>
  <c r="S457" i="1" s="1"/>
  <c r="Q457" i="1"/>
  <c r="O457" i="1"/>
  <c r="N457" i="1"/>
  <c r="M457" i="1"/>
  <c r="K457" i="1"/>
  <c r="J457" i="1"/>
  <c r="I457" i="1"/>
  <c r="G457" i="1"/>
  <c r="F457" i="1"/>
  <c r="E457" i="1"/>
  <c r="BN456" i="1"/>
  <c r="BL456" i="1"/>
  <c r="BJ456" i="1"/>
  <c r="BM456" i="1" s="1"/>
  <c r="BI456" i="1"/>
  <c r="BG456" i="1"/>
  <c r="BF456" i="1"/>
  <c r="BE456" i="1"/>
  <c r="BB456" i="1"/>
  <c r="BC456" i="1" s="1"/>
  <c r="BA456" i="1"/>
  <c r="AY456" i="1"/>
  <c r="AX456" i="1"/>
  <c r="AW456" i="1"/>
  <c r="AT456" i="1"/>
  <c r="AU456" i="1" s="1"/>
  <c r="AS456" i="1"/>
  <c r="AP456" i="1"/>
  <c r="AO456" i="1"/>
  <c r="AL456" i="1"/>
  <c r="AM456" i="1" s="1"/>
  <c r="AK456" i="1"/>
  <c r="AI456" i="1"/>
  <c r="AH456" i="1"/>
  <c r="AF456" i="1"/>
  <c r="AG456" i="1" s="1"/>
  <c r="AE456" i="1"/>
  <c r="AD456" i="1"/>
  <c r="AC456" i="1"/>
  <c r="Z456" i="1"/>
  <c r="AA456" i="1" s="1"/>
  <c r="Y456" i="1"/>
  <c r="V456" i="1"/>
  <c r="U456" i="1"/>
  <c r="R456" i="1"/>
  <c r="S456" i="1" s="1"/>
  <c r="Q456" i="1"/>
  <c r="O456" i="1"/>
  <c r="N456" i="1"/>
  <c r="M456" i="1"/>
  <c r="K456" i="1"/>
  <c r="J456" i="1"/>
  <c r="I456" i="1"/>
  <c r="G456" i="1"/>
  <c r="F456" i="1"/>
  <c r="E456" i="1"/>
  <c r="BN455" i="1"/>
  <c r="BL455" i="1"/>
  <c r="BJ455" i="1"/>
  <c r="BM455" i="1" s="1"/>
  <c r="BI455" i="1"/>
  <c r="BG455" i="1"/>
  <c r="BF455" i="1"/>
  <c r="BE455" i="1"/>
  <c r="BB455" i="1"/>
  <c r="BC455" i="1" s="1"/>
  <c r="BA455" i="1"/>
  <c r="AY455" i="1"/>
  <c r="AX455" i="1"/>
  <c r="AW455" i="1"/>
  <c r="AT455" i="1"/>
  <c r="AU455" i="1" s="1"/>
  <c r="AS455" i="1"/>
  <c r="AP455" i="1"/>
  <c r="AQ455" i="1" s="1"/>
  <c r="AO455" i="1"/>
  <c r="AL455" i="1"/>
  <c r="AM455" i="1" s="1"/>
  <c r="AK455" i="1"/>
  <c r="AI455" i="1"/>
  <c r="AH455" i="1"/>
  <c r="AF455" i="1"/>
  <c r="AG455" i="1" s="1"/>
  <c r="AE455" i="1"/>
  <c r="AD455" i="1"/>
  <c r="AC455" i="1"/>
  <c r="Z455" i="1"/>
  <c r="AA455" i="1" s="1"/>
  <c r="Y455" i="1"/>
  <c r="V455" i="1"/>
  <c r="W455" i="1" s="1"/>
  <c r="U455" i="1"/>
  <c r="R455" i="1"/>
  <c r="S455" i="1" s="1"/>
  <c r="Q455" i="1"/>
  <c r="O455" i="1"/>
  <c r="N455" i="1"/>
  <c r="M455" i="1"/>
  <c r="K455" i="1"/>
  <c r="J455" i="1"/>
  <c r="I455" i="1"/>
  <c r="G455" i="1"/>
  <c r="F455" i="1"/>
  <c r="E455" i="1"/>
  <c r="BN454" i="1"/>
  <c r="BL454" i="1"/>
  <c r="BJ454" i="1"/>
  <c r="BM454" i="1" s="1"/>
  <c r="BI454" i="1"/>
  <c r="BG454" i="1"/>
  <c r="BF454" i="1"/>
  <c r="BE454" i="1"/>
  <c r="BB454" i="1"/>
  <c r="BC454" i="1" s="1"/>
  <c r="BA454" i="1"/>
  <c r="AY454" i="1"/>
  <c r="AX454" i="1"/>
  <c r="AW454" i="1"/>
  <c r="AT454" i="1"/>
  <c r="AU454" i="1" s="1"/>
  <c r="AS454" i="1"/>
  <c r="AP454" i="1"/>
  <c r="AQ454" i="1" s="1"/>
  <c r="AO454" i="1"/>
  <c r="AL454" i="1"/>
  <c r="AM454" i="1" s="1"/>
  <c r="AK454" i="1"/>
  <c r="AI454" i="1"/>
  <c r="AH454" i="1"/>
  <c r="AG454" i="1"/>
  <c r="AE454" i="1"/>
  <c r="AD454" i="1"/>
  <c r="AC454" i="1"/>
  <c r="AA454" i="1"/>
  <c r="Z454" i="1"/>
  <c r="Y454" i="1"/>
  <c r="V454" i="1"/>
  <c r="W454" i="1" s="1"/>
  <c r="U454" i="1"/>
  <c r="S454" i="1"/>
  <c r="R454" i="1"/>
  <c r="Q454" i="1"/>
  <c r="N454" i="1"/>
  <c r="O454" i="1" s="1"/>
  <c r="M454" i="1"/>
  <c r="J454" i="1"/>
  <c r="I454" i="1"/>
  <c r="F454" i="1"/>
  <c r="G454" i="1" s="1"/>
  <c r="E454" i="1"/>
  <c r="BN453" i="1"/>
  <c r="BL453" i="1"/>
  <c r="BJ453" i="1"/>
  <c r="BI453" i="1"/>
  <c r="BF453" i="1"/>
  <c r="BG453" i="1" s="1"/>
  <c r="BE453" i="1"/>
  <c r="BC453" i="1"/>
  <c r="BB453" i="1"/>
  <c r="BA453" i="1"/>
  <c r="AY453" i="1"/>
  <c r="AX453" i="1"/>
  <c r="AW453" i="1"/>
  <c r="AU453" i="1"/>
  <c r="AT453" i="1"/>
  <c r="AS453" i="1"/>
  <c r="AP453" i="1"/>
  <c r="AQ453" i="1" s="1"/>
  <c r="AO453" i="1"/>
  <c r="AM453" i="1"/>
  <c r="AL453" i="1"/>
  <c r="AK453" i="1"/>
  <c r="AH453" i="1"/>
  <c r="AI453" i="1" s="1"/>
  <c r="AG453" i="1"/>
  <c r="AD453" i="1"/>
  <c r="AC453" i="1"/>
  <c r="Z453" i="1"/>
  <c r="AA453" i="1" s="1"/>
  <c r="Y453" i="1"/>
  <c r="W453" i="1"/>
  <c r="V453" i="1"/>
  <c r="U453" i="1"/>
  <c r="S453" i="1"/>
  <c r="R453" i="1"/>
  <c r="Q453" i="1"/>
  <c r="O453" i="1"/>
  <c r="N453" i="1"/>
  <c r="M453" i="1"/>
  <c r="J453" i="1"/>
  <c r="K453" i="1" s="1"/>
  <c r="I453" i="1"/>
  <c r="G453" i="1"/>
  <c r="F453" i="1"/>
  <c r="E453" i="1"/>
  <c r="BN452" i="1"/>
  <c r="BM452" i="1"/>
  <c r="BL452" i="1"/>
  <c r="BJ452" i="1"/>
  <c r="BI452" i="1"/>
  <c r="BG452" i="1"/>
  <c r="BF452" i="1"/>
  <c r="BE452" i="1"/>
  <c r="BB452" i="1"/>
  <c r="BC452" i="1" s="1"/>
  <c r="BA452" i="1"/>
  <c r="AX452" i="1"/>
  <c r="AW452" i="1"/>
  <c r="AT452" i="1"/>
  <c r="AU452" i="1" s="1"/>
  <c r="AS452" i="1"/>
  <c r="AQ452" i="1"/>
  <c r="AP452" i="1"/>
  <c r="AO452" i="1"/>
  <c r="AM452" i="1"/>
  <c r="AL452" i="1"/>
  <c r="AK452" i="1"/>
  <c r="AI452" i="1"/>
  <c r="AH452" i="1"/>
  <c r="AG452" i="1"/>
  <c r="AD452" i="1"/>
  <c r="AE452" i="1" s="1"/>
  <c r="AC452" i="1"/>
  <c r="AA452" i="1"/>
  <c r="Z452" i="1"/>
  <c r="Y452" i="1"/>
  <c r="V452" i="1"/>
  <c r="W452" i="1" s="1"/>
  <c r="U452" i="1"/>
  <c r="R452" i="1"/>
  <c r="S452" i="1" s="1"/>
  <c r="Q452" i="1"/>
  <c r="N452" i="1"/>
  <c r="O452" i="1" s="1"/>
  <c r="M452" i="1"/>
  <c r="K452" i="1"/>
  <c r="J452" i="1"/>
  <c r="I452" i="1"/>
  <c r="G452" i="1"/>
  <c r="F452" i="1"/>
  <c r="E452" i="1"/>
  <c r="BN451" i="1"/>
  <c r="BL451" i="1"/>
  <c r="BJ451" i="1"/>
  <c r="BM451" i="1" s="1"/>
  <c r="BI451" i="1"/>
  <c r="BG451" i="1"/>
  <c r="BF451" i="1"/>
  <c r="BE451" i="1"/>
  <c r="BC451" i="1"/>
  <c r="BB451" i="1"/>
  <c r="BA451" i="1"/>
  <c r="AX451" i="1"/>
  <c r="AY451" i="1" s="1"/>
  <c r="AW451" i="1"/>
  <c r="AU451" i="1"/>
  <c r="AT451" i="1"/>
  <c r="AS451" i="1"/>
  <c r="AP451" i="1"/>
  <c r="AQ451" i="1" s="1"/>
  <c r="AO451" i="1"/>
  <c r="AL451" i="1"/>
  <c r="AM451" i="1" s="1"/>
  <c r="AK451" i="1"/>
  <c r="AH451" i="1"/>
  <c r="AI451" i="1" s="1"/>
  <c r="AG451" i="1"/>
  <c r="AE451" i="1"/>
  <c r="AD451" i="1"/>
  <c r="AC451" i="1"/>
  <c r="AA451" i="1"/>
  <c r="Z451" i="1"/>
  <c r="Y451" i="1"/>
  <c r="W451" i="1"/>
  <c r="V451" i="1"/>
  <c r="U451" i="1"/>
  <c r="R451" i="1"/>
  <c r="S451" i="1" s="1"/>
  <c r="Q451" i="1"/>
  <c r="O451" i="1"/>
  <c r="N451" i="1"/>
  <c r="M451" i="1"/>
  <c r="J451" i="1"/>
  <c r="K451" i="1" s="1"/>
  <c r="I451" i="1"/>
  <c r="F451" i="1"/>
  <c r="G451" i="1" s="1"/>
  <c r="E451" i="1"/>
  <c r="BN450" i="1"/>
  <c r="BL450" i="1"/>
  <c r="BJ450" i="1"/>
  <c r="BM450" i="1" s="1"/>
  <c r="BI450" i="1"/>
  <c r="BF450" i="1"/>
  <c r="BE450" i="1"/>
  <c r="BB450" i="1"/>
  <c r="BC450" i="1" s="1"/>
  <c r="BA450" i="1"/>
  <c r="AY450" i="1"/>
  <c r="AX450" i="1"/>
  <c r="AW450" i="1"/>
  <c r="AU450" i="1"/>
  <c r="AT450" i="1"/>
  <c r="AS450" i="1"/>
  <c r="AQ450" i="1"/>
  <c r="AP450" i="1"/>
  <c r="AO450" i="1"/>
  <c r="AL450" i="1"/>
  <c r="AM450" i="1" s="1"/>
  <c r="AK450" i="1"/>
  <c r="AI450" i="1"/>
  <c r="AH450" i="1"/>
  <c r="AG450" i="1"/>
  <c r="AD450" i="1"/>
  <c r="AE450" i="1" s="1"/>
  <c r="AC450" i="1"/>
  <c r="Z450" i="1"/>
  <c r="Y450" i="1"/>
  <c r="V450" i="1"/>
  <c r="W450" i="1" s="1"/>
  <c r="U450" i="1"/>
  <c r="S450" i="1"/>
  <c r="R450" i="1"/>
  <c r="Q450" i="1"/>
  <c r="O450" i="1"/>
  <c r="N450" i="1"/>
  <c r="M450" i="1"/>
  <c r="K450" i="1"/>
  <c r="J450" i="1"/>
  <c r="I450" i="1"/>
  <c r="F450" i="1"/>
  <c r="G450" i="1" s="1"/>
  <c r="E450" i="1"/>
  <c r="BN449" i="1"/>
  <c r="BM449" i="1" s="1"/>
  <c r="BL449" i="1"/>
  <c r="BJ449" i="1"/>
  <c r="BI449" i="1"/>
  <c r="BF449" i="1"/>
  <c r="BG449" i="1" s="1"/>
  <c r="BE449" i="1"/>
  <c r="BC449" i="1"/>
  <c r="BB449" i="1"/>
  <c r="BA449" i="1"/>
  <c r="AX449" i="1"/>
  <c r="AY449" i="1" s="1"/>
  <c r="AW449" i="1"/>
  <c r="AT449" i="1"/>
  <c r="AU449" i="1" s="1"/>
  <c r="AS449" i="1"/>
  <c r="AP449" i="1"/>
  <c r="AQ449" i="1" s="1"/>
  <c r="AO449" i="1"/>
  <c r="AM449" i="1"/>
  <c r="AL449" i="1"/>
  <c r="AK449" i="1"/>
  <c r="AI449" i="1"/>
  <c r="AH449" i="1"/>
  <c r="AG449" i="1"/>
  <c r="AE449" i="1"/>
  <c r="AD449" i="1"/>
  <c r="AC449" i="1"/>
  <c r="Z449" i="1"/>
  <c r="AA449" i="1" s="1"/>
  <c r="Y449" i="1"/>
  <c r="W449" i="1"/>
  <c r="V449" i="1"/>
  <c r="U449" i="1"/>
  <c r="R449" i="1"/>
  <c r="S449" i="1" s="1"/>
  <c r="Q449" i="1"/>
  <c r="N449" i="1"/>
  <c r="O449" i="1" s="1"/>
  <c r="M449" i="1"/>
  <c r="L449" i="1"/>
  <c r="J449" i="1"/>
  <c r="I449" i="1"/>
  <c r="H449" i="1"/>
  <c r="F449" i="1"/>
  <c r="G449" i="1" s="1"/>
  <c r="E449" i="1"/>
  <c r="D449" i="1"/>
  <c r="BN448" i="1"/>
  <c r="BM448" i="1" s="1"/>
  <c r="BL448" i="1"/>
  <c r="BJ448" i="1"/>
  <c r="BI448" i="1"/>
  <c r="BG448" i="1"/>
  <c r="BF448" i="1"/>
  <c r="BE448" i="1"/>
  <c r="BC448" i="1"/>
  <c r="BB448" i="1"/>
  <c r="BA448" i="1"/>
  <c r="AX448" i="1"/>
  <c r="AY448" i="1" s="1"/>
  <c r="AW448" i="1"/>
  <c r="AU448" i="1"/>
  <c r="AT448" i="1"/>
  <c r="AS448" i="1"/>
  <c r="AP448" i="1"/>
  <c r="AQ448" i="1" s="1"/>
  <c r="AO448" i="1"/>
  <c r="AL448" i="1"/>
  <c r="AK448" i="1"/>
  <c r="AH448" i="1"/>
  <c r="AI448" i="1" s="1"/>
  <c r="AG448" i="1"/>
  <c r="AE448" i="1"/>
  <c r="AD448" i="1"/>
  <c r="AC448" i="1"/>
  <c r="AA448" i="1"/>
  <c r="Z448" i="1"/>
  <c r="Y448" i="1"/>
  <c r="W448" i="1"/>
  <c r="V448" i="1"/>
  <c r="U448" i="1"/>
  <c r="R448" i="1"/>
  <c r="S448" i="1" s="1"/>
  <c r="Q448" i="1"/>
  <c r="O448" i="1"/>
  <c r="N448" i="1"/>
  <c r="M448" i="1"/>
  <c r="J448" i="1"/>
  <c r="H448" i="1"/>
  <c r="I448" i="1" s="1"/>
  <c r="F448" i="1"/>
  <c r="D448" i="1"/>
  <c r="E448" i="1" s="1"/>
  <c r="BN447" i="1"/>
  <c r="BM447" i="1"/>
  <c r="BL447" i="1"/>
  <c r="BJ447" i="1"/>
  <c r="BI447" i="1"/>
  <c r="BG447" i="1"/>
  <c r="BF447" i="1"/>
  <c r="BE447" i="1"/>
  <c r="BB447" i="1"/>
  <c r="BC447" i="1" s="1"/>
  <c r="BA447" i="1"/>
  <c r="AX447" i="1"/>
  <c r="AW447" i="1"/>
  <c r="AT447" i="1"/>
  <c r="AU447" i="1" s="1"/>
  <c r="AS447" i="1"/>
  <c r="AQ447" i="1"/>
  <c r="AP447" i="1"/>
  <c r="AO447" i="1"/>
  <c r="AM447" i="1"/>
  <c r="AL447" i="1"/>
  <c r="AK447" i="1"/>
  <c r="AI447" i="1"/>
  <c r="AH447" i="1"/>
  <c r="AG447" i="1"/>
  <c r="AD447" i="1"/>
  <c r="AE447" i="1" s="1"/>
  <c r="AC447" i="1"/>
  <c r="AA447" i="1"/>
  <c r="Z447" i="1"/>
  <c r="Y447" i="1"/>
  <c r="V447" i="1"/>
  <c r="W447" i="1" s="1"/>
  <c r="U447" i="1"/>
  <c r="R447" i="1"/>
  <c r="Q447" i="1"/>
  <c r="N447" i="1"/>
  <c r="O447" i="1" s="1"/>
  <c r="M447" i="1"/>
  <c r="K447" i="1"/>
  <c r="J447" i="1"/>
  <c r="H447" i="1"/>
  <c r="I447" i="1" s="1"/>
  <c r="G447" i="1"/>
  <c r="F447" i="1"/>
  <c r="E447" i="1"/>
  <c r="D447" i="1"/>
  <c r="BN446" i="1"/>
  <c r="BL446" i="1"/>
  <c r="BJ446" i="1"/>
  <c r="BM446" i="1" s="1"/>
  <c r="BI446" i="1"/>
  <c r="BF446" i="1"/>
  <c r="BG446" i="1" s="1"/>
  <c r="BE446" i="1"/>
  <c r="BC446" i="1"/>
  <c r="BB446" i="1"/>
  <c r="BA446" i="1"/>
  <c r="AY446" i="1"/>
  <c r="AX446" i="1"/>
  <c r="AW446" i="1"/>
  <c r="AU446" i="1"/>
  <c r="AT446" i="1"/>
  <c r="AS446" i="1"/>
  <c r="AP446" i="1"/>
  <c r="AQ446" i="1" s="1"/>
  <c r="AO446" i="1"/>
  <c r="AM446" i="1"/>
  <c r="AL446" i="1"/>
  <c r="AK446" i="1"/>
  <c r="AH446" i="1"/>
  <c r="AI446" i="1" s="1"/>
  <c r="AG446" i="1"/>
  <c r="AD446" i="1"/>
  <c r="AC446" i="1"/>
  <c r="Z446" i="1"/>
  <c r="AA446" i="1" s="1"/>
  <c r="Y446" i="1"/>
  <c r="W446" i="1"/>
  <c r="V446" i="1"/>
  <c r="U446" i="1"/>
  <c r="S446" i="1"/>
  <c r="R446" i="1"/>
  <c r="Q446" i="1"/>
  <c r="O446" i="1"/>
  <c r="N446" i="1"/>
  <c r="M446" i="1"/>
  <c r="J446" i="1"/>
  <c r="K446" i="1" s="1"/>
  <c r="I446" i="1"/>
  <c r="G446" i="1"/>
  <c r="F446" i="1"/>
  <c r="E446" i="1"/>
  <c r="BN445" i="1"/>
  <c r="BM445" i="1"/>
  <c r="BL445" i="1"/>
  <c r="BJ445" i="1"/>
  <c r="BI445" i="1"/>
  <c r="BH445" i="1"/>
  <c r="BF445" i="1"/>
  <c r="BC445" i="1" s="1"/>
  <c r="BD445" i="1"/>
  <c r="BE445" i="1" s="1"/>
  <c r="BB445" i="1"/>
  <c r="BA445" i="1"/>
  <c r="AZ445" i="1"/>
  <c r="AX445" i="1"/>
  <c r="AU445" i="1" s="1"/>
  <c r="AV445" i="1"/>
  <c r="AW445" i="1" s="1"/>
  <c r="AT445" i="1"/>
  <c r="AS445" i="1"/>
  <c r="AR445" i="1"/>
  <c r="AP445" i="1"/>
  <c r="AQ445" i="1" s="1"/>
  <c r="AO445" i="1"/>
  <c r="AM445" i="1"/>
  <c r="AL445" i="1"/>
  <c r="AJ445" i="1"/>
  <c r="AK445" i="1" s="1"/>
  <c r="AI445" i="1"/>
  <c r="AH445" i="1"/>
  <c r="AG445" i="1"/>
  <c r="AD445" i="1"/>
  <c r="AE445" i="1" s="1"/>
  <c r="AC445" i="1"/>
  <c r="Z445" i="1"/>
  <c r="AA445" i="1" s="1"/>
  <c r="Y445" i="1"/>
  <c r="V445" i="1"/>
  <c r="W445" i="1" s="1"/>
  <c r="U445" i="1"/>
  <c r="S445" i="1"/>
  <c r="R445" i="1"/>
  <c r="P445" i="1"/>
  <c r="Q445" i="1" s="1"/>
  <c r="O445" i="1"/>
  <c r="N445" i="1"/>
  <c r="M445" i="1"/>
  <c r="J445" i="1"/>
  <c r="K445" i="1" s="1"/>
  <c r="I445" i="1"/>
  <c r="F445" i="1"/>
  <c r="E445" i="1"/>
  <c r="BN444" i="1"/>
  <c r="BL444" i="1"/>
  <c r="BJ444" i="1"/>
  <c r="BI444" i="1"/>
  <c r="BH444" i="1"/>
  <c r="BF444" i="1"/>
  <c r="BD444" i="1"/>
  <c r="BE444" i="1" s="1"/>
  <c r="BB444" i="1"/>
  <c r="BA444" i="1"/>
  <c r="AZ444" i="1"/>
  <c r="AX444" i="1"/>
  <c r="AV444" i="1"/>
  <c r="AW444" i="1" s="1"/>
  <c r="AT444" i="1"/>
  <c r="AS444" i="1"/>
  <c r="AR444" i="1"/>
  <c r="AP444" i="1"/>
  <c r="AO444" i="1"/>
  <c r="AM444" i="1"/>
  <c r="AL444" i="1"/>
  <c r="AK444" i="1"/>
  <c r="AJ444" i="1"/>
  <c r="AH444" i="1"/>
  <c r="AI444" i="1" s="1"/>
  <c r="AG444" i="1"/>
  <c r="AD444" i="1"/>
  <c r="AE444" i="1" s="1"/>
  <c r="AC444" i="1"/>
  <c r="AA444" i="1"/>
  <c r="Z444" i="1"/>
  <c r="Y444" i="1"/>
  <c r="W444" i="1"/>
  <c r="V444" i="1"/>
  <c r="U444" i="1"/>
  <c r="S444" i="1"/>
  <c r="R444" i="1"/>
  <c r="Q444" i="1"/>
  <c r="P444" i="1"/>
  <c r="N444" i="1"/>
  <c r="O444" i="1" s="1"/>
  <c r="M444" i="1"/>
  <c r="J444" i="1"/>
  <c r="K444" i="1" s="1"/>
  <c r="I444" i="1"/>
  <c r="G444" i="1"/>
  <c r="F444" i="1"/>
  <c r="E444" i="1"/>
  <c r="BN443" i="1"/>
  <c r="BL443" i="1"/>
  <c r="BJ443" i="1"/>
  <c r="BM443" i="1" s="1"/>
  <c r="BH443" i="1"/>
  <c r="BI443" i="1" s="1"/>
  <c r="BF443" i="1"/>
  <c r="BG443" i="1" s="1"/>
  <c r="BE443" i="1"/>
  <c r="BD443" i="1"/>
  <c r="BB443" i="1"/>
  <c r="AY443" i="1" s="1"/>
  <c r="AZ443" i="1"/>
  <c r="BA443" i="1" s="1"/>
  <c r="AX443" i="1"/>
  <c r="AW443" i="1"/>
  <c r="AU443" i="1"/>
  <c r="AT443" i="1"/>
  <c r="AS443" i="1"/>
  <c r="AR443" i="1"/>
  <c r="AQ443" i="1"/>
  <c r="AP443" i="1"/>
  <c r="AO443" i="1"/>
  <c r="AM443" i="1"/>
  <c r="AL443" i="1"/>
  <c r="AJ443" i="1"/>
  <c r="AK443" i="1" s="1"/>
  <c r="AH443" i="1"/>
  <c r="AI443" i="1" s="1"/>
  <c r="AG443" i="1"/>
  <c r="AD443" i="1"/>
  <c r="AC443" i="1"/>
  <c r="Z443" i="1"/>
  <c r="AA443" i="1" s="1"/>
  <c r="Y443" i="1"/>
  <c r="W443" i="1"/>
  <c r="V443" i="1"/>
  <c r="T443" i="1"/>
  <c r="U443" i="1" s="1"/>
  <c r="S443" i="1"/>
  <c r="R443" i="1"/>
  <c r="Q443" i="1"/>
  <c r="P443" i="1"/>
  <c r="O443" i="1"/>
  <c r="N443" i="1"/>
  <c r="M443" i="1"/>
  <c r="K443" i="1"/>
  <c r="J443" i="1"/>
  <c r="I443" i="1"/>
  <c r="G443" i="1"/>
  <c r="F443" i="1"/>
  <c r="E443" i="1"/>
  <c r="D443" i="1"/>
  <c r="BN442" i="1"/>
  <c r="BM442" i="1"/>
  <c r="BL442" i="1"/>
  <c r="BJ442" i="1"/>
  <c r="BI442" i="1"/>
  <c r="BF442" i="1"/>
  <c r="BG442" i="1" s="1"/>
  <c r="BE442" i="1"/>
  <c r="BB442" i="1"/>
  <c r="BA442" i="1"/>
  <c r="AX442" i="1"/>
  <c r="AY442" i="1" s="1"/>
  <c r="AW442" i="1"/>
  <c r="AU442" i="1"/>
  <c r="AT442" i="1"/>
  <c r="AS442" i="1"/>
  <c r="AQ442" i="1"/>
  <c r="AP442" i="1"/>
  <c r="AO442" i="1"/>
  <c r="AM442" i="1"/>
  <c r="AL442" i="1"/>
  <c r="AK442" i="1"/>
  <c r="AI442" i="1"/>
  <c r="AH442" i="1"/>
  <c r="AG442" i="1"/>
  <c r="AE442" i="1"/>
  <c r="AD442" i="1"/>
  <c r="AC442" i="1"/>
  <c r="Z442" i="1"/>
  <c r="AA442" i="1" s="1"/>
  <c r="Y442" i="1"/>
  <c r="V442" i="1"/>
  <c r="W442" i="1" s="1"/>
  <c r="U442" i="1"/>
  <c r="R442" i="1"/>
  <c r="S442" i="1" s="1"/>
  <c r="Q442" i="1"/>
  <c r="O442" i="1"/>
  <c r="N442" i="1"/>
  <c r="M442" i="1"/>
  <c r="K442" i="1"/>
  <c r="J442" i="1"/>
  <c r="I442" i="1"/>
  <c r="G442" i="1"/>
  <c r="F442" i="1"/>
  <c r="E442" i="1"/>
  <c r="BN441" i="1"/>
  <c r="BL441" i="1"/>
  <c r="BK441" i="1"/>
  <c r="BJ441" i="1"/>
  <c r="BM441" i="1" s="1"/>
  <c r="BI441" i="1"/>
  <c r="BF441" i="1"/>
  <c r="BG441" i="1" s="1"/>
  <c r="BE441" i="1"/>
  <c r="BB441" i="1"/>
  <c r="BA441" i="1"/>
  <c r="AX441" i="1"/>
  <c r="AU441" i="1" s="1"/>
  <c r="AV441" i="1"/>
  <c r="AW441" i="1" s="1"/>
  <c r="AT441" i="1"/>
  <c r="AS441" i="1"/>
  <c r="AR441" i="1"/>
  <c r="AP441" i="1"/>
  <c r="AM441" i="1" s="1"/>
  <c r="AN441" i="1"/>
  <c r="AO441" i="1" s="1"/>
  <c r="AL441" i="1"/>
  <c r="AK441" i="1"/>
  <c r="AJ441" i="1"/>
  <c r="AH441" i="1"/>
  <c r="AE441" i="1" s="1"/>
  <c r="AF441" i="1"/>
  <c r="AG441" i="1" s="1"/>
  <c r="AD441" i="1"/>
  <c r="AC441" i="1"/>
  <c r="AB441" i="1"/>
  <c r="Z441" i="1"/>
  <c r="W441" i="1" s="1"/>
  <c r="X441" i="1"/>
  <c r="Y441" i="1" s="1"/>
  <c r="V441" i="1"/>
  <c r="U441" i="1"/>
  <c r="T441" i="1"/>
  <c r="R441" i="1"/>
  <c r="O441" i="1" s="1"/>
  <c r="P441" i="1"/>
  <c r="Q441" i="1" s="1"/>
  <c r="N441" i="1"/>
  <c r="M441" i="1"/>
  <c r="K441" i="1"/>
  <c r="J441" i="1"/>
  <c r="I441" i="1"/>
  <c r="F441" i="1"/>
  <c r="G441" i="1" s="1"/>
  <c r="E441" i="1"/>
  <c r="D441" i="1"/>
  <c r="BN440" i="1"/>
  <c r="BM440" i="1" s="1"/>
  <c r="BK440" i="1"/>
  <c r="BL440" i="1" s="1"/>
  <c r="BJ440" i="1"/>
  <c r="BI440" i="1"/>
  <c r="BG440" i="1"/>
  <c r="BF440" i="1"/>
  <c r="BE440" i="1"/>
  <c r="BC440" i="1"/>
  <c r="BB440" i="1"/>
  <c r="BA440" i="1"/>
  <c r="AX440" i="1"/>
  <c r="AY440" i="1" s="1"/>
  <c r="AW440" i="1"/>
  <c r="AT440" i="1"/>
  <c r="AU440" i="1" s="1"/>
  <c r="AS440" i="1"/>
  <c r="AR440" i="1"/>
  <c r="AP440" i="1"/>
  <c r="AO440" i="1"/>
  <c r="AN440" i="1"/>
  <c r="AL440" i="1"/>
  <c r="AM440" i="1" s="1"/>
  <c r="AK440" i="1"/>
  <c r="AJ440" i="1"/>
  <c r="AH440" i="1"/>
  <c r="AG440" i="1"/>
  <c r="AF440" i="1"/>
  <c r="AD440" i="1"/>
  <c r="AE440" i="1" s="1"/>
  <c r="AC440" i="1"/>
  <c r="AB440" i="1"/>
  <c r="Z440" i="1"/>
  <c r="Y440" i="1"/>
  <c r="X440" i="1"/>
  <c r="V440" i="1"/>
  <c r="W440" i="1" s="1"/>
  <c r="U440" i="1"/>
  <c r="T440" i="1"/>
  <c r="R440" i="1"/>
  <c r="Q440" i="1"/>
  <c r="P440" i="1"/>
  <c r="N440" i="1"/>
  <c r="O440" i="1" s="1"/>
  <c r="M440" i="1"/>
  <c r="J440" i="1"/>
  <c r="K440" i="1" s="1"/>
  <c r="I440" i="1"/>
  <c r="G440" i="1"/>
  <c r="F440" i="1"/>
  <c r="D440" i="1"/>
  <c r="E440" i="1" s="1"/>
  <c r="BN439" i="1"/>
  <c r="BL439" i="1"/>
  <c r="BK439" i="1"/>
  <c r="BJ439" i="1"/>
  <c r="BM439" i="1" s="1"/>
  <c r="BI439" i="1"/>
  <c r="BF439" i="1"/>
  <c r="BE439" i="1"/>
  <c r="BB439" i="1"/>
  <c r="BC439" i="1" s="1"/>
  <c r="BA439" i="1"/>
  <c r="AY439" i="1"/>
  <c r="AX439" i="1"/>
  <c r="AW439" i="1"/>
  <c r="AU439" i="1"/>
  <c r="AT439" i="1"/>
  <c r="AR439" i="1"/>
  <c r="AS439" i="1" s="1"/>
  <c r="AP439" i="1"/>
  <c r="AO439" i="1"/>
  <c r="AN439" i="1"/>
  <c r="AL439" i="1"/>
  <c r="AJ439" i="1"/>
  <c r="AK439" i="1" s="1"/>
  <c r="AH439" i="1"/>
  <c r="AG439" i="1"/>
  <c r="AF439" i="1"/>
  <c r="AD439" i="1"/>
  <c r="AB439" i="1"/>
  <c r="AC439" i="1" s="1"/>
  <c r="Z439" i="1"/>
  <c r="Y439" i="1"/>
  <c r="X439" i="1"/>
  <c r="V439" i="1"/>
  <c r="T439" i="1"/>
  <c r="U439" i="1" s="1"/>
  <c r="R439" i="1"/>
  <c r="Q439" i="1"/>
  <c r="P439" i="1"/>
  <c r="N439" i="1"/>
  <c r="M439" i="1"/>
  <c r="K439" i="1"/>
  <c r="J439" i="1"/>
  <c r="I439" i="1"/>
  <c r="G439" i="1"/>
  <c r="F439" i="1"/>
  <c r="E439" i="1"/>
  <c r="D439" i="1"/>
  <c r="BN438" i="1"/>
  <c r="BL438" i="1"/>
  <c r="BJ438" i="1"/>
  <c r="BM438" i="1" s="1"/>
  <c r="BI438" i="1"/>
  <c r="BF438" i="1"/>
  <c r="BG438" i="1" s="1"/>
  <c r="BE438" i="1"/>
  <c r="BB438" i="1"/>
  <c r="BC438" i="1" s="1"/>
  <c r="BA438" i="1"/>
  <c r="AY438" i="1"/>
  <c r="AX438" i="1"/>
  <c r="AW438" i="1"/>
  <c r="AU438" i="1"/>
  <c r="AT438" i="1"/>
  <c r="AS438" i="1"/>
  <c r="AQ438" i="1"/>
  <c r="AP438" i="1"/>
  <c r="AO438" i="1"/>
  <c r="AM438" i="1"/>
  <c r="AL438" i="1"/>
  <c r="AK438" i="1"/>
  <c r="AI438" i="1"/>
  <c r="AH438" i="1"/>
  <c r="AG438" i="1"/>
  <c r="AD438" i="1"/>
  <c r="AE438" i="1" s="1"/>
  <c r="AC438" i="1"/>
  <c r="Z438" i="1"/>
  <c r="Y438" i="1"/>
  <c r="V438" i="1"/>
  <c r="W438" i="1" s="1"/>
  <c r="U438" i="1"/>
  <c r="S438" i="1"/>
  <c r="R438" i="1"/>
  <c r="Q438" i="1"/>
  <c r="O438" i="1"/>
  <c r="N438" i="1"/>
  <c r="M438" i="1"/>
  <c r="K438" i="1"/>
  <c r="J438" i="1"/>
  <c r="I438" i="1"/>
  <c r="G438" i="1"/>
  <c r="F438" i="1"/>
  <c r="E438" i="1"/>
  <c r="BN437" i="1"/>
  <c r="BL437" i="1"/>
  <c r="BK437" i="1"/>
  <c r="BJ437" i="1"/>
  <c r="BI437" i="1"/>
  <c r="BH437" i="1"/>
  <c r="BF437" i="1"/>
  <c r="BD437" i="1"/>
  <c r="BE437" i="1" s="1"/>
  <c r="BB437" i="1"/>
  <c r="BA437" i="1"/>
  <c r="AZ437" i="1"/>
  <c r="AX437" i="1"/>
  <c r="AV437" i="1"/>
  <c r="AW437" i="1" s="1"/>
  <c r="AT437" i="1"/>
  <c r="AS437" i="1"/>
  <c r="AR437" i="1"/>
  <c r="AP437" i="1"/>
  <c r="AN437" i="1"/>
  <c r="AO437" i="1" s="1"/>
  <c r="AL437" i="1"/>
  <c r="AK437" i="1"/>
  <c r="AJ437" i="1"/>
  <c r="AH437" i="1"/>
  <c r="AF437" i="1"/>
  <c r="AG437" i="1" s="1"/>
  <c r="AD437" i="1"/>
  <c r="AC437" i="1"/>
  <c r="AB437" i="1"/>
  <c r="Z437" i="1"/>
  <c r="Y437" i="1"/>
  <c r="W437" i="1"/>
  <c r="V437" i="1"/>
  <c r="U437" i="1"/>
  <c r="S437" i="1"/>
  <c r="R437" i="1"/>
  <c r="Q437" i="1"/>
  <c r="O437" i="1"/>
  <c r="N437" i="1"/>
  <c r="M437" i="1"/>
  <c r="J437" i="1"/>
  <c r="I437" i="1"/>
  <c r="H437" i="1"/>
  <c r="F437" i="1"/>
  <c r="E437" i="1"/>
  <c r="BN436" i="1"/>
  <c r="BM436" i="1" s="1"/>
  <c r="BL436" i="1"/>
  <c r="BK436" i="1"/>
  <c r="BJ436" i="1"/>
  <c r="BI436" i="1"/>
  <c r="BH436" i="1"/>
  <c r="BF436" i="1"/>
  <c r="BC436" i="1" s="1"/>
  <c r="BD436" i="1"/>
  <c r="BE436" i="1" s="1"/>
  <c r="BB436" i="1"/>
  <c r="BA436" i="1"/>
  <c r="AZ436" i="1"/>
  <c r="AX436" i="1"/>
  <c r="AU436" i="1" s="1"/>
  <c r="AV436" i="1"/>
  <c r="AW436" i="1" s="1"/>
  <c r="AT436" i="1"/>
  <c r="AS436" i="1"/>
  <c r="AR436" i="1"/>
  <c r="AP436" i="1"/>
  <c r="AM436" i="1" s="1"/>
  <c r="AN436" i="1"/>
  <c r="AO436" i="1" s="1"/>
  <c r="AL436" i="1"/>
  <c r="AK436" i="1"/>
  <c r="AJ436" i="1"/>
  <c r="AH436" i="1"/>
  <c r="AE436" i="1" s="1"/>
  <c r="AF436" i="1"/>
  <c r="AG436" i="1" s="1"/>
  <c r="AD436" i="1"/>
  <c r="AC436" i="1"/>
  <c r="AB436" i="1"/>
  <c r="Z436" i="1"/>
  <c r="AA436" i="1" s="1"/>
  <c r="Y436" i="1"/>
  <c r="W436" i="1"/>
  <c r="V436" i="1"/>
  <c r="U436" i="1"/>
  <c r="S436" i="1"/>
  <c r="R436" i="1"/>
  <c r="Q436" i="1"/>
  <c r="O436" i="1"/>
  <c r="N436" i="1"/>
  <c r="M436" i="1"/>
  <c r="K436" i="1"/>
  <c r="J436" i="1"/>
  <c r="I436" i="1"/>
  <c r="H436" i="1"/>
  <c r="F436" i="1"/>
  <c r="G436" i="1" s="1"/>
  <c r="E436" i="1"/>
  <c r="BN435" i="1"/>
  <c r="BK435" i="1"/>
  <c r="BL435" i="1" s="1"/>
  <c r="BJ435" i="1"/>
  <c r="BM435" i="1" s="1"/>
  <c r="BH435" i="1"/>
  <c r="BI435" i="1" s="1"/>
  <c r="BF435" i="1"/>
  <c r="BE435" i="1"/>
  <c r="BD435" i="1"/>
  <c r="BB435" i="1"/>
  <c r="AZ435" i="1"/>
  <c r="BA435" i="1" s="1"/>
  <c r="AX435" i="1"/>
  <c r="AW435" i="1"/>
  <c r="AV435" i="1"/>
  <c r="AT435" i="1"/>
  <c r="AR435" i="1"/>
  <c r="AS435" i="1" s="1"/>
  <c r="AP435" i="1"/>
  <c r="AO435" i="1"/>
  <c r="AN435" i="1"/>
  <c r="AL435" i="1"/>
  <c r="AJ435" i="1"/>
  <c r="AK435" i="1" s="1"/>
  <c r="AH435" i="1"/>
  <c r="AG435" i="1"/>
  <c r="AF435" i="1"/>
  <c r="AD435" i="1"/>
  <c r="AB435" i="1"/>
  <c r="AC435" i="1" s="1"/>
  <c r="Z435" i="1"/>
  <c r="AA435" i="1" s="1"/>
  <c r="Y435" i="1"/>
  <c r="V435" i="1"/>
  <c r="W435" i="1" s="1"/>
  <c r="U435" i="1"/>
  <c r="R435" i="1"/>
  <c r="S435" i="1" s="1"/>
  <c r="Q435" i="1"/>
  <c r="O435" i="1"/>
  <c r="N435" i="1"/>
  <c r="M435" i="1"/>
  <c r="K435" i="1"/>
  <c r="J435" i="1"/>
  <c r="H435" i="1"/>
  <c r="I435" i="1" s="1"/>
  <c r="F435" i="1"/>
  <c r="G435" i="1" s="1"/>
  <c r="E435" i="1"/>
  <c r="BN434" i="1"/>
  <c r="BM434" i="1"/>
  <c r="BL434" i="1"/>
  <c r="BJ434" i="1"/>
  <c r="BI434" i="1"/>
  <c r="BF434" i="1"/>
  <c r="BG434" i="1" s="1"/>
  <c r="BE434" i="1"/>
  <c r="BB434" i="1"/>
  <c r="BA434" i="1"/>
  <c r="AX434" i="1"/>
  <c r="AY434" i="1" s="1"/>
  <c r="AW434" i="1"/>
  <c r="AU434" i="1"/>
  <c r="AT434" i="1"/>
  <c r="AS434" i="1"/>
  <c r="AQ434" i="1"/>
  <c r="AP434" i="1"/>
  <c r="AO434" i="1"/>
  <c r="AM434" i="1"/>
  <c r="AL434" i="1"/>
  <c r="AK434" i="1"/>
  <c r="AI434" i="1"/>
  <c r="AH434" i="1"/>
  <c r="AG434" i="1"/>
  <c r="AE434" i="1"/>
  <c r="AD434" i="1"/>
  <c r="AC434" i="1"/>
  <c r="Z434" i="1"/>
  <c r="AA434" i="1" s="1"/>
  <c r="Y434" i="1"/>
  <c r="V434" i="1"/>
  <c r="W434" i="1" s="1"/>
  <c r="U434" i="1"/>
  <c r="R434" i="1"/>
  <c r="S434" i="1" s="1"/>
  <c r="Q434" i="1"/>
  <c r="O434" i="1"/>
  <c r="N434" i="1"/>
  <c r="M434" i="1"/>
  <c r="K434" i="1"/>
  <c r="J434" i="1"/>
  <c r="I434" i="1"/>
  <c r="G434" i="1"/>
  <c r="F434" i="1"/>
  <c r="E434" i="1"/>
  <c r="BN433" i="1"/>
  <c r="BL433" i="1"/>
  <c r="BJ433" i="1"/>
  <c r="BM433" i="1" s="1"/>
  <c r="BI433" i="1"/>
  <c r="BG433" i="1"/>
  <c r="BF433" i="1"/>
  <c r="BE433" i="1"/>
  <c r="BC433" i="1"/>
  <c r="BB433" i="1"/>
  <c r="BA433" i="1"/>
  <c r="AY433" i="1"/>
  <c r="AX433" i="1"/>
  <c r="AW433" i="1"/>
  <c r="AT433" i="1"/>
  <c r="AU433" i="1" s="1"/>
  <c r="AS433" i="1"/>
  <c r="AP433" i="1"/>
  <c r="AQ433" i="1" s="1"/>
  <c r="AO433" i="1"/>
  <c r="AL433" i="1"/>
  <c r="AM433" i="1" s="1"/>
  <c r="AK433" i="1"/>
  <c r="AI433" i="1"/>
  <c r="AH433" i="1"/>
  <c r="AF433" i="1"/>
  <c r="AG433" i="1" s="1"/>
  <c r="AE433" i="1"/>
  <c r="AD433" i="1"/>
  <c r="AC433" i="1"/>
  <c r="Z433" i="1"/>
  <c r="AA433" i="1" s="1"/>
  <c r="Y433" i="1"/>
  <c r="V433" i="1"/>
  <c r="W433" i="1" s="1"/>
  <c r="U433" i="1"/>
  <c r="R433" i="1"/>
  <c r="S433" i="1" s="1"/>
  <c r="Q433" i="1"/>
  <c r="O433" i="1"/>
  <c r="N433" i="1"/>
  <c r="M433" i="1"/>
  <c r="K433" i="1"/>
  <c r="J433" i="1"/>
  <c r="I433" i="1"/>
  <c r="G433" i="1"/>
  <c r="F433" i="1"/>
  <c r="E433" i="1"/>
  <c r="BN432" i="1"/>
  <c r="BL432" i="1"/>
  <c r="BJ432" i="1"/>
  <c r="BM432" i="1" s="1"/>
  <c r="BI432" i="1"/>
  <c r="BG432" i="1"/>
  <c r="BF432" i="1"/>
  <c r="BE432" i="1"/>
  <c r="BC432" i="1"/>
  <c r="BB432" i="1"/>
  <c r="BA432" i="1"/>
  <c r="AY432" i="1"/>
  <c r="AX432" i="1"/>
  <c r="AW432" i="1"/>
  <c r="AT432" i="1"/>
  <c r="AU432" i="1" s="1"/>
  <c r="AS432" i="1"/>
  <c r="AP432" i="1"/>
  <c r="AQ432" i="1" s="1"/>
  <c r="AO432" i="1"/>
  <c r="AL432" i="1"/>
  <c r="AM432" i="1" s="1"/>
  <c r="AK432" i="1"/>
  <c r="AI432" i="1"/>
  <c r="AH432" i="1"/>
  <c r="AF432" i="1"/>
  <c r="AG432" i="1" s="1"/>
  <c r="AE432" i="1"/>
  <c r="AD432" i="1"/>
  <c r="AC432" i="1"/>
  <c r="Z432" i="1"/>
  <c r="AA432" i="1" s="1"/>
  <c r="Y432" i="1"/>
  <c r="V432" i="1"/>
  <c r="W432" i="1" s="1"/>
  <c r="U432" i="1"/>
  <c r="R432" i="1"/>
  <c r="S432" i="1" s="1"/>
  <c r="Q432" i="1"/>
  <c r="O432" i="1"/>
  <c r="N432" i="1"/>
  <c r="M432" i="1"/>
  <c r="K432" i="1"/>
  <c r="J432" i="1"/>
  <c r="I432" i="1"/>
  <c r="G432" i="1"/>
  <c r="F432" i="1"/>
  <c r="E432" i="1"/>
  <c r="BN431" i="1"/>
  <c r="BL431" i="1"/>
  <c r="BJ431" i="1"/>
  <c r="BM431" i="1" s="1"/>
  <c r="BI431" i="1"/>
  <c r="BG431" i="1"/>
  <c r="BF431" i="1"/>
  <c r="BE431" i="1"/>
  <c r="BC431" i="1"/>
  <c r="BB431" i="1"/>
  <c r="BA431" i="1"/>
  <c r="AY431" i="1"/>
  <c r="AX431" i="1"/>
  <c r="AW431" i="1"/>
  <c r="AT431" i="1"/>
  <c r="AU431" i="1" s="1"/>
  <c r="AS431" i="1"/>
  <c r="AP431" i="1"/>
  <c r="AQ431" i="1" s="1"/>
  <c r="AO431" i="1"/>
  <c r="AL431" i="1"/>
  <c r="AM431" i="1" s="1"/>
  <c r="AK431" i="1"/>
  <c r="AI431" i="1"/>
  <c r="AH431" i="1"/>
  <c r="AF431" i="1"/>
  <c r="AG431" i="1" s="1"/>
  <c r="AE431" i="1"/>
  <c r="AD431" i="1"/>
  <c r="AC431" i="1"/>
  <c r="Z431" i="1"/>
  <c r="AA431" i="1" s="1"/>
  <c r="Y431" i="1"/>
  <c r="V431" i="1"/>
  <c r="W431" i="1" s="1"/>
  <c r="U431" i="1"/>
  <c r="R431" i="1"/>
  <c r="S431" i="1" s="1"/>
  <c r="Q431" i="1"/>
  <c r="O431" i="1"/>
  <c r="N431" i="1"/>
  <c r="M431" i="1"/>
  <c r="K431" i="1"/>
  <c r="J431" i="1"/>
  <c r="I431" i="1"/>
  <c r="G431" i="1"/>
  <c r="F431" i="1"/>
  <c r="E431" i="1"/>
  <c r="BN430" i="1"/>
  <c r="BL430" i="1"/>
  <c r="BJ430" i="1"/>
  <c r="BM430" i="1" s="1"/>
  <c r="BI430" i="1"/>
  <c r="BG430" i="1"/>
  <c r="BF430" i="1"/>
  <c r="BE430" i="1"/>
  <c r="BC430" i="1"/>
  <c r="BB430" i="1"/>
  <c r="BA430" i="1"/>
  <c r="AY430" i="1"/>
  <c r="AX430" i="1"/>
  <c r="AW430" i="1"/>
  <c r="AT430" i="1"/>
  <c r="AU430" i="1" s="1"/>
  <c r="AS430" i="1"/>
  <c r="AP430" i="1"/>
  <c r="AQ430" i="1" s="1"/>
  <c r="AO430" i="1"/>
  <c r="AL430" i="1"/>
  <c r="AM430" i="1" s="1"/>
  <c r="AK430" i="1"/>
  <c r="AI430" i="1"/>
  <c r="AH430" i="1"/>
  <c r="AG430" i="1"/>
  <c r="AE430" i="1"/>
  <c r="AD430" i="1"/>
  <c r="AC430" i="1"/>
  <c r="AA430" i="1"/>
  <c r="Z430" i="1"/>
  <c r="Y430" i="1"/>
  <c r="W430" i="1"/>
  <c r="V430" i="1"/>
  <c r="U430" i="1"/>
  <c r="S430" i="1"/>
  <c r="R430" i="1"/>
  <c r="Q430" i="1"/>
  <c r="N430" i="1"/>
  <c r="O430" i="1" s="1"/>
  <c r="M430" i="1"/>
  <c r="J430" i="1"/>
  <c r="I430" i="1"/>
  <c r="F430" i="1"/>
  <c r="G430" i="1" s="1"/>
  <c r="E430" i="1"/>
  <c r="BN429" i="1"/>
  <c r="BL429" i="1"/>
  <c r="BJ429" i="1"/>
  <c r="BM429" i="1" s="1"/>
  <c r="BI429" i="1"/>
  <c r="BF429" i="1"/>
  <c r="BG429" i="1" s="1"/>
  <c r="BE429" i="1"/>
  <c r="BC429" i="1"/>
  <c r="BB429" i="1"/>
  <c r="BA429" i="1"/>
  <c r="AY429" i="1"/>
  <c r="AX429" i="1"/>
  <c r="AW429" i="1"/>
  <c r="AU429" i="1"/>
  <c r="AT429" i="1"/>
  <c r="AS429" i="1"/>
  <c r="AP429" i="1"/>
  <c r="AQ429" i="1" s="1"/>
  <c r="AO429" i="1"/>
  <c r="AM429" i="1"/>
  <c r="AL429" i="1"/>
  <c r="AK429" i="1"/>
  <c r="AH429" i="1"/>
  <c r="AF429" i="1"/>
  <c r="AG429" i="1" s="1"/>
  <c r="AD429" i="1"/>
  <c r="AC429" i="1"/>
  <c r="AA429" i="1"/>
  <c r="Z429" i="1"/>
  <c r="Y429" i="1"/>
  <c r="V429" i="1"/>
  <c r="W429" i="1" s="1"/>
  <c r="U429" i="1"/>
  <c r="S429" i="1"/>
  <c r="R429" i="1"/>
  <c r="Q429" i="1"/>
  <c r="N429" i="1"/>
  <c r="O429" i="1" s="1"/>
  <c r="M429" i="1"/>
  <c r="J429" i="1"/>
  <c r="K429" i="1" s="1"/>
  <c r="I429" i="1"/>
  <c r="F429" i="1"/>
  <c r="G429" i="1" s="1"/>
  <c r="E429" i="1"/>
  <c r="BN428" i="1"/>
  <c r="BL428" i="1"/>
  <c r="BJ428" i="1"/>
  <c r="BI428" i="1"/>
  <c r="BF428" i="1"/>
  <c r="BG428" i="1" s="1"/>
  <c r="BE428" i="1"/>
  <c r="BC428" i="1"/>
  <c r="BB428" i="1"/>
  <c r="BA428" i="1"/>
  <c r="AY428" i="1"/>
  <c r="AX428" i="1"/>
  <c r="AW428" i="1"/>
  <c r="AU428" i="1"/>
  <c r="AT428" i="1"/>
  <c r="AS428" i="1"/>
  <c r="AP428" i="1"/>
  <c r="AQ428" i="1" s="1"/>
  <c r="AO428" i="1"/>
  <c r="AM428" i="1"/>
  <c r="AL428" i="1"/>
  <c r="AK428" i="1"/>
  <c r="AH428" i="1"/>
  <c r="AF428" i="1"/>
  <c r="AG428" i="1" s="1"/>
  <c r="AD428" i="1"/>
  <c r="AC428" i="1"/>
  <c r="AA428" i="1"/>
  <c r="Z428" i="1"/>
  <c r="Y428" i="1"/>
  <c r="V428" i="1"/>
  <c r="W428" i="1" s="1"/>
  <c r="U428" i="1"/>
  <c r="S428" i="1"/>
  <c r="R428" i="1"/>
  <c r="Q428" i="1"/>
  <c r="N428" i="1"/>
  <c r="O428" i="1" s="1"/>
  <c r="M428" i="1"/>
  <c r="J428" i="1"/>
  <c r="I428" i="1"/>
  <c r="F428" i="1"/>
  <c r="G428" i="1" s="1"/>
  <c r="E428" i="1"/>
  <c r="BN427" i="1"/>
  <c r="BL427" i="1"/>
  <c r="BJ427" i="1"/>
  <c r="BI427" i="1"/>
  <c r="BF427" i="1"/>
  <c r="BG427" i="1" s="1"/>
  <c r="BE427" i="1"/>
  <c r="BC427" i="1"/>
  <c r="BB427" i="1"/>
  <c r="BA427" i="1"/>
  <c r="AY427" i="1"/>
  <c r="AX427" i="1"/>
  <c r="AW427" i="1"/>
  <c r="AU427" i="1"/>
  <c r="AT427" i="1"/>
  <c r="AS427" i="1"/>
  <c r="AP427" i="1"/>
  <c r="AQ427" i="1" s="1"/>
  <c r="AO427" i="1"/>
  <c r="AM427" i="1"/>
  <c r="AL427" i="1"/>
  <c r="AK427" i="1"/>
  <c r="AH427" i="1"/>
  <c r="AF427" i="1"/>
  <c r="AG427" i="1" s="1"/>
  <c r="AD427" i="1"/>
  <c r="AC427" i="1"/>
  <c r="AA427" i="1"/>
  <c r="Z427" i="1"/>
  <c r="Y427" i="1"/>
  <c r="V427" i="1"/>
  <c r="W427" i="1" s="1"/>
  <c r="U427" i="1"/>
  <c r="S427" i="1"/>
  <c r="R427" i="1"/>
  <c r="Q427" i="1"/>
  <c r="N427" i="1"/>
  <c r="O427" i="1" s="1"/>
  <c r="M427" i="1"/>
  <c r="J427" i="1"/>
  <c r="I427" i="1"/>
  <c r="F427" i="1"/>
  <c r="G427" i="1" s="1"/>
  <c r="E427" i="1"/>
  <c r="BN426" i="1"/>
  <c r="BL426" i="1"/>
  <c r="BJ426" i="1"/>
  <c r="BI426" i="1"/>
  <c r="BF426" i="1"/>
  <c r="BG426" i="1" s="1"/>
  <c r="BE426" i="1"/>
  <c r="BC426" i="1"/>
  <c r="BB426" i="1"/>
  <c r="BA426" i="1"/>
  <c r="AY426" i="1"/>
  <c r="AX426" i="1"/>
  <c r="AW426" i="1"/>
  <c r="AU426" i="1"/>
  <c r="AT426" i="1"/>
  <c r="AS426" i="1"/>
  <c r="AP426" i="1"/>
  <c r="AQ426" i="1" s="1"/>
  <c r="AO426" i="1"/>
  <c r="AM426" i="1"/>
  <c r="AL426" i="1"/>
  <c r="AK426" i="1"/>
  <c r="AH426" i="1"/>
  <c r="AI426" i="1" s="1"/>
  <c r="AG426" i="1"/>
  <c r="AD426" i="1"/>
  <c r="AC426" i="1"/>
  <c r="Z426" i="1"/>
  <c r="AA426" i="1" s="1"/>
  <c r="Y426" i="1"/>
  <c r="W426" i="1"/>
  <c r="V426" i="1"/>
  <c r="U426" i="1"/>
  <c r="S426" i="1"/>
  <c r="R426" i="1"/>
  <c r="Q426" i="1"/>
  <c r="O426" i="1"/>
  <c r="N426" i="1"/>
  <c r="M426" i="1"/>
  <c r="J426" i="1"/>
  <c r="K426" i="1" s="1"/>
  <c r="I426" i="1"/>
  <c r="G426" i="1"/>
  <c r="F426" i="1"/>
  <c r="E426" i="1"/>
  <c r="BN425" i="1"/>
  <c r="BM425" i="1"/>
  <c r="BL425" i="1"/>
  <c r="BJ425" i="1"/>
  <c r="BI425" i="1"/>
  <c r="BG425" i="1"/>
  <c r="BF425" i="1"/>
  <c r="BE425" i="1"/>
  <c r="BB425" i="1"/>
  <c r="BC425" i="1" s="1"/>
  <c r="BA425" i="1"/>
  <c r="AX425" i="1"/>
  <c r="AW425" i="1"/>
  <c r="AT425" i="1"/>
  <c r="AU425" i="1" s="1"/>
  <c r="AS425" i="1"/>
  <c r="AQ425" i="1"/>
  <c r="AP425" i="1"/>
  <c r="AO425" i="1"/>
  <c r="AM425" i="1"/>
  <c r="AL425" i="1"/>
  <c r="AK425" i="1"/>
  <c r="AI425" i="1"/>
  <c r="AH425" i="1"/>
  <c r="AG425" i="1"/>
  <c r="AD425" i="1"/>
  <c r="AE425" i="1" s="1"/>
  <c r="AC425" i="1"/>
  <c r="AA425" i="1"/>
  <c r="Z425" i="1"/>
  <c r="Y425" i="1"/>
  <c r="V425" i="1"/>
  <c r="W425" i="1" s="1"/>
  <c r="U425" i="1"/>
  <c r="R425" i="1"/>
  <c r="Q425" i="1"/>
  <c r="N425" i="1"/>
  <c r="O425" i="1" s="1"/>
  <c r="M425" i="1"/>
  <c r="K425" i="1"/>
  <c r="J425" i="1"/>
  <c r="I425" i="1"/>
  <c r="G425" i="1"/>
  <c r="F425" i="1"/>
  <c r="E425" i="1"/>
  <c r="BN424" i="1"/>
  <c r="BL424" i="1"/>
  <c r="BJ424" i="1"/>
  <c r="BM424" i="1" s="1"/>
  <c r="BI424" i="1"/>
  <c r="BG424" i="1"/>
  <c r="BF424" i="1"/>
  <c r="BE424" i="1"/>
  <c r="BC424" i="1"/>
  <c r="BB424" i="1"/>
  <c r="BA424" i="1"/>
  <c r="AX424" i="1"/>
  <c r="AY424" i="1" s="1"/>
  <c r="AW424" i="1"/>
  <c r="AU424" i="1"/>
  <c r="AT424" i="1"/>
  <c r="AS424" i="1"/>
  <c r="AP424" i="1"/>
  <c r="AQ424" i="1" s="1"/>
  <c r="AO424" i="1"/>
  <c r="AL424" i="1"/>
  <c r="AM424" i="1" s="1"/>
  <c r="AK424" i="1"/>
  <c r="AH424" i="1"/>
  <c r="AI424" i="1" s="1"/>
  <c r="AG424" i="1"/>
  <c r="AE424" i="1"/>
  <c r="AD424" i="1"/>
  <c r="AC424" i="1"/>
  <c r="AA424" i="1"/>
  <c r="Z424" i="1"/>
  <c r="Y424" i="1"/>
  <c r="W424" i="1"/>
  <c r="V424" i="1"/>
  <c r="U424" i="1"/>
  <c r="R424" i="1"/>
  <c r="S424" i="1" s="1"/>
  <c r="Q424" i="1"/>
  <c r="O424" i="1"/>
  <c r="N424" i="1"/>
  <c r="M424" i="1"/>
  <c r="J424" i="1"/>
  <c r="K424" i="1" s="1"/>
  <c r="I424" i="1"/>
  <c r="F424" i="1"/>
  <c r="G424" i="1" s="1"/>
  <c r="E424" i="1"/>
  <c r="BN423" i="1"/>
  <c r="BL423" i="1"/>
  <c r="BJ423" i="1"/>
  <c r="BM423" i="1" s="1"/>
  <c r="BI423" i="1"/>
  <c r="BF423" i="1"/>
  <c r="BE423" i="1"/>
  <c r="BB423" i="1"/>
  <c r="BC423" i="1" s="1"/>
  <c r="BA423" i="1"/>
  <c r="AY423" i="1"/>
  <c r="AX423" i="1"/>
  <c r="AW423" i="1"/>
  <c r="AU423" i="1"/>
  <c r="AT423" i="1"/>
  <c r="AS423" i="1"/>
  <c r="AQ423" i="1"/>
  <c r="AP423" i="1"/>
  <c r="AO423" i="1"/>
  <c r="AL423" i="1"/>
  <c r="AM423" i="1" s="1"/>
  <c r="AK423" i="1"/>
  <c r="AI423" i="1"/>
  <c r="AH423" i="1"/>
  <c r="AG423" i="1"/>
  <c r="AD423" i="1"/>
  <c r="AE423" i="1" s="1"/>
  <c r="AC423" i="1"/>
  <c r="Z423" i="1"/>
  <c r="Y423" i="1"/>
  <c r="V423" i="1"/>
  <c r="W423" i="1" s="1"/>
  <c r="U423" i="1"/>
  <c r="S423" i="1"/>
  <c r="R423" i="1"/>
  <c r="Q423" i="1"/>
  <c r="O423" i="1"/>
  <c r="N423" i="1"/>
  <c r="M423" i="1"/>
  <c r="K423" i="1"/>
  <c r="J423" i="1"/>
  <c r="I423" i="1"/>
  <c r="F423" i="1"/>
  <c r="G423" i="1" s="1"/>
  <c r="E423" i="1"/>
  <c r="BN422" i="1"/>
  <c r="BM422" i="1" s="1"/>
  <c r="BL422" i="1"/>
  <c r="BJ422" i="1"/>
  <c r="BI422" i="1"/>
  <c r="BF422" i="1"/>
  <c r="BG422" i="1" s="1"/>
  <c r="BE422" i="1"/>
  <c r="BC422" i="1"/>
  <c r="BB422" i="1"/>
  <c r="BA422" i="1"/>
  <c r="AX422" i="1"/>
  <c r="AY422" i="1" s="1"/>
  <c r="AW422" i="1"/>
  <c r="AT422" i="1"/>
  <c r="AU422" i="1" s="1"/>
  <c r="AS422" i="1"/>
  <c r="AP422" i="1"/>
  <c r="AQ422" i="1" s="1"/>
  <c r="AO422" i="1"/>
  <c r="AM422" i="1"/>
  <c r="AL422" i="1"/>
  <c r="AK422" i="1"/>
  <c r="AI422" i="1"/>
  <c r="AH422" i="1"/>
  <c r="AG422" i="1"/>
  <c r="AE422" i="1"/>
  <c r="AD422" i="1"/>
  <c r="AC422" i="1"/>
  <c r="Z422" i="1"/>
  <c r="AA422" i="1" s="1"/>
  <c r="Y422" i="1"/>
  <c r="W422" i="1"/>
  <c r="V422" i="1"/>
  <c r="U422" i="1"/>
  <c r="R422" i="1"/>
  <c r="S422" i="1" s="1"/>
  <c r="Q422" i="1"/>
  <c r="N422" i="1"/>
  <c r="O422" i="1" s="1"/>
  <c r="M422" i="1"/>
  <c r="J422" i="1"/>
  <c r="K422" i="1" s="1"/>
  <c r="I422" i="1"/>
  <c r="G422" i="1"/>
  <c r="F422" i="1"/>
  <c r="E422" i="1"/>
  <c r="BN421" i="1"/>
  <c r="BL421" i="1"/>
  <c r="BJ421" i="1"/>
  <c r="BM421" i="1" s="1"/>
  <c r="BI421" i="1"/>
  <c r="BG421" i="1"/>
  <c r="BF421" i="1"/>
  <c r="BE421" i="1"/>
  <c r="BC421" i="1"/>
  <c r="BB421" i="1"/>
  <c r="BA421" i="1"/>
  <c r="AY421" i="1"/>
  <c r="AX421" i="1"/>
  <c r="AW421" i="1"/>
  <c r="AT421" i="1"/>
  <c r="AU421" i="1" s="1"/>
  <c r="AS421" i="1"/>
  <c r="AQ421" i="1"/>
  <c r="AP421" i="1"/>
  <c r="AO421" i="1"/>
  <c r="AL421" i="1"/>
  <c r="AM421" i="1" s="1"/>
  <c r="AK421" i="1"/>
  <c r="AH421" i="1"/>
  <c r="AI421" i="1" s="1"/>
  <c r="AG421" i="1"/>
  <c r="AD421" i="1"/>
  <c r="AE421" i="1" s="1"/>
  <c r="AC421" i="1"/>
  <c r="AA421" i="1"/>
  <c r="Z421" i="1"/>
  <c r="Y421" i="1"/>
  <c r="W421" i="1"/>
  <c r="V421" i="1"/>
  <c r="U421" i="1"/>
  <c r="S421" i="1"/>
  <c r="R421" i="1"/>
  <c r="Q421" i="1"/>
  <c r="N421" i="1"/>
  <c r="O421" i="1" s="1"/>
  <c r="M421" i="1"/>
  <c r="K421" i="1"/>
  <c r="J421" i="1"/>
  <c r="I421" i="1"/>
  <c r="F421" i="1"/>
  <c r="G421" i="1" s="1"/>
  <c r="E421" i="1"/>
  <c r="BN420" i="1"/>
  <c r="BM420" i="1"/>
  <c r="BL420" i="1"/>
  <c r="BJ420" i="1"/>
  <c r="BI420" i="1"/>
  <c r="BF420" i="1"/>
  <c r="BG420" i="1" s="1"/>
  <c r="BE420" i="1"/>
  <c r="BB420" i="1"/>
  <c r="BA420" i="1"/>
  <c r="AX420" i="1"/>
  <c r="AY420" i="1" s="1"/>
  <c r="AW420" i="1"/>
  <c r="AU420" i="1"/>
  <c r="AT420" i="1"/>
  <c r="AS420" i="1"/>
  <c r="AQ420" i="1"/>
  <c r="AP420" i="1"/>
  <c r="AO420" i="1"/>
  <c r="AM420" i="1"/>
  <c r="AL420" i="1"/>
  <c r="AK420" i="1"/>
  <c r="AH420" i="1"/>
  <c r="AI420" i="1" s="1"/>
  <c r="AG420" i="1"/>
  <c r="AE420" i="1"/>
  <c r="AD420" i="1"/>
  <c r="AC420" i="1"/>
  <c r="Z420" i="1"/>
  <c r="AA420" i="1" s="1"/>
  <c r="Y420" i="1"/>
  <c r="V420" i="1"/>
  <c r="U420" i="1"/>
  <c r="R420" i="1"/>
  <c r="S420" i="1" s="1"/>
  <c r="Q420" i="1"/>
  <c r="O420" i="1"/>
  <c r="N420" i="1"/>
  <c r="M420" i="1"/>
  <c r="K420" i="1"/>
  <c r="J420" i="1"/>
  <c r="I420" i="1"/>
  <c r="G420" i="1"/>
  <c r="F420" i="1"/>
  <c r="E420" i="1"/>
  <c r="BN419" i="1"/>
  <c r="BL419" i="1"/>
  <c r="BJ419" i="1"/>
  <c r="BM419" i="1" s="1"/>
  <c r="BI419" i="1"/>
  <c r="BG419" i="1"/>
  <c r="BF419" i="1"/>
  <c r="BE419" i="1"/>
  <c r="BB419" i="1"/>
  <c r="BC419" i="1" s="1"/>
  <c r="BA419" i="1"/>
  <c r="AY419" i="1"/>
  <c r="AX419" i="1"/>
  <c r="AW419" i="1"/>
  <c r="AT419" i="1"/>
  <c r="AU419" i="1" s="1"/>
  <c r="AS419" i="1"/>
  <c r="AP419" i="1"/>
  <c r="AO419" i="1"/>
  <c r="AL419" i="1"/>
  <c r="AM419" i="1" s="1"/>
  <c r="AK419" i="1"/>
  <c r="AI419" i="1"/>
  <c r="AH419" i="1"/>
  <c r="AG419" i="1"/>
  <c r="AE419" i="1"/>
  <c r="AD419" i="1"/>
  <c r="AC419" i="1"/>
  <c r="AA419" i="1"/>
  <c r="Z419" i="1"/>
  <c r="Y419" i="1"/>
  <c r="W419" i="1"/>
  <c r="V419" i="1"/>
  <c r="U419" i="1"/>
  <c r="S419" i="1"/>
  <c r="R419" i="1"/>
  <c r="Q419" i="1"/>
  <c r="N419" i="1"/>
  <c r="O419" i="1" s="1"/>
  <c r="M419" i="1"/>
  <c r="J419" i="1"/>
  <c r="I419" i="1"/>
  <c r="F419" i="1"/>
  <c r="G419" i="1" s="1"/>
  <c r="E419" i="1"/>
  <c r="BN418" i="1"/>
  <c r="BL418" i="1"/>
  <c r="BJ418" i="1"/>
  <c r="BM418" i="1" s="1"/>
  <c r="BI418" i="1"/>
  <c r="BF418" i="1"/>
  <c r="BG418" i="1" s="1"/>
  <c r="BE418" i="1"/>
  <c r="BC418" i="1"/>
  <c r="BB418" i="1"/>
  <c r="BA418" i="1"/>
  <c r="AY418" i="1"/>
  <c r="AX418" i="1"/>
  <c r="AW418" i="1"/>
  <c r="AU418" i="1"/>
  <c r="AT418" i="1"/>
  <c r="AS418" i="1"/>
  <c r="AP418" i="1"/>
  <c r="AQ418" i="1" s="1"/>
  <c r="AO418" i="1"/>
  <c r="AM418" i="1"/>
  <c r="AL418" i="1"/>
  <c r="AK418" i="1"/>
  <c r="AH418" i="1"/>
  <c r="AI418" i="1" s="1"/>
  <c r="AG418" i="1"/>
  <c r="AD418" i="1"/>
  <c r="AE418" i="1" s="1"/>
  <c r="AC418" i="1"/>
  <c r="Z418" i="1"/>
  <c r="AA418" i="1" s="1"/>
  <c r="Y418" i="1"/>
  <c r="W418" i="1"/>
  <c r="V418" i="1"/>
  <c r="U418" i="1"/>
  <c r="S418" i="1"/>
  <c r="R418" i="1"/>
  <c r="Q418" i="1"/>
  <c r="O418" i="1"/>
  <c r="N418" i="1"/>
  <c r="M418" i="1"/>
  <c r="J418" i="1"/>
  <c r="K418" i="1" s="1"/>
  <c r="I418" i="1"/>
  <c r="G418" i="1"/>
  <c r="F418" i="1"/>
  <c r="E418" i="1"/>
  <c r="BN417" i="1"/>
  <c r="BM417" i="1"/>
  <c r="BL417" i="1"/>
  <c r="BJ417" i="1"/>
  <c r="BI417" i="1"/>
  <c r="BG417" i="1"/>
  <c r="BF417" i="1"/>
  <c r="BE417" i="1"/>
  <c r="BB417" i="1"/>
  <c r="BC417" i="1" s="1"/>
  <c r="BA417" i="1"/>
  <c r="AX417" i="1"/>
  <c r="AY417" i="1" s="1"/>
  <c r="AW417" i="1"/>
  <c r="AT417" i="1"/>
  <c r="AU417" i="1" s="1"/>
  <c r="AS417" i="1"/>
  <c r="AQ417" i="1"/>
  <c r="AP417" i="1"/>
  <c r="AO417" i="1"/>
  <c r="AM417" i="1"/>
  <c r="AL417" i="1"/>
  <c r="AK417" i="1"/>
  <c r="AI417" i="1"/>
  <c r="AH417" i="1"/>
  <c r="AG417" i="1"/>
  <c r="AE417" i="1"/>
  <c r="AD417" i="1"/>
  <c r="AC417" i="1"/>
  <c r="AA417" i="1"/>
  <c r="Z417" i="1"/>
  <c r="Y417" i="1"/>
  <c r="V417" i="1"/>
  <c r="W417" i="1" s="1"/>
  <c r="U417" i="1"/>
  <c r="R417" i="1"/>
  <c r="Q417" i="1"/>
  <c r="N417" i="1"/>
  <c r="O417" i="1" s="1"/>
  <c r="M417" i="1"/>
  <c r="K417" i="1"/>
  <c r="J417" i="1"/>
  <c r="I417" i="1"/>
  <c r="G417" i="1"/>
  <c r="F417" i="1"/>
  <c r="E417" i="1"/>
  <c r="BN416" i="1"/>
  <c r="BL416" i="1"/>
  <c r="BJ416" i="1"/>
  <c r="BM416" i="1" s="1"/>
  <c r="BI416" i="1"/>
  <c r="BG416" i="1"/>
  <c r="BF416" i="1"/>
  <c r="BE416" i="1"/>
  <c r="BC416" i="1"/>
  <c r="BB416" i="1"/>
  <c r="BA416" i="1"/>
  <c r="AY416" i="1"/>
  <c r="AX416" i="1"/>
  <c r="AW416" i="1"/>
  <c r="AU416" i="1"/>
  <c r="AT416" i="1"/>
  <c r="AS416" i="1"/>
  <c r="AP416" i="1"/>
  <c r="AQ416" i="1" s="1"/>
  <c r="AO416" i="1"/>
  <c r="AL416" i="1"/>
  <c r="AK416" i="1"/>
  <c r="AH416" i="1"/>
  <c r="AI416" i="1" s="1"/>
  <c r="AG416" i="1"/>
  <c r="AE416" i="1"/>
  <c r="AD416" i="1"/>
  <c r="AC416" i="1"/>
  <c r="AA416" i="1"/>
  <c r="Z416" i="1"/>
  <c r="Y416" i="1"/>
  <c r="W416" i="1"/>
  <c r="V416" i="1"/>
  <c r="U416" i="1"/>
  <c r="S416" i="1"/>
  <c r="R416" i="1"/>
  <c r="Q416" i="1"/>
  <c r="O416" i="1"/>
  <c r="N416" i="1"/>
  <c r="M416" i="1"/>
  <c r="J416" i="1"/>
  <c r="K416" i="1" s="1"/>
  <c r="I416" i="1"/>
  <c r="F416" i="1"/>
  <c r="E416" i="1"/>
  <c r="BN415" i="1"/>
  <c r="BL415" i="1"/>
  <c r="BJ415" i="1"/>
  <c r="BM415" i="1" s="1"/>
  <c r="BI415" i="1"/>
  <c r="BF415" i="1"/>
  <c r="BG415" i="1" s="1"/>
  <c r="BE415" i="1"/>
  <c r="BB415" i="1"/>
  <c r="BC415" i="1" s="1"/>
  <c r="BA415" i="1"/>
  <c r="AY415" i="1"/>
  <c r="AX415" i="1"/>
  <c r="AW415" i="1"/>
  <c r="AU415" i="1"/>
  <c r="AT415" i="1"/>
  <c r="AS415" i="1"/>
  <c r="AQ415" i="1"/>
  <c r="AP415" i="1"/>
  <c r="AO415" i="1"/>
  <c r="AM415" i="1"/>
  <c r="AL415" i="1"/>
  <c r="AK415" i="1"/>
  <c r="AI415" i="1"/>
  <c r="AH415" i="1"/>
  <c r="AG415" i="1"/>
  <c r="AD415" i="1"/>
  <c r="AE415" i="1" s="1"/>
  <c r="AC415" i="1"/>
  <c r="Z415" i="1"/>
  <c r="Y415" i="1"/>
  <c r="V415" i="1"/>
  <c r="W415" i="1" s="1"/>
  <c r="U415" i="1"/>
  <c r="S415" i="1"/>
  <c r="R415" i="1"/>
  <c r="Q415" i="1"/>
  <c r="O415" i="1"/>
  <c r="N415" i="1"/>
  <c r="M415" i="1"/>
  <c r="K415" i="1"/>
  <c r="J415" i="1"/>
  <c r="I415" i="1"/>
  <c r="G415" i="1"/>
  <c r="F415" i="1"/>
  <c r="E415" i="1"/>
  <c r="BN414" i="1"/>
  <c r="BM414" i="1" s="1"/>
  <c r="BL414" i="1"/>
  <c r="BJ414" i="1"/>
  <c r="BI414" i="1"/>
  <c r="BG414" i="1"/>
  <c r="BF414" i="1"/>
  <c r="BE414" i="1"/>
  <c r="BC414" i="1"/>
  <c r="BB414" i="1"/>
  <c r="BA414" i="1"/>
  <c r="AX414" i="1"/>
  <c r="AY414" i="1" s="1"/>
  <c r="AW414" i="1"/>
  <c r="AT414" i="1"/>
  <c r="AS414" i="1"/>
  <c r="AP414" i="1"/>
  <c r="AQ414" i="1" s="1"/>
  <c r="AO414" i="1"/>
  <c r="AM414" i="1"/>
  <c r="AL414" i="1"/>
  <c r="AK414" i="1"/>
  <c r="AI414" i="1"/>
  <c r="AH414" i="1"/>
  <c r="AG414" i="1"/>
  <c r="AE414" i="1"/>
  <c r="AD414" i="1"/>
  <c r="AC414" i="1"/>
  <c r="AA414" i="1"/>
  <c r="Z414" i="1"/>
  <c r="Y414" i="1"/>
  <c r="W414" i="1"/>
  <c r="V414" i="1"/>
  <c r="U414" i="1"/>
  <c r="R414" i="1"/>
  <c r="S414" i="1" s="1"/>
  <c r="Q414" i="1"/>
  <c r="N414" i="1"/>
  <c r="M414" i="1"/>
  <c r="J414" i="1"/>
  <c r="K414" i="1" s="1"/>
  <c r="I414" i="1"/>
  <c r="G414" i="1"/>
  <c r="F414" i="1"/>
  <c r="E414" i="1"/>
  <c r="BN413" i="1"/>
  <c r="BL413" i="1"/>
  <c r="BJ413" i="1"/>
  <c r="BM413" i="1" s="1"/>
  <c r="BI413" i="1"/>
  <c r="BG413" i="1"/>
  <c r="BF413" i="1"/>
  <c r="BE413" i="1"/>
  <c r="BC413" i="1"/>
  <c r="BB413" i="1"/>
  <c r="BA413" i="1"/>
  <c r="AY413" i="1"/>
  <c r="AX413" i="1"/>
  <c r="AW413" i="1"/>
  <c r="AT413" i="1"/>
  <c r="AU413" i="1" s="1"/>
  <c r="AS413" i="1"/>
  <c r="AQ413" i="1"/>
  <c r="AP413" i="1"/>
  <c r="AO413" i="1"/>
  <c r="AL413" i="1"/>
  <c r="AM413" i="1" s="1"/>
  <c r="AK413" i="1"/>
  <c r="AH413" i="1"/>
  <c r="AG413" i="1"/>
  <c r="AD413" i="1"/>
  <c r="AE413" i="1" s="1"/>
  <c r="AC413" i="1"/>
  <c r="AA413" i="1"/>
  <c r="Z413" i="1"/>
  <c r="Y413" i="1"/>
  <c r="W413" i="1"/>
  <c r="V413" i="1"/>
  <c r="U413" i="1"/>
  <c r="S413" i="1"/>
  <c r="R413" i="1"/>
  <c r="Q413" i="1"/>
  <c r="N413" i="1"/>
  <c r="O413" i="1" s="1"/>
  <c r="M413" i="1"/>
  <c r="K413" i="1"/>
  <c r="J413" i="1"/>
  <c r="I413" i="1"/>
  <c r="F413" i="1"/>
  <c r="G413" i="1" s="1"/>
  <c r="E413" i="1"/>
  <c r="BN412" i="1"/>
  <c r="BM412" i="1"/>
  <c r="BL412" i="1"/>
  <c r="BJ412" i="1"/>
  <c r="BI412" i="1"/>
  <c r="BF412" i="1"/>
  <c r="BG412" i="1" s="1"/>
  <c r="BE412" i="1"/>
  <c r="BB412" i="1"/>
  <c r="BC412" i="1" s="1"/>
  <c r="BA412" i="1"/>
  <c r="AX412" i="1"/>
  <c r="AY412" i="1" s="1"/>
  <c r="AW412" i="1"/>
  <c r="AU412" i="1"/>
  <c r="AT412" i="1"/>
  <c r="AS412" i="1"/>
  <c r="AQ412" i="1"/>
  <c r="AP412" i="1"/>
  <c r="AO412" i="1"/>
  <c r="AM412" i="1"/>
  <c r="AL412" i="1"/>
  <c r="AK412" i="1"/>
  <c r="AH412" i="1"/>
  <c r="AI412" i="1" s="1"/>
  <c r="AG412" i="1"/>
  <c r="AE412" i="1"/>
  <c r="AD412" i="1"/>
  <c r="AC412" i="1"/>
  <c r="Z412" i="1"/>
  <c r="AA412" i="1" s="1"/>
  <c r="Y412" i="1"/>
  <c r="V412" i="1"/>
  <c r="W412" i="1" s="1"/>
  <c r="U412" i="1"/>
  <c r="R412" i="1"/>
  <c r="S412" i="1" s="1"/>
  <c r="Q412" i="1"/>
  <c r="O412" i="1"/>
  <c r="N412" i="1"/>
  <c r="M412" i="1"/>
  <c r="K412" i="1"/>
  <c r="J412" i="1"/>
  <c r="I412" i="1"/>
  <c r="G412" i="1"/>
  <c r="F412" i="1"/>
  <c r="E412" i="1"/>
  <c r="BN411" i="1"/>
  <c r="BL411" i="1"/>
  <c r="BJ411" i="1"/>
  <c r="BM411" i="1" s="1"/>
  <c r="BI411" i="1"/>
  <c r="BG411" i="1"/>
  <c r="BF411" i="1"/>
  <c r="BE411" i="1"/>
  <c r="BB411" i="1"/>
  <c r="BC411" i="1" s="1"/>
  <c r="BA411" i="1"/>
  <c r="AY411" i="1"/>
  <c r="AX411" i="1"/>
  <c r="AW411" i="1"/>
  <c r="AT411" i="1"/>
  <c r="AU411" i="1" s="1"/>
  <c r="AS411" i="1"/>
  <c r="AP411" i="1"/>
  <c r="AO411" i="1"/>
  <c r="AL411" i="1"/>
  <c r="AM411" i="1" s="1"/>
  <c r="AK411" i="1"/>
  <c r="AI411" i="1"/>
  <c r="AH411" i="1"/>
  <c r="AG411" i="1"/>
  <c r="AE411" i="1"/>
  <c r="AD411" i="1"/>
  <c r="AC411" i="1"/>
  <c r="AA411" i="1"/>
  <c r="Z411" i="1"/>
  <c r="Y411" i="1"/>
  <c r="V411" i="1"/>
  <c r="W411" i="1" s="1"/>
  <c r="U411" i="1"/>
  <c r="S411" i="1"/>
  <c r="R411" i="1"/>
  <c r="Q411" i="1"/>
  <c r="N411" i="1"/>
  <c r="O411" i="1" s="1"/>
  <c r="M411" i="1"/>
  <c r="J411" i="1"/>
  <c r="K411" i="1" s="1"/>
  <c r="I411" i="1"/>
  <c r="F411" i="1"/>
  <c r="G411" i="1" s="1"/>
  <c r="E411" i="1"/>
  <c r="BN410" i="1"/>
  <c r="BL410" i="1"/>
  <c r="BJ410" i="1"/>
  <c r="BI410" i="1"/>
  <c r="BF410" i="1"/>
  <c r="BG410" i="1" s="1"/>
  <c r="BE410" i="1"/>
  <c r="BC410" i="1"/>
  <c r="BB410" i="1"/>
  <c r="BA410" i="1"/>
  <c r="AY410" i="1"/>
  <c r="AX410" i="1"/>
  <c r="AW410" i="1"/>
  <c r="AU410" i="1"/>
  <c r="AT410" i="1"/>
  <c r="AS410" i="1"/>
  <c r="AP410" i="1"/>
  <c r="AQ410" i="1" s="1"/>
  <c r="AO410" i="1"/>
  <c r="AM410" i="1"/>
  <c r="AL410" i="1"/>
  <c r="AK410" i="1"/>
  <c r="AH410" i="1"/>
  <c r="AI410" i="1" s="1"/>
  <c r="AG410" i="1"/>
  <c r="AD410" i="1"/>
  <c r="AC410" i="1"/>
  <c r="Z410" i="1"/>
  <c r="AA410" i="1" s="1"/>
  <c r="Y410" i="1"/>
  <c r="W410" i="1"/>
  <c r="V410" i="1"/>
  <c r="U410" i="1"/>
  <c r="S410" i="1"/>
  <c r="R410" i="1"/>
  <c r="Q410" i="1"/>
  <c r="O410" i="1"/>
  <c r="N410" i="1"/>
  <c r="M410" i="1"/>
  <c r="J410" i="1"/>
  <c r="K410" i="1" s="1"/>
  <c r="I410" i="1"/>
  <c r="G410" i="1"/>
  <c r="F410" i="1"/>
  <c r="E410" i="1"/>
  <c r="BN409" i="1"/>
  <c r="BM409" i="1"/>
  <c r="BL409" i="1"/>
  <c r="BJ409" i="1"/>
  <c r="BI409" i="1"/>
  <c r="BG409" i="1"/>
  <c r="BF409" i="1"/>
  <c r="BE409" i="1"/>
  <c r="BB409" i="1"/>
  <c r="BC409" i="1" s="1"/>
  <c r="BA409" i="1"/>
  <c r="AX409" i="1"/>
  <c r="AW409" i="1"/>
  <c r="AT409" i="1"/>
  <c r="AU409" i="1" s="1"/>
  <c r="AS409" i="1"/>
  <c r="AQ409" i="1"/>
  <c r="AP409" i="1"/>
  <c r="AO409" i="1"/>
  <c r="AM409" i="1"/>
  <c r="AL409" i="1"/>
  <c r="AK409" i="1"/>
  <c r="AI409" i="1"/>
  <c r="AH409" i="1"/>
  <c r="AG409" i="1"/>
  <c r="AD409" i="1"/>
  <c r="AE409" i="1" s="1"/>
  <c r="AC409" i="1"/>
  <c r="AA409" i="1"/>
  <c r="Z409" i="1"/>
  <c r="Y409" i="1"/>
  <c r="V409" i="1"/>
  <c r="W409" i="1" s="1"/>
  <c r="U409" i="1"/>
  <c r="R409" i="1"/>
  <c r="Q409" i="1"/>
  <c r="N409" i="1"/>
  <c r="O409" i="1" s="1"/>
  <c r="M409" i="1"/>
  <c r="K409" i="1"/>
  <c r="J409" i="1"/>
  <c r="I409" i="1"/>
  <c r="G409" i="1"/>
  <c r="F409" i="1"/>
  <c r="E409" i="1"/>
  <c r="BN408" i="1"/>
  <c r="BM408" i="1" s="1"/>
  <c r="BL408" i="1"/>
  <c r="BJ408" i="1"/>
  <c r="BI408" i="1"/>
  <c r="BG408" i="1"/>
  <c r="BF408" i="1"/>
  <c r="BE408" i="1"/>
  <c r="BC408" i="1"/>
  <c r="BB408" i="1"/>
  <c r="BA408" i="1"/>
  <c r="AX408" i="1"/>
  <c r="AY408" i="1" s="1"/>
  <c r="AW408" i="1"/>
  <c r="AU408" i="1"/>
  <c r="AT408" i="1"/>
  <c r="AS408" i="1"/>
  <c r="AP408" i="1"/>
  <c r="AQ408" i="1" s="1"/>
  <c r="AO408" i="1"/>
  <c r="AL408" i="1"/>
  <c r="AM408" i="1" s="1"/>
  <c r="AK408" i="1"/>
  <c r="AH408" i="1"/>
  <c r="AI408" i="1" s="1"/>
  <c r="AG408" i="1"/>
  <c r="AE408" i="1"/>
  <c r="AD408" i="1"/>
  <c r="AC408" i="1"/>
  <c r="AA408" i="1"/>
  <c r="Z408" i="1"/>
  <c r="Y408" i="1"/>
  <c r="W408" i="1"/>
  <c r="V408" i="1"/>
  <c r="U408" i="1"/>
  <c r="R408" i="1"/>
  <c r="S408" i="1" s="1"/>
  <c r="Q408" i="1"/>
  <c r="O408" i="1"/>
  <c r="N408" i="1"/>
  <c r="M408" i="1"/>
  <c r="J408" i="1"/>
  <c r="K408" i="1" s="1"/>
  <c r="I408" i="1"/>
  <c r="F408" i="1"/>
  <c r="G408" i="1" s="1"/>
  <c r="E408" i="1"/>
  <c r="BN407" i="1"/>
  <c r="BL407" i="1"/>
  <c r="BJ407" i="1"/>
  <c r="BM407" i="1" s="1"/>
  <c r="BI407" i="1"/>
  <c r="BF407" i="1"/>
  <c r="BE407" i="1"/>
  <c r="BB407" i="1"/>
  <c r="BC407" i="1" s="1"/>
  <c r="BA407" i="1"/>
  <c r="AY407" i="1"/>
  <c r="AX407" i="1"/>
  <c r="AW407" i="1"/>
  <c r="AU407" i="1"/>
  <c r="AT407" i="1"/>
  <c r="AS407" i="1"/>
  <c r="AQ407" i="1"/>
  <c r="AP407" i="1"/>
  <c r="AO407" i="1"/>
  <c r="AL407" i="1"/>
  <c r="AM407" i="1" s="1"/>
  <c r="AK407" i="1"/>
  <c r="AI407" i="1"/>
  <c r="AH407" i="1"/>
  <c r="AG407" i="1"/>
  <c r="AD407" i="1"/>
  <c r="AE407" i="1" s="1"/>
  <c r="AC407" i="1"/>
  <c r="Z407" i="1"/>
  <c r="Y407" i="1"/>
  <c r="V407" i="1"/>
  <c r="W407" i="1" s="1"/>
  <c r="U407" i="1"/>
  <c r="S407" i="1"/>
  <c r="R407" i="1"/>
  <c r="Q407" i="1"/>
  <c r="O407" i="1"/>
  <c r="N407" i="1"/>
  <c r="M407" i="1"/>
  <c r="K407" i="1"/>
  <c r="J407" i="1"/>
  <c r="I407" i="1"/>
  <c r="F407" i="1"/>
  <c r="G407" i="1" s="1"/>
  <c r="E407" i="1"/>
  <c r="BN406" i="1"/>
  <c r="BM406" i="1" s="1"/>
  <c r="BL406" i="1"/>
  <c r="BJ406" i="1"/>
  <c r="BI406" i="1"/>
  <c r="BF406" i="1"/>
  <c r="BG406" i="1" s="1"/>
  <c r="BE406" i="1"/>
  <c r="BC406" i="1"/>
  <c r="BB406" i="1"/>
  <c r="BA406" i="1"/>
  <c r="AX406" i="1"/>
  <c r="AY406" i="1" s="1"/>
  <c r="AW406" i="1"/>
  <c r="AT406" i="1"/>
  <c r="AU406" i="1" s="1"/>
  <c r="AS406" i="1"/>
  <c r="AP406" i="1"/>
  <c r="AQ406" i="1" s="1"/>
  <c r="AO406" i="1"/>
  <c r="AM406" i="1"/>
  <c r="AL406" i="1"/>
  <c r="AK406" i="1"/>
  <c r="AI406" i="1"/>
  <c r="AH406" i="1"/>
  <c r="AG406" i="1"/>
  <c r="AE406" i="1"/>
  <c r="AD406" i="1"/>
  <c r="AC406" i="1"/>
  <c r="Z406" i="1"/>
  <c r="AA406" i="1" s="1"/>
  <c r="Y406" i="1"/>
  <c r="W406" i="1"/>
  <c r="V406" i="1"/>
  <c r="U406" i="1"/>
  <c r="R406" i="1"/>
  <c r="S406" i="1" s="1"/>
  <c r="Q406" i="1"/>
  <c r="N406" i="1"/>
  <c r="O406" i="1" s="1"/>
  <c r="M406" i="1"/>
  <c r="J406" i="1"/>
  <c r="K406" i="1" s="1"/>
  <c r="I406" i="1"/>
  <c r="G406" i="1"/>
  <c r="F406" i="1"/>
  <c r="E406" i="1"/>
  <c r="BN405" i="1"/>
  <c r="BL405" i="1"/>
  <c r="BJ405" i="1"/>
  <c r="BM405" i="1" s="1"/>
  <c r="BI405" i="1"/>
  <c r="BG405" i="1"/>
  <c r="BF405" i="1"/>
  <c r="BE405" i="1"/>
  <c r="BC405" i="1"/>
  <c r="BB405" i="1"/>
  <c r="BA405" i="1"/>
  <c r="AY405" i="1"/>
  <c r="AX405" i="1"/>
  <c r="AW405" i="1"/>
  <c r="AT405" i="1"/>
  <c r="AU405" i="1" s="1"/>
  <c r="AS405" i="1"/>
  <c r="AQ405" i="1"/>
  <c r="AP405" i="1"/>
  <c r="AO405" i="1"/>
  <c r="AL405" i="1"/>
  <c r="AM405" i="1" s="1"/>
  <c r="AK405" i="1"/>
  <c r="AH405" i="1"/>
  <c r="AG405" i="1"/>
  <c r="AD405" i="1"/>
  <c r="AE405" i="1" s="1"/>
  <c r="AC405" i="1"/>
  <c r="AA405" i="1"/>
  <c r="Z405" i="1"/>
  <c r="Y405" i="1"/>
  <c r="W405" i="1"/>
  <c r="V405" i="1"/>
  <c r="U405" i="1"/>
  <c r="S405" i="1"/>
  <c r="R405" i="1"/>
  <c r="Q405" i="1"/>
  <c r="N405" i="1"/>
  <c r="O405" i="1" s="1"/>
  <c r="M405" i="1"/>
  <c r="K405" i="1"/>
  <c r="J405" i="1"/>
  <c r="I405" i="1"/>
  <c r="F405" i="1"/>
  <c r="G405" i="1" s="1"/>
  <c r="E405" i="1"/>
  <c r="BN404" i="1"/>
  <c r="BM404" i="1"/>
  <c r="BL404" i="1"/>
  <c r="BJ404" i="1"/>
  <c r="BI404" i="1"/>
  <c r="BF404" i="1"/>
  <c r="BG404" i="1" s="1"/>
  <c r="BE404" i="1"/>
  <c r="BB404" i="1"/>
  <c r="BA404" i="1"/>
  <c r="AX404" i="1"/>
  <c r="AY404" i="1" s="1"/>
  <c r="AW404" i="1"/>
  <c r="AU404" i="1"/>
  <c r="AT404" i="1"/>
  <c r="AS404" i="1"/>
  <c r="AQ404" i="1"/>
  <c r="AP404" i="1"/>
  <c r="AO404" i="1"/>
  <c r="AM404" i="1"/>
  <c r="AL404" i="1"/>
  <c r="AK404" i="1"/>
  <c r="AH404" i="1"/>
  <c r="AI404" i="1" s="1"/>
  <c r="AG404" i="1"/>
  <c r="AE404" i="1"/>
  <c r="AD404" i="1"/>
  <c r="AC404" i="1"/>
  <c r="Z404" i="1"/>
  <c r="AA404" i="1" s="1"/>
  <c r="Y404" i="1"/>
  <c r="V404" i="1"/>
  <c r="U404" i="1"/>
  <c r="R404" i="1"/>
  <c r="S404" i="1" s="1"/>
  <c r="Q404" i="1"/>
  <c r="O404" i="1"/>
  <c r="N404" i="1"/>
  <c r="M404" i="1"/>
  <c r="K404" i="1"/>
  <c r="J404" i="1"/>
  <c r="I404" i="1"/>
  <c r="G404" i="1"/>
  <c r="F404" i="1"/>
  <c r="E404" i="1"/>
  <c r="BN403" i="1"/>
  <c r="BL403" i="1"/>
  <c r="BJ403" i="1"/>
  <c r="BM403" i="1" s="1"/>
  <c r="BI403" i="1"/>
  <c r="BG403" i="1"/>
  <c r="BF403" i="1"/>
  <c r="BE403" i="1"/>
  <c r="BB403" i="1"/>
  <c r="BC403" i="1" s="1"/>
  <c r="BA403" i="1"/>
  <c r="AY403" i="1"/>
  <c r="AX403" i="1"/>
  <c r="AW403" i="1"/>
  <c r="AT403" i="1"/>
  <c r="AU403" i="1" s="1"/>
  <c r="AS403" i="1"/>
  <c r="AP403" i="1"/>
  <c r="AO403" i="1"/>
  <c r="AL403" i="1"/>
  <c r="AM403" i="1" s="1"/>
  <c r="AK403" i="1"/>
  <c r="AI403" i="1"/>
  <c r="AH403" i="1"/>
  <c r="AG403" i="1"/>
  <c r="AE403" i="1"/>
  <c r="AD403" i="1"/>
  <c r="AC403" i="1"/>
  <c r="AA403" i="1"/>
  <c r="Z403" i="1"/>
  <c r="Y403" i="1"/>
  <c r="V403" i="1"/>
  <c r="W403" i="1" s="1"/>
  <c r="U403" i="1"/>
  <c r="S403" i="1"/>
  <c r="R403" i="1"/>
  <c r="Q403" i="1"/>
  <c r="N403" i="1"/>
  <c r="O403" i="1" s="1"/>
  <c r="M403" i="1"/>
  <c r="J403" i="1"/>
  <c r="I403" i="1"/>
  <c r="F403" i="1"/>
  <c r="G403" i="1" s="1"/>
  <c r="E403" i="1"/>
  <c r="BN402" i="1"/>
  <c r="BL402" i="1"/>
  <c r="BJ402" i="1"/>
  <c r="BM402" i="1" s="1"/>
  <c r="BI402" i="1"/>
  <c r="BF402" i="1"/>
  <c r="BG402" i="1" s="1"/>
  <c r="BE402" i="1"/>
  <c r="BC402" i="1"/>
  <c r="BB402" i="1"/>
  <c r="BA402" i="1"/>
  <c r="AY402" i="1"/>
  <c r="AX402" i="1"/>
  <c r="AW402" i="1"/>
  <c r="AU402" i="1"/>
  <c r="AT402" i="1"/>
  <c r="AS402" i="1"/>
  <c r="AP402" i="1"/>
  <c r="AQ402" i="1" s="1"/>
  <c r="AO402" i="1"/>
  <c r="AM402" i="1"/>
  <c r="AL402" i="1"/>
  <c r="AK402" i="1"/>
  <c r="AH402" i="1"/>
  <c r="AI402" i="1" s="1"/>
  <c r="AG402" i="1"/>
  <c r="AD402" i="1"/>
  <c r="AC402" i="1"/>
  <c r="Z402" i="1"/>
  <c r="AA402" i="1" s="1"/>
  <c r="Y402" i="1"/>
  <c r="W402" i="1"/>
  <c r="V402" i="1"/>
  <c r="U402" i="1"/>
  <c r="S402" i="1"/>
  <c r="R402" i="1"/>
  <c r="Q402" i="1"/>
  <c r="O402" i="1"/>
  <c r="N402" i="1"/>
  <c r="M402" i="1"/>
  <c r="J402" i="1"/>
  <c r="K402" i="1" s="1"/>
  <c r="I402" i="1"/>
  <c r="G402" i="1"/>
  <c r="F402" i="1"/>
  <c r="E402" i="1"/>
  <c r="BN401" i="1"/>
  <c r="BM401" i="1"/>
  <c r="BL401" i="1"/>
  <c r="BJ401" i="1"/>
  <c r="BI401" i="1"/>
  <c r="BG401" i="1"/>
  <c r="BF401" i="1"/>
  <c r="BE401" i="1"/>
  <c r="BB401" i="1"/>
  <c r="BC401" i="1" s="1"/>
  <c r="BA401" i="1"/>
  <c r="AX401" i="1"/>
  <c r="AY401" i="1" s="1"/>
  <c r="AW401" i="1"/>
  <c r="AT401" i="1"/>
  <c r="AU401" i="1" s="1"/>
  <c r="AS401" i="1"/>
  <c r="AQ401" i="1"/>
  <c r="AP401" i="1"/>
  <c r="AO401" i="1"/>
  <c r="AM401" i="1"/>
  <c r="AL401" i="1"/>
  <c r="AK401" i="1"/>
  <c r="AI401" i="1"/>
  <c r="AH401" i="1"/>
  <c r="AG401" i="1"/>
  <c r="AD401" i="1"/>
  <c r="AE401" i="1" s="1"/>
  <c r="AC401" i="1"/>
  <c r="AA401" i="1"/>
  <c r="Z401" i="1"/>
  <c r="Y401" i="1"/>
  <c r="V401" i="1"/>
  <c r="W401" i="1" s="1"/>
  <c r="U401" i="1"/>
  <c r="R401" i="1"/>
  <c r="Q401" i="1"/>
  <c r="N401" i="1"/>
  <c r="O401" i="1" s="1"/>
  <c r="M401" i="1"/>
  <c r="K401" i="1"/>
  <c r="J401" i="1"/>
  <c r="I401" i="1"/>
  <c r="G401" i="1"/>
  <c r="F401" i="1"/>
  <c r="E401" i="1"/>
  <c r="BN400" i="1"/>
  <c r="BL400" i="1"/>
  <c r="BJ400" i="1"/>
  <c r="BM400" i="1" s="1"/>
  <c r="BI400" i="1"/>
  <c r="BG400" i="1"/>
  <c r="BF400" i="1"/>
  <c r="BE400" i="1"/>
  <c r="BC400" i="1"/>
  <c r="BB400" i="1"/>
  <c r="BA400" i="1"/>
  <c r="AY400" i="1"/>
  <c r="AX400" i="1"/>
  <c r="AW400" i="1"/>
  <c r="AU400" i="1"/>
  <c r="AT400" i="1"/>
  <c r="AS400" i="1"/>
  <c r="AP400" i="1"/>
  <c r="AQ400" i="1" s="1"/>
  <c r="AO400" i="1"/>
  <c r="AL400" i="1"/>
  <c r="AM400" i="1" s="1"/>
  <c r="AK400" i="1"/>
  <c r="AH400" i="1"/>
  <c r="AI400" i="1" s="1"/>
  <c r="AG400" i="1"/>
  <c r="AE400" i="1"/>
  <c r="AD400" i="1"/>
  <c r="AC400" i="1"/>
  <c r="AA400" i="1"/>
  <c r="Z400" i="1"/>
  <c r="Y400" i="1"/>
  <c r="W400" i="1"/>
  <c r="V400" i="1"/>
  <c r="U400" i="1"/>
  <c r="S400" i="1"/>
  <c r="R400" i="1"/>
  <c r="Q400" i="1"/>
  <c r="O400" i="1"/>
  <c r="N400" i="1"/>
  <c r="M400" i="1"/>
  <c r="J400" i="1"/>
  <c r="K400" i="1" s="1"/>
  <c r="I400" i="1"/>
  <c r="F400" i="1"/>
  <c r="G400" i="1" s="1"/>
  <c r="E400" i="1"/>
  <c r="BN399" i="1"/>
  <c r="BL399" i="1"/>
  <c r="BJ399" i="1"/>
  <c r="BM399" i="1" s="1"/>
  <c r="BI399" i="1"/>
  <c r="BF399" i="1"/>
  <c r="BE399" i="1"/>
  <c r="BB399" i="1"/>
  <c r="BC399" i="1" s="1"/>
  <c r="BA399" i="1"/>
  <c r="AY399" i="1"/>
  <c r="AX399" i="1"/>
  <c r="AW399" i="1"/>
  <c r="AU399" i="1"/>
  <c r="AT399" i="1"/>
  <c r="AS399" i="1"/>
  <c r="AQ399" i="1"/>
  <c r="AP399" i="1"/>
  <c r="AO399" i="1"/>
  <c r="AM399" i="1"/>
  <c r="AL399" i="1"/>
  <c r="AK399" i="1"/>
  <c r="AI399" i="1"/>
  <c r="AH399" i="1"/>
  <c r="AG399" i="1"/>
  <c r="AD399" i="1"/>
  <c r="AE399" i="1" s="1"/>
  <c r="AC399" i="1"/>
  <c r="Z399" i="1"/>
  <c r="AA399" i="1" s="1"/>
  <c r="Y399" i="1"/>
  <c r="V399" i="1"/>
  <c r="W399" i="1" s="1"/>
  <c r="U399" i="1"/>
  <c r="S399" i="1"/>
  <c r="R399" i="1"/>
  <c r="Q399" i="1"/>
  <c r="O399" i="1"/>
  <c r="N399" i="1"/>
  <c r="M399" i="1"/>
  <c r="K399" i="1"/>
  <c r="J399" i="1"/>
  <c r="I399" i="1"/>
  <c r="G399" i="1"/>
  <c r="F399" i="1"/>
  <c r="E399" i="1"/>
  <c r="BN398" i="1"/>
  <c r="BL398" i="1"/>
  <c r="BJ398" i="1"/>
  <c r="BM398" i="1" s="1"/>
  <c r="BI398" i="1"/>
  <c r="BG398" i="1"/>
  <c r="BF398" i="1"/>
  <c r="BE398" i="1"/>
  <c r="BC398" i="1"/>
  <c r="BB398" i="1"/>
  <c r="BA398" i="1"/>
  <c r="AX398" i="1"/>
  <c r="AY398" i="1" s="1"/>
  <c r="AW398" i="1"/>
  <c r="AT398" i="1"/>
  <c r="AS398" i="1"/>
  <c r="AP398" i="1"/>
  <c r="AQ398" i="1" s="1"/>
  <c r="AO398" i="1"/>
  <c r="AM398" i="1"/>
  <c r="AL398" i="1"/>
  <c r="AK398" i="1"/>
  <c r="AI398" i="1"/>
  <c r="AH398" i="1"/>
  <c r="AG398" i="1"/>
  <c r="AE398" i="1"/>
  <c r="AD398" i="1"/>
  <c r="AC398" i="1"/>
  <c r="AA398" i="1"/>
  <c r="Z398" i="1"/>
  <c r="Y398" i="1"/>
  <c r="W398" i="1"/>
  <c r="V398" i="1"/>
  <c r="U398" i="1"/>
  <c r="R398" i="1"/>
  <c r="S398" i="1" s="1"/>
  <c r="Q398" i="1"/>
  <c r="N398" i="1"/>
  <c r="O398" i="1" s="1"/>
  <c r="M398" i="1"/>
  <c r="J398" i="1"/>
  <c r="K398" i="1" s="1"/>
  <c r="I398" i="1"/>
  <c r="G398" i="1"/>
  <c r="F398" i="1"/>
  <c r="E398" i="1"/>
  <c r="BN397" i="1"/>
  <c r="BL397" i="1"/>
  <c r="BJ397" i="1"/>
  <c r="BM397" i="1" s="1"/>
  <c r="BI397" i="1"/>
  <c r="BG397" i="1"/>
  <c r="BF397" i="1"/>
  <c r="BE397" i="1"/>
  <c r="BC397" i="1"/>
  <c r="BB397" i="1"/>
  <c r="BA397" i="1"/>
  <c r="AY397" i="1"/>
  <c r="AX397" i="1"/>
  <c r="AW397" i="1"/>
  <c r="AU397" i="1"/>
  <c r="AT397" i="1"/>
  <c r="AS397" i="1"/>
  <c r="AQ397" i="1"/>
  <c r="AP397" i="1"/>
  <c r="AO397" i="1"/>
  <c r="AL397" i="1"/>
  <c r="AM397" i="1" s="1"/>
  <c r="AK397" i="1"/>
  <c r="AH397" i="1"/>
  <c r="AI397" i="1" s="1"/>
  <c r="AG397" i="1"/>
  <c r="AD397" i="1"/>
  <c r="AE397" i="1" s="1"/>
  <c r="AC397" i="1"/>
  <c r="AA397" i="1"/>
  <c r="Z397" i="1"/>
  <c r="Y397" i="1"/>
  <c r="W397" i="1"/>
  <c r="V397" i="1"/>
  <c r="T397" i="1"/>
  <c r="U397" i="1" s="1"/>
  <c r="R397" i="1"/>
  <c r="Q397" i="1"/>
  <c r="P397" i="1"/>
  <c r="N397" i="1"/>
  <c r="L397" i="1"/>
  <c r="M397" i="1" s="1"/>
  <c r="J397" i="1"/>
  <c r="I397" i="1"/>
  <c r="H397" i="1"/>
  <c r="F397" i="1"/>
  <c r="D397" i="1"/>
  <c r="E397" i="1" s="1"/>
  <c r="BN396" i="1"/>
  <c r="BM396" i="1"/>
  <c r="BL396" i="1"/>
  <c r="BJ396" i="1"/>
  <c r="BI396" i="1"/>
  <c r="BG396" i="1"/>
  <c r="BF396" i="1"/>
  <c r="BE396" i="1"/>
  <c r="BB396" i="1"/>
  <c r="BC396" i="1" s="1"/>
  <c r="BA396" i="1"/>
  <c r="AX396" i="1"/>
  <c r="AW396" i="1"/>
  <c r="AT396" i="1"/>
  <c r="AU396" i="1" s="1"/>
  <c r="AS396" i="1"/>
  <c r="AQ396" i="1"/>
  <c r="AP396" i="1"/>
  <c r="AO396" i="1"/>
  <c r="AM396" i="1"/>
  <c r="AL396" i="1"/>
  <c r="AK396" i="1"/>
  <c r="AI396" i="1"/>
  <c r="AH396" i="1"/>
  <c r="AG396" i="1"/>
  <c r="AE396" i="1"/>
  <c r="AD396" i="1"/>
  <c r="AC396" i="1"/>
  <c r="AA396" i="1"/>
  <c r="Z396" i="1"/>
  <c r="Y396" i="1"/>
  <c r="V396" i="1"/>
  <c r="U396" i="1"/>
  <c r="T396" i="1"/>
  <c r="R396" i="1"/>
  <c r="P396" i="1"/>
  <c r="Q396" i="1" s="1"/>
  <c r="N396" i="1"/>
  <c r="M396" i="1"/>
  <c r="L396" i="1"/>
  <c r="J396" i="1"/>
  <c r="H396" i="1"/>
  <c r="I396" i="1" s="1"/>
  <c r="F396" i="1"/>
  <c r="G396" i="1" s="1"/>
  <c r="E396" i="1"/>
  <c r="D396" i="1"/>
  <c r="BN395" i="1"/>
  <c r="BL395" i="1"/>
  <c r="BJ395" i="1"/>
  <c r="BM395" i="1" s="1"/>
  <c r="BI395" i="1"/>
  <c r="BG395" i="1"/>
  <c r="BF395" i="1"/>
  <c r="BE395" i="1"/>
  <c r="BC395" i="1"/>
  <c r="BB395" i="1"/>
  <c r="BA395" i="1"/>
  <c r="AY395" i="1"/>
  <c r="AX395" i="1"/>
  <c r="AW395" i="1"/>
  <c r="AU395" i="1"/>
  <c r="AT395" i="1"/>
  <c r="AS395" i="1"/>
  <c r="AQ395" i="1"/>
  <c r="AP395" i="1"/>
  <c r="AO395" i="1"/>
  <c r="AL395" i="1"/>
  <c r="AM395" i="1" s="1"/>
  <c r="AK395" i="1"/>
  <c r="AH395" i="1"/>
  <c r="AI395" i="1" s="1"/>
  <c r="AG395" i="1"/>
  <c r="AD395" i="1"/>
  <c r="AE395" i="1" s="1"/>
  <c r="AC395" i="1"/>
  <c r="AA395" i="1"/>
  <c r="Z395" i="1"/>
  <c r="Y395" i="1"/>
  <c r="W395" i="1"/>
  <c r="V395" i="1"/>
  <c r="T395" i="1"/>
  <c r="U395" i="1" s="1"/>
  <c r="R395" i="1"/>
  <c r="Q395" i="1"/>
  <c r="P395" i="1"/>
  <c r="N395" i="1"/>
  <c r="L395" i="1"/>
  <c r="M395" i="1" s="1"/>
  <c r="J395" i="1"/>
  <c r="I395" i="1"/>
  <c r="H395" i="1"/>
  <c r="F395" i="1"/>
  <c r="D395" i="1"/>
  <c r="E395" i="1" s="1"/>
  <c r="BN394" i="1"/>
  <c r="BM394" i="1"/>
  <c r="BL394" i="1"/>
  <c r="BJ394" i="1"/>
  <c r="BI394" i="1"/>
  <c r="BG394" i="1"/>
  <c r="BF394" i="1"/>
  <c r="BE394" i="1"/>
  <c r="BB394" i="1"/>
  <c r="BC394" i="1" s="1"/>
  <c r="BA394" i="1"/>
  <c r="AX394" i="1"/>
  <c r="AW394" i="1"/>
  <c r="AT394" i="1"/>
  <c r="AU394" i="1" s="1"/>
  <c r="AS394" i="1"/>
  <c r="AQ394" i="1"/>
  <c r="AP394" i="1"/>
  <c r="AO394" i="1"/>
  <c r="AM394" i="1"/>
  <c r="AL394" i="1"/>
  <c r="AK394" i="1"/>
  <c r="AI394" i="1"/>
  <c r="AH394" i="1"/>
  <c r="AG394" i="1"/>
  <c r="AE394" i="1"/>
  <c r="AD394" i="1"/>
  <c r="AC394" i="1"/>
  <c r="AA394" i="1"/>
  <c r="Z394" i="1"/>
  <c r="Y394" i="1"/>
  <c r="V394" i="1"/>
  <c r="W394" i="1" s="1"/>
  <c r="U394" i="1"/>
  <c r="R394" i="1"/>
  <c r="Q394" i="1"/>
  <c r="N394" i="1"/>
  <c r="O394" i="1" s="1"/>
  <c r="M394" i="1"/>
  <c r="K394" i="1"/>
  <c r="J394" i="1"/>
  <c r="I394" i="1"/>
  <c r="G394" i="1"/>
  <c r="F394" i="1"/>
  <c r="E394" i="1"/>
  <c r="BN393" i="1"/>
  <c r="BL393" i="1"/>
  <c r="BJ393" i="1"/>
  <c r="BM393" i="1" s="1"/>
  <c r="BI393" i="1"/>
  <c r="BG393" i="1"/>
  <c r="BF393" i="1"/>
  <c r="BE393" i="1"/>
  <c r="BC393" i="1"/>
  <c r="BB393" i="1"/>
  <c r="BA393" i="1"/>
  <c r="AY393" i="1"/>
  <c r="AX393" i="1"/>
  <c r="AW393" i="1"/>
  <c r="AU393" i="1"/>
  <c r="AT393" i="1"/>
  <c r="AS393" i="1"/>
  <c r="AP393" i="1"/>
  <c r="AQ393" i="1" s="1"/>
  <c r="AO393" i="1"/>
  <c r="AL393" i="1"/>
  <c r="AK393" i="1"/>
  <c r="AH393" i="1"/>
  <c r="AE393" i="1" s="1"/>
  <c r="AF393" i="1"/>
  <c r="AG393" i="1" s="1"/>
  <c r="AD393" i="1"/>
  <c r="AC393" i="1"/>
  <c r="AB393" i="1"/>
  <c r="Z393" i="1"/>
  <c r="AA393" i="1" s="1"/>
  <c r="Y393" i="1"/>
  <c r="W393" i="1"/>
  <c r="V393" i="1"/>
  <c r="U393" i="1"/>
  <c r="S393" i="1"/>
  <c r="R393" i="1"/>
  <c r="Q393" i="1"/>
  <c r="O393" i="1"/>
  <c r="N393" i="1"/>
  <c r="M393" i="1"/>
  <c r="K393" i="1"/>
  <c r="J393" i="1"/>
  <c r="I393" i="1"/>
  <c r="G393" i="1"/>
  <c r="F393" i="1"/>
  <c r="E393" i="1"/>
  <c r="BN392" i="1"/>
  <c r="BM392" i="1"/>
  <c r="BL392" i="1"/>
  <c r="BJ392" i="1"/>
  <c r="BI392" i="1"/>
  <c r="BG392" i="1"/>
  <c r="BF392" i="1"/>
  <c r="BE392" i="1"/>
  <c r="BB392" i="1"/>
  <c r="BC392" i="1" s="1"/>
  <c r="BA392" i="1"/>
  <c r="AX392" i="1"/>
  <c r="AY392" i="1" s="1"/>
  <c r="AW392" i="1"/>
  <c r="AT392" i="1"/>
  <c r="AU392" i="1" s="1"/>
  <c r="AS392" i="1"/>
  <c r="AQ392" i="1"/>
  <c r="AP392" i="1"/>
  <c r="AO392" i="1"/>
  <c r="AM392" i="1"/>
  <c r="AL392" i="1"/>
  <c r="AK392" i="1"/>
  <c r="AI392" i="1"/>
  <c r="AH392" i="1"/>
  <c r="AG392" i="1"/>
  <c r="AF392" i="1"/>
  <c r="AD392" i="1"/>
  <c r="AE392" i="1" s="1"/>
  <c r="AC392" i="1"/>
  <c r="AB392" i="1"/>
  <c r="AA392" i="1"/>
  <c r="Z392" i="1"/>
  <c r="Y392" i="1"/>
  <c r="W392" i="1"/>
  <c r="V392" i="1"/>
  <c r="U392" i="1"/>
  <c r="S392" i="1"/>
  <c r="R392" i="1"/>
  <c r="Q392" i="1"/>
  <c r="N392" i="1"/>
  <c r="O392" i="1" s="1"/>
  <c r="M392" i="1"/>
  <c r="J392" i="1"/>
  <c r="K392" i="1" s="1"/>
  <c r="I392" i="1"/>
  <c r="F392" i="1"/>
  <c r="G392" i="1" s="1"/>
  <c r="E392" i="1"/>
  <c r="BN391" i="1"/>
  <c r="BL391" i="1"/>
  <c r="BJ391" i="1"/>
  <c r="BI391" i="1"/>
  <c r="BF391" i="1"/>
  <c r="BG391" i="1" s="1"/>
  <c r="BE391" i="1"/>
  <c r="BC391" i="1"/>
  <c r="BB391" i="1"/>
  <c r="BA391" i="1"/>
  <c r="AY391" i="1"/>
  <c r="AX391" i="1"/>
  <c r="AW391" i="1"/>
  <c r="AU391" i="1"/>
  <c r="AT391" i="1"/>
  <c r="AS391" i="1"/>
  <c r="AQ391" i="1"/>
  <c r="AP391" i="1"/>
  <c r="AO391" i="1"/>
  <c r="AM391" i="1"/>
  <c r="AL391" i="1"/>
  <c r="AK391" i="1"/>
  <c r="AH391" i="1"/>
  <c r="AG391" i="1"/>
  <c r="AF391" i="1"/>
  <c r="AD391" i="1"/>
  <c r="AB391" i="1"/>
  <c r="AC391" i="1" s="1"/>
  <c r="Z391" i="1"/>
  <c r="AA391" i="1" s="1"/>
  <c r="Y391" i="1"/>
  <c r="V391" i="1"/>
  <c r="W391" i="1" s="1"/>
  <c r="U391" i="1"/>
  <c r="R391" i="1"/>
  <c r="S391" i="1" s="1"/>
  <c r="Q391" i="1"/>
  <c r="O391" i="1"/>
  <c r="N391" i="1"/>
  <c r="M391" i="1"/>
  <c r="K391" i="1"/>
  <c r="J391" i="1"/>
  <c r="I391" i="1"/>
  <c r="G391" i="1"/>
  <c r="F391" i="1"/>
  <c r="E391" i="1"/>
  <c r="BN390" i="1"/>
  <c r="BL390" i="1"/>
  <c r="BJ390" i="1"/>
  <c r="BM390" i="1" s="1"/>
  <c r="BI390" i="1"/>
  <c r="BG390" i="1"/>
  <c r="BF390" i="1"/>
  <c r="BE390" i="1"/>
  <c r="BC390" i="1"/>
  <c r="BB390" i="1"/>
  <c r="BA390" i="1"/>
  <c r="AY390" i="1"/>
  <c r="AX390" i="1"/>
  <c r="AW390" i="1"/>
  <c r="AT390" i="1"/>
  <c r="AU390" i="1" s="1"/>
  <c r="AS390" i="1"/>
  <c r="AP390" i="1"/>
  <c r="AQ390" i="1" s="1"/>
  <c r="AO390" i="1"/>
  <c r="AL390" i="1"/>
  <c r="AM390" i="1" s="1"/>
  <c r="AK390" i="1"/>
  <c r="AI390" i="1"/>
  <c r="AH390" i="1"/>
  <c r="AG390" i="1"/>
  <c r="AE390" i="1"/>
  <c r="AD390" i="1"/>
  <c r="AC390" i="1"/>
  <c r="AA390" i="1"/>
  <c r="Z390" i="1"/>
  <c r="Y390" i="1"/>
  <c r="W390" i="1"/>
  <c r="V390" i="1"/>
  <c r="U390" i="1"/>
  <c r="S390" i="1"/>
  <c r="R390" i="1"/>
  <c r="Q390" i="1"/>
  <c r="N390" i="1"/>
  <c r="O390" i="1" s="1"/>
  <c r="M390" i="1"/>
  <c r="J390" i="1"/>
  <c r="I390" i="1"/>
  <c r="F390" i="1"/>
  <c r="G390" i="1" s="1"/>
  <c r="E390" i="1"/>
  <c r="BN389" i="1"/>
  <c r="BL389" i="1"/>
  <c r="BJ389" i="1"/>
  <c r="BI389" i="1"/>
  <c r="BF389" i="1"/>
  <c r="BG389" i="1" s="1"/>
  <c r="BE389" i="1"/>
  <c r="BC389" i="1"/>
  <c r="BB389" i="1"/>
  <c r="BA389" i="1"/>
  <c r="AY389" i="1"/>
  <c r="AX389" i="1"/>
  <c r="AW389" i="1"/>
  <c r="AU389" i="1"/>
  <c r="AT389" i="1"/>
  <c r="AS389" i="1"/>
  <c r="AQ389" i="1"/>
  <c r="AP389" i="1"/>
  <c r="AO389" i="1"/>
  <c r="AM389" i="1"/>
  <c r="AL389" i="1"/>
  <c r="AK389" i="1"/>
  <c r="AH389" i="1"/>
  <c r="AG389" i="1"/>
  <c r="AF389" i="1"/>
  <c r="AD389" i="1"/>
  <c r="AB389" i="1"/>
  <c r="AC389" i="1" s="1"/>
  <c r="Z389" i="1"/>
  <c r="Y389" i="1"/>
  <c r="X389" i="1"/>
  <c r="V389" i="1"/>
  <c r="T389" i="1"/>
  <c r="U389" i="1" s="1"/>
  <c r="R389" i="1"/>
  <c r="Q389" i="1"/>
  <c r="P389" i="1"/>
  <c r="N389" i="1"/>
  <c r="L389" i="1"/>
  <c r="M389" i="1" s="1"/>
  <c r="J389" i="1"/>
  <c r="I389" i="1"/>
  <c r="H389" i="1"/>
  <c r="F389" i="1"/>
  <c r="E389" i="1"/>
  <c r="BN388" i="1"/>
  <c r="BL388" i="1"/>
  <c r="BJ388" i="1"/>
  <c r="BM388" i="1" s="1"/>
  <c r="BI388" i="1"/>
  <c r="BG388" i="1"/>
  <c r="BF388" i="1"/>
  <c r="BE388" i="1"/>
  <c r="BC388" i="1"/>
  <c r="BB388" i="1"/>
  <c r="BA388" i="1"/>
  <c r="AY388" i="1"/>
  <c r="AX388" i="1"/>
  <c r="AW388" i="1"/>
  <c r="AU388" i="1"/>
  <c r="AT388" i="1"/>
  <c r="AS388" i="1"/>
  <c r="AP388" i="1"/>
  <c r="AQ388" i="1" s="1"/>
  <c r="AO388" i="1"/>
  <c r="AL388" i="1"/>
  <c r="AM388" i="1" s="1"/>
  <c r="AK388" i="1"/>
  <c r="AH388" i="1"/>
  <c r="AE388" i="1" s="1"/>
  <c r="AF388" i="1"/>
  <c r="AG388" i="1" s="1"/>
  <c r="AD388" i="1"/>
  <c r="AC388" i="1"/>
  <c r="AB388" i="1"/>
  <c r="Z388" i="1"/>
  <c r="W388" i="1" s="1"/>
  <c r="X388" i="1"/>
  <c r="Y388" i="1" s="1"/>
  <c r="V388" i="1"/>
  <c r="U388" i="1"/>
  <c r="T388" i="1"/>
  <c r="R388" i="1"/>
  <c r="O388" i="1" s="1"/>
  <c r="P388" i="1"/>
  <c r="Q388" i="1" s="1"/>
  <c r="N388" i="1"/>
  <c r="M388" i="1"/>
  <c r="L388" i="1"/>
  <c r="J388" i="1"/>
  <c r="G388" i="1" s="1"/>
  <c r="H388" i="1"/>
  <c r="I388" i="1" s="1"/>
  <c r="F388" i="1"/>
  <c r="E388" i="1"/>
  <c r="BN387" i="1"/>
  <c r="BM387" i="1" s="1"/>
  <c r="BL387" i="1"/>
  <c r="BJ387" i="1"/>
  <c r="BI387" i="1"/>
  <c r="BG387" i="1"/>
  <c r="BF387" i="1"/>
  <c r="BE387" i="1"/>
  <c r="BC387" i="1"/>
  <c r="BB387" i="1"/>
  <c r="BA387" i="1"/>
  <c r="AX387" i="1"/>
  <c r="AY387" i="1" s="1"/>
  <c r="AW387" i="1"/>
  <c r="AT387" i="1"/>
  <c r="AS387" i="1"/>
  <c r="AP387" i="1"/>
  <c r="AQ387" i="1" s="1"/>
  <c r="AO387" i="1"/>
  <c r="AM387" i="1"/>
  <c r="AL387" i="1"/>
  <c r="AJ387" i="1"/>
  <c r="AK387" i="1" s="1"/>
  <c r="AI387" i="1"/>
  <c r="AH387" i="1"/>
  <c r="AG387" i="1"/>
  <c r="AF387" i="1"/>
  <c r="AE387" i="1"/>
  <c r="AD387" i="1"/>
  <c r="AB387" i="1"/>
  <c r="AC387" i="1" s="1"/>
  <c r="AA387" i="1"/>
  <c r="Z387" i="1"/>
  <c r="Y387" i="1"/>
  <c r="X387" i="1"/>
  <c r="W387" i="1"/>
  <c r="V387" i="1"/>
  <c r="T387" i="1"/>
  <c r="U387" i="1" s="1"/>
  <c r="S387" i="1"/>
  <c r="R387" i="1"/>
  <c r="Q387" i="1"/>
  <c r="P387" i="1"/>
  <c r="O387" i="1"/>
  <c r="N387" i="1"/>
  <c r="L387" i="1"/>
  <c r="M387" i="1" s="1"/>
  <c r="K387" i="1"/>
  <c r="J387" i="1"/>
  <c r="I387" i="1"/>
  <c r="H387" i="1"/>
  <c r="G387" i="1"/>
  <c r="F387" i="1"/>
  <c r="E387" i="1"/>
  <c r="BN386" i="1"/>
  <c r="BL386" i="1"/>
  <c r="BJ386" i="1"/>
  <c r="BM386" i="1" s="1"/>
  <c r="BI386" i="1"/>
  <c r="BG386" i="1"/>
  <c r="BF386" i="1"/>
  <c r="BE386" i="1"/>
  <c r="BC386" i="1"/>
  <c r="BB386" i="1"/>
  <c r="BA386" i="1"/>
  <c r="AY386" i="1"/>
  <c r="AX386" i="1"/>
  <c r="AW386" i="1"/>
  <c r="AU386" i="1"/>
  <c r="AT386" i="1"/>
  <c r="AS386" i="1"/>
  <c r="AQ386" i="1"/>
  <c r="AP386" i="1"/>
  <c r="AO386" i="1"/>
  <c r="AL386" i="1"/>
  <c r="AM386" i="1" s="1"/>
  <c r="AK386" i="1"/>
  <c r="AH386" i="1"/>
  <c r="AG386" i="1"/>
  <c r="AD386" i="1"/>
  <c r="AE386" i="1" s="1"/>
  <c r="AC386" i="1"/>
  <c r="AA386" i="1"/>
  <c r="Z386" i="1"/>
  <c r="Y386" i="1"/>
  <c r="W386" i="1"/>
  <c r="V386" i="1"/>
  <c r="U386" i="1"/>
  <c r="S386" i="1"/>
  <c r="R386" i="1"/>
  <c r="Q386" i="1"/>
  <c r="O386" i="1"/>
  <c r="N386" i="1"/>
  <c r="M386" i="1"/>
  <c r="K386" i="1"/>
  <c r="J386" i="1"/>
  <c r="I386" i="1"/>
  <c r="F386" i="1"/>
  <c r="G386" i="1" s="1"/>
  <c r="E386" i="1"/>
  <c r="BN385" i="1"/>
  <c r="BM385" i="1"/>
  <c r="BL385" i="1"/>
  <c r="BJ385" i="1"/>
  <c r="BI385" i="1"/>
  <c r="BF385" i="1"/>
  <c r="BG385" i="1" s="1"/>
  <c r="BE385" i="1"/>
  <c r="BB385" i="1"/>
  <c r="BA385" i="1"/>
  <c r="AX385" i="1"/>
  <c r="AY385" i="1" s="1"/>
  <c r="AW385" i="1"/>
  <c r="AU385" i="1"/>
  <c r="AT385" i="1"/>
  <c r="AS385" i="1"/>
  <c r="AQ385" i="1"/>
  <c r="AP385" i="1"/>
  <c r="AO385" i="1"/>
  <c r="AM385" i="1"/>
  <c r="AL385" i="1"/>
  <c r="AK385" i="1"/>
  <c r="AI385" i="1"/>
  <c r="AH385" i="1"/>
  <c r="AG385" i="1"/>
  <c r="AE385" i="1"/>
  <c r="AD385" i="1"/>
  <c r="AC385" i="1"/>
  <c r="Z385" i="1"/>
  <c r="AA385" i="1" s="1"/>
  <c r="Y385" i="1"/>
  <c r="V385" i="1"/>
  <c r="U385" i="1"/>
  <c r="R385" i="1"/>
  <c r="S385" i="1" s="1"/>
  <c r="Q385" i="1"/>
  <c r="O385" i="1"/>
  <c r="N385" i="1"/>
  <c r="M385" i="1"/>
  <c r="K385" i="1"/>
  <c r="J385" i="1"/>
  <c r="I385" i="1"/>
  <c r="G385" i="1"/>
  <c r="F385" i="1"/>
  <c r="E385" i="1"/>
  <c r="D385" i="1"/>
  <c r="BN384" i="1"/>
  <c r="BM384" i="1"/>
  <c r="BL384" i="1"/>
  <c r="BJ384" i="1"/>
  <c r="BI384" i="1"/>
  <c r="BF384" i="1"/>
  <c r="BG384" i="1" s="1"/>
  <c r="BE384" i="1"/>
  <c r="BB384" i="1"/>
  <c r="BA384" i="1"/>
  <c r="AX384" i="1"/>
  <c r="AY384" i="1" s="1"/>
  <c r="AW384" i="1"/>
  <c r="AU384" i="1"/>
  <c r="AT384" i="1"/>
  <c r="AS384" i="1"/>
  <c r="AQ384" i="1"/>
  <c r="AP384" i="1"/>
  <c r="AO384" i="1"/>
  <c r="AM384" i="1"/>
  <c r="AL384" i="1"/>
  <c r="AK384" i="1"/>
  <c r="AI384" i="1"/>
  <c r="AH384" i="1"/>
  <c r="AG384" i="1"/>
  <c r="AE384" i="1"/>
  <c r="AD384" i="1"/>
  <c r="AC384" i="1"/>
  <c r="Z384" i="1"/>
  <c r="AA384" i="1" s="1"/>
  <c r="Y384" i="1"/>
  <c r="V384" i="1"/>
  <c r="W384" i="1" s="1"/>
  <c r="U384" i="1"/>
  <c r="R384" i="1"/>
  <c r="S384" i="1" s="1"/>
  <c r="Q384" i="1"/>
  <c r="O384" i="1"/>
  <c r="N384" i="1"/>
  <c r="M384" i="1"/>
  <c r="K384" i="1"/>
  <c r="J384" i="1"/>
  <c r="I384" i="1"/>
  <c r="G384" i="1"/>
  <c r="F384" i="1"/>
  <c r="E384" i="1"/>
  <c r="D384" i="1"/>
  <c r="BN383" i="1"/>
  <c r="BM383" i="1"/>
  <c r="BL383" i="1"/>
  <c r="BJ383" i="1"/>
  <c r="BI383" i="1"/>
  <c r="BF383" i="1"/>
  <c r="BG383" i="1" s="1"/>
  <c r="BE383" i="1"/>
  <c r="BB383" i="1"/>
  <c r="BA383" i="1"/>
  <c r="AX383" i="1"/>
  <c r="AY383" i="1" s="1"/>
  <c r="AW383" i="1"/>
  <c r="AU383" i="1"/>
  <c r="AT383" i="1"/>
  <c r="AS383" i="1"/>
  <c r="AQ383" i="1"/>
  <c r="AP383" i="1"/>
  <c r="AO383" i="1"/>
  <c r="AM383" i="1"/>
  <c r="AL383" i="1"/>
  <c r="AK383" i="1"/>
  <c r="AI383" i="1"/>
  <c r="AH383" i="1"/>
  <c r="AG383" i="1"/>
  <c r="AE383" i="1"/>
  <c r="AD383" i="1"/>
  <c r="AC383" i="1"/>
  <c r="Z383" i="1"/>
  <c r="AA383" i="1" s="1"/>
  <c r="Y383" i="1"/>
  <c r="V383" i="1"/>
  <c r="U383" i="1"/>
  <c r="R383" i="1"/>
  <c r="S383" i="1" s="1"/>
  <c r="Q383" i="1"/>
  <c r="O383" i="1"/>
  <c r="N383" i="1"/>
  <c r="M383" i="1"/>
  <c r="K383" i="1"/>
  <c r="J383" i="1"/>
  <c r="I383" i="1"/>
  <c r="G383" i="1"/>
  <c r="F383" i="1"/>
  <c r="E383" i="1"/>
  <c r="D383" i="1"/>
  <c r="BN382" i="1"/>
  <c r="BM382" i="1"/>
  <c r="BL382" i="1"/>
  <c r="BJ382" i="1"/>
  <c r="BI382" i="1"/>
  <c r="BF382" i="1"/>
  <c r="BG382" i="1" s="1"/>
  <c r="BE382" i="1"/>
  <c r="BB382" i="1"/>
  <c r="BC382" i="1" s="1"/>
  <c r="BA382" i="1"/>
  <c r="AX382" i="1"/>
  <c r="AY382" i="1" s="1"/>
  <c r="AW382" i="1"/>
  <c r="AU382" i="1"/>
  <c r="AT382" i="1"/>
  <c r="AS382" i="1"/>
  <c r="AQ382" i="1"/>
  <c r="AP382" i="1"/>
  <c r="AO382" i="1"/>
  <c r="AM382" i="1"/>
  <c r="AL382" i="1"/>
  <c r="AK382" i="1"/>
  <c r="AH382" i="1"/>
  <c r="AI382" i="1" s="1"/>
  <c r="AG382" i="1"/>
  <c r="AE382" i="1"/>
  <c r="AD382" i="1"/>
  <c r="AC382" i="1"/>
  <c r="Z382" i="1"/>
  <c r="AA382" i="1" s="1"/>
  <c r="Y382" i="1"/>
  <c r="V382" i="1"/>
  <c r="U382" i="1"/>
  <c r="R382" i="1"/>
  <c r="S382" i="1" s="1"/>
  <c r="Q382" i="1"/>
  <c r="O382" i="1"/>
  <c r="N382" i="1"/>
  <c r="M382" i="1"/>
  <c r="K382" i="1"/>
  <c r="J382" i="1"/>
  <c r="I382" i="1"/>
  <c r="G382" i="1"/>
  <c r="F382" i="1"/>
  <c r="E382" i="1"/>
  <c r="BN381" i="1"/>
  <c r="BL381" i="1"/>
  <c r="BK381" i="1"/>
  <c r="BJ381" i="1"/>
  <c r="BM381" i="1" s="1"/>
  <c r="BI381" i="1"/>
  <c r="BH381" i="1"/>
  <c r="BG381" i="1"/>
  <c r="BF381" i="1"/>
  <c r="BD381" i="1"/>
  <c r="BE381" i="1" s="1"/>
  <c r="BC381" i="1"/>
  <c r="BB381" i="1"/>
  <c r="BA381" i="1"/>
  <c r="AX381" i="1"/>
  <c r="AV381" i="1"/>
  <c r="AW381" i="1" s="1"/>
  <c r="AT381" i="1"/>
  <c r="AR381" i="1"/>
  <c r="AS381" i="1" s="1"/>
  <c r="AP381" i="1"/>
  <c r="AN381" i="1"/>
  <c r="AO381" i="1" s="1"/>
  <c r="AL381" i="1"/>
  <c r="AK381" i="1"/>
  <c r="AI381" i="1"/>
  <c r="AH381" i="1"/>
  <c r="AG381" i="1"/>
  <c r="AF381" i="1"/>
  <c r="AD381" i="1"/>
  <c r="AE381" i="1" s="1"/>
  <c r="AC381" i="1"/>
  <c r="Z381" i="1"/>
  <c r="AA381" i="1" s="1"/>
  <c r="Y381" i="1"/>
  <c r="W381" i="1"/>
  <c r="V381" i="1"/>
  <c r="U381" i="1"/>
  <c r="S381" i="1"/>
  <c r="R381" i="1"/>
  <c r="Q381" i="1"/>
  <c r="O381" i="1"/>
  <c r="N381" i="1"/>
  <c r="M381" i="1"/>
  <c r="J381" i="1"/>
  <c r="K381" i="1" s="1"/>
  <c r="I381" i="1"/>
  <c r="G381" i="1"/>
  <c r="F381" i="1"/>
  <c r="E381" i="1"/>
  <c r="BN380" i="1"/>
  <c r="BM380" i="1"/>
  <c r="BK380" i="1"/>
  <c r="BL380" i="1" s="1"/>
  <c r="BJ380" i="1"/>
  <c r="BI380" i="1"/>
  <c r="BH380" i="1"/>
  <c r="BG380" i="1"/>
  <c r="BF380" i="1"/>
  <c r="BE380" i="1"/>
  <c r="BD380" i="1"/>
  <c r="BB380" i="1"/>
  <c r="BC380" i="1" s="1"/>
  <c r="BA380" i="1"/>
  <c r="AX380" i="1"/>
  <c r="AY380" i="1" s="1"/>
  <c r="AV380" i="1"/>
  <c r="AW380" i="1" s="1"/>
  <c r="AT380" i="1"/>
  <c r="AU380" i="1" s="1"/>
  <c r="AS380" i="1"/>
  <c r="AR380" i="1"/>
  <c r="AP380" i="1"/>
  <c r="AQ380" i="1" s="1"/>
  <c r="AN380" i="1"/>
  <c r="AO380" i="1" s="1"/>
  <c r="AL380" i="1"/>
  <c r="AM380" i="1" s="1"/>
  <c r="AK380" i="1"/>
  <c r="AI380" i="1"/>
  <c r="AH380" i="1"/>
  <c r="AG380" i="1"/>
  <c r="AF380" i="1"/>
  <c r="AE380" i="1"/>
  <c r="AD380" i="1"/>
  <c r="AC380" i="1"/>
  <c r="AA380" i="1"/>
  <c r="Z380" i="1"/>
  <c r="Y380" i="1"/>
  <c r="W380" i="1"/>
  <c r="V380" i="1"/>
  <c r="U380" i="1"/>
  <c r="R380" i="1"/>
  <c r="S380" i="1" s="1"/>
  <c r="Q380" i="1"/>
  <c r="O380" i="1"/>
  <c r="N380" i="1"/>
  <c r="M380" i="1"/>
  <c r="J380" i="1"/>
  <c r="K380" i="1" s="1"/>
  <c r="I380" i="1"/>
  <c r="F380" i="1"/>
  <c r="E380" i="1"/>
  <c r="BN379" i="1"/>
  <c r="BM379" i="1"/>
  <c r="BK379" i="1"/>
  <c r="BL379" i="1" s="1"/>
  <c r="BJ379" i="1"/>
  <c r="BH379" i="1"/>
  <c r="BI379" i="1" s="1"/>
  <c r="BG379" i="1"/>
  <c r="BF379" i="1"/>
  <c r="BE379" i="1"/>
  <c r="BD379" i="1"/>
  <c r="BC379" i="1"/>
  <c r="BB379" i="1"/>
  <c r="BA379" i="1"/>
  <c r="AY379" i="1"/>
  <c r="AX379" i="1"/>
  <c r="AV379" i="1"/>
  <c r="AW379" i="1" s="1"/>
  <c r="AT379" i="1"/>
  <c r="AR379" i="1"/>
  <c r="AS379" i="1" s="1"/>
  <c r="AP379" i="1"/>
  <c r="AN379" i="1"/>
  <c r="AO379" i="1" s="1"/>
  <c r="AL379" i="1"/>
  <c r="AM379" i="1" s="1"/>
  <c r="AK379" i="1"/>
  <c r="AH379" i="1"/>
  <c r="AG379" i="1"/>
  <c r="AF379" i="1"/>
  <c r="AE379" i="1"/>
  <c r="AD379" i="1"/>
  <c r="AC379" i="1"/>
  <c r="Z379" i="1"/>
  <c r="AA379" i="1" s="1"/>
  <c r="Y379" i="1"/>
  <c r="W379" i="1"/>
  <c r="V379" i="1"/>
  <c r="U379" i="1"/>
  <c r="R379" i="1"/>
  <c r="S379" i="1" s="1"/>
  <c r="Q379" i="1"/>
  <c r="N379" i="1"/>
  <c r="O379" i="1" s="1"/>
  <c r="M379" i="1"/>
  <c r="J379" i="1"/>
  <c r="K379" i="1" s="1"/>
  <c r="I379" i="1"/>
  <c r="G379" i="1"/>
  <c r="F379" i="1"/>
  <c r="E379" i="1"/>
  <c r="BN378" i="1"/>
  <c r="BL378" i="1"/>
  <c r="BJ378" i="1"/>
  <c r="BM378" i="1" s="1"/>
  <c r="BI378" i="1"/>
  <c r="BG378" i="1"/>
  <c r="BF378" i="1"/>
  <c r="BE378" i="1"/>
  <c r="BC378" i="1"/>
  <c r="BB378" i="1"/>
  <c r="BA378" i="1"/>
  <c r="AY378" i="1"/>
  <c r="AX378" i="1"/>
  <c r="AW378" i="1"/>
  <c r="AT378" i="1"/>
  <c r="AU378" i="1" s="1"/>
  <c r="AS378" i="1"/>
  <c r="AQ378" i="1"/>
  <c r="AP378" i="1"/>
  <c r="AO378" i="1"/>
  <c r="AL378" i="1"/>
  <c r="AM378" i="1" s="1"/>
  <c r="AK378" i="1"/>
  <c r="AH378" i="1"/>
  <c r="AG378" i="1"/>
  <c r="AD378" i="1"/>
  <c r="AE378" i="1" s="1"/>
  <c r="AC378" i="1"/>
  <c r="AA378" i="1"/>
  <c r="Z378" i="1"/>
  <c r="Y378" i="1"/>
  <c r="W378" i="1"/>
  <c r="V378" i="1"/>
  <c r="U378" i="1"/>
  <c r="S378" i="1"/>
  <c r="R378" i="1"/>
  <c r="Q378" i="1"/>
  <c r="N378" i="1"/>
  <c r="O378" i="1" s="1"/>
  <c r="M378" i="1"/>
  <c r="K378" i="1"/>
  <c r="J378" i="1"/>
  <c r="I378" i="1"/>
  <c r="F378" i="1"/>
  <c r="G378" i="1" s="1"/>
  <c r="E378" i="1"/>
  <c r="BN377" i="1"/>
  <c r="BM377" i="1"/>
  <c r="BL377" i="1"/>
  <c r="BJ377" i="1"/>
  <c r="BI377" i="1"/>
  <c r="BF377" i="1"/>
  <c r="BG377" i="1" s="1"/>
  <c r="BE377" i="1"/>
  <c r="BB377" i="1"/>
  <c r="BA377" i="1"/>
  <c r="AX377" i="1"/>
  <c r="AY377" i="1" s="1"/>
  <c r="AW377" i="1"/>
  <c r="AU377" i="1"/>
  <c r="AT377" i="1"/>
  <c r="AS377" i="1"/>
  <c r="AQ377" i="1"/>
  <c r="AP377" i="1"/>
  <c r="AO377" i="1"/>
  <c r="AM377" i="1"/>
  <c r="AL377" i="1"/>
  <c r="AK377" i="1"/>
  <c r="AH377" i="1"/>
  <c r="AI377" i="1" s="1"/>
  <c r="AG377" i="1"/>
  <c r="AE377" i="1"/>
  <c r="AD377" i="1"/>
  <c r="AC377" i="1"/>
  <c r="Z377" i="1"/>
  <c r="AA377" i="1" s="1"/>
  <c r="Y377" i="1"/>
  <c r="V377" i="1"/>
  <c r="U377" i="1"/>
  <c r="R377" i="1"/>
  <c r="S377" i="1" s="1"/>
  <c r="Q377" i="1"/>
  <c r="O377" i="1"/>
  <c r="N377" i="1"/>
  <c r="M377" i="1"/>
  <c r="K377" i="1"/>
  <c r="J377" i="1"/>
  <c r="I377" i="1"/>
  <c r="G377" i="1"/>
  <c r="F377" i="1"/>
  <c r="E377" i="1"/>
  <c r="BN376" i="1"/>
  <c r="BL376" i="1"/>
  <c r="BJ376" i="1"/>
  <c r="BM376" i="1" s="1"/>
  <c r="BI376" i="1"/>
  <c r="BG376" i="1"/>
  <c r="BF376" i="1"/>
  <c r="BE376" i="1"/>
  <c r="BB376" i="1"/>
  <c r="BC376" i="1" s="1"/>
  <c r="BA376" i="1"/>
  <c r="AY376" i="1"/>
  <c r="AX376" i="1"/>
  <c r="AW376" i="1"/>
  <c r="AT376" i="1"/>
  <c r="AU376" i="1" s="1"/>
  <c r="AS376" i="1"/>
  <c r="AP376" i="1"/>
  <c r="AQ376" i="1" s="1"/>
  <c r="AO376" i="1"/>
  <c r="AL376" i="1"/>
  <c r="AM376" i="1" s="1"/>
  <c r="AK376" i="1"/>
  <c r="AI376" i="1"/>
  <c r="AH376" i="1"/>
  <c r="AG376" i="1"/>
  <c r="AE376" i="1"/>
  <c r="AD376" i="1"/>
  <c r="AC376" i="1"/>
  <c r="AA376" i="1"/>
  <c r="Z376" i="1"/>
  <c r="Y376" i="1"/>
  <c r="V376" i="1"/>
  <c r="W376" i="1" s="1"/>
  <c r="U376" i="1"/>
  <c r="S376" i="1"/>
  <c r="R376" i="1"/>
  <c r="Q376" i="1"/>
  <c r="N376" i="1"/>
  <c r="O376" i="1" s="1"/>
  <c r="M376" i="1"/>
  <c r="J376" i="1"/>
  <c r="K376" i="1" s="1"/>
  <c r="I376" i="1"/>
  <c r="F376" i="1"/>
  <c r="G376" i="1" s="1"/>
  <c r="E376" i="1"/>
  <c r="BN375" i="1"/>
  <c r="BL375" i="1"/>
  <c r="BJ375" i="1"/>
  <c r="BI375" i="1"/>
  <c r="BF375" i="1"/>
  <c r="BG375" i="1" s="1"/>
  <c r="BE375" i="1"/>
  <c r="BC375" i="1"/>
  <c r="BB375" i="1"/>
  <c r="BA375" i="1"/>
  <c r="AY375" i="1"/>
  <c r="AX375" i="1"/>
  <c r="AW375" i="1"/>
  <c r="AU375" i="1"/>
  <c r="AT375" i="1"/>
  <c r="AS375" i="1"/>
  <c r="AP375" i="1"/>
  <c r="AQ375" i="1" s="1"/>
  <c r="AO375" i="1"/>
  <c r="AM375" i="1"/>
  <c r="AL375" i="1"/>
  <c r="AK375" i="1"/>
  <c r="AH375" i="1"/>
  <c r="AI375" i="1" s="1"/>
  <c r="AG375" i="1"/>
  <c r="AD375" i="1"/>
  <c r="AC375" i="1"/>
  <c r="Z375" i="1"/>
  <c r="AA375" i="1" s="1"/>
  <c r="Y375" i="1"/>
  <c r="W375" i="1"/>
  <c r="V375" i="1"/>
  <c r="U375" i="1"/>
  <c r="S375" i="1"/>
  <c r="R375" i="1"/>
  <c r="Q375" i="1"/>
  <c r="O375" i="1"/>
  <c r="N375" i="1"/>
  <c r="M375" i="1"/>
  <c r="J375" i="1"/>
  <c r="K375" i="1" s="1"/>
  <c r="I375" i="1"/>
  <c r="G375" i="1"/>
  <c r="F375" i="1"/>
  <c r="E375" i="1"/>
  <c r="BN374" i="1"/>
  <c r="BM374" i="1"/>
  <c r="BL374" i="1"/>
  <c r="BJ374" i="1"/>
  <c r="BI374" i="1"/>
  <c r="BG374" i="1"/>
  <c r="BF374" i="1"/>
  <c r="BE374" i="1"/>
  <c r="BB374" i="1"/>
  <c r="BC374" i="1" s="1"/>
  <c r="BA374" i="1"/>
  <c r="AX374" i="1"/>
  <c r="AW374" i="1"/>
  <c r="AT374" i="1"/>
  <c r="AU374" i="1" s="1"/>
  <c r="AS374" i="1"/>
  <c r="AQ374" i="1"/>
  <c r="AP374" i="1"/>
  <c r="AO374" i="1"/>
  <c r="AM374" i="1"/>
  <c r="AL374" i="1"/>
  <c r="AK374" i="1"/>
  <c r="AI374" i="1"/>
  <c r="AH374" i="1"/>
  <c r="AG374" i="1"/>
  <c r="AD374" i="1"/>
  <c r="AE374" i="1" s="1"/>
  <c r="AC374" i="1"/>
  <c r="AA374" i="1"/>
  <c r="Z374" i="1"/>
  <c r="Y374" i="1"/>
  <c r="V374" i="1"/>
  <c r="W374" i="1" s="1"/>
  <c r="U374" i="1"/>
  <c r="R374" i="1"/>
  <c r="Q374" i="1"/>
  <c r="N374" i="1"/>
  <c r="O374" i="1" s="1"/>
  <c r="M374" i="1"/>
  <c r="K374" i="1"/>
  <c r="J374" i="1"/>
  <c r="I374" i="1"/>
  <c r="G374" i="1"/>
  <c r="F374" i="1"/>
  <c r="E374" i="1"/>
  <c r="BN373" i="1"/>
  <c r="BL373" i="1"/>
  <c r="BK373" i="1"/>
  <c r="BJ373" i="1"/>
  <c r="BM373" i="1" s="1"/>
  <c r="BI373" i="1"/>
  <c r="BH373" i="1"/>
  <c r="BF373" i="1"/>
  <c r="BG373" i="1" s="1"/>
  <c r="BE373" i="1"/>
  <c r="BC373" i="1"/>
  <c r="BB373" i="1"/>
  <c r="BA373" i="1"/>
  <c r="AY373" i="1"/>
  <c r="AX373" i="1"/>
  <c r="AV373" i="1"/>
  <c r="AW373" i="1" s="1"/>
  <c r="AT373" i="1"/>
  <c r="AR373" i="1"/>
  <c r="AS373" i="1" s="1"/>
  <c r="AP373" i="1"/>
  <c r="AN373" i="1"/>
  <c r="AO373" i="1" s="1"/>
  <c r="AL373" i="1"/>
  <c r="AM373" i="1" s="1"/>
  <c r="AK373" i="1"/>
  <c r="AH373" i="1"/>
  <c r="AI373" i="1" s="1"/>
  <c r="AG373" i="1"/>
  <c r="AF373" i="1"/>
  <c r="AE373" i="1"/>
  <c r="AD373" i="1"/>
  <c r="AC373" i="1"/>
  <c r="AB373" i="1"/>
  <c r="Z373" i="1"/>
  <c r="AA373" i="1" s="1"/>
  <c r="Y373" i="1"/>
  <c r="X373" i="1"/>
  <c r="W373" i="1"/>
  <c r="V373" i="1"/>
  <c r="U373" i="1"/>
  <c r="R373" i="1"/>
  <c r="S373" i="1" s="1"/>
  <c r="Q373" i="1"/>
  <c r="P373" i="1"/>
  <c r="N373" i="1"/>
  <c r="O373" i="1" s="1"/>
  <c r="L373" i="1"/>
  <c r="M373" i="1" s="1"/>
  <c r="J373" i="1"/>
  <c r="K373" i="1" s="1"/>
  <c r="I373" i="1"/>
  <c r="H373" i="1"/>
  <c r="F373" i="1"/>
  <c r="G373" i="1" s="1"/>
  <c r="E373" i="1"/>
  <c r="BN372" i="1"/>
  <c r="BK372" i="1"/>
  <c r="BL372" i="1" s="1"/>
  <c r="BJ372" i="1"/>
  <c r="BH372" i="1"/>
  <c r="BI372" i="1" s="1"/>
  <c r="BF372" i="1"/>
  <c r="BG372" i="1" s="1"/>
  <c r="BE372" i="1"/>
  <c r="BB372" i="1"/>
  <c r="BC372" i="1" s="1"/>
  <c r="BA372" i="1"/>
  <c r="AX372" i="1"/>
  <c r="AU372" i="1" s="1"/>
  <c r="AV372" i="1"/>
  <c r="AW372" i="1" s="1"/>
  <c r="AT372" i="1"/>
  <c r="AS372" i="1"/>
  <c r="AR372" i="1"/>
  <c r="AP372" i="1"/>
  <c r="AM372" i="1" s="1"/>
  <c r="AN372" i="1"/>
  <c r="AO372" i="1" s="1"/>
  <c r="AL372" i="1"/>
  <c r="AK372" i="1"/>
  <c r="AI372" i="1"/>
  <c r="AH372" i="1"/>
  <c r="AG372" i="1"/>
  <c r="AF372" i="1"/>
  <c r="AE372" i="1"/>
  <c r="AD372" i="1"/>
  <c r="AB372" i="1"/>
  <c r="AC372" i="1" s="1"/>
  <c r="AA372" i="1"/>
  <c r="Z372" i="1"/>
  <c r="Y372" i="1"/>
  <c r="X372" i="1"/>
  <c r="W372" i="1"/>
  <c r="V372" i="1"/>
  <c r="U372" i="1"/>
  <c r="S372" i="1"/>
  <c r="R372" i="1"/>
  <c r="P372" i="1"/>
  <c r="Q372" i="1" s="1"/>
  <c r="N372" i="1"/>
  <c r="L372" i="1"/>
  <c r="M372" i="1" s="1"/>
  <c r="J372" i="1"/>
  <c r="H372" i="1"/>
  <c r="I372" i="1" s="1"/>
  <c r="F372" i="1"/>
  <c r="G372" i="1" s="1"/>
  <c r="E372" i="1"/>
  <c r="BN371" i="1"/>
  <c r="BL371" i="1"/>
  <c r="BK371" i="1"/>
  <c r="BJ371" i="1"/>
  <c r="BM371" i="1" s="1"/>
  <c r="BH371" i="1"/>
  <c r="BI371" i="1" s="1"/>
  <c r="BF371" i="1"/>
  <c r="BG371" i="1" s="1"/>
  <c r="BE371" i="1"/>
  <c r="BD371" i="1"/>
  <c r="BB371" i="1"/>
  <c r="BC371" i="1" s="1"/>
  <c r="BA371" i="1"/>
  <c r="AY371" i="1"/>
  <c r="AX371" i="1"/>
  <c r="AV371" i="1"/>
  <c r="AW371" i="1" s="1"/>
  <c r="AU371" i="1"/>
  <c r="AT371" i="1"/>
  <c r="AS371" i="1"/>
  <c r="AR371" i="1"/>
  <c r="AQ371" i="1"/>
  <c r="AP371" i="1"/>
  <c r="AN371" i="1"/>
  <c r="AO371" i="1" s="1"/>
  <c r="AM371" i="1"/>
  <c r="AL371" i="1"/>
  <c r="AK371" i="1"/>
  <c r="AH371" i="1"/>
  <c r="AF371" i="1"/>
  <c r="AG371" i="1" s="1"/>
  <c r="AD371" i="1"/>
  <c r="AB371" i="1"/>
  <c r="AC371" i="1" s="1"/>
  <c r="Z371" i="1"/>
  <c r="X371" i="1"/>
  <c r="Y371" i="1" s="1"/>
  <c r="V371" i="1"/>
  <c r="U371" i="1"/>
  <c r="S371" i="1"/>
  <c r="R371" i="1"/>
  <c r="Q371" i="1"/>
  <c r="P371" i="1"/>
  <c r="N371" i="1"/>
  <c r="O371" i="1" s="1"/>
  <c r="M371" i="1"/>
  <c r="L371" i="1"/>
  <c r="K371" i="1"/>
  <c r="J371" i="1"/>
  <c r="I371" i="1"/>
  <c r="H371" i="1"/>
  <c r="F371" i="1"/>
  <c r="G371" i="1" s="1"/>
  <c r="E371" i="1"/>
  <c r="BN370" i="1"/>
  <c r="BL370" i="1"/>
  <c r="BJ370" i="1"/>
  <c r="BM370" i="1" s="1"/>
  <c r="BI370" i="1"/>
  <c r="BF370" i="1"/>
  <c r="BG370" i="1" s="1"/>
  <c r="BE370" i="1"/>
  <c r="BB370" i="1"/>
  <c r="BC370" i="1" s="1"/>
  <c r="BA370" i="1"/>
  <c r="AY370" i="1"/>
  <c r="AX370" i="1"/>
  <c r="AW370" i="1"/>
  <c r="AU370" i="1"/>
  <c r="AT370" i="1"/>
  <c r="AS370" i="1"/>
  <c r="AQ370" i="1"/>
  <c r="AP370" i="1"/>
  <c r="AO370" i="1"/>
  <c r="AL370" i="1"/>
  <c r="AM370" i="1" s="1"/>
  <c r="AK370" i="1"/>
  <c r="AI370" i="1"/>
  <c r="AH370" i="1"/>
  <c r="AG370" i="1"/>
  <c r="AD370" i="1"/>
  <c r="AE370" i="1" s="1"/>
  <c r="AC370" i="1"/>
  <c r="Z370" i="1"/>
  <c r="Y370" i="1"/>
  <c r="V370" i="1"/>
  <c r="W370" i="1" s="1"/>
  <c r="U370" i="1"/>
  <c r="S370" i="1"/>
  <c r="R370" i="1"/>
  <c r="Q370" i="1"/>
  <c r="O370" i="1"/>
  <c r="N370" i="1"/>
  <c r="M370" i="1"/>
  <c r="K370" i="1"/>
  <c r="J370" i="1"/>
  <c r="I370" i="1"/>
  <c r="F370" i="1"/>
  <c r="G370" i="1" s="1"/>
  <c r="E370" i="1"/>
  <c r="BN369" i="1"/>
  <c r="BL369" i="1"/>
  <c r="BK369" i="1"/>
  <c r="BJ369" i="1"/>
  <c r="BM369" i="1" s="1"/>
  <c r="BI369" i="1"/>
  <c r="BF369" i="1"/>
  <c r="BG369" i="1" s="1"/>
  <c r="BE369" i="1"/>
  <c r="BB369" i="1"/>
  <c r="BC369" i="1" s="1"/>
  <c r="BA369" i="1"/>
  <c r="AY369" i="1"/>
  <c r="AX369" i="1"/>
  <c r="AW369" i="1"/>
  <c r="AU369" i="1"/>
  <c r="AT369" i="1"/>
  <c r="AS369" i="1"/>
  <c r="AQ369" i="1"/>
  <c r="AP369" i="1"/>
  <c r="AO369" i="1"/>
  <c r="AL369" i="1"/>
  <c r="AM369" i="1" s="1"/>
  <c r="AK369" i="1"/>
  <c r="AH369" i="1"/>
  <c r="AI369" i="1" s="1"/>
  <c r="AG369" i="1"/>
  <c r="AF369" i="1"/>
  <c r="AE369" i="1"/>
  <c r="AD369" i="1"/>
  <c r="AB369" i="1"/>
  <c r="AC369" i="1" s="1"/>
  <c r="Z369" i="1"/>
  <c r="AA369" i="1" s="1"/>
  <c r="Y369" i="1"/>
  <c r="V369" i="1"/>
  <c r="W369" i="1" s="1"/>
  <c r="U369" i="1"/>
  <c r="R369" i="1"/>
  <c r="S369" i="1" s="1"/>
  <c r="P369" i="1"/>
  <c r="Q369" i="1" s="1"/>
  <c r="O369" i="1"/>
  <c r="N369" i="1"/>
  <c r="M369" i="1"/>
  <c r="L369" i="1"/>
  <c r="J369" i="1"/>
  <c r="K369" i="1" s="1"/>
  <c r="I369" i="1"/>
  <c r="F369" i="1"/>
  <c r="G369" i="1" s="1"/>
  <c r="E369" i="1"/>
  <c r="BN368" i="1"/>
  <c r="BK368" i="1"/>
  <c r="BL368" i="1" s="1"/>
  <c r="BJ368" i="1"/>
  <c r="BM368" i="1" s="1"/>
  <c r="BI368" i="1"/>
  <c r="BG368" i="1"/>
  <c r="BF368" i="1"/>
  <c r="BC368" i="1" s="1"/>
  <c r="BE368" i="1"/>
  <c r="BB368" i="1"/>
  <c r="BA368" i="1"/>
  <c r="AX368" i="1"/>
  <c r="AY368" i="1" s="1"/>
  <c r="AW368" i="1"/>
  <c r="AT368" i="1"/>
  <c r="AU368" i="1" s="1"/>
  <c r="AS368" i="1"/>
  <c r="AP368" i="1"/>
  <c r="AQ368" i="1" s="1"/>
  <c r="AO368" i="1"/>
  <c r="AL368" i="1"/>
  <c r="AM368" i="1" s="1"/>
  <c r="AK368" i="1"/>
  <c r="AI368" i="1"/>
  <c r="AH368" i="1"/>
  <c r="AF368" i="1"/>
  <c r="AG368" i="1" s="1"/>
  <c r="AE368" i="1"/>
  <c r="AD368" i="1"/>
  <c r="AC368" i="1"/>
  <c r="AB368" i="1"/>
  <c r="AA368" i="1"/>
  <c r="Z368" i="1"/>
  <c r="Y368" i="1"/>
  <c r="W368" i="1"/>
  <c r="V368" i="1"/>
  <c r="U368" i="1"/>
  <c r="S368" i="1"/>
  <c r="R368" i="1"/>
  <c r="Q368" i="1"/>
  <c r="P368" i="1"/>
  <c r="N368" i="1"/>
  <c r="O368" i="1" s="1"/>
  <c r="L368" i="1"/>
  <c r="M368" i="1" s="1"/>
  <c r="K368" i="1"/>
  <c r="J368" i="1"/>
  <c r="I368" i="1"/>
  <c r="F368" i="1"/>
  <c r="G368" i="1" s="1"/>
  <c r="E368" i="1"/>
  <c r="BN367" i="1"/>
  <c r="BL367" i="1"/>
  <c r="BK367" i="1"/>
  <c r="BJ367" i="1"/>
  <c r="BM367" i="1" s="1"/>
  <c r="BI367" i="1"/>
  <c r="BF367" i="1"/>
  <c r="BG367" i="1" s="1"/>
  <c r="BE367" i="1"/>
  <c r="BB367" i="1"/>
  <c r="BC367" i="1" s="1"/>
  <c r="BA367" i="1"/>
  <c r="AY367" i="1"/>
  <c r="AX367" i="1"/>
  <c r="AW367" i="1"/>
  <c r="AU367" i="1"/>
  <c r="AT367" i="1"/>
  <c r="AS367" i="1"/>
  <c r="AQ367" i="1"/>
  <c r="AP367" i="1"/>
  <c r="AO367" i="1"/>
  <c r="AL367" i="1"/>
  <c r="AM367" i="1" s="1"/>
  <c r="AK367" i="1"/>
  <c r="AI367" i="1"/>
  <c r="AH367" i="1"/>
  <c r="AG367" i="1"/>
  <c r="AF367" i="1"/>
  <c r="AE367" i="1"/>
  <c r="AD367" i="1"/>
  <c r="AB367" i="1"/>
  <c r="AC367" i="1" s="1"/>
  <c r="AA367" i="1"/>
  <c r="Z367" i="1"/>
  <c r="Y367" i="1"/>
  <c r="V367" i="1"/>
  <c r="W367" i="1" s="1"/>
  <c r="U367" i="1"/>
  <c r="R367" i="1"/>
  <c r="P367" i="1"/>
  <c r="Q367" i="1" s="1"/>
  <c r="O367" i="1"/>
  <c r="N367" i="1"/>
  <c r="M367" i="1"/>
  <c r="L367" i="1"/>
  <c r="J367" i="1"/>
  <c r="K367" i="1" s="1"/>
  <c r="I367" i="1"/>
  <c r="F367" i="1"/>
  <c r="G367" i="1" s="1"/>
  <c r="E367" i="1"/>
  <c r="BN366" i="1"/>
  <c r="BL366" i="1"/>
  <c r="BJ366" i="1"/>
  <c r="BM366" i="1" s="1"/>
  <c r="BI366" i="1"/>
  <c r="BF366" i="1"/>
  <c r="BG366" i="1" s="1"/>
  <c r="BE366" i="1"/>
  <c r="BC366" i="1"/>
  <c r="BB366" i="1"/>
  <c r="BA366" i="1"/>
  <c r="AY366" i="1"/>
  <c r="AX366" i="1"/>
  <c r="AW366" i="1"/>
  <c r="AU366" i="1"/>
  <c r="AT366" i="1"/>
  <c r="AS366" i="1"/>
  <c r="AP366" i="1"/>
  <c r="AQ366" i="1" s="1"/>
  <c r="AO366" i="1"/>
  <c r="AM366" i="1"/>
  <c r="AL366" i="1"/>
  <c r="AK366" i="1"/>
  <c r="AH366" i="1"/>
  <c r="AI366" i="1" s="1"/>
  <c r="AG366" i="1"/>
  <c r="AD366" i="1"/>
  <c r="AC366" i="1"/>
  <c r="Z366" i="1"/>
  <c r="AA366" i="1" s="1"/>
  <c r="Y366" i="1"/>
  <c r="W366" i="1"/>
  <c r="V366" i="1"/>
  <c r="U366" i="1"/>
  <c r="S366" i="1"/>
  <c r="R366" i="1"/>
  <c r="Q366" i="1"/>
  <c r="O366" i="1"/>
  <c r="N366" i="1"/>
  <c r="M366" i="1"/>
  <c r="J366" i="1"/>
  <c r="K366" i="1" s="1"/>
  <c r="I366" i="1"/>
  <c r="G366" i="1"/>
  <c r="F366" i="1"/>
  <c r="E366" i="1"/>
  <c r="BN365" i="1"/>
  <c r="BM365" i="1"/>
  <c r="BL365" i="1"/>
  <c r="BJ365" i="1"/>
  <c r="BI365" i="1"/>
  <c r="BG365" i="1"/>
  <c r="BF365" i="1"/>
  <c r="BE365" i="1"/>
  <c r="BB365" i="1"/>
  <c r="BC365" i="1" s="1"/>
  <c r="BA365" i="1"/>
  <c r="AX365" i="1"/>
  <c r="AY365" i="1" s="1"/>
  <c r="AW365" i="1"/>
  <c r="AT365" i="1"/>
  <c r="AU365" i="1" s="1"/>
  <c r="AS365" i="1"/>
  <c r="AQ365" i="1"/>
  <c r="AP365" i="1"/>
  <c r="AO365" i="1"/>
  <c r="AM365" i="1"/>
  <c r="AL365" i="1"/>
  <c r="AK365" i="1"/>
  <c r="AI365" i="1"/>
  <c r="AH365" i="1"/>
  <c r="AG365" i="1"/>
  <c r="AD365" i="1"/>
  <c r="AE365" i="1" s="1"/>
  <c r="AC365" i="1"/>
  <c r="AA365" i="1"/>
  <c r="Z365" i="1"/>
  <c r="Y365" i="1"/>
  <c r="V365" i="1"/>
  <c r="W365" i="1" s="1"/>
  <c r="U365" i="1"/>
  <c r="R365" i="1"/>
  <c r="Q365" i="1"/>
  <c r="N365" i="1"/>
  <c r="O365" i="1" s="1"/>
  <c r="M365" i="1"/>
  <c r="K365" i="1"/>
  <c r="J365" i="1"/>
  <c r="I365" i="1"/>
  <c r="G365" i="1"/>
  <c r="F365" i="1"/>
  <c r="E365" i="1"/>
  <c r="BN364" i="1"/>
  <c r="BM364" i="1" s="1"/>
  <c r="BL364" i="1"/>
  <c r="BJ364" i="1"/>
  <c r="BI364" i="1"/>
  <c r="BG364" i="1"/>
  <c r="BF364" i="1"/>
  <c r="BE364" i="1"/>
  <c r="BC364" i="1"/>
  <c r="BB364" i="1"/>
  <c r="BA364" i="1"/>
  <c r="AX364" i="1"/>
  <c r="AY364" i="1" s="1"/>
  <c r="AW364" i="1"/>
  <c r="AT364" i="1"/>
  <c r="AU364" i="1" s="1"/>
  <c r="AS364" i="1"/>
  <c r="AP364" i="1"/>
  <c r="AQ364" i="1" s="1"/>
  <c r="AO364" i="1"/>
  <c r="AL364" i="1"/>
  <c r="AK364" i="1"/>
  <c r="AH364" i="1"/>
  <c r="AI364" i="1" s="1"/>
  <c r="AG364" i="1"/>
  <c r="AE364" i="1"/>
  <c r="AD364" i="1"/>
  <c r="AC364" i="1"/>
  <c r="AA364" i="1"/>
  <c r="Z364" i="1"/>
  <c r="Y364" i="1"/>
  <c r="W364" i="1"/>
  <c r="V364" i="1"/>
  <c r="U364" i="1"/>
  <c r="R364" i="1"/>
  <c r="S364" i="1" s="1"/>
  <c r="Q364" i="1"/>
  <c r="N364" i="1"/>
  <c r="O364" i="1" s="1"/>
  <c r="M364" i="1"/>
  <c r="J364" i="1"/>
  <c r="K364" i="1" s="1"/>
  <c r="I364" i="1"/>
  <c r="F364" i="1"/>
  <c r="G364" i="1" s="1"/>
  <c r="E364" i="1"/>
  <c r="BN363" i="1"/>
  <c r="BL363" i="1"/>
  <c r="BJ363" i="1"/>
  <c r="BM363" i="1" s="1"/>
  <c r="BI363" i="1"/>
  <c r="BF363" i="1"/>
  <c r="BE363" i="1"/>
  <c r="BB363" i="1"/>
  <c r="BC363" i="1" s="1"/>
  <c r="BA363" i="1"/>
  <c r="AY363" i="1"/>
  <c r="AX363" i="1"/>
  <c r="AW363" i="1"/>
  <c r="AU363" i="1"/>
  <c r="AT363" i="1"/>
  <c r="AS363" i="1"/>
  <c r="AQ363" i="1"/>
  <c r="AP363" i="1"/>
  <c r="AO363" i="1"/>
  <c r="AL363" i="1"/>
  <c r="AM363" i="1" s="1"/>
  <c r="AK363" i="1"/>
  <c r="AI363" i="1"/>
  <c r="AH363" i="1"/>
  <c r="AG363" i="1"/>
  <c r="AD363" i="1"/>
  <c r="AE363" i="1" s="1"/>
  <c r="AC363" i="1"/>
  <c r="Z363" i="1"/>
  <c r="Y363" i="1"/>
  <c r="V363" i="1"/>
  <c r="W363" i="1" s="1"/>
  <c r="U363" i="1"/>
  <c r="S363" i="1"/>
  <c r="R363" i="1"/>
  <c r="Q363" i="1"/>
  <c r="O363" i="1"/>
  <c r="N363" i="1"/>
  <c r="M363" i="1"/>
  <c r="K363" i="1"/>
  <c r="J363" i="1"/>
  <c r="I363" i="1"/>
  <c r="F363" i="1"/>
  <c r="G363" i="1" s="1"/>
  <c r="E363" i="1"/>
  <c r="BN362" i="1"/>
  <c r="BM362" i="1"/>
  <c r="BL362" i="1"/>
  <c r="BJ362" i="1"/>
  <c r="BI362" i="1"/>
  <c r="BF362" i="1"/>
  <c r="BG362" i="1" s="1"/>
  <c r="BE362" i="1"/>
  <c r="BB362" i="1"/>
  <c r="BC362" i="1" s="1"/>
  <c r="BA362" i="1"/>
  <c r="AX362" i="1"/>
  <c r="AY362" i="1" s="1"/>
  <c r="AW362" i="1"/>
  <c r="AT362" i="1"/>
  <c r="AU362" i="1" s="1"/>
  <c r="AS362" i="1"/>
  <c r="AP362" i="1"/>
  <c r="AQ362" i="1" s="1"/>
  <c r="AO362" i="1"/>
  <c r="AM362" i="1"/>
  <c r="AL362" i="1"/>
  <c r="AK362" i="1"/>
  <c r="AI362" i="1"/>
  <c r="AH362" i="1"/>
  <c r="AG362" i="1"/>
  <c r="AE362" i="1"/>
  <c r="AD362" i="1"/>
  <c r="AC362" i="1"/>
  <c r="Z362" i="1"/>
  <c r="AA362" i="1" s="1"/>
  <c r="Y362" i="1"/>
  <c r="V362" i="1"/>
  <c r="W362" i="1" s="1"/>
  <c r="U362" i="1"/>
  <c r="R362" i="1"/>
  <c r="S362" i="1" s="1"/>
  <c r="Q362" i="1"/>
  <c r="N362" i="1"/>
  <c r="O362" i="1" s="1"/>
  <c r="M362" i="1"/>
  <c r="J362" i="1"/>
  <c r="K362" i="1" s="1"/>
  <c r="I362" i="1"/>
  <c r="G362" i="1"/>
  <c r="F362" i="1"/>
  <c r="E362" i="1"/>
  <c r="BN361" i="1"/>
  <c r="BL361" i="1"/>
  <c r="BJ361" i="1"/>
  <c r="BM361" i="1" s="1"/>
  <c r="BI361" i="1"/>
  <c r="BG361" i="1"/>
  <c r="BF361" i="1"/>
  <c r="BE361" i="1"/>
  <c r="BC361" i="1"/>
  <c r="BB361" i="1"/>
  <c r="BA361" i="1"/>
  <c r="AY361" i="1"/>
  <c r="AX361" i="1"/>
  <c r="AW361" i="1"/>
  <c r="AT361" i="1"/>
  <c r="AU361" i="1" s="1"/>
  <c r="AS361" i="1"/>
  <c r="AP361" i="1"/>
  <c r="AQ361" i="1" s="1"/>
  <c r="AO361" i="1"/>
  <c r="AL361" i="1"/>
  <c r="AM361" i="1" s="1"/>
  <c r="AK361" i="1"/>
  <c r="AH361" i="1"/>
  <c r="AG361" i="1"/>
  <c r="AD361" i="1"/>
  <c r="AE361" i="1" s="1"/>
  <c r="AC361" i="1"/>
  <c r="AA361" i="1"/>
  <c r="Z361" i="1"/>
  <c r="Y361" i="1"/>
  <c r="W361" i="1"/>
  <c r="V361" i="1"/>
  <c r="U361" i="1"/>
  <c r="S361" i="1"/>
  <c r="R361" i="1"/>
  <c r="Q361" i="1"/>
  <c r="N361" i="1"/>
  <c r="O361" i="1" s="1"/>
  <c r="M361" i="1"/>
  <c r="J361" i="1"/>
  <c r="K361" i="1" s="1"/>
  <c r="I361" i="1"/>
  <c r="F361" i="1"/>
  <c r="G361" i="1" s="1"/>
  <c r="E361" i="1"/>
  <c r="BN360" i="1"/>
  <c r="BM360" i="1"/>
  <c r="BL360" i="1"/>
  <c r="BJ360" i="1"/>
  <c r="BI360" i="1"/>
  <c r="BF360" i="1"/>
  <c r="BG360" i="1" s="1"/>
  <c r="BE360" i="1"/>
  <c r="BB360" i="1"/>
  <c r="BA360" i="1"/>
  <c r="AX360" i="1"/>
  <c r="AY360" i="1" s="1"/>
  <c r="AW360" i="1"/>
  <c r="AU360" i="1"/>
  <c r="AT360" i="1"/>
  <c r="AS360" i="1"/>
  <c r="AQ360" i="1"/>
  <c r="AP360" i="1"/>
  <c r="AO360" i="1"/>
  <c r="AM360" i="1"/>
  <c r="AL360" i="1"/>
  <c r="AK360" i="1"/>
  <c r="AH360" i="1"/>
  <c r="AI360" i="1" s="1"/>
  <c r="AG360" i="1"/>
  <c r="AD360" i="1"/>
  <c r="AE360" i="1" s="1"/>
  <c r="AC360" i="1"/>
  <c r="Z360" i="1"/>
  <c r="AA360" i="1" s="1"/>
  <c r="Y360" i="1"/>
  <c r="V360" i="1"/>
  <c r="U360" i="1"/>
  <c r="R360" i="1"/>
  <c r="S360" i="1" s="1"/>
  <c r="Q360" i="1"/>
  <c r="O360" i="1"/>
  <c r="N360" i="1"/>
  <c r="M360" i="1"/>
  <c r="K360" i="1"/>
  <c r="J360" i="1"/>
  <c r="I360" i="1"/>
  <c r="G360" i="1"/>
  <c r="F360" i="1"/>
  <c r="E360" i="1"/>
  <c r="BN359" i="1"/>
  <c r="BL359" i="1"/>
  <c r="BJ359" i="1"/>
  <c r="BM359" i="1" s="1"/>
  <c r="BI359" i="1"/>
  <c r="BG359" i="1"/>
  <c r="BF359" i="1"/>
  <c r="BE359" i="1"/>
  <c r="BB359" i="1"/>
  <c r="BC359" i="1" s="1"/>
  <c r="BA359" i="1"/>
  <c r="AX359" i="1"/>
  <c r="AY359" i="1" s="1"/>
  <c r="AW359" i="1"/>
  <c r="AT359" i="1"/>
  <c r="AU359" i="1" s="1"/>
  <c r="AS359" i="1"/>
  <c r="AP359" i="1"/>
  <c r="AQ359" i="1" s="1"/>
  <c r="AO359" i="1"/>
  <c r="AL359" i="1"/>
  <c r="AM359" i="1" s="1"/>
  <c r="AK359" i="1"/>
  <c r="AI359" i="1"/>
  <c r="AH359" i="1"/>
  <c r="AG359" i="1"/>
  <c r="AE359" i="1"/>
  <c r="AD359" i="1"/>
  <c r="AC359" i="1"/>
  <c r="AA359" i="1"/>
  <c r="Z359" i="1"/>
  <c r="Y359" i="1"/>
  <c r="V359" i="1"/>
  <c r="W359" i="1" s="1"/>
  <c r="U359" i="1"/>
  <c r="S359" i="1"/>
  <c r="R359" i="1"/>
  <c r="Q359" i="1"/>
  <c r="N359" i="1"/>
  <c r="O359" i="1" s="1"/>
  <c r="M359" i="1"/>
  <c r="J359" i="1"/>
  <c r="K359" i="1" s="1"/>
  <c r="I359" i="1"/>
  <c r="F359" i="1"/>
  <c r="G359" i="1" s="1"/>
  <c r="E359" i="1"/>
  <c r="BN358" i="1"/>
  <c r="BL358" i="1"/>
  <c r="BJ358" i="1"/>
  <c r="BM358" i="1" s="1"/>
  <c r="BI358" i="1"/>
  <c r="BF358" i="1"/>
  <c r="BG358" i="1" s="1"/>
  <c r="BE358" i="1"/>
  <c r="BC358" i="1"/>
  <c r="BB358" i="1"/>
  <c r="BA358" i="1"/>
  <c r="AY358" i="1"/>
  <c r="AX358" i="1"/>
  <c r="AW358" i="1"/>
  <c r="AU358" i="1"/>
  <c r="AT358" i="1"/>
  <c r="AS358" i="1"/>
  <c r="AP358" i="1"/>
  <c r="AQ358" i="1" s="1"/>
  <c r="AO358" i="1"/>
  <c r="AL358" i="1"/>
  <c r="AK358" i="1"/>
  <c r="AH358" i="1"/>
  <c r="AI358" i="1" s="1"/>
  <c r="AG358" i="1"/>
  <c r="AD358" i="1"/>
  <c r="AC358" i="1"/>
  <c r="Z358" i="1"/>
  <c r="AA358" i="1" s="1"/>
  <c r="Y358" i="1"/>
  <c r="W358" i="1"/>
  <c r="V358" i="1"/>
  <c r="U358" i="1"/>
  <c r="S358" i="1"/>
  <c r="R358" i="1"/>
  <c r="Q358" i="1"/>
  <c r="O358" i="1"/>
  <c r="N358" i="1"/>
  <c r="M358" i="1"/>
  <c r="J358" i="1"/>
  <c r="K358" i="1" s="1"/>
  <c r="I358" i="1"/>
  <c r="F358" i="1"/>
  <c r="G358" i="1" s="1"/>
  <c r="E358" i="1"/>
  <c r="BN357" i="1"/>
  <c r="BM357" i="1"/>
  <c r="BK357" i="1"/>
  <c r="BL357" i="1" s="1"/>
  <c r="BJ357" i="1"/>
  <c r="BI357" i="1"/>
  <c r="BH357" i="1"/>
  <c r="BG357" i="1"/>
  <c r="BF357" i="1"/>
  <c r="BE357" i="1"/>
  <c r="BD357" i="1"/>
  <c r="BB357" i="1"/>
  <c r="BC357" i="1" s="1"/>
  <c r="BA357" i="1"/>
  <c r="AZ357" i="1"/>
  <c r="AY357" i="1"/>
  <c r="AX357" i="1"/>
  <c r="AW357" i="1"/>
  <c r="AV357" i="1"/>
  <c r="AT357" i="1"/>
  <c r="AU357" i="1" s="1"/>
  <c r="AS357" i="1"/>
  <c r="AR357" i="1"/>
  <c r="AQ357" i="1"/>
  <c r="AP357" i="1"/>
  <c r="AO357" i="1"/>
  <c r="AN357" i="1"/>
  <c r="AL357" i="1"/>
  <c r="AM357" i="1" s="1"/>
  <c r="AK357" i="1"/>
  <c r="AJ357" i="1"/>
  <c r="AI357" i="1"/>
  <c r="AH357" i="1"/>
  <c r="AG357" i="1"/>
  <c r="AF357" i="1"/>
  <c r="AD357" i="1"/>
  <c r="AE357" i="1" s="1"/>
  <c r="AC357" i="1"/>
  <c r="AB357" i="1"/>
  <c r="AA357" i="1"/>
  <c r="Z357" i="1"/>
  <c r="Y357" i="1"/>
  <c r="X357" i="1"/>
  <c r="V357" i="1"/>
  <c r="W357" i="1" s="1"/>
  <c r="U357" i="1"/>
  <c r="T357" i="1"/>
  <c r="S357" i="1"/>
  <c r="R357" i="1"/>
  <c r="Q357" i="1"/>
  <c r="P357" i="1"/>
  <c r="N357" i="1"/>
  <c r="O357" i="1" s="1"/>
  <c r="M357" i="1"/>
  <c r="L357" i="1"/>
  <c r="K357" i="1"/>
  <c r="J357" i="1"/>
  <c r="I357" i="1"/>
  <c r="H357" i="1"/>
  <c r="F357" i="1"/>
  <c r="G357" i="1" s="1"/>
  <c r="E357" i="1"/>
  <c r="D357" i="1"/>
  <c r="BN356" i="1"/>
  <c r="BL356" i="1"/>
  <c r="BK356" i="1"/>
  <c r="BJ356" i="1"/>
  <c r="BM356" i="1" s="1"/>
  <c r="BI356" i="1"/>
  <c r="BH356" i="1"/>
  <c r="BF356" i="1"/>
  <c r="BG356" i="1" s="1"/>
  <c r="BD356" i="1"/>
  <c r="BE356" i="1" s="1"/>
  <c r="BB356" i="1"/>
  <c r="BC356" i="1" s="1"/>
  <c r="BA356" i="1"/>
  <c r="AZ356" i="1"/>
  <c r="AX356" i="1"/>
  <c r="AY356" i="1" s="1"/>
  <c r="AV356" i="1"/>
  <c r="AW356" i="1" s="1"/>
  <c r="AT356" i="1"/>
  <c r="AU356" i="1" s="1"/>
  <c r="AS356" i="1"/>
  <c r="AR356" i="1"/>
  <c r="AP356" i="1"/>
  <c r="AQ356" i="1" s="1"/>
  <c r="AN356" i="1"/>
  <c r="AO356" i="1" s="1"/>
  <c r="AL356" i="1"/>
  <c r="AM356" i="1" s="1"/>
  <c r="AK356" i="1"/>
  <c r="AJ356" i="1"/>
  <c r="AH356" i="1"/>
  <c r="AI356" i="1" s="1"/>
  <c r="AF356" i="1"/>
  <c r="AG356" i="1" s="1"/>
  <c r="AD356" i="1"/>
  <c r="AE356" i="1" s="1"/>
  <c r="AC356" i="1"/>
  <c r="AB356" i="1"/>
  <c r="Z356" i="1"/>
  <c r="AA356" i="1" s="1"/>
  <c r="X356" i="1"/>
  <c r="Y356" i="1" s="1"/>
  <c r="V356" i="1"/>
  <c r="W356" i="1" s="1"/>
  <c r="U356" i="1"/>
  <c r="T356" i="1"/>
  <c r="R356" i="1"/>
  <c r="S356" i="1" s="1"/>
  <c r="P356" i="1"/>
  <c r="Q356" i="1" s="1"/>
  <c r="N356" i="1"/>
  <c r="O356" i="1" s="1"/>
  <c r="M356" i="1"/>
  <c r="L356" i="1"/>
  <c r="J356" i="1"/>
  <c r="K356" i="1" s="1"/>
  <c r="H356" i="1"/>
  <c r="I356" i="1" s="1"/>
  <c r="F356" i="1"/>
  <c r="G356" i="1" s="1"/>
  <c r="E356" i="1"/>
  <c r="D356" i="1"/>
  <c r="BN355" i="1"/>
  <c r="BM355" i="1"/>
  <c r="BK355" i="1"/>
  <c r="BL355" i="1" s="1"/>
  <c r="BJ355" i="1"/>
  <c r="BH355" i="1"/>
  <c r="BI355" i="1" s="1"/>
  <c r="BG355" i="1"/>
  <c r="BF355" i="1"/>
  <c r="BE355" i="1"/>
  <c r="BD355" i="1"/>
  <c r="BC355" i="1"/>
  <c r="BB355" i="1"/>
  <c r="AZ355" i="1"/>
  <c r="BA355" i="1" s="1"/>
  <c r="AY355" i="1"/>
  <c r="AX355" i="1"/>
  <c r="AW355" i="1"/>
  <c r="AV355" i="1"/>
  <c r="AU355" i="1"/>
  <c r="AT355" i="1"/>
  <c r="AR355" i="1"/>
  <c r="AS355" i="1" s="1"/>
  <c r="AQ355" i="1"/>
  <c r="AP355" i="1"/>
  <c r="AO355" i="1"/>
  <c r="AN355" i="1"/>
  <c r="AM355" i="1"/>
  <c r="AL355" i="1"/>
  <c r="AJ355" i="1"/>
  <c r="AK355" i="1" s="1"/>
  <c r="AI355" i="1"/>
  <c r="AH355" i="1"/>
  <c r="AG355" i="1"/>
  <c r="AF355" i="1"/>
  <c r="AE355" i="1"/>
  <c r="AD355" i="1"/>
  <c r="AB355" i="1"/>
  <c r="AC355" i="1" s="1"/>
  <c r="AA355" i="1"/>
  <c r="Z355" i="1"/>
  <c r="Y355" i="1"/>
  <c r="X355" i="1"/>
  <c r="W355" i="1"/>
  <c r="V355" i="1"/>
  <c r="T355" i="1"/>
  <c r="U355" i="1" s="1"/>
  <c r="S355" i="1"/>
  <c r="R355" i="1"/>
  <c r="Q355" i="1"/>
  <c r="P355" i="1"/>
  <c r="O355" i="1"/>
  <c r="N355" i="1"/>
  <c r="L355" i="1"/>
  <c r="M355" i="1" s="1"/>
  <c r="K355" i="1"/>
  <c r="J355" i="1"/>
  <c r="I355" i="1"/>
  <c r="H355" i="1"/>
  <c r="G355" i="1"/>
  <c r="F355" i="1"/>
  <c r="D355" i="1"/>
  <c r="E355" i="1" s="1"/>
  <c r="BN354" i="1"/>
  <c r="BM354" i="1" s="1"/>
  <c r="BL354" i="1"/>
  <c r="BJ354" i="1"/>
  <c r="BI354" i="1"/>
  <c r="BF354" i="1"/>
  <c r="BG354" i="1" s="1"/>
  <c r="BE354" i="1"/>
  <c r="BC354" i="1"/>
  <c r="BB354" i="1"/>
  <c r="BA354" i="1"/>
  <c r="AX354" i="1"/>
  <c r="AY354" i="1" s="1"/>
  <c r="AW354" i="1"/>
  <c r="AT354" i="1"/>
  <c r="AU354" i="1" s="1"/>
  <c r="AS354" i="1"/>
  <c r="AP354" i="1"/>
  <c r="AQ354" i="1" s="1"/>
  <c r="AO354" i="1"/>
  <c r="AM354" i="1"/>
  <c r="AL354" i="1"/>
  <c r="AK354" i="1"/>
  <c r="AI354" i="1"/>
  <c r="AH354" i="1"/>
  <c r="AG354" i="1"/>
  <c r="AE354" i="1"/>
  <c r="AD354" i="1"/>
  <c r="AC354" i="1"/>
  <c r="Z354" i="1"/>
  <c r="AA354" i="1" s="1"/>
  <c r="Y354" i="1"/>
  <c r="W354" i="1"/>
  <c r="V354" i="1"/>
  <c r="U354" i="1"/>
  <c r="R354" i="1"/>
  <c r="S354" i="1" s="1"/>
  <c r="Q354" i="1"/>
  <c r="N354" i="1"/>
  <c r="M354" i="1"/>
  <c r="J354" i="1"/>
  <c r="K354" i="1" s="1"/>
  <c r="I354" i="1"/>
  <c r="G354" i="1"/>
  <c r="F354" i="1"/>
  <c r="E354" i="1"/>
  <c r="BN353" i="1"/>
  <c r="BL353" i="1"/>
  <c r="BJ353" i="1"/>
  <c r="BM353" i="1" s="1"/>
  <c r="BI353" i="1"/>
  <c r="BG353" i="1"/>
  <c r="BF353" i="1"/>
  <c r="BE353" i="1"/>
  <c r="BC353" i="1"/>
  <c r="BB353" i="1"/>
  <c r="BA353" i="1"/>
  <c r="AY353" i="1"/>
  <c r="AX353" i="1"/>
  <c r="AW353" i="1"/>
  <c r="AT353" i="1"/>
  <c r="AU353" i="1" s="1"/>
  <c r="AS353" i="1"/>
  <c r="AQ353" i="1"/>
  <c r="AP353" i="1"/>
  <c r="AO353" i="1"/>
  <c r="AL353" i="1"/>
  <c r="AM353" i="1" s="1"/>
  <c r="AK353" i="1"/>
  <c r="AH353" i="1"/>
  <c r="AG353" i="1"/>
  <c r="AD353" i="1"/>
  <c r="AE353" i="1" s="1"/>
  <c r="AC353" i="1"/>
  <c r="AA353" i="1"/>
  <c r="Z353" i="1"/>
  <c r="Y353" i="1"/>
  <c r="W353" i="1"/>
  <c r="V353" i="1"/>
  <c r="U353" i="1"/>
  <c r="S353" i="1"/>
  <c r="R353" i="1"/>
  <c r="Q353" i="1"/>
  <c r="N353" i="1"/>
  <c r="O353" i="1" s="1"/>
  <c r="M353" i="1"/>
  <c r="K353" i="1"/>
  <c r="J353" i="1"/>
  <c r="I353" i="1"/>
  <c r="F353" i="1"/>
  <c r="G353" i="1" s="1"/>
  <c r="E353" i="1"/>
  <c r="BN352" i="1"/>
  <c r="BM352" i="1"/>
  <c r="BL352" i="1"/>
  <c r="BJ352" i="1"/>
  <c r="BI352" i="1"/>
  <c r="BF352" i="1"/>
  <c r="BG352" i="1" s="1"/>
  <c r="BE352" i="1"/>
  <c r="BB352" i="1"/>
  <c r="BA352" i="1"/>
  <c r="AX352" i="1"/>
  <c r="AY352" i="1" s="1"/>
  <c r="AW352" i="1"/>
  <c r="AU352" i="1"/>
  <c r="AT352" i="1"/>
  <c r="AS352" i="1"/>
  <c r="AQ352" i="1"/>
  <c r="AP352" i="1"/>
  <c r="AO352" i="1"/>
  <c r="AM352" i="1"/>
  <c r="AL352" i="1"/>
  <c r="AK352" i="1"/>
  <c r="AH352" i="1"/>
  <c r="AI352" i="1" s="1"/>
  <c r="AG352" i="1"/>
  <c r="AE352" i="1"/>
  <c r="AD352" i="1"/>
  <c r="AC352" i="1"/>
  <c r="Z352" i="1"/>
  <c r="AA352" i="1" s="1"/>
  <c r="Y352" i="1"/>
  <c r="V352" i="1"/>
  <c r="U352" i="1"/>
  <c r="R352" i="1"/>
  <c r="S352" i="1" s="1"/>
  <c r="Q352" i="1"/>
  <c r="O352" i="1"/>
  <c r="N352" i="1"/>
  <c r="M352" i="1"/>
  <c r="K352" i="1"/>
  <c r="J352" i="1"/>
  <c r="I352" i="1"/>
  <c r="G352" i="1"/>
  <c r="F352" i="1"/>
  <c r="E352" i="1"/>
  <c r="BN351" i="1"/>
  <c r="BL351" i="1"/>
  <c r="BJ351" i="1"/>
  <c r="BM351" i="1" s="1"/>
  <c r="BI351" i="1"/>
  <c r="BG351" i="1"/>
  <c r="BF351" i="1"/>
  <c r="BE351" i="1"/>
  <c r="BB351" i="1"/>
  <c r="BC351" i="1" s="1"/>
  <c r="BA351" i="1"/>
  <c r="AY351" i="1"/>
  <c r="AX351" i="1"/>
  <c r="AW351" i="1"/>
  <c r="AT351" i="1"/>
  <c r="AU351" i="1" s="1"/>
  <c r="AS351" i="1"/>
  <c r="AP351" i="1"/>
  <c r="AQ351" i="1" s="1"/>
  <c r="AO351" i="1"/>
  <c r="AL351" i="1"/>
  <c r="AM351" i="1" s="1"/>
  <c r="AK351" i="1"/>
  <c r="AI351" i="1"/>
  <c r="AH351" i="1"/>
  <c r="AG351" i="1"/>
  <c r="AE351" i="1"/>
  <c r="AD351" i="1"/>
  <c r="AC351" i="1"/>
  <c r="AA351" i="1"/>
  <c r="Z351" i="1"/>
  <c r="Y351" i="1"/>
  <c r="V351" i="1"/>
  <c r="W351" i="1" s="1"/>
  <c r="U351" i="1"/>
  <c r="S351" i="1"/>
  <c r="R351" i="1"/>
  <c r="Q351" i="1"/>
  <c r="N351" i="1"/>
  <c r="O351" i="1" s="1"/>
  <c r="M351" i="1"/>
  <c r="J351" i="1"/>
  <c r="K351" i="1" s="1"/>
  <c r="I351" i="1"/>
  <c r="F351" i="1"/>
  <c r="G351" i="1" s="1"/>
  <c r="E351" i="1"/>
  <c r="BN350" i="1"/>
  <c r="BL350" i="1"/>
  <c r="BJ350" i="1"/>
  <c r="BI350" i="1"/>
  <c r="BF350" i="1"/>
  <c r="BG350" i="1" s="1"/>
  <c r="BE350" i="1"/>
  <c r="BC350" i="1"/>
  <c r="BB350" i="1"/>
  <c r="BA350" i="1"/>
  <c r="AX350" i="1"/>
  <c r="AY350" i="1" s="1"/>
  <c r="AW350" i="1"/>
  <c r="AU350" i="1"/>
  <c r="AT350" i="1"/>
  <c r="AS350" i="1"/>
  <c r="AP350" i="1"/>
  <c r="AQ350" i="1" s="1"/>
  <c r="AO350" i="1"/>
  <c r="AM350" i="1"/>
  <c r="AL350" i="1"/>
  <c r="AK350" i="1"/>
  <c r="AH350" i="1"/>
  <c r="AI350" i="1" s="1"/>
  <c r="AG350" i="1"/>
  <c r="AD350" i="1"/>
  <c r="AE350" i="1" s="1"/>
  <c r="AC350" i="1"/>
  <c r="Z350" i="1"/>
  <c r="AA350" i="1" s="1"/>
  <c r="Y350" i="1"/>
  <c r="W350" i="1"/>
  <c r="V350" i="1"/>
  <c r="U350" i="1"/>
  <c r="R350" i="1"/>
  <c r="S350" i="1" s="1"/>
  <c r="Q350" i="1"/>
  <c r="O350" i="1"/>
  <c r="N350" i="1"/>
  <c r="M350" i="1"/>
  <c r="K350" i="1"/>
  <c r="J350" i="1"/>
  <c r="I350" i="1"/>
  <c r="G350" i="1"/>
  <c r="F350" i="1"/>
  <c r="E350" i="1"/>
  <c r="BN349" i="1"/>
  <c r="BM349" i="1"/>
  <c r="BL349" i="1"/>
  <c r="BJ349" i="1"/>
  <c r="BI349" i="1"/>
  <c r="BG349" i="1"/>
  <c r="BF349" i="1"/>
  <c r="BE349" i="1"/>
  <c r="BB349" i="1"/>
  <c r="BC349" i="1" s="1"/>
  <c r="BA349" i="1"/>
  <c r="AX349" i="1"/>
  <c r="AW349" i="1"/>
  <c r="AT349" i="1"/>
  <c r="AU349" i="1" s="1"/>
  <c r="AS349" i="1"/>
  <c r="AQ349" i="1"/>
  <c r="AP349" i="1"/>
  <c r="AO349" i="1"/>
  <c r="AL349" i="1"/>
  <c r="AM349" i="1" s="1"/>
  <c r="AK349" i="1"/>
  <c r="AI349" i="1"/>
  <c r="AH349" i="1"/>
  <c r="AG349" i="1"/>
  <c r="AE349" i="1"/>
  <c r="AD349" i="1"/>
  <c r="AC349" i="1"/>
  <c r="AA349" i="1"/>
  <c r="Z349" i="1"/>
  <c r="Y349" i="1"/>
  <c r="V349" i="1"/>
  <c r="W349" i="1" s="1"/>
  <c r="U349" i="1"/>
  <c r="R349" i="1"/>
  <c r="S349" i="1" s="1"/>
  <c r="Q349" i="1"/>
  <c r="N349" i="1"/>
  <c r="O349" i="1" s="1"/>
  <c r="M349" i="1"/>
  <c r="K349" i="1"/>
  <c r="J349" i="1"/>
  <c r="I349" i="1"/>
  <c r="F349" i="1"/>
  <c r="G349" i="1" s="1"/>
  <c r="E349" i="1"/>
  <c r="BN348" i="1"/>
  <c r="BM348" i="1" s="1"/>
  <c r="BL348" i="1"/>
  <c r="BJ348" i="1"/>
  <c r="BI348" i="1"/>
  <c r="BF348" i="1"/>
  <c r="BG348" i="1" s="1"/>
  <c r="BE348" i="1"/>
  <c r="BC348" i="1"/>
  <c r="BB348" i="1"/>
  <c r="BA348" i="1"/>
  <c r="AX348" i="1"/>
  <c r="AY348" i="1" s="1"/>
  <c r="AW348" i="1"/>
  <c r="AT348" i="1"/>
  <c r="AU348" i="1" s="1"/>
  <c r="AS348" i="1"/>
  <c r="AP348" i="1"/>
  <c r="AQ348" i="1" s="1"/>
  <c r="AO348" i="1"/>
  <c r="AL348" i="1"/>
  <c r="AM348" i="1" s="1"/>
  <c r="AK348" i="1"/>
  <c r="AH348" i="1"/>
  <c r="AI348" i="1" s="1"/>
  <c r="AG348" i="1"/>
  <c r="AE348" i="1"/>
  <c r="AD348" i="1"/>
  <c r="AC348" i="1"/>
  <c r="Z348" i="1"/>
  <c r="AA348" i="1" s="1"/>
  <c r="Y348" i="1"/>
  <c r="W348" i="1"/>
  <c r="V348" i="1"/>
  <c r="U348" i="1"/>
  <c r="R348" i="1"/>
  <c r="S348" i="1" s="1"/>
  <c r="Q348" i="1"/>
  <c r="N348" i="1"/>
  <c r="O348" i="1" s="1"/>
  <c r="M348" i="1"/>
  <c r="J348" i="1"/>
  <c r="I348" i="1"/>
  <c r="F348" i="1"/>
  <c r="E348" i="1"/>
  <c r="BN347" i="1"/>
  <c r="BL347" i="1"/>
  <c r="BJ347" i="1"/>
  <c r="BI347" i="1"/>
  <c r="BF347" i="1"/>
  <c r="BE347" i="1"/>
  <c r="BB347" i="1"/>
  <c r="BC347" i="1" s="1"/>
  <c r="BA347" i="1"/>
  <c r="AY347" i="1"/>
  <c r="AX347" i="1"/>
  <c r="AW347" i="1"/>
  <c r="AT347" i="1"/>
  <c r="AU347" i="1" s="1"/>
  <c r="AS347" i="1"/>
  <c r="AQ347" i="1"/>
  <c r="AP347" i="1"/>
  <c r="AO347" i="1"/>
  <c r="AL347" i="1"/>
  <c r="AM347" i="1" s="1"/>
  <c r="AK347" i="1"/>
  <c r="AH347" i="1"/>
  <c r="AI347" i="1" s="1"/>
  <c r="AG347" i="1"/>
  <c r="AD347" i="1"/>
  <c r="AC347" i="1"/>
  <c r="Z347" i="1"/>
  <c r="Y347" i="1"/>
  <c r="V347" i="1"/>
  <c r="W347" i="1" s="1"/>
  <c r="U347" i="1"/>
  <c r="S347" i="1"/>
  <c r="R347" i="1"/>
  <c r="Q347" i="1"/>
  <c r="N347" i="1"/>
  <c r="O347" i="1" s="1"/>
  <c r="M347" i="1"/>
  <c r="K347" i="1"/>
  <c r="J347" i="1"/>
  <c r="I347" i="1"/>
  <c r="F347" i="1"/>
  <c r="G347" i="1" s="1"/>
  <c r="E347" i="1"/>
  <c r="BN346" i="1"/>
  <c r="BM346" i="1"/>
  <c r="BL346" i="1"/>
  <c r="BJ346" i="1"/>
  <c r="BI346" i="1"/>
  <c r="BF346" i="1"/>
  <c r="BG346" i="1" s="1"/>
  <c r="BE346" i="1"/>
  <c r="BB346" i="1"/>
  <c r="BC346" i="1" s="1"/>
  <c r="BA346" i="1"/>
  <c r="AX346" i="1"/>
  <c r="AW346" i="1"/>
  <c r="AT346" i="1"/>
  <c r="AS346" i="1"/>
  <c r="AP346" i="1"/>
  <c r="AQ346" i="1" s="1"/>
  <c r="AO346" i="1"/>
  <c r="AM346" i="1"/>
  <c r="AL346" i="1"/>
  <c r="AK346" i="1"/>
  <c r="AH346" i="1"/>
  <c r="AI346" i="1" s="1"/>
  <c r="AG346" i="1"/>
  <c r="AE346" i="1"/>
  <c r="AD346" i="1"/>
  <c r="AC346" i="1"/>
  <c r="Z346" i="1"/>
  <c r="AA346" i="1" s="1"/>
  <c r="Y346" i="1"/>
  <c r="V346" i="1"/>
  <c r="W346" i="1" s="1"/>
  <c r="U346" i="1"/>
  <c r="R346" i="1"/>
  <c r="Q346" i="1"/>
  <c r="N346" i="1"/>
  <c r="M346" i="1"/>
  <c r="J346" i="1"/>
  <c r="K346" i="1" s="1"/>
  <c r="I346" i="1"/>
  <c r="G346" i="1"/>
  <c r="F346" i="1"/>
  <c r="E346" i="1"/>
  <c r="BN345" i="1"/>
  <c r="BL345" i="1"/>
  <c r="BJ345" i="1"/>
  <c r="BM345" i="1" s="1"/>
  <c r="BI345" i="1"/>
  <c r="BG345" i="1"/>
  <c r="BF345" i="1"/>
  <c r="BE345" i="1"/>
  <c r="BC345" i="1"/>
  <c r="BB345" i="1"/>
  <c r="BA345" i="1"/>
  <c r="AY345" i="1"/>
  <c r="AX345" i="1"/>
  <c r="AW345" i="1"/>
  <c r="AT345" i="1"/>
  <c r="AU345" i="1" s="1"/>
  <c r="AS345" i="1"/>
  <c r="AP345" i="1"/>
  <c r="AQ345" i="1" s="1"/>
  <c r="AO345" i="1"/>
  <c r="AL345" i="1"/>
  <c r="AM345" i="1" s="1"/>
  <c r="AK345" i="1"/>
  <c r="AH345" i="1"/>
  <c r="AI345" i="1" s="1"/>
  <c r="AG345" i="1"/>
  <c r="AD345" i="1"/>
  <c r="AE345" i="1" s="1"/>
  <c r="AC345" i="1"/>
  <c r="AA345" i="1"/>
  <c r="Z345" i="1"/>
  <c r="Y345" i="1"/>
  <c r="W345" i="1"/>
  <c r="V345" i="1"/>
  <c r="U345" i="1"/>
  <c r="S345" i="1"/>
  <c r="R345" i="1"/>
  <c r="Q345" i="1"/>
  <c r="N345" i="1"/>
  <c r="O345" i="1" s="1"/>
  <c r="M345" i="1"/>
  <c r="J345" i="1"/>
  <c r="K345" i="1" s="1"/>
  <c r="I345" i="1"/>
  <c r="F345" i="1"/>
  <c r="G345" i="1" s="1"/>
  <c r="E345" i="1"/>
  <c r="BN344" i="1"/>
  <c r="BM344" i="1"/>
  <c r="BL344" i="1"/>
  <c r="BJ344" i="1"/>
  <c r="BI344" i="1"/>
  <c r="BF344" i="1"/>
  <c r="BG344" i="1" s="1"/>
  <c r="BE344" i="1"/>
  <c r="BB344" i="1"/>
  <c r="BA344" i="1"/>
  <c r="AX344" i="1"/>
  <c r="AY344" i="1" s="1"/>
  <c r="AW344" i="1"/>
  <c r="AU344" i="1"/>
  <c r="AT344" i="1"/>
  <c r="AS344" i="1"/>
  <c r="AQ344" i="1"/>
  <c r="AP344" i="1"/>
  <c r="AO344" i="1"/>
  <c r="AM344" i="1"/>
  <c r="AL344" i="1"/>
  <c r="AK344" i="1"/>
  <c r="AH344" i="1"/>
  <c r="AI344" i="1" s="1"/>
  <c r="AG344" i="1"/>
  <c r="AD344" i="1"/>
  <c r="AE344" i="1" s="1"/>
  <c r="AC344" i="1"/>
  <c r="Z344" i="1"/>
  <c r="AA344" i="1" s="1"/>
  <c r="Y344" i="1"/>
  <c r="V344" i="1"/>
  <c r="U344" i="1"/>
  <c r="R344" i="1"/>
  <c r="S344" i="1" s="1"/>
  <c r="Q344" i="1"/>
  <c r="O344" i="1"/>
  <c r="N344" i="1"/>
  <c r="M344" i="1"/>
  <c r="K344" i="1"/>
  <c r="J344" i="1"/>
  <c r="I344" i="1"/>
  <c r="G344" i="1"/>
  <c r="F344" i="1"/>
  <c r="E344" i="1"/>
  <c r="BN343" i="1"/>
  <c r="BM343" i="1"/>
  <c r="BL343" i="1"/>
  <c r="BJ343" i="1"/>
  <c r="BI343" i="1"/>
  <c r="BG343" i="1"/>
  <c r="BF343" i="1"/>
  <c r="BE343" i="1"/>
  <c r="BB343" i="1"/>
  <c r="BC343" i="1" s="1"/>
  <c r="BA343" i="1"/>
  <c r="AX343" i="1"/>
  <c r="AY343" i="1" s="1"/>
  <c r="AW343" i="1"/>
  <c r="AT343" i="1"/>
  <c r="AU343" i="1" s="1"/>
  <c r="AS343" i="1"/>
  <c r="AP343" i="1"/>
  <c r="AQ343" i="1" s="1"/>
  <c r="AO343" i="1"/>
  <c r="AL343" i="1"/>
  <c r="AM343" i="1" s="1"/>
  <c r="AK343" i="1"/>
  <c r="AI343" i="1"/>
  <c r="AH343" i="1"/>
  <c r="AG343" i="1"/>
  <c r="AE343" i="1"/>
  <c r="AD343" i="1"/>
  <c r="AC343" i="1"/>
  <c r="AA343" i="1"/>
  <c r="Z343" i="1"/>
  <c r="Y343" i="1"/>
  <c r="V343" i="1"/>
  <c r="W343" i="1" s="1"/>
  <c r="U343" i="1"/>
  <c r="R343" i="1"/>
  <c r="S343" i="1" s="1"/>
  <c r="Q343" i="1"/>
  <c r="N343" i="1"/>
  <c r="O343" i="1" s="1"/>
  <c r="M343" i="1"/>
  <c r="J343" i="1"/>
  <c r="K343" i="1" s="1"/>
  <c r="I343" i="1"/>
  <c r="F343" i="1"/>
  <c r="G343" i="1" s="1"/>
  <c r="E343" i="1"/>
  <c r="BN342" i="1"/>
  <c r="BL342" i="1"/>
  <c r="BJ342" i="1"/>
  <c r="BM342" i="1" s="1"/>
  <c r="BI342" i="1"/>
  <c r="BF342" i="1"/>
  <c r="BG342" i="1" s="1"/>
  <c r="BE342" i="1"/>
  <c r="BC342" i="1"/>
  <c r="BB342" i="1"/>
  <c r="BA342" i="1"/>
  <c r="AY342" i="1"/>
  <c r="AX342" i="1"/>
  <c r="AW342" i="1"/>
  <c r="AU342" i="1"/>
  <c r="AT342" i="1"/>
  <c r="AS342" i="1"/>
  <c r="AP342" i="1"/>
  <c r="AQ342" i="1" s="1"/>
  <c r="AO342" i="1"/>
  <c r="AL342" i="1"/>
  <c r="AM342" i="1" s="1"/>
  <c r="AK342" i="1"/>
  <c r="AH342" i="1"/>
  <c r="AG342" i="1"/>
  <c r="AD342" i="1"/>
  <c r="AC342" i="1"/>
  <c r="Z342" i="1"/>
  <c r="AA342" i="1" s="1"/>
  <c r="Y342" i="1"/>
  <c r="W342" i="1"/>
  <c r="V342" i="1"/>
  <c r="U342" i="1"/>
  <c r="S342" i="1"/>
  <c r="R342" i="1"/>
  <c r="Q342" i="1"/>
  <c r="O342" i="1"/>
  <c r="N342" i="1"/>
  <c r="M342" i="1"/>
  <c r="J342" i="1"/>
  <c r="K342" i="1" s="1"/>
  <c r="I342" i="1"/>
  <c r="F342" i="1"/>
  <c r="G342" i="1" s="1"/>
  <c r="E342" i="1"/>
  <c r="BN341" i="1"/>
  <c r="BM341" i="1"/>
  <c r="BL341" i="1"/>
  <c r="BJ341" i="1"/>
  <c r="BI341" i="1"/>
  <c r="BF341" i="1"/>
  <c r="BG341" i="1" s="1"/>
  <c r="BE341" i="1"/>
  <c r="BB341" i="1"/>
  <c r="BA341" i="1"/>
  <c r="AX341" i="1"/>
  <c r="AW341" i="1"/>
  <c r="AT341" i="1"/>
  <c r="AU341" i="1" s="1"/>
  <c r="AS341" i="1"/>
  <c r="AQ341" i="1"/>
  <c r="AP341" i="1"/>
  <c r="AM341" i="1" s="1"/>
  <c r="AO341" i="1"/>
  <c r="AL341" i="1"/>
  <c r="AK341" i="1"/>
  <c r="AI341" i="1"/>
  <c r="AH341" i="1"/>
  <c r="AG341" i="1"/>
  <c r="AD341" i="1"/>
  <c r="AE341" i="1" s="1"/>
  <c r="AC341" i="1"/>
  <c r="Z341" i="1"/>
  <c r="AA341" i="1" s="1"/>
  <c r="Y341" i="1"/>
  <c r="V341" i="1"/>
  <c r="U341" i="1"/>
  <c r="R341" i="1"/>
  <c r="Q341" i="1"/>
  <c r="N341" i="1"/>
  <c r="O341" i="1" s="1"/>
  <c r="M341" i="1"/>
  <c r="K341" i="1"/>
  <c r="J341" i="1"/>
  <c r="I341" i="1"/>
  <c r="F341" i="1"/>
  <c r="G341" i="1" s="1"/>
  <c r="E341" i="1"/>
  <c r="BN340" i="1"/>
  <c r="BL340" i="1"/>
  <c r="BJ340" i="1"/>
  <c r="BM340" i="1" s="1"/>
  <c r="BI340" i="1"/>
  <c r="BF340" i="1"/>
  <c r="BG340" i="1" s="1"/>
  <c r="BE340" i="1"/>
  <c r="BC340" i="1"/>
  <c r="BB340" i="1"/>
  <c r="BA340" i="1"/>
  <c r="AX340" i="1"/>
  <c r="AY340" i="1" s="1"/>
  <c r="AW340" i="1"/>
  <c r="AT340" i="1"/>
  <c r="AU340" i="1" s="1"/>
  <c r="AS340" i="1"/>
  <c r="AP340" i="1"/>
  <c r="AO340" i="1"/>
  <c r="AL340" i="1"/>
  <c r="AK340" i="1"/>
  <c r="AH340" i="1"/>
  <c r="AI340" i="1" s="1"/>
  <c r="AG340" i="1"/>
  <c r="AE340" i="1"/>
  <c r="AD340" i="1"/>
  <c r="AC340" i="1"/>
  <c r="Z340" i="1"/>
  <c r="AA340" i="1" s="1"/>
  <c r="Y340" i="1"/>
  <c r="W340" i="1"/>
  <c r="V340" i="1"/>
  <c r="U340" i="1"/>
  <c r="R340" i="1"/>
  <c r="S340" i="1" s="1"/>
  <c r="Q340" i="1"/>
  <c r="N340" i="1"/>
  <c r="O340" i="1" s="1"/>
  <c r="M340" i="1"/>
  <c r="J340" i="1"/>
  <c r="I340" i="1"/>
  <c r="F340" i="1"/>
  <c r="E340" i="1"/>
  <c r="BN339" i="1"/>
  <c r="BL339" i="1"/>
  <c r="BJ339" i="1"/>
  <c r="BI339" i="1"/>
  <c r="BF339" i="1"/>
  <c r="BE339" i="1"/>
  <c r="BB339" i="1"/>
  <c r="BC339" i="1" s="1"/>
  <c r="BA339" i="1"/>
  <c r="AY339" i="1"/>
  <c r="AX339" i="1"/>
  <c r="AW339" i="1"/>
  <c r="AT339" i="1"/>
  <c r="AU339" i="1" s="1"/>
  <c r="AS339" i="1"/>
  <c r="AQ339" i="1"/>
  <c r="AP339" i="1"/>
  <c r="AO339" i="1"/>
  <c r="AL339" i="1"/>
  <c r="AM339" i="1" s="1"/>
  <c r="AK339" i="1"/>
  <c r="AH339" i="1"/>
  <c r="AI339" i="1" s="1"/>
  <c r="AG339" i="1"/>
  <c r="AD339" i="1"/>
  <c r="AC339" i="1"/>
  <c r="Z339" i="1"/>
  <c r="Y339" i="1"/>
  <c r="V339" i="1"/>
  <c r="W339" i="1" s="1"/>
  <c r="U339" i="1"/>
  <c r="S339" i="1"/>
  <c r="R339" i="1"/>
  <c r="Q339" i="1"/>
  <c r="N339" i="1"/>
  <c r="O339" i="1" s="1"/>
  <c r="M339" i="1"/>
  <c r="K339" i="1"/>
  <c r="J339" i="1"/>
  <c r="I339" i="1"/>
  <c r="F339" i="1"/>
  <c r="G339" i="1" s="1"/>
  <c r="E339" i="1"/>
  <c r="BN338" i="1"/>
  <c r="BM338" i="1"/>
  <c r="BL338" i="1"/>
  <c r="BJ338" i="1"/>
  <c r="BI338" i="1"/>
  <c r="BF338" i="1"/>
  <c r="BG338" i="1" s="1"/>
  <c r="BE338" i="1"/>
  <c r="BB338" i="1"/>
  <c r="BC338" i="1" s="1"/>
  <c r="BA338" i="1"/>
  <c r="AX338" i="1"/>
  <c r="AY338" i="1" s="1"/>
  <c r="AW338" i="1"/>
  <c r="AT338" i="1"/>
  <c r="AU338" i="1" s="1"/>
  <c r="AS338" i="1"/>
  <c r="AP338" i="1"/>
  <c r="AQ338" i="1" s="1"/>
  <c r="AO338" i="1"/>
  <c r="AM338" i="1"/>
  <c r="AL338" i="1"/>
  <c r="AK338" i="1"/>
  <c r="AH338" i="1"/>
  <c r="AI338" i="1" s="1"/>
  <c r="AG338" i="1"/>
  <c r="AE338" i="1"/>
  <c r="AD338" i="1"/>
  <c r="AC338" i="1"/>
  <c r="Z338" i="1"/>
  <c r="AA338" i="1" s="1"/>
  <c r="Y338" i="1"/>
  <c r="V338" i="1"/>
  <c r="W338" i="1" s="1"/>
  <c r="U338" i="1"/>
  <c r="R338" i="1"/>
  <c r="S338" i="1" s="1"/>
  <c r="Q338" i="1"/>
  <c r="N338" i="1"/>
  <c r="M338" i="1"/>
  <c r="J338" i="1"/>
  <c r="K338" i="1" s="1"/>
  <c r="I338" i="1"/>
  <c r="G338" i="1"/>
  <c r="F338" i="1"/>
  <c r="E338" i="1"/>
  <c r="BN337" i="1"/>
  <c r="BL337" i="1"/>
  <c r="BJ337" i="1"/>
  <c r="BM337" i="1" s="1"/>
  <c r="BI337" i="1"/>
  <c r="BG337" i="1"/>
  <c r="BF337" i="1"/>
  <c r="BE337" i="1"/>
  <c r="BB337" i="1"/>
  <c r="BC337" i="1" s="1"/>
  <c r="BA337" i="1"/>
  <c r="AY337" i="1"/>
  <c r="AX337" i="1"/>
  <c r="AW337" i="1"/>
  <c r="AT337" i="1"/>
  <c r="AU337" i="1" s="1"/>
  <c r="AS337" i="1"/>
  <c r="AP337" i="1"/>
  <c r="AQ337" i="1" s="1"/>
  <c r="AO337" i="1"/>
  <c r="AL337" i="1"/>
  <c r="AM337" i="1" s="1"/>
  <c r="AK337" i="1"/>
  <c r="AH337" i="1"/>
  <c r="AG337" i="1"/>
  <c r="AD337" i="1"/>
  <c r="AE337" i="1" s="1"/>
  <c r="AC337" i="1"/>
  <c r="AA337" i="1"/>
  <c r="Z337" i="1"/>
  <c r="W337" i="1" s="1"/>
  <c r="Y337" i="1"/>
  <c r="V337" i="1"/>
  <c r="U337" i="1"/>
  <c r="S337" i="1"/>
  <c r="R337" i="1"/>
  <c r="Q337" i="1"/>
  <c r="N337" i="1"/>
  <c r="O337" i="1" s="1"/>
  <c r="M337" i="1"/>
  <c r="J337" i="1"/>
  <c r="K337" i="1" s="1"/>
  <c r="I337" i="1"/>
  <c r="F337" i="1"/>
  <c r="G337" i="1" s="1"/>
  <c r="E337" i="1"/>
  <c r="BN336" i="1"/>
  <c r="BL336" i="1"/>
  <c r="BJ336" i="1"/>
  <c r="BM336" i="1" s="1"/>
  <c r="BI336" i="1"/>
  <c r="BF336" i="1"/>
  <c r="BE336" i="1"/>
  <c r="BB336" i="1"/>
  <c r="BA336" i="1"/>
  <c r="AX336" i="1"/>
  <c r="AY336" i="1" s="1"/>
  <c r="AW336" i="1"/>
  <c r="AU336" i="1"/>
  <c r="AT336" i="1"/>
  <c r="AS336" i="1"/>
  <c r="AP336" i="1"/>
  <c r="AQ336" i="1" s="1"/>
  <c r="AO336" i="1"/>
  <c r="AM336" i="1"/>
  <c r="AL336" i="1"/>
  <c r="AK336" i="1"/>
  <c r="AI336" i="1"/>
  <c r="AH336" i="1"/>
  <c r="AG336" i="1"/>
  <c r="AD336" i="1"/>
  <c r="AE336" i="1" s="1"/>
  <c r="AC336" i="1"/>
  <c r="Z336" i="1"/>
  <c r="Y336" i="1"/>
  <c r="V336" i="1"/>
  <c r="U336" i="1"/>
  <c r="R336" i="1"/>
  <c r="S336" i="1" s="1"/>
  <c r="Q336" i="1"/>
  <c r="O336" i="1"/>
  <c r="N336" i="1"/>
  <c r="M336" i="1"/>
  <c r="J336" i="1"/>
  <c r="K336" i="1" s="1"/>
  <c r="I336" i="1"/>
  <c r="G336" i="1"/>
  <c r="F336" i="1"/>
  <c r="E336" i="1"/>
  <c r="BN335" i="1"/>
  <c r="BL335" i="1"/>
  <c r="BJ335" i="1"/>
  <c r="BM335" i="1" s="1"/>
  <c r="BI335" i="1"/>
  <c r="BG335" i="1"/>
  <c r="BF335" i="1"/>
  <c r="BE335" i="1"/>
  <c r="BC335" i="1"/>
  <c r="BB335" i="1"/>
  <c r="BA335" i="1"/>
  <c r="AX335" i="1"/>
  <c r="AY335" i="1" s="1"/>
  <c r="AW335" i="1"/>
  <c r="AT335" i="1"/>
  <c r="AU335" i="1" s="1"/>
  <c r="AS335" i="1"/>
  <c r="AP335" i="1"/>
  <c r="AQ335" i="1" s="1"/>
  <c r="AO335" i="1"/>
  <c r="AL335" i="1"/>
  <c r="AM335" i="1" s="1"/>
  <c r="AK335" i="1"/>
  <c r="AI335" i="1"/>
  <c r="AH335" i="1"/>
  <c r="AG335" i="1"/>
  <c r="AD335" i="1"/>
  <c r="AE335" i="1" s="1"/>
  <c r="AC335" i="1"/>
  <c r="AA335" i="1"/>
  <c r="Z335" i="1"/>
  <c r="Y335" i="1"/>
  <c r="W335" i="1"/>
  <c r="V335" i="1"/>
  <c r="U335" i="1"/>
  <c r="R335" i="1"/>
  <c r="S335" i="1" s="1"/>
  <c r="Q335" i="1"/>
  <c r="N335" i="1"/>
  <c r="O335" i="1" s="1"/>
  <c r="M335" i="1"/>
  <c r="J335" i="1"/>
  <c r="I335" i="1"/>
  <c r="F335" i="1"/>
  <c r="G335" i="1" s="1"/>
  <c r="E335" i="1"/>
  <c r="BN334" i="1"/>
  <c r="BM334" i="1" s="1"/>
  <c r="BL334" i="1"/>
  <c r="BJ334" i="1"/>
  <c r="BI334" i="1"/>
  <c r="BF334" i="1"/>
  <c r="BG334" i="1" s="1"/>
  <c r="BE334" i="1"/>
  <c r="BC334" i="1"/>
  <c r="BB334" i="1"/>
  <c r="BA334" i="1"/>
  <c r="AX334" i="1"/>
  <c r="AY334" i="1" s="1"/>
  <c r="AW334" i="1"/>
  <c r="AU334" i="1"/>
  <c r="AT334" i="1"/>
  <c r="AQ334" i="1" s="1"/>
  <c r="AS334" i="1"/>
  <c r="AP334" i="1"/>
  <c r="AO334" i="1"/>
  <c r="AM334" i="1"/>
  <c r="AL334" i="1"/>
  <c r="AK334" i="1"/>
  <c r="AH334" i="1"/>
  <c r="AI334" i="1" s="1"/>
  <c r="AG334" i="1"/>
  <c r="AD334" i="1"/>
  <c r="AC334" i="1"/>
  <c r="Z334" i="1"/>
  <c r="AA334" i="1" s="1"/>
  <c r="Y334" i="1"/>
  <c r="W334" i="1"/>
  <c r="V334" i="1"/>
  <c r="U334" i="1"/>
  <c r="R334" i="1"/>
  <c r="S334" i="1" s="1"/>
  <c r="Q334" i="1"/>
  <c r="O334" i="1"/>
  <c r="N334" i="1"/>
  <c r="M334" i="1"/>
  <c r="J334" i="1"/>
  <c r="K334" i="1" s="1"/>
  <c r="I334" i="1"/>
  <c r="F334" i="1"/>
  <c r="G334" i="1" s="1"/>
  <c r="E334" i="1"/>
  <c r="BN333" i="1"/>
  <c r="BM333" i="1"/>
  <c r="BL333" i="1"/>
  <c r="BJ333" i="1"/>
  <c r="BI333" i="1"/>
  <c r="BF333" i="1"/>
  <c r="BG333" i="1" s="1"/>
  <c r="BE333" i="1"/>
  <c r="BB333" i="1"/>
  <c r="BC333" i="1" s="1"/>
  <c r="BA333" i="1"/>
  <c r="AX333" i="1"/>
  <c r="AW333" i="1"/>
  <c r="AT333" i="1"/>
  <c r="AU333" i="1" s="1"/>
  <c r="AS333" i="1"/>
  <c r="AQ333" i="1"/>
  <c r="AP333" i="1"/>
  <c r="AO333" i="1"/>
  <c r="AL333" i="1"/>
  <c r="AM333" i="1" s="1"/>
  <c r="AK333" i="1"/>
  <c r="AI333" i="1"/>
  <c r="AH333" i="1"/>
  <c r="AG333" i="1"/>
  <c r="AD333" i="1"/>
  <c r="AE333" i="1" s="1"/>
  <c r="AC333" i="1"/>
  <c r="Z333" i="1"/>
  <c r="AA333" i="1" s="1"/>
  <c r="Y333" i="1"/>
  <c r="V333" i="1"/>
  <c r="U333" i="1"/>
  <c r="R333" i="1"/>
  <c r="Q333" i="1"/>
  <c r="N333" i="1"/>
  <c r="O333" i="1" s="1"/>
  <c r="M333" i="1"/>
  <c r="K333" i="1"/>
  <c r="J333" i="1"/>
  <c r="G333" i="1" s="1"/>
  <c r="I333" i="1"/>
  <c r="F333" i="1"/>
  <c r="E333" i="1"/>
  <c r="BN332" i="1"/>
  <c r="BM332" i="1" s="1"/>
  <c r="BL332" i="1"/>
  <c r="BJ332" i="1"/>
  <c r="BG332" i="1" s="1"/>
  <c r="BI332" i="1"/>
  <c r="BF332" i="1"/>
  <c r="BE332" i="1"/>
  <c r="BC332" i="1"/>
  <c r="BB332" i="1"/>
  <c r="BA332" i="1"/>
  <c r="AX332" i="1"/>
  <c r="AY332" i="1" s="1"/>
  <c r="AW332" i="1"/>
  <c r="AT332" i="1"/>
  <c r="AU332" i="1" s="1"/>
  <c r="AS332" i="1"/>
  <c r="AP332" i="1"/>
  <c r="AQ332" i="1" s="1"/>
  <c r="AO332" i="1"/>
  <c r="AL332" i="1"/>
  <c r="AK332" i="1"/>
  <c r="AH332" i="1"/>
  <c r="AI332" i="1" s="1"/>
  <c r="AG332" i="1"/>
  <c r="AE332" i="1"/>
  <c r="AD332" i="1"/>
  <c r="AC332" i="1"/>
  <c r="Z332" i="1"/>
  <c r="AA332" i="1" s="1"/>
  <c r="Y332" i="1"/>
  <c r="W332" i="1"/>
  <c r="V332" i="1"/>
  <c r="U332" i="1"/>
  <c r="R332" i="1"/>
  <c r="S332" i="1" s="1"/>
  <c r="Q332" i="1"/>
  <c r="N332" i="1"/>
  <c r="O332" i="1" s="1"/>
  <c r="M332" i="1"/>
  <c r="J332" i="1"/>
  <c r="K332" i="1" s="1"/>
  <c r="I332" i="1"/>
  <c r="F332" i="1"/>
  <c r="G332" i="1" s="1"/>
  <c r="E332" i="1"/>
  <c r="BN331" i="1"/>
  <c r="BL331" i="1"/>
  <c r="BJ331" i="1"/>
  <c r="BM331" i="1" s="1"/>
  <c r="BI331" i="1"/>
  <c r="BF331" i="1"/>
  <c r="BE331" i="1"/>
  <c r="BB331" i="1"/>
  <c r="BC331" i="1" s="1"/>
  <c r="BA331" i="1"/>
  <c r="AY331" i="1"/>
  <c r="AX331" i="1"/>
  <c r="AW331" i="1"/>
  <c r="AT331" i="1"/>
  <c r="AU331" i="1" s="1"/>
  <c r="AS331" i="1"/>
  <c r="AQ331" i="1"/>
  <c r="AP331" i="1"/>
  <c r="AO331" i="1"/>
  <c r="AL331" i="1"/>
  <c r="AM331" i="1" s="1"/>
  <c r="AK331" i="1"/>
  <c r="AH331" i="1"/>
  <c r="AG331" i="1"/>
  <c r="AD331" i="1"/>
  <c r="AE331" i="1" s="1"/>
  <c r="AC331" i="1"/>
  <c r="Z331" i="1"/>
  <c r="AA331" i="1" s="1"/>
  <c r="Y331" i="1"/>
  <c r="V331" i="1"/>
  <c r="W331" i="1" s="1"/>
  <c r="U331" i="1"/>
  <c r="S331" i="1"/>
  <c r="R331" i="1"/>
  <c r="Q331" i="1"/>
  <c r="N331" i="1"/>
  <c r="O331" i="1" s="1"/>
  <c r="M331" i="1"/>
  <c r="K331" i="1"/>
  <c r="J331" i="1"/>
  <c r="I331" i="1"/>
  <c r="F331" i="1"/>
  <c r="G331" i="1" s="1"/>
  <c r="E331" i="1"/>
  <c r="BN330" i="1"/>
  <c r="BL330" i="1"/>
  <c r="BJ330" i="1"/>
  <c r="BM330" i="1" s="1"/>
  <c r="BI330" i="1"/>
  <c r="BF330" i="1"/>
  <c r="BG330" i="1" s="1"/>
  <c r="BE330" i="1"/>
  <c r="BC330" i="1"/>
  <c r="BB330" i="1"/>
  <c r="BA330" i="1"/>
  <c r="AX330" i="1"/>
  <c r="AY330" i="1" s="1"/>
  <c r="AW330" i="1"/>
  <c r="AT330" i="1"/>
  <c r="AS330" i="1"/>
  <c r="AP330" i="1"/>
  <c r="AQ330" i="1" s="1"/>
  <c r="AO330" i="1"/>
  <c r="AM330" i="1"/>
  <c r="AL330" i="1"/>
  <c r="AK330" i="1"/>
  <c r="AH330" i="1"/>
  <c r="AI330" i="1" s="1"/>
  <c r="AG330" i="1"/>
  <c r="AE330" i="1"/>
  <c r="AD330" i="1"/>
  <c r="AA330" i="1" s="1"/>
  <c r="AC330" i="1"/>
  <c r="Z330" i="1"/>
  <c r="Y330" i="1"/>
  <c r="V330" i="1"/>
  <c r="W330" i="1" s="1"/>
  <c r="U330" i="1"/>
  <c r="R330" i="1"/>
  <c r="S330" i="1" s="1"/>
  <c r="Q330" i="1"/>
  <c r="N330" i="1"/>
  <c r="M330" i="1"/>
  <c r="J330" i="1"/>
  <c r="K330" i="1" s="1"/>
  <c r="I330" i="1"/>
  <c r="G330" i="1"/>
  <c r="F330" i="1"/>
  <c r="E330" i="1"/>
  <c r="BN329" i="1"/>
  <c r="BL329" i="1"/>
  <c r="BJ329" i="1"/>
  <c r="BM329" i="1" s="1"/>
  <c r="BI329" i="1"/>
  <c r="BG329" i="1"/>
  <c r="BF329" i="1"/>
  <c r="BE329" i="1"/>
  <c r="BC329" i="1"/>
  <c r="BB329" i="1"/>
  <c r="BA329" i="1"/>
  <c r="AY329" i="1"/>
  <c r="AX329" i="1"/>
  <c r="AU329" i="1" s="1"/>
  <c r="AW329" i="1"/>
  <c r="AT329" i="1"/>
  <c r="AS329" i="1"/>
  <c r="AP329" i="1"/>
  <c r="AQ329" i="1" s="1"/>
  <c r="AO329" i="1"/>
  <c r="AL329" i="1"/>
  <c r="AM329" i="1" s="1"/>
  <c r="AK329" i="1"/>
  <c r="AH329" i="1"/>
  <c r="AI329" i="1" s="1"/>
  <c r="AG329" i="1"/>
  <c r="AD329" i="1"/>
  <c r="AE329" i="1" s="1"/>
  <c r="AC329" i="1"/>
  <c r="AA329" i="1"/>
  <c r="Z329" i="1"/>
  <c r="Y329" i="1"/>
  <c r="V329" i="1"/>
  <c r="W329" i="1" s="1"/>
  <c r="U329" i="1"/>
  <c r="S329" i="1"/>
  <c r="R329" i="1"/>
  <c r="Q329" i="1"/>
  <c r="O329" i="1"/>
  <c r="N329" i="1"/>
  <c r="M329" i="1"/>
  <c r="J329" i="1"/>
  <c r="K329" i="1" s="1"/>
  <c r="I329" i="1"/>
  <c r="F329" i="1"/>
  <c r="G329" i="1" s="1"/>
  <c r="E329" i="1"/>
  <c r="BN328" i="1"/>
  <c r="BM328" i="1"/>
  <c r="BL328" i="1"/>
  <c r="BJ328" i="1"/>
  <c r="BI328" i="1"/>
  <c r="BF328" i="1"/>
  <c r="BG328" i="1" s="1"/>
  <c r="BE328" i="1"/>
  <c r="BB328" i="1"/>
  <c r="BC328" i="1" s="1"/>
  <c r="BA328" i="1"/>
  <c r="AX328" i="1"/>
  <c r="AY328" i="1" s="1"/>
  <c r="AW328" i="1"/>
  <c r="AU328" i="1"/>
  <c r="AT328" i="1"/>
  <c r="AS328" i="1"/>
  <c r="AP328" i="1"/>
  <c r="AQ328" i="1" s="1"/>
  <c r="AO328" i="1"/>
  <c r="AM328" i="1"/>
  <c r="AL328" i="1"/>
  <c r="AK328" i="1"/>
  <c r="AI328" i="1"/>
  <c r="AH328" i="1"/>
  <c r="AG328" i="1"/>
  <c r="AD328" i="1"/>
  <c r="AE328" i="1" s="1"/>
  <c r="AC328" i="1"/>
  <c r="Z328" i="1"/>
  <c r="Y328" i="1"/>
  <c r="V328" i="1"/>
  <c r="U328" i="1"/>
  <c r="R328" i="1"/>
  <c r="S328" i="1" s="1"/>
  <c r="Q328" i="1"/>
  <c r="O328" i="1"/>
  <c r="N328" i="1"/>
  <c r="M328" i="1"/>
  <c r="J328" i="1"/>
  <c r="K328" i="1" s="1"/>
  <c r="I328" i="1"/>
  <c r="G328" i="1"/>
  <c r="F328" i="1"/>
  <c r="E328" i="1"/>
  <c r="BN327" i="1"/>
  <c r="BL327" i="1"/>
  <c r="BJ327" i="1"/>
  <c r="BM327" i="1" s="1"/>
  <c r="BI327" i="1"/>
  <c r="BG327" i="1"/>
  <c r="BF327" i="1"/>
  <c r="BE327" i="1"/>
  <c r="BC327" i="1"/>
  <c r="BB327" i="1"/>
  <c r="BA327" i="1"/>
  <c r="AX327" i="1"/>
  <c r="AY327" i="1" s="1"/>
  <c r="AW327" i="1"/>
  <c r="AT327" i="1"/>
  <c r="AU327" i="1" s="1"/>
  <c r="AS327" i="1"/>
  <c r="AP327" i="1"/>
  <c r="AQ327" i="1" s="1"/>
  <c r="AO327" i="1"/>
  <c r="AL327" i="1"/>
  <c r="AM327" i="1" s="1"/>
  <c r="AK327" i="1"/>
  <c r="AI327" i="1"/>
  <c r="AH327" i="1"/>
  <c r="AG327" i="1"/>
  <c r="AD327" i="1"/>
  <c r="AE327" i="1" s="1"/>
  <c r="AC327" i="1"/>
  <c r="AA327" i="1"/>
  <c r="Z327" i="1"/>
  <c r="Y327" i="1"/>
  <c r="W327" i="1"/>
  <c r="V327" i="1"/>
  <c r="U327" i="1"/>
  <c r="R327" i="1"/>
  <c r="S327" i="1" s="1"/>
  <c r="Q327" i="1"/>
  <c r="N327" i="1"/>
  <c r="O327" i="1" s="1"/>
  <c r="M327" i="1"/>
  <c r="J327" i="1"/>
  <c r="K327" i="1" s="1"/>
  <c r="I327" i="1"/>
  <c r="F327" i="1"/>
  <c r="G327" i="1" s="1"/>
  <c r="E327" i="1"/>
  <c r="BN326" i="1"/>
  <c r="BM326" i="1" s="1"/>
  <c r="BL326" i="1"/>
  <c r="BJ326" i="1"/>
  <c r="BI326" i="1"/>
  <c r="BF326" i="1"/>
  <c r="BG326" i="1" s="1"/>
  <c r="BE326" i="1"/>
  <c r="BC326" i="1"/>
  <c r="BB326" i="1"/>
  <c r="BA326" i="1"/>
  <c r="AX326" i="1"/>
  <c r="AY326" i="1" s="1"/>
  <c r="AW326" i="1"/>
  <c r="AU326" i="1"/>
  <c r="AT326" i="1"/>
  <c r="AS326" i="1"/>
  <c r="AP326" i="1"/>
  <c r="AQ326" i="1" s="1"/>
  <c r="AO326" i="1"/>
  <c r="AL326" i="1"/>
  <c r="AM326" i="1" s="1"/>
  <c r="AK326" i="1"/>
  <c r="AH326" i="1"/>
  <c r="AG326" i="1"/>
  <c r="AD326" i="1"/>
  <c r="AC326" i="1"/>
  <c r="Z326" i="1"/>
  <c r="AA326" i="1" s="1"/>
  <c r="Y326" i="1"/>
  <c r="W326" i="1"/>
  <c r="V326" i="1"/>
  <c r="U326" i="1"/>
  <c r="R326" i="1"/>
  <c r="S326" i="1" s="1"/>
  <c r="Q326" i="1"/>
  <c r="O326" i="1"/>
  <c r="N326" i="1"/>
  <c r="M326" i="1"/>
  <c r="J326" i="1"/>
  <c r="K326" i="1" s="1"/>
  <c r="I326" i="1"/>
  <c r="F326" i="1"/>
  <c r="G326" i="1" s="1"/>
  <c r="E326" i="1"/>
  <c r="BN325" i="1"/>
  <c r="BM325" i="1"/>
  <c r="BL325" i="1"/>
  <c r="BJ325" i="1"/>
  <c r="BI325" i="1"/>
  <c r="BF325" i="1"/>
  <c r="BG325" i="1" s="1"/>
  <c r="BE325" i="1"/>
  <c r="BB325" i="1"/>
  <c r="BC325" i="1" s="1"/>
  <c r="BA325" i="1"/>
  <c r="AX325" i="1"/>
  <c r="AY325" i="1" s="1"/>
  <c r="AW325" i="1"/>
  <c r="AT325" i="1"/>
  <c r="AU325" i="1" s="1"/>
  <c r="AS325" i="1"/>
  <c r="AQ325" i="1"/>
  <c r="AP325" i="1"/>
  <c r="AM325" i="1" s="1"/>
  <c r="AO325" i="1"/>
  <c r="AL325" i="1"/>
  <c r="AK325" i="1"/>
  <c r="AI325" i="1"/>
  <c r="AH325" i="1"/>
  <c r="AG325" i="1"/>
  <c r="AD325" i="1"/>
  <c r="AE325" i="1" s="1"/>
  <c r="AC325" i="1"/>
  <c r="Z325" i="1"/>
  <c r="AA325" i="1" s="1"/>
  <c r="Y325" i="1"/>
  <c r="V325" i="1"/>
  <c r="W325" i="1" s="1"/>
  <c r="U325" i="1"/>
  <c r="R325" i="1"/>
  <c r="Q325" i="1"/>
  <c r="N325" i="1"/>
  <c r="O325" i="1" s="1"/>
  <c r="M325" i="1"/>
  <c r="K325" i="1"/>
  <c r="J325" i="1"/>
  <c r="I325" i="1"/>
  <c r="G325" i="1"/>
  <c r="F325" i="1"/>
  <c r="E325" i="1"/>
  <c r="BN324" i="1"/>
  <c r="BL324" i="1"/>
  <c r="BJ324" i="1"/>
  <c r="BM324" i="1" s="1"/>
  <c r="BI324" i="1"/>
  <c r="BG324" i="1"/>
  <c r="BF324" i="1"/>
  <c r="BE324" i="1"/>
  <c r="BC324" i="1"/>
  <c r="BB324" i="1"/>
  <c r="BA324" i="1"/>
  <c r="AX324" i="1"/>
  <c r="AY324" i="1" s="1"/>
  <c r="AW324" i="1"/>
  <c r="AT324" i="1"/>
  <c r="AU324" i="1" s="1"/>
  <c r="AS324" i="1"/>
  <c r="AP324" i="1"/>
  <c r="AQ324" i="1" s="1"/>
  <c r="AO324" i="1"/>
  <c r="AL324" i="1"/>
  <c r="AM324" i="1" s="1"/>
  <c r="AK324" i="1"/>
  <c r="AH324" i="1"/>
  <c r="AI324" i="1" s="1"/>
  <c r="AG324" i="1"/>
  <c r="AE324" i="1"/>
  <c r="AD324" i="1"/>
  <c r="AC324" i="1"/>
  <c r="AA324" i="1"/>
  <c r="Z324" i="1"/>
  <c r="Y324" i="1"/>
  <c r="W324" i="1"/>
  <c r="V324" i="1"/>
  <c r="U324" i="1"/>
  <c r="R324" i="1"/>
  <c r="S324" i="1" s="1"/>
  <c r="Q324" i="1"/>
  <c r="N324" i="1"/>
  <c r="O324" i="1" s="1"/>
  <c r="M324" i="1"/>
  <c r="J324" i="1"/>
  <c r="K324" i="1" s="1"/>
  <c r="I324" i="1"/>
  <c r="F324" i="1"/>
  <c r="G324" i="1" s="1"/>
  <c r="E324" i="1"/>
  <c r="BN323" i="1"/>
  <c r="BL323" i="1"/>
  <c r="BJ323" i="1"/>
  <c r="BM323" i="1" s="1"/>
  <c r="BI323" i="1"/>
  <c r="BF323" i="1"/>
  <c r="BG323" i="1" s="1"/>
  <c r="BE323" i="1"/>
  <c r="BB323" i="1"/>
  <c r="BC323" i="1" s="1"/>
  <c r="BA323" i="1"/>
  <c r="AY323" i="1"/>
  <c r="AX323" i="1"/>
  <c r="AW323" i="1"/>
  <c r="AU323" i="1"/>
  <c r="AT323" i="1"/>
  <c r="AS323" i="1"/>
  <c r="AQ323" i="1"/>
  <c r="AP323" i="1"/>
  <c r="AO323" i="1"/>
  <c r="AM323" i="1"/>
  <c r="AL323" i="1"/>
  <c r="AK323" i="1"/>
  <c r="AI323" i="1"/>
  <c r="AH323" i="1"/>
  <c r="AG323" i="1"/>
  <c r="AD323" i="1"/>
  <c r="AE323" i="1" s="1"/>
  <c r="AC323" i="1"/>
  <c r="Z323" i="1"/>
  <c r="Y323" i="1"/>
  <c r="V323" i="1"/>
  <c r="W323" i="1" s="1"/>
  <c r="U323" i="1"/>
  <c r="S323" i="1"/>
  <c r="R323" i="1"/>
  <c r="O323" i="1" s="1"/>
  <c r="Q323" i="1"/>
  <c r="N323" i="1"/>
  <c r="M323" i="1"/>
  <c r="K323" i="1"/>
  <c r="J323" i="1"/>
  <c r="I323" i="1"/>
  <c r="G323" i="1"/>
  <c r="F323" i="1"/>
  <c r="E323" i="1"/>
  <c r="BN322" i="1"/>
  <c r="BL322" i="1"/>
  <c r="BJ322" i="1"/>
  <c r="BM322" i="1" s="1"/>
  <c r="BI322" i="1"/>
  <c r="BG322" i="1"/>
  <c r="BF322" i="1"/>
  <c r="BE322" i="1"/>
  <c r="BC322" i="1"/>
  <c r="BB322" i="1"/>
  <c r="BA322" i="1"/>
  <c r="AX322" i="1"/>
  <c r="AY322" i="1" s="1"/>
  <c r="AW322" i="1"/>
  <c r="AT322" i="1"/>
  <c r="AU322" i="1" s="1"/>
  <c r="AS322" i="1"/>
  <c r="AP322" i="1"/>
  <c r="AQ322" i="1" s="1"/>
  <c r="AO322" i="1"/>
  <c r="AM322" i="1"/>
  <c r="AL322" i="1"/>
  <c r="AK322" i="1"/>
  <c r="AI322" i="1"/>
  <c r="AH322" i="1"/>
  <c r="AG322" i="1"/>
  <c r="AE322" i="1"/>
  <c r="AD322" i="1"/>
  <c r="AC322" i="1"/>
  <c r="AA322" i="1"/>
  <c r="Z322" i="1"/>
  <c r="Y322" i="1"/>
  <c r="W322" i="1"/>
  <c r="V322" i="1"/>
  <c r="U322" i="1"/>
  <c r="R322" i="1"/>
  <c r="S322" i="1" s="1"/>
  <c r="Q322" i="1"/>
  <c r="N322" i="1"/>
  <c r="M322" i="1"/>
  <c r="J322" i="1"/>
  <c r="K322" i="1" s="1"/>
  <c r="I322" i="1"/>
  <c r="G322" i="1"/>
  <c r="F322" i="1"/>
  <c r="E322" i="1"/>
  <c r="BN321" i="1"/>
  <c r="BL321" i="1"/>
  <c r="BJ321" i="1"/>
  <c r="BM321" i="1" s="1"/>
  <c r="BI321" i="1"/>
  <c r="BG321" i="1"/>
  <c r="BF321" i="1"/>
  <c r="BC321" i="1" s="1"/>
  <c r="BE321" i="1"/>
  <c r="BB321" i="1"/>
  <c r="BA321" i="1"/>
  <c r="AY321" i="1"/>
  <c r="AX321" i="1"/>
  <c r="AW321" i="1"/>
  <c r="AU321" i="1"/>
  <c r="AT321" i="1"/>
  <c r="AS321" i="1"/>
  <c r="AP321" i="1"/>
  <c r="AQ321" i="1" s="1"/>
  <c r="AO321" i="1"/>
  <c r="AL321" i="1"/>
  <c r="AM321" i="1" s="1"/>
  <c r="AK321" i="1"/>
  <c r="AH321" i="1"/>
  <c r="AI321" i="1" s="1"/>
  <c r="AG321" i="1"/>
  <c r="AD321" i="1"/>
  <c r="AE321" i="1" s="1"/>
  <c r="AC321" i="1"/>
  <c r="AA321" i="1"/>
  <c r="Z321" i="1"/>
  <c r="W321" i="1" s="1"/>
  <c r="Y321" i="1"/>
  <c r="V321" i="1"/>
  <c r="U321" i="1"/>
  <c r="S321" i="1"/>
  <c r="R321" i="1"/>
  <c r="Q321" i="1"/>
  <c r="P321" i="1"/>
  <c r="N321" i="1"/>
  <c r="O321" i="1" s="1"/>
  <c r="M321" i="1"/>
  <c r="J321" i="1"/>
  <c r="K321" i="1" s="1"/>
  <c r="I321" i="1"/>
  <c r="G321" i="1"/>
  <c r="F321" i="1"/>
  <c r="E321" i="1"/>
  <c r="BN320" i="1"/>
  <c r="BL320" i="1"/>
  <c r="BJ320" i="1"/>
  <c r="BM320" i="1" s="1"/>
  <c r="BI320" i="1"/>
  <c r="BG320" i="1"/>
  <c r="BF320" i="1"/>
  <c r="BC320" i="1" s="1"/>
  <c r="BE320" i="1"/>
  <c r="BB320" i="1"/>
  <c r="BA320" i="1"/>
  <c r="AY320" i="1"/>
  <c r="AX320" i="1"/>
  <c r="AW320" i="1"/>
  <c r="AT320" i="1"/>
  <c r="AU320" i="1" s="1"/>
  <c r="AS320" i="1"/>
  <c r="AP320" i="1"/>
  <c r="AQ320" i="1" s="1"/>
  <c r="AO320" i="1"/>
  <c r="AL320" i="1"/>
  <c r="AK320" i="1"/>
  <c r="AH320" i="1"/>
  <c r="AG320" i="1"/>
  <c r="AD320" i="1"/>
  <c r="AE320" i="1" s="1"/>
  <c r="AC320" i="1"/>
  <c r="AA320" i="1"/>
  <c r="Z320" i="1"/>
  <c r="Y320" i="1"/>
  <c r="W320" i="1"/>
  <c r="V320" i="1"/>
  <c r="U320" i="1"/>
  <c r="S320" i="1"/>
  <c r="R320" i="1"/>
  <c r="Q320" i="1"/>
  <c r="N320" i="1"/>
  <c r="O320" i="1" s="1"/>
  <c r="M320" i="1"/>
  <c r="J320" i="1"/>
  <c r="K320" i="1" s="1"/>
  <c r="I320" i="1"/>
  <c r="F320" i="1"/>
  <c r="G320" i="1" s="1"/>
  <c r="E320" i="1"/>
  <c r="BN319" i="1"/>
  <c r="BL319" i="1"/>
  <c r="BJ319" i="1"/>
  <c r="BM319" i="1" s="1"/>
  <c r="BI319" i="1"/>
  <c r="BF319" i="1"/>
  <c r="BG319" i="1" s="1"/>
  <c r="BE319" i="1"/>
  <c r="BB319" i="1"/>
  <c r="BA319" i="1"/>
  <c r="AX319" i="1"/>
  <c r="AY319" i="1" s="1"/>
  <c r="AW319" i="1"/>
  <c r="AU319" i="1"/>
  <c r="AT319" i="1"/>
  <c r="AS319" i="1"/>
  <c r="AP319" i="1"/>
  <c r="AQ319" i="1" s="1"/>
  <c r="AO319" i="1"/>
  <c r="AM319" i="1"/>
  <c r="AL319" i="1"/>
  <c r="AK319" i="1"/>
  <c r="AH319" i="1"/>
  <c r="AI319" i="1" s="1"/>
  <c r="AG319" i="1"/>
  <c r="AD319" i="1"/>
  <c r="AE319" i="1" s="1"/>
  <c r="AC319" i="1"/>
  <c r="Z319" i="1"/>
  <c r="AA319" i="1" s="1"/>
  <c r="Y319" i="1"/>
  <c r="V319" i="1"/>
  <c r="U319" i="1"/>
  <c r="R319" i="1"/>
  <c r="S319" i="1" s="1"/>
  <c r="Q319" i="1"/>
  <c r="O319" i="1"/>
  <c r="N319" i="1"/>
  <c r="M319" i="1"/>
  <c r="J319" i="1"/>
  <c r="K319" i="1" s="1"/>
  <c r="I319" i="1"/>
  <c r="G319" i="1"/>
  <c r="F319" i="1"/>
  <c r="E319" i="1"/>
  <c r="BN318" i="1"/>
  <c r="BL318" i="1"/>
  <c r="BJ318" i="1"/>
  <c r="BM318" i="1" s="1"/>
  <c r="BI318" i="1"/>
  <c r="BG318" i="1"/>
  <c r="BF318" i="1"/>
  <c r="BE318" i="1"/>
  <c r="BC318" i="1"/>
  <c r="BB318" i="1"/>
  <c r="BA318" i="1"/>
  <c r="AX318" i="1"/>
  <c r="AY318" i="1" s="1"/>
  <c r="AW318" i="1"/>
  <c r="AT318" i="1"/>
  <c r="AU318" i="1" s="1"/>
  <c r="AS318" i="1"/>
  <c r="AP318" i="1"/>
  <c r="AQ318" i="1" s="1"/>
  <c r="AO318" i="1"/>
  <c r="AL318" i="1"/>
  <c r="AM318" i="1" s="1"/>
  <c r="AK318" i="1"/>
  <c r="AI318" i="1"/>
  <c r="AH318" i="1"/>
  <c r="AG318" i="1"/>
  <c r="AE318" i="1"/>
  <c r="AD318" i="1"/>
  <c r="AC318" i="1"/>
  <c r="AA318" i="1"/>
  <c r="Z318" i="1"/>
  <c r="Y318" i="1"/>
  <c r="W318" i="1"/>
  <c r="V318" i="1"/>
  <c r="U318" i="1"/>
  <c r="R318" i="1"/>
  <c r="S318" i="1" s="1"/>
  <c r="Q318" i="1"/>
  <c r="N318" i="1"/>
  <c r="O318" i="1" s="1"/>
  <c r="M318" i="1"/>
  <c r="J318" i="1"/>
  <c r="I318" i="1"/>
  <c r="F318" i="1"/>
  <c r="G318" i="1" s="1"/>
  <c r="E318" i="1"/>
  <c r="BN317" i="1"/>
  <c r="BL317" i="1"/>
  <c r="BJ317" i="1"/>
  <c r="BI317" i="1"/>
  <c r="BF317" i="1"/>
  <c r="BG317" i="1" s="1"/>
  <c r="BE317" i="1"/>
  <c r="BC317" i="1"/>
  <c r="BB317" i="1"/>
  <c r="BA317" i="1"/>
  <c r="AY317" i="1"/>
  <c r="AX317" i="1"/>
  <c r="AW317" i="1"/>
  <c r="AU317" i="1"/>
  <c r="AT317" i="1"/>
  <c r="AS317" i="1"/>
  <c r="AP317" i="1"/>
  <c r="AQ317" i="1" s="1"/>
  <c r="AO317" i="1"/>
  <c r="AL317" i="1"/>
  <c r="AM317" i="1" s="1"/>
  <c r="AK317" i="1"/>
  <c r="AH317" i="1"/>
  <c r="AF317" i="1"/>
  <c r="AG317" i="1" s="1"/>
  <c r="AD317" i="1"/>
  <c r="AC317" i="1"/>
  <c r="AA317" i="1"/>
  <c r="Z317" i="1"/>
  <c r="Y317" i="1"/>
  <c r="V317" i="1"/>
  <c r="W317" i="1" s="1"/>
  <c r="U317" i="1"/>
  <c r="R317" i="1"/>
  <c r="S317" i="1" s="1"/>
  <c r="Q317" i="1"/>
  <c r="N317" i="1"/>
  <c r="O317" i="1" s="1"/>
  <c r="M317" i="1"/>
  <c r="J317" i="1"/>
  <c r="K317" i="1" s="1"/>
  <c r="I317" i="1"/>
  <c r="F317" i="1"/>
  <c r="G317" i="1" s="1"/>
  <c r="E317" i="1"/>
  <c r="BN316" i="1"/>
  <c r="BL316" i="1"/>
  <c r="BJ316" i="1"/>
  <c r="BI316" i="1"/>
  <c r="BF316" i="1"/>
  <c r="BG316" i="1" s="1"/>
  <c r="BE316" i="1"/>
  <c r="BC316" i="1"/>
  <c r="BB316" i="1"/>
  <c r="BA316" i="1"/>
  <c r="AY316" i="1"/>
  <c r="AX316" i="1"/>
  <c r="AW316" i="1"/>
  <c r="AU316" i="1"/>
  <c r="AT316" i="1"/>
  <c r="AS316" i="1"/>
  <c r="AP316" i="1"/>
  <c r="AQ316" i="1" s="1"/>
  <c r="AO316" i="1"/>
  <c r="AL316" i="1"/>
  <c r="AM316" i="1" s="1"/>
  <c r="AK316" i="1"/>
  <c r="AH316" i="1"/>
  <c r="AF316" i="1"/>
  <c r="AG316" i="1" s="1"/>
  <c r="AD316" i="1"/>
  <c r="AC316" i="1"/>
  <c r="AA316" i="1"/>
  <c r="Z316" i="1"/>
  <c r="Y316" i="1"/>
  <c r="V316" i="1"/>
  <c r="W316" i="1" s="1"/>
  <c r="U316" i="1"/>
  <c r="R316" i="1"/>
  <c r="S316" i="1" s="1"/>
  <c r="Q316" i="1"/>
  <c r="N316" i="1"/>
  <c r="O316" i="1" s="1"/>
  <c r="M316" i="1"/>
  <c r="J316" i="1"/>
  <c r="I316" i="1"/>
  <c r="F316" i="1"/>
  <c r="G316" i="1" s="1"/>
  <c r="E316" i="1"/>
  <c r="BN315" i="1"/>
  <c r="BL315" i="1"/>
  <c r="BJ315" i="1"/>
  <c r="BI315" i="1"/>
  <c r="BF315" i="1"/>
  <c r="BG315" i="1" s="1"/>
  <c r="BE315" i="1"/>
  <c r="BC315" i="1"/>
  <c r="BB315" i="1"/>
  <c r="BA315" i="1"/>
  <c r="AY315" i="1"/>
  <c r="AX315" i="1"/>
  <c r="AW315" i="1"/>
  <c r="AU315" i="1"/>
  <c r="AT315" i="1"/>
  <c r="AS315" i="1"/>
  <c r="AP315" i="1"/>
  <c r="AQ315" i="1" s="1"/>
  <c r="AO315" i="1"/>
  <c r="AL315" i="1"/>
  <c r="AM315" i="1" s="1"/>
  <c r="AK315" i="1"/>
  <c r="AH315" i="1"/>
  <c r="AF315" i="1"/>
  <c r="AG315" i="1" s="1"/>
  <c r="AD315" i="1"/>
  <c r="AC315" i="1"/>
  <c r="AA315" i="1"/>
  <c r="Z315" i="1"/>
  <c r="Y315" i="1"/>
  <c r="V315" i="1"/>
  <c r="W315" i="1" s="1"/>
  <c r="U315" i="1"/>
  <c r="R315" i="1"/>
  <c r="S315" i="1" s="1"/>
  <c r="Q315" i="1"/>
  <c r="N315" i="1"/>
  <c r="O315" i="1" s="1"/>
  <c r="M315" i="1"/>
  <c r="J315" i="1"/>
  <c r="K315" i="1" s="1"/>
  <c r="I315" i="1"/>
  <c r="F315" i="1"/>
  <c r="G315" i="1" s="1"/>
  <c r="E315" i="1"/>
  <c r="BN314" i="1"/>
  <c r="BL314" i="1"/>
  <c r="BJ314" i="1"/>
  <c r="BI314" i="1"/>
  <c r="BF314" i="1"/>
  <c r="BG314" i="1" s="1"/>
  <c r="BE314" i="1"/>
  <c r="BC314" i="1"/>
  <c r="BB314" i="1"/>
  <c r="BA314" i="1"/>
  <c r="AY314" i="1"/>
  <c r="AX314" i="1"/>
  <c r="AW314" i="1"/>
  <c r="AU314" i="1"/>
  <c r="AT314" i="1"/>
  <c r="AS314" i="1"/>
  <c r="AP314" i="1"/>
  <c r="AQ314" i="1" s="1"/>
  <c r="AO314" i="1"/>
  <c r="AL314" i="1"/>
  <c r="AM314" i="1" s="1"/>
  <c r="AK314" i="1"/>
  <c r="AH314" i="1"/>
  <c r="AI314" i="1" s="1"/>
  <c r="AG314" i="1"/>
  <c r="AD314" i="1"/>
  <c r="AE314" i="1" s="1"/>
  <c r="AC314" i="1"/>
  <c r="Z314" i="1"/>
  <c r="AA314" i="1" s="1"/>
  <c r="Y314" i="1"/>
  <c r="W314" i="1"/>
  <c r="V314" i="1"/>
  <c r="U314" i="1"/>
  <c r="S314" i="1"/>
  <c r="R314" i="1"/>
  <c r="Q314" i="1"/>
  <c r="O314" i="1"/>
  <c r="N314" i="1"/>
  <c r="M314" i="1"/>
  <c r="J314" i="1"/>
  <c r="K314" i="1" s="1"/>
  <c r="I314" i="1"/>
  <c r="F314" i="1"/>
  <c r="G314" i="1" s="1"/>
  <c r="E314" i="1"/>
  <c r="BN313" i="1"/>
  <c r="BM313" i="1"/>
  <c r="BL313" i="1"/>
  <c r="BJ313" i="1"/>
  <c r="BI313" i="1"/>
  <c r="BF313" i="1"/>
  <c r="BG313" i="1" s="1"/>
  <c r="BE313" i="1"/>
  <c r="BB313" i="1"/>
  <c r="BC313" i="1" s="1"/>
  <c r="BA313" i="1"/>
  <c r="AX313" i="1"/>
  <c r="AW313" i="1"/>
  <c r="AT313" i="1"/>
  <c r="AU313" i="1" s="1"/>
  <c r="AS313" i="1"/>
  <c r="AQ313" i="1"/>
  <c r="AP313" i="1"/>
  <c r="AO313" i="1"/>
  <c r="AM313" i="1"/>
  <c r="AL313" i="1"/>
  <c r="AK313" i="1"/>
  <c r="AI313" i="1"/>
  <c r="AH313" i="1"/>
  <c r="AG313" i="1"/>
  <c r="AF313" i="1"/>
  <c r="AD313" i="1"/>
  <c r="AE313" i="1" s="1"/>
  <c r="AB313" i="1"/>
  <c r="AC313" i="1" s="1"/>
  <c r="AA313" i="1"/>
  <c r="Z313" i="1"/>
  <c r="Y313" i="1"/>
  <c r="V313" i="1"/>
  <c r="W313" i="1" s="1"/>
  <c r="U313" i="1"/>
  <c r="R313" i="1"/>
  <c r="S313" i="1" s="1"/>
  <c r="Q313" i="1"/>
  <c r="N313" i="1"/>
  <c r="O313" i="1" s="1"/>
  <c r="M313" i="1"/>
  <c r="J313" i="1"/>
  <c r="I313" i="1"/>
  <c r="F313" i="1"/>
  <c r="G313" i="1" s="1"/>
  <c r="E313" i="1"/>
  <c r="BN312" i="1"/>
  <c r="BL312" i="1"/>
  <c r="BJ312" i="1"/>
  <c r="BI312" i="1"/>
  <c r="BF312" i="1"/>
  <c r="BG312" i="1" s="1"/>
  <c r="BE312" i="1"/>
  <c r="BC312" i="1"/>
  <c r="BB312" i="1"/>
  <c r="BA312" i="1"/>
  <c r="AY312" i="1"/>
  <c r="AX312" i="1"/>
  <c r="AW312" i="1"/>
  <c r="AU312" i="1"/>
  <c r="AT312" i="1"/>
  <c r="AS312" i="1"/>
  <c r="AP312" i="1"/>
  <c r="AQ312" i="1" s="1"/>
  <c r="AO312" i="1"/>
  <c r="AM312" i="1"/>
  <c r="AL312" i="1"/>
  <c r="AK312" i="1"/>
  <c r="AH312" i="1"/>
  <c r="AF312" i="1"/>
  <c r="AG312" i="1" s="1"/>
  <c r="AD312" i="1"/>
  <c r="AB312" i="1"/>
  <c r="AC312" i="1" s="1"/>
  <c r="Z312" i="1"/>
  <c r="AA312" i="1" s="1"/>
  <c r="Y312" i="1"/>
  <c r="V312" i="1"/>
  <c r="U312" i="1"/>
  <c r="R312" i="1"/>
  <c r="S312" i="1" s="1"/>
  <c r="Q312" i="1"/>
  <c r="O312" i="1"/>
  <c r="N312" i="1"/>
  <c r="M312" i="1"/>
  <c r="K312" i="1"/>
  <c r="J312" i="1"/>
  <c r="I312" i="1"/>
  <c r="G312" i="1"/>
  <c r="F312" i="1"/>
  <c r="E312" i="1"/>
  <c r="BN311" i="1"/>
  <c r="BL311" i="1"/>
  <c r="BJ311" i="1"/>
  <c r="BM311" i="1" s="1"/>
  <c r="BI311" i="1"/>
  <c r="BG311" i="1"/>
  <c r="BF311" i="1"/>
  <c r="BE311" i="1"/>
  <c r="BB311" i="1"/>
  <c r="BC311" i="1" s="1"/>
  <c r="BA311" i="1"/>
  <c r="AX311" i="1"/>
  <c r="AY311" i="1" s="1"/>
  <c r="AW311" i="1"/>
  <c r="AT311" i="1"/>
  <c r="AU311" i="1" s="1"/>
  <c r="AS311" i="1"/>
  <c r="AP311" i="1"/>
  <c r="AO311" i="1"/>
  <c r="AL311" i="1"/>
  <c r="AM311" i="1" s="1"/>
  <c r="AK311" i="1"/>
  <c r="AI311" i="1"/>
  <c r="AH311" i="1"/>
  <c r="AF311" i="1"/>
  <c r="AG311" i="1" s="1"/>
  <c r="AE311" i="1"/>
  <c r="AD311" i="1"/>
  <c r="AC311" i="1"/>
  <c r="AB311" i="1"/>
  <c r="AA311" i="1"/>
  <c r="Z311" i="1"/>
  <c r="X311" i="1"/>
  <c r="Y311" i="1" s="1"/>
  <c r="W311" i="1"/>
  <c r="V311" i="1"/>
  <c r="U311" i="1"/>
  <c r="R311" i="1"/>
  <c r="S311" i="1" s="1"/>
  <c r="Q311" i="1"/>
  <c r="N311" i="1"/>
  <c r="M311" i="1"/>
  <c r="J311" i="1"/>
  <c r="K311" i="1" s="1"/>
  <c r="I311" i="1"/>
  <c r="G311" i="1"/>
  <c r="F311" i="1"/>
  <c r="E311" i="1"/>
  <c r="BN310" i="1"/>
  <c r="BL310" i="1"/>
  <c r="BJ310" i="1"/>
  <c r="BM310" i="1" s="1"/>
  <c r="BI310" i="1"/>
  <c r="BG310" i="1"/>
  <c r="BF310" i="1"/>
  <c r="BE310" i="1"/>
  <c r="BC310" i="1"/>
  <c r="BB310" i="1"/>
  <c r="BA310" i="1"/>
  <c r="AY310" i="1"/>
  <c r="AX310" i="1"/>
  <c r="AW310" i="1"/>
  <c r="AT310" i="1"/>
  <c r="AU310" i="1" s="1"/>
  <c r="AS310" i="1"/>
  <c r="AQ310" i="1"/>
  <c r="AP310" i="1"/>
  <c r="AO310" i="1"/>
  <c r="AL310" i="1"/>
  <c r="AM310" i="1" s="1"/>
  <c r="AK310" i="1"/>
  <c r="AH310" i="1"/>
  <c r="AG310" i="1"/>
  <c r="AD310" i="1"/>
  <c r="AE310" i="1" s="1"/>
  <c r="AC310" i="1"/>
  <c r="AA310" i="1"/>
  <c r="Z310" i="1"/>
  <c r="Y310" i="1"/>
  <c r="W310" i="1"/>
  <c r="V310" i="1"/>
  <c r="U310" i="1"/>
  <c r="S310" i="1"/>
  <c r="R310" i="1"/>
  <c r="Q310" i="1"/>
  <c r="N310" i="1"/>
  <c r="O310" i="1" s="1"/>
  <c r="M310" i="1"/>
  <c r="K310" i="1"/>
  <c r="J310" i="1"/>
  <c r="I310" i="1"/>
  <c r="F310" i="1"/>
  <c r="G310" i="1" s="1"/>
  <c r="E310" i="1"/>
  <c r="BN309" i="1"/>
  <c r="BL309" i="1"/>
  <c r="BK309" i="1"/>
  <c r="BJ309" i="1"/>
  <c r="BM309" i="1" s="1"/>
  <c r="BI309" i="1"/>
  <c r="BG309" i="1"/>
  <c r="BF309" i="1"/>
  <c r="BE309" i="1"/>
  <c r="BC309" i="1"/>
  <c r="BB309" i="1"/>
  <c r="BA309" i="1"/>
  <c r="AY309" i="1"/>
  <c r="AX309" i="1"/>
  <c r="AW309" i="1"/>
  <c r="AV309" i="1"/>
  <c r="AT309" i="1"/>
  <c r="AU309" i="1" s="1"/>
  <c r="AS309" i="1"/>
  <c r="AR309" i="1"/>
  <c r="AQ309" i="1"/>
  <c r="AP309" i="1"/>
  <c r="AO309" i="1"/>
  <c r="AN309" i="1"/>
  <c r="AL309" i="1"/>
  <c r="AM309" i="1" s="1"/>
  <c r="AK309" i="1"/>
  <c r="AH309" i="1"/>
  <c r="AI309" i="1" s="1"/>
  <c r="AF309" i="1"/>
  <c r="AG309" i="1" s="1"/>
  <c r="AD309" i="1"/>
  <c r="AE309" i="1" s="1"/>
  <c r="AC309" i="1"/>
  <c r="AB309" i="1"/>
  <c r="Z309" i="1"/>
  <c r="AA309" i="1" s="1"/>
  <c r="Y309" i="1"/>
  <c r="W309" i="1"/>
  <c r="V309" i="1"/>
  <c r="U309" i="1"/>
  <c r="S309" i="1"/>
  <c r="R309" i="1"/>
  <c r="P309" i="1"/>
  <c r="Q309" i="1" s="1"/>
  <c r="N309" i="1"/>
  <c r="L309" i="1"/>
  <c r="M309" i="1" s="1"/>
  <c r="J309" i="1"/>
  <c r="I309" i="1"/>
  <c r="G309" i="1"/>
  <c r="F309" i="1"/>
  <c r="E309" i="1"/>
  <c r="BN308" i="1"/>
  <c r="BL308" i="1"/>
  <c r="BK308" i="1"/>
  <c r="BJ308" i="1"/>
  <c r="BM308" i="1" s="1"/>
  <c r="BI308" i="1"/>
  <c r="BF308" i="1"/>
  <c r="BG308" i="1" s="1"/>
  <c r="BE308" i="1"/>
  <c r="BB308" i="1"/>
  <c r="BC308" i="1" s="1"/>
  <c r="BA308" i="1"/>
  <c r="AX308" i="1"/>
  <c r="AY308" i="1" s="1"/>
  <c r="AV308" i="1"/>
  <c r="AW308" i="1" s="1"/>
  <c r="AT308" i="1"/>
  <c r="AU308" i="1" s="1"/>
  <c r="AS308" i="1"/>
  <c r="AR308" i="1"/>
  <c r="AP308" i="1"/>
  <c r="AQ308" i="1" s="1"/>
  <c r="AN308" i="1"/>
  <c r="AO308" i="1" s="1"/>
  <c r="AL308" i="1"/>
  <c r="AM308" i="1" s="1"/>
  <c r="AK308" i="1"/>
  <c r="AI308" i="1"/>
  <c r="AH308" i="1"/>
  <c r="AG308" i="1"/>
  <c r="AF308" i="1"/>
  <c r="AE308" i="1"/>
  <c r="AD308" i="1"/>
  <c r="AB308" i="1"/>
  <c r="AC308" i="1" s="1"/>
  <c r="AA308" i="1"/>
  <c r="Z308" i="1"/>
  <c r="Y308" i="1"/>
  <c r="V308" i="1"/>
  <c r="W308" i="1" s="1"/>
  <c r="U308" i="1"/>
  <c r="R308" i="1"/>
  <c r="S308" i="1" s="1"/>
  <c r="Q308" i="1"/>
  <c r="P308" i="1"/>
  <c r="O308" i="1"/>
  <c r="N308" i="1"/>
  <c r="M308" i="1"/>
  <c r="J308" i="1"/>
  <c r="K308" i="1" s="1"/>
  <c r="I308" i="1"/>
  <c r="G308" i="1"/>
  <c r="F308" i="1"/>
  <c r="E308" i="1"/>
  <c r="BN307" i="1"/>
  <c r="BM307" i="1"/>
  <c r="BK307" i="1"/>
  <c r="BL307" i="1" s="1"/>
  <c r="BJ307" i="1"/>
  <c r="BI307" i="1"/>
  <c r="BF307" i="1"/>
  <c r="BG307" i="1" s="1"/>
  <c r="BE307" i="1"/>
  <c r="BC307" i="1"/>
  <c r="BB307" i="1"/>
  <c r="BA307" i="1"/>
  <c r="AY307" i="1"/>
  <c r="AX307" i="1"/>
  <c r="AV307" i="1"/>
  <c r="AW307" i="1" s="1"/>
  <c r="AT307" i="1"/>
  <c r="AR307" i="1"/>
  <c r="AS307" i="1" s="1"/>
  <c r="AP307" i="1"/>
  <c r="AN307" i="1"/>
  <c r="AO307" i="1" s="1"/>
  <c r="AL307" i="1"/>
  <c r="AM307" i="1" s="1"/>
  <c r="AK307" i="1"/>
  <c r="AH307" i="1"/>
  <c r="AI307" i="1" s="1"/>
  <c r="AG307" i="1"/>
  <c r="AF307" i="1"/>
  <c r="AE307" i="1"/>
  <c r="AD307" i="1"/>
  <c r="AC307" i="1"/>
  <c r="AB307" i="1"/>
  <c r="Z307" i="1"/>
  <c r="AA307" i="1" s="1"/>
  <c r="Y307" i="1"/>
  <c r="V307" i="1"/>
  <c r="W307" i="1" s="1"/>
  <c r="U307" i="1"/>
  <c r="S307" i="1"/>
  <c r="R307" i="1"/>
  <c r="P307" i="1"/>
  <c r="Q307" i="1" s="1"/>
  <c r="O307" i="1"/>
  <c r="N307" i="1"/>
  <c r="M307" i="1"/>
  <c r="J307" i="1"/>
  <c r="K307" i="1" s="1"/>
  <c r="I307" i="1"/>
  <c r="F307" i="1"/>
  <c r="G307" i="1" s="1"/>
  <c r="E307" i="1"/>
  <c r="BN306" i="1"/>
  <c r="BL306" i="1"/>
  <c r="BJ306" i="1"/>
  <c r="BM306" i="1" s="1"/>
  <c r="BI306" i="1"/>
  <c r="BF306" i="1"/>
  <c r="BE306" i="1"/>
  <c r="BB306" i="1"/>
  <c r="BC306" i="1" s="1"/>
  <c r="BA306" i="1"/>
  <c r="AY306" i="1"/>
  <c r="AX306" i="1"/>
  <c r="AW306" i="1"/>
  <c r="AT306" i="1"/>
  <c r="AU306" i="1" s="1"/>
  <c r="AS306" i="1"/>
  <c r="AQ306" i="1"/>
  <c r="AP306" i="1"/>
  <c r="AM306" i="1" s="1"/>
  <c r="AO306" i="1"/>
  <c r="AL306" i="1"/>
  <c r="AK306" i="1"/>
  <c r="AI306" i="1"/>
  <c r="AH306" i="1"/>
  <c r="AG306" i="1"/>
  <c r="AD306" i="1"/>
  <c r="AE306" i="1" s="1"/>
  <c r="AC306" i="1"/>
  <c r="Z306" i="1"/>
  <c r="Y306" i="1"/>
  <c r="V306" i="1"/>
  <c r="W306" i="1" s="1"/>
  <c r="U306" i="1"/>
  <c r="S306" i="1"/>
  <c r="R306" i="1"/>
  <c r="Q306" i="1"/>
  <c r="N306" i="1"/>
  <c r="O306" i="1" s="1"/>
  <c r="M306" i="1"/>
  <c r="K306" i="1"/>
  <c r="J306" i="1"/>
  <c r="G306" i="1" s="1"/>
  <c r="I306" i="1"/>
  <c r="F306" i="1"/>
  <c r="E306" i="1"/>
  <c r="BN305" i="1"/>
  <c r="BL305" i="1"/>
  <c r="BJ305" i="1"/>
  <c r="BG305" i="1" s="1"/>
  <c r="BI305" i="1"/>
  <c r="BF305" i="1"/>
  <c r="BE305" i="1"/>
  <c r="BC305" i="1"/>
  <c r="BB305" i="1"/>
  <c r="BA305" i="1"/>
  <c r="AZ305" i="1"/>
  <c r="AY305" i="1"/>
  <c r="AX305" i="1"/>
  <c r="AW305" i="1"/>
  <c r="AU305" i="1"/>
  <c r="AT305" i="1"/>
  <c r="AS305" i="1"/>
  <c r="AQ305" i="1"/>
  <c r="AP305" i="1"/>
  <c r="AM305" i="1" s="1"/>
  <c r="AO305" i="1"/>
  <c r="AL305" i="1"/>
  <c r="AK305" i="1"/>
  <c r="AI305" i="1"/>
  <c r="AH305" i="1"/>
  <c r="AG305" i="1"/>
  <c r="AD305" i="1"/>
  <c r="AE305" i="1" s="1"/>
  <c r="AC305" i="1"/>
  <c r="Z305" i="1"/>
  <c r="Y305" i="1"/>
  <c r="V305" i="1"/>
  <c r="W305" i="1" s="1"/>
  <c r="U305" i="1"/>
  <c r="S305" i="1"/>
  <c r="R305" i="1"/>
  <c r="Q305" i="1"/>
  <c r="O305" i="1"/>
  <c r="N305" i="1"/>
  <c r="M305" i="1"/>
  <c r="K305" i="1"/>
  <c r="J305" i="1"/>
  <c r="I305" i="1"/>
  <c r="G305" i="1"/>
  <c r="F305" i="1"/>
  <c r="E305" i="1"/>
  <c r="BN304" i="1"/>
  <c r="BL304" i="1"/>
  <c r="BJ304" i="1"/>
  <c r="BM304" i="1" s="1"/>
  <c r="BI304" i="1"/>
  <c r="BG304" i="1"/>
  <c r="BF304" i="1"/>
  <c r="BE304" i="1"/>
  <c r="BC304" i="1"/>
  <c r="BB304" i="1"/>
  <c r="BA304" i="1"/>
  <c r="AZ304" i="1"/>
  <c r="AY304" i="1"/>
  <c r="AX304" i="1"/>
  <c r="AW304" i="1"/>
  <c r="AU304" i="1"/>
  <c r="AT304" i="1"/>
  <c r="AS304" i="1"/>
  <c r="AQ304" i="1"/>
  <c r="AP304" i="1"/>
  <c r="AO304" i="1"/>
  <c r="AM304" i="1"/>
  <c r="AL304" i="1"/>
  <c r="AK304" i="1"/>
  <c r="AI304" i="1"/>
  <c r="AH304" i="1"/>
  <c r="AG304" i="1"/>
  <c r="AD304" i="1"/>
  <c r="AE304" i="1" s="1"/>
  <c r="AC304" i="1"/>
  <c r="Z304" i="1"/>
  <c r="AA304" i="1" s="1"/>
  <c r="Y304" i="1"/>
  <c r="V304" i="1"/>
  <c r="W304" i="1" s="1"/>
  <c r="U304" i="1"/>
  <c r="S304" i="1"/>
  <c r="R304" i="1"/>
  <c r="Q304" i="1"/>
  <c r="O304" i="1"/>
  <c r="N304" i="1"/>
  <c r="M304" i="1"/>
  <c r="K304" i="1"/>
  <c r="J304" i="1"/>
  <c r="I304" i="1"/>
  <c r="G304" i="1"/>
  <c r="F304" i="1"/>
  <c r="E304" i="1"/>
  <c r="BN303" i="1"/>
  <c r="BL303" i="1"/>
  <c r="BJ303" i="1"/>
  <c r="BM303" i="1" s="1"/>
  <c r="BI303" i="1"/>
  <c r="BG303" i="1"/>
  <c r="BF303" i="1"/>
  <c r="BE303" i="1"/>
  <c r="BC303" i="1"/>
  <c r="BB303" i="1"/>
  <c r="BA303" i="1"/>
  <c r="AZ303" i="1"/>
  <c r="AY303" i="1"/>
  <c r="AX303" i="1"/>
  <c r="AW303" i="1"/>
  <c r="AU303" i="1"/>
  <c r="AT303" i="1"/>
  <c r="AS303" i="1"/>
  <c r="AQ303" i="1"/>
  <c r="AP303" i="1"/>
  <c r="AO303" i="1"/>
  <c r="AM303" i="1"/>
  <c r="AL303" i="1"/>
  <c r="AK303" i="1"/>
  <c r="AI303" i="1"/>
  <c r="AH303" i="1"/>
  <c r="AG303" i="1"/>
  <c r="AD303" i="1"/>
  <c r="AE303" i="1" s="1"/>
  <c r="AC303" i="1"/>
  <c r="Z303" i="1"/>
  <c r="Y303" i="1"/>
  <c r="V303" i="1"/>
  <c r="W303" i="1" s="1"/>
  <c r="U303" i="1"/>
  <c r="S303" i="1"/>
  <c r="R303" i="1"/>
  <c r="Q303" i="1"/>
  <c r="O303" i="1"/>
  <c r="N303" i="1"/>
  <c r="M303" i="1"/>
  <c r="K303" i="1"/>
  <c r="J303" i="1"/>
  <c r="I303" i="1"/>
  <c r="G303" i="1"/>
  <c r="F303" i="1"/>
  <c r="E303" i="1"/>
  <c r="BN302" i="1"/>
  <c r="BM302" i="1" s="1"/>
  <c r="BL302" i="1"/>
  <c r="BJ302" i="1"/>
  <c r="BI302" i="1"/>
  <c r="BG302" i="1"/>
  <c r="BF302" i="1"/>
  <c r="BE302" i="1"/>
  <c r="BC302" i="1"/>
  <c r="BB302" i="1"/>
  <c r="BA302" i="1"/>
  <c r="AX302" i="1"/>
  <c r="AY302" i="1" s="1"/>
  <c r="AW302" i="1"/>
  <c r="AT302" i="1"/>
  <c r="AU302" i="1" s="1"/>
  <c r="AS302" i="1"/>
  <c r="AP302" i="1"/>
  <c r="AQ302" i="1" s="1"/>
  <c r="AO302" i="1"/>
  <c r="AM302" i="1"/>
  <c r="AL302" i="1"/>
  <c r="AK302" i="1"/>
  <c r="AI302" i="1"/>
  <c r="AH302" i="1"/>
  <c r="AG302" i="1"/>
  <c r="AE302" i="1"/>
  <c r="AD302" i="1"/>
  <c r="AC302" i="1"/>
  <c r="AA302" i="1"/>
  <c r="Z302" i="1"/>
  <c r="Y302" i="1"/>
  <c r="W302" i="1"/>
  <c r="V302" i="1"/>
  <c r="U302" i="1"/>
  <c r="R302" i="1"/>
  <c r="S302" i="1" s="1"/>
  <c r="Q302" i="1"/>
  <c r="N302" i="1"/>
  <c r="M302" i="1"/>
  <c r="J302" i="1"/>
  <c r="K302" i="1" s="1"/>
  <c r="I302" i="1"/>
  <c r="G302" i="1"/>
  <c r="F302" i="1"/>
  <c r="E302" i="1"/>
  <c r="BN301" i="1"/>
  <c r="BL301" i="1"/>
  <c r="BJ301" i="1"/>
  <c r="BM301" i="1" s="1"/>
  <c r="BI301" i="1"/>
  <c r="BG301" i="1"/>
  <c r="BF301" i="1"/>
  <c r="BE301" i="1"/>
  <c r="BC301" i="1"/>
  <c r="BB301" i="1"/>
  <c r="BA301" i="1"/>
  <c r="AY301" i="1"/>
  <c r="AX301" i="1"/>
  <c r="AW301" i="1"/>
  <c r="AU301" i="1"/>
  <c r="AT301" i="1"/>
  <c r="AS301" i="1"/>
  <c r="AP301" i="1"/>
  <c r="AQ301" i="1" s="1"/>
  <c r="AO301" i="1"/>
  <c r="AL301" i="1"/>
  <c r="AM301" i="1" s="1"/>
  <c r="AK301" i="1"/>
  <c r="AH301" i="1"/>
  <c r="AI301" i="1" s="1"/>
  <c r="AF301" i="1"/>
  <c r="AG301" i="1" s="1"/>
  <c r="AE301" i="1"/>
  <c r="AD301" i="1"/>
  <c r="AC301" i="1"/>
  <c r="AB301" i="1"/>
  <c r="Z301" i="1"/>
  <c r="AA301" i="1" s="1"/>
  <c r="X301" i="1"/>
  <c r="Y301" i="1" s="1"/>
  <c r="W301" i="1"/>
  <c r="V301" i="1"/>
  <c r="U301" i="1"/>
  <c r="T301" i="1"/>
  <c r="R301" i="1"/>
  <c r="S301" i="1" s="1"/>
  <c r="P301" i="1"/>
  <c r="Q301" i="1" s="1"/>
  <c r="O301" i="1"/>
  <c r="N301" i="1"/>
  <c r="M301" i="1"/>
  <c r="K301" i="1"/>
  <c r="J301" i="1"/>
  <c r="I301" i="1"/>
  <c r="F301" i="1"/>
  <c r="G301" i="1" s="1"/>
  <c r="E301" i="1"/>
  <c r="BN300" i="1"/>
  <c r="BM300" i="1"/>
  <c r="BL300" i="1"/>
  <c r="BJ300" i="1"/>
  <c r="BI300" i="1"/>
  <c r="BF300" i="1"/>
  <c r="BG300" i="1" s="1"/>
  <c r="BE300" i="1"/>
  <c r="BB300" i="1"/>
  <c r="BC300" i="1" s="1"/>
  <c r="BA300" i="1"/>
  <c r="AX300" i="1"/>
  <c r="AY300" i="1" s="1"/>
  <c r="AW300" i="1"/>
  <c r="AT300" i="1"/>
  <c r="AU300" i="1" s="1"/>
  <c r="AS300" i="1"/>
  <c r="AQ300" i="1"/>
  <c r="AP300" i="1"/>
  <c r="AO300" i="1"/>
  <c r="AM300" i="1"/>
  <c r="AL300" i="1"/>
  <c r="AK300" i="1"/>
  <c r="AI300" i="1"/>
  <c r="AH300" i="1"/>
  <c r="AG300" i="1"/>
  <c r="AF300" i="1"/>
  <c r="AD300" i="1"/>
  <c r="AE300" i="1" s="1"/>
  <c r="AB300" i="1"/>
  <c r="AC300" i="1" s="1"/>
  <c r="AA300" i="1"/>
  <c r="Z300" i="1"/>
  <c r="Y300" i="1"/>
  <c r="X300" i="1"/>
  <c r="V300" i="1"/>
  <c r="W300" i="1" s="1"/>
  <c r="T300" i="1"/>
  <c r="U300" i="1" s="1"/>
  <c r="S300" i="1"/>
  <c r="R300" i="1"/>
  <c r="Q300" i="1"/>
  <c r="P300" i="1"/>
  <c r="N300" i="1"/>
  <c r="O300" i="1" s="1"/>
  <c r="M300" i="1"/>
  <c r="J300" i="1"/>
  <c r="K300" i="1" s="1"/>
  <c r="I300" i="1"/>
  <c r="G300" i="1"/>
  <c r="F300" i="1"/>
  <c r="E300" i="1"/>
  <c r="BN299" i="1"/>
  <c r="BL299" i="1"/>
  <c r="BJ299" i="1"/>
  <c r="BM299" i="1" s="1"/>
  <c r="BI299" i="1"/>
  <c r="BG299" i="1"/>
  <c r="BF299" i="1"/>
  <c r="BE299" i="1"/>
  <c r="BC299" i="1"/>
  <c r="BB299" i="1"/>
  <c r="BA299" i="1"/>
  <c r="AY299" i="1"/>
  <c r="AX299" i="1"/>
  <c r="AW299" i="1"/>
  <c r="AT299" i="1"/>
  <c r="AU299" i="1" s="1"/>
  <c r="AS299" i="1"/>
  <c r="AP299" i="1"/>
  <c r="AQ299" i="1" s="1"/>
  <c r="AO299" i="1"/>
  <c r="AL299" i="1"/>
  <c r="AM299" i="1" s="1"/>
  <c r="AK299" i="1"/>
  <c r="AH299" i="1"/>
  <c r="AI299" i="1" s="1"/>
  <c r="AF299" i="1"/>
  <c r="AG299" i="1" s="1"/>
  <c r="AE299" i="1"/>
  <c r="AD299" i="1"/>
  <c r="AC299" i="1"/>
  <c r="AB299" i="1"/>
  <c r="Z299" i="1"/>
  <c r="AA299" i="1" s="1"/>
  <c r="X299" i="1"/>
  <c r="Y299" i="1" s="1"/>
  <c r="W299" i="1"/>
  <c r="V299" i="1"/>
  <c r="U299" i="1"/>
  <c r="T299" i="1"/>
  <c r="R299" i="1"/>
  <c r="S299" i="1" s="1"/>
  <c r="P299" i="1"/>
  <c r="Q299" i="1" s="1"/>
  <c r="O299" i="1"/>
  <c r="N299" i="1"/>
  <c r="M299" i="1"/>
  <c r="K299" i="1"/>
  <c r="J299" i="1"/>
  <c r="I299" i="1"/>
  <c r="F299" i="1"/>
  <c r="G299" i="1" s="1"/>
  <c r="E299" i="1"/>
  <c r="BN298" i="1"/>
  <c r="BM298" i="1"/>
  <c r="BL298" i="1"/>
  <c r="BJ298" i="1"/>
  <c r="BI298" i="1"/>
  <c r="BF298" i="1"/>
  <c r="BG298" i="1" s="1"/>
  <c r="BE298" i="1"/>
  <c r="BB298" i="1"/>
  <c r="BC298" i="1" s="1"/>
  <c r="BA298" i="1"/>
  <c r="AX298" i="1"/>
  <c r="AY298" i="1" s="1"/>
  <c r="AW298" i="1"/>
  <c r="AT298" i="1"/>
  <c r="AU298" i="1" s="1"/>
  <c r="AS298" i="1"/>
  <c r="AQ298" i="1"/>
  <c r="AP298" i="1"/>
  <c r="AO298" i="1"/>
  <c r="AM298" i="1"/>
  <c r="AL298" i="1"/>
  <c r="AK298" i="1"/>
  <c r="AI298" i="1"/>
  <c r="AH298" i="1"/>
  <c r="AG298" i="1"/>
  <c r="AE298" i="1"/>
  <c r="AD298" i="1"/>
  <c r="AC298" i="1"/>
  <c r="Z298" i="1"/>
  <c r="AA298" i="1" s="1"/>
  <c r="Y298" i="1"/>
  <c r="V298" i="1"/>
  <c r="W298" i="1" s="1"/>
  <c r="U298" i="1"/>
  <c r="R298" i="1"/>
  <c r="Q298" i="1"/>
  <c r="N298" i="1"/>
  <c r="O298" i="1" s="1"/>
  <c r="M298" i="1"/>
  <c r="K298" i="1"/>
  <c r="J298" i="1"/>
  <c r="I298" i="1"/>
  <c r="G298" i="1"/>
  <c r="F298" i="1"/>
  <c r="E298" i="1"/>
  <c r="BN297" i="1"/>
  <c r="BL297" i="1"/>
  <c r="BJ297" i="1"/>
  <c r="BM297" i="1" s="1"/>
  <c r="BI297" i="1"/>
  <c r="BG297" i="1"/>
  <c r="BF297" i="1"/>
  <c r="BE297" i="1"/>
  <c r="BC297" i="1"/>
  <c r="BB297" i="1"/>
  <c r="BA297" i="1"/>
  <c r="AZ297" i="1"/>
  <c r="AX297" i="1"/>
  <c r="AY297" i="1" s="1"/>
  <c r="AV297" i="1"/>
  <c r="AW297" i="1" s="1"/>
  <c r="AU297" i="1"/>
  <c r="AT297" i="1"/>
  <c r="AS297" i="1"/>
  <c r="AQ297" i="1"/>
  <c r="AP297" i="1"/>
  <c r="AO297" i="1"/>
  <c r="AN297" i="1"/>
  <c r="AL297" i="1"/>
  <c r="AI297" i="1" s="1"/>
  <c r="AJ297" i="1"/>
  <c r="AK297" i="1" s="1"/>
  <c r="AH297" i="1"/>
  <c r="AG297" i="1"/>
  <c r="AF297" i="1"/>
  <c r="AD297" i="1"/>
  <c r="AE297" i="1" s="1"/>
  <c r="AC297" i="1"/>
  <c r="AA297" i="1"/>
  <c r="Z297" i="1"/>
  <c r="Y297" i="1"/>
  <c r="W297" i="1"/>
  <c r="V297" i="1"/>
  <c r="U297" i="1"/>
  <c r="S297" i="1"/>
  <c r="R297" i="1"/>
  <c r="Q297" i="1"/>
  <c r="O297" i="1"/>
  <c r="N297" i="1"/>
  <c r="M297" i="1"/>
  <c r="J297" i="1"/>
  <c r="K297" i="1" s="1"/>
  <c r="I297" i="1"/>
  <c r="F297" i="1"/>
  <c r="G297" i="1" s="1"/>
  <c r="E297" i="1"/>
  <c r="BN296" i="1"/>
  <c r="BM296" i="1"/>
  <c r="BL296" i="1"/>
  <c r="BJ296" i="1"/>
  <c r="BI296" i="1"/>
  <c r="BF296" i="1"/>
  <c r="BG296" i="1" s="1"/>
  <c r="BE296" i="1"/>
  <c r="BB296" i="1"/>
  <c r="BC296" i="1" s="1"/>
  <c r="AZ296" i="1"/>
  <c r="BA296" i="1" s="1"/>
  <c r="AY296" i="1"/>
  <c r="AX296" i="1"/>
  <c r="AW296" i="1"/>
  <c r="AV296" i="1"/>
  <c r="AT296" i="1"/>
  <c r="AU296" i="1" s="1"/>
  <c r="AS296" i="1"/>
  <c r="AP296" i="1"/>
  <c r="AM296" i="1" s="1"/>
  <c r="AN296" i="1"/>
  <c r="AO296" i="1" s="1"/>
  <c r="AL296" i="1"/>
  <c r="AK296" i="1"/>
  <c r="AJ296" i="1"/>
  <c r="AH296" i="1"/>
  <c r="AE296" i="1" s="1"/>
  <c r="AF296" i="1"/>
  <c r="AG296" i="1" s="1"/>
  <c r="AD296" i="1"/>
  <c r="AC296" i="1"/>
  <c r="Z296" i="1"/>
  <c r="AA296" i="1" s="1"/>
  <c r="Y296" i="1"/>
  <c r="V296" i="1"/>
  <c r="W296" i="1" s="1"/>
  <c r="U296" i="1"/>
  <c r="R296" i="1"/>
  <c r="S296" i="1" s="1"/>
  <c r="Q296" i="1"/>
  <c r="N296" i="1"/>
  <c r="O296" i="1" s="1"/>
  <c r="M296" i="1"/>
  <c r="K296" i="1"/>
  <c r="J296" i="1"/>
  <c r="I296" i="1"/>
  <c r="G296" i="1"/>
  <c r="F296" i="1"/>
  <c r="E296" i="1"/>
  <c r="BN295" i="1"/>
  <c r="BL295" i="1"/>
  <c r="BJ295" i="1"/>
  <c r="BM295" i="1" s="1"/>
  <c r="BI295" i="1"/>
  <c r="BG295" i="1"/>
  <c r="BF295" i="1"/>
  <c r="BE295" i="1"/>
  <c r="BC295" i="1"/>
  <c r="BB295" i="1"/>
  <c r="BA295" i="1"/>
  <c r="AZ295" i="1"/>
  <c r="AX295" i="1"/>
  <c r="AY295" i="1" s="1"/>
  <c r="AV295" i="1"/>
  <c r="AW295" i="1" s="1"/>
  <c r="AU295" i="1"/>
  <c r="AT295" i="1"/>
  <c r="AS295" i="1"/>
  <c r="AQ295" i="1"/>
  <c r="AP295" i="1"/>
  <c r="AO295" i="1"/>
  <c r="AN295" i="1"/>
  <c r="AL295" i="1"/>
  <c r="AI295" i="1" s="1"/>
  <c r="AJ295" i="1"/>
  <c r="AK295" i="1" s="1"/>
  <c r="AH295" i="1"/>
  <c r="AG295" i="1"/>
  <c r="AF295" i="1"/>
  <c r="AD295" i="1"/>
  <c r="AE295" i="1" s="1"/>
  <c r="AC295" i="1"/>
  <c r="AA295" i="1"/>
  <c r="Z295" i="1"/>
  <c r="Y295" i="1"/>
  <c r="W295" i="1"/>
  <c r="V295" i="1"/>
  <c r="U295" i="1"/>
  <c r="S295" i="1"/>
  <c r="R295" i="1"/>
  <c r="Q295" i="1"/>
  <c r="O295" i="1"/>
  <c r="N295" i="1"/>
  <c r="M295" i="1"/>
  <c r="J295" i="1"/>
  <c r="K295" i="1" s="1"/>
  <c r="I295" i="1"/>
  <c r="F295" i="1"/>
  <c r="G295" i="1" s="1"/>
  <c r="E295" i="1"/>
  <c r="BN294" i="1"/>
  <c r="BM294" i="1"/>
  <c r="BL294" i="1"/>
  <c r="BJ294" i="1"/>
  <c r="BI294" i="1"/>
  <c r="BF294" i="1"/>
  <c r="BG294" i="1" s="1"/>
  <c r="BE294" i="1"/>
  <c r="BB294" i="1"/>
  <c r="BC294" i="1" s="1"/>
  <c r="BA294" i="1"/>
  <c r="AX294" i="1"/>
  <c r="AY294" i="1" s="1"/>
  <c r="AW294" i="1"/>
  <c r="AU294" i="1"/>
  <c r="AT294" i="1"/>
  <c r="AS294" i="1"/>
  <c r="AQ294" i="1"/>
  <c r="AP294" i="1"/>
  <c r="AO294" i="1"/>
  <c r="AM294" i="1"/>
  <c r="AL294" i="1"/>
  <c r="AK294" i="1"/>
  <c r="AI294" i="1"/>
  <c r="AH294" i="1"/>
  <c r="AG294" i="1"/>
  <c r="AD294" i="1"/>
  <c r="AE294" i="1" s="1"/>
  <c r="AC294" i="1"/>
  <c r="Z294" i="1"/>
  <c r="AA294" i="1" s="1"/>
  <c r="Y294" i="1"/>
  <c r="V294" i="1"/>
  <c r="W294" i="1" s="1"/>
  <c r="U294" i="1"/>
  <c r="R294" i="1"/>
  <c r="S294" i="1" s="1"/>
  <c r="Q294" i="1"/>
  <c r="O294" i="1"/>
  <c r="N294" i="1"/>
  <c r="M294" i="1"/>
  <c r="K294" i="1"/>
  <c r="J294" i="1"/>
  <c r="I294" i="1"/>
  <c r="G294" i="1"/>
  <c r="F294" i="1"/>
  <c r="E294" i="1"/>
  <c r="BN293" i="1"/>
  <c r="BM293" i="1" s="1"/>
  <c r="BL293" i="1"/>
  <c r="BJ293" i="1"/>
  <c r="BI293" i="1"/>
  <c r="BG293" i="1"/>
  <c r="BF293" i="1"/>
  <c r="BE293" i="1"/>
  <c r="BC293" i="1"/>
  <c r="BB293" i="1"/>
  <c r="BA293" i="1"/>
  <c r="AX293" i="1"/>
  <c r="AY293" i="1" s="1"/>
  <c r="AW293" i="1"/>
  <c r="AT293" i="1"/>
  <c r="AU293" i="1" s="1"/>
  <c r="AS293" i="1"/>
  <c r="AP293" i="1"/>
  <c r="AQ293" i="1" s="1"/>
  <c r="AO293" i="1"/>
  <c r="AL293" i="1"/>
  <c r="AM293" i="1" s="1"/>
  <c r="AK293" i="1"/>
  <c r="AI293" i="1"/>
  <c r="AH293" i="1"/>
  <c r="AG293" i="1"/>
  <c r="AE293" i="1"/>
  <c r="AD293" i="1"/>
  <c r="AC293" i="1"/>
  <c r="AA293" i="1"/>
  <c r="Z293" i="1"/>
  <c r="Y293" i="1"/>
  <c r="W293" i="1"/>
  <c r="V293" i="1"/>
  <c r="U293" i="1"/>
  <c r="R293" i="1"/>
  <c r="S293" i="1" s="1"/>
  <c r="Q293" i="1"/>
  <c r="N293" i="1"/>
  <c r="O293" i="1" s="1"/>
  <c r="M293" i="1"/>
  <c r="J293" i="1"/>
  <c r="I293" i="1"/>
  <c r="F293" i="1"/>
  <c r="G293" i="1" s="1"/>
  <c r="E293" i="1"/>
  <c r="BN292" i="1"/>
  <c r="BL292" i="1"/>
  <c r="BJ292" i="1"/>
  <c r="BI292" i="1"/>
  <c r="BF292" i="1"/>
  <c r="BG292" i="1" s="1"/>
  <c r="BE292" i="1"/>
  <c r="BC292" i="1"/>
  <c r="BB292" i="1"/>
  <c r="BA292" i="1"/>
  <c r="AY292" i="1"/>
  <c r="AX292" i="1"/>
  <c r="AW292" i="1"/>
  <c r="AU292" i="1"/>
  <c r="AT292" i="1"/>
  <c r="AS292" i="1"/>
  <c r="AQ292" i="1"/>
  <c r="AP292" i="1"/>
  <c r="AO292" i="1"/>
  <c r="AL292" i="1"/>
  <c r="AM292" i="1" s="1"/>
  <c r="AK292" i="1"/>
  <c r="AH292" i="1"/>
  <c r="AI292" i="1" s="1"/>
  <c r="AG292" i="1"/>
  <c r="AD292" i="1"/>
  <c r="AE292" i="1" s="1"/>
  <c r="AC292" i="1"/>
  <c r="Z292" i="1"/>
  <c r="AA292" i="1" s="1"/>
  <c r="Y292" i="1"/>
  <c r="W292" i="1"/>
  <c r="V292" i="1"/>
  <c r="U292" i="1"/>
  <c r="S292" i="1"/>
  <c r="R292" i="1"/>
  <c r="Q292" i="1"/>
  <c r="O292" i="1"/>
  <c r="N292" i="1"/>
  <c r="M292" i="1"/>
  <c r="J292" i="1"/>
  <c r="K292" i="1" s="1"/>
  <c r="I292" i="1"/>
  <c r="F292" i="1"/>
  <c r="G292" i="1" s="1"/>
  <c r="E292" i="1"/>
  <c r="BN291" i="1"/>
  <c r="BM291" i="1"/>
  <c r="BL291" i="1"/>
  <c r="BJ291" i="1"/>
  <c r="BI291" i="1"/>
  <c r="BF291" i="1"/>
  <c r="BG291" i="1" s="1"/>
  <c r="BE291" i="1"/>
  <c r="BB291" i="1"/>
  <c r="BC291" i="1" s="1"/>
  <c r="BA291" i="1"/>
  <c r="AX291" i="1"/>
  <c r="AY291" i="1" s="1"/>
  <c r="AW291" i="1"/>
  <c r="AT291" i="1"/>
  <c r="AU291" i="1" s="1"/>
  <c r="AS291" i="1"/>
  <c r="AQ291" i="1"/>
  <c r="AP291" i="1"/>
  <c r="AO291" i="1"/>
  <c r="AM291" i="1"/>
  <c r="AL291" i="1"/>
  <c r="AK291" i="1"/>
  <c r="AI291" i="1"/>
  <c r="AH291" i="1"/>
  <c r="AG291" i="1"/>
  <c r="AE291" i="1"/>
  <c r="AD291" i="1"/>
  <c r="AC291" i="1"/>
  <c r="Z291" i="1"/>
  <c r="AA291" i="1" s="1"/>
  <c r="Y291" i="1"/>
  <c r="V291" i="1"/>
  <c r="W291" i="1" s="1"/>
  <c r="U291" i="1"/>
  <c r="R291" i="1"/>
  <c r="Q291" i="1"/>
  <c r="N291" i="1"/>
  <c r="O291" i="1" s="1"/>
  <c r="M291" i="1"/>
  <c r="K291" i="1"/>
  <c r="J291" i="1"/>
  <c r="I291" i="1"/>
  <c r="G291" i="1"/>
  <c r="F291" i="1"/>
  <c r="E291" i="1"/>
  <c r="BN290" i="1"/>
  <c r="BL290" i="1"/>
  <c r="BJ290" i="1"/>
  <c r="BM290" i="1" s="1"/>
  <c r="BI290" i="1"/>
  <c r="BG290" i="1"/>
  <c r="BF290" i="1"/>
  <c r="BE290" i="1"/>
  <c r="BC290" i="1"/>
  <c r="BB290" i="1"/>
  <c r="BA290" i="1"/>
  <c r="AX290" i="1"/>
  <c r="AY290" i="1" s="1"/>
  <c r="AW290" i="1"/>
  <c r="AT290" i="1"/>
  <c r="AU290" i="1" s="1"/>
  <c r="AS290" i="1"/>
  <c r="AP290" i="1"/>
  <c r="AQ290" i="1" s="1"/>
  <c r="AO290" i="1"/>
  <c r="AL290" i="1"/>
  <c r="AM290" i="1" s="1"/>
  <c r="AK290" i="1"/>
  <c r="AH290" i="1"/>
  <c r="AI290" i="1" s="1"/>
  <c r="AG290" i="1"/>
  <c r="AE290" i="1"/>
  <c r="AD290" i="1"/>
  <c r="AC290" i="1"/>
  <c r="AA290" i="1"/>
  <c r="Z290" i="1"/>
  <c r="Y290" i="1"/>
  <c r="W290" i="1"/>
  <c r="V290" i="1"/>
  <c r="U290" i="1"/>
  <c r="R290" i="1"/>
  <c r="S290" i="1" s="1"/>
  <c r="Q290" i="1"/>
  <c r="N290" i="1"/>
  <c r="O290" i="1" s="1"/>
  <c r="M290" i="1"/>
  <c r="J290" i="1"/>
  <c r="K290" i="1" s="1"/>
  <c r="I290" i="1"/>
  <c r="F290" i="1"/>
  <c r="G290" i="1" s="1"/>
  <c r="E290" i="1"/>
  <c r="BN289" i="1"/>
  <c r="BM289" i="1"/>
  <c r="BK289" i="1"/>
  <c r="BL289" i="1" s="1"/>
  <c r="BJ289" i="1"/>
  <c r="BH289" i="1"/>
  <c r="BI289" i="1" s="1"/>
  <c r="BF289" i="1"/>
  <c r="BG289" i="1" s="1"/>
  <c r="BE289" i="1"/>
  <c r="BD289" i="1"/>
  <c r="BC289" i="1"/>
  <c r="BB289" i="1"/>
  <c r="BA289" i="1"/>
  <c r="AY289" i="1"/>
  <c r="AX289" i="1"/>
  <c r="AW289" i="1"/>
  <c r="AU289" i="1"/>
  <c r="AT289" i="1"/>
  <c r="AS289" i="1"/>
  <c r="AP289" i="1"/>
  <c r="AQ289" i="1" s="1"/>
  <c r="AO289" i="1"/>
  <c r="AN289" i="1"/>
  <c r="AL289" i="1"/>
  <c r="AM289" i="1" s="1"/>
  <c r="AJ289" i="1"/>
  <c r="AK289" i="1" s="1"/>
  <c r="AH289" i="1"/>
  <c r="AI289" i="1" s="1"/>
  <c r="AG289" i="1"/>
  <c r="AF289" i="1"/>
  <c r="AD289" i="1"/>
  <c r="AE289" i="1" s="1"/>
  <c r="AC289" i="1"/>
  <c r="AA289" i="1"/>
  <c r="Z289" i="1"/>
  <c r="Y289" i="1"/>
  <c r="W289" i="1"/>
  <c r="V289" i="1"/>
  <c r="U289" i="1"/>
  <c r="S289" i="1"/>
  <c r="R289" i="1"/>
  <c r="Q289" i="1"/>
  <c r="P289" i="1"/>
  <c r="N289" i="1"/>
  <c r="O289" i="1" s="1"/>
  <c r="L289" i="1"/>
  <c r="M289" i="1" s="1"/>
  <c r="K289" i="1"/>
  <c r="J289" i="1"/>
  <c r="I289" i="1"/>
  <c r="F289" i="1"/>
  <c r="G289" i="1" s="1"/>
  <c r="E289" i="1"/>
  <c r="BN288" i="1"/>
  <c r="BL288" i="1"/>
  <c r="BK288" i="1"/>
  <c r="BJ288" i="1"/>
  <c r="BH288" i="1"/>
  <c r="BI288" i="1" s="1"/>
  <c r="BF288" i="1"/>
  <c r="BD288" i="1"/>
  <c r="BE288" i="1" s="1"/>
  <c r="BB288" i="1"/>
  <c r="BC288" i="1" s="1"/>
  <c r="BA288" i="1"/>
  <c r="AX288" i="1"/>
  <c r="AY288" i="1" s="1"/>
  <c r="AW288" i="1"/>
  <c r="AT288" i="1"/>
  <c r="AU288" i="1" s="1"/>
  <c r="AS288" i="1"/>
  <c r="AQ288" i="1"/>
  <c r="AP288" i="1"/>
  <c r="AO288" i="1"/>
  <c r="AM288" i="1"/>
  <c r="AL288" i="1"/>
  <c r="AJ288" i="1"/>
  <c r="AK288" i="1" s="1"/>
  <c r="AH288" i="1"/>
  <c r="AF288" i="1"/>
  <c r="AG288" i="1" s="1"/>
  <c r="AD288" i="1"/>
  <c r="AB288" i="1"/>
  <c r="AC288" i="1" s="1"/>
  <c r="Z288" i="1"/>
  <c r="AA288" i="1" s="1"/>
  <c r="Y288" i="1"/>
  <c r="V288" i="1"/>
  <c r="W288" i="1" s="1"/>
  <c r="U288" i="1"/>
  <c r="R288" i="1"/>
  <c r="S288" i="1" s="1"/>
  <c r="P288" i="1"/>
  <c r="Q288" i="1" s="1"/>
  <c r="N288" i="1"/>
  <c r="O288" i="1" s="1"/>
  <c r="M288" i="1"/>
  <c r="L288" i="1"/>
  <c r="J288" i="1"/>
  <c r="K288" i="1" s="1"/>
  <c r="H288" i="1"/>
  <c r="I288" i="1" s="1"/>
  <c r="F288" i="1"/>
  <c r="G288" i="1" s="1"/>
  <c r="E288" i="1"/>
  <c r="BN287" i="1"/>
  <c r="BL287" i="1"/>
  <c r="BK287" i="1"/>
  <c r="BJ287" i="1"/>
  <c r="BH287" i="1"/>
  <c r="BI287" i="1" s="1"/>
  <c r="BF287" i="1"/>
  <c r="BD287" i="1"/>
  <c r="BE287" i="1" s="1"/>
  <c r="BB287" i="1"/>
  <c r="BC287" i="1" s="1"/>
  <c r="BA287" i="1"/>
  <c r="AX287" i="1"/>
  <c r="AW287" i="1"/>
  <c r="AT287" i="1"/>
  <c r="AU287" i="1" s="1"/>
  <c r="AS287" i="1"/>
  <c r="AQ287" i="1"/>
  <c r="AP287" i="1"/>
  <c r="AO287" i="1"/>
  <c r="AM287" i="1"/>
  <c r="AL287" i="1"/>
  <c r="AJ287" i="1"/>
  <c r="AK287" i="1" s="1"/>
  <c r="AH287" i="1"/>
  <c r="AF287" i="1"/>
  <c r="AG287" i="1" s="1"/>
  <c r="AD287" i="1"/>
  <c r="AB287" i="1"/>
  <c r="AC287" i="1" s="1"/>
  <c r="Z287" i="1"/>
  <c r="AA287" i="1" s="1"/>
  <c r="Y287" i="1"/>
  <c r="V287" i="1"/>
  <c r="U287" i="1"/>
  <c r="R287" i="1"/>
  <c r="O287" i="1" s="1"/>
  <c r="P287" i="1"/>
  <c r="Q287" i="1" s="1"/>
  <c r="N287" i="1"/>
  <c r="M287" i="1"/>
  <c r="L287" i="1"/>
  <c r="J287" i="1"/>
  <c r="G287" i="1" s="1"/>
  <c r="H287" i="1"/>
  <c r="I287" i="1" s="1"/>
  <c r="F287" i="1"/>
  <c r="E287" i="1"/>
  <c r="BN286" i="1"/>
  <c r="BL286" i="1"/>
  <c r="BJ286" i="1"/>
  <c r="BM286" i="1" s="1"/>
  <c r="BI286" i="1"/>
  <c r="BG286" i="1"/>
  <c r="BF286" i="1"/>
  <c r="BE286" i="1"/>
  <c r="BB286" i="1"/>
  <c r="BC286" i="1" s="1"/>
  <c r="BA286" i="1"/>
  <c r="AX286" i="1"/>
  <c r="AY286" i="1" s="1"/>
  <c r="AW286" i="1"/>
  <c r="AT286" i="1"/>
  <c r="AS286" i="1"/>
  <c r="AP286" i="1"/>
  <c r="AQ286" i="1" s="1"/>
  <c r="AO286" i="1"/>
  <c r="AM286" i="1"/>
  <c r="AL286" i="1"/>
  <c r="AK286" i="1"/>
  <c r="AI286" i="1"/>
  <c r="AH286" i="1"/>
  <c r="AG286" i="1"/>
  <c r="AE286" i="1"/>
  <c r="AD286" i="1"/>
  <c r="AC286" i="1"/>
  <c r="AA286" i="1"/>
  <c r="Z286" i="1"/>
  <c r="Y286" i="1"/>
  <c r="V286" i="1"/>
  <c r="W286" i="1" s="1"/>
  <c r="U286" i="1"/>
  <c r="R286" i="1"/>
  <c r="S286" i="1" s="1"/>
  <c r="Q286" i="1"/>
  <c r="N286" i="1"/>
  <c r="O286" i="1" s="1"/>
  <c r="M286" i="1"/>
  <c r="J286" i="1"/>
  <c r="K286" i="1" s="1"/>
  <c r="I286" i="1"/>
  <c r="G286" i="1"/>
  <c r="F286" i="1"/>
  <c r="E286" i="1"/>
  <c r="BN285" i="1"/>
  <c r="BL285" i="1"/>
  <c r="BJ285" i="1"/>
  <c r="BM285" i="1" s="1"/>
  <c r="BI285" i="1"/>
  <c r="BG285" i="1"/>
  <c r="BF285" i="1"/>
  <c r="BE285" i="1"/>
  <c r="BC285" i="1"/>
  <c r="BB285" i="1"/>
  <c r="BA285" i="1"/>
  <c r="AY285" i="1"/>
  <c r="AX285" i="1"/>
  <c r="AW285" i="1"/>
  <c r="AV285" i="1"/>
  <c r="AT285" i="1"/>
  <c r="AU285" i="1" s="1"/>
  <c r="AS285" i="1"/>
  <c r="AR285" i="1"/>
  <c r="AQ285" i="1"/>
  <c r="AP285" i="1"/>
  <c r="AO285" i="1"/>
  <c r="AN285" i="1"/>
  <c r="AL285" i="1"/>
  <c r="AM285" i="1" s="1"/>
  <c r="AK285" i="1"/>
  <c r="AJ285" i="1"/>
  <c r="AI285" i="1"/>
  <c r="AH285" i="1"/>
  <c r="AG285" i="1"/>
  <c r="AF285" i="1"/>
  <c r="AD285" i="1"/>
  <c r="AE285" i="1" s="1"/>
  <c r="AC285" i="1"/>
  <c r="AB285" i="1"/>
  <c r="AA285" i="1"/>
  <c r="Z285" i="1"/>
  <c r="Y285" i="1"/>
  <c r="W285" i="1"/>
  <c r="V285" i="1"/>
  <c r="U285" i="1"/>
  <c r="S285" i="1"/>
  <c r="R285" i="1"/>
  <c r="Q285" i="1"/>
  <c r="N285" i="1"/>
  <c r="O285" i="1" s="1"/>
  <c r="M285" i="1"/>
  <c r="J285" i="1"/>
  <c r="I285" i="1"/>
  <c r="F285" i="1"/>
  <c r="G285" i="1" s="1"/>
  <c r="E285" i="1"/>
  <c r="BN284" i="1"/>
  <c r="BL284" i="1"/>
  <c r="BJ284" i="1"/>
  <c r="BM284" i="1" s="1"/>
  <c r="BI284" i="1"/>
  <c r="BF284" i="1"/>
  <c r="BG284" i="1" s="1"/>
  <c r="BE284" i="1"/>
  <c r="BC284" i="1"/>
  <c r="BB284" i="1"/>
  <c r="BA284" i="1"/>
  <c r="AY284" i="1"/>
  <c r="AX284" i="1"/>
  <c r="AV284" i="1"/>
  <c r="AW284" i="1" s="1"/>
  <c r="AT284" i="1"/>
  <c r="AR284" i="1"/>
  <c r="AS284" i="1" s="1"/>
  <c r="AP284" i="1"/>
  <c r="AN284" i="1"/>
  <c r="AO284" i="1" s="1"/>
  <c r="AL284" i="1"/>
  <c r="AJ284" i="1"/>
  <c r="AK284" i="1" s="1"/>
  <c r="AH284" i="1"/>
  <c r="AF284" i="1"/>
  <c r="AG284" i="1" s="1"/>
  <c r="AD284" i="1"/>
  <c r="AE284" i="1" s="1"/>
  <c r="AC284" i="1"/>
  <c r="Z284" i="1"/>
  <c r="AA284" i="1" s="1"/>
  <c r="Y284" i="1"/>
  <c r="V284" i="1"/>
  <c r="W284" i="1" s="1"/>
  <c r="U284" i="1"/>
  <c r="S284" i="1"/>
  <c r="R284" i="1"/>
  <c r="Q284" i="1"/>
  <c r="O284" i="1"/>
  <c r="N284" i="1"/>
  <c r="M284" i="1"/>
  <c r="K284" i="1"/>
  <c r="J284" i="1"/>
  <c r="I284" i="1"/>
  <c r="F284" i="1"/>
  <c r="G284" i="1" s="1"/>
  <c r="E284" i="1"/>
  <c r="BN283" i="1"/>
  <c r="BL283" i="1"/>
  <c r="BJ283" i="1"/>
  <c r="BM283" i="1" s="1"/>
  <c r="BI283" i="1"/>
  <c r="BF283" i="1"/>
  <c r="BG283" i="1" s="1"/>
  <c r="BE283" i="1"/>
  <c r="BC283" i="1"/>
  <c r="BB283" i="1"/>
  <c r="BA283" i="1"/>
  <c r="AX283" i="1"/>
  <c r="AV283" i="1"/>
  <c r="AW283" i="1" s="1"/>
  <c r="AT283" i="1"/>
  <c r="AR283" i="1"/>
  <c r="AS283" i="1" s="1"/>
  <c r="AP283" i="1"/>
  <c r="AN283" i="1"/>
  <c r="AO283" i="1" s="1"/>
  <c r="AL283" i="1"/>
  <c r="AJ283" i="1"/>
  <c r="AK283" i="1" s="1"/>
  <c r="AH283" i="1"/>
  <c r="AF283" i="1"/>
  <c r="AG283" i="1" s="1"/>
  <c r="AD283" i="1"/>
  <c r="AB283" i="1"/>
  <c r="AC283" i="1" s="1"/>
  <c r="Z283" i="1"/>
  <c r="AA283" i="1" s="1"/>
  <c r="Y283" i="1"/>
  <c r="V283" i="1"/>
  <c r="U283" i="1"/>
  <c r="R283" i="1"/>
  <c r="S283" i="1" s="1"/>
  <c r="Q283" i="1"/>
  <c r="O283" i="1"/>
  <c r="N283" i="1"/>
  <c r="M283" i="1"/>
  <c r="K283" i="1"/>
  <c r="J283" i="1"/>
  <c r="I283" i="1"/>
  <c r="G283" i="1"/>
  <c r="F283" i="1"/>
  <c r="E283" i="1"/>
  <c r="BN282" i="1"/>
  <c r="BL282" i="1"/>
  <c r="BJ282" i="1"/>
  <c r="BM282" i="1" s="1"/>
  <c r="BI282" i="1"/>
  <c r="BG282" i="1"/>
  <c r="BF282" i="1"/>
  <c r="BE282" i="1"/>
  <c r="BB282" i="1"/>
  <c r="BC282" i="1" s="1"/>
  <c r="BA282" i="1"/>
  <c r="AY282" i="1"/>
  <c r="AX282" i="1"/>
  <c r="AW282" i="1"/>
  <c r="AT282" i="1"/>
  <c r="AU282" i="1" s="1"/>
  <c r="AS282" i="1"/>
  <c r="AP282" i="1"/>
  <c r="AO282" i="1"/>
  <c r="AL282" i="1"/>
  <c r="AM282" i="1" s="1"/>
  <c r="AK282" i="1"/>
  <c r="AI282" i="1"/>
  <c r="AH282" i="1"/>
  <c r="AG282" i="1"/>
  <c r="AE282" i="1"/>
  <c r="AD282" i="1"/>
  <c r="AC282" i="1"/>
  <c r="AA282" i="1"/>
  <c r="Z282" i="1"/>
  <c r="Y282" i="1"/>
  <c r="V282" i="1"/>
  <c r="W282" i="1" s="1"/>
  <c r="U282" i="1"/>
  <c r="S282" i="1"/>
  <c r="R282" i="1"/>
  <c r="Q282" i="1"/>
  <c r="N282" i="1"/>
  <c r="O282" i="1" s="1"/>
  <c r="M282" i="1"/>
  <c r="J282" i="1"/>
  <c r="K282" i="1" s="1"/>
  <c r="I282" i="1"/>
  <c r="F282" i="1"/>
  <c r="G282" i="1" s="1"/>
  <c r="E282" i="1"/>
  <c r="BN281" i="1"/>
  <c r="BL281" i="1"/>
  <c r="BJ281" i="1"/>
  <c r="BI281" i="1"/>
  <c r="BF281" i="1"/>
  <c r="BG281" i="1" s="1"/>
  <c r="BE281" i="1"/>
  <c r="BC281" i="1"/>
  <c r="BB281" i="1"/>
  <c r="BA281" i="1"/>
  <c r="AY281" i="1"/>
  <c r="AX281" i="1"/>
  <c r="AW281" i="1"/>
  <c r="AU281" i="1"/>
  <c r="AT281" i="1"/>
  <c r="AQ281" i="1" s="1"/>
  <c r="AS281" i="1"/>
  <c r="AP281" i="1"/>
  <c r="AO281" i="1"/>
  <c r="AM281" i="1"/>
  <c r="AL281" i="1"/>
  <c r="AK281" i="1"/>
  <c r="AH281" i="1"/>
  <c r="AI281" i="1" s="1"/>
  <c r="AG281" i="1"/>
  <c r="AD281" i="1"/>
  <c r="AE281" i="1" s="1"/>
  <c r="AC281" i="1"/>
  <c r="Z281" i="1"/>
  <c r="AA281" i="1" s="1"/>
  <c r="Y281" i="1"/>
  <c r="W281" i="1"/>
  <c r="V281" i="1"/>
  <c r="U281" i="1"/>
  <c r="S281" i="1"/>
  <c r="R281" i="1"/>
  <c r="Q281" i="1"/>
  <c r="O281" i="1"/>
  <c r="N281" i="1"/>
  <c r="K281" i="1" s="1"/>
  <c r="M281" i="1"/>
  <c r="J281" i="1"/>
  <c r="I281" i="1"/>
  <c r="G281" i="1"/>
  <c r="F281" i="1"/>
  <c r="E281" i="1"/>
  <c r="BN280" i="1"/>
  <c r="BM280" i="1"/>
  <c r="BL280" i="1"/>
  <c r="BJ280" i="1"/>
  <c r="BI280" i="1"/>
  <c r="BG280" i="1"/>
  <c r="BF280" i="1"/>
  <c r="BE280" i="1"/>
  <c r="BB280" i="1"/>
  <c r="BC280" i="1" s="1"/>
  <c r="BA280" i="1"/>
  <c r="AX280" i="1"/>
  <c r="AW280" i="1"/>
  <c r="AT280" i="1"/>
  <c r="AU280" i="1" s="1"/>
  <c r="AS280" i="1"/>
  <c r="AQ280" i="1"/>
  <c r="AP280" i="1"/>
  <c r="AO280" i="1"/>
  <c r="AM280" i="1"/>
  <c r="AL280" i="1"/>
  <c r="AK280" i="1"/>
  <c r="AI280" i="1"/>
  <c r="AH280" i="1"/>
  <c r="AE280" i="1" s="1"/>
  <c r="AG280" i="1"/>
  <c r="AD280" i="1"/>
  <c r="AC280" i="1"/>
  <c r="AA280" i="1"/>
  <c r="Z280" i="1"/>
  <c r="Y280" i="1"/>
  <c r="V280" i="1"/>
  <c r="W280" i="1" s="1"/>
  <c r="U280" i="1"/>
  <c r="R280" i="1"/>
  <c r="S280" i="1" s="1"/>
  <c r="Q280" i="1"/>
  <c r="N280" i="1"/>
  <c r="O280" i="1" s="1"/>
  <c r="M280" i="1"/>
  <c r="K280" i="1"/>
  <c r="J280" i="1"/>
  <c r="I280" i="1"/>
  <c r="G280" i="1"/>
  <c r="F280" i="1"/>
  <c r="E280" i="1"/>
  <c r="BN279" i="1"/>
  <c r="BM279" i="1" s="1"/>
  <c r="BL279" i="1"/>
  <c r="BJ279" i="1"/>
  <c r="BI279" i="1"/>
  <c r="BG279" i="1"/>
  <c r="BF279" i="1"/>
  <c r="BE279" i="1"/>
  <c r="BC279" i="1"/>
  <c r="BB279" i="1"/>
  <c r="AY279" i="1" s="1"/>
  <c r="BA279" i="1"/>
  <c r="AX279" i="1"/>
  <c r="AW279" i="1"/>
  <c r="AT279" i="1"/>
  <c r="AU279" i="1" s="1"/>
  <c r="AS279" i="1"/>
  <c r="AP279" i="1"/>
  <c r="AQ279" i="1" s="1"/>
  <c r="AO279" i="1"/>
  <c r="AL279" i="1"/>
  <c r="AK279" i="1"/>
  <c r="AH279" i="1"/>
  <c r="AI279" i="1" s="1"/>
  <c r="AG279" i="1"/>
  <c r="AE279" i="1"/>
  <c r="AD279" i="1"/>
  <c r="AC279" i="1"/>
  <c r="AA279" i="1"/>
  <c r="Z279" i="1"/>
  <c r="Y279" i="1"/>
  <c r="W279" i="1"/>
  <c r="V279" i="1"/>
  <c r="S279" i="1" s="1"/>
  <c r="U279" i="1"/>
  <c r="R279" i="1"/>
  <c r="Q279" i="1"/>
  <c r="N279" i="1"/>
  <c r="O279" i="1" s="1"/>
  <c r="M279" i="1"/>
  <c r="J279" i="1"/>
  <c r="K279" i="1" s="1"/>
  <c r="I279" i="1"/>
  <c r="F279" i="1"/>
  <c r="G279" i="1" s="1"/>
  <c r="E279" i="1"/>
  <c r="BN278" i="1"/>
  <c r="BL278" i="1"/>
  <c r="BJ278" i="1"/>
  <c r="BM278" i="1" s="1"/>
  <c r="BI278" i="1"/>
  <c r="BF278" i="1"/>
  <c r="BE278" i="1"/>
  <c r="BB278" i="1"/>
  <c r="BC278" i="1" s="1"/>
  <c r="BA278" i="1"/>
  <c r="AY278" i="1"/>
  <c r="AX278" i="1"/>
  <c r="AW278" i="1"/>
  <c r="AU278" i="1"/>
  <c r="AT278" i="1"/>
  <c r="AS278" i="1"/>
  <c r="AQ278" i="1"/>
  <c r="AP278" i="1"/>
  <c r="AM278" i="1" s="1"/>
  <c r="AO278" i="1"/>
  <c r="AL278" i="1"/>
  <c r="AK278" i="1"/>
  <c r="AI278" i="1"/>
  <c r="AH278" i="1"/>
  <c r="AG278" i="1"/>
  <c r="AD278" i="1"/>
  <c r="AE278" i="1" s="1"/>
  <c r="AC278" i="1"/>
  <c r="Z278" i="1"/>
  <c r="Y278" i="1"/>
  <c r="V278" i="1"/>
  <c r="W278" i="1" s="1"/>
  <c r="U278" i="1"/>
  <c r="S278" i="1"/>
  <c r="R278" i="1"/>
  <c r="Q278" i="1"/>
  <c r="O278" i="1"/>
  <c r="N278" i="1"/>
  <c r="M278" i="1"/>
  <c r="K278" i="1"/>
  <c r="J278" i="1"/>
  <c r="G278" i="1" s="1"/>
  <c r="I278" i="1"/>
  <c r="F278" i="1"/>
  <c r="E278" i="1"/>
  <c r="BN277" i="1"/>
  <c r="BL277" i="1"/>
  <c r="BJ277" i="1"/>
  <c r="BG277" i="1" s="1"/>
  <c r="BI277" i="1"/>
  <c r="BF277" i="1"/>
  <c r="BE277" i="1"/>
  <c r="BC277" i="1"/>
  <c r="BB277" i="1"/>
  <c r="BA277" i="1"/>
  <c r="AX277" i="1"/>
  <c r="AY277" i="1" s="1"/>
  <c r="AW277" i="1"/>
  <c r="AT277" i="1"/>
  <c r="AU277" i="1" s="1"/>
  <c r="AS277" i="1"/>
  <c r="AP277" i="1"/>
  <c r="AQ277" i="1" s="1"/>
  <c r="AO277" i="1"/>
  <c r="AM277" i="1"/>
  <c r="AL277" i="1"/>
  <c r="AK277" i="1"/>
  <c r="AI277" i="1"/>
  <c r="AH277" i="1"/>
  <c r="AF277" i="1"/>
  <c r="AG277" i="1" s="1"/>
  <c r="AD277" i="1"/>
  <c r="AE277" i="1" s="1"/>
  <c r="AC277" i="1"/>
  <c r="Z277" i="1"/>
  <c r="AA277" i="1" s="1"/>
  <c r="Y277" i="1"/>
  <c r="V277" i="1"/>
  <c r="W277" i="1" s="1"/>
  <c r="U277" i="1"/>
  <c r="S277" i="1"/>
  <c r="R277" i="1"/>
  <c r="Q277" i="1"/>
  <c r="N277" i="1"/>
  <c r="O277" i="1" s="1"/>
  <c r="M277" i="1"/>
  <c r="K277" i="1"/>
  <c r="J277" i="1"/>
  <c r="G277" i="1" s="1"/>
  <c r="I277" i="1"/>
  <c r="F277" i="1"/>
  <c r="E277" i="1"/>
  <c r="BN276" i="1"/>
  <c r="BL276" i="1"/>
  <c r="BJ276" i="1"/>
  <c r="BG276" i="1" s="1"/>
  <c r="BI276" i="1"/>
  <c r="BF276" i="1"/>
  <c r="BE276" i="1"/>
  <c r="BC276" i="1"/>
  <c r="BB276" i="1"/>
  <c r="BA276" i="1"/>
  <c r="AX276" i="1"/>
  <c r="AY276" i="1" s="1"/>
  <c r="AW276" i="1"/>
  <c r="AT276" i="1"/>
  <c r="AU276" i="1" s="1"/>
  <c r="AS276" i="1"/>
  <c r="AP276" i="1"/>
  <c r="AQ276" i="1" s="1"/>
  <c r="AO276" i="1"/>
  <c r="AM276" i="1"/>
  <c r="AL276" i="1"/>
  <c r="AK276" i="1"/>
  <c r="AI276" i="1"/>
  <c r="AH276" i="1"/>
  <c r="AF276" i="1"/>
  <c r="AG276" i="1" s="1"/>
  <c r="AD276" i="1"/>
  <c r="AE276" i="1" s="1"/>
  <c r="AC276" i="1"/>
  <c r="Z276" i="1"/>
  <c r="Y276" i="1"/>
  <c r="V276" i="1"/>
  <c r="W276" i="1" s="1"/>
  <c r="U276" i="1"/>
  <c r="S276" i="1"/>
  <c r="R276" i="1"/>
  <c r="Q276" i="1"/>
  <c r="O276" i="1"/>
  <c r="N276" i="1"/>
  <c r="M276" i="1"/>
  <c r="K276" i="1"/>
  <c r="J276" i="1"/>
  <c r="G276" i="1" s="1"/>
  <c r="I276" i="1"/>
  <c r="F276" i="1"/>
  <c r="E276" i="1"/>
  <c r="BN275" i="1"/>
  <c r="BL275" i="1"/>
  <c r="BJ275" i="1"/>
  <c r="BG275" i="1" s="1"/>
  <c r="BI275" i="1"/>
  <c r="BF275" i="1"/>
  <c r="BE275" i="1"/>
  <c r="BC275" i="1"/>
  <c r="BB275" i="1"/>
  <c r="BA275" i="1"/>
  <c r="AX275" i="1"/>
  <c r="AY275" i="1" s="1"/>
  <c r="AW275" i="1"/>
  <c r="AT275" i="1"/>
  <c r="AS275" i="1"/>
  <c r="AP275" i="1"/>
  <c r="AQ275" i="1" s="1"/>
  <c r="AO275" i="1"/>
  <c r="AM275" i="1"/>
  <c r="AL275" i="1"/>
  <c r="AK275" i="1"/>
  <c r="AI275" i="1"/>
  <c r="AH275" i="1"/>
  <c r="AF275" i="1"/>
  <c r="AG275" i="1" s="1"/>
  <c r="AD275" i="1"/>
  <c r="AE275" i="1" s="1"/>
  <c r="AC275" i="1"/>
  <c r="Z275" i="1"/>
  <c r="AA275" i="1" s="1"/>
  <c r="Y275" i="1"/>
  <c r="V275" i="1"/>
  <c r="W275" i="1" s="1"/>
  <c r="U275" i="1"/>
  <c r="S275" i="1"/>
  <c r="R275" i="1"/>
  <c r="Q275" i="1"/>
  <c r="O275" i="1"/>
  <c r="N275" i="1"/>
  <c r="M275" i="1"/>
  <c r="K275" i="1"/>
  <c r="J275" i="1"/>
  <c r="G275" i="1" s="1"/>
  <c r="I275" i="1"/>
  <c r="F275" i="1"/>
  <c r="E275" i="1"/>
  <c r="BN274" i="1"/>
  <c r="BL274" i="1"/>
  <c r="BJ274" i="1"/>
  <c r="BG274" i="1" s="1"/>
  <c r="BI274" i="1"/>
  <c r="BF274" i="1"/>
  <c r="BE274" i="1"/>
  <c r="BC274" i="1"/>
  <c r="BB274" i="1"/>
  <c r="BA274" i="1"/>
  <c r="AX274" i="1"/>
  <c r="AY274" i="1" s="1"/>
  <c r="AW274" i="1"/>
  <c r="AT274" i="1"/>
  <c r="AS274" i="1"/>
  <c r="AP274" i="1"/>
  <c r="AQ274" i="1" s="1"/>
  <c r="AO274" i="1"/>
  <c r="AM274" i="1"/>
  <c r="AL274" i="1"/>
  <c r="AK274" i="1"/>
  <c r="AI274" i="1"/>
  <c r="AH274" i="1"/>
  <c r="AG274" i="1"/>
  <c r="AE274" i="1"/>
  <c r="AD274" i="1"/>
  <c r="AA274" i="1" s="1"/>
  <c r="AC274" i="1"/>
  <c r="Z274" i="1"/>
  <c r="Y274" i="1"/>
  <c r="W274" i="1"/>
  <c r="V274" i="1"/>
  <c r="U274" i="1"/>
  <c r="R274" i="1"/>
  <c r="S274" i="1" s="1"/>
  <c r="Q274" i="1"/>
  <c r="N274" i="1"/>
  <c r="O274" i="1" s="1"/>
  <c r="M274" i="1"/>
  <c r="J274" i="1"/>
  <c r="K274" i="1" s="1"/>
  <c r="I274" i="1"/>
  <c r="G274" i="1"/>
  <c r="F274" i="1"/>
  <c r="E274" i="1"/>
  <c r="BN273" i="1"/>
  <c r="BL273" i="1"/>
  <c r="BJ273" i="1"/>
  <c r="BM273" i="1" s="1"/>
  <c r="BI273" i="1"/>
  <c r="BG273" i="1"/>
  <c r="BF273" i="1"/>
  <c r="BE273" i="1"/>
  <c r="BC273" i="1"/>
  <c r="BB273" i="1"/>
  <c r="BA273" i="1"/>
  <c r="AY273" i="1"/>
  <c r="AX273" i="1"/>
  <c r="AU273" i="1" s="1"/>
  <c r="AW273" i="1"/>
  <c r="AT273" i="1"/>
  <c r="AS273" i="1"/>
  <c r="AP273" i="1"/>
  <c r="AQ273" i="1" s="1"/>
  <c r="AO273" i="1"/>
  <c r="AL273" i="1"/>
  <c r="AM273" i="1" s="1"/>
  <c r="AK273" i="1"/>
  <c r="AH273" i="1"/>
  <c r="AI273" i="1" s="1"/>
  <c r="AG273" i="1"/>
  <c r="AD273" i="1"/>
  <c r="AE273" i="1" s="1"/>
  <c r="AC273" i="1"/>
  <c r="AA273" i="1"/>
  <c r="Z273" i="1"/>
  <c r="Y273" i="1"/>
  <c r="W273" i="1"/>
  <c r="V273" i="1"/>
  <c r="U273" i="1"/>
  <c r="S273" i="1"/>
  <c r="R273" i="1"/>
  <c r="O273" i="1" s="1"/>
  <c r="Q273" i="1"/>
  <c r="N273" i="1"/>
  <c r="M273" i="1"/>
  <c r="J273" i="1"/>
  <c r="K273" i="1" s="1"/>
  <c r="I273" i="1"/>
  <c r="F273" i="1"/>
  <c r="G273" i="1" s="1"/>
  <c r="E273" i="1"/>
  <c r="BN272" i="1"/>
  <c r="BM272" i="1"/>
  <c r="BL272" i="1"/>
  <c r="BJ272" i="1"/>
  <c r="BI272" i="1"/>
  <c r="BF272" i="1"/>
  <c r="BG272" i="1" s="1"/>
  <c r="BE272" i="1"/>
  <c r="BB272" i="1"/>
  <c r="BA272" i="1"/>
  <c r="AX272" i="1"/>
  <c r="AY272" i="1" s="1"/>
  <c r="AW272" i="1"/>
  <c r="AU272" i="1"/>
  <c r="AT272" i="1"/>
  <c r="AS272" i="1"/>
  <c r="AQ272" i="1"/>
  <c r="AP272" i="1"/>
  <c r="AO272" i="1"/>
  <c r="AM272" i="1"/>
  <c r="AL272" i="1"/>
  <c r="AK272" i="1"/>
  <c r="AI272" i="1"/>
  <c r="AH272" i="1"/>
  <c r="AG272" i="1"/>
  <c r="AD272" i="1"/>
  <c r="AE272" i="1" s="1"/>
  <c r="AC272" i="1"/>
  <c r="Z272" i="1"/>
  <c r="AA272" i="1" s="1"/>
  <c r="Y272" i="1"/>
  <c r="V272" i="1"/>
  <c r="W272" i="1" s="1"/>
  <c r="U272" i="1"/>
  <c r="R272" i="1"/>
  <c r="S272" i="1" s="1"/>
  <c r="Q272" i="1"/>
  <c r="O272" i="1"/>
  <c r="N272" i="1"/>
  <c r="M272" i="1"/>
  <c r="K272" i="1"/>
  <c r="J272" i="1"/>
  <c r="I272" i="1"/>
  <c r="G272" i="1"/>
  <c r="F272" i="1"/>
  <c r="E272" i="1"/>
  <c r="BN271" i="1"/>
  <c r="BL271" i="1"/>
  <c r="BJ271" i="1"/>
  <c r="BM271" i="1" s="1"/>
  <c r="BI271" i="1"/>
  <c r="BG271" i="1"/>
  <c r="BF271" i="1"/>
  <c r="BE271" i="1"/>
  <c r="BC271" i="1"/>
  <c r="BB271" i="1"/>
  <c r="BA271" i="1"/>
  <c r="AX271" i="1"/>
  <c r="AY271" i="1" s="1"/>
  <c r="AW271" i="1"/>
  <c r="AT271" i="1"/>
  <c r="AU271" i="1" s="1"/>
  <c r="AS271" i="1"/>
  <c r="AP271" i="1"/>
  <c r="AQ271" i="1" s="1"/>
  <c r="AO271" i="1"/>
  <c r="AL271" i="1"/>
  <c r="AM271" i="1" s="1"/>
  <c r="AK271" i="1"/>
  <c r="AI271" i="1"/>
  <c r="AH271" i="1"/>
  <c r="AG271" i="1"/>
  <c r="AE271" i="1"/>
  <c r="AD271" i="1"/>
  <c r="AC271" i="1"/>
  <c r="AA271" i="1"/>
  <c r="Z271" i="1"/>
  <c r="Y271" i="1"/>
  <c r="W271" i="1"/>
  <c r="V271" i="1"/>
  <c r="U271" i="1"/>
  <c r="R271" i="1"/>
  <c r="S271" i="1" s="1"/>
  <c r="Q271" i="1"/>
  <c r="N271" i="1"/>
  <c r="O271" i="1" s="1"/>
  <c r="M271" i="1"/>
  <c r="J271" i="1"/>
  <c r="K271" i="1" s="1"/>
  <c r="I271" i="1"/>
  <c r="F271" i="1"/>
  <c r="G271" i="1" s="1"/>
  <c r="E271" i="1"/>
  <c r="BN270" i="1"/>
  <c r="BL270" i="1"/>
  <c r="BJ270" i="1"/>
  <c r="BI270" i="1"/>
  <c r="BF270" i="1"/>
  <c r="BG270" i="1" s="1"/>
  <c r="BE270" i="1"/>
  <c r="BC270" i="1"/>
  <c r="BB270" i="1"/>
  <c r="BA270" i="1"/>
  <c r="AY270" i="1"/>
  <c r="AX270" i="1"/>
  <c r="AW270" i="1"/>
  <c r="AU270" i="1"/>
  <c r="AT270" i="1"/>
  <c r="AS270" i="1"/>
  <c r="AP270" i="1"/>
  <c r="AQ270" i="1" s="1"/>
  <c r="AO270" i="1"/>
  <c r="AL270" i="1"/>
  <c r="AM270" i="1" s="1"/>
  <c r="AK270" i="1"/>
  <c r="AH270" i="1"/>
  <c r="AI270" i="1" s="1"/>
  <c r="AG270" i="1"/>
  <c r="AD270" i="1"/>
  <c r="AE270" i="1" s="1"/>
  <c r="AC270" i="1"/>
  <c r="Z270" i="1"/>
  <c r="AA270" i="1" s="1"/>
  <c r="Y270" i="1"/>
  <c r="W270" i="1"/>
  <c r="V270" i="1"/>
  <c r="U270" i="1"/>
  <c r="S270" i="1"/>
  <c r="R270" i="1"/>
  <c r="Q270" i="1"/>
  <c r="O270" i="1"/>
  <c r="N270" i="1"/>
  <c r="M270" i="1"/>
  <c r="J270" i="1"/>
  <c r="K270" i="1" s="1"/>
  <c r="I270" i="1"/>
  <c r="F270" i="1"/>
  <c r="G270" i="1" s="1"/>
  <c r="E270" i="1"/>
  <c r="BN269" i="1"/>
  <c r="BM269" i="1"/>
  <c r="BL269" i="1"/>
  <c r="BJ269" i="1"/>
  <c r="BI269" i="1"/>
  <c r="BF269" i="1"/>
  <c r="BG269" i="1" s="1"/>
  <c r="BE269" i="1"/>
  <c r="BB269" i="1"/>
  <c r="BC269" i="1" s="1"/>
  <c r="BA269" i="1"/>
  <c r="AX269" i="1"/>
  <c r="AY269" i="1" s="1"/>
  <c r="AW269" i="1"/>
  <c r="AT269" i="1"/>
  <c r="AU269" i="1" s="1"/>
  <c r="AS269" i="1"/>
  <c r="AQ269" i="1"/>
  <c r="AP269" i="1"/>
  <c r="AO269" i="1"/>
  <c r="AM269" i="1"/>
  <c r="AL269" i="1"/>
  <c r="AK269" i="1"/>
  <c r="AI269" i="1"/>
  <c r="AH269" i="1"/>
  <c r="AG269" i="1"/>
  <c r="AD269" i="1"/>
  <c r="AE269" i="1" s="1"/>
  <c r="AC269" i="1"/>
  <c r="Z269" i="1"/>
  <c r="AA269" i="1" s="1"/>
  <c r="Y269" i="1"/>
  <c r="V269" i="1"/>
  <c r="W269" i="1" s="1"/>
  <c r="U269" i="1"/>
  <c r="R269" i="1"/>
  <c r="Q269" i="1"/>
  <c r="N269" i="1"/>
  <c r="O269" i="1" s="1"/>
  <c r="M269" i="1"/>
  <c r="K269" i="1"/>
  <c r="J269" i="1"/>
  <c r="I269" i="1"/>
  <c r="G269" i="1"/>
  <c r="F269" i="1"/>
  <c r="E269" i="1"/>
  <c r="BN268" i="1"/>
  <c r="BM268" i="1" s="1"/>
  <c r="BL268" i="1"/>
  <c r="BJ268" i="1"/>
  <c r="BI268" i="1"/>
  <c r="BG268" i="1"/>
  <c r="BF268" i="1"/>
  <c r="BE268" i="1"/>
  <c r="BC268" i="1"/>
  <c r="BB268" i="1"/>
  <c r="BA268" i="1"/>
  <c r="AX268" i="1"/>
  <c r="AY268" i="1" s="1"/>
  <c r="AW268" i="1"/>
  <c r="AT268" i="1"/>
  <c r="AU268" i="1" s="1"/>
  <c r="AS268" i="1"/>
  <c r="AP268" i="1"/>
  <c r="AQ268" i="1" s="1"/>
  <c r="AO268" i="1"/>
  <c r="AL268" i="1"/>
  <c r="AM268" i="1" s="1"/>
  <c r="AK268" i="1"/>
  <c r="AH268" i="1"/>
  <c r="AI268" i="1" s="1"/>
  <c r="AG268" i="1"/>
  <c r="AE268" i="1"/>
  <c r="AD268" i="1"/>
  <c r="AC268" i="1"/>
  <c r="AA268" i="1"/>
  <c r="Z268" i="1"/>
  <c r="Y268" i="1"/>
  <c r="W268" i="1"/>
  <c r="V268" i="1"/>
  <c r="U268" i="1"/>
  <c r="R268" i="1"/>
  <c r="S268" i="1" s="1"/>
  <c r="Q268" i="1"/>
  <c r="N268" i="1"/>
  <c r="O268" i="1" s="1"/>
  <c r="M268" i="1"/>
  <c r="J268" i="1"/>
  <c r="K268" i="1" s="1"/>
  <c r="I268" i="1"/>
  <c r="F268" i="1"/>
  <c r="G268" i="1" s="1"/>
  <c r="E268" i="1"/>
  <c r="BN267" i="1"/>
  <c r="BL267" i="1"/>
  <c r="BJ267" i="1"/>
  <c r="BM267" i="1" s="1"/>
  <c r="BI267" i="1"/>
  <c r="BF267" i="1"/>
  <c r="BG267" i="1" s="1"/>
  <c r="BE267" i="1"/>
  <c r="BB267" i="1"/>
  <c r="BC267" i="1" s="1"/>
  <c r="BA267" i="1"/>
  <c r="AY267" i="1"/>
  <c r="AX267" i="1"/>
  <c r="AW267" i="1"/>
  <c r="AU267" i="1"/>
  <c r="AT267" i="1"/>
  <c r="AS267" i="1"/>
  <c r="AQ267" i="1"/>
  <c r="AP267" i="1"/>
  <c r="AO267" i="1"/>
  <c r="AL267" i="1"/>
  <c r="AM267" i="1" s="1"/>
  <c r="AK267" i="1"/>
  <c r="AH267" i="1"/>
  <c r="AI267" i="1" s="1"/>
  <c r="AG267" i="1"/>
  <c r="AD267" i="1"/>
  <c r="AE267" i="1" s="1"/>
  <c r="AC267" i="1"/>
  <c r="Z267" i="1"/>
  <c r="AA267" i="1" s="1"/>
  <c r="Y267" i="1"/>
  <c r="V267" i="1"/>
  <c r="W267" i="1" s="1"/>
  <c r="U267" i="1"/>
  <c r="S267" i="1"/>
  <c r="R267" i="1"/>
  <c r="Q267" i="1"/>
  <c r="O267" i="1"/>
  <c r="N267" i="1"/>
  <c r="M267" i="1"/>
  <c r="K267" i="1"/>
  <c r="J267" i="1"/>
  <c r="I267" i="1"/>
  <c r="F267" i="1"/>
  <c r="G267" i="1" s="1"/>
  <c r="E267" i="1"/>
  <c r="BN266" i="1"/>
  <c r="BL266" i="1"/>
  <c r="BJ266" i="1"/>
  <c r="BM266" i="1" s="1"/>
  <c r="BI266" i="1"/>
  <c r="BF266" i="1"/>
  <c r="BG266" i="1" s="1"/>
  <c r="BE266" i="1"/>
  <c r="BB266" i="1"/>
  <c r="BC266" i="1" s="1"/>
  <c r="BA266" i="1"/>
  <c r="AX266" i="1"/>
  <c r="AY266" i="1" s="1"/>
  <c r="AW266" i="1"/>
  <c r="AT266" i="1"/>
  <c r="AS266" i="1"/>
  <c r="AP266" i="1"/>
  <c r="AQ266" i="1" s="1"/>
  <c r="AO266" i="1"/>
  <c r="AM266" i="1"/>
  <c r="AL266" i="1"/>
  <c r="AK266" i="1"/>
  <c r="AI266" i="1"/>
  <c r="AH266" i="1"/>
  <c r="AG266" i="1"/>
  <c r="AE266" i="1"/>
  <c r="AD266" i="1"/>
  <c r="AC266" i="1"/>
  <c r="Z266" i="1"/>
  <c r="AA266" i="1" s="1"/>
  <c r="Y266" i="1"/>
  <c r="V266" i="1"/>
  <c r="W266" i="1" s="1"/>
  <c r="U266" i="1"/>
  <c r="R266" i="1"/>
  <c r="S266" i="1" s="1"/>
  <c r="Q266" i="1"/>
  <c r="N266" i="1"/>
  <c r="O266" i="1" s="1"/>
  <c r="M266" i="1"/>
  <c r="J266" i="1"/>
  <c r="K266" i="1" s="1"/>
  <c r="I266" i="1"/>
  <c r="G266" i="1"/>
  <c r="F266" i="1"/>
  <c r="E266" i="1"/>
  <c r="BN265" i="1"/>
  <c r="BL265" i="1"/>
  <c r="BJ265" i="1"/>
  <c r="BM265" i="1" s="1"/>
  <c r="BI265" i="1"/>
  <c r="BG265" i="1"/>
  <c r="BF265" i="1"/>
  <c r="BE265" i="1"/>
  <c r="BC265" i="1"/>
  <c r="BB265" i="1"/>
  <c r="BA265" i="1"/>
  <c r="AY265" i="1"/>
  <c r="AX265" i="1"/>
  <c r="AW265" i="1"/>
  <c r="AT265" i="1"/>
  <c r="AU265" i="1" s="1"/>
  <c r="AS265" i="1"/>
  <c r="AP265" i="1"/>
  <c r="AQ265" i="1" s="1"/>
  <c r="AO265" i="1"/>
  <c r="AL265" i="1"/>
  <c r="AM265" i="1" s="1"/>
  <c r="AK265" i="1"/>
  <c r="AH265" i="1"/>
  <c r="AG265" i="1"/>
  <c r="AD265" i="1"/>
  <c r="AE265" i="1" s="1"/>
  <c r="AC265" i="1"/>
  <c r="Z265" i="1"/>
  <c r="Y265" i="1"/>
  <c r="W265" i="1"/>
  <c r="V265" i="1"/>
  <c r="U265" i="1"/>
  <c r="S265" i="1"/>
  <c r="R265" i="1"/>
  <c r="Q265" i="1"/>
  <c r="N265" i="1"/>
  <c r="O265" i="1" s="1"/>
  <c r="M265" i="1"/>
  <c r="J265" i="1"/>
  <c r="K265" i="1" s="1"/>
  <c r="I265" i="1"/>
  <c r="F265" i="1"/>
  <c r="G265" i="1" s="1"/>
  <c r="E265" i="1"/>
  <c r="BN264" i="1"/>
  <c r="BM264" i="1"/>
  <c r="BL264" i="1"/>
  <c r="BJ264" i="1"/>
  <c r="BI264" i="1"/>
  <c r="BF264" i="1"/>
  <c r="BG264" i="1" s="1"/>
  <c r="BE264" i="1"/>
  <c r="BB264" i="1"/>
  <c r="BC264" i="1" s="1"/>
  <c r="BA264" i="1"/>
  <c r="AX264" i="1"/>
  <c r="AY264" i="1" s="1"/>
  <c r="AW264" i="1"/>
  <c r="AU264" i="1"/>
  <c r="AT264" i="1"/>
  <c r="AS264" i="1"/>
  <c r="AQ264" i="1"/>
  <c r="AP264" i="1"/>
  <c r="AO264" i="1"/>
  <c r="AM264" i="1"/>
  <c r="AL264" i="1"/>
  <c r="AI264" i="1" s="1"/>
  <c r="AK264" i="1"/>
  <c r="AH264" i="1"/>
  <c r="AG264" i="1"/>
  <c r="AD264" i="1"/>
  <c r="AE264" i="1" s="1"/>
  <c r="AC264" i="1"/>
  <c r="Z264" i="1"/>
  <c r="AA264" i="1" s="1"/>
  <c r="Y264" i="1"/>
  <c r="V264" i="1"/>
  <c r="U264" i="1"/>
  <c r="R264" i="1"/>
  <c r="S264" i="1" s="1"/>
  <c r="Q264" i="1"/>
  <c r="O264" i="1"/>
  <c r="N264" i="1"/>
  <c r="M264" i="1"/>
  <c r="K264" i="1"/>
  <c r="J264" i="1"/>
  <c r="I264" i="1"/>
  <c r="G264" i="1"/>
  <c r="F264" i="1"/>
  <c r="E264" i="1"/>
  <c r="BN263" i="1"/>
  <c r="BL263" i="1"/>
  <c r="BJ263" i="1"/>
  <c r="BM263" i="1" s="1"/>
  <c r="BI263" i="1"/>
  <c r="BG263" i="1"/>
  <c r="BF263" i="1"/>
  <c r="BC263" i="1" s="1"/>
  <c r="BE263" i="1"/>
  <c r="BB263" i="1"/>
  <c r="BA263" i="1"/>
  <c r="AX263" i="1"/>
  <c r="AY263" i="1" s="1"/>
  <c r="AW263" i="1"/>
  <c r="AT263" i="1"/>
  <c r="AU263" i="1" s="1"/>
  <c r="AS263" i="1"/>
  <c r="AP263" i="1"/>
  <c r="AQ263" i="1" s="1"/>
  <c r="AO263" i="1"/>
  <c r="AL263" i="1"/>
  <c r="AM263" i="1" s="1"/>
  <c r="AK263" i="1"/>
  <c r="AH263" i="1"/>
  <c r="AG263" i="1"/>
  <c r="AE263" i="1"/>
  <c r="AD263" i="1"/>
  <c r="AC263" i="1"/>
  <c r="AA263" i="1"/>
  <c r="Z263" i="1"/>
  <c r="W263" i="1" s="1"/>
  <c r="Y263" i="1"/>
  <c r="V263" i="1"/>
  <c r="U263" i="1"/>
  <c r="R263" i="1"/>
  <c r="S263" i="1" s="1"/>
  <c r="Q263" i="1"/>
  <c r="N263" i="1"/>
  <c r="O263" i="1" s="1"/>
  <c r="M263" i="1"/>
  <c r="J263" i="1"/>
  <c r="K263" i="1" s="1"/>
  <c r="I263" i="1"/>
  <c r="F263" i="1"/>
  <c r="G263" i="1" s="1"/>
  <c r="E263" i="1"/>
  <c r="BN262" i="1"/>
  <c r="BL262" i="1"/>
  <c r="BJ262" i="1"/>
  <c r="BM262" i="1" s="1"/>
  <c r="BI262" i="1"/>
  <c r="BF262" i="1"/>
  <c r="BG262" i="1" s="1"/>
  <c r="BE262" i="1"/>
  <c r="BC262" i="1"/>
  <c r="BB262" i="1"/>
  <c r="BA262" i="1"/>
  <c r="AY262" i="1"/>
  <c r="AX262" i="1"/>
  <c r="AW262" i="1"/>
  <c r="AU262" i="1"/>
  <c r="AT262" i="1"/>
  <c r="AS262" i="1"/>
  <c r="AP262" i="1"/>
  <c r="AQ262" i="1" s="1"/>
  <c r="AO262" i="1"/>
  <c r="AL262" i="1"/>
  <c r="AM262" i="1" s="1"/>
  <c r="AK262" i="1"/>
  <c r="AH262" i="1"/>
  <c r="AI262" i="1" s="1"/>
  <c r="AG262" i="1"/>
  <c r="AD262" i="1"/>
  <c r="AC262" i="1"/>
  <c r="Z262" i="1"/>
  <c r="AA262" i="1" s="1"/>
  <c r="Y262" i="1"/>
  <c r="W262" i="1"/>
  <c r="V262" i="1"/>
  <c r="U262" i="1"/>
  <c r="S262" i="1"/>
  <c r="R262" i="1"/>
  <c r="Q262" i="1"/>
  <c r="O262" i="1"/>
  <c r="N262" i="1"/>
  <c r="M262" i="1"/>
  <c r="J262" i="1"/>
  <c r="K262" i="1" s="1"/>
  <c r="I262" i="1"/>
  <c r="F262" i="1"/>
  <c r="G262" i="1" s="1"/>
  <c r="E262" i="1"/>
  <c r="BN261" i="1"/>
  <c r="BM261" i="1"/>
  <c r="BL261" i="1"/>
  <c r="BJ261" i="1"/>
  <c r="BI261" i="1"/>
  <c r="BH261" i="1"/>
  <c r="BF261" i="1"/>
  <c r="BD261" i="1"/>
  <c r="BE261" i="1" s="1"/>
  <c r="BB261" i="1"/>
  <c r="BA261" i="1"/>
  <c r="AZ261" i="1"/>
  <c r="AX261" i="1"/>
  <c r="AV261" i="1"/>
  <c r="AW261" i="1" s="1"/>
  <c r="AT261" i="1"/>
  <c r="AS261" i="1"/>
  <c r="AR261" i="1"/>
  <c r="AP261" i="1"/>
  <c r="AN261" i="1"/>
  <c r="AO261" i="1" s="1"/>
  <c r="AL261" i="1"/>
  <c r="AK261" i="1"/>
  <c r="AJ261" i="1"/>
  <c r="AH261" i="1"/>
  <c r="AI261" i="1" s="1"/>
  <c r="AG261" i="1"/>
  <c r="AD261" i="1"/>
  <c r="AC261" i="1"/>
  <c r="AA261" i="1"/>
  <c r="Z261" i="1"/>
  <c r="Y261" i="1"/>
  <c r="W261" i="1"/>
  <c r="V261" i="1"/>
  <c r="U261" i="1"/>
  <c r="R261" i="1"/>
  <c r="S261" i="1" s="1"/>
  <c r="Q261" i="1"/>
  <c r="N261" i="1"/>
  <c r="O261" i="1" s="1"/>
  <c r="M261" i="1"/>
  <c r="J261" i="1"/>
  <c r="H261" i="1"/>
  <c r="I261" i="1" s="1"/>
  <c r="F261" i="1"/>
  <c r="D261" i="1"/>
  <c r="E261" i="1" s="1"/>
  <c r="BN260" i="1"/>
  <c r="BM260" i="1"/>
  <c r="BL260" i="1"/>
  <c r="BJ260" i="1"/>
  <c r="BI260" i="1"/>
  <c r="BH260" i="1"/>
  <c r="BF260" i="1"/>
  <c r="BD260" i="1"/>
  <c r="BE260" i="1" s="1"/>
  <c r="BB260" i="1"/>
  <c r="BA260" i="1"/>
  <c r="AZ260" i="1"/>
  <c r="AX260" i="1"/>
  <c r="AV260" i="1"/>
  <c r="AW260" i="1" s="1"/>
  <c r="AT260" i="1"/>
  <c r="AS260" i="1"/>
  <c r="AR260" i="1"/>
  <c r="AP260" i="1"/>
  <c r="AN260" i="1"/>
  <c r="AO260" i="1" s="1"/>
  <c r="AL260" i="1"/>
  <c r="AK260" i="1"/>
  <c r="AJ260" i="1"/>
  <c r="AH260" i="1"/>
  <c r="AI260" i="1" s="1"/>
  <c r="AG260" i="1"/>
  <c r="AD260" i="1"/>
  <c r="AC260" i="1"/>
  <c r="AA260" i="1"/>
  <c r="Z260" i="1"/>
  <c r="Y260" i="1"/>
  <c r="W260" i="1"/>
  <c r="V260" i="1"/>
  <c r="S260" i="1" s="1"/>
  <c r="U260" i="1"/>
  <c r="R260" i="1"/>
  <c r="Q260" i="1"/>
  <c r="N260" i="1"/>
  <c r="O260" i="1" s="1"/>
  <c r="M260" i="1"/>
  <c r="J260" i="1"/>
  <c r="I260" i="1"/>
  <c r="H260" i="1"/>
  <c r="F260" i="1"/>
  <c r="D260" i="1"/>
  <c r="E260" i="1" s="1"/>
  <c r="BN259" i="1"/>
  <c r="BM259" i="1"/>
  <c r="BL259" i="1"/>
  <c r="BJ259" i="1"/>
  <c r="BI259" i="1"/>
  <c r="BH259" i="1"/>
  <c r="BF259" i="1"/>
  <c r="BD259" i="1"/>
  <c r="BE259" i="1" s="1"/>
  <c r="BB259" i="1"/>
  <c r="BA259" i="1"/>
  <c r="AZ259" i="1"/>
  <c r="AX259" i="1"/>
  <c r="AV259" i="1"/>
  <c r="AW259" i="1" s="1"/>
  <c r="AT259" i="1"/>
  <c r="AS259" i="1"/>
  <c r="AR259" i="1"/>
  <c r="AP259" i="1"/>
  <c r="AN259" i="1"/>
  <c r="AO259" i="1" s="1"/>
  <c r="AL259" i="1"/>
  <c r="AK259" i="1"/>
  <c r="AJ259" i="1"/>
  <c r="AH259" i="1"/>
  <c r="AI259" i="1" s="1"/>
  <c r="AG259" i="1"/>
  <c r="AE259" i="1"/>
  <c r="AD259" i="1"/>
  <c r="AC259" i="1"/>
  <c r="AA259" i="1"/>
  <c r="Z259" i="1"/>
  <c r="Y259" i="1"/>
  <c r="W259" i="1"/>
  <c r="V259" i="1"/>
  <c r="U259" i="1"/>
  <c r="S259" i="1"/>
  <c r="R259" i="1"/>
  <c r="Q259" i="1"/>
  <c r="N259" i="1"/>
  <c r="O259" i="1" s="1"/>
  <c r="M259" i="1"/>
  <c r="J259" i="1"/>
  <c r="K259" i="1" s="1"/>
  <c r="I259" i="1"/>
  <c r="F259" i="1"/>
  <c r="G259" i="1" s="1"/>
  <c r="D259" i="1"/>
  <c r="E259" i="1" s="1"/>
  <c r="BN258" i="1"/>
  <c r="BL258" i="1"/>
  <c r="BJ258" i="1"/>
  <c r="BM258" i="1" s="1"/>
  <c r="BI258" i="1"/>
  <c r="BG258" i="1"/>
  <c r="BF258" i="1"/>
  <c r="BE258" i="1"/>
  <c r="BC258" i="1"/>
  <c r="BB258" i="1"/>
  <c r="BA258" i="1"/>
  <c r="AY258" i="1"/>
  <c r="AX258" i="1"/>
  <c r="AW258" i="1"/>
  <c r="AT258" i="1"/>
  <c r="AU258" i="1" s="1"/>
  <c r="AS258" i="1"/>
  <c r="AP258" i="1"/>
  <c r="AQ258" i="1" s="1"/>
  <c r="AO258" i="1"/>
  <c r="AL258" i="1"/>
  <c r="AM258" i="1" s="1"/>
  <c r="AK258" i="1"/>
  <c r="AH258" i="1"/>
  <c r="AI258" i="1" s="1"/>
  <c r="AG258" i="1"/>
  <c r="AD258" i="1"/>
  <c r="AC258" i="1"/>
  <c r="AA258" i="1"/>
  <c r="Z258" i="1"/>
  <c r="Y258" i="1"/>
  <c r="W258" i="1"/>
  <c r="V258" i="1"/>
  <c r="U258" i="1"/>
  <c r="R258" i="1"/>
  <c r="S258" i="1" s="1"/>
  <c r="Q258" i="1"/>
  <c r="N258" i="1"/>
  <c r="O258" i="1" s="1"/>
  <c r="M258" i="1"/>
  <c r="J258" i="1"/>
  <c r="K258" i="1" s="1"/>
  <c r="I258" i="1"/>
  <c r="F258" i="1"/>
  <c r="E258" i="1"/>
  <c r="BN257" i="1"/>
  <c r="BL257" i="1"/>
  <c r="BJ257" i="1"/>
  <c r="BM257" i="1" s="1"/>
  <c r="BI257" i="1"/>
  <c r="BF257" i="1"/>
  <c r="BG257" i="1" s="1"/>
  <c r="BE257" i="1"/>
  <c r="BB257" i="1"/>
  <c r="BC257" i="1" s="1"/>
  <c r="BA257" i="1"/>
  <c r="AX257" i="1"/>
  <c r="AW257" i="1"/>
  <c r="AU257" i="1"/>
  <c r="AT257" i="1"/>
  <c r="AS257" i="1"/>
  <c r="AQ257" i="1"/>
  <c r="AP257" i="1"/>
  <c r="AO257" i="1"/>
  <c r="AM257" i="1"/>
  <c r="AL257" i="1"/>
  <c r="AK257" i="1"/>
  <c r="AH257" i="1"/>
  <c r="AI257" i="1" s="1"/>
  <c r="AG257" i="1"/>
  <c r="AD257" i="1"/>
  <c r="AE257" i="1" s="1"/>
  <c r="AC257" i="1"/>
  <c r="Z257" i="1"/>
  <c r="Y257" i="1"/>
  <c r="V257" i="1"/>
  <c r="W257" i="1" s="1"/>
  <c r="U257" i="1"/>
  <c r="S257" i="1"/>
  <c r="R257" i="1"/>
  <c r="Q257" i="1"/>
  <c r="O257" i="1"/>
  <c r="N257" i="1"/>
  <c r="M257" i="1"/>
  <c r="K257" i="1"/>
  <c r="J257" i="1"/>
  <c r="I257" i="1"/>
  <c r="G257" i="1"/>
  <c r="F257" i="1"/>
  <c r="E257" i="1"/>
  <c r="BN256" i="1"/>
  <c r="BM256" i="1"/>
  <c r="BL256" i="1"/>
  <c r="BJ256" i="1"/>
  <c r="BI256" i="1"/>
  <c r="BG256" i="1"/>
  <c r="BF256" i="1"/>
  <c r="BE256" i="1"/>
  <c r="BB256" i="1"/>
  <c r="BC256" i="1" s="1"/>
  <c r="BA256" i="1"/>
  <c r="AX256" i="1"/>
  <c r="AY256" i="1" s="1"/>
  <c r="AW256" i="1"/>
  <c r="AT256" i="1"/>
  <c r="AU256" i="1" s="1"/>
  <c r="AS256" i="1"/>
  <c r="AP256" i="1"/>
  <c r="AQ256" i="1" s="1"/>
  <c r="AO256" i="1"/>
  <c r="AL256" i="1"/>
  <c r="AK256" i="1"/>
  <c r="AI256" i="1"/>
  <c r="AH256" i="1"/>
  <c r="AG256" i="1"/>
  <c r="AE256" i="1"/>
  <c r="AD256" i="1"/>
  <c r="AC256" i="1"/>
  <c r="AA256" i="1"/>
  <c r="Z256" i="1"/>
  <c r="Y256" i="1"/>
  <c r="V256" i="1"/>
  <c r="W256" i="1" s="1"/>
  <c r="U256" i="1"/>
  <c r="R256" i="1"/>
  <c r="S256" i="1" s="1"/>
  <c r="Q256" i="1"/>
  <c r="N256" i="1"/>
  <c r="M256" i="1"/>
  <c r="J256" i="1"/>
  <c r="K256" i="1" s="1"/>
  <c r="I256" i="1"/>
  <c r="G256" i="1"/>
  <c r="F256" i="1"/>
  <c r="E256" i="1"/>
  <c r="BN255" i="1"/>
  <c r="BL255" i="1"/>
  <c r="BJ255" i="1"/>
  <c r="BM255" i="1" s="1"/>
  <c r="BI255" i="1"/>
  <c r="BG255" i="1"/>
  <c r="BF255" i="1"/>
  <c r="BE255" i="1"/>
  <c r="BC255" i="1"/>
  <c r="BB255" i="1"/>
  <c r="BA255" i="1"/>
  <c r="AY255" i="1"/>
  <c r="AX255" i="1"/>
  <c r="AW255" i="1"/>
  <c r="AT255" i="1"/>
  <c r="AU255" i="1" s="1"/>
  <c r="AS255" i="1"/>
  <c r="AP255" i="1"/>
  <c r="AQ255" i="1" s="1"/>
  <c r="AO255" i="1"/>
  <c r="AL255" i="1"/>
  <c r="AM255" i="1" s="1"/>
  <c r="AK255" i="1"/>
  <c r="AH255" i="1"/>
  <c r="AI255" i="1" s="1"/>
  <c r="AG255" i="1"/>
  <c r="AD255" i="1"/>
  <c r="AE255" i="1" s="1"/>
  <c r="AC255" i="1"/>
  <c r="Z255" i="1"/>
  <c r="Y255" i="1"/>
  <c r="W255" i="1"/>
  <c r="V255" i="1"/>
  <c r="U255" i="1"/>
  <c r="S255" i="1"/>
  <c r="R255" i="1"/>
  <c r="Q255" i="1"/>
  <c r="N255" i="1"/>
  <c r="O255" i="1" s="1"/>
  <c r="M255" i="1"/>
  <c r="J255" i="1"/>
  <c r="K255" i="1" s="1"/>
  <c r="I255" i="1"/>
  <c r="F255" i="1"/>
  <c r="G255" i="1" s="1"/>
  <c r="E255" i="1"/>
  <c r="BN254" i="1"/>
  <c r="BM254" i="1"/>
  <c r="BL254" i="1"/>
  <c r="BJ254" i="1"/>
  <c r="BI254" i="1"/>
  <c r="BF254" i="1"/>
  <c r="BG254" i="1" s="1"/>
  <c r="BE254" i="1"/>
  <c r="BB254" i="1"/>
  <c r="BC254" i="1" s="1"/>
  <c r="BA254" i="1"/>
  <c r="AX254" i="1"/>
  <c r="AY254" i="1" s="1"/>
  <c r="AW254" i="1"/>
  <c r="AT254" i="1"/>
  <c r="AS254" i="1"/>
  <c r="AQ254" i="1"/>
  <c r="AP254" i="1"/>
  <c r="AO254" i="1"/>
  <c r="AM254" i="1"/>
  <c r="AL254" i="1"/>
  <c r="AK254" i="1"/>
  <c r="AI254" i="1"/>
  <c r="AH254" i="1"/>
  <c r="AG254" i="1"/>
  <c r="AE254" i="1"/>
  <c r="AD254" i="1"/>
  <c r="AC254" i="1"/>
  <c r="Z254" i="1"/>
  <c r="AA254" i="1" s="1"/>
  <c r="Y254" i="1"/>
  <c r="V254" i="1"/>
  <c r="U254" i="1"/>
  <c r="R254" i="1"/>
  <c r="S254" i="1" s="1"/>
  <c r="Q254" i="1"/>
  <c r="N254" i="1"/>
  <c r="M254" i="1"/>
  <c r="K254" i="1"/>
  <c r="J254" i="1"/>
  <c r="I254" i="1"/>
  <c r="G254" i="1"/>
  <c r="F254" i="1"/>
  <c r="E254" i="1"/>
  <c r="BN253" i="1"/>
  <c r="BL253" i="1"/>
  <c r="BJ253" i="1"/>
  <c r="BM253" i="1" s="1"/>
  <c r="BI253" i="1"/>
  <c r="BG253" i="1"/>
  <c r="BF253" i="1"/>
  <c r="BE253" i="1"/>
  <c r="BC253" i="1"/>
  <c r="BB253" i="1"/>
  <c r="BA253" i="1"/>
  <c r="AY253" i="1"/>
  <c r="AX253" i="1"/>
  <c r="AW253" i="1"/>
  <c r="AT253" i="1"/>
  <c r="AU253" i="1" s="1"/>
  <c r="AS253" i="1"/>
  <c r="AP253" i="1"/>
  <c r="AO253" i="1"/>
  <c r="AL253" i="1"/>
  <c r="AM253" i="1" s="1"/>
  <c r="AK253" i="1"/>
  <c r="AH253" i="1"/>
  <c r="AG253" i="1"/>
  <c r="AE253" i="1"/>
  <c r="AD253" i="1"/>
  <c r="AC253" i="1"/>
  <c r="AA253" i="1"/>
  <c r="Z253" i="1"/>
  <c r="Y253" i="1"/>
  <c r="W253" i="1"/>
  <c r="V253" i="1"/>
  <c r="U253" i="1"/>
  <c r="S253" i="1"/>
  <c r="R253" i="1"/>
  <c r="Q253" i="1"/>
  <c r="N253" i="1"/>
  <c r="O253" i="1" s="1"/>
  <c r="M253" i="1"/>
  <c r="J253" i="1"/>
  <c r="K253" i="1" s="1"/>
  <c r="I253" i="1"/>
  <c r="F253" i="1"/>
  <c r="G253" i="1" s="1"/>
  <c r="E253" i="1"/>
  <c r="BN252" i="1"/>
  <c r="BL252" i="1"/>
  <c r="BJ252" i="1"/>
  <c r="BI252" i="1"/>
  <c r="BF252" i="1"/>
  <c r="BG252" i="1" s="1"/>
  <c r="BE252" i="1"/>
  <c r="BC252" i="1"/>
  <c r="BB252" i="1"/>
  <c r="BA252" i="1"/>
  <c r="AY252" i="1"/>
  <c r="AX252" i="1"/>
  <c r="AW252" i="1"/>
  <c r="AU252" i="1"/>
  <c r="AT252" i="1"/>
  <c r="AS252" i="1"/>
  <c r="AQ252" i="1"/>
  <c r="AP252" i="1"/>
  <c r="AO252" i="1"/>
  <c r="AM252" i="1"/>
  <c r="AL252" i="1"/>
  <c r="AK252" i="1"/>
  <c r="AH252" i="1"/>
  <c r="AI252" i="1" s="1"/>
  <c r="AG252" i="1"/>
  <c r="AD252" i="1"/>
  <c r="AC252" i="1"/>
  <c r="Z252" i="1"/>
  <c r="AA252" i="1" s="1"/>
  <c r="Y252" i="1"/>
  <c r="V252" i="1"/>
  <c r="U252" i="1"/>
  <c r="S252" i="1"/>
  <c r="R252" i="1"/>
  <c r="Q252" i="1"/>
  <c r="O252" i="1"/>
  <c r="N252" i="1"/>
  <c r="M252" i="1"/>
  <c r="K252" i="1"/>
  <c r="J252" i="1"/>
  <c r="I252" i="1"/>
  <c r="G252" i="1"/>
  <c r="F252" i="1"/>
  <c r="E252" i="1"/>
  <c r="BN251" i="1"/>
  <c r="BM251" i="1"/>
  <c r="BL251" i="1"/>
  <c r="BJ251" i="1"/>
  <c r="BI251" i="1"/>
  <c r="BG251" i="1"/>
  <c r="BF251" i="1"/>
  <c r="BE251" i="1"/>
  <c r="BB251" i="1"/>
  <c r="BC251" i="1" s="1"/>
  <c r="BA251" i="1"/>
  <c r="AX251" i="1"/>
  <c r="AY251" i="1" s="1"/>
  <c r="AW251" i="1"/>
  <c r="AT251" i="1"/>
  <c r="AU251" i="1" s="1"/>
  <c r="AS251" i="1"/>
  <c r="AP251" i="1"/>
  <c r="AO251" i="1"/>
  <c r="AM251" i="1"/>
  <c r="AL251" i="1"/>
  <c r="AK251" i="1"/>
  <c r="AI251" i="1"/>
  <c r="AH251" i="1"/>
  <c r="AG251" i="1"/>
  <c r="AE251" i="1"/>
  <c r="AD251" i="1"/>
  <c r="AC251" i="1"/>
  <c r="AA251" i="1"/>
  <c r="Z251" i="1"/>
  <c r="Y251" i="1"/>
  <c r="V251" i="1"/>
  <c r="W251" i="1" s="1"/>
  <c r="U251" i="1"/>
  <c r="R251" i="1"/>
  <c r="S251" i="1" s="1"/>
  <c r="Q251" i="1"/>
  <c r="N251" i="1"/>
  <c r="O251" i="1" s="1"/>
  <c r="M251" i="1"/>
  <c r="K251" i="1"/>
  <c r="J251" i="1"/>
  <c r="I251" i="1"/>
  <c r="G251" i="1"/>
  <c r="F251" i="1"/>
  <c r="E251" i="1"/>
  <c r="BN250" i="1"/>
  <c r="BM250" i="1" s="1"/>
  <c r="BL250" i="1"/>
  <c r="BJ250" i="1"/>
  <c r="BI250" i="1"/>
  <c r="BG250" i="1"/>
  <c r="BF250" i="1"/>
  <c r="BE250" i="1"/>
  <c r="BC250" i="1"/>
  <c r="BB250" i="1"/>
  <c r="BA250" i="1"/>
  <c r="AX250" i="1"/>
  <c r="AY250" i="1" s="1"/>
  <c r="AW250" i="1"/>
  <c r="AT250" i="1"/>
  <c r="AU250" i="1" s="1"/>
  <c r="AS250" i="1"/>
  <c r="AP250" i="1"/>
  <c r="AQ250" i="1" s="1"/>
  <c r="AO250" i="1"/>
  <c r="AL250" i="1"/>
  <c r="AK250" i="1"/>
  <c r="AH250" i="1"/>
  <c r="AI250" i="1" s="1"/>
  <c r="AG250" i="1"/>
  <c r="AD250" i="1"/>
  <c r="AC250" i="1"/>
  <c r="AA250" i="1"/>
  <c r="Z250" i="1"/>
  <c r="Y250" i="1"/>
  <c r="W250" i="1"/>
  <c r="V250" i="1"/>
  <c r="U250" i="1"/>
  <c r="R250" i="1"/>
  <c r="S250" i="1" s="1"/>
  <c r="Q250" i="1"/>
  <c r="N250" i="1"/>
  <c r="O250" i="1" s="1"/>
  <c r="M250" i="1"/>
  <c r="J250" i="1"/>
  <c r="K250" i="1" s="1"/>
  <c r="I250" i="1"/>
  <c r="F250" i="1"/>
  <c r="G250" i="1" s="1"/>
  <c r="E250" i="1"/>
  <c r="BN249" i="1"/>
  <c r="BM249" i="1"/>
  <c r="BK249" i="1"/>
  <c r="BL249" i="1" s="1"/>
  <c r="BJ249" i="1"/>
  <c r="BI249" i="1"/>
  <c r="BG249" i="1"/>
  <c r="BF249" i="1"/>
  <c r="BD249" i="1"/>
  <c r="BE249" i="1" s="1"/>
  <c r="BB249" i="1"/>
  <c r="AZ249" i="1"/>
  <c r="BA249" i="1" s="1"/>
  <c r="AX249" i="1"/>
  <c r="AV249" i="1"/>
  <c r="AW249" i="1" s="1"/>
  <c r="AT249" i="1"/>
  <c r="AU249" i="1" s="1"/>
  <c r="AS249" i="1"/>
  <c r="AP249" i="1"/>
  <c r="AQ249" i="1" s="1"/>
  <c r="AO249" i="1"/>
  <c r="AL249" i="1"/>
  <c r="AM249" i="1" s="1"/>
  <c r="AK249" i="1"/>
  <c r="AH249" i="1"/>
  <c r="AG249" i="1"/>
  <c r="AE249" i="1"/>
  <c r="AD249" i="1"/>
  <c r="AC249" i="1"/>
  <c r="AA249" i="1"/>
  <c r="Z249" i="1"/>
  <c r="Y249" i="1"/>
  <c r="W249" i="1"/>
  <c r="V249" i="1"/>
  <c r="U249" i="1"/>
  <c r="R249" i="1"/>
  <c r="S249" i="1" s="1"/>
  <c r="Q249" i="1"/>
  <c r="N249" i="1"/>
  <c r="O249" i="1" s="1"/>
  <c r="M249" i="1"/>
  <c r="J249" i="1"/>
  <c r="I249" i="1"/>
  <c r="F249" i="1"/>
  <c r="G249" i="1" s="1"/>
  <c r="E249" i="1"/>
  <c r="BN248" i="1"/>
  <c r="BM248" i="1" s="1"/>
  <c r="BK248" i="1"/>
  <c r="BL248" i="1" s="1"/>
  <c r="BJ248" i="1"/>
  <c r="BI248" i="1"/>
  <c r="BG248" i="1"/>
  <c r="BF248" i="1"/>
  <c r="BE248" i="1"/>
  <c r="BD248" i="1"/>
  <c r="BB248" i="1"/>
  <c r="BC248" i="1" s="1"/>
  <c r="AZ248" i="1"/>
  <c r="BA248" i="1" s="1"/>
  <c r="AY248" i="1"/>
  <c r="AX248" i="1"/>
  <c r="AW248" i="1"/>
  <c r="AV248" i="1"/>
  <c r="AT248" i="1"/>
  <c r="AU248" i="1" s="1"/>
  <c r="AS248" i="1"/>
  <c r="AP248" i="1"/>
  <c r="AQ248" i="1" s="1"/>
  <c r="AO248" i="1"/>
  <c r="AL248" i="1"/>
  <c r="AK248" i="1"/>
  <c r="AI248" i="1"/>
  <c r="AH248" i="1"/>
  <c r="AG248" i="1"/>
  <c r="AE248" i="1"/>
  <c r="AD248" i="1"/>
  <c r="AC248" i="1"/>
  <c r="Z248" i="1"/>
  <c r="AA248" i="1" s="1"/>
  <c r="Y248" i="1"/>
  <c r="W248" i="1"/>
  <c r="V248" i="1"/>
  <c r="U248" i="1"/>
  <c r="R248" i="1"/>
  <c r="S248" i="1" s="1"/>
  <c r="Q248" i="1"/>
  <c r="N248" i="1"/>
  <c r="M248" i="1"/>
  <c r="J248" i="1"/>
  <c r="K248" i="1" s="1"/>
  <c r="I248" i="1"/>
  <c r="G248" i="1"/>
  <c r="F248" i="1"/>
  <c r="E248" i="1"/>
  <c r="BN247" i="1"/>
  <c r="BM247" i="1" s="1"/>
  <c r="BK247" i="1"/>
  <c r="BL247" i="1" s="1"/>
  <c r="BJ247" i="1"/>
  <c r="BI247" i="1"/>
  <c r="BF247" i="1"/>
  <c r="BG247" i="1" s="1"/>
  <c r="BE247" i="1"/>
  <c r="BD247" i="1"/>
  <c r="BB247" i="1"/>
  <c r="BC247" i="1" s="1"/>
  <c r="AZ247" i="1"/>
  <c r="BA247" i="1" s="1"/>
  <c r="AX247" i="1"/>
  <c r="AW247" i="1"/>
  <c r="AV247" i="1"/>
  <c r="AT247" i="1"/>
  <c r="AU247" i="1" s="1"/>
  <c r="AR247" i="1"/>
  <c r="AS247" i="1" s="1"/>
  <c r="AP247" i="1"/>
  <c r="AO247" i="1"/>
  <c r="AN247" i="1"/>
  <c r="AL247" i="1"/>
  <c r="AM247" i="1" s="1"/>
  <c r="AJ247" i="1"/>
  <c r="AK247" i="1" s="1"/>
  <c r="AH247" i="1"/>
  <c r="AG247" i="1"/>
  <c r="AE247" i="1"/>
  <c r="AD247" i="1"/>
  <c r="AC247" i="1"/>
  <c r="Z247" i="1"/>
  <c r="AA247" i="1" s="1"/>
  <c r="Y247" i="1"/>
  <c r="V247" i="1"/>
  <c r="W247" i="1" s="1"/>
  <c r="U247" i="1"/>
  <c r="R247" i="1"/>
  <c r="S247" i="1" s="1"/>
  <c r="Q247" i="1"/>
  <c r="N247" i="1"/>
  <c r="M247" i="1"/>
  <c r="K247" i="1"/>
  <c r="J247" i="1"/>
  <c r="I247" i="1"/>
  <c r="G247" i="1"/>
  <c r="F247" i="1"/>
  <c r="E247" i="1"/>
  <c r="BN246" i="1"/>
  <c r="BL246" i="1"/>
  <c r="BJ246" i="1"/>
  <c r="BM246" i="1" s="1"/>
  <c r="BI246" i="1"/>
  <c r="BG246" i="1"/>
  <c r="BF246" i="1"/>
  <c r="BE246" i="1"/>
  <c r="BB246" i="1"/>
  <c r="BC246" i="1" s="1"/>
  <c r="BA246" i="1"/>
  <c r="AX246" i="1"/>
  <c r="AY246" i="1" s="1"/>
  <c r="AW246" i="1"/>
  <c r="AT246" i="1"/>
  <c r="AU246" i="1" s="1"/>
  <c r="AS246" i="1"/>
  <c r="AP246" i="1"/>
  <c r="AO246" i="1"/>
  <c r="AL246" i="1"/>
  <c r="AM246" i="1" s="1"/>
  <c r="AK246" i="1"/>
  <c r="AI246" i="1"/>
  <c r="AH246" i="1"/>
  <c r="AG246" i="1"/>
  <c r="AE246" i="1"/>
  <c r="AD246" i="1"/>
  <c r="AC246" i="1"/>
  <c r="AA246" i="1"/>
  <c r="Z246" i="1"/>
  <c r="Y246" i="1"/>
  <c r="V246" i="1"/>
  <c r="W246" i="1" s="1"/>
  <c r="U246" i="1"/>
  <c r="S246" i="1"/>
  <c r="R246" i="1"/>
  <c r="Q246" i="1"/>
  <c r="N246" i="1"/>
  <c r="O246" i="1" s="1"/>
  <c r="M246" i="1"/>
  <c r="J246" i="1"/>
  <c r="K246" i="1" s="1"/>
  <c r="I246" i="1"/>
  <c r="F246" i="1"/>
  <c r="G246" i="1" s="1"/>
  <c r="E246" i="1"/>
  <c r="BN245" i="1"/>
  <c r="BL245" i="1"/>
  <c r="BJ245" i="1"/>
  <c r="BM245" i="1" s="1"/>
  <c r="BI245" i="1"/>
  <c r="BF245" i="1"/>
  <c r="BG245" i="1" s="1"/>
  <c r="BE245" i="1"/>
  <c r="BB245" i="1"/>
  <c r="BA245" i="1"/>
  <c r="AY245" i="1"/>
  <c r="AX245" i="1"/>
  <c r="AW245" i="1"/>
  <c r="AU245" i="1"/>
  <c r="AT245" i="1"/>
  <c r="AS245" i="1"/>
  <c r="AP245" i="1"/>
  <c r="AQ245" i="1" s="1"/>
  <c r="AO245" i="1"/>
  <c r="AM245" i="1"/>
  <c r="AL245" i="1"/>
  <c r="AK245" i="1"/>
  <c r="AH245" i="1"/>
  <c r="AI245" i="1" s="1"/>
  <c r="AG245" i="1"/>
  <c r="AD245" i="1"/>
  <c r="AE245" i="1" s="1"/>
  <c r="AC245" i="1"/>
  <c r="Z245" i="1"/>
  <c r="AA245" i="1" s="1"/>
  <c r="Y245" i="1"/>
  <c r="W245" i="1"/>
  <c r="V245" i="1"/>
  <c r="U245" i="1"/>
  <c r="S245" i="1"/>
  <c r="R245" i="1"/>
  <c r="Q245" i="1"/>
  <c r="O245" i="1"/>
  <c r="N245" i="1"/>
  <c r="M245" i="1"/>
  <c r="J245" i="1"/>
  <c r="K245" i="1" s="1"/>
  <c r="I245" i="1"/>
  <c r="G245" i="1"/>
  <c r="F245" i="1"/>
  <c r="E245" i="1"/>
  <c r="BN244" i="1"/>
  <c r="BM244" i="1"/>
  <c r="BL244" i="1"/>
  <c r="BJ244" i="1"/>
  <c r="BI244" i="1"/>
  <c r="BG244" i="1"/>
  <c r="BF244" i="1"/>
  <c r="BE244" i="1"/>
  <c r="BB244" i="1"/>
  <c r="BC244" i="1" s="1"/>
  <c r="BA244" i="1"/>
  <c r="AX244" i="1"/>
  <c r="AY244" i="1" s="1"/>
  <c r="AW244" i="1"/>
  <c r="AT244" i="1"/>
  <c r="AU244" i="1" s="1"/>
  <c r="AS244" i="1"/>
  <c r="AQ244" i="1"/>
  <c r="AP244" i="1"/>
  <c r="AO244" i="1"/>
  <c r="AM244" i="1"/>
  <c r="AL244" i="1"/>
  <c r="AK244" i="1"/>
  <c r="AI244" i="1"/>
  <c r="AH244" i="1"/>
  <c r="AG244" i="1"/>
  <c r="AD244" i="1"/>
  <c r="AE244" i="1" s="1"/>
  <c r="AC244" i="1"/>
  <c r="AA244" i="1"/>
  <c r="Z244" i="1"/>
  <c r="Y244" i="1"/>
  <c r="V244" i="1"/>
  <c r="W244" i="1" s="1"/>
  <c r="U244" i="1"/>
  <c r="R244" i="1"/>
  <c r="S244" i="1" s="1"/>
  <c r="Q244" i="1"/>
  <c r="N244" i="1"/>
  <c r="O244" i="1" s="1"/>
  <c r="M244" i="1"/>
  <c r="K244" i="1"/>
  <c r="J244" i="1"/>
  <c r="I244" i="1"/>
  <c r="G244" i="1"/>
  <c r="F244" i="1"/>
  <c r="E244" i="1"/>
  <c r="BN243" i="1"/>
  <c r="BM243" i="1" s="1"/>
  <c r="BL243" i="1"/>
  <c r="BJ243" i="1"/>
  <c r="BI243" i="1"/>
  <c r="BG243" i="1"/>
  <c r="BF243" i="1"/>
  <c r="BE243" i="1"/>
  <c r="BC243" i="1"/>
  <c r="BB243" i="1"/>
  <c r="BA243" i="1"/>
  <c r="AX243" i="1"/>
  <c r="AY243" i="1" s="1"/>
  <c r="AW243" i="1"/>
  <c r="AU243" i="1"/>
  <c r="AT243" i="1"/>
  <c r="AS243" i="1"/>
  <c r="AP243" i="1"/>
  <c r="AQ243" i="1" s="1"/>
  <c r="AO243" i="1"/>
  <c r="AL243" i="1"/>
  <c r="AM243" i="1" s="1"/>
  <c r="AK243" i="1"/>
  <c r="AH243" i="1"/>
  <c r="AI243" i="1" s="1"/>
  <c r="AG243" i="1"/>
  <c r="AD243" i="1"/>
  <c r="AC243" i="1"/>
  <c r="AA243" i="1"/>
  <c r="Z243" i="1"/>
  <c r="Y243" i="1"/>
  <c r="W243" i="1"/>
  <c r="V243" i="1"/>
  <c r="U243" i="1"/>
  <c r="R243" i="1"/>
  <c r="S243" i="1" s="1"/>
  <c r="Q243" i="1"/>
  <c r="O243" i="1"/>
  <c r="N243" i="1"/>
  <c r="M243" i="1"/>
  <c r="J243" i="1"/>
  <c r="K243" i="1" s="1"/>
  <c r="I243" i="1"/>
  <c r="F243" i="1"/>
  <c r="E243" i="1"/>
  <c r="BN242" i="1"/>
  <c r="BL242" i="1"/>
  <c r="BJ242" i="1"/>
  <c r="BM242" i="1" s="1"/>
  <c r="BI242" i="1"/>
  <c r="BF242" i="1"/>
  <c r="BG242" i="1" s="1"/>
  <c r="BE242" i="1"/>
  <c r="BB242" i="1"/>
  <c r="BC242" i="1" s="1"/>
  <c r="BA242" i="1"/>
  <c r="AX242" i="1"/>
  <c r="AW242" i="1"/>
  <c r="AU242" i="1"/>
  <c r="AT242" i="1"/>
  <c r="AS242" i="1"/>
  <c r="AQ242" i="1"/>
  <c r="AP242" i="1"/>
  <c r="AO242" i="1"/>
  <c r="AL242" i="1"/>
  <c r="AM242" i="1" s="1"/>
  <c r="AK242" i="1"/>
  <c r="AH242" i="1"/>
  <c r="AI242" i="1" s="1"/>
  <c r="AG242" i="1"/>
  <c r="AD242" i="1"/>
  <c r="AE242" i="1" s="1"/>
  <c r="AC242" i="1"/>
  <c r="Z242" i="1"/>
  <c r="Y242" i="1"/>
  <c r="V242" i="1"/>
  <c r="W242" i="1" s="1"/>
  <c r="U242" i="1"/>
  <c r="S242" i="1"/>
  <c r="R242" i="1"/>
  <c r="Q242" i="1"/>
  <c r="O242" i="1"/>
  <c r="N242" i="1"/>
  <c r="M242" i="1"/>
  <c r="K242" i="1"/>
  <c r="J242" i="1"/>
  <c r="I242" i="1"/>
  <c r="F242" i="1"/>
  <c r="G242" i="1" s="1"/>
  <c r="E242" i="1"/>
  <c r="BN241" i="1"/>
  <c r="BM241" i="1"/>
  <c r="BL241" i="1"/>
  <c r="BJ241" i="1"/>
  <c r="BI241" i="1"/>
  <c r="BF241" i="1"/>
  <c r="BG241" i="1" s="1"/>
  <c r="BE241" i="1"/>
  <c r="BB241" i="1"/>
  <c r="BC241" i="1" s="1"/>
  <c r="BA241" i="1"/>
  <c r="AX241" i="1"/>
  <c r="AY241" i="1" s="1"/>
  <c r="AW241" i="1"/>
  <c r="AT241" i="1"/>
  <c r="AU241" i="1" s="1"/>
  <c r="AS241" i="1"/>
  <c r="AP241" i="1"/>
  <c r="AQ241" i="1" s="1"/>
  <c r="AO241" i="1"/>
  <c r="AL241" i="1"/>
  <c r="AK241" i="1"/>
  <c r="AI241" i="1"/>
  <c r="AH241" i="1"/>
  <c r="AG241" i="1"/>
  <c r="AE241" i="1"/>
  <c r="AD241" i="1"/>
  <c r="AC241" i="1"/>
  <c r="Z241" i="1"/>
  <c r="AA241" i="1" s="1"/>
  <c r="Y241" i="1"/>
  <c r="V241" i="1"/>
  <c r="W241" i="1" s="1"/>
  <c r="U241" i="1"/>
  <c r="T241" i="1"/>
  <c r="S241" i="1"/>
  <c r="R241" i="1"/>
  <c r="P241" i="1"/>
  <c r="Q241" i="1" s="1"/>
  <c r="N241" i="1"/>
  <c r="O241" i="1" s="1"/>
  <c r="M241" i="1"/>
  <c r="L241" i="1"/>
  <c r="K241" i="1"/>
  <c r="J241" i="1"/>
  <c r="H241" i="1"/>
  <c r="I241" i="1" s="1"/>
  <c r="F241" i="1"/>
  <c r="G241" i="1" s="1"/>
  <c r="E241" i="1"/>
  <c r="D241" i="1"/>
  <c r="BN240" i="1"/>
  <c r="BL240" i="1"/>
  <c r="BJ240" i="1"/>
  <c r="BM240" i="1" s="1"/>
  <c r="BI240" i="1"/>
  <c r="BF240" i="1"/>
  <c r="BG240" i="1" s="1"/>
  <c r="BE240" i="1"/>
  <c r="BB240" i="1"/>
  <c r="BA240" i="1"/>
  <c r="AY240" i="1"/>
  <c r="AX240" i="1"/>
  <c r="AW240" i="1"/>
  <c r="AU240" i="1"/>
  <c r="AT240" i="1"/>
  <c r="AS240" i="1"/>
  <c r="AP240" i="1"/>
  <c r="AQ240" i="1" s="1"/>
  <c r="AO240" i="1"/>
  <c r="AL240" i="1"/>
  <c r="AM240" i="1" s="1"/>
  <c r="AK240" i="1"/>
  <c r="AH240" i="1"/>
  <c r="AI240" i="1" s="1"/>
  <c r="AG240" i="1"/>
  <c r="AD240" i="1"/>
  <c r="AE240" i="1" s="1"/>
  <c r="AC240" i="1"/>
  <c r="Z240" i="1"/>
  <c r="AA240" i="1" s="1"/>
  <c r="Y240" i="1"/>
  <c r="V240" i="1"/>
  <c r="T240" i="1"/>
  <c r="U240" i="1" s="1"/>
  <c r="S240" i="1"/>
  <c r="R240" i="1"/>
  <c r="Q240" i="1"/>
  <c r="P240" i="1"/>
  <c r="O240" i="1"/>
  <c r="N240" i="1"/>
  <c r="L240" i="1"/>
  <c r="M240" i="1" s="1"/>
  <c r="K240" i="1"/>
  <c r="J240" i="1"/>
  <c r="I240" i="1"/>
  <c r="H240" i="1"/>
  <c r="G240" i="1"/>
  <c r="F240" i="1"/>
  <c r="D240" i="1"/>
  <c r="E240" i="1" s="1"/>
  <c r="BN239" i="1"/>
  <c r="BM239" i="1" s="1"/>
  <c r="BL239" i="1"/>
  <c r="BJ239" i="1"/>
  <c r="BI239" i="1"/>
  <c r="BF239" i="1"/>
  <c r="BG239" i="1" s="1"/>
  <c r="BE239" i="1"/>
  <c r="BC239" i="1"/>
  <c r="BB239" i="1"/>
  <c r="BA239" i="1"/>
  <c r="AX239" i="1"/>
  <c r="AY239" i="1" s="1"/>
  <c r="AW239" i="1"/>
  <c r="AT239" i="1"/>
  <c r="AU239" i="1" s="1"/>
  <c r="AS239" i="1"/>
  <c r="AP239" i="1"/>
  <c r="AQ239" i="1" s="1"/>
  <c r="AO239" i="1"/>
  <c r="AL239" i="1"/>
  <c r="AK239" i="1"/>
  <c r="AI239" i="1"/>
  <c r="AH239" i="1"/>
  <c r="AG239" i="1"/>
  <c r="AE239" i="1"/>
  <c r="AD239" i="1"/>
  <c r="AC239" i="1"/>
  <c r="Z239" i="1"/>
  <c r="AA239" i="1" s="1"/>
  <c r="Y239" i="1"/>
  <c r="W239" i="1"/>
  <c r="V239" i="1"/>
  <c r="U239" i="1"/>
  <c r="T239" i="1"/>
  <c r="S239" i="1"/>
  <c r="R239" i="1"/>
  <c r="P239" i="1"/>
  <c r="Q239" i="1" s="1"/>
  <c r="O239" i="1"/>
  <c r="N239" i="1"/>
  <c r="M239" i="1"/>
  <c r="L239" i="1"/>
  <c r="K239" i="1"/>
  <c r="J239" i="1"/>
  <c r="H239" i="1"/>
  <c r="I239" i="1" s="1"/>
  <c r="G239" i="1"/>
  <c r="F239" i="1"/>
  <c r="E239" i="1"/>
  <c r="D239" i="1"/>
  <c r="BN238" i="1"/>
  <c r="BL238" i="1"/>
  <c r="BJ238" i="1"/>
  <c r="BI238" i="1"/>
  <c r="BF238" i="1"/>
  <c r="BG238" i="1" s="1"/>
  <c r="BE238" i="1"/>
  <c r="BC238" i="1"/>
  <c r="BB238" i="1"/>
  <c r="BA238" i="1"/>
  <c r="AX238" i="1"/>
  <c r="AY238" i="1" s="1"/>
  <c r="AW238" i="1"/>
  <c r="AU238" i="1"/>
  <c r="AT238" i="1"/>
  <c r="AS238" i="1"/>
  <c r="AP238" i="1"/>
  <c r="AQ238" i="1" s="1"/>
  <c r="AO238" i="1"/>
  <c r="AL238" i="1"/>
  <c r="AM238" i="1" s="1"/>
  <c r="AK238" i="1"/>
  <c r="AH238" i="1"/>
  <c r="AI238" i="1" s="1"/>
  <c r="AG238" i="1"/>
  <c r="AD238" i="1"/>
  <c r="AE238" i="1" s="1"/>
  <c r="AC238" i="1"/>
  <c r="Z238" i="1"/>
  <c r="AA238" i="1" s="1"/>
  <c r="Y238" i="1"/>
  <c r="V238" i="1"/>
  <c r="U238" i="1"/>
  <c r="R238" i="1"/>
  <c r="S238" i="1" s="1"/>
  <c r="Q238" i="1"/>
  <c r="O238" i="1"/>
  <c r="N238" i="1"/>
  <c r="M238" i="1"/>
  <c r="J238" i="1"/>
  <c r="K238" i="1" s="1"/>
  <c r="I238" i="1"/>
  <c r="F238" i="1"/>
  <c r="G238" i="1" s="1"/>
  <c r="E238" i="1"/>
  <c r="BN237" i="1"/>
  <c r="BM237" i="1"/>
  <c r="BL237" i="1"/>
  <c r="BJ237" i="1"/>
  <c r="BI237" i="1"/>
  <c r="BF237" i="1"/>
  <c r="BG237" i="1" s="1"/>
  <c r="BE237" i="1"/>
  <c r="BB237" i="1"/>
  <c r="BC237" i="1" s="1"/>
  <c r="BA237" i="1"/>
  <c r="AX237" i="1"/>
  <c r="AW237" i="1"/>
  <c r="AT237" i="1"/>
  <c r="AU237" i="1" s="1"/>
  <c r="AS237" i="1"/>
  <c r="AQ237" i="1"/>
  <c r="AP237" i="1"/>
  <c r="AO237" i="1"/>
  <c r="AM237" i="1"/>
  <c r="AL237" i="1"/>
  <c r="AK237" i="1"/>
  <c r="AI237" i="1"/>
  <c r="AH237" i="1"/>
  <c r="AG237" i="1"/>
  <c r="AD237" i="1"/>
  <c r="AE237" i="1" s="1"/>
  <c r="AC237" i="1"/>
  <c r="Z237" i="1"/>
  <c r="AA237" i="1" s="1"/>
  <c r="Y237" i="1"/>
  <c r="V237" i="1"/>
  <c r="W237" i="1" s="1"/>
  <c r="U237" i="1"/>
  <c r="R237" i="1"/>
  <c r="Q237" i="1"/>
  <c r="N237" i="1"/>
  <c r="O237" i="1" s="1"/>
  <c r="M237" i="1"/>
  <c r="K237" i="1"/>
  <c r="J237" i="1"/>
  <c r="I237" i="1"/>
  <c r="G237" i="1"/>
  <c r="F237" i="1"/>
  <c r="E237" i="1"/>
  <c r="BN236" i="1"/>
  <c r="BL236" i="1"/>
  <c r="BJ236" i="1"/>
  <c r="BM236" i="1" s="1"/>
  <c r="BI236" i="1"/>
  <c r="BG236" i="1"/>
  <c r="BF236" i="1"/>
  <c r="BE236" i="1"/>
  <c r="BC236" i="1"/>
  <c r="BB236" i="1"/>
  <c r="BA236" i="1"/>
  <c r="AX236" i="1"/>
  <c r="AY236" i="1" s="1"/>
  <c r="AW236" i="1"/>
  <c r="AT236" i="1"/>
  <c r="AU236" i="1" s="1"/>
  <c r="AS236" i="1"/>
  <c r="AP236" i="1"/>
  <c r="AQ236" i="1" s="1"/>
  <c r="AO236" i="1"/>
  <c r="AL236" i="1"/>
  <c r="AK236" i="1"/>
  <c r="AH236" i="1"/>
  <c r="AI236" i="1" s="1"/>
  <c r="AG236" i="1"/>
  <c r="AE236" i="1"/>
  <c r="AD236" i="1"/>
  <c r="AC236" i="1"/>
  <c r="AA236" i="1"/>
  <c r="Z236" i="1"/>
  <c r="Y236" i="1"/>
  <c r="W236" i="1"/>
  <c r="V236" i="1"/>
  <c r="U236" i="1"/>
  <c r="R236" i="1"/>
  <c r="S236" i="1" s="1"/>
  <c r="Q236" i="1"/>
  <c r="N236" i="1"/>
  <c r="O236" i="1" s="1"/>
  <c r="M236" i="1"/>
  <c r="J236" i="1"/>
  <c r="K236" i="1" s="1"/>
  <c r="I236" i="1"/>
  <c r="F236" i="1"/>
  <c r="E236" i="1"/>
  <c r="BN235" i="1"/>
  <c r="BM235" i="1"/>
  <c r="BL235" i="1"/>
  <c r="BJ235" i="1"/>
  <c r="BI235" i="1"/>
  <c r="BF235" i="1"/>
  <c r="BG235" i="1" s="1"/>
  <c r="BE235" i="1"/>
  <c r="BB235" i="1"/>
  <c r="BC235" i="1" s="1"/>
  <c r="BA235" i="1"/>
  <c r="AX235" i="1"/>
  <c r="AW235" i="1"/>
  <c r="AU235" i="1"/>
  <c r="AT235" i="1"/>
  <c r="AS235" i="1"/>
  <c r="AQ235" i="1"/>
  <c r="AP235" i="1"/>
  <c r="AO235" i="1"/>
  <c r="AL235" i="1"/>
  <c r="AM235" i="1" s="1"/>
  <c r="AK235" i="1"/>
  <c r="AH235" i="1"/>
  <c r="AI235" i="1" s="1"/>
  <c r="AG235" i="1"/>
  <c r="AD235" i="1"/>
  <c r="AE235" i="1" s="1"/>
  <c r="AC235" i="1"/>
  <c r="Z235" i="1"/>
  <c r="AA235" i="1" s="1"/>
  <c r="Y235" i="1"/>
  <c r="V235" i="1"/>
  <c r="W235" i="1" s="1"/>
  <c r="U235" i="1"/>
  <c r="R235" i="1"/>
  <c r="Q235" i="1"/>
  <c r="O235" i="1"/>
  <c r="N235" i="1"/>
  <c r="M235" i="1"/>
  <c r="K235" i="1"/>
  <c r="J235" i="1"/>
  <c r="I235" i="1"/>
  <c r="F235" i="1"/>
  <c r="G235" i="1" s="1"/>
  <c r="E235" i="1"/>
  <c r="BN234" i="1"/>
  <c r="BM234" i="1"/>
  <c r="BL234" i="1"/>
  <c r="BJ234" i="1"/>
  <c r="BI234" i="1"/>
  <c r="BF234" i="1"/>
  <c r="BG234" i="1" s="1"/>
  <c r="BE234" i="1"/>
  <c r="BB234" i="1"/>
  <c r="BC234" i="1" s="1"/>
  <c r="BA234" i="1"/>
  <c r="AX234" i="1"/>
  <c r="AY234" i="1" s="1"/>
  <c r="AW234" i="1"/>
  <c r="AT234" i="1"/>
  <c r="AU234" i="1" s="1"/>
  <c r="AS234" i="1"/>
  <c r="AP234" i="1"/>
  <c r="AQ234" i="1" s="1"/>
  <c r="AO234" i="1"/>
  <c r="AL234" i="1"/>
  <c r="AK234" i="1"/>
  <c r="AI234" i="1"/>
  <c r="AH234" i="1"/>
  <c r="AG234" i="1"/>
  <c r="AE234" i="1"/>
  <c r="AD234" i="1"/>
  <c r="AC234" i="1"/>
  <c r="Z234" i="1"/>
  <c r="AA234" i="1" s="1"/>
  <c r="Y234" i="1"/>
  <c r="W234" i="1"/>
  <c r="V234" i="1"/>
  <c r="U234" i="1"/>
  <c r="R234" i="1"/>
  <c r="S234" i="1" s="1"/>
  <c r="Q234" i="1"/>
  <c r="N234" i="1"/>
  <c r="M234" i="1"/>
  <c r="J234" i="1"/>
  <c r="K234" i="1" s="1"/>
  <c r="I234" i="1"/>
  <c r="G234" i="1"/>
  <c r="F234" i="1"/>
  <c r="E234" i="1"/>
  <c r="BN233" i="1"/>
  <c r="BL233" i="1"/>
  <c r="BJ233" i="1"/>
  <c r="BM233" i="1" s="1"/>
  <c r="BI233" i="1"/>
  <c r="BF233" i="1"/>
  <c r="BE233" i="1"/>
  <c r="BC233" i="1"/>
  <c r="BB233" i="1"/>
  <c r="BA233" i="1"/>
  <c r="AY233" i="1"/>
  <c r="AX233" i="1"/>
  <c r="AW233" i="1"/>
  <c r="AT233" i="1"/>
  <c r="AU233" i="1" s="1"/>
  <c r="AS233" i="1"/>
  <c r="AQ233" i="1"/>
  <c r="AP233" i="1"/>
  <c r="AO233" i="1"/>
  <c r="AL233" i="1"/>
  <c r="AM233" i="1" s="1"/>
  <c r="AK233" i="1"/>
  <c r="AH233" i="1"/>
  <c r="AG233" i="1"/>
  <c r="AF233" i="1"/>
  <c r="AE233" i="1"/>
  <c r="AD233" i="1"/>
  <c r="AC233" i="1"/>
  <c r="Z233" i="1"/>
  <c r="AA233" i="1" s="1"/>
  <c r="Y233" i="1"/>
  <c r="W233" i="1"/>
  <c r="V233" i="1"/>
  <c r="U233" i="1"/>
  <c r="R233" i="1"/>
  <c r="S233" i="1" s="1"/>
  <c r="Q233" i="1"/>
  <c r="N233" i="1"/>
  <c r="M233" i="1"/>
  <c r="J233" i="1"/>
  <c r="K233" i="1" s="1"/>
  <c r="I233" i="1"/>
  <c r="G233" i="1"/>
  <c r="F233" i="1"/>
  <c r="E233" i="1"/>
  <c r="BN232" i="1"/>
  <c r="BL232" i="1"/>
  <c r="BJ232" i="1"/>
  <c r="BM232" i="1" s="1"/>
  <c r="BI232" i="1"/>
  <c r="BF232" i="1"/>
  <c r="BE232" i="1"/>
  <c r="BB232" i="1"/>
  <c r="BC232" i="1" s="1"/>
  <c r="BA232" i="1"/>
  <c r="AY232" i="1"/>
  <c r="AX232" i="1"/>
  <c r="AW232" i="1"/>
  <c r="AT232" i="1"/>
  <c r="AU232" i="1" s="1"/>
  <c r="AS232" i="1"/>
  <c r="AP232" i="1"/>
  <c r="AQ232" i="1" s="1"/>
  <c r="AO232" i="1"/>
  <c r="AL232" i="1"/>
  <c r="AM232" i="1" s="1"/>
  <c r="AK232" i="1"/>
  <c r="AH232" i="1"/>
  <c r="AI232" i="1" s="1"/>
  <c r="AF232" i="1"/>
  <c r="AG232" i="1" s="1"/>
  <c r="AE232" i="1"/>
  <c r="AD232" i="1"/>
  <c r="AC232" i="1"/>
  <c r="Z232" i="1"/>
  <c r="AA232" i="1" s="1"/>
  <c r="Y232" i="1"/>
  <c r="V232" i="1"/>
  <c r="W232" i="1" s="1"/>
  <c r="U232" i="1"/>
  <c r="R232" i="1"/>
  <c r="S232" i="1" s="1"/>
  <c r="Q232" i="1"/>
  <c r="N232" i="1"/>
  <c r="M232" i="1"/>
  <c r="J232" i="1"/>
  <c r="K232" i="1" s="1"/>
  <c r="I232" i="1"/>
  <c r="F232" i="1"/>
  <c r="E232" i="1"/>
  <c r="BN231" i="1"/>
  <c r="BL231" i="1"/>
  <c r="BJ231" i="1"/>
  <c r="BM231" i="1" s="1"/>
  <c r="BI231" i="1"/>
  <c r="BG231" i="1"/>
  <c r="BF231" i="1"/>
  <c r="BE231" i="1"/>
  <c r="BB231" i="1"/>
  <c r="BC231" i="1" s="1"/>
  <c r="BA231" i="1"/>
  <c r="AY231" i="1"/>
  <c r="AX231" i="1"/>
  <c r="AW231" i="1"/>
  <c r="AT231" i="1"/>
  <c r="AU231" i="1" s="1"/>
  <c r="AS231" i="1"/>
  <c r="AQ231" i="1"/>
  <c r="AP231" i="1"/>
  <c r="AO231" i="1"/>
  <c r="AL231" i="1"/>
  <c r="AM231" i="1" s="1"/>
  <c r="AK231" i="1"/>
  <c r="AH231" i="1"/>
  <c r="AI231" i="1" s="1"/>
  <c r="AG231" i="1"/>
  <c r="AF231" i="1"/>
  <c r="AE231" i="1"/>
  <c r="AD231" i="1"/>
  <c r="AC231" i="1"/>
  <c r="Z231" i="1"/>
  <c r="AA231" i="1" s="1"/>
  <c r="Y231" i="1"/>
  <c r="W231" i="1"/>
  <c r="V231" i="1"/>
  <c r="U231" i="1"/>
  <c r="R231" i="1"/>
  <c r="S231" i="1" s="1"/>
  <c r="Q231" i="1"/>
  <c r="N231" i="1"/>
  <c r="M231" i="1"/>
  <c r="J231" i="1"/>
  <c r="K231" i="1" s="1"/>
  <c r="I231" i="1"/>
  <c r="G231" i="1"/>
  <c r="F231" i="1"/>
  <c r="E231" i="1"/>
  <c r="BN230" i="1"/>
  <c r="BL230" i="1"/>
  <c r="BJ230" i="1"/>
  <c r="BM230" i="1" s="1"/>
  <c r="BI230" i="1"/>
  <c r="BG230" i="1"/>
  <c r="BF230" i="1"/>
  <c r="BE230" i="1"/>
  <c r="BB230" i="1"/>
  <c r="BC230" i="1" s="1"/>
  <c r="BA230" i="1"/>
  <c r="AY230" i="1"/>
  <c r="AX230" i="1"/>
  <c r="AW230" i="1"/>
  <c r="AT230" i="1"/>
  <c r="AU230" i="1" s="1"/>
  <c r="AS230" i="1"/>
  <c r="AQ230" i="1"/>
  <c r="AP230" i="1"/>
  <c r="AO230" i="1"/>
  <c r="AL230" i="1"/>
  <c r="AM230" i="1" s="1"/>
  <c r="AK230" i="1"/>
  <c r="AH230" i="1"/>
  <c r="AG230" i="1"/>
  <c r="AD230" i="1"/>
  <c r="AE230" i="1" s="1"/>
  <c r="AC230" i="1"/>
  <c r="AA230" i="1"/>
  <c r="Z230" i="1"/>
  <c r="Y230" i="1"/>
  <c r="V230" i="1"/>
  <c r="W230" i="1" s="1"/>
  <c r="U230" i="1"/>
  <c r="S230" i="1"/>
  <c r="R230" i="1"/>
  <c r="Q230" i="1"/>
  <c r="N230" i="1"/>
  <c r="O230" i="1" s="1"/>
  <c r="M230" i="1"/>
  <c r="K230" i="1"/>
  <c r="J230" i="1"/>
  <c r="I230" i="1"/>
  <c r="F230" i="1"/>
  <c r="G230" i="1" s="1"/>
  <c r="E230" i="1"/>
  <c r="BN229" i="1"/>
  <c r="BM229" i="1"/>
  <c r="BL229" i="1"/>
  <c r="BJ229" i="1"/>
  <c r="BI229" i="1"/>
  <c r="BF229" i="1"/>
  <c r="BG229" i="1" s="1"/>
  <c r="BE229" i="1"/>
  <c r="BB229" i="1"/>
  <c r="BC229" i="1" s="1"/>
  <c r="BA229" i="1"/>
  <c r="AX229" i="1"/>
  <c r="AY229" i="1" s="1"/>
  <c r="AW229" i="1"/>
  <c r="AT229" i="1"/>
  <c r="AS229" i="1"/>
  <c r="AP229" i="1"/>
  <c r="AQ229" i="1" s="1"/>
  <c r="AO229" i="1"/>
  <c r="AM229" i="1"/>
  <c r="AL229" i="1"/>
  <c r="AI229" i="1" s="1"/>
  <c r="AK229" i="1"/>
  <c r="AH229" i="1"/>
  <c r="AG229" i="1"/>
  <c r="AE229" i="1"/>
  <c r="AD229" i="1"/>
  <c r="AC229" i="1"/>
  <c r="Z229" i="1"/>
  <c r="AA229" i="1" s="1"/>
  <c r="Y229" i="1"/>
  <c r="V229" i="1"/>
  <c r="W229" i="1" s="1"/>
  <c r="U229" i="1"/>
  <c r="R229" i="1"/>
  <c r="S229" i="1" s="1"/>
  <c r="Q229" i="1"/>
  <c r="O229" i="1"/>
  <c r="N229" i="1"/>
  <c r="M229" i="1"/>
  <c r="J229" i="1"/>
  <c r="K229" i="1" s="1"/>
  <c r="I229" i="1"/>
  <c r="G229" i="1"/>
  <c r="F229" i="1"/>
  <c r="E229" i="1"/>
  <c r="BN228" i="1"/>
  <c r="BL228" i="1"/>
  <c r="BJ228" i="1"/>
  <c r="BM228" i="1" s="1"/>
  <c r="BI228" i="1"/>
  <c r="BG228" i="1"/>
  <c r="BF228" i="1"/>
  <c r="BE228" i="1"/>
  <c r="BB228" i="1"/>
  <c r="BC228" i="1" s="1"/>
  <c r="BA228" i="1"/>
  <c r="AX228" i="1"/>
  <c r="AY228" i="1" s="1"/>
  <c r="AW228" i="1"/>
  <c r="AT228" i="1"/>
  <c r="AU228" i="1" s="1"/>
  <c r="AS228" i="1"/>
  <c r="AP228" i="1"/>
  <c r="AO228" i="1"/>
  <c r="AL228" i="1"/>
  <c r="AM228" i="1" s="1"/>
  <c r="AK228" i="1"/>
  <c r="AI228" i="1"/>
  <c r="AH228" i="1"/>
  <c r="AG228" i="1"/>
  <c r="AE228" i="1"/>
  <c r="AD228" i="1"/>
  <c r="AC228" i="1"/>
  <c r="AA228" i="1"/>
  <c r="Z228" i="1"/>
  <c r="Y228" i="1"/>
  <c r="V228" i="1"/>
  <c r="W228" i="1" s="1"/>
  <c r="U228" i="1"/>
  <c r="R228" i="1"/>
  <c r="S228" i="1" s="1"/>
  <c r="Q228" i="1"/>
  <c r="N228" i="1"/>
  <c r="O228" i="1" s="1"/>
  <c r="M228" i="1"/>
  <c r="J228" i="1"/>
  <c r="K228" i="1" s="1"/>
  <c r="I228" i="1"/>
  <c r="F228" i="1"/>
  <c r="G228" i="1" s="1"/>
  <c r="E228" i="1"/>
  <c r="BN227" i="1"/>
  <c r="BL227" i="1"/>
  <c r="BJ227" i="1"/>
  <c r="BI227" i="1"/>
  <c r="BF227" i="1"/>
  <c r="BG227" i="1" s="1"/>
  <c r="BE227" i="1"/>
  <c r="BB227" i="1"/>
  <c r="BA227" i="1"/>
  <c r="AX227" i="1"/>
  <c r="AY227" i="1" s="1"/>
  <c r="AW227" i="1"/>
  <c r="AU227" i="1"/>
  <c r="AT227" i="1"/>
  <c r="AS227" i="1"/>
  <c r="AP227" i="1"/>
  <c r="AQ227" i="1" s="1"/>
  <c r="AO227" i="1"/>
  <c r="AL227" i="1"/>
  <c r="AM227" i="1" s="1"/>
  <c r="AK227" i="1"/>
  <c r="AH227" i="1"/>
  <c r="AG227" i="1"/>
  <c r="AD227" i="1"/>
  <c r="AC227" i="1"/>
  <c r="Z227" i="1"/>
  <c r="AA227" i="1" s="1"/>
  <c r="Y227" i="1"/>
  <c r="W227" i="1"/>
  <c r="V227" i="1"/>
  <c r="U227" i="1"/>
  <c r="R227" i="1"/>
  <c r="S227" i="1" s="1"/>
  <c r="Q227" i="1"/>
  <c r="O227" i="1"/>
  <c r="N227" i="1"/>
  <c r="M227" i="1"/>
  <c r="J227" i="1"/>
  <c r="K227" i="1" s="1"/>
  <c r="I227" i="1"/>
  <c r="F227" i="1"/>
  <c r="G227" i="1" s="1"/>
  <c r="E227" i="1"/>
  <c r="BN226" i="1"/>
  <c r="BM226" i="1"/>
  <c r="BL226" i="1"/>
  <c r="BJ226" i="1"/>
  <c r="BI226" i="1"/>
  <c r="BF226" i="1"/>
  <c r="BG226" i="1" s="1"/>
  <c r="BE226" i="1"/>
  <c r="BB226" i="1"/>
  <c r="BA226" i="1"/>
  <c r="AX226" i="1"/>
  <c r="AW226" i="1"/>
  <c r="AT226" i="1"/>
  <c r="AU226" i="1" s="1"/>
  <c r="AS226" i="1"/>
  <c r="AP226" i="1"/>
  <c r="AO226" i="1"/>
  <c r="AL226" i="1"/>
  <c r="AM226" i="1" s="1"/>
  <c r="AK226" i="1"/>
  <c r="AH226" i="1"/>
  <c r="AI226" i="1" s="1"/>
  <c r="AG226" i="1"/>
  <c r="AD226" i="1"/>
  <c r="AA226" i="1" s="1"/>
  <c r="AC226" i="1"/>
  <c r="Z226" i="1"/>
  <c r="Y226" i="1"/>
  <c r="V226" i="1"/>
  <c r="S226" i="1" s="1"/>
  <c r="U226" i="1"/>
  <c r="R226" i="1"/>
  <c r="Q226" i="1"/>
  <c r="N226" i="1"/>
  <c r="O226" i="1" s="1"/>
  <c r="M226" i="1"/>
  <c r="K226" i="1"/>
  <c r="J226" i="1"/>
  <c r="I226" i="1"/>
  <c r="F226" i="1"/>
  <c r="G226" i="1" s="1"/>
  <c r="E226" i="1"/>
  <c r="BN225" i="1"/>
  <c r="BM225" i="1" s="1"/>
  <c r="BL225" i="1"/>
  <c r="BJ225" i="1"/>
  <c r="BI225" i="1"/>
  <c r="BF225" i="1"/>
  <c r="BG225" i="1" s="1"/>
  <c r="BE225" i="1"/>
  <c r="BC225" i="1"/>
  <c r="BB225" i="1"/>
  <c r="BA225" i="1"/>
  <c r="AX225" i="1"/>
  <c r="AY225" i="1" s="1"/>
  <c r="AV225" i="1"/>
  <c r="AW225" i="1" s="1"/>
  <c r="AT225" i="1"/>
  <c r="AU225" i="1" s="1"/>
  <c r="AR225" i="1"/>
  <c r="AS225" i="1" s="1"/>
  <c r="AP225" i="1"/>
  <c r="AQ225" i="1" s="1"/>
  <c r="AO225" i="1"/>
  <c r="AL225" i="1"/>
  <c r="AK225" i="1"/>
  <c r="AH225" i="1"/>
  <c r="AI225" i="1" s="1"/>
  <c r="AF225" i="1"/>
  <c r="AG225" i="1" s="1"/>
  <c r="AD225" i="1"/>
  <c r="AE225" i="1" s="1"/>
  <c r="AC225" i="1"/>
  <c r="AA225" i="1"/>
  <c r="Z225" i="1"/>
  <c r="Y225" i="1"/>
  <c r="V225" i="1"/>
  <c r="W225" i="1" s="1"/>
  <c r="U225" i="1"/>
  <c r="R225" i="1"/>
  <c r="Q225" i="1"/>
  <c r="N225" i="1"/>
  <c r="K225" i="1" s="1"/>
  <c r="M225" i="1"/>
  <c r="J225" i="1"/>
  <c r="I225" i="1"/>
  <c r="F225" i="1"/>
  <c r="G225" i="1" s="1"/>
  <c r="E225" i="1"/>
  <c r="BN224" i="1"/>
  <c r="BL224" i="1"/>
  <c r="BJ224" i="1"/>
  <c r="BM224" i="1" s="1"/>
  <c r="BI224" i="1"/>
  <c r="BF224" i="1"/>
  <c r="BG224" i="1" s="1"/>
  <c r="BE224" i="1"/>
  <c r="BC224" i="1"/>
  <c r="BB224" i="1"/>
  <c r="BA224" i="1"/>
  <c r="AX224" i="1"/>
  <c r="AY224" i="1" s="1"/>
  <c r="AV224" i="1"/>
  <c r="AW224" i="1" s="1"/>
  <c r="AT224" i="1"/>
  <c r="AU224" i="1" s="1"/>
  <c r="AR224" i="1"/>
  <c r="AS224" i="1" s="1"/>
  <c r="AP224" i="1"/>
  <c r="AQ224" i="1" s="1"/>
  <c r="AO224" i="1"/>
  <c r="AM224" i="1"/>
  <c r="AL224" i="1"/>
  <c r="AK224" i="1"/>
  <c r="AH224" i="1"/>
  <c r="AI224" i="1" s="1"/>
  <c r="AF224" i="1"/>
  <c r="AG224" i="1" s="1"/>
  <c r="AD224" i="1"/>
  <c r="AE224" i="1" s="1"/>
  <c r="AC224" i="1"/>
  <c r="AA224" i="1"/>
  <c r="Z224" i="1"/>
  <c r="Y224" i="1"/>
  <c r="V224" i="1"/>
  <c r="W224" i="1" s="1"/>
  <c r="U224" i="1"/>
  <c r="S224" i="1"/>
  <c r="R224" i="1"/>
  <c r="Q224" i="1"/>
  <c r="N224" i="1"/>
  <c r="O224" i="1" s="1"/>
  <c r="M224" i="1"/>
  <c r="J224" i="1"/>
  <c r="I224" i="1"/>
  <c r="F224" i="1"/>
  <c r="G224" i="1" s="1"/>
  <c r="E224" i="1"/>
  <c r="BN223" i="1"/>
  <c r="BL223" i="1"/>
  <c r="BJ223" i="1"/>
  <c r="BM223" i="1" s="1"/>
  <c r="BI223" i="1"/>
  <c r="BF223" i="1"/>
  <c r="BC223" i="1" s="1"/>
  <c r="BE223" i="1"/>
  <c r="BB223" i="1"/>
  <c r="BA223" i="1"/>
  <c r="AX223" i="1"/>
  <c r="AY223" i="1" s="1"/>
  <c r="AV223" i="1"/>
  <c r="AW223" i="1" s="1"/>
  <c r="AT223" i="1"/>
  <c r="AU223" i="1" s="1"/>
  <c r="AR223" i="1"/>
  <c r="AS223" i="1" s="1"/>
  <c r="AP223" i="1"/>
  <c r="AQ223" i="1" s="1"/>
  <c r="AO223" i="1"/>
  <c r="AM223" i="1"/>
  <c r="AL223" i="1"/>
  <c r="AK223" i="1"/>
  <c r="AH223" i="1"/>
  <c r="AI223" i="1" s="1"/>
  <c r="AF223" i="1"/>
  <c r="AG223" i="1" s="1"/>
  <c r="AD223" i="1"/>
  <c r="AA223" i="1" s="1"/>
  <c r="AC223" i="1"/>
  <c r="Z223" i="1"/>
  <c r="Y223" i="1"/>
  <c r="V223" i="1"/>
  <c r="W223" i="1" s="1"/>
  <c r="U223" i="1"/>
  <c r="S223" i="1"/>
  <c r="R223" i="1"/>
  <c r="Q223" i="1"/>
  <c r="N223" i="1"/>
  <c r="O223" i="1" s="1"/>
  <c r="M223" i="1"/>
  <c r="K223" i="1"/>
  <c r="J223" i="1"/>
  <c r="I223" i="1"/>
  <c r="F223" i="1"/>
  <c r="G223" i="1" s="1"/>
  <c r="E223" i="1"/>
  <c r="BN222" i="1"/>
  <c r="BL222" i="1"/>
  <c r="BJ222" i="1"/>
  <c r="BM222" i="1" s="1"/>
  <c r="BI222" i="1"/>
  <c r="BF222" i="1"/>
  <c r="BG222" i="1" s="1"/>
  <c r="BE222" i="1"/>
  <c r="BB222" i="1"/>
  <c r="BA222" i="1"/>
  <c r="AX222" i="1"/>
  <c r="AU222" i="1" s="1"/>
  <c r="AW222" i="1"/>
  <c r="AT222" i="1"/>
  <c r="AS222" i="1"/>
  <c r="AP222" i="1"/>
  <c r="AQ222" i="1" s="1"/>
  <c r="AO222" i="1"/>
  <c r="AM222" i="1"/>
  <c r="AL222" i="1"/>
  <c r="AK222" i="1"/>
  <c r="AH222" i="1"/>
  <c r="AI222" i="1" s="1"/>
  <c r="AG222" i="1"/>
  <c r="AE222" i="1"/>
  <c r="AD222" i="1"/>
  <c r="AC222" i="1"/>
  <c r="Z222" i="1"/>
  <c r="AA222" i="1" s="1"/>
  <c r="Y222" i="1"/>
  <c r="V222" i="1"/>
  <c r="U222" i="1"/>
  <c r="R222" i="1"/>
  <c r="O222" i="1" s="1"/>
  <c r="Q222" i="1"/>
  <c r="N222" i="1"/>
  <c r="M222" i="1"/>
  <c r="J222" i="1"/>
  <c r="K222" i="1" s="1"/>
  <c r="I222" i="1"/>
  <c r="G222" i="1"/>
  <c r="F222" i="1"/>
  <c r="E222" i="1"/>
  <c r="BN221" i="1"/>
  <c r="BL221" i="1"/>
  <c r="BJ221" i="1"/>
  <c r="BM221" i="1" s="1"/>
  <c r="BI221" i="1"/>
  <c r="BG221" i="1"/>
  <c r="BF221" i="1"/>
  <c r="BE221" i="1"/>
  <c r="BB221" i="1"/>
  <c r="BC221" i="1" s="1"/>
  <c r="BA221" i="1"/>
  <c r="AY221" i="1"/>
  <c r="AX221" i="1"/>
  <c r="AW221" i="1"/>
  <c r="AT221" i="1"/>
  <c r="AU221" i="1" s="1"/>
  <c r="AS221" i="1"/>
  <c r="AP221" i="1"/>
  <c r="AO221" i="1"/>
  <c r="AL221" i="1"/>
  <c r="AI221" i="1" s="1"/>
  <c r="AK221" i="1"/>
  <c r="AH221" i="1"/>
  <c r="AG221" i="1"/>
  <c r="AD221" i="1"/>
  <c r="AE221" i="1" s="1"/>
  <c r="AC221" i="1"/>
  <c r="AA221" i="1"/>
  <c r="Z221" i="1"/>
  <c r="Y221" i="1"/>
  <c r="V221" i="1"/>
  <c r="W221" i="1" s="1"/>
  <c r="U221" i="1"/>
  <c r="S221" i="1"/>
  <c r="R221" i="1"/>
  <c r="Q221" i="1"/>
  <c r="N221" i="1"/>
  <c r="O221" i="1" s="1"/>
  <c r="M221" i="1"/>
  <c r="J221" i="1"/>
  <c r="I221" i="1"/>
  <c r="F221" i="1"/>
  <c r="G221" i="1" s="1"/>
  <c r="E221" i="1"/>
  <c r="BN220" i="1"/>
  <c r="BM220" i="1" s="1"/>
  <c r="BL220" i="1"/>
  <c r="BJ220" i="1"/>
  <c r="BI220" i="1"/>
  <c r="BF220" i="1"/>
  <c r="BC220" i="1" s="1"/>
  <c r="BE220" i="1"/>
  <c r="BB220" i="1"/>
  <c r="BA220" i="1"/>
  <c r="AX220" i="1"/>
  <c r="AY220" i="1" s="1"/>
  <c r="AW220" i="1"/>
  <c r="AU220" i="1"/>
  <c r="AT220" i="1"/>
  <c r="AS220" i="1"/>
  <c r="AP220" i="1"/>
  <c r="AQ220" i="1" s="1"/>
  <c r="AO220" i="1"/>
  <c r="AM220" i="1"/>
  <c r="AL220" i="1"/>
  <c r="AK220" i="1"/>
  <c r="AH220" i="1"/>
  <c r="AI220" i="1" s="1"/>
  <c r="AG220" i="1"/>
  <c r="AD220" i="1"/>
  <c r="AC220" i="1"/>
  <c r="Z220" i="1"/>
  <c r="W220" i="1" s="1"/>
  <c r="Y220" i="1"/>
  <c r="V220" i="1"/>
  <c r="U220" i="1"/>
  <c r="R220" i="1"/>
  <c r="S220" i="1" s="1"/>
  <c r="Q220" i="1"/>
  <c r="O220" i="1"/>
  <c r="N220" i="1"/>
  <c r="M220" i="1"/>
  <c r="J220" i="1"/>
  <c r="K220" i="1" s="1"/>
  <c r="I220" i="1"/>
  <c r="G220" i="1"/>
  <c r="F220" i="1"/>
  <c r="E220" i="1"/>
  <c r="BN219" i="1"/>
  <c r="BM219" i="1"/>
  <c r="BL219" i="1"/>
  <c r="BJ219" i="1"/>
  <c r="BI219" i="1"/>
  <c r="BG219" i="1"/>
  <c r="BF219" i="1"/>
  <c r="BE219" i="1"/>
  <c r="BB219" i="1"/>
  <c r="BC219" i="1" s="1"/>
  <c r="BA219" i="1"/>
  <c r="AX219" i="1"/>
  <c r="AW219" i="1"/>
  <c r="AT219" i="1"/>
  <c r="AQ219" i="1" s="1"/>
  <c r="AS219" i="1"/>
  <c r="AP219" i="1"/>
  <c r="AO219" i="1"/>
  <c r="AL219" i="1"/>
  <c r="AM219" i="1" s="1"/>
  <c r="AK219" i="1"/>
  <c r="AI219" i="1"/>
  <c r="AH219" i="1"/>
  <c r="AG219" i="1"/>
  <c r="AE219" i="1"/>
  <c r="AD219" i="1"/>
  <c r="AC219" i="1"/>
  <c r="AA219" i="1"/>
  <c r="Z219" i="1"/>
  <c r="Y219" i="1"/>
  <c r="V219" i="1"/>
  <c r="W219" i="1" s="1"/>
  <c r="U219" i="1"/>
  <c r="R219" i="1"/>
  <c r="Q219" i="1"/>
  <c r="N219" i="1"/>
  <c r="K219" i="1" s="1"/>
  <c r="M219" i="1"/>
  <c r="J219" i="1"/>
  <c r="I219" i="1"/>
  <c r="F219" i="1"/>
  <c r="G219" i="1" s="1"/>
  <c r="E219" i="1"/>
  <c r="BN218" i="1"/>
  <c r="BL218" i="1"/>
  <c r="BJ218" i="1"/>
  <c r="BM218" i="1" s="1"/>
  <c r="BI218" i="1"/>
  <c r="BF218" i="1"/>
  <c r="BG218" i="1" s="1"/>
  <c r="BE218" i="1"/>
  <c r="BC218" i="1"/>
  <c r="BB218" i="1"/>
  <c r="BA218" i="1"/>
  <c r="AY218" i="1"/>
  <c r="AX218" i="1"/>
  <c r="AW218" i="1"/>
  <c r="AU218" i="1"/>
  <c r="AT218" i="1"/>
  <c r="AS218" i="1"/>
  <c r="AP218" i="1"/>
  <c r="AQ218" i="1" s="1"/>
  <c r="AO218" i="1"/>
  <c r="AL218" i="1"/>
  <c r="AK218" i="1"/>
  <c r="AH218" i="1"/>
  <c r="AE218" i="1" s="1"/>
  <c r="AG218" i="1"/>
  <c r="AD218" i="1"/>
  <c r="AC218" i="1"/>
  <c r="Z218" i="1"/>
  <c r="AA218" i="1" s="1"/>
  <c r="Y218" i="1"/>
  <c r="W218" i="1"/>
  <c r="V218" i="1"/>
  <c r="U218" i="1"/>
  <c r="S218" i="1"/>
  <c r="R218" i="1"/>
  <c r="Q218" i="1"/>
  <c r="O218" i="1"/>
  <c r="N218" i="1"/>
  <c r="M218" i="1"/>
  <c r="J218" i="1"/>
  <c r="K218" i="1" s="1"/>
  <c r="I218" i="1"/>
  <c r="F218" i="1"/>
  <c r="E218" i="1"/>
  <c r="BN217" i="1"/>
  <c r="BM217" i="1"/>
  <c r="BL217" i="1"/>
  <c r="BJ217" i="1"/>
  <c r="BG217" i="1" s="1"/>
  <c r="BI217" i="1"/>
  <c r="BF217" i="1"/>
  <c r="BE217" i="1"/>
  <c r="BB217" i="1"/>
  <c r="AY217" i="1" s="1"/>
  <c r="BA217" i="1"/>
  <c r="AX217" i="1"/>
  <c r="AW217" i="1"/>
  <c r="AT217" i="1"/>
  <c r="AU217" i="1" s="1"/>
  <c r="AS217" i="1"/>
  <c r="AQ217" i="1"/>
  <c r="AP217" i="1"/>
  <c r="AO217" i="1"/>
  <c r="AM217" i="1"/>
  <c r="AL217" i="1"/>
  <c r="AK217" i="1"/>
  <c r="AI217" i="1"/>
  <c r="AH217" i="1"/>
  <c r="AG217" i="1"/>
  <c r="AD217" i="1"/>
  <c r="AE217" i="1" s="1"/>
  <c r="AC217" i="1"/>
  <c r="Z217" i="1"/>
  <c r="Y217" i="1"/>
  <c r="V217" i="1"/>
  <c r="S217" i="1" s="1"/>
  <c r="U217" i="1"/>
  <c r="R217" i="1"/>
  <c r="Q217" i="1"/>
  <c r="N217" i="1"/>
  <c r="O217" i="1" s="1"/>
  <c r="M217" i="1"/>
  <c r="K217" i="1"/>
  <c r="J217" i="1"/>
  <c r="I217" i="1"/>
  <c r="G217" i="1"/>
  <c r="F217" i="1"/>
  <c r="E217" i="1"/>
  <c r="BN216" i="1"/>
  <c r="BM216" i="1" s="1"/>
  <c r="BL216" i="1"/>
  <c r="BJ216" i="1"/>
  <c r="BI216" i="1"/>
  <c r="BG216" i="1"/>
  <c r="BF216" i="1"/>
  <c r="BE216" i="1"/>
  <c r="BC216" i="1"/>
  <c r="BB216" i="1"/>
  <c r="BA216" i="1"/>
  <c r="AX216" i="1"/>
  <c r="AY216" i="1" s="1"/>
  <c r="AW216" i="1"/>
  <c r="AT216" i="1"/>
  <c r="AS216" i="1"/>
  <c r="AP216" i="1"/>
  <c r="AM216" i="1" s="1"/>
  <c r="AO216" i="1"/>
  <c r="AL216" i="1"/>
  <c r="AK216" i="1"/>
  <c r="AH216" i="1"/>
  <c r="AI216" i="1" s="1"/>
  <c r="AG216" i="1"/>
  <c r="AE216" i="1"/>
  <c r="AD216" i="1"/>
  <c r="AC216" i="1"/>
  <c r="Z216" i="1"/>
  <c r="AA216" i="1" s="1"/>
  <c r="Y216" i="1"/>
  <c r="W216" i="1"/>
  <c r="V216" i="1"/>
  <c r="U216" i="1"/>
  <c r="R216" i="1"/>
  <c r="S216" i="1" s="1"/>
  <c r="Q216" i="1"/>
  <c r="N216" i="1"/>
  <c r="M216" i="1"/>
  <c r="J216" i="1"/>
  <c r="G216" i="1" s="1"/>
  <c r="I216" i="1"/>
  <c r="F216" i="1"/>
  <c r="E216" i="1"/>
  <c r="BN215" i="1"/>
  <c r="BL215" i="1"/>
  <c r="BJ215" i="1"/>
  <c r="BG215" i="1" s="1"/>
  <c r="BI215" i="1"/>
  <c r="BF215" i="1"/>
  <c r="BE215" i="1"/>
  <c r="BB215" i="1"/>
  <c r="BC215" i="1" s="1"/>
  <c r="BA215" i="1"/>
  <c r="AY215" i="1"/>
  <c r="AX215" i="1"/>
  <c r="AW215" i="1"/>
  <c r="AT215" i="1"/>
  <c r="AU215" i="1" s="1"/>
  <c r="AS215" i="1"/>
  <c r="AQ215" i="1"/>
  <c r="AP215" i="1"/>
  <c r="AO215" i="1"/>
  <c r="AL215" i="1"/>
  <c r="AM215" i="1" s="1"/>
  <c r="AK215" i="1"/>
  <c r="AH215" i="1"/>
  <c r="AG215" i="1"/>
  <c r="AD215" i="1"/>
  <c r="AA215" i="1" s="1"/>
  <c r="AC215" i="1"/>
  <c r="Z215" i="1"/>
  <c r="Y215" i="1"/>
  <c r="V215" i="1"/>
  <c r="W215" i="1" s="1"/>
  <c r="U215" i="1"/>
  <c r="S215" i="1"/>
  <c r="R215" i="1"/>
  <c r="Q215" i="1"/>
  <c r="N215" i="1"/>
  <c r="O215" i="1" s="1"/>
  <c r="M215" i="1"/>
  <c r="K215" i="1"/>
  <c r="J215" i="1"/>
  <c r="I215" i="1"/>
  <c r="F215" i="1"/>
  <c r="G215" i="1" s="1"/>
  <c r="E215" i="1"/>
  <c r="BN214" i="1"/>
  <c r="BL214" i="1"/>
  <c r="BJ214" i="1"/>
  <c r="BM214" i="1" s="1"/>
  <c r="BI214" i="1"/>
  <c r="BF214" i="1"/>
  <c r="BG214" i="1" s="1"/>
  <c r="BE214" i="1"/>
  <c r="BB214" i="1"/>
  <c r="BA214" i="1"/>
  <c r="AX214" i="1"/>
  <c r="AU214" i="1" s="1"/>
  <c r="AW214" i="1"/>
  <c r="AT214" i="1"/>
  <c r="AS214" i="1"/>
  <c r="AP214" i="1"/>
  <c r="AQ214" i="1" s="1"/>
  <c r="AO214" i="1"/>
  <c r="AM214" i="1"/>
  <c r="AL214" i="1"/>
  <c r="AK214" i="1"/>
  <c r="AH214" i="1"/>
  <c r="AI214" i="1" s="1"/>
  <c r="AG214" i="1"/>
  <c r="AE214" i="1"/>
  <c r="AD214" i="1"/>
  <c r="AC214" i="1"/>
  <c r="Z214" i="1"/>
  <c r="AA214" i="1" s="1"/>
  <c r="Y214" i="1"/>
  <c r="V214" i="1"/>
  <c r="U214" i="1"/>
  <c r="R214" i="1"/>
  <c r="O214" i="1" s="1"/>
  <c r="Q214" i="1"/>
  <c r="N214" i="1"/>
  <c r="M214" i="1"/>
  <c r="J214" i="1"/>
  <c r="K214" i="1" s="1"/>
  <c r="I214" i="1"/>
  <c r="G214" i="1"/>
  <c r="F214" i="1"/>
  <c r="E214" i="1"/>
  <c r="BN213" i="1"/>
  <c r="BL213" i="1"/>
  <c r="BJ213" i="1"/>
  <c r="BM213" i="1" s="1"/>
  <c r="BI213" i="1"/>
  <c r="BG213" i="1"/>
  <c r="BF213" i="1"/>
  <c r="BE213" i="1"/>
  <c r="BB213" i="1"/>
  <c r="BC213" i="1" s="1"/>
  <c r="BA213" i="1"/>
  <c r="AY213" i="1"/>
  <c r="AX213" i="1"/>
  <c r="AW213" i="1"/>
  <c r="AT213" i="1"/>
  <c r="AU213" i="1" s="1"/>
  <c r="AS213" i="1"/>
  <c r="AP213" i="1"/>
  <c r="AO213" i="1"/>
  <c r="AL213" i="1"/>
  <c r="AI213" i="1" s="1"/>
  <c r="AK213" i="1"/>
  <c r="AH213" i="1"/>
  <c r="AG213" i="1"/>
  <c r="AD213" i="1"/>
  <c r="AE213" i="1" s="1"/>
  <c r="AC213" i="1"/>
  <c r="AA213" i="1"/>
  <c r="Z213" i="1"/>
  <c r="Y213" i="1"/>
  <c r="V213" i="1"/>
  <c r="W213" i="1" s="1"/>
  <c r="U213" i="1"/>
  <c r="S213" i="1"/>
  <c r="R213" i="1"/>
  <c r="Q213" i="1"/>
  <c r="N213" i="1"/>
  <c r="O213" i="1" s="1"/>
  <c r="M213" i="1"/>
  <c r="J213" i="1"/>
  <c r="I213" i="1"/>
  <c r="F213" i="1"/>
  <c r="G213" i="1" s="1"/>
  <c r="E213" i="1"/>
  <c r="BN212" i="1"/>
  <c r="BM212" i="1" s="1"/>
  <c r="BL212" i="1"/>
  <c r="BJ212" i="1"/>
  <c r="BI212" i="1"/>
  <c r="BF212" i="1"/>
  <c r="BC212" i="1" s="1"/>
  <c r="BE212" i="1"/>
  <c r="BB212" i="1"/>
  <c r="BA212" i="1"/>
  <c r="AX212" i="1"/>
  <c r="AY212" i="1" s="1"/>
  <c r="AW212" i="1"/>
  <c r="AU212" i="1"/>
  <c r="AT212" i="1"/>
  <c r="AS212" i="1"/>
  <c r="AP212" i="1"/>
  <c r="AQ212" i="1" s="1"/>
  <c r="AO212" i="1"/>
  <c r="AM212" i="1"/>
  <c r="AL212" i="1"/>
  <c r="AK212" i="1"/>
  <c r="AH212" i="1"/>
  <c r="AI212" i="1" s="1"/>
  <c r="AG212" i="1"/>
  <c r="AD212" i="1"/>
  <c r="AC212" i="1"/>
  <c r="Z212" i="1"/>
  <c r="W212" i="1" s="1"/>
  <c r="Y212" i="1"/>
  <c r="V212" i="1"/>
  <c r="U212" i="1"/>
  <c r="R212" i="1"/>
  <c r="S212" i="1" s="1"/>
  <c r="Q212" i="1"/>
  <c r="O212" i="1"/>
  <c r="N212" i="1"/>
  <c r="M212" i="1"/>
  <c r="J212" i="1"/>
  <c r="K212" i="1" s="1"/>
  <c r="I212" i="1"/>
  <c r="G212" i="1"/>
  <c r="F212" i="1"/>
  <c r="E212" i="1"/>
  <c r="BN211" i="1"/>
  <c r="BM211" i="1"/>
  <c r="BL211" i="1"/>
  <c r="BJ211" i="1"/>
  <c r="BI211" i="1"/>
  <c r="BG211" i="1"/>
  <c r="BF211" i="1"/>
  <c r="BE211" i="1"/>
  <c r="BB211" i="1"/>
  <c r="BC211" i="1" s="1"/>
  <c r="BA211" i="1"/>
  <c r="AX211" i="1"/>
  <c r="AW211" i="1"/>
  <c r="AT211" i="1"/>
  <c r="AQ211" i="1" s="1"/>
  <c r="AS211" i="1"/>
  <c r="AP211" i="1"/>
  <c r="AO211" i="1"/>
  <c r="AL211" i="1"/>
  <c r="AM211" i="1" s="1"/>
  <c r="AK211" i="1"/>
  <c r="AI211" i="1"/>
  <c r="AH211" i="1"/>
  <c r="AG211" i="1"/>
  <c r="AD211" i="1"/>
  <c r="AE211" i="1" s="1"/>
  <c r="AC211" i="1"/>
  <c r="AA211" i="1"/>
  <c r="Z211" i="1"/>
  <c r="Y211" i="1"/>
  <c r="V211" i="1"/>
  <c r="W211" i="1" s="1"/>
  <c r="U211" i="1"/>
  <c r="R211" i="1"/>
  <c r="Q211" i="1"/>
  <c r="N211" i="1"/>
  <c r="K211" i="1" s="1"/>
  <c r="M211" i="1"/>
  <c r="J211" i="1"/>
  <c r="I211" i="1"/>
  <c r="F211" i="1"/>
  <c r="G211" i="1" s="1"/>
  <c r="E211" i="1"/>
  <c r="BN210" i="1"/>
  <c r="BL210" i="1"/>
  <c r="BJ210" i="1"/>
  <c r="BM210" i="1" s="1"/>
  <c r="BI210" i="1"/>
  <c r="BF210" i="1"/>
  <c r="BG210" i="1" s="1"/>
  <c r="BE210" i="1"/>
  <c r="BC210" i="1"/>
  <c r="BB210" i="1"/>
  <c r="BA210" i="1"/>
  <c r="AX210" i="1"/>
  <c r="AY210" i="1" s="1"/>
  <c r="AW210" i="1"/>
  <c r="AU210" i="1"/>
  <c r="AT210" i="1"/>
  <c r="AS210" i="1"/>
  <c r="AP210" i="1"/>
  <c r="AQ210" i="1" s="1"/>
  <c r="AO210" i="1"/>
  <c r="AL210" i="1"/>
  <c r="AK210" i="1"/>
  <c r="AH210" i="1"/>
  <c r="AE210" i="1" s="1"/>
  <c r="AG210" i="1"/>
  <c r="AD210" i="1"/>
  <c r="AC210" i="1"/>
  <c r="Z210" i="1"/>
  <c r="AA210" i="1" s="1"/>
  <c r="Y210" i="1"/>
  <c r="W210" i="1"/>
  <c r="V210" i="1"/>
  <c r="U210" i="1"/>
  <c r="R210" i="1"/>
  <c r="S210" i="1" s="1"/>
  <c r="Q210" i="1"/>
  <c r="O210" i="1"/>
  <c r="N210" i="1"/>
  <c r="M210" i="1"/>
  <c r="J210" i="1"/>
  <c r="K210" i="1" s="1"/>
  <c r="I210" i="1"/>
  <c r="F210" i="1"/>
  <c r="E210" i="1"/>
  <c r="BN209" i="1"/>
  <c r="BM209" i="1"/>
  <c r="BL209" i="1"/>
  <c r="BJ209" i="1"/>
  <c r="BG209" i="1" s="1"/>
  <c r="BI209" i="1"/>
  <c r="BF209" i="1"/>
  <c r="BE209" i="1"/>
  <c r="BB209" i="1"/>
  <c r="AY209" i="1" s="1"/>
  <c r="BA209" i="1"/>
  <c r="AX209" i="1"/>
  <c r="AW209" i="1"/>
  <c r="AT209" i="1"/>
  <c r="AU209" i="1" s="1"/>
  <c r="AS209" i="1"/>
  <c r="AQ209" i="1"/>
  <c r="AP209" i="1"/>
  <c r="AO209" i="1"/>
  <c r="AL209" i="1"/>
  <c r="AM209" i="1" s="1"/>
  <c r="AK209" i="1"/>
  <c r="AI209" i="1"/>
  <c r="AH209" i="1"/>
  <c r="AG209" i="1"/>
  <c r="AD209" i="1"/>
  <c r="AE209" i="1" s="1"/>
  <c r="AC209" i="1"/>
  <c r="Z209" i="1"/>
  <c r="Y209" i="1"/>
  <c r="V209" i="1"/>
  <c r="S209" i="1" s="1"/>
  <c r="U209" i="1"/>
  <c r="R209" i="1"/>
  <c r="Q209" i="1"/>
  <c r="N209" i="1"/>
  <c r="O209" i="1" s="1"/>
  <c r="M209" i="1"/>
  <c r="K209" i="1"/>
  <c r="J209" i="1"/>
  <c r="I209" i="1"/>
  <c r="F209" i="1"/>
  <c r="G209" i="1" s="1"/>
  <c r="E209" i="1"/>
  <c r="BN208" i="1"/>
  <c r="BM208" i="1" s="1"/>
  <c r="BL208" i="1"/>
  <c r="BJ208" i="1"/>
  <c r="BI208" i="1"/>
  <c r="BF208" i="1"/>
  <c r="BG208" i="1" s="1"/>
  <c r="BE208" i="1"/>
  <c r="BC208" i="1"/>
  <c r="BB208" i="1"/>
  <c r="BA208" i="1"/>
  <c r="AX208" i="1"/>
  <c r="AY208" i="1" s="1"/>
  <c r="AW208" i="1"/>
  <c r="AT208" i="1"/>
  <c r="AS208" i="1"/>
  <c r="AP208" i="1"/>
  <c r="AM208" i="1" s="1"/>
  <c r="AO208" i="1"/>
  <c r="AL208" i="1"/>
  <c r="AK208" i="1"/>
  <c r="AH208" i="1"/>
  <c r="AI208" i="1" s="1"/>
  <c r="AG208" i="1"/>
  <c r="AE208" i="1"/>
  <c r="AD208" i="1"/>
  <c r="AC208" i="1"/>
  <c r="Z208" i="1"/>
  <c r="AA208" i="1" s="1"/>
  <c r="Y208" i="1"/>
  <c r="W208" i="1"/>
  <c r="V208" i="1"/>
  <c r="U208" i="1"/>
  <c r="R208" i="1"/>
  <c r="S208" i="1" s="1"/>
  <c r="Q208" i="1"/>
  <c r="N208" i="1"/>
  <c r="M208" i="1"/>
  <c r="J208" i="1"/>
  <c r="G208" i="1" s="1"/>
  <c r="I208" i="1"/>
  <c r="F208" i="1"/>
  <c r="E208" i="1"/>
  <c r="BN207" i="1"/>
  <c r="BL207" i="1"/>
  <c r="BJ207" i="1"/>
  <c r="BG207" i="1" s="1"/>
  <c r="BI207" i="1"/>
  <c r="BF207" i="1"/>
  <c r="BE207" i="1"/>
  <c r="BB207" i="1"/>
  <c r="BC207" i="1" s="1"/>
  <c r="BA207" i="1"/>
  <c r="AY207" i="1"/>
  <c r="AX207" i="1"/>
  <c r="AW207" i="1"/>
  <c r="AT207" i="1"/>
  <c r="AU207" i="1" s="1"/>
  <c r="AS207" i="1"/>
  <c r="AQ207" i="1"/>
  <c r="AP207" i="1"/>
  <c r="AO207" i="1"/>
  <c r="AL207" i="1"/>
  <c r="AM207" i="1" s="1"/>
  <c r="AK207" i="1"/>
  <c r="AH207" i="1"/>
  <c r="AG207" i="1"/>
  <c r="AD207" i="1"/>
  <c r="AA207" i="1" s="1"/>
  <c r="AC207" i="1"/>
  <c r="Z207" i="1"/>
  <c r="Y207" i="1"/>
  <c r="V207" i="1"/>
  <c r="W207" i="1" s="1"/>
  <c r="U207" i="1"/>
  <c r="S207" i="1"/>
  <c r="R207" i="1"/>
  <c r="Q207" i="1"/>
  <c r="N207" i="1"/>
  <c r="O207" i="1" s="1"/>
  <c r="M207" i="1"/>
  <c r="K207" i="1"/>
  <c r="J207" i="1"/>
  <c r="I207" i="1"/>
  <c r="F207" i="1"/>
  <c r="G207" i="1" s="1"/>
  <c r="E207" i="1"/>
  <c r="BN206" i="1"/>
  <c r="BL206" i="1"/>
  <c r="BJ206" i="1"/>
  <c r="BM206" i="1" s="1"/>
  <c r="BI206" i="1"/>
  <c r="BF206" i="1"/>
  <c r="BG206" i="1" s="1"/>
  <c r="BE206" i="1"/>
  <c r="BB206" i="1"/>
  <c r="BA206" i="1"/>
  <c r="AX206" i="1"/>
  <c r="AU206" i="1" s="1"/>
  <c r="AW206" i="1"/>
  <c r="AT206" i="1"/>
  <c r="AS206" i="1"/>
  <c r="AP206" i="1"/>
  <c r="AQ206" i="1" s="1"/>
  <c r="AO206" i="1"/>
  <c r="AM206" i="1"/>
  <c r="AL206" i="1"/>
  <c r="AK206" i="1"/>
  <c r="AH206" i="1"/>
  <c r="AI206" i="1" s="1"/>
  <c r="AG206" i="1"/>
  <c r="AE206" i="1"/>
  <c r="AD206" i="1"/>
  <c r="AC206" i="1"/>
  <c r="Z206" i="1"/>
  <c r="AA206" i="1" s="1"/>
  <c r="Y206" i="1"/>
  <c r="V206" i="1"/>
  <c r="U206" i="1"/>
  <c r="R206" i="1"/>
  <c r="O206" i="1" s="1"/>
  <c r="Q206" i="1"/>
  <c r="N206" i="1"/>
  <c r="M206" i="1"/>
  <c r="J206" i="1"/>
  <c r="K206" i="1" s="1"/>
  <c r="I206" i="1"/>
  <c r="G206" i="1"/>
  <c r="F206" i="1"/>
  <c r="E206" i="1"/>
  <c r="BN205" i="1"/>
  <c r="BM205" i="1"/>
  <c r="BK205" i="1"/>
  <c r="BL205" i="1" s="1"/>
  <c r="BJ205" i="1"/>
  <c r="BI205" i="1"/>
  <c r="BH205" i="1"/>
  <c r="BG205" i="1"/>
  <c r="BF205" i="1"/>
  <c r="BE205" i="1"/>
  <c r="BD205" i="1"/>
  <c r="BC205" i="1"/>
  <c r="BB205" i="1"/>
  <c r="BA205" i="1"/>
  <c r="AX205" i="1"/>
  <c r="AY205" i="1" s="1"/>
  <c r="AV205" i="1"/>
  <c r="AW205" i="1" s="1"/>
  <c r="AT205" i="1"/>
  <c r="AU205" i="1" s="1"/>
  <c r="AR205" i="1"/>
  <c r="AS205" i="1" s="1"/>
  <c r="AP205" i="1"/>
  <c r="AQ205" i="1" s="1"/>
  <c r="AN205" i="1"/>
  <c r="AO205" i="1" s="1"/>
  <c r="AL205" i="1"/>
  <c r="AM205" i="1" s="1"/>
  <c r="AJ205" i="1"/>
  <c r="AK205" i="1" s="1"/>
  <c r="AH205" i="1"/>
  <c r="AI205" i="1" s="1"/>
  <c r="AF205" i="1"/>
  <c r="AG205" i="1" s="1"/>
  <c r="AD205" i="1"/>
  <c r="AE205" i="1" s="1"/>
  <c r="AB205" i="1"/>
  <c r="AC205" i="1" s="1"/>
  <c r="Z205" i="1"/>
  <c r="AA205" i="1" s="1"/>
  <c r="X205" i="1"/>
  <c r="Y205" i="1" s="1"/>
  <c r="V205" i="1"/>
  <c r="W205" i="1" s="1"/>
  <c r="U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BN204" i="1"/>
  <c r="BM204" i="1"/>
  <c r="BK204" i="1"/>
  <c r="BL204" i="1" s="1"/>
  <c r="BJ204" i="1"/>
  <c r="BI204" i="1"/>
  <c r="BH204" i="1"/>
  <c r="BG204" i="1"/>
  <c r="BF204" i="1"/>
  <c r="BE204" i="1"/>
  <c r="BD204" i="1"/>
  <c r="BC204" i="1"/>
  <c r="BB204" i="1"/>
  <c r="BA204" i="1"/>
  <c r="AX204" i="1"/>
  <c r="AY204" i="1" s="1"/>
  <c r="AV204" i="1"/>
  <c r="AW204" i="1" s="1"/>
  <c r="AT204" i="1"/>
  <c r="AU204" i="1" s="1"/>
  <c r="AR204" i="1"/>
  <c r="AS204" i="1" s="1"/>
  <c r="AP204" i="1"/>
  <c r="AQ204" i="1" s="1"/>
  <c r="AN204" i="1"/>
  <c r="AO204" i="1" s="1"/>
  <c r="AL204" i="1"/>
  <c r="AM204" i="1" s="1"/>
  <c r="AJ204" i="1"/>
  <c r="AK204" i="1" s="1"/>
  <c r="AH204" i="1"/>
  <c r="AI204" i="1" s="1"/>
  <c r="AF204" i="1"/>
  <c r="AG204" i="1" s="1"/>
  <c r="AD204" i="1"/>
  <c r="AE204" i="1" s="1"/>
  <c r="AB204" i="1"/>
  <c r="AC204" i="1" s="1"/>
  <c r="Z204" i="1"/>
  <c r="AA204" i="1" s="1"/>
  <c r="X204" i="1"/>
  <c r="Y204" i="1" s="1"/>
  <c r="V204" i="1"/>
  <c r="W204" i="1" s="1"/>
  <c r="U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BN203" i="1"/>
  <c r="BM203" i="1"/>
  <c r="BK203" i="1"/>
  <c r="BL203" i="1" s="1"/>
  <c r="BJ203" i="1"/>
  <c r="BI203" i="1"/>
  <c r="BH203" i="1"/>
  <c r="BG203" i="1"/>
  <c r="BF203" i="1"/>
  <c r="BE203" i="1"/>
  <c r="BD203" i="1"/>
  <c r="BC203" i="1"/>
  <c r="BB203" i="1"/>
  <c r="BA203" i="1"/>
  <c r="AX203" i="1"/>
  <c r="AY203" i="1" s="1"/>
  <c r="AV203" i="1"/>
  <c r="AW203" i="1" s="1"/>
  <c r="AT203" i="1"/>
  <c r="AU203" i="1" s="1"/>
  <c r="AR203" i="1"/>
  <c r="AS203" i="1" s="1"/>
  <c r="AP203" i="1"/>
  <c r="AQ203" i="1" s="1"/>
  <c r="AN203" i="1"/>
  <c r="AO203" i="1" s="1"/>
  <c r="AL203" i="1"/>
  <c r="AM203" i="1" s="1"/>
  <c r="AJ203" i="1"/>
  <c r="AK203" i="1" s="1"/>
  <c r="AH203" i="1"/>
  <c r="AI203" i="1" s="1"/>
  <c r="AF203" i="1"/>
  <c r="AG203" i="1" s="1"/>
  <c r="AD203" i="1"/>
  <c r="AE203" i="1" s="1"/>
  <c r="AB203" i="1"/>
  <c r="AC203" i="1" s="1"/>
  <c r="Z203" i="1"/>
  <c r="AA203" i="1" s="1"/>
  <c r="X203" i="1"/>
  <c r="Y203" i="1" s="1"/>
  <c r="V203" i="1"/>
  <c r="W203" i="1" s="1"/>
  <c r="U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BN202" i="1"/>
  <c r="BM202" i="1"/>
  <c r="BL202" i="1"/>
  <c r="BJ202" i="1"/>
  <c r="BG202" i="1" s="1"/>
  <c r="BI202" i="1"/>
  <c r="BF202" i="1"/>
  <c r="BE202" i="1"/>
  <c r="BB202" i="1"/>
  <c r="AY202" i="1" s="1"/>
  <c r="BA202" i="1"/>
  <c r="AX202" i="1"/>
  <c r="AW202" i="1"/>
  <c r="AT202" i="1"/>
  <c r="AU202" i="1" s="1"/>
  <c r="AS202" i="1"/>
  <c r="AQ202" i="1"/>
  <c r="AP202" i="1"/>
  <c r="AO202" i="1"/>
  <c r="AL202" i="1"/>
  <c r="AM202" i="1" s="1"/>
  <c r="AK202" i="1"/>
  <c r="AI202" i="1"/>
  <c r="AH202" i="1"/>
  <c r="AG202" i="1"/>
  <c r="AD202" i="1"/>
  <c r="AE202" i="1" s="1"/>
  <c r="AC202" i="1"/>
  <c r="Z202" i="1"/>
  <c r="Y202" i="1"/>
  <c r="V202" i="1"/>
  <c r="S202" i="1" s="1"/>
  <c r="U202" i="1"/>
  <c r="R202" i="1"/>
  <c r="Q202" i="1"/>
  <c r="N202" i="1"/>
  <c r="O202" i="1" s="1"/>
  <c r="M202" i="1"/>
  <c r="K202" i="1"/>
  <c r="J202" i="1"/>
  <c r="I202" i="1"/>
  <c r="F202" i="1"/>
  <c r="G202" i="1" s="1"/>
  <c r="E202" i="1"/>
  <c r="BN201" i="1"/>
  <c r="BM201" i="1" s="1"/>
  <c r="BL201" i="1"/>
  <c r="BJ201" i="1"/>
  <c r="BI201" i="1"/>
  <c r="BF201" i="1"/>
  <c r="BG201" i="1" s="1"/>
  <c r="BE201" i="1"/>
  <c r="BC201" i="1"/>
  <c r="BB201" i="1"/>
  <c r="BA201" i="1"/>
  <c r="AX201" i="1"/>
  <c r="AY201" i="1" s="1"/>
  <c r="AW201" i="1"/>
  <c r="AT201" i="1"/>
  <c r="AS201" i="1"/>
  <c r="AP201" i="1"/>
  <c r="AM201" i="1" s="1"/>
  <c r="AO201" i="1"/>
  <c r="AL201" i="1"/>
  <c r="AK201" i="1"/>
  <c r="AH201" i="1"/>
  <c r="AI201" i="1" s="1"/>
  <c r="AG201" i="1"/>
  <c r="AE201" i="1"/>
  <c r="AD201" i="1"/>
  <c r="AC201" i="1"/>
  <c r="Z201" i="1"/>
  <c r="AA201" i="1" s="1"/>
  <c r="Y201" i="1"/>
  <c r="W201" i="1"/>
  <c r="V201" i="1"/>
  <c r="U201" i="1"/>
  <c r="R201" i="1"/>
  <c r="S201" i="1" s="1"/>
  <c r="Q201" i="1"/>
  <c r="N201" i="1"/>
  <c r="M201" i="1"/>
  <c r="J201" i="1"/>
  <c r="G201" i="1" s="1"/>
  <c r="I201" i="1"/>
  <c r="F201" i="1"/>
  <c r="E201" i="1"/>
  <c r="BN200" i="1"/>
  <c r="BL200" i="1"/>
  <c r="BJ200" i="1"/>
  <c r="BG200" i="1" s="1"/>
  <c r="BI200" i="1"/>
  <c r="BF200" i="1"/>
  <c r="BE200" i="1"/>
  <c r="BB200" i="1"/>
  <c r="BC200" i="1" s="1"/>
  <c r="BA200" i="1"/>
  <c r="AY200" i="1"/>
  <c r="AX200" i="1"/>
  <c r="AW200" i="1"/>
  <c r="AT200" i="1"/>
  <c r="AU200" i="1" s="1"/>
  <c r="AS200" i="1"/>
  <c r="AQ200" i="1"/>
  <c r="AP200" i="1"/>
  <c r="AO200" i="1"/>
  <c r="AL200" i="1"/>
  <c r="AM200" i="1" s="1"/>
  <c r="AK200" i="1"/>
  <c r="AH200" i="1"/>
  <c r="AG200" i="1"/>
  <c r="AD200" i="1"/>
  <c r="AA200" i="1" s="1"/>
  <c r="AC200" i="1"/>
  <c r="Z200" i="1"/>
  <c r="Y200" i="1"/>
  <c r="V200" i="1"/>
  <c r="W200" i="1" s="1"/>
  <c r="U200" i="1"/>
  <c r="S200" i="1"/>
  <c r="R200" i="1"/>
  <c r="Q200" i="1"/>
  <c r="N200" i="1"/>
  <c r="O200" i="1" s="1"/>
  <c r="M200" i="1"/>
  <c r="K200" i="1"/>
  <c r="J200" i="1"/>
  <c r="I200" i="1"/>
  <c r="F200" i="1"/>
  <c r="G200" i="1" s="1"/>
  <c r="E200" i="1"/>
  <c r="BN199" i="1"/>
  <c r="BL199" i="1"/>
  <c r="BJ199" i="1"/>
  <c r="BM199" i="1" s="1"/>
  <c r="BI199" i="1"/>
  <c r="BF199" i="1"/>
  <c r="BG199" i="1" s="1"/>
  <c r="BE199" i="1"/>
  <c r="BB199" i="1"/>
  <c r="BA199" i="1"/>
  <c r="AX199" i="1"/>
  <c r="AU199" i="1" s="1"/>
  <c r="AW199" i="1"/>
  <c r="AT199" i="1"/>
  <c r="AS199" i="1"/>
  <c r="AP199" i="1"/>
  <c r="AQ199" i="1" s="1"/>
  <c r="AO199" i="1"/>
  <c r="AM199" i="1"/>
  <c r="AL199" i="1"/>
  <c r="AK199" i="1"/>
  <c r="AH199" i="1"/>
  <c r="AI199" i="1" s="1"/>
  <c r="AG199" i="1"/>
  <c r="AE199" i="1"/>
  <c r="AD199" i="1"/>
  <c r="AC199" i="1"/>
  <c r="Z199" i="1"/>
  <c r="AA199" i="1" s="1"/>
  <c r="Y199" i="1"/>
  <c r="V199" i="1"/>
  <c r="U199" i="1"/>
  <c r="R199" i="1"/>
  <c r="O199" i="1" s="1"/>
  <c r="Q199" i="1"/>
  <c r="N199" i="1"/>
  <c r="M199" i="1"/>
  <c r="J199" i="1"/>
  <c r="K199" i="1" s="1"/>
  <c r="I199" i="1"/>
  <c r="G199" i="1"/>
  <c r="F199" i="1"/>
  <c r="E199" i="1"/>
  <c r="BN198" i="1"/>
  <c r="BL198" i="1"/>
  <c r="BJ198" i="1"/>
  <c r="BM198" i="1" s="1"/>
  <c r="BI198" i="1"/>
  <c r="BG198" i="1"/>
  <c r="BF198" i="1"/>
  <c r="BE198" i="1"/>
  <c r="BB198" i="1"/>
  <c r="BC198" i="1" s="1"/>
  <c r="BA198" i="1"/>
  <c r="AY198" i="1"/>
  <c r="AX198" i="1"/>
  <c r="AW198" i="1"/>
  <c r="AT198" i="1"/>
  <c r="AU198" i="1" s="1"/>
  <c r="AS198" i="1"/>
  <c r="AP198" i="1"/>
  <c r="AO198" i="1"/>
  <c r="AL198" i="1"/>
  <c r="AI198" i="1" s="1"/>
  <c r="AK198" i="1"/>
  <c r="AH198" i="1"/>
  <c r="AG198" i="1"/>
  <c r="AD198" i="1"/>
  <c r="AE198" i="1" s="1"/>
  <c r="AC198" i="1"/>
  <c r="AA198" i="1"/>
  <c r="Z198" i="1"/>
  <c r="Y198" i="1"/>
  <c r="V198" i="1"/>
  <c r="W198" i="1" s="1"/>
  <c r="U198" i="1"/>
  <c r="S198" i="1"/>
  <c r="R198" i="1"/>
  <c r="Q198" i="1"/>
  <c r="N198" i="1"/>
  <c r="O198" i="1" s="1"/>
  <c r="M198" i="1"/>
  <c r="J198" i="1"/>
  <c r="I198" i="1"/>
  <c r="F198" i="1"/>
  <c r="G198" i="1" s="1"/>
  <c r="E198" i="1"/>
  <c r="BN197" i="1"/>
  <c r="BM197" i="1" s="1"/>
  <c r="BL197" i="1"/>
  <c r="BJ197" i="1"/>
  <c r="BI197" i="1"/>
  <c r="BF197" i="1"/>
  <c r="BC197" i="1" s="1"/>
  <c r="BE197" i="1"/>
  <c r="BB197" i="1"/>
  <c r="BA197" i="1"/>
  <c r="AX197" i="1"/>
  <c r="AY197" i="1" s="1"/>
  <c r="AW197" i="1"/>
  <c r="AU197" i="1"/>
  <c r="AT197" i="1"/>
  <c r="AS197" i="1"/>
  <c r="AP197" i="1"/>
  <c r="AQ197" i="1" s="1"/>
  <c r="AO197" i="1"/>
  <c r="AM197" i="1"/>
  <c r="AL197" i="1"/>
  <c r="AK197" i="1"/>
  <c r="AH197" i="1"/>
  <c r="AI197" i="1" s="1"/>
  <c r="AF197" i="1"/>
  <c r="AG197" i="1" s="1"/>
  <c r="AD197" i="1"/>
  <c r="AE197" i="1" s="1"/>
  <c r="AB197" i="1"/>
  <c r="AC197" i="1" s="1"/>
  <c r="Z197" i="1"/>
  <c r="AA197" i="1" s="1"/>
  <c r="X197" i="1"/>
  <c r="Y197" i="1" s="1"/>
  <c r="V197" i="1"/>
  <c r="W197" i="1" s="1"/>
  <c r="T197" i="1"/>
  <c r="U197" i="1" s="1"/>
  <c r="R197" i="1"/>
  <c r="S197" i="1" s="1"/>
  <c r="P197" i="1"/>
  <c r="Q197" i="1" s="1"/>
  <c r="N197" i="1"/>
  <c r="O197" i="1" s="1"/>
  <c r="M197" i="1"/>
  <c r="K197" i="1"/>
  <c r="J197" i="1"/>
  <c r="I197" i="1"/>
  <c r="F197" i="1"/>
  <c r="G197" i="1" s="1"/>
  <c r="E197" i="1"/>
  <c r="BN196" i="1"/>
  <c r="BM196" i="1" s="1"/>
  <c r="BL196" i="1"/>
  <c r="BJ196" i="1"/>
  <c r="BI196" i="1"/>
  <c r="BF196" i="1"/>
  <c r="BG196" i="1" s="1"/>
  <c r="BE196" i="1"/>
  <c r="BC196" i="1"/>
  <c r="BB196" i="1"/>
  <c r="BA196" i="1"/>
  <c r="AX196" i="1"/>
  <c r="AY196" i="1" s="1"/>
  <c r="AW196" i="1"/>
  <c r="AT196" i="1"/>
  <c r="AS196" i="1"/>
  <c r="AP196" i="1"/>
  <c r="AM196" i="1" s="1"/>
  <c r="AO196" i="1"/>
  <c r="AL196" i="1"/>
  <c r="AK196" i="1"/>
  <c r="AH196" i="1"/>
  <c r="AI196" i="1" s="1"/>
  <c r="AF196" i="1"/>
  <c r="AG196" i="1" s="1"/>
  <c r="AD196" i="1"/>
  <c r="AE196" i="1" s="1"/>
  <c r="AB196" i="1"/>
  <c r="AC196" i="1" s="1"/>
  <c r="Z196" i="1"/>
  <c r="AA196" i="1" s="1"/>
  <c r="X196" i="1"/>
  <c r="Y196" i="1" s="1"/>
  <c r="V196" i="1"/>
  <c r="W196" i="1" s="1"/>
  <c r="T196" i="1"/>
  <c r="U196" i="1" s="1"/>
  <c r="R196" i="1"/>
  <c r="S196" i="1" s="1"/>
  <c r="P196" i="1"/>
  <c r="Q196" i="1" s="1"/>
  <c r="N196" i="1"/>
  <c r="O196" i="1" s="1"/>
  <c r="M196" i="1"/>
  <c r="J196" i="1"/>
  <c r="I196" i="1"/>
  <c r="F196" i="1"/>
  <c r="G196" i="1" s="1"/>
  <c r="E196" i="1"/>
  <c r="BN195" i="1"/>
  <c r="BM195" i="1" s="1"/>
  <c r="BL195" i="1"/>
  <c r="BJ195" i="1"/>
  <c r="BI195" i="1"/>
  <c r="BF195" i="1"/>
  <c r="BC195" i="1" s="1"/>
  <c r="BE195" i="1"/>
  <c r="BB195" i="1"/>
  <c r="BA195" i="1"/>
  <c r="AX195" i="1"/>
  <c r="AY195" i="1" s="1"/>
  <c r="AW195" i="1"/>
  <c r="AU195" i="1"/>
  <c r="AT195" i="1"/>
  <c r="AS195" i="1"/>
  <c r="AP195" i="1"/>
  <c r="AQ195" i="1" s="1"/>
  <c r="AO195" i="1"/>
  <c r="AM195" i="1"/>
  <c r="AL195" i="1"/>
  <c r="AK195" i="1"/>
  <c r="AH195" i="1"/>
  <c r="AI195" i="1" s="1"/>
  <c r="AF195" i="1"/>
  <c r="AG195" i="1" s="1"/>
  <c r="AD195" i="1"/>
  <c r="AE195" i="1" s="1"/>
  <c r="AB195" i="1"/>
  <c r="AC195" i="1" s="1"/>
  <c r="Z195" i="1"/>
  <c r="AA195" i="1" s="1"/>
  <c r="X195" i="1"/>
  <c r="Y195" i="1" s="1"/>
  <c r="V195" i="1"/>
  <c r="W195" i="1" s="1"/>
  <c r="T195" i="1"/>
  <c r="U195" i="1" s="1"/>
  <c r="R195" i="1"/>
  <c r="S195" i="1" s="1"/>
  <c r="P195" i="1"/>
  <c r="Q195" i="1" s="1"/>
  <c r="N195" i="1"/>
  <c r="O195" i="1" s="1"/>
  <c r="M195" i="1"/>
  <c r="K195" i="1"/>
  <c r="J195" i="1"/>
  <c r="I195" i="1"/>
  <c r="F195" i="1"/>
  <c r="G195" i="1" s="1"/>
  <c r="E195" i="1"/>
  <c r="BN194" i="1"/>
  <c r="BM194" i="1" s="1"/>
  <c r="BL194" i="1"/>
  <c r="BJ194" i="1"/>
  <c r="BI194" i="1"/>
  <c r="BF194" i="1"/>
  <c r="BG194" i="1" s="1"/>
  <c r="BE194" i="1"/>
  <c r="BC194" i="1"/>
  <c r="BB194" i="1"/>
  <c r="BA194" i="1"/>
  <c r="AX194" i="1"/>
  <c r="AY194" i="1" s="1"/>
  <c r="AW194" i="1"/>
  <c r="AT194" i="1"/>
  <c r="AS194" i="1"/>
  <c r="AP194" i="1"/>
  <c r="AM194" i="1" s="1"/>
  <c r="AO194" i="1"/>
  <c r="AL194" i="1"/>
  <c r="AK194" i="1"/>
  <c r="AH194" i="1"/>
  <c r="AI194" i="1" s="1"/>
  <c r="AG194" i="1"/>
  <c r="AE194" i="1"/>
  <c r="AD194" i="1"/>
  <c r="AC194" i="1"/>
  <c r="Z194" i="1"/>
  <c r="AA194" i="1" s="1"/>
  <c r="Y194" i="1"/>
  <c r="W194" i="1"/>
  <c r="V194" i="1"/>
  <c r="U194" i="1"/>
  <c r="R194" i="1"/>
  <c r="S194" i="1" s="1"/>
  <c r="Q194" i="1"/>
  <c r="N194" i="1"/>
  <c r="M194" i="1"/>
  <c r="J194" i="1"/>
  <c r="G194" i="1" s="1"/>
  <c r="I194" i="1"/>
  <c r="F194" i="1"/>
  <c r="E194" i="1"/>
  <c r="BN193" i="1"/>
  <c r="BL193" i="1"/>
  <c r="BJ193" i="1"/>
  <c r="BG193" i="1" s="1"/>
  <c r="BI193" i="1"/>
  <c r="BF193" i="1"/>
  <c r="BE193" i="1"/>
  <c r="BB193" i="1"/>
  <c r="BC193" i="1" s="1"/>
  <c r="BA193" i="1"/>
  <c r="AY193" i="1"/>
  <c r="AX193" i="1"/>
  <c r="AW193" i="1"/>
  <c r="AT193" i="1"/>
  <c r="AU193" i="1" s="1"/>
  <c r="AS193" i="1"/>
  <c r="AQ193" i="1"/>
  <c r="AP193" i="1"/>
  <c r="AO193" i="1"/>
  <c r="AL193" i="1"/>
  <c r="AM193" i="1" s="1"/>
  <c r="AK193" i="1"/>
  <c r="AH193" i="1"/>
  <c r="AG193" i="1"/>
  <c r="AD193" i="1"/>
  <c r="AA193" i="1" s="1"/>
  <c r="AC193" i="1"/>
  <c r="Z193" i="1"/>
  <c r="Y193" i="1"/>
  <c r="V193" i="1"/>
  <c r="W193" i="1" s="1"/>
  <c r="U193" i="1"/>
  <c r="S193" i="1"/>
  <c r="R193" i="1"/>
  <c r="Q193" i="1"/>
  <c r="N193" i="1"/>
  <c r="O193" i="1" s="1"/>
  <c r="M193" i="1"/>
  <c r="K193" i="1"/>
  <c r="J193" i="1"/>
  <c r="I193" i="1"/>
  <c r="F193" i="1"/>
  <c r="G193" i="1" s="1"/>
  <c r="E193" i="1"/>
  <c r="BN192" i="1"/>
  <c r="BL192" i="1"/>
  <c r="BJ192" i="1"/>
  <c r="BM192" i="1" s="1"/>
  <c r="BI192" i="1"/>
  <c r="BF192" i="1"/>
  <c r="BG192" i="1" s="1"/>
  <c r="BE192" i="1"/>
  <c r="BB192" i="1"/>
  <c r="BA192" i="1"/>
  <c r="AX192" i="1"/>
  <c r="AU192" i="1" s="1"/>
  <c r="AW192" i="1"/>
  <c r="AT192" i="1"/>
  <c r="AS192" i="1"/>
  <c r="AP192" i="1"/>
  <c r="AQ192" i="1" s="1"/>
  <c r="AO192" i="1"/>
  <c r="AM192" i="1"/>
  <c r="AL192" i="1"/>
  <c r="AK192" i="1"/>
  <c r="AH192" i="1"/>
  <c r="AI192" i="1" s="1"/>
  <c r="AG192" i="1"/>
  <c r="AE192" i="1"/>
  <c r="AD192" i="1"/>
  <c r="AC192" i="1"/>
  <c r="Z192" i="1"/>
  <c r="AA192" i="1" s="1"/>
  <c r="Y192" i="1"/>
  <c r="V192" i="1"/>
  <c r="U192" i="1"/>
  <c r="R192" i="1"/>
  <c r="O192" i="1" s="1"/>
  <c r="Q192" i="1"/>
  <c r="N192" i="1"/>
  <c r="M192" i="1"/>
  <c r="J192" i="1"/>
  <c r="K192" i="1" s="1"/>
  <c r="I192" i="1"/>
  <c r="G192" i="1"/>
  <c r="F192" i="1"/>
  <c r="E192" i="1"/>
  <c r="BN191" i="1"/>
  <c r="BL191" i="1"/>
  <c r="BJ191" i="1"/>
  <c r="BM191" i="1" s="1"/>
  <c r="BI191" i="1"/>
  <c r="BG191" i="1"/>
  <c r="BF191" i="1"/>
  <c r="BE191" i="1"/>
  <c r="BB191" i="1"/>
  <c r="BC191" i="1" s="1"/>
  <c r="BA191" i="1"/>
  <c r="AY191" i="1"/>
  <c r="AX191" i="1"/>
  <c r="AW191" i="1"/>
  <c r="AT191" i="1"/>
  <c r="AU191" i="1" s="1"/>
  <c r="AS191" i="1"/>
  <c r="AP191" i="1"/>
  <c r="AO191" i="1"/>
  <c r="AL191" i="1"/>
  <c r="AI191" i="1" s="1"/>
  <c r="AK191" i="1"/>
  <c r="AH191" i="1"/>
  <c r="AG191" i="1"/>
  <c r="AD191" i="1"/>
  <c r="AE191" i="1" s="1"/>
  <c r="AC191" i="1"/>
  <c r="AA191" i="1"/>
  <c r="Z191" i="1"/>
  <c r="Y191" i="1"/>
  <c r="V191" i="1"/>
  <c r="W191" i="1" s="1"/>
  <c r="U191" i="1"/>
  <c r="S191" i="1"/>
  <c r="R191" i="1"/>
  <c r="Q191" i="1"/>
  <c r="N191" i="1"/>
  <c r="O191" i="1" s="1"/>
  <c r="M191" i="1"/>
  <c r="J191" i="1"/>
  <c r="I191" i="1"/>
  <c r="F191" i="1"/>
  <c r="G191" i="1" s="1"/>
  <c r="E191" i="1"/>
  <c r="BN190" i="1"/>
  <c r="BM190" i="1" s="1"/>
  <c r="BL190" i="1"/>
  <c r="BJ190" i="1"/>
  <c r="BI190" i="1"/>
  <c r="BF190" i="1"/>
  <c r="BC190" i="1" s="1"/>
  <c r="BE190" i="1"/>
  <c r="BB190" i="1"/>
  <c r="BA190" i="1"/>
  <c r="AX190" i="1"/>
  <c r="AY190" i="1" s="1"/>
  <c r="AW190" i="1"/>
  <c r="AU190" i="1"/>
  <c r="AT190" i="1"/>
  <c r="AS190" i="1"/>
  <c r="AP190" i="1"/>
  <c r="AQ190" i="1" s="1"/>
  <c r="AO190" i="1"/>
  <c r="AM190" i="1"/>
  <c r="AL190" i="1"/>
  <c r="AK190" i="1"/>
  <c r="AH190" i="1"/>
  <c r="AI190" i="1" s="1"/>
  <c r="AG190" i="1"/>
  <c r="AD190" i="1"/>
  <c r="AC190" i="1"/>
  <c r="Z190" i="1"/>
  <c r="W190" i="1" s="1"/>
  <c r="Y190" i="1"/>
  <c r="V190" i="1"/>
  <c r="U190" i="1"/>
  <c r="R190" i="1"/>
  <c r="S190" i="1" s="1"/>
  <c r="Q190" i="1"/>
  <c r="O190" i="1"/>
  <c r="N190" i="1"/>
  <c r="M190" i="1"/>
  <c r="J190" i="1"/>
  <c r="K190" i="1" s="1"/>
  <c r="I190" i="1"/>
  <c r="G190" i="1"/>
  <c r="F190" i="1"/>
  <c r="E190" i="1"/>
  <c r="BN189" i="1"/>
  <c r="BM189" i="1"/>
  <c r="BL189" i="1"/>
  <c r="BJ189" i="1"/>
  <c r="BI189" i="1"/>
  <c r="BG189" i="1"/>
  <c r="BF189" i="1"/>
  <c r="BE189" i="1"/>
  <c r="BB189" i="1"/>
  <c r="BC189" i="1" s="1"/>
  <c r="BA189" i="1"/>
  <c r="AX189" i="1"/>
  <c r="AW189" i="1"/>
  <c r="AT189" i="1"/>
  <c r="AQ189" i="1" s="1"/>
  <c r="AS189" i="1"/>
  <c r="AP189" i="1"/>
  <c r="AO189" i="1"/>
  <c r="AL189" i="1"/>
  <c r="AM189" i="1" s="1"/>
  <c r="AK189" i="1"/>
  <c r="AI189" i="1"/>
  <c r="AH189" i="1"/>
  <c r="AG189" i="1"/>
  <c r="AD189" i="1"/>
  <c r="AE189" i="1" s="1"/>
  <c r="AC189" i="1"/>
  <c r="AA189" i="1"/>
  <c r="Z189" i="1"/>
  <c r="Y189" i="1"/>
  <c r="V189" i="1"/>
  <c r="W189" i="1" s="1"/>
  <c r="U189" i="1"/>
  <c r="R189" i="1"/>
  <c r="Q189" i="1"/>
  <c r="N189" i="1"/>
  <c r="K189" i="1" s="1"/>
  <c r="M189" i="1"/>
  <c r="J189" i="1"/>
  <c r="I189" i="1"/>
  <c r="F189" i="1"/>
  <c r="G189" i="1" s="1"/>
  <c r="E189" i="1"/>
  <c r="BN188" i="1"/>
  <c r="BL188" i="1"/>
  <c r="BJ188" i="1"/>
  <c r="BM188" i="1" s="1"/>
  <c r="BI188" i="1"/>
  <c r="BF188" i="1"/>
  <c r="BG188" i="1" s="1"/>
  <c r="BE188" i="1"/>
  <c r="BC188" i="1"/>
  <c r="BB188" i="1"/>
  <c r="BA188" i="1"/>
  <c r="AX188" i="1"/>
  <c r="AY188" i="1" s="1"/>
  <c r="AW188" i="1"/>
  <c r="AU188" i="1"/>
  <c r="AT188" i="1"/>
  <c r="AS188" i="1"/>
  <c r="AP188" i="1"/>
  <c r="AQ188" i="1" s="1"/>
  <c r="AO188" i="1"/>
  <c r="AL188" i="1"/>
  <c r="AK188" i="1"/>
  <c r="AH188" i="1"/>
  <c r="AE188" i="1" s="1"/>
  <c r="AG188" i="1"/>
  <c r="AD188" i="1"/>
  <c r="AC188" i="1"/>
  <c r="Z188" i="1"/>
  <c r="AA188" i="1" s="1"/>
  <c r="Y188" i="1"/>
  <c r="W188" i="1"/>
  <c r="V188" i="1"/>
  <c r="U188" i="1"/>
  <c r="R188" i="1"/>
  <c r="S188" i="1" s="1"/>
  <c r="Q188" i="1"/>
  <c r="O188" i="1"/>
  <c r="N188" i="1"/>
  <c r="M188" i="1"/>
  <c r="J188" i="1"/>
  <c r="K188" i="1" s="1"/>
  <c r="I188" i="1"/>
  <c r="F188" i="1"/>
  <c r="E188" i="1"/>
  <c r="BN187" i="1"/>
  <c r="BM187" i="1"/>
  <c r="BL187" i="1"/>
  <c r="BJ187" i="1"/>
  <c r="BG187" i="1" s="1"/>
  <c r="BI187" i="1"/>
  <c r="BF187" i="1"/>
  <c r="BE187" i="1"/>
  <c r="BB187" i="1"/>
  <c r="AY187" i="1" s="1"/>
  <c r="BA187" i="1"/>
  <c r="AX187" i="1"/>
  <c r="AW187" i="1"/>
  <c r="AT187" i="1"/>
  <c r="AU187" i="1" s="1"/>
  <c r="AS187" i="1"/>
  <c r="AQ187" i="1"/>
  <c r="AP187" i="1"/>
  <c r="AO187" i="1"/>
  <c r="AL187" i="1"/>
  <c r="AM187" i="1" s="1"/>
  <c r="AK187" i="1"/>
  <c r="AI187" i="1"/>
  <c r="AH187" i="1"/>
  <c r="AG187" i="1"/>
  <c r="AD187" i="1"/>
  <c r="AE187" i="1" s="1"/>
  <c r="AC187" i="1"/>
  <c r="Z187" i="1"/>
  <c r="Y187" i="1"/>
  <c r="V187" i="1"/>
  <c r="S187" i="1" s="1"/>
  <c r="U187" i="1"/>
  <c r="R187" i="1"/>
  <c r="Q187" i="1"/>
  <c r="N187" i="1"/>
  <c r="O187" i="1" s="1"/>
  <c r="M187" i="1"/>
  <c r="K187" i="1"/>
  <c r="J187" i="1"/>
  <c r="I187" i="1"/>
  <c r="F187" i="1"/>
  <c r="G187" i="1" s="1"/>
  <c r="E187" i="1"/>
  <c r="BN186" i="1"/>
  <c r="BM186" i="1" s="1"/>
  <c r="BL186" i="1"/>
  <c r="BJ186" i="1"/>
  <c r="BI186" i="1"/>
  <c r="BF186" i="1"/>
  <c r="BG186" i="1" s="1"/>
  <c r="BE186" i="1"/>
  <c r="BC186" i="1"/>
  <c r="BB186" i="1"/>
  <c r="BA186" i="1"/>
  <c r="AX186" i="1"/>
  <c r="AY186" i="1" s="1"/>
  <c r="AW186" i="1"/>
  <c r="AT186" i="1"/>
  <c r="AS186" i="1"/>
  <c r="AP186" i="1"/>
  <c r="AM186" i="1" s="1"/>
  <c r="AO186" i="1"/>
  <c r="AL186" i="1"/>
  <c r="AK186" i="1"/>
  <c r="AH186" i="1"/>
  <c r="AI186" i="1" s="1"/>
  <c r="AG186" i="1"/>
  <c r="AE186" i="1"/>
  <c r="AD186" i="1"/>
  <c r="AC186" i="1"/>
  <c r="Z186" i="1"/>
  <c r="AA186" i="1" s="1"/>
  <c r="Y186" i="1"/>
  <c r="W186" i="1"/>
  <c r="V186" i="1"/>
  <c r="U186" i="1"/>
  <c r="R186" i="1"/>
  <c r="S186" i="1" s="1"/>
  <c r="Q186" i="1"/>
  <c r="N186" i="1"/>
  <c r="M186" i="1"/>
  <c r="J186" i="1"/>
  <c r="G186" i="1" s="1"/>
  <c r="I186" i="1"/>
  <c r="F186" i="1"/>
  <c r="E186" i="1"/>
  <c r="BN185" i="1"/>
  <c r="BL185" i="1"/>
  <c r="BJ185" i="1"/>
  <c r="BG185" i="1" s="1"/>
  <c r="BI185" i="1"/>
  <c r="BF185" i="1"/>
  <c r="BE185" i="1"/>
  <c r="BB185" i="1"/>
  <c r="BC185" i="1" s="1"/>
  <c r="BA185" i="1"/>
  <c r="AY185" i="1"/>
  <c r="AX185" i="1"/>
  <c r="AW185" i="1"/>
  <c r="AV185" i="1"/>
  <c r="AU185" i="1"/>
  <c r="AT185" i="1"/>
  <c r="AS185" i="1"/>
  <c r="AP185" i="1"/>
  <c r="AM185" i="1" s="1"/>
  <c r="AO185" i="1"/>
  <c r="AL185" i="1"/>
  <c r="AK185" i="1"/>
  <c r="AH185" i="1"/>
  <c r="AI185" i="1" s="1"/>
  <c r="AF185" i="1"/>
  <c r="AG185" i="1" s="1"/>
  <c r="AD185" i="1"/>
  <c r="AE185" i="1" s="1"/>
  <c r="AC185" i="1"/>
  <c r="Z185" i="1"/>
  <c r="Y185" i="1"/>
  <c r="V185" i="1"/>
  <c r="S185" i="1" s="1"/>
  <c r="U185" i="1"/>
  <c r="R185" i="1"/>
  <c r="Q185" i="1"/>
  <c r="N185" i="1"/>
  <c r="O185" i="1" s="1"/>
  <c r="M185" i="1"/>
  <c r="K185" i="1"/>
  <c r="J185" i="1"/>
  <c r="I185" i="1"/>
  <c r="F185" i="1"/>
  <c r="G185" i="1" s="1"/>
  <c r="E185" i="1"/>
  <c r="BN184" i="1"/>
  <c r="BM184" i="1" s="1"/>
  <c r="BL184" i="1"/>
  <c r="BJ184" i="1"/>
  <c r="BI184" i="1"/>
  <c r="BF184" i="1"/>
  <c r="BG184" i="1" s="1"/>
  <c r="BE184" i="1"/>
  <c r="BC184" i="1"/>
  <c r="BB184" i="1"/>
  <c r="BA184" i="1"/>
  <c r="AX184" i="1"/>
  <c r="AY184" i="1" s="1"/>
  <c r="AV184" i="1"/>
  <c r="AW184" i="1" s="1"/>
  <c r="AT184" i="1"/>
  <c r="AU184" i="1" s="1"/>
  <c r="AS184" i="1"/>
  <c r="AQ184" i="1"/>
  <c r="AP184" i="1"/>
  <c r="AO184" i="1"/>
  <c r="AL184" i="1"/>
  <c r="AM184" i="1" s="1"/>
  <c r="AK184" i="1"/>
  <c r="AI184" i="1"/>
  <c r="AH184" i="1"/>
  <c r="AG184" i="1"/>
  <c r="AF184" i="1"/>
  <c r="AE184" i="1"/>
  <c r="AD184" i="1"/>
  <c r="AC184" i="1"/>
  <c r="Z184" i="1"/>
  <c r="AA184" i="1" s="1"/>
  <c r="Y184" i="1"/>
  <c r="W184" i="1"/>
  <c r="V184" i="1"/>
  <c r="U184" i="1"/>
  <c r="R184" i="1"/>
  <c r="S184" i="1" s="1"/>
  <c r="Q184" i="1"/>
  <c r="O184" i="1"/>
  <c r="N184" i="1"/>
  <c r="M184" i="1"/>
  <c r="J184" i="1"/>
  <c r="K184" i="1" s="1"/>
  <c r="I184" i="1"/>
  <c r="F184" i="1"/>
  <c r="E184" i="1"/>
  <c r="BN183" i="1"/>
  <c r="BM183" i="1"/>
  <c r="BL183" i="1"/>
  <c r="BJ183" i="1"/>
  <c r="BG183" i="1" s="1"/>
  <c r="BI183" i="1"/>
  <c r="BF183" i="1"/>
  <c r="BE183" i="1"/>
  <c r="BB183" i="1"/>
  <c r="AY183" i="1" s="1"/>
  <c r="BA183" i="1"/>
  <c r="AX183" i="1"/>
  <c r="AW183" i="1"/>
  <c r="AV183" i="1"/>
  <c r="AU183" i="1"/>
  <c r="AT183" i="1"/>
  <c r="AS183" i="1"/>
  <c r="AP183" i="1"/>
  <c r="AQ183" i="1" s="1"/>
  <c r="AO183" i="1"/>
  <c r="AL183" i="1"/>
  <c r="AK183" i="1"/>
  <c r="AH183" i="1"/>
  <c r="AI183" i="1" s="1"/>
  <c r="AF183" i="1"/>
  <c r="AG183" i="1" s="1"/>
  <c r="AD183" i="1"/>
  <c r="AE183" i="1" s="1"/>
  <c r="AC183" i="1"/>
  <c r="AA183" i="1"/>
  <c r="Z183" i="1"/>
  <c r="Y183" i="1"/>
  <c r="V183" i="1"/>
  <c r="W183" i="1" s="1"/>
  <c r="U183" i="1"/>
  <c r="R183" i="1"/>
  <c r="Q183" i="1"/>
  <c r="N183" i="1"/>
  <c r="K183" i="1" s="1"/>
  <c r="M183" i="1"/>
  <c r="J183" i="1"/>
  <c r="I183" i="1"/>
  <c r="F183" i="1"/>
  <c r="G183" i="1" s="1"/>
  <c r="E183" i="1"/>
  <c r="BN182" i="1"/>
  <c r="BL182" i="1"/>
  <c r="BJ182" i="1"/>
  <c r="BM182" i="1" s="1"/>
  <c r="BI182" i="1"/>
  <c r="BF182" i="1"/>
  <c r="BG182" i="1" s="1"/>
  <c r="BE182" i="1"/>
  <c r="BC182" i="1"/>
  <c r="BB182" i="1"/>
  <c r="BA182" i="1"/>
  <c r="AX182" i="1"/>
  <c r="AY182" i="1" s="1"/>
  <c r="AW182" i="1"/>
  <c r="AU182" i="1"/>
  <c r="AT182" i="1"/>
  <c r="AS182" i="1"/>
  <c r="AP182" i="1"/>
  <c r="AQ182" i="1" s="1"/>
  <c r="AO182" i="1"/>
  <c r="AL182" i="1"/>
  <c r="AK182" i="1"/>
  <c r="AH182" i="1"/>
  <c r="AE182" i="1" s="1"/>
  <c r="AG182" i="1"/>
  <c r="AD182" i="1"/>
  <c r="AC182" i="1"/>
  <c r="Z182" i="1"/>
  <c r="AA182" i="1" s="1"/>
  <c r="Y182" i="1"/>
  <c r="W182" i="1"/>
  <c r="V182" i="1"/>
  <c r="U182" i="1"/>
  <c r="R182" i="1"/>
  <c r="S182" i="1" s="1"/>
  <c r="Q182" i="1"/>
  <c r="O182" i="1"/>
  <c r="N182" i="1"/>
  <c r="M182" i="1"/>
  <c r="J182" i="1"/>
  <c r="K182" i="1" s="1"/>
  <c r="I182" i="1"/>
  <c r="F182" i="1"/>
  <c r="E182" i="1"/>
  <c r="BN181" i="1"/>
  <c r="BM181" i="1"/>
  <c r="BL181" i="1"/>
  <c r="BJ181" i="1"/>
  <c r="BG181" i="1" s="1"/>
  <c r="BI181" i="1"/>
  <c r="BF181" i="1"/>
  <c r="BE181" i="1"/>
  <c r="BB181" i="1"/>
  <c r="BA181" i="1"/>
  <c r="AX181" i="1"/>
  <c r="AW181" i="1"/>
  <c r="AT181" i="1"/>
  <c r="AU181" i="1" s="1"/>
  <c r="AS181" i="1"/>
  <c r="AQ181" i="1"/>
  <c r="AP181" i="1"/>
  <c r="AO181" i="1"/>
  <c r="AL181" i="1"/>
  <c r="AM181" i="1" s="1"/>
  <c r="AJ181" i="1"/>
  <c r="AK181" i="1" s="1"/>
  <c r="AH181" i="1"/>
  <c r="AI181" i="1" s="1"/>
  <c r="AF181" i="1"/>
  <c r="AG181" i="1" s="1"/>
  <c r="AD181" i="1"/>
  <c r="AE181" i="1" s="1"/>
  <c r="AC181" i="1"/>
  <c r="AA181" i="1"/>
  <c r="Z181" i="1"/>
  <c r="Y181" i="1"/>
  <c r="V181" i="1"/>
  <c r="W181" i="1" s="1"/>
  <c r="U181" i="1"/>
  <c r="R181" i="1"/>
  <c r="Q181" i="1"/>
  <c r="N181" i="1"/>
  <c r="M181" i="1"/>
  <c r="J181" i="1"/>
  <c r="I181" i="1"/>
  <c r="F181" i="1"/>
  <c r="G181" i="1" s="1"/>
  <c r="D181" i="1"/>
  <c r="E181" i="1" s="1"/>
  <c r="BN180" i="1"/>
  <c r="BM180" i="1"/>
  <c r="BL180" i="1"/>
  <c r="BJ180" i="1"/>
  <c r="BI180" i="1"/>
  <c r="BG180" i="1"/>
  <c r="BF180" i="1"/>
  <c r="BE180" i="1"/>
  <c r="BB180" i="1"/>
  <c r="BC180" i="1" s="1"/>
  <c r="BA180" i="1"/>
  <c r="AX180" i="1"/>
  <c r="AW180" i="1"/>
  <c r="AT180" i="1"/>
  <c r="AS180" i="1"/>
  <c r="AP180" i="1"/>
  <c r="AO180" i="1"/>
  <c r="AL180" i="1"/>
  <c r="AM180" i="1" s="1"/>
  <c r="AK180" i="1"/>
  <c r="AI180" i="1"/>
  <c r="AH180" i="1"/>
  <c r="AG180" i="1"/>
  <c r="AF180" i="1"/>
  <c r="AE180" i="1"/>
  <c r="AD180" i="1"/>
  <c r="AC180" i="1"/>
  <c r="Z180" i="1"/>
  <c r="Y180" i="1"/>
  <c r="V180" i="1"/>
  <c r="U180" i="1"/>
  <c r="R180" i="1"/>
  <c r="S180" i="1" s="1"/>
  <c r="Q180" i="1"/>
  <c r="O180" i="1"/>
  <c r="N180" i="1"/>
  <c r="M180" i="1"/>
  <c r="J180" i="1"/>
  <c r="K180" i="1" s="1"/>
  <c r="I180" i="1"/>
  <c r="G180" i="1"/>
  <c r="F180" i="1"/>
  <c r="E180" i="1"/>
  <c r="D180" i="1"/>
  <c r="BN179" i="1"/>
  <c r="BM179" i="1" s="1"/>
  <c r="BL179" i="1"/>
  <c r="BJ179" i="1"/>
  <c r="BI179" i="1"/>
  <c r="BF179" i="1"/>
  <c r="BE179" i="1"/>
  <c r="BB179" i="1"/>
  <c r="BA179" i="1"/>
  <c r="AX179" i="1"/>
  <c r="AY179" i="1" s="1"/>
  <c r="AW179" i="1"/>
  <c r="AU179" i="1"/>
  <c r="AT179" i="1"/>
  <c r="AS179" i="1"/>
  <c r="AP179" i="1"/>
  <c r="AQ179" i="1" s="1"/>
  <c r="AO179" i="1"/>
  <c r="AM179" i="1"/>
  <c r="AL179" i="1"/>
  <c r="AK179" i="1"/>
  <c r="AH179" i="1"/>
  <c r="AI179" i="1" s="1"/>
  <c r="AF179" i="1"/>
  <c r="AG179" i="1" s="1"/>
  <c r="AD179" i="1"/>
  <c r="AE179" i="1" s="1"/>
  <c r="AC179" i="1"/>
  <c r="AA179" i="1"/>
  <c r="Z179" i="1"/>
  <c r="Y179" i="1"/>
  <c r="V179" i="1"/>
  <c r="W179" i="1" s="1"/>
  <c r="U179" i="1"/>
  <c r="S179" i="1"/>
  <c r="R179" i="1"/>
  <c r="Q179" i="1"/>
  <c r="N179" i="1"/>
  <c r="O179" i="1" s="1"/>
  <c r="M179" i="1"/>
  <c r="J179" i="1"/>
  <c r="I179" i="1"/>
  <c r="F179" i="1"/>
  <c r="G179" i="1" s="1"/>
  <c r="D179" i="1"/>
  <c r="E179" i="1" s="1"/>
  <c r="BN178" i="1"/>
  <c r="BL178" i="1"/>
  <c r="BJ178" i="1"/>
  <c r="BM178" i="1" s="1"/>
  <c r="BI178" i="1"/>
  <c r="BG178" i="1"/>
  <c r="BF178" i="1"/>
  <c r="BE178" i="1"/>
  <c r="BB178" i="1"/>
  <c r="BC178" i="1" s="1"/>
  <c r="BA178" i="1"/>
  <c r="AY178" i="1"/>
  <c r="AX178" i="1"/>
  <c r="AW178" i="1"/>
  <c r="AT178" i="1"/>
  <c r="AU178" i="1" s="1"/>
  <c r="AS178" i="1"/>
  <c r="AP178" i="1"/>
  <c r="AO178" i="1"/>
  <c r="AL178" i="1"/>
  <c r="AK178" i="1"/>
  <c r="AH178" i="1"/>
  <c r="AG178" i="1"/>
  <c r="AD178" i="1"/>
  <c r="AE178" i="1" s="1"/>
  <c r="AC178" i="1"/>
  <c r="AA178" i="1"/>
  <c r="Z178" i="1"/>
  <c r="Y178" i="1"/>
  <c r="V178" i="1"/>
  <c r="W178" i="1" s="1"/>
  <c r="U178" i="1"/>
  <c r="S178" i="1"/>
  <c r="R178" i="1"/>
  <c r="Q178" i="1"/>
  <c r="N178" i="1"/>
  <c r="O178" i="1" s="1"/>
  <c r="M178" i="1"/>
  <c r="J178" i="1"/>
  <c r="I178" i="1"/>
  <c r="F178" i="1"/>
  <c r="G178" i="1" s="1"/>
  <c r="E178" i="1"/>
  <c r="BN177" i="1"/>
  <c r="BM177" i="1" s="1"/>
  <c r="BL177" i="1"/>
  <c r="BJ177" i="1"/>
  <c r="BI177" i="1"/>
  <c r="BF177" i="1"/>
  <c r="BG177" i="1" s="1"/>
  <c r="BD177" i="1"/>
  <c r="BE177" i="1" s="1"/>
  <c r="BB177" i="1"/>
  <c r="AZ177" i="1"/>
  <c r="BA177" i="1" s="1"/>
  <c r="AX177" i="1"/>
  <c r="AW177" i="1"/>
  <c r="AT177" i="1"/>
  <c r="AS177" i="1"/>
  <c r="AP177" i="1"/>
  <c r="AQ177" i="1" s="1"/>
  <c r="AO177" i="1"/>
  <c r="AM177" i="1"/>
  <c r="AL177" i="1"/>
  <c r="AK177" i="1"/>
  <c r="AH177" i="1"/>
  <c r="AI177" i="1" s="1"/>
  <c r="AG177" i="1"/>
  <c r="AE177" i="1"/>
  <c r="AD177" i="1"/>
  <c r="AC177" i="1"/>
  <c r="Z177" i="1"/>
  <c r="AA177" i="1" s="1"/>
  <c r="Y177" i="1"/>
  <c r="V177" i="1"/>
  <c r="U177" i="1"/>
  <c r="R177" i="1"/>
  <c r="Q177" i="1"/>
  <c r="N177" i="1"/>
  <c r="M177" i="1"/>
  <c r="J177" i="1"/>
  <c r="K177" i="1" s="1"/>
  <c r="I177" i="1"/>
  <c r="G177" i="1"/>
  <c r="F177" i="1"/>
  <c r="E177" i="1"/>
  <c r="D177" i="1"/>
  <c r="BN176" i="1"/>
  <c r="BL176" i="1"/>
  <c r="BJ176" i="1"/>
  <c r="BM176" i="1" s="1"/>
  <c r="BI176" i="1"/>
  <c r="BF176" i="1"/>
  <c r="BG176" i="1" s="1"/>
  <c r="BD176" i="1"/>
  <c r="BE176" i="1" s="1"/>
  <c r="BB176" i="1"/>
  <c r="BC176" i="1" s="1"/>
  <c r="AZ176" i="1"/>
  <c r="BA176" i="1" s="1"/>
  <c r="AX176" i="1"/>
  <c r="AY176" i="1" s="1"/>
  <c r="AW176" i="1"/>
  <c r="AT176" i="1"/>
  <c r="AS176" i="1"/>
  <c r="AP176" i="1"/>
  <c r="AO176" i="1"/>
  <c r="AL176" i="1"/>
  <c r="AK176" i="1"/>
  <c r="AH176" i="1"/>
  <c r="AI176" i="1" s="1"/>
  <c r="AG176" i="1"/>
  <c r="AE176" i="1"/>
  <c r="AD176" i="1"/>
  <c r="AC176" i="1"/>
  <c r="Z176" i="1"/>
  <c r="AA176" i="1" s="1"/>
  <c r="Y176" i="1"/>
  <c r="W176" i="1"/>
  <c r="V176" i="1"/>
  <c r="U176" i="1"/>
  <c r="R176" i="1"/>
  <c r="S176" i="1" s="1"/>
  <c r="Q176" i="1"/>
  <c r="N176" i="1"/>
  <c r="M176" i="1"/>
  <c r="J176" i="1"/>
  <c r="I176" i="1"/>
  <c r="F176" i="1"/>
  <c r="E176" i="1"/>
  <c r="D176" i="1"/>
  <c r="BN175" i="1"/>
  <c r="BM175" i="1" s="1"/>
  <c r="BL175" i="1"/>
  <c r="BJ175" i="1"/>
  <c r="BI175" i="1"/>
  <c r="BF175" i="1"/>
  <c r="BG175" i="1" s="1"/>
  <c r="BD175" i="1"/>
  <c r="BE175" i="1" s="1"/>
  <c r="BB175" i="1"/>
  <c r="BC175" i="1" s="1"/>
  <c r="AZ175" i="1"/>
  <c r="BA175" i="1" s="1"/>
  <c r="AX175" i="1"/>
  <c r="AW175" i="1"/>
  <c r="AU175" i="1"/>
  <c r="AT175" i="1"/>
  <c r="AS175" i="1"/>
  <c r="AP175" i="1"/>
  <c r="AQ175" i="1" s="1"/>
  <c r="AO175" i="1"/>
  <c r="AL175" i="1"/>
  <c r="AK175" i="1"/>
  <c r="AH175" i="1"/>
  <c r="AG175" i="1"/>
  <c r="AD175" i="1"/>
  <c r="AC175" i="1"/>
  <c r="Z175" i="1"/>
  <c r="AA175" i="1" s="1"/>
  <c r="Y175" i="1"/>
  <c r="W175" i="1"/>
  <c r="V175" i="1"/>
  <c r="U175" i="1"/>
  <c r="R175" i="1"/>
  <c r="S175" i="1" s="1"/>
  <c r="Q175" i="1"/>
  <c r="O175" i="1"/>
  <c r="N175" i="1"/>
  <c r="M175" i="1"/>
  <c r="J175" i="1"/>
  <c r="K175" i="1" s="1"/>
  <c r="I175" i="1"/>
  <c r="F175" i="1"/>
  <c r="E175" i="1"/>
  <c r="D175" i="1"/>
  <c r="BN174" i="1"/>
  <c r="BL174" i="1"/>
  <c r="BJ174" i="1"/>
  <c r="BM174" i="1" s="1"/>
  <c r="BI174" i="1"/>
  <c r="BF174" i="1"/>
  <c r="BG174" i="1" s="1"/>
  <c r="BE174" i="1"/>
  <c r="BC174" i="1"/>
  <c r="BB174" i="1"/>
  <c r="BA174" i="1"/>
  <c r="AX174" i="1"/>
  <c r="AY174" i="1" s="1"/>
  <c r="AW174" i="1"/>
  <c r="AU174" i="1"/>
  <c r="AT174" i="1"/>
  <c r="AS174" i="1"/>
  <c r="AP174" i="1"/>
  <c r="AQ174" i="1" s="1"/>
  <c r="AO174" i="1"/>
  <c r="AL174" i="1"/>
  <c r="AK174" i="1"/>
  <c r="AH174" i="1"/>
  <c r="AG174" i="1"/>
  <c r="AD174" i="1"/>
  <c r="AC174" i="1"/>
  <c r="Z174" i="1"/>
  <c r="AA174" i="1" s="1"/>
  <c r="Y174" i="1"/>
  <c r="W174" i="1"/>
  <c r="V174" i="1"/>
  <c r="U174" i="1"/>
  <c r="R174" i="1"/>
  <c r="S174" i="1" s="1"/>
  <c r="Q174" i="1"/>
  <c r="O174" i="1"/>
  <c r="N174" i="1"/>
  <c r="M174" i="1"/>
  <c r="J174" i="1"/>
  <c r="K174" i="1" s="1"/>
  <c r="I174" i="1"/>
  <c r="F174" i="1"/>
  <c r="E174" i="1"/>
  <c r="BN173" i="1"/>
  <c r="BM173" i="1"/>
  <c r="BL173" i="1"/>
  <c r="BJ173" i="1"/>
  <c r="BG173" i="1" s="1"/>
  <c r="BI173" i="1"/>
  <c r="BF173" i="1"/>
  <c r="BE173" i="1"/>
  <c r="BB173" i="1"/>
  <c r="BA173" i="1"/>
  <c r="AX173" i="1"/>
  <c r="AW173" i="1"/>
  <c r="AT173" i="1"/>
  <c r="AU173" i="1" s="1"/>
  <c r="AS173" i="1"/>
  <c r="AQ173" i="1"/>
  <c r="AP173" i="1"/>
  <c r="AO173" i="1"/>
  <c r="AL173" i="1"/>
  <c r="AM173" i="1" s="1"/>
  <c r="AK173" i="1"/>
  <c r="AI173" i="1"/>
  <c r="AH173" i="1"/>
  <c r="AG173" i="1"/>
  <c r="AD173" i="1"/>
  <c r="AE173" i="1" s="1"/>
  <c r="AC173" i="1"/>
  <c r="Z173" i="1"/>
  <c r="Y173" i="1"/>
  <c r="V173" i="1"/>
  <c r="U173" i="1"/>
  <c r="R173" i="1"/>
  <c r="Q173" i="1"/>
  <c r="N173" i="1"/>
  <c r="O173" i="1" s="1"/>
  <c r="M173" i="1"/>
  <c r="K173" i="1"/>
  <c r="J173" i="1"/>
  <c r="I173" i="1"/>
  <c r="F173" i="1"/>
  <c r="G173" i="1" s="1"/>
  <c r="E173" i="1"/>
  <c r="BN172" i="1"/>
  <c r="BM172" i="1" s="1"/>
  <c r="BL172" i="1"/>
  <c r="BJ172" i="1"/>
  <c r="BI172" i="1"/>
  <c r="BF172" i="1"/>
  <c r="BG172" i="1" s="1"/>
  <c r="BE172" i="1"/>
  <c r="BC172" i="1"/>
  <c r="BB172" i="1"/>
  <c r="BA172" i="1"/>
  <c r="AX172" i="1"/>
  <c r="AY172" i="1" s="1"/>
  <c r="AW172" i="1"/>
  <c r="AT172" i="1"/>
  <c r="AS172" i="1"/>
  <c r="AP172" i="1"/>
  <c r="AO172" i="1"/>
  <c r="AL172" i="1"/>
  <c r="AK172" i="1"/>
  <c r="AH172" i="1"/>
  <c r="AI172" i="1" s="1"/>
  <c r="AG172" i="1"/>
  <c r="AE172" i="1"/>
  <c r="AD172" i="1"/>
  <c r="AC172" i="1"/>
  <c r="Z172" i="1"/>
  <c r="AA172" i="1" s="1"/>
  <c r="Y172" i="1"/>
  <c r="W172" i="1"/>
  <c r="V172" i="1"/>
  <c r="U172" i="1"/>
  <c r="R172" i="1"/>
  <c r="S172" i="1" s="1"/>
  <c r="Q172" i="1"/>
  <c r="N172" i="1"/>
  <c r="M172" i="1"/>
  <c r="J172" i="1"/>
  <c r="I172" i="1"/>
  <c r="F172" i="1"/>
  <c r="E172" i="1"/>
  <c r="BN171" i="1"/>
  <c r="BL171" i="1"/>
  <c r="BJ171" i="1"/>
  <c r="BI171" i="1"/>
  <c r="BF171" i="1"/>
  <c r="BE171" i="1"/>
  <c r="BB171" i="1"/>
  <c r="BC171" i="1" s="1"/>
  <c r="BA171" i="1"/>
  <c r="AY171" i="1"/>
  <c r="AX171" i="1"/>
  <c r="AW171" i="1"/>
  <c r="AT171" i="1"/>
  <c r="AU171" i="1" s="1"/>
  <c r="AS171" i="1"/>
  <c r="AQ171" i="1"/>
  <c r="AP171" i="1"/>
  <c r="AO171" i="1"/>
  <c r="AL171" i="1"/>
  <c r="AM171" i="1" s="1"/>
  <c r="AK171" i="1"/>
  <c r="AH171" i="1"/>
  <c r="AG171" i="1"/>
  <c r="AD171" i="1"/>
  <c r="AC171" i="1"/>
  <c r="Z171" i="1"/>
  <c r="Y171" i="1"/>
  <c r="V171" i="1"/>
  <c r="W171" i="1" s="1"/>
  <c r="U171" i="1"/>
  <c r="S171" i="1"/>
  <c r="R171" i="1"/>
  <c r="Q171" i="1"/>
  <c r="N171" i="1"/>
  <c r="O171" i="1" s="1"/>
  <c r="M171" i="1"/>
  <c r="K171" i="1"/>
  <c r="J171" i="1"/>
  <c r="I171" i="1"/>
  <c r="F171" i="1"/>
  <c r="G171" i="1" s="1"/>
  <c r="E171" i="1"/>
  <c r="BN170" i="1"/>
  <c r="BL170" i="1"/>
  <c r="BJ170" i="1"/>
  <c r="BM170" i="1" s="1"/>
  <c r="BI170" i="1"/>
  <c r="BF170" i="1"/>
  <c r="BG170" i="1" s="1"/>
  <c r="BE170" i="1"/>
  <c r="BB170" i="1"/>
  <c r="BA170" i="1"/>
  <c r="AX170" i="1"/>
  <c r="AW170" i="1"/>
  <c r="AT170" i="1"/>
  <c r="AS170" i="1"/>
  <c r="AP170" i="1"/>
  <c r="AQ170" i="1" s="1"/>
  <c r="AO170" i="1"/>
  <c r="AM170" i="1"/>
  <c r="AL170" i="1"/>
  <c r="AK170" i="1"/>
  <c r="AH170" i="1"/>
  <c r="AI170" i="1" s="1"/>
  <c r="AG170" i="1"/>
  <c r="AE170" i="1"/>
  <c r="AD170" i="1"/>
  <c r="AC170" i="1"/>
  <c r="Z170" i="1"/>
  <c r="AA170" i="1" s="1"/>
  <c r="Y170" i="1"/>
  <c r="V170" i="1"/>
  <c r="U170" i="1"/>
  <c r="R170" i="1"/>
  <c r="Q170" i="1"/>
  <c r="N170" i="1"/>
  <c r="M170" i="1"/>
  <c r="J170" i="1"/>
  <c r="K170" i="1" s="1"/>
  <c r="I170" i="1"/>
  <c r="G170" i="1"/>
  <c r="F170" i="1"/>
  <c r="E170" i="1"/>
  <c r="BN169" i="1"/>
  <c r="BL169" i="1"/>
  <c r="BJ169" i="1"/>
  <c r="BM169" i="1" s="1"/>
  <c r="BI169" i="1"/>
  <c r="BG169" i="1"/>
  <c r="BF169" i="1"/>
  <c r="BE169" i="1"/>
  <c r="BB169" i="1"/>
  <c r="BC169" i="1" s="1"/>
  <c r="BA169" i="1"/>
  <c r="AY169" i="1"/>
  <c r="AX169" i="1"/>
  <c r="AW169" i="1"/>
  <c r="AT169" i="1"/>
  <c r="AU169" i="1" s="1"/>
  <c r="AS169" i="1"/>
  <c r="AP169" i="1"/>
  <c r="AO169" i="1"/>
  <c r="AL169" i="1"/>
  <c r="AK169" i="1"/>
  <c r="AH169" i="1"/>
  <c r="AG169" i="1"/>
  <c r="AD169" i="1"/>
  <c r="AE169" i="1" s="1"/>
  <c r="AC169" i="1"/>
  <c r="AA169" i="1"/>
  <c r="Z169" i="1"/>
  <c r="Y169" i="1"/>
  <c r="V169" i="1"/>
  <c r="W169" i="1" s="1"/>
  <c r="U169" i="1"/>
  <c r="S169" i="1"/>
  <c r="R169" i="1"/>
  <c r="Q169" i="1"/>
  <c r="N169" i="1"/>
  <c r="O169" i="1" s="1"/>
  <c r="M169" i="1"/>
  <c r="J169" i="1"/>
  <c r="I169" i="1"/>
  <c r="F169" i="1"/>
  <c r="G169" i="1" s="1"/>
  <c r="E169" i="1"/>
  <c r="BN168" i="1"/>
  <c r="BL168" i="1"/>
  <c r="BJ168" i="1"/>
  <c r="BM168" i="1" s="1"/>
  <c r="BI168" i="1"/>
  <c r="BF168" i="1"/>
  <c r="BE168" i="1"/>
  <c r="BB168" i="1"/>
  <c r="BA168" i="1"/>
  <c r="AX168" i="1"/>
  <c r="AY168" i="1" s="1"/>
  <c r="AW168" i="1"/>
  <c r="AU168" i="1"/>
  <c r="AT168" i="1"/>
  <c r="AS168" i="1"/>
  <c r="AP168" i="1"/>
  <c r="AQ168" i="1" s="1"/>
  <c r="AO168" i="1"/>
  <c r="AM168" i="1"/>
  <c r="AL168" i="1"/>
  <c r="AK168" i="1"/>
  <c r="AH168" i="1"/>
  <c r="AI168" i="1" s="1"/>
  <c r="AG168" i="1"/>
  <c r="AD168" i="1"/>
  <c r="AC168" i="1"/>
  <c r="Z168" i="1"/>
  <c r="Y168" i="1"/>
  <c r="V168" i="1"/>
  <c r="U168" i="1"/>
  <c r="R168" i="1"/>
  <c r="S168" i="1" s="1"/>
  <c r="Q168" i="1"/>
  <c r="O168" i="1"/>
  <c r="N168" i="1"/>
  <c r="M168" i="1"/>
  <c r="J168" i="1"/>
  <c r="K168" i="1" s="1"/>
  <c r="I168" i="1"/>
  <c r="G168" i="1"/>
  <c r="F168" i="1"/>
  <c r="E168" i="1"/>
  <c r="BN167" i="1"/>
  <c r="BM167" i="1"/>
  <c r="BL167" i="1"/>
  <c r="BJ167" i="1"/>
  <c r="BI167" i="1"/>
  <c r="BG167" i="1"/>
  <c r="BF167" i="1"/>
  <c r="BE167" i="1"/>
  <c r="BB167" i="1"/>
  <c r="BC167" i="1" s="1"/>
  <c r="BA167" i="1"/>
  <c r="AX167" i="1"/>
  <c r="AW167" i="1"/>
  <c r="AT167" i="1"/>
  <c r="AS167" i="1"/>
  <c r="AP167" i="1"/>
  <c r="AO167" i="1"/>
  <c r="AL167" i="1"/>
  <c r="AM167" i="1" s="1"/>
  <c r="AK167" i="1"/>
  <c r="AI167" i="1"/>
  <c r="AH167" i="1"/>
  <c r="AG167" i="1"/>
  <c r="AD167" i="1"/>
  <c r="AE167" i="1" s="1"/>
  <c r="AC167" i="1"/>
  <c r="AA167" i="1"/>
  <c r="Z167" i="1"/>
  <c r="Y167" i="1"/>
  <c r="V167" i="1"/>
  <c r="W167" i="1" s="1"/>
  <c r="U167" i="1"/>
  <c r="R167" i="1"/>
  <c r="Q167" i="1"/>
  <c r="N167" i="1"/>
  <c r="M167" i="1"/>
  <c r="J167" i="1"/>
  <c r="I167" i="1"/>
  <c r="F167" i="1"/>
  <c r="G167" i="1" s="1"/>
  <c r="E167" i="1"/>
  <c r="BN166" i="1"/>
  <c r="BM166" i="1" s="1"/>
  <c r="BL166" i="1"/>
  <c r="BJ166" i="1"/>
  <c r="BI166" i="1"/>
  <c r="BF166" i="1"/>
  <c r="BG166" i="1" s="1"/>
  <c r="BE166" i="1"/>
  <c r="BC166" i="1"/>
  <c r="BB166" i="1"/>
  <c r="BA166" i="1"/>
  <c r="AX166" i="1"/>
  <c r="AY166" i="1" s="1"/>
  <c r="AW166" i="1"/>
  <c r="AU166" i="1"/>
  <c r="AT166" i="1"/>
  <c r="AS166" i="1"/>
  <c r="AP166" i="1"/>
  <c r="AQ166" i="1" s="1"/>
  <c r="AO166" i="1"/>
  <c r="AL166" i="1"/>
  <c r="AK166" i="1"/>
  <c r="AH166" i="1"/>
  <c r="AG166" i="1"/>
  <c r="AD166" i="1"/>
  <c r="AC166" i="1"/>
  <c r="Z166" i="1"/>
  <c r="AA166" i="1" s="1"/>
  <c r="Y166" i="1"/>
  <c r="W166" i="1"/>
  <c r="V166" i="1"/>
  <c r="U166" i="1"/>
  <c r="R166" i="1"/>
  <c r="S166" i="1" s="1"/>
  <c r="Q166" i="1"/>
  <c r="O166" i="1"/>
  <c r="N166" i="1"/>
  <c r="M166" i="1"/>
  <c r="J166" i="1"/>
  <c r="K166" i="1" s="1"/>
  <c r="I166" i="1"/>
  <c r="F166" i="1"/>
  <c r="E166" i="1"/>
  <c r="BN165" i="1"/>
  <c r="BM165" i="1"/>
  <c r="BL165" i="1"/>
  <c r="BJ165" i="1"/>
  <c r="BG165" i="1" s="1"/>
  <c r="BI165" i="1"/>
  <c r="BF165" i="1"/>
  <c r="BE165" i="1"/>
  <c r="BB165" i="1"/>
  <c r="BA165" i="1"/>
  <c r="AX165" i="1"/>
  <c r="AW165" i="1"/>
  <c r="AT165" i="1"/>
  <c r="AU165" i="1" s="1"/>
  <c r="AS165" i="1"/>
  <c r="AQ165" i="1"/>
  <c r="AP165" i="1"/>
  <c r="AO165" i="1"/>
  <c r="AL165" i="1"/>
  <c r="AM165" i="1" s="1"/>
  <c r="AK165" i="1"/>
  <c r="AI165" i="1"/>
  <c r="AH165" i="1"/>
  <c r="AG165" i="1"/>
  <c r="AD165" i="1"/>
  <c r="AE165" i="1" s="1"/>
  <c r="AC165" i="1"/>
  <c r="Z165" i="1"/>
  <c r="Y165" i="1"/>
  <c r="V165" i="1"/>
  <c r="U165" i="1"/>
  <c r="R165" i="1"/>
  <c r="Q165" i="1"/>
  <c r="N165" i="1"/>
  <c r="O165" i="1" s="1"/>
  <c r="M165" i="1"/>
  <c r="K165" i="1"/>
  <c r="J165" i="1"/>
  <c r="I165" i="1"/>
  <c r="F165" i="1"/>
  <c r="G165" i="1" s="1"/>
  <c r="E165" i="1"/>
  <c r="BN164" i="1"/>
  <c r="BM164" i="1" s="1"/>
  <c r="BL164" i="1"/>
  <c r="BJ164" i="1"/>
  <c r="BI164" i="1"/>
  <c r="BF164" i="1"/>
  <c r="BG164" i="1" s="1"/>
  <c r="BE164" i="1"/>
  <c r="BC164" i="1"/>
  <c r="BB164" i="1"/>
  <c r="BA164" i="1"/>
  <c r="AX164" i="1"/>
  <c r="AY164" i="1" s="1"/>
  <c r="AW164" i="1"/>
  <c r="AT164" i="1"/>
  <c r="AS164" i="1"/>
  <c r="AP164" i="1"/>
  <c r="AO164" i="1"/>
  <c r="AL164" i="1"/>
  <c r="AK164" i="1"/>
  <c r="AH164" i="1"/>
  <c r="AI164" i="1" s="1"/>
  <c r="AG164" i="1"/>
  <c r="AE164" i="1"/>
  <c r="AD164" i="1"/>
  <c r="AC164" i="1"/>
  <c r="Z164" i="1"/>
  <c r="AA164" i="1" s="1"/>
  <c r="Y164" i="1"/>
  <c r="W164" i="1"/>
  <c r="V164" i="1"/>
  <c r="U164" i="1"/>
  <c r="R164" i="1"/>
  <c r="S164" i="1" s="1"/>
  <c r="Q164" i="1"/>
  <c r="N164" i="1"/>
  <c r="M164" i="1"/>
  <c r="J164" i="1"/>
  <c r="I164" i="1"/>
  <c r="F164" i="1"/>
  <c r="E164" i="1"/>
  <c r="BN163" i="1"/>
  <c r="BL163" i="1"/>
  <c r="BJ163" i="1"/>
  <c r="BI163" i="1"/>
  <c r="BF163" i="1"/>
  <c r="BE163" i="1"/>
  <c r="BB163" i="1"/>
  <c r="BC163" i="1" s="1"/>
  <c r="BA163" i="1"/>
  <c r="AY163" i="1"/>
  <c r="AX163" i="1"/>
  <c r="AW163" i="1"/>
  <c r="AT163" i="1"/>
  <c r="AU163" i="1" s="1"/>
  <c r="AS163" i="1"/>
  <c r="AQ163" i="1"/>
  <c r="AP163" i="1"/>
  <c r="AO163" i="1"/>
  <c r="AL163" i="1"/>
  <c r="AM163" i="1" s="1"/>
  <c r="AK163" i="1"/>
  <c r="AH163" i="1"/>
  <c r="AG163" i="1"/>
  <c r="AD163" i="1"/>
  <c r="AC163" i="1"/>
  <c r="Z163" i="1"/>
  <c r="Y163" i="1"/>
  <c r="V163" i="1"/>
  <c r="W163" i="1" s="1"/>
  <c r="U163" i="1"/>
  <c r="S163" i="1"/>
  <c r="R163" i="1"/>
  <c r="Q163" i="1"/>
  <c r="N163" i="1"/>
  <c r="O163" i="1" s="1"/>
  <c r="M163" i="1"/>
  <c r="K163" i="1"/>
  <c r="J163" i="1"/>
  <c r="I163" i="1"/>
  <c r="F163" i="1"/>
  <c r="G163" i="1" s="1"/>
  <c r="E163" i="1"/>
  <c r="BN162" i="1"/>
  <c r="BL162" i="1"/>
  <c r="BJ162" i="1"/>
  <c r="BM162" i="1" s="1"/>
  <c r="BI162" i="1"/>
  <c r="BF162" i="1"/>
  <c r="BG162" i="1" s="1"/>
  <c r="BE162" i="1"/>
  <c r="BB162" i="1"/>
  <c r="BA162" i="1"/>
  <c r="AX162" i="1"/>
  <c r="AW162" i="1"/>
  <c r="AT162" i="1"/>
  <c r="AS162" i="1"/>
  <c r="AP162" i="1"/>
  <c r="AQ162" i="1" s="1"/>
  <c r="AO162" i="1"/>
  <c r="AM162" i="1"/>
  <c r="AL162" i="1"/>
  <c r="AK162" i="1"/>
  <c r="AH162" i="1"/>
  <c r="AI162" i="1" s="1"/>
  <c r="AG162" i="1"/>
  <c r="AE162" i="1"/>
  <c r="AD162" i="1"/>
  <c r="AC162" i="1"/>
  <c r="Z162" i="1"/>
  <c r="AA162" i="1" s="1"/>
  <c r="Y162" i="1"/>
  <c r="V162" i="1"/>
  <c r="U162" i="1"/>
  <c r="R162" i="1"/>
  <c r="Q162" i="1"/>
  <c r="N162" i="1"/>
  <c r="M162" i="1"/>
  <c r="J162" i="1"/>
  <c r="K162" i="1" s="1"/>
  <c r="I162" i="1"/>
  <c r="G162" i="1"/>
  <c r="F162" i="1"/>
  <c r="E162" i="1"/>
  <c r="BN161" i="1"/>
  <c r="BL161" i="1"/>
  <c r="BJ161" i="1"/>
  <c r="BM161" i="1" s="1"/>
  <c r="BI161" i="1"/>
  <c r="BG161" i="1"/>
  <c r="BF161" i="1"/>
  <c r="BE161" i="1"/>
  <c r="BB161" i="1"/>
  <c r="BC161" i="1" s="1"/>
  <c r="BA161" i="1"/>
  <c r="AY161" i="1"/>
  <c r="AX161" i="1"/>
  <c r="AW161" i="1"/>
  <c r="AT161" i="1"/>
  <c r="AU161" i="1" s="1"/>
  <c r="AS161" i="1"/>
  <c r="AP161" i="1"/>
  <c r="AO161" i="1"/>
  <c r="AL161" i="1"/>
  <c r="AK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BN160" i="1"/>
  <c r="BL160" i="1"/>
  <c r="BJ160" i="1"/>
  <c r="BM160" i="1" s="1"/>
  <c r="BI160" i="1"/>
  <c r="BF160" i="1"/>
  <c r="BE160" i="1"/>
  <c r="BB160" i="1"/>
  <c r="BA160" i="1"/>
  <c r="AX160" i="1"/>
  <c r="AY160" i="1" s="1"/>
  <c r="AW160" i="1"/>
  <c r="AU160" i="1"/>
  <c r="AT160" i="1"/>
  <c r="AS160" i="1"/>
  <c r="AP160" i="1"/>
  <c r="AQ160" i="1" s="1"/>
  <c r="AO160" i="1"/>
  <c r="AM160" i="1"/>
  <c r="AL160" i="1"/>
  <c r="AK160" i="1"/>
  <c r="AH160" i="1"/>
  <c r="AI160" i="1" s="1"/>
  <c r="AF160" i="1"/>
  <c r="AG160" i="1" s="1"/>
  <c r="AD160" i="1"/>
  <c r="AE160" i="1" s="1"/>
  <c r="AB160" i="1"/>
  <c r="AC160" i="1" s="1"/>
  <c r="Z160" i="1"/>
  <c r="AA160" i="1" s="1"/>
  <c r="X160" i="1"/>
  <c r="Y160" i="1" s="1"/>
  <c r="V160" i="1"/>
  <c r="W160" i="1" s="1"/>
  <c r="T160" i="1"/>
  <c r="U160" i="1" s="1"/>
  <c r="R160" i="1"/>
  <c r="S160" i="1" s="1"/>
  <c r="P160" i="1"/>
  <c r="Q160" i="1" s="1"/>
  <c r="N160" i="1"/>
  <c r="O160" i="1" s="1"/>
  <c r="L160" i="1"/>
  <c r="M160" i="1" s="1"/>
  <c r="J160" i="1"/>
  <c r="K160" i="1" s="1"/>
  <c r="H160" i="1"/>
  <c r="I160" i="1" s="1"/>
  <c r="F160" i="1"/>
  <c r="G160" i="1" s="1"/>
  <c r="D160" i="1"/>
  <c r="E160" i="1" s="1"/>
  <c r="BN159" i="1"/>
  <c r="BM159" i="1"/>
  <c r="BL159" i="1"/>
  <c r="BJ159" i="1"/>
  <c r="BI159" i="1"/>
  <c r="BG159" i="1"/>
  <c r="BF159" i="1"/>
  <c r="BE159" i="1"/>
  <c r="BB159" i="1"/>
  <c r="BC159" i="1" s="1"/>
  <c r="BA159" i="1"/>
  <c r="AX159" i="1"/>
  <c r="AW159" i="1"/>
  <c r="AT159" i="1"/>
  <c r="AS159" i="1"/>
  <c r="AP159" i="1"/>
  <c r="AO159" i="1"/>
  <c r="AL159" i="1"/>
  <c r="AM159" i="1" s="1"/>
  <c r="AK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BN158" i="1"/>
  <c r="BM158" i="1" s="1"/>
  <c r="BL158" i="1"/>
  <c r="BJ158" i="1"/>
  <c r="BI158" i="1"/>
  <c r="BF158" i="1"/>
  <c r="BG158" i="1" s="1"/>
  <c r="BE158" i="1"/>
  <c r="BC158" i="1"/>
  <c r="BB158" i="1"/>
  <c r="BA158" i="1"/>
  <c r="AX158" i="1"/>
  <c r="AY158" i="1" s="1"/>
  <c r="AW158" i="1"/>
  <c r="AU158" i="1"/>
  <c r="AT158" i="1"/>
  <c r="AS158" i="1"/>
  <c r="AP158" i="1"/>
  <c r="AQ158" i="1" s="1"/>
  <c r="AO158" i="1"/>
  <c r="AL158" i="1"/>
  <c r="AK158" i="1"/>
  <c r="AH158" i="1"/>
  <c r="AG158" i="1"/>
  <c r="AD158" i="1"/>
  <c r="AC158" i="1"/>
  <c r="Z158" i="1"/>
  <c r="AA158" i="1" s="1"/>
  <c r="Y158" i="1"/>
  <c r="W158" i="1"/>
  <c r="V158" i="1"/>
  <c r="U158" i="1"/>
  <c r="R158" i="1"/>
  <c r="S158" i="1" s="1"/>
  <c r="Q158" i="1"/>
  <c r="O158" i="1"/>
  <c r="N158" i="1"/>
  <c r="M158" i="1"/>
  <c r="J158" i="1"/>
  <c r="K158" i="1" s="1"/>
  <c r="I158" i="1"/>
  <c r="F158" i="1"/>
  <c r="E158" i="1"/>
  <c r="BN157" i="1"/>
  <c r="BM157" i="1"/>
  <c r="BL157" i="1"/>
  <c r="BJ157" i="1"/>
  <c r="BG157" i="1" s="1"/>
  <c r="BI157" i="1"/>
  <c r="BF157" i="1"/>
  <c r="BE157" i="1"/>
  <c r="BB157" i="1"/>
  <c r="BA157" i="1"/>
  <c r="AX157" i="1"/>
  <c r="AW157" i="1"/>
  <c r="AT157" i="1"/>
  <c r="AU157" i="1" s="1"/>
  <c r="AS157" i="1"/>
  <c r="AQ157" i="1"/>
  <c r="AP157" i="1"/>
  <c r="AO157" i="1"/>
  <c r="AL157" i="1"/>
  <c r="AM157" i="1" s="1"/>
  <c r="AK157" i="1"/>
  <c r="AI157" i="1"/>
  <c r="AH157" i="1"/>
  <c r="AG157" i="1"/>
  <c r="AD157" i="1"/>
  <c r="AE157" i="1" s="1"/>
  <c r="AC157" i="1"/>
  <c r="Z157" i="1"/>
  <c r="Y157" i="1"/>
  <c r="V157" i="1"/>
  <c r="U157" i="1"/>
  <c r="R157" i="1"/>
  <c r="Q157" i="1"/>
  <c r="N157" i="1"/>
  <c r="O157" i="1" s="1"/>
  <c r="M157" i="1"/>
  <c r="K157" i="1"/>
  <c r="J157" i="1"/>
  <c r="I157" i="1"/>
  <c r="F157" i="1"/>
  <c r="G157" i="1" s="1"/>
  <c r="E157" i="1"/>
  <c r="BN156" i="1"/>
  <c r="BM156" i="1" s="1"/>
  <c r="BL156" i="1"/>
  <c r="BJ156" i="1"/>
  <c r="BI156" i="1"/>
  <c r="BF156" i="1"/>
  <c r="BG156" i="1" s="1"/>
  <c r="BE156" i="1"/>
  <c r="BC156" i="1"/>
  <c r="BB156" i="1"/>
  <c r="BA156" i="1"/>
  <c r="AX156" i="1"/>
  <c r="AY156" i="1" s="1"/>
  <c r="AW156" i="1"/>
  <c r="AT156" i="1"/>
  <c r="AS156" i="1"/>
  <c r="AP156" i="1"/>
  <c r="AO156" i="1"/>
  <c r="AL156" i="1"/>
  <c r="AK156" i="1"/>
  <c r="AH156" i="1"/>
  <c r="AI156" i="1" s="1"/>
  <c r="AG156" i="1"/>
  <c r="AE156" i="1"/>
  <c r="AD156" i="1"/>
  <c r="AC156" i="1"/>
  <c r="Z156" i="1"/>
  <c r="AA156" i="1" s="1"/>
  <c r="Y156" i="1"/>
  <c r="W156" i="1"/>
  <c r="V156" i="1"/>
  <c r="U156" i="1"/>
  <c r="R156" i="1"/>
  <c r="S156" i="1" s="1"/>
  <c r="Q156" i="1"/>
  <c r="N156" i="1"/>
  <c r="M156" i="1"/>
  <c r="J156" i="1"/>
  <c r="I156" i="1"/>
  <c r="F156" i="1"/>
  <c r="E156" i="1"/>
  <c r="BN155" i="1"/>
  <c r="BL155" i="1"/>
  <c r="BJ155" i="1"/>
  <c r="BI155" i="1"/>
  <c r="BF155" i="1"/>
  <c r="BE155" i="1"/>
  <c r="BB155" i="1"/>
  <c r="BC155" i="1" s="1"/>
  <c r="BA155" i="1"/>
  <c r="AY155" i="1"/>
  <c r="AX155" i="1"/>
  <c r="AW155" i="1"/>
  <c r="AT155" i="1"/>
  <c r="AU155" i="1" s="1"/>
  <c r="AS155" i="1"/>
  <c r="AQ155" i="1"/>
  <c r="AP155" i="1"/>
  <c r="AO155" i="1"/>
  <c r="AL155" i="1"/>
  <c r="AM155" i="1" s="1"/>
  <c r="AK155" i="1"/>
  <c r="AH155" i="1"/>
  <c r="AG155" i="1"/>
  <c r="AD155" i="1"/>
  <c r="AC155" i="1"/>
  <c r="Z155" i="1"/>
  <c r="Y155" i="1"/>
  <c r="V155" i="1"/>
  <c r="W155" i="1" s="1"/>
  <c r="U155" i="1"/>
  <c r="S155" i="1"/>
  <c r="R155" i="1"/>
  <c r="Q155" i="1"/>
  <c r="N155" i="1"/>
  <c r="O155" i="1" s="1"/>
  <c r="M155" i="1"/>
  <c r="K155" i="1"/>
  <c r="J155" i="1"/>
  <c r="I155" i="1"/>
  <c r="F155" i="1"/>
  <c r="G155" i="1" s="1"/>
  <c r="E155" i="1"/>
  <c r="BN154" i="1"/>
  <c r="BL154" i="1"/>
  <c r="BJ154" i="1"/>
  <c r="BM154" i="1" s="1"/>
  <c r="BI154" i="1"/>
  <c r="BF154" i="1"/>
  <c r="BG154" i="1" s="1"/>
  <c r="BE154" i="1"/>
  <c r="BB154" i="1"/>
  <c r="BA154" i="1"/>
  <c r="AX154" i="1"/>
  <c r="AW154" i="1"/>
  <c r="AT154" i="1"/>
  <c r="AS154" i="1"/>
  <c r="AP154" i="1"/>
  <c r="AQ154" i="1" s="1"/>
  <c r="AO154" i="1"/>
  <c r="AM154" i="1"/>
  <c r="AL154" i="1"/>
  <c r="AK154" i="1"/>
  <c r="AH154" i="1"/>
  <c r="AI154" i="1" s="1"/>
  <c r="AG154" i="1"/>
  <c r="AE154" i="1"/>
  <c r="AD154" i="1"/>
  <c r="AC154" i="1"/>
  <c r="Z154" i="1"/>
  <c r="AA154" i="1" s="1"/>
  <c r="Y154" i="1"/>
  <c r="V154" i="1"/>
  <c r="U154" i="1"/>
  <c r="R154" i="1"/>
  <c r="Q154" i="1"/>
  <c r="N154" i="1"/>
  <c r="M154" i="1"/>
  <c r="J154" i="1"/>
  <c r="K154" i="1" s="1"/>
  <c r="I154" i="1"/>
  <c r="G154" i="1"/>
  <c r="F154" i="1"/>
  <c r="E154" i="1"/>
  <c r="BN153" i="1"/>
  <c r="BL153" i="1"/>
  <c r="BJ153" i="1"/>
  <c r="BM153" i="1" s="1"/>
  <c r="BI153" i="1"/>
  <c r="BG153" i="1"/>
  <c r="BF153" i="1"/>
  <c r="BE153" i="1"/>
  <c r="BB153" i="1"/>
  <c r="BC153" i="1" s="1"/>
  <c r="BA153" i="1"/>
  <c r="AY153" i="1"/>
  <c r="AX153" i="1"/>
  <c r="AW153" i="1"/>
  <c r="AT153" i="1"/>
  <c r="AU153" i="1" s="1"/>
  <c r="AS153" i="1"/>
  <c r="AP153" i="1"/>
  <c r="AO153" i="1"/>
  <c r="AL153" i="1"/>
  <c r="AK153" i="1"/>
  <c r="AH153" i="1"/>
  <c r="AG153" i="1"/>
  <c r="AF153" i="1"/>
  <c r="AE153" i="1"/>
  <c r="AD153" i="1"/>
  <c r="AC153" i="1"/>
  <c r="AB153" i="1"/>
  <c r="AA153" i="1"/>
  <c r="Z153" i="1"/>
  <c r="Y153" i="1"/>
  <c r="V153" i="1"/>
  <c r="W153" i="1" s="1"/>
  <c r="U153" i="1"/>
  <c r="S153" i="1"/>
  <c r="R153" i="1"/>
  <c r="Q153" i="1"/>
  <c r="N153" i="1"/>
  <c r="O153" i="1" s="1"/>
  <c r="M153" i="1"/>
  <c r="K153" i="1"/>
  <c r="J153" i="1"/>
  <c r="I153" i="1"/>
  <c r="F153" i="1"/>
  <c r="G153" i="1" s="1"/>
  <c r="E153" i="1"/>
  <c r="BN152" i="1"/>
  <c r="BL152" i="1"/>
  <c r="BJ152" i="1"/>
  <c r="BM152" i="1" s="1"/>
  <c r="BI152" i="1"/>
  <c r="BF152" i="1"/>
  <c r="BG152" i="1" s="1"/>
  <c r="BE152" i="1"/>
  <c r="BB152" i="1"/>
  <c r="BA152" i="1"/>
  <c r="AX152" i="1"/>
  <c r="AW152" i="1"/>
  <c r="AT152" i="1"/>
  <c r="AS152" i="1"/>
  <c r="AP152" i="1"/>
  <c r="AQ152" i="1" s="1"/>
  <c r="AO152" i="1"/>
  <c r="AM152" i="1"/>
  <c r="AL152" i="1"/>
  <c r="AK152" i="1"/>
  <c r="AH152" i="1"/>
  <c r="AI152" i="1" s="1"/>
  <c r="AF152" i="1"/>
  <c r="AG152" i="1" s="1"/>
  <c r="AD152" i="1"/>
  <c r="AC152" i="1"/>
  <c r="Z152" i="1"/>
  <c r="Y152" i="1"/>
  <c r="V152" i="1"/>
  <c r="W152" i="1" s="1"/>
  <c r="U152" i="1"/>
  <c r="S152" i="1"/>
  <c r="R152" i="1"/>
  <c r="Q152" i="1"/>
  <c r="N152" i="1"/>
  <c r="O152" i="1" s="1"/>
  <c r="M152" i="1"/>
  <c r="K152" i="1"/>
  <c r="J152" i="1"/>
  <c r="I152" i="1"/>
  <c r="F152" i="1"/>
  <c r="G152" i="1" s="1"/>
  <c r="E152" i="1"/>
  <c r="BN151" i="1"/>
  <c r="BL151" i="1"/>
  <c r="BJ151" i="1"/>
  <c r="BM151" i="1" s="1"/>
  <c r="BI151" i="1"/>
  <c r="BF151" i="1"/>
  <c r="BG151" i="1" s="1"/>
  <c r="BE151" i="1"/>
  <c r="BB151" i="1"/>
  <c r="BA151" i="1"/>
  <c r="AX151" i="1"/>
  <c r="AW151" i="1"/>
  <c r="AT151" i="1"/>
  <c r="AS151" i="1"/>
  <c r="AP151" i="1"/>
  <c r="AQ151" i="1" s="1"/>
  <c r="AO151" i="1"/>
  <c r="AM151" i="1"/>
  <c r="AL151" i="1"/>
  <c r="AK151" i="1"/>
  <c r="AH151" i="1"/>
  <c r="AI151" i="1" s="1"/>
  <c r="AF151" i="1"/>
  <c r="AG151" i="1" s="1"/>
  <c r="AD151" i="1"/>
  <c r="AC151" i="1"/>
  <c r="Z151" i="1"/>
  <c r="Y151" i="1"/>
  <c r="V151" i="1"/>
  <c r="W151" i="1" s="1"/>
  <c r="U151" i="1"/>
  <c r="S151" i="1"/>
  <c r="R151" i="1"/>
  <c r="Q151" i="1"/>
  <c r="N151" i="1"/>
  <c r="O151" i="1" s="1"/>
  <c r="M151" i="1"/>
  <c r="K151" i="1"/>
  <c r="J151" i="1"/>
  <c r="I151" i="1"/>
  <c r="F151" i="1"/>
  <c r="G151" i="1" s="1"/>
  <c r="E151" i="1"/>
  <c r="BN150" i="1"/>
  <c r="BL150" i="1"/>
  <c r="BJ150" i="1"/>
  <c r="BM150" i="1" s="1"/>
  <c r="BI150" i="1"/>
  <c r="BF150" i="1"/>
  <c r="BG150" i="1" s="1"/>
  <c r="BE150" i="1"/>
  <c r="BB150" i="1"/>
  <c r="BA150" i="1"/>
  <c r="AX150" i="1"/>
  <c r="AW150" i="1"/>
  <c r="AT150" i="1"/>
  <c r="AS150" i="1"/>
  <c r="AP150" i="1"/>
  <c r="AQ150" i="1" s="1"/>
  <c r="AO150" i="1"/>
  <c r="AM150" i="1"/>
  <c r="AL150" i="1"/>
  <c r="AK150" i="1"/>
  <c r="AH150" i="1"/>
  <c r="AI150" i="1" s="1"/>
  <c r="AG150" i="1"/>
  <c r="AE150" i="1"/>
  <c r="AD150" i="1"/>
  <c r="AC150" i="1"/>
  <c r="Z150" i="1"/>
  <c r="AA150" i="1" s="1"/>
  <c r="Y150" i="1"/>
  <c r="V150" i="1"/>
  <c r="U150" i="1"/>
  <c r="R150" i="1"/>
  <c r="Q150" i="1"/>
  <c r="N150" i="1"/>
  <c r="M150" i="1"/>
  <c r="J150" i="1"/>
  <c r="K150" i="1" s="1"/>
  <c r="I150" i="1"/>
  <c r="G150" i="1"/>
  <c r="F150" i="1"/>
  <c r="E150" i="1"/>
  <c r="BN149" i="1"/>
  <c r="BL149" i="1"/>
  <c r="BJ149" i="1"/>
  <c r="BM149" i="1" s="1"/>
  <c r="BI149" i="1"/>
  <c r="BG149" i="1"/>
  <c r="BF149" i="1"/>
  <c r="BE149" i="1"/>
  <c r="BB149" i="1"/>
  <c r="BC149" i="1" s="1"/>
  <c r="BA149" i="1"/>
  <c r="AY149" i="1"/>
  <c r="AX149" i="1"/>
  <c r="AW149" i="1"/>
  <c r="AT149" i="1"/>
  <c r="AU149" i="1" s="1"/>
  <c r="AS149" i="1"/>
  <c r="AP149" i="1"/>
  <c r="AO149" i="1"/>
  <c r="AL149" i="1"/>
  <c r="AK149" i="1"/>
  <c r="AH149" i="1"/>
  <c r="AG149" i="1"/>
  <c r="AD149" i="1"/>
  <c r="AE149" i="1" s="1"/>
  <c r="AC149" i="1"/>
  <c r="AA149" i="1"/>
  <c r="Z149" i="1"/>
  <c r="Y149" i="1"/>
  <c r="V149" i="1"/>
  <c r="W149" i="1" s="1"/>
  <c r="U149" i="1"/>
  <c r="S149" i="1"/>
  <c r="R149" i="1"/>
  <c r="Q149" i="1"/>
  <c r="N149" i="1"/>
  <c r="O149" i="1" s="1"/>
  <c r="M149" i="1"/>
  <c r="J149" i="1"/>
  <c r="I149" i="1"/>
  <c r="F149" i="1"/>
  <c r="G149" i="1" s="1"/>
  <c r="E149" i="1"/>
  <c r="BN148" i="1"/>
  <c r="BM148" i="1" s="1"/>
  <c r="BL148" i="1"/>
  <c r="BJ148" i="1"/>
  <c r="BI148" i="1"/>
  <c r="BF148" i="1"/>
  <c r="BE148" i="1"/>
  <c r="BB148" i="1"/>
  <c r="BA148" i="1"/>
  <c r="AX148" i="1"/>
  <c r="AY148" i="1" s="1"/>
  <c r="AW148" i="1"/>
  <c r="AU148" i="1"/>
  <c r="AT148" i="1"/>
  <c r="AS148" i="1"/>
  <c r="AP148" i="1"/>
  <c r="AQ148" i="1" s="1"/>
  <c r="AO148" i="1"/>
  <c r="AM148" i="1"/>
  <c r="AL148" i="1"/>
  <c r="AK148" i="1"/>
  <c r="AH148" i="1"/>
  <c r="AI148" i="1" s="1"/>
  <c r="AG148" i="1"/>
  <c r="AD148" i="1"/>
  <c r="AC148" i="1"/>
  <c r="Z148" i="1"/>
  <c r="Y148" i="1"/>
  <c r="V148" i="1"/>
  <c r="U148" i="1"/>
  <c r="R148" i="1"/>
  <c r="S148" i="1" s="1"/>
  <c r="Q148" i="1"/>
  <c r="O148" i="1"/>
  <c r="N148" i="1"/>
  <c r="M148" i="1"/>
  <c r="J148" i="1"/>
  <c r="K148" i="1" s="1"/>
  <c r="I148" i="1"/>
  <c r="G148" i="1"/>
  <c r="F148" i="1"/>
  <c r="E148" i="1"/>
  <c r="BN147" i="1"/>
  <c r="BM147" i="1"/>
  <c r="BL147" i="1"/>
  <c r="BJ147" i="1"/>
  <c r="BI147" i="1"/>
  <c r="BG147" i="1"/>
  <c r="BF147" i="1"/>
  <c r="BE147" i="1"/>
  <c r="BB147" i="1"/>
  <c r="BC147" i="1" s="1"/>
  <c r="BA147" i="1"/>
  <c r="AX147" i="1"/>
  <c r="AW147" i="1"/>
  <c r="AT147" i="1"/>
  <c r="AS147" i="1"/>
  <c r="AP147" i="1"/>
  <c r="AO147" i="1"/>
  <c r="AL147" i="1"/>
  <c r="AM147" i="1" s="1"/>
  <c r="AK147" i="1"/>
  <c r="AI147" i="1"/>
  <c r="AH147" i="1"/>
  <c r="AG147" i="1"/>
  <c r="AD147" i="1"/>
  <c r="AE147" i="1" s="1"/>
  <c r="AC147" i="1"/>
  <c r="AA147" i="1"/>
  <c r="Z147" i="1"/>
  <c r="Y147" i="1"/>
  <c r="V147" i="1"/>
  <c r="W147" i="1" s="1"/>
  <c r="U147" i="1"/>
  <c r="R147" i="1"/>
  <c r="Q147" i="1"/>
  <c r="N147" i="1"/>
  <c r="M147" i="1"/>
  <c r="J147" i="1"/>
  <c r="I147" i="1"/>
  <c r="F147" i="1"/>
  <c r="G147" i="1" s="1"/>
  <c r="E147" i="1"/>
  <c r="BN146" i="1"/>
  <c r="BL146" i="1"/>
  <c r="BJ146" i="1"/>
  <c r="BM146" i="1" s="1"/>
  <c r="BI146" i="1"/>
  <c r="BF146" i="1"/>
  <c r="BG146" i="1" s="1"/>
  <c r="BE146" i="1"/>
  <c r="BC146" i="1"/>
  <c r="BB146" i="1"/>
  <c r="BA146" i="1"/>
  <c r="AX146" i="1"/>
  <c r="AY146" i="1" s="1"/>
  <c r="AW146" i="1"/>
  <c r="AU146" i="1"/>
  <c r="AT146" i="1"/>
  <c r="AS146" i="1"/>
  <c r="AP146" i="1"/>
  <c r="AQ146" i="1" s="1"/>
  <c r="AO146" i="1"/>
  <c r="AL146" i="1"/>
  <c r="AK146" i="1"/>
  <c r="AH146" i="1"/>
  <c r="AG146" i="1"/>
  <c r="AD146" i="1"/>
  <c r="AC146" i="1"/>
  <c r="Z146" i="1"/>
  <c r="AA146" i="1" s="1"/>
  <c r="Y146" i="1"/>
  <c r="W146" i="1"/>
  <c r="V146" i="1"/>
  <c r="U146" i="1"/>
  <c r="R146" i="1"/>
  <c r="S146" i="1" s="1"/>
  <c r="Q146" i="1"/>
  <c r="O146" i="1"/>
  <c r="N146" i="1"/>
  <c r="M146" i="1"/>
  <c r="J146" i="1"/>
  <c r="K146" i="1" s="1"/>
  <c r="I146" i="1"/>
  <c r="F146" i="1"/>
  <c r="E146" i="1"/>
  <c r="BN145" i="1"/>
  <c r="BM145" i="1"/>
  <c r="BL145" i="1"/>
  <c r="BJ145" i="1"/>
  <c r="BG145" i="1" s="1"/>
  <c r="BI145" i="1"/>
  <c r="BF145" i="1"/>
  <c r="BE145" i="1"/>
  <c r="BB145" i="1"/>
  <c r="BA145" i="1"/>
  <c r="AX145" i="1"/>
  <c r="AW145" i="1"/>
  <c r="AT145" i="1"/>
  <c r="AU145" i="1" s="1"/>
  <c r="AS145" i="1"/>
  <c r="AQ145" i="1"/>
  <c r="AP145" i="1"/>
  <c r="AO145" i="1"/>
  <c r="AL145" i="1"/>
  <c r="AM145" i="1" s="1"/>
  <c r="AK145" i="1"/>
  <c r="AI145" i="1"/>
  <c r="AH145" i="1"/>
  <c r="AG145" i="1"/>
  <c r="AD145" i="1"/>
  <c r="AE145" i="1" s="1"/>
  <c r="AC145" i="1"/>
  <c r="Z145" i="1"/>
  <c r="Y145" i="1"/>
  <c r="V145" i="1"/>
  <c r="U145" i="1"/>
  <c r="R145" i="1"/>
  <c r="Q145" i="1"/>
  <c r="N145" i="1"/>
  <c r="O145" i="1" s="1"/>
  <c r="M145" i="1"/>
  <c r="K145" i="1"/>
  <c r="J145" i="1"/>
  <c r="I145" i="1"/>
  <c r="F145" i="1"/>
  <c r="G145" i="1" s="1"/>
  <c r="D145" i="1"/>
  <c r="E145" i="1" s="1"/>
  <c r="BN144" i="1"/>
  <c r="BM144" i="1"/>
  <c r="BL144" i="1"/>
  <c r="BJ144" i="1"/>
  <c r="BG144" i="1" s="1"/>
  <c r="BI144" i="1"/>
  <c r="BF144" i="1"/>
  <c r="BE144" i="1"/>
  <c r="BB144" i="1"/>
  <c r="BA144" i="1"/>
  <c r="AX144" i="1"/>
  <c r="AW144" i="1"/>
  <c r="AT144" i="1"/>
  <c r="AU144" i="1" s="1"/>
  <c r="AS144" i="1"/>
  <c r="AQ144" i="1"/>
  <c r="AP144" i="1"/>
  <c r="AO144" i="1"/>
  <c r="AL144" i="1"/>
  <c r="AM144" i="1" s="1"/>
  <c r="AK144" i="1"/>
  <c r="AI144" i="1"/>
  <c r="AH144" i="1"/>
  <c r="AG144" i="1"/>
  <c r="AD144" i="1"/>
  <c r="AE144" i="1" s="1"/>
  <c r="AC144" i="1"/>
  <c r="Z144" i="1"/>
  <c r="Y144" i="1"/>
  <c r="V144" i="1"/>
  <c r="U144" i="1"/>
  <c r="R144" i="1"/>
  <c r="Q144" i="1"/>
  <c r="N144" i="1"/>
  <c r="O144" i="1" s="1"/>
  <c r="M144" i="1"/>
  <c r="K144" i="1"/>
  <c r="J144" i="1"/>
  <c r="I144" i="1"/>
  <c r="F144" i="1"/>
  <c r="G144" i="1" s="1"/>
  <c r="D144" i="1"/>
  <c r="E144" i="1" s="1"/>
  <c r="BN143" i="1"/>
  <c r="BM143" i="1"/>
  <c r="BL143" i="1"/>
  <c r="BJ143" i="1"/>
  <c r="BG143" i="1" s="1"/>
  <c r="BI143" i="1"/>
  <c r="BF143" i="1"/>
  <c r="BE143" i="1"/>
  <c r="BB143" i="1"/>
  <c r="BA143" i="1"/>
  <c r="AX143" i="1"/>
  <c r="AW143" i="1"/>
  <c r="AT143" i="1"/>
  <c r="AU143" i="1" s="1"/>
  <c r="AS143" i="1"/>
  <c r="AQ143" i="1"/>
  <c r="AP143" i="1"/>
  <c r="AO143" i="1"/>
  <c r="AL143" i="1"/>
  <c r="AM143" i="1" s="1"/>
  <c r="AK143" i="1"/>
  <c r="AI143" i="1"/>
  <c r="AH143" i="1"/>
  <c r="AG143" i="1"/>
  <c r="AD143" i="1"/>
  <c r="AE143" i="1" s="1"/>
  <c r="AC143" i="1"/>
  <c r="Z143" i="1"/>
  <c r="Y143" i="1"/>
  <c r="V143" i="1"/>
  <c r="U143" i="1"/>
  <c r="R143" i="1"/>
  <c r="Q143" i="1"/>
  <c r="N143" i="1"/>
  <c r="O143" i="1" s="1"/>
  <c r="M143" i="1"/>
  <c r="K143" i="1"/>
  <c r="J143" i="1"/>
  <c r="I143" i="1"/>
  <c r="F143" i="1"/>
  <c r="G143" i="1" s="1"/>
  <c r="D143" i="1"/>
  <c r="E143" i="1" s="1"/>
  <c r="BN142" i="1"/>
  <c r="BM142" i="1"/>
  <c r="BL142" i="1"/>
  <c r="BJ142" i="1"/>
  <c r="BG142" i="1" s="1"/>
  <c r="BI142" i="1"/>
  <c r="BF142" i="1"/>
  <c r="BE142" i="1"/>
  <c r="BB142" i="1"/>
  <c r="BA142" i="1"/>
  <c r="AX142" i="1"/>
  <c r="AW142" i="1"/>
  <c r="AT142" i="1"/>
  <c r="AU142" i="1" s="1"/>
  <c r="AS142" i="1"/>
  <c r="AQ142" i="1"/>
  <c r="AP142" i="1"/>
  <c r="AO142" i="1"/>
  <c r="AL142" i="1"/>
  <c r="AM142" i="1" s="1"/>
  <c r="AK142" i="1"/>
  <c r="AI142" i="1"/>
  <c r="AH142" i="1"/>
  <c r="AG142" i="1"/>
  <c r="AD142" i="1"/>
  <c r="AE142" i="1" s="1"/>
  <c r="AC142" i="1"/>
  <c r="Z142" i="1"/>
  <c r="Y142" i="1"/>
  <c r="V142" i="1"/>
  <c r="U142" i="1"/>
  <c r="R142" i="1"/>
  <c r="Q142" i="1"/>
  <c r="N142" i="1"/>
  <c r="O142" i="1" s="1"/>
  <c r="M142" i="1"/>
  <c r="K142" i="1"/>
  <c r="J142" i="1"/>
  <c r="I142" i="1"/>
  <c r="F142" i="1"/>
  <c r="G142" i="1" s="1"/>
  <c r="E142" i="1"/>
  <c r="BN141" i="1"/>
  <c r="BL141" i="1"/>
  <c r="BK141" i="1"/>
  <c r="BJ141" i="1"/>
  <c r="BG141" i="1" s="1"/>
  <c r="BI141" i="1"/>
  <c r="BF141" i="1"/>
  <c r="BE141" i="1"/>
  <c r="BB141" i="1"/>
  <c r="BA141" i="1"/>
  <c r="AX141" i="1"/>
  <c r="AW141" i="1"/>
  <c r="AV141" i="1"/>
  <c r="AU141" i="1"/>
  <c r="AT141" i="1"/>
  <c r="AS141" i="1"/>
  <c r="AP141" i="1"/>
  <c r="AQ141" i="1" s="1"/>
  <c r="AO141" i="1"/>
  <c r="AL141" i="1"/>
  <c r="AK141" i="1"/>
  <c r="AH141" i="1"/>
  <c r="AI141" i="1" s="1"/>
  <c r="AF141" i="1"/>
  <c r="AG141" i="1" s="1"/>
  <c r="AD141" i="1"/>
  <c r="AE141" i="1" s="1"/>
  <c r="AC141" i="1"/>
  <c r="AA141" i="1"/>
  <c r="Z141" i="1"/>
  <c r="Y141" i="1"/>
  <c r="V141" i="1"/>
  <c r="W141" i="1" s="1"/>
  <c r="U141" i="1"/>
  <c r="R141" i="1"/>
  <c r="Q141" i="1"/>
  <c r="N141" i="1"/>
  <c r="M141" i="1"/>
  <c r="J141" i="1"/>
  <c r="I141" i="1"/>
  <c r="F141" i="1"/>
  <c r="G141" i="1" s="1"/>
  <c r="E141" i="1"/>
  <c r="BN140" i="1"/>
  <c r="BL140" i="1"/>
  <c r="BK140" i="1"/>
  <c r="BJ140" i="1"/>
  <c r="BI140" i="1"/>
  <c r="BG140" i="1"/>
  <c r="BF140" i="1"/>
  <c r="BE140" i="1"/>
  <c r="BB140" i="1"/>
  <c r="BC140" i="1" s="1"/>
  <c r="BA140" i="1"/>
  <c r="AX140" i="1"/>
  <c r="AW140" i="1"/>
  <c r="AV140" i="1"/>
  <c r="AU140" i="1"/>
  <c r="AT140" i="1"/>
  <c r="AS140" i="1"/>
  <c r="AP140" i="1"/>
  <c r="AQ140" i="1" s="1"/>
  <c r="AO140" i="1"/>
  <c r="AM140" i="1"/>
  <c r="AL140" i="1"/>
  <c r="AK140" i="1"/>
  <c r="AH140" i="1"/>
  <c r="AI140" i="1" s="1"/>
  <c r="AF140" i="1"/>
  <c r="AG140" i="1" s="1"/>
  <c r="AD140" i="1"/>
  <c r="AE140" i="1" s="1"/>
  <c r="AC140" i="1"/>
  <c r="AA140" i="1"/>
  <c r="Z140" i="1"/>
  <c r="Y140" i="1"/>
  <c r="V140" i="1"/>
  <c r="W140" i="1" s="1"/>
  <c r="U140" i="1"/>
  <c r="S140" i="1"/>
  <c r="R140" i="1"/>
  <c r="Q140" i="1"/>
  <c r="N140" i="1"/>
  <c r="O140" i="1" s="1"/>
  <c r="M140" i="1"/>
  <c r="J140" i="1"/>
  <c r="I140" i="1"/>
  <c r="F140" i="1"/>
  <c r="G140" i="1" s="1"/>
  <c r="E140" i="1"/>
  <c r="BN139" i="1"/>
  <c r="BL139" i="1"/>
  <c r="BK139" i="1"/>
  <c r="BJ139" i="1"/>
  <c r="BM139" i="1" s="1"/>
  <c r="BI139" i="1"/>
  <c r="BG139" i="1"/>
  <c r="BF139" i="1"/>
  <c r="BE139" i="1"/>
  <c r="BB139" i="1"/>
  <c r="BC139" i="1" s="1"/>
  <c r="BA139" i="1"/>
  <c r="AY139" i="1"/>
  <c r="AX139" i="1"/>
  <c r="AW139" i="1"/>
  <c r="AV139" i="1"/>
  <c r="AU139" i="1"/>
  <c r="AT139" i="1"/>
  <c r="AS139" i="1"/>
  <c r="AP139" i="1"/>
  <c r="AQ139" i="1" s="1"/>
  <c r="AO139" i="1"/>
  <c r="AM139" i="1"/>
  <c r="AL139" i="1"/>
  <c r="AK139" i="1"/>
  <c r="AH139" i="1"/>
  <c r="AI139" i="1" s="1"/>
  <c r="AF139" i="1"/>
  <c r="AG139" i="1" s="1"/>
  <c r="AD139" i="1"/>
  <c r="AC139" i="1"/>
  <c r="Z139" i="1"/>
  <c r="Y139" i="1"/>
  <c r="V139" i="1"/>
  <c r="W139" i="1" s="1"/>
  <c r="U139" i="1"/>
  <c r="S139" i="1"/>
  <c r="R139" i="1"/>
  <c r="Q139" i="1"/>
  <c r="N139" i="1"/>
  <c r="O139" i="1" s="1"/>
  <c r="M139" i="1"/>
  <c r="K139" i="1"/>
  <c r="J139" i="1"/>
  <c r="I139" i="1"/>
  <c r="F139" i="1"/>
  <c r="G139" i="1" s="1"/>
  <c r="E139" i="1"/>
  <c r="BN138" i="1"/>
  <c r="BL138" i="1"/>
  <c r="BJ138" i="1"/>
  <c r="BM138" i="1" s="1"/>
  <c r="BI138" i="1"/>
  <c r="BF138" i="1"/>
  <c r="BG138" i="1" s="1"/>
  <c r="BE138" i="1"/>
  <c r="BB138" i="1"/>
  <c r="BA138" i="1"/>
  <c r="AX138" i="1"/>
  <c r="AW138" i="1"/>
  <c r="AT138" i="1"/>
  <c r="AS138" i="1"/>
  <c r="AP138" i="1"/>
  <c r="AQ138" i="1" s="1"/>
  <c r="AO138" i="1"/>
  <c r="AM138" i="1"/>
  <c r="AL138" i="1"/>
  <c r="AK138" i="1"/>
  <c r="AH138" i="1"/>
  <c r="AI138" i="1" s="1"/>
  <c r="AG138" i="1"/>
  <c r="AE138" i="1"/>
  <c r="AD138" i="1"/>
  <c r="AC138" i="1"/>
  <c r="Z138" i="1"/>
  <c r="AA138" i="1" s="1"/>
  <c r="Y138" i="1"/>
  <c r="V138" i="1"/>
  <c r="U138" i="1"/>
  <c r="R138" i="1"/>
  <c r="Q138" i="1"/>
  <c r="N138" i="1"/>
  <c r="M138" i="1"/>
  <c r="J138" i="1"/>
  <c r="K138" i="1" s="1"/>
  <c r="I138" i="1"/>
  <c r="G138" i="1"/>
  <c r="F138" i="1"/>
  <c r="E138" i="1"/>
  <c r="BN137" i="1"/>
  <c r="BL137" i="1"/>
  <c r="BJ137" i="1"/>
  <c r="BM137" i="1" s="1"/>
  <c r="BI137" i="1"/>
  <c r="BG137" i="1"/>
  <c r="BF137" i="1"/>
  <c r="BE137" i="1"/>
  <c r="BB137" i="1"/>
  <c r="BC137" i="1" s="1"/>
  <c r="BA137" i="1"/>
  <c r="AY137" i="1"/>
  <c r="AX137" i="1"/>
  <c r="AW137" i="1"/>
  <c r="AT137" i="1"/>
  <c r="AU137" i="1" s="1"/>
  <c r="AS137" i="1"/>
  <c r="AP137" i="1"/>
  <c r="AO137" i="1"/>
  <c r="AL137" i="1"/>
  <c r="AK137" i="1"/>
  <c r="AH137" i="1"/>
  <c r="AG137" i="1"/>
  <c r="AD137" i="1"/>
  <c r="AE137" i="1" s="1"/>
  <c r="AC137" i="1"/>
  <c r="AA137" i="1"/>
  <c r="Z137" i="1"/>
  <c r="Y137" i="1"/>
  <c r="V137" i="1"/>
  <c r="W137" i="1" s="1"/>
  <c r="U137" i="1"/>
  <c r="S137" i="1"/>
  <c r="R137" i="1"/>
  <c r="Q137" i="1"/>
  <c r="N137" i="1"/>
  <c r="O137" i="1" s="1"/>
  <c r="M137" i="1"/>
  <c r="J137" i="1"/>
  <c r="I137" i="1"/>
  <c r="F137" i="1"/>
  <c r="G137" i="1" s="1"/>
  <c r="E137" i="1"/>
  <c r="BN136" i="1"/>
  <c r="BM136" i="1" s="1"/>
  <c r="BL136" i="1"/>
  <c r="BJ136" i="1"/>
  <c r="BI136" i="1"/>
  <c r="BF136" i="1"/>
  <c r="BE136" i="1"/>
  <c r="BB136" i="1"/>
  <c r="BA136" i="1"/>
  <c r="AX136" i="1"/>
  <c r="AY136" i="1" s="1"/>
  <c r="AW136" i="1"/>
  <c r="AU136" i="1"/>
  <c r="AT136" i="1"/>
  <c r="AS136" i="1"/>
  <c r="AP136" i="1"/>
  <c r="AQ136" i="1" s="1"/>
  <c r="AO136" i="1"/>
  <c r="AM136" i="1"/>
  <c r="AL136" i="1"/>
  <c r="AK136" i="1"/>
  <c r="AH136" i="1"/>
  <c r="AI136" i="1" s="1"/>
  <c r="AG136" i="1"/>
  <c r="AD136" i="1"/>
  <c r="AC136" i="1"/>
  <c r="Z136" i="1"/>
  <c r="Y136" i="1"/>
  <c r="V136" i="1"/>
  <c r="U136" i="1"/>
  <c r="R136" i="1"/>
  <c r="S136" i="1" s="1"/>
  <c r="Q136" i="1"/>
  <c r="O136" i="1"/>
  <c r="N136" i="1"/>
  <c r="M136" i="1"/>
  <c r="J136" i="1"/>
  <c r="K136" i="1" s="1"/>
  <c r="I136" i="1"/>
  <c r="G136" i="1"/>
  <c r="F136" i="1"/>
  <c r="E136" i="1"/>
  <c r="BN135" i="1"/>
  <c r="BM135" i="1"/>
  <c r="BL135" i="1"/>
  <c r="BJ135" i="1"/>
  <c r="BI135" i="1"/>
  <c r="BG135" i="1"/>
  <c r="BF135" i="1"/>
  <c r="BE135" i="1"/>
  <c r="BB135" i="1"/>
  <c r="BC135" i="1" s="1"/>
  <c r="BA135" i="1"/>
  <c r="AX135" i="1"/>
  <c r="AW135" i="1"/>
  <c r="AT135" i="1"/>
  <c r="AS135" i="1"/>
  <c r="AP135" i="1"/>
  <c r="AO135" i="1"/>
  <c r="AL135" i="1"/>
  <c r="AM135" i="1" s="1"/>
  <c r="AK135" i="1"/>
  <c r="AI135" i="1"/>
  <c r="AH135" i="1"/>
  <c r="AG135" i="1"/>
  <c r="AD135" i="1"/>
  <c r="AE135" i="1" s="1"/>
  <c r="AC135" i="1"/>
  <c r="AA135" i="1"/>
  <c r="Z135" i="1"/>
  <c r="Y135" i="1"/>
  <c r="V135" i="1"/>
  <c r="W135" i="1" s="1"/>
  <c r="U135" i="1"/>
  <c r="R135" i="1"/>
  <c r="Q135" i="1"/>
  <c r="N135" i="1"/>
  <c r="M135" i="1"/>
  <c r="J135" i="1"/>
  <c r="I135" i="1"/>
  <c r="F135" i="1"/>
  <c r="G135" i="1" s="1"/>
  <c r="E135" i="1"/>
  <c r="BN134" i="1"/>
  <c r="BL134" i="1"/>
  <c r="BJ134" i="1"/>
  <c r="BI134" i="1"/>
  <c r="BF134" i="1"/>
  <c r="BG134" i="1" s="1"/>
  <c r="BE134" i="1"/>
  <c r="BC134" i="1"/>
  <c r="BB134" i="1"/>
  <c r="BA134" i="1"/>
  <c r="AX134" i="1"/>
  <c r="AY134" i="1" s="1"/>
  <c r="AW134" i="1"/>
  <c r="AU134" i="1"/>
  <c r="AT134" i="1"/>
  <c r="AS134" i="1"/>
  <c r="AP134" i="1"/>
  <c r="AQ134" i="1" s="1"/>
  <c r="AO134" i="1"/>
  <c r="AL134" i="1"/>
  <c r="AK134" i="1"/>
  <c r="AH134" i="1"/>
  <c r="AG134" i="1"/>
  <c r="AD134" i="1"/>
  <c r="AC134" i="1"/>
  <c r="Z134" i="1"/>
  <c r="AA134" i="1" s="1"/>
  <c r="Y134" i="1"/>
  <c r="W134" i="1"/>
  <c r="V134" i="1"/>
  <c r="U134" i="1"/>
  <c r="R134" i="1"/>
  <c r="S134" i="1" s="1"/>
  <c r="Q134" i="1"/>
  <c r="O134" i="1"/>
  <c r="N134" i="1"/>
  <c r="M134" i="1"/>
  <c r="J134" i="1"/>
  <c r="K134" i="1" s="1"/>
  <c r="I134" i="1"/>
  <c r="F134" i="1"/>
  <c r="E134" i="1"/>
  <c r="BN133" i="1"/>
  <c r="BM133" i="1"/>
  <c r="BL133" i="1"/>
  <c r="BJ133" i="1"/>
  <c r="BG133" i="1" s="1"/>
  <c r="BI133" i="1"/>
  <c r="BF133" i="1"/>
  <c r="BE133" i="1"/>
  <c r="BB133" i="1"/>
  <c r="BA133" i="1"/>
  <c r="AX133" i="1"/>
  <c r="AW133" i="1"/>
  <c r="AT133" i="1"/>
  <c r="AU133" i="1" s="1"/>
  <c r="AS133" i="1"/>
  <c r="AQ133" i="1"/>
  <c r="AP133" i="1"/>
  <c r="AO133" i="1"/>
  <c r="AL133" i="1"/>
  <c r="AM133" i="1" s="1"/>
  <c r="AK133" i="1"/>
  <c r="AI133" i="1"/>
  <c r="AH133" i="1"/>
  <c r="AG133" i="1"/>
  <c r="AD133" i="1"/>
  <c r="AE133" i="1" s="1"/>
  <c r="AC133" i="1"/>
  <c r="Z133" i="1"/>
  <c r="Y133" i="1"/>
  <c r="V133" i="1"/>
  <c r="U133" i="1"/>
  <c r="R133" i="1"/>
  <c r="Q133" i="1"/>
  <c r="N133" i="1"/>
  <c r="O133" i="1" s="1"/>
  <c r="M133" i="1"/>
  <c r="K133" i="1"/>
  <c r="J133" i="1"/>
  <c r="I133" i="1"/>
  <c r="F133" i="1"/>
  <c r="G133" i="1" s="1"/>
  <c r="E133" i="1"/>
  <c r="BN132" i="1"/>
  <c r="BM132" i="1" s="1"/>
  <c r="BL132" i="1"/>
  <c r="BJ132" i="1"/>
  <c r="BI132" i="1"/>
  <c r="BF132" i="1"/>
  <c r="BG132" i="1" s="1"/>
  <c r="BE132" i="1"/>
  <c r="BC132" i="1"/>
  <c r="BB132" i="1"/>
  <c r="BA132" i="1"/>
  <c r="AX132" i="1"/>
  <c r="AY132" i="1" s="1"/>
  <c r="AW132" i="1"/>
  <c r="AT132" i="1"/>
  <c r="AS132" i="1"/>
  <c r="AP132" i="1"/>
  <c r="AO132" i="1"/>
  <c r="AL132" i="1"/>
  <c r="AK132" i="1"/>
  <c r="AH132" i="1"/>
  <c r="AI132" i="1" s="1"/>
  <c r="AG132" i="1"/>
  <c r="AE132" i="1"/>
  <c r="AD132" i="1"/>
  <c r="AC132" i="1"/>
  <c r="Z132" i="1"/>
  <c r="AA132" i="1" s="1"/>
  <c r="Y132" i="1"/>
  <c r="W132" i="1"/>
  <c r="V132" i="1"/>
  <c r="U132" i="1"/>
  <c r="R132" i="1"/>
  <c r="S132" i="1" s="1"/>
  <c r="Q132" i="1"/>
  <c r="N132" i="1"/>
  <c r="M132" i="1"/>
  <c r="J132" i="1"/>
  <c r="I132" i="1"/>
  <c r="F132" i="1"/>
  <c r="E132" i="1"/>
  <c r="BN131" i="1"/>
  <c r="BL131" i="1"/>
  <c r="BJ131" i="1"/>
  <c r="BI131" i="1"/>
  <c r="BF131" i="1"/>
  <c r="BE131" i="1"/>
  <c r="BB131" i="1"/>
  <c r="BC131" i="1" s="1"/>
  <c r="BA131" i="1"/>
  <c r="AY131" i="1"/>
  <c r="AX131" i="1"/>
  <c r="AW131" i="1"/>
  <c r="AT131" i="1"/>
  <c r="AU131" i="1" s="1"/>
  <c r="AS131" i="1"/>
  <c r="AQ131" i="1"/>
  <c r="AP131" i="1"/>
  <c r="AO131" i="1"/>
  <c r="AL131" i="1"/>
  <c r="AM131" i="1" s="1"/>
  <c r="AK131" i="1"/>
  <c r="AH131" i="1"/>
  <c r="AG131" i="1"/>
  <c r="AD131" i="1"/>
  <c r="AC131" i="1"/>
  <c r="Z131" i="1"/>
  <c r="Y131" i="1"/>
  <c r="V131" i="1"/>
  <c r="W131" i="1" s="1"/>
  <c r="U131" i="1"/>
  <c r="S131" i="1"/>
  <c r="R131" i="1"/>
  <c r="Q131" i="1"/>
  <c r="N131" i="1"/>
  <c r="O131" i="1" s="1"/>
  <c r="M131" i="1"/>
  <c r="K131" i="1"/>
  <c r="J131" i="1"/>
  <c r="I131" i="1"/>
  <c r="F131" i="1"/>
  <c r="G131" i="1" s="1"/>
  <c r="E131" i="1"/>
  <c r="BN130" i="1"/>
  <c r="BL130" i="1"/>
  <c r="BJ130" i="1"/>
  <c r="BM130" i="1" s="1"/>
  <c r="BI130" i="1"/>
  <c r="BF130" i="1"/>
  <c r="BG130" i="1" s="1"/>
  <c r="BE130" i="1"/>
  <c r="BB130" i="1"/>
  <c r="BA130" i="1"/>
  <c r="AX130" i="1"/>
  <c r="AW130" i="1"/>
  <c r="AT130" i="1"/>
  <c r="AS130" i="1"/>
  <c r="AP130" i="1"/>
  <c r="AQ130" i="1" s="1"/>
  <c r="AO130" i="1"/>
  <c r="AM130" i="1"/>
  <c r="AL130" i="1"/>
  <c r="AK130" i="1"/>
  <c r="AH130" i="1"/>
  <c r="AI130" i="1" s="1"/>
  <c r="AG130" i="1"/>
  <c r="AE130" i="1"/>
  <c r="AD130" i="1"/>
  <c r="AC130" i="1"/>
  <c r="Z130" i="1"/>
  <c r="AA130" i="1" s="1"/>
  <c r="Y130" i="1"/>
  <c r="V130" i="1"/>
  <c r="U130" i="1"/>
  <c r="R130" i="1"/>
  <c r="Q130" i="1"/>
  <c r="N130" i="1"/>
  <c r="M130" i="1"/>
  <c r="J130" i="1"/>
  <c r="K130" i="1" s="1"/>
  <c r="I130" i="1"/>
  <c r="G130" i="1"/>
  <c r="F130" i="1"/>
  <c r="E130" i="1"/>
  <c r="BN129" i="1"/>
  <c r="BL129" i="1"/>
  <c r="BJ129" i="1"/>
  <c r="BM129" i="1" s="1"/>
  <c r="BI129" i="1"/>
  <c r="BG129" i="1"/>
  <c r="BF129" i="1"/>
  <c r="BE129" i="1"/>
  <c r="BB129" i="1"/>
  <c r="BC129" i="1" s="1"/>
  <c r="BA129" i="1"/>
  <c r="AY129" i="1"/>
  <c r="AX129" i="1"/>
  <c r="AW129" i="1"/>
  <c r="AT129" i="1"/>
  <c r="AU129" i="1" s="1"/>
  <c r="AS129" i="1"/>
  <c r="AP129" i="1"/>
  <c r="AO129" i="1"/>
  <c r="AL129" i="1"/>
  <c r="AK129" i="1"/>
  <c r="AH129" i="1"/>
  <c r="AG129" i="1"/>
  <c r="AD129" i="1"/>
  <c r="AE129" i="1" s="1"/>
  <c r="AC129" i="1"/>
  <c r="AA129" i="1"/>
  <c r="Z129" i="1"/>
  <c r="Y129" i="1"/>
  <c r="V129" i="1"/>
  <c r="W129" i="1" s="1"/>
  <c r="U129" i="1"/>
  <c r="S129" i="1"/>
  <c r="R129" i="1"/>
  <c r="Q129" i="1"/>
  <c r="N129" i="1"/>
  <c r="O129" i="1" s="1"/>
  <c r="M129" i="1"/>
  <c r="J129" i="1"/>
  <c r="I129" i="1"/>
  <c r="F129" i="1"/>
  <c r="G129" i="1" s="1"/>
  <c r="E129" i="1"/>
  <c r="BN128" i="1"/>
  <c r="BM128" i="1" s="1"/>
  <c r="BL128" i="1"/>
  <c r="BJ128" i="1"/>
  <c r="BI128" i="1"/>
  <c r="BF128" i="1"/>
  <c r="BE128" i="1"/>
  <c r="BB128" i="1"/>
  <c r="BA128" i="1"/>
  <c r="AX128" i="1"/>
  <c r="AY128" i="1" s="1"/>
  <c r="AW128" i="1"/>
  <c r="AU128" i="1"/>
  <c r="AT128" i="1"/>
  <c r="AS128" i="1"/>
  <c r="AP128" i="1"/>
  <c r="AQ128" i="1" s="1"/>
  <c r="AO128" i="1"/>
  <c r="AM128" i="1"/>
  <c r="AL128" i="1"/>
  <c r="AK128" i="1"/>
  <c r="AH128" i="1"/>
  <c r="AI128" i="1" s="1"/>
  <c r="AG128" i="1"/>
  <c r="AD128" i="1"/>
  <c r="AC128" i="1"/>
  <c r="Z128" i="1"/>
  <c r="Y128" i="1"/>
  <c r="V128" i="1"/>
  <c r="U128" i="1"/>
  <c r="R128" i="1"/>
  <c r="S128" i="1" s="1"/>
  <c r="Q128" i="1"/>
  <c r="O128" i="1"/>
  <c r="N128" i="1"/>
  <c r="M128" i="1"/>
  <c r="J128" i="1"/>
  <c r="K128" i="1" s="1"/>
  <c r="I128" i="1"/>
  <c r="G128" i="1"/>
  <c r="F128" i="1"/>
  <c r="E128" i="1"/>
  <c r="BN127" i="1"/>
  <c r="BM127" i="1"/>
  <c r="BL127" i="1"/>
  <c r="BJ127" i="1"/>
  <c r="BI127" i="1"/>
  <c r="BG127" i="1"/>
  <c r="BF127" i="1"/>
  <c r="BE127" i="1"/>
  <c r="BB127" i="1"/>
  <c r="BC127" i="1" s="1"/>
  <c r="BA127" i="1"/>
  <c r="AX127" i="1"/>
  <c r="AW127" i="1"/>
  <c r="AT127" i="1"/>
  <c r="AS127" i="1"/>
  <c r="AP127" i="1"/>
  <c r="AO127" i="1"/>
  <c r="AL127" i="1"/>
  <c r="AM127" i="1" s="1"/>
  <c r="AK127" i="1"/>
  <c r="AI127" i="1"/>
  <c r="AH127" i="1"/>
  <c r="AG127" i="1"/>
  <c r="AD127" i="1"/>
  <c r="AE127" i="1" s="1"/>
  <c r="AC127" i="1"/>
  <c r="AA127" i="1"/>
  <c r="Z127" i="1"/>
  <c r="Y127" i="1"/>
  <c r="V127" i="1"/>
  <c r="W127" i="1" s="1"/>
  <c r="U127" i="1"/>
  <c r="R127" i="1"/>
  <c r="Q127" i="1"/>
  <c r="N127" i="1"/>
  <c r="M127" i="1"/>
  <c r="J127" i="1"/>
  <c r="I127" i="1"/>
  <c r="F127" i="1"/>
  <c r="G127" i="1" s="1"/>
  <c r="E127" i="1"/>
  <c r="BN126" i="1"/>
  <c r="BL126" i="1"/>
  <c r="BJ126" i="1"/>
  <c r="BM126" i="1" s="1"/>
  <c r="BI126" i="1"/>
  <c r="BF126" i="1"/>
  <c r="BG126" i="1" s="1"/>
  <c r="BE126" i="1"/>
  <c r="BC126" i="1"/>
  <c r="BB126" i="1"/>
  <c r="BA126" i="1"/>
  <c r="AX126" i="1"/>
  <c r="AY126" i="1" s="1"/>
  <c r="AW126" i="1"/>
  <c r="AU126" i="1"/>
  <c r="AT126" i="1"/>
  <c r="AS126" i="1"/>
  <c r="AP126" i="1"/>
  <c r="AQ126" i="1" s="1"/>
  <c r="AO126" i="1"/>
  <c r="AL126" i="1"/>
  <c r="AK126" i="1"/>
  <c r="AH126" i="1"/>
  <c r="AG126" i="1"/>
  <c r="AD126" i="1"/>
  <c r="AC126" i="1"/>
  <c r="Z126" i="1"/>
  <c r="AA126" i="1" s="1"/>
  <c r="Y126" i="1"/>
  <c r="W126" i="1"/>
  <c r="V126" i="1"/>
  <c r="U126" i="1"/>
  <c r="R126" i="1"/>
  <c r="S126" i="1" s="1"/>
  <c r="Q126" i="1"/>
  <c r="O126" i="1"/>
  <c r="N126" i="1"/>
  <c r="M126" i="1"/>
  <c r="J126" i="1"/>
  <c r="K126" i="1" s="1"/>
  <c r="I126" i="1"/>
  <c r="F126" i="1"/>
  <c r="E126" i="1"/>
  <c r="BN125" i="1"/>
  <c r="BM125" i="1"/>
  <c r="BL125" i="1"/>
  <c r="BJ125" i="1"/>
  <c r="BG125" i="1" s="1"/>
  <c r="BI125" i="1"/>
  <c r="BF125" i="1"/>
  <c r="BE125" i="1"/>
  <c r="BB125" i="1"/>
  <c r="BA125" i="1"/>
  <c r="AX125" i="1"/>
  <c r="AW125" i="1"/>
  <c r="AT125" i="1"/>
  <c r="AU125" i="1" s="1"/>
  <c r="AS125" i="1"/>
  <c r="AQ125" i="1"/>
  <c r="AP125" i="1"/>
  <c r="AO125" i="1"/>
  <c r="AL125" i="1"/>
  <c r="AM125" i="1" s="1"/>
  <c r="AK125" i="1"/>
  <c r="AI125" i="1"/>
  <c r="AH125" i="1"/>
  <c r="AG125" i="1"/>
  <c r="AF125" i="1"/>
  <c r="AE125" i="1"/>
  <c r="AD125" i="1"/>
  <c r="AC125" i="1"/>
  <c r="Z125" i="1"/>
  <c r="AA125" i="1" s="1"/>
  <c r="Y125" i="1"/>
  <c r="W125" i="1"/>
  <c r="V125" i="1"/>
  <c r="U125" i="1"/>
  <c r="R125" i="1"/>
  <c r="S125" i="1" s="1"/>
  <c r="Q125" i="1"/>
  <c r="O125" i="1"/>
  <c r="N125" i="1"/>
  <c r="M125" i="1"/>
  <c r="J125" i="1"/>
  <c r="K125" i="1" s="1"/>
  <c r="I125" i="1"/>
  <c r="F125" i="1"/>
  <c r="E125" i="1"/>
  <c r="BN124" i="1"/>
  <c r="BM124" i="1"/>
  <c r="BL124" i="1"/>
  <c r="BJ124" i="1"/>
  <c r="BG124" i="1" s="1"/>
  <c r="BI124" i="1"/>
  <c r="BF124" i="1"/>
  <c r="BE124" i="1"/>
  <c r="BB124" i="1"/>
  <c r="BA124" i="1"/>
  <c r="AX124" i="1"/>
  <c r="AW124" i="1"/>
  <c r="AT124" i="1"/>
  <c r="AU124" i="1" s="1"/>
  <c r="AS124" i="1"/>
  <c r="AQ124" i="1"/>
  <c r="AP124" i="1"/>
  <c r="AO124" i="1"/>
  <c r="AL124" i="1"/>
  <c r="AM124" i="1" s="1"/>
  <c r="AK124" i="1"/>
  <c r="AI124" i="1"/>
  <c r="AH124" i="1"/>
  <c r="AG124" i="1"/>
  <c r="AF124" i="1"/>
  <c r="AE124" i="1"/>
  <c r="AD124" i="1"/>
  <c r="AC124" i="1"/>
  <c r="Z124" i="1"/>
  <c r="AA124" i="1" s="1"/>
  <c r="Y124" i="1"/>
  <c r="W124" i="1"/>
  <c r="V124" i="1"/>
  <c r="U124" i="1"/>
  <c r="R124" i="1"/>
  <c r="S124" i="1" s="1"/>
  <c r="Q124" i="1"/>
  <c r="O124" i="1"/>
  <c r="N124" i="1"/>
  <c r="M124" i="1"/>
  <c r="J124" i="1"/>
  <c r="K124" i="1" s="1"/>
  <c r="I124" i="1"/>
  <c r="F124" i="1"/>
  <c r="E124" i="1"/>
  <c r="BN123" i="1"/>
  <c r="BM123" i="1"/>
  <c r="BL123" i="1"/>
  <c r="BJ123" i="1"/>
  <c r="BG123" i="1" s="1"/>
  <c r="BI123" i="1"/>
  <c r="BF123" i="1"/>
  <c r="BE123" i="1"/>
  <c r="BB123" i="1"/>
  <c r="BA123" i="1"/>
  <c r="AX123" i="1"/>
  <c r="AW123" i="1"/>
  <c r="AT123" i="1"/>
  <c r="AU123" i="1" s="1"/>
  <c r="AS123" i="1"/>
  <c r="AQ123" i="1"/>
  <c r="AP123" i="1"/>
  <c r="AO123" i="1"/>
  <c r="AL123" i="1"/>
  <c r="AM123" i="1" s="1"/>
  <c r="AK123" i="1"/>
  <c r="AI123" i="1"/>
  <c r="AH123" i="1"/>
  <c r="AG123" i="1"/>
  <c r="AF123" i="1"/>
  <c r="AE123" i="1"/>
  <c r="AD123" i="1"/>
  <c r="AC123" i="1"/>
  <c r="Z123" i="1"/>
  <c r="AA123" i="1" s="1"/>
  <c r="Y123" i="1"/>
  <c r="W123" i="1"/>
  <c r="V123" i="1"/>
  <c r="U123" i="1"/>
  <c r="R123" i="1"/>
  <c r="S123" i="1" s="1"/>
  <c r="Q123" i="1"/>
  <c r="O123" i="1"/>
  <c r="N123" i="1"/>
  <c r="M123" i="1"/>
  <c r="J123" i="1"/>
  <c r="K123" i="1" s="1"/>
  <c r="I123" i="1"/>
  <c r="F123" i="1"/>
  <c r="E123" i="1"/>
  <c r="BN122" i="1"/>
  <c r="BM122" i="1"/>
  <c r="BL122" i="1"/>
  <c r="BJ122" i="1"/>
  <c r="BG122" i="1" s="1"/>
  <c r="BI122" i="1"/>
  <c r="BF122" i="1"/>
  <c r="BE122" i="1"/>
  <c r="BB122" i="1"/>
  <c r="BA122" i="1"/>
  <c r="AX122" i="1"/>
  <c r="AW122" i="1"/>
  <c r="AT122" i="1"/>
  <c r="AU122" i="1" s="1"/>
  <c r="AS122" i="1"/>
  <c r="AQ122" i="1"/>
  <c r="AP122" i="1"/>
  <c r="AO122" i="1"/>
  <c r="AL122" i="1"/>
  <c r="AM122" i="1" s="1"/>
  <c r="AK122" i="1"/>
  <c r="AI122" i="1"/>
  <c r="AH122" i="1"/>
  <c r="AG122" i="1"/>
  <c r="AD122" i="1"/>
  <c r="AE122" i="1" s="1"/>
  <c r="AC122" i="1"/>
  <c r="Z122" i="1"/>
  <c r="Y122" i="1"/>
  <c r="V122" i="1"/>
  <c r="U122" i="1"/>
  <c r="R122" i="1"/>
  <c r="Q122" i="1"/>
  <c r="N122" i="1"/>
  <c r="O122" i="1" s="1"/>
  <c r="M122" i="1"/>
  <c r="K122" i="1"/>
  <c r="J122" i="1"/>
  <c r="I122" i="1"/>
  <c r="F122" i="1"/>
  <c r="G122" i="1" s="1"/>
  <c r="E122" i="1"/>
  <c r="BN121" i="1"/>
  <c r="BM121" i="1" s="1"/>
  <c r="BL121" i="1"/>
  <c r="BJ121" i="1"/>
  <c r="BI121" i="1"/>
  <c r="BF121" i="1"/>
  <c r="BG121" i="1" s="1"/>
  <c r="BE121" i="1"/>
  <c r="BC121" i="1"/>
  <c r="BB121" i="1"/>
  <c r="BA121" i="1"/>
  <c r="AX121" i="1"/>
  <c r="AY121" i="1" s="1"/>
  <c r="AW121" i="1"/>
  <c r="AT121" i="1"/>
  <c r="AS121" i="1"/>
  <c r="AP121" i="1"/>
  <c r="AO121" i="1"/>
  <c r="AL121" i="1"/>
  <c r="AK121" i="1"/>
  <c r="AH121" i="1"/>
  <c r="AI121" i="1" s="1"/>
  <c r="AF121" i="1"/>
  <c r="AG121" i="1" s="1"/>
  <c r="AD121" i="1"/>
  <c r="AE121" i="1" s="1"/>
  <c r="AB121" i="1"/>
  <c r="AC121" i="1" s="1"/>
  <c r="Z121" i="1"/>
  <c r="AA121" i="1" s="1"/>
  <c r="X121" i="1"/>
  <c r="Y121" i="1" s="1"/>
  <c r="V121" i="1"/>
  <c r="W121" i="1" s="1"/>
  <c r="T121" i="1"/>
  <c r="U121" i="1" s="1"/>
  <c r="R121" i="1"/>
  <c r="S121" i="1" s="1"/>
  <c r="Q121" i="1"/>
  <c r="O121" i="1"/>
  <c r="N121" i="1"/>
  <c r="M121" i="1"/>
  <c r="J121" i="1"/>
  <c r="K121" i="1" s="1"/>
  <c r="I121" i="1"/>
  <c r="G121" i="1"/>
  <c r="F121" i="1"/>
  <c r="E121" i="1"/>
  <c r="BN120" i="1"/>
  <c r="BM120" i="1"/>
  <c r="BL120" i="1"/>
  <c r="BJ120" i="1"/>
  <c r="BI120" i="1"/>
  <c r="BG120" i="1"/>
  <c r="BF120" i="1"/>
  <c r="BE120" i="1"/>
  <c r="BB120" i="1"/>
  <c r="BC120" i="1" s="1"/>
  <c r="BA120" i="1"/>
  <c r="AX120" i="1"/>
  <c r="AW120" i="1"/>
  <c r="AT120" i="1"/>
  <c r="AS120" i="1"/>
  <c r="AP120" i="1"/>
  <c r="AO120" i="1"/>
  <c r="AL120" i="1"/>
  <c r="AM120" i="1" s="1"/>
  <c r="AK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N120" i="1"/>
  <c r="O120" i="1" s="1"/>
  <c r="M120" i="1"/>
  <c r="K120" i="1"/>
  <c r="J120" i="1"/>
  <c r="I120" i="1"/>
  <c r="F120" i="1"/>
  <c r="G120" i="1" s="1"/>
  <c r="E120" i="1"/>
  <c r="BN119" i="1"/>
  <c r="BL119" i="1"/>
  <c r="BJ119" i="1"/>
  <c r="BM119" i="1" s="1"/>
  <c r="BI119" i="1"/>
  <c r="BF119" i="1"/>
  <c r="BG119" i="1" s="1"/>
  <c r="BE119" i="1"/>
  <c r="BB119" i="1"/>
  <c r="BA119" i="1"/>
  <c r="AX119" i="1"/>
  <c r="AW119" i="1"/>
  <c r="AT119" i="1"/>
  <c r="AS119" i="1"/>
  <c r="AP119" i="1"/>
  <c r="AQ119" i="1" s="1"/>
  <c r="AO119" i="1"/>
  <c r="AM119" i="1"/>
  <c r="AL119" i="1"/>
  <c r="AK119" i="1"/>
  <c r="AH119" i="1"/>
  <c r="AI119" i="1" s="1"/>
  <c r="AF119" i="1"/>
  <c r="AG119" i="1" s="1"/>
  <c r="AD119" i="1"/>
  <c r="AE119" i="1" s="1"/>
  <c r="AB119" i="1"/>
  <c r="AC119" i="1" s="1"/>
  <c r="Z119" i="1"/>
  <c r="AA119" i="1" s="1"/>
  <c r="X119" i="1"/>
  <c r="Y119" i="1" s="1"/>
  <c r="V119" i="1"/>
  <c r="W119" i="1" s="1"/>
  <c r="T119" i="1"/>
  <c r="U119" i="1" s="1"/>
  <c r="R119" i="1"/>
  <c r="S119" i="1" s="1"/>
  <c r="Q119" i="1"/>
  <c r="O119" i="1"/>
  <c r="N119" i="1"/>
  <c r="M119" i="1"/>
  <c r="J119" i="1"/>
  <c r="K119" i="1" s="1"/>
  <c r="I119" i="1"/>
  <c r="F119" i="1"/>
  <c r="E119" i="1"/>
  <c r="BN118" i="1"/>
  <c r="BM118" i="1"/>
  <c r="BL118" i="1"/>
  <c r="BJ118" i="1"/>
  <c r="BG118" i="1" s="1"/>
  <c r="BI118" i="1"/>
  <c r="BF118" i="1"/>
  <c r="BE118" i="1"/>
  <c r="BB118" i="1"/>
  <c r="BA118" i="1"/>
  <c r="AX118" i="1"/>
  <c r="AW118" i="1"/>
  <c r="AT118" i="1"/>
  <c r="AU118" i="1" s="1"/>
  <c r="AS118" i="1"/>
  <c r="AQ118" i="1"/>
  <c r="AP118" i="1"/>
  <c r="AO118" i="1"/>
  <c r="AL118" i="1"/>
  <c r="AM118" i="1" s="1"/>
  <c r="AK118" i="1"/>
  <c r="AI118" i="1"/>
  <c r="AH118" i="1"/>
  <c r="AG118" i="1"/>
  <c r="AD118" i="1"/>
  <c r="AE118" i="1" s="1"/>
  <c r="AC118" i="1"/>
  <c r="Z118" i="1"/>
  <c r="Y118" i="1"/>
  <c r="V118" i="1"/>
  <c r="U118" i="1"/>
  <c r="R118" i="1"/>
  <c r="Q118" i="1"/>
  <c r="N118" i="1"/>
  <c r="O118" i="1" s="1"/>
  <c r="M118" i="1"/>
  <c r="K118" i="1"/>
  <c r="J118" i="1"/>
  <c r="I118" i="1"/>
  <c r="F118" i="1"/>
  <c r="G118" i="1" s="1"/>
  <c r="E118" i="1"/>
  <c r="BN117" i="1"/>
  <c r="BM117" i="1" s="1"/>
  <c r="BL117" i="1"/>
  <c r="BJ117" i="1"/>
  <c r="BI117" i="1"/>
  <c r="BF117" i="1"/>
  <c r="BG117" i="1" s="1"/>
  <c r="BE117" i="1"/>
  <c r="BC117" i="1"/>
  <c r="BB117" i="1"/>
  <c r="BA117" i="1"/>
  <c r="AX117" i="1"/>
  <c r="AY117" i="1" s="1"/>
  <c r="AW117" i="1"/>
  <c r="AT117" i="1"/>
  <c r="AS117" i="1"/>
  <c r="AP117" i="1"/>
  <c r="AO117" i="1"/>
  <c r="AL117" i="1"/>
  <c r="AK117" i="1"/>
  <c r="AH117" i="1"/>
  <c r="AI117" i="1" s="1"/>
  <c r="AG117" i="1"/>
  <c r="AE117" i="1"/>
  <c r="AD117" i="1"/>
  <c r="AC117" i="1"/>
  <c r="Z117" i="1"/>
  <c r="AA117" i="1" s="1"/>
  <c r="Y117" i="1"/>
  <c r="W117" i="1"/>
  <c r="V117" i="1"/>
  <c r="U117" i="1"/>
  <c r="R117" i="1"/>
  <c r="S117" i="1" s="1"/>
  <c r="Q117" i="1"/>
  <c r="N117" i="1"/>
  <c r="M117" i="1"/>
  <c r="J117" i="1"/>
  <c r="I117" i="1"/>
  <c r="F117" i="1"/>
  <c r="E117" i="1"/>
  <c r="D117" i="1"/>
  <c r="BN116" i="1"/>
  <c r="BM116" i="1" s="1"/>
  <c r="BL116" i="1"/>
  <c r="BJ116" i="1"/>
  <c r="BI116" i="1"/>
  <c r="BF116" i="1"/>
  <c r="BG116" i="1" s="1"/>
  <c r="BE116" i="1"/>
  <c r="BC116" i="1"/>
  <c r="BB116" i="1"/>
  <c r="BA116" i="1"/>
  <c r="AX116" i="1"/>
  <c r="AY116" i="1" s="1"/>
  <c r="AW116" i="1"/>
  <c r="AT116" i="1"/>
  <c r="AS116" i="1"/>
  <c r="AP116" i="1"/>
  <c r="AO116" i="1"/>
  <c r="AL116" i="1"/>
  <c r="AK116" i="1"/>
  <c r="AH116" i="1"/>
  <c r="AI116" i="1" s="1"/>
  <c r="AG116" i="1"/>
  <c r="AE116" i="1"/>
  <c r="AD116" i="1"/>
  <c r="AC116" i="1"/>
  <c r="Z116" i="1"/>
  <c r="AA116" i="1" s="1"/>
  <c r="Y116" i="1"/>
  <c r="W116" i="1"/>
  <c r="V116" i="1"/>
  <c r="U116" i="1"/>
  <c r="R116" i="1"/>
  <c r="S116" i="1" s="1"/>
  <c r="Q116" i="1"/>
  <c r="N116" i="1"/>
  <c r="M116" i="1"/>
  <c r="J116" i="1"/>
  <c r="I116" i="1"/>
  <c r="F116" i="1"/>
  <c r="E116" i="1"/>
  <c r="BN115" i="1"/>
  <c r="BL115" i="1"/>
  <c r="BJ115" i="1"/>
  <c r="BI115" i="1"/>
  <c r="BF115" i="1"/>
  <c r="BE115" i="1"/>
  <c r="BB115" i="1"/>
  <c r="BC115" i="1" s="1"/>
  <c r="BA115" i="1"/>
  <c r="AY115" i="1"/>
  <c r="AX115" i="1"/>
  <c r="AW115" i="1"/>
  <c r="AT115" i="1"/>
  <c r="AU115" i="1" s="1"/>
  <c r="AS115" i="1"/>
  <c r="AQ115" i="1"/>
  <c r="AP115" i="1"/>
  <c r="AO115" i="1"/>
  <c r="AL115" i="1"/>
  <c r="AM115" i="1" s="1"/>
  <c r="AK115" i="1"/>
  <c r="AH115" i="1"/>
  <c r="AG115" i="1"/>
  <c r="AD115" i="1"/>
  <c r="AC115" i="1"/>
  <c r="Z115" i="1"/>
  <c r="Y115" i="1"/>
  <c r="V115" i="1"/>
  <c r="W115" i="1" s="1"/>
  <c r="U115" i="1"/>
  <c r="S115" i="1"/>
  <c r="R115" i="1"/>
  <c r="Q115" i="1"/>
  <c r="N115" i="1"/>
  <c r="O115" i="1" s="1"/>
  <c r="M115" i="1"/>
  <c r="K115" i="1"/>
  <c r="J115" i="1"/>
  <c r="I115" i="1"/>
  <c r="F115" i="1"/>
  <c r="G115" i="1" s="1"/>
  <c r="E115" i="1"/>
  <c r="BN114" i="1"/>
  <c r="BL114" i="1"/>
  <c r="BJ114" i="1"/>
  <c r="BM114" i="1" s="1"/>
  <c r="BI114" i="1"/>
  <c r="BF114" i="1"/>
  <c r="BG114" i="1" s="1"/>
  <c r="BE114" i="1"/>
  <c r="BB114" i="1"/>
  <c r="BA114" i="1"/>
  <c r="AX114" i="1"/>
  <c r="AW114" i="1"/>
  <c r="AT114" i="1"/>
  <c r="AS114" i="1"/>
  <c r="AP114" i="1"/>
  <c r="AQ114" i="1" s="1"/>
  <c r="AO114" i="1"/>
  <c r="AM114" i="1"/>
  <c r="AL114" i="1"/>
  <c r="AK114" i="1"/>
  <c r="AH114" i="1"/>
  <c r="AI114" i="1" s="1"/>
  <c r="AG114" i="1"/>
  <c r="AE114" i="1"/>
  <c r="AD114" i="1"/>
  <c r="AC114" i="1"/>
  <c r="Z114" i="1"/>
  <c r="AA114" i="1" s="1"/>
  <c r="Y114" i="1"/>
  <c r="V114" i="1"/>
  <c r="U114" i="1"/>
  <c r="R114" i="1"/>
  <c r="Q114" i="1"/>
  <c r="N114" i="1"/>
  <c r="M114" i="1"/>
  <c r="J114" i="1"/>
  <c r="K114" i="1" s="1"/>
  <c r="I114" i="1"/>
  <c r="G114" i="1"/>
  <c r="F114" i="1"/>
  <c r="E114" i="1"/>
  <c r="BN113" i="1"/>
  <c r="BM113" i="1"/>
  <c r="BK113" i="1"/>
  <c r="BL113" i="1" s="1"/>
  <c r="BJ113" i="1"/>
  <c r="BI113" i="1"/>
  <c r="BF113" i="1"/>
  <c r="BG113" i="1" s="1"/>
  <c r="BD113" i="1"/>
  <c r="BE113" i="1" s="1"/>
  <c r="BB113" i="1"/>
  <c r="BC113" i="1" s="1"/>
  <c r="BA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R113" i="1"/>
  <c r="Q113" i="1"/>
  <c r="N113" i="1"/>
  <c r="M113" i="1"/>
  <c r="J113" i="1"/>
  <c r="K113" i="1" s="1"/>
  <c r="I113" i="1"/>
  <c r="G113" i="1"/>
  <c r="F113" i="1"/>
  <c r="E113" i="1"/>
  <c r="BN112" i="1"/>
  <c r="BL112" i="1"/>
  <c r="BJ112" i="1"/>
  <c r="BM112" i="1" s="1"/>
  <c r="BI112" i="1"/>
  <c r="BG112" i="1"/>
  <c r="BF112" i="1"/>
  <c r="BE112" i="1"/>
  <c r="BB112" i="1"/>
  <c r="BC112" i="1" s="1"/>
  <c r="BA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H112" i="1"/>
  <c r="AI112" i="1" s="1"/>
  <c r="AF112" i="1"/>
  <c r="AG112" i="1" s="1"/>
  <c r="AD112" i="1"/>
  <c r="AE112" i="1" s="1"/>
  <c r="AB112" i="1"/>
  <c r="AC112" i="1" s="1"/>
  <c r="Z112" i="1"/>
  <c r="AA112" i="1" s="1"/>
  <c r="X112" i="1"/>
  <c r="Y112" i="1" s="1"/>
  <c r="V112" i="1"/>
  <c r="W112" i="1" s="1"/>
  <c r="U112" i="1"/>
  <c r="R112" i="1"/>
  <c r="Q112" i="1"/>
  <c r="N112" i="1"/>
  <c r="M112" i="1"/>
  <c r="J112" i="1"/>
  <c r="I112" i="1"/>
  <c r="F112" i="1"/>
  <c r="G112" i="1" s="1"/>
  <c r="E112" i="1"/>
  <c r="BN111" i="1"/>
  <c r="BL111" i="1"/>
  <c r="BJ111" i="1"/>
  <c r="BI111" i="1"/>
  <c r="BF111" i="1"/>
  <c r="BG111" i="1" s="1"/>
  <c r="BD111" i="1"/>
  <c r="BE111" i="1" s="1"/>
  <c r="BB111" i="1"/>
  <c r="BC111" i="1" s="1"/>
  <c r="BA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R111" i="1"/>
  <c r="S111" i="1" s="1"/>
  <c r="Q111" i="1"/>
  <c r="O111" i="1"/>
  <c r="N111" i="1"/>
  <c r="M111" i="1"/>
  <c r="J111" i="1"/>
  <c r="K111" i="1" s="1"/>
  <c r="I111" i="1"/>
  <c r="F111" i="1"/>
  <c r="E111" i="1"/>
  <c r="D111" i="1"/>
  <c r="BN110" i="1"/>
  <c r="BL110" i="1"/>
  <c r="BJ110" i="1"/>
  <c r="BI110" i="1"/>
  <c r="BF110" i="1"/>
  <c r="BG110" i="1" s="1"/>
  <c r="BE110" i="1"/>
  <c r="BC110" i="1"/>
  <c r="BB110" i="1"/>
  <c r="BA110" i="1"/>
  <c r="AX110" i="1"/>
  <c r="AY110" i="1" s="1"/>
  <c r="AW110" i="1"/>
  <c r="AU110" i="1"/>
  <c r="AT110" i="1"/>
  <c r="AS110" i="1"/>
  <c r="AP110" i="1"/>
  <c r="AQ110" i="1" s="1"/>
  <c r="AO110" i="1"/>
  <c r="AL110" i="1"/>
  <c r="AK110" i="1"/>
  <c r="AH110" i="1"/>
  <c r="AG110" i="1"/>
  <c r="AD110" i="1"/>
  <c r="AC110" i="1"/>
  <c r="Z110" i="1"/>
  <c r="AA110" i="1" s="1"/>
  <c r="Y110" i="1"/>
  <c r="W110" i="1"/>
  <c r="V110" i="1"/>
  <c r="U110" i="1"/>
  <c r="R110" i="1"/>
  <c r="S110" i="1" s="1"/>
  <c r="Q110" i="1"/>
  <c r="O110" i="1"/>
  <c r="N110" i="1"/>
  <c r="M110" i="1"/>
  <c r="J110" i="1"/>
  <c r="K110" i="1" s="1"/>
  <c r="I110" i="1"/>
  <c r="F110" i="1"/>
  <c r="E110" i="1"/>
  <c r="BN109" i="1"/>
  <c r="BM109" i="1"/>
  <c r="BK109" i="1"/>
  <c r="BL109" i="1" s="1"/>
  <c r="BJ109" i="1"/>
  <c r="BI109" i="1"/>
  <c r="BF109" i="1"/>
  <c r="BG109" i="1" s="1"/>
  <c r="BE109" i="1"/>
  <c r="BC109" i="1"/>
  <c r="BB109" i="1"/>
  <c r="BA109" i="1"/>
  <c r="AX109" i="1"/>
  <c r="AY109" i="1" s="1"/>
  <c r="AW109" i="1"/>
  <c r="AU109" i="1"/>
  <c r="AT109" i="1"/>
  <c r="AS109" i="1"/>
  <c r="AP109" i="1"/>
  <c r="AQ109" i="1" s="1"/>
  <c r="AO109" i="1"/>
  <c r="AL109" i="1"/>
  <c r="AK109" i="1"/>
  <c r="AH109" i="1"/>
  <c r="AI109" i="1" s="1"/>
  <c r="AF109" i="1"/>
  <c r="AG109" i="1" s="1"/>
  <c r="AD109" i="1"/>
  <c r="AE109" i="1" s="1"/>
  <c r="AB109" i="1"/>
  <c r="AC109" i="1" s="1"/>
  <c r="Z109" i="1"/>
  <c r="Y109" i="1"/>
  <c r="V109" i="1"/>
  <c r="U109" i="1"/>
  <c r="R109" i="1"/>
  <c r="S109" i="1" s="1"/>
  <c r="Q109" i="1"/>
  <c r="O109" i="1"/>
  <c r="N109" i="1"/>
  <c r="M109" i="1"/>
  <c r="J109" i="1"/>
  <c r="K109" i="1" s="1"/>
  <c r="I109" i="1"/>
  <c r="G109" i="1"/>
  <c r="F109" i="1"/>
  <c r="E109" i="1"/>
  <c r="D109" i="1"/>
  <c r="BN108" i="1"/>
  <c r="BM108" i="1" s="1"/>
  <c r="BL108" i="1"/>
  <c r="BJ108" i="1"/>
  <c r="BI108" i="1"/>
  <c r="BF108" i="1"/>
  <c r="BE108" i="1"/>
  <c r="BB108" i="1"/>
  <c r="BA108" i="1"/>
  <c r="AX108" i="1"/>
  <c r="AY108" i="1" s="1"/>
  <c r="AW108" i="1"/>
  <c r="AU108" i="1"/>
  <c r="AT108" i="1"/>
  <c r="AS108" i="1"/>
  <c r="AP108" i="1"/>
  <c r="AQ108" i="1" s="1"/>
  <c r="AO108" i="1"/>
  <c r="AM108" i="1"/>
  <c r="AL108" i="1"/>
  <c r="AK108" i="1"/>
  <c r="AH108" i="1"/>
  <c r="AI108" i="1" s="1"/>
  <c r="AF108" i="1"/>
  <c r="AG108" i="1" s="1"/>
  <c r="AD108" i="1"/>
  <c r="AE108" i="1" s="1"/>
  <c r="AB108" i="1"/>
  <c r="AC108" i="1" s="1"/>
  <c r="Z108" i="1"/>
  <c r="AA108" i="1" s="1"/>
  <c r="Y108" i="1"/>
  <c r="V108" i="1"/>
  <c r="U108" i="1"/>
  <c r="R108" i="1"/>
  <c r="Q108" i="1"/>
  <c r="N108" i="1"/>
  <c r="M108" i="1"/>
  <c r="J108" i="1"/>
  <c r="K108" i="1" s="1"/>
  <c r="I108" i="1"/>
  <c r="G108" i="1"/>
  <c r="F108" i="1"/>
  <c r="E108" i="1"/>
  <c r="D108" i="1"/>
  <c r="BN107" i="1"/>
  <c r="BL107" i="1"/>
  <c r="BK107" i="1"/>
  <c r="BJ107" i="1"/>
  <c r="BI107" i="1"/>
  <c r="BF107" i="1"/>
  <c r="BE107" i="1"/>
  <c r="BB107" i="1"/>
  <c r="BC107" i="1" s="1"/>
  <c r="BA107" i="1"/>
  <c r="AY107" i="1"/>
  <c r="AX107" i="1"/>
  <c r="AW107" i="1"/>
  <c r="AT107" i="1"/>
  <c r="AU107" i="1" s="1"/>
  <c r="AS107" i="1"/>
  <c r="AQ107" i="1"/>
  <c r="AP107" i="1"/>
  <c r="AO107" i="1"/>
  <c r="AL107" i="1"/>
  <c r="AM107" i="1" s="1"/>
  <c r="AK107" i="1"/>
  <c r="AH107" i="1"/>
  <c r="AG107" i="1"/>
  <c r="AF107" i="1"/>
  <c r="AE107" i="1"/>
  <c r="AD107" i="1"/>
  <c r="AC107" i="1"/>
  <c r="AB107" i="1"/>
  <c r="AA107" i="1"/>
  <c r="Z107" i="1"/>
  <c r="Y107" i="1"/>
  <c r="V107" i="1"/>
  <c r="U107" i="1"/>
  <c r="R107" i="1"/>
  <c r="Q107" i="1"/>
  <c r="N107" i="1"/>
  <c r="O107" i="1" s="1"/>
  <c r="M107" i="1"/>
  <c r="K107" i="1"/>
  <c r="J107" i="1"/>
  <c r="I107" i="1"/>
  <c r="F107" i="1"/>
  <c r="G107" i="1" s="1"/>
  <c r="D107" i="1"/>
  <c r="E107" i="1" s="1"/>
  <c r="BN106" i="1"/>
  <c r="BM106" i="1"/>
  <c r="BL106" i="1"/>
  <c r="BJ106" i="1"/>
  <c r="BG106" i="1" s="1"/>
  <c r="BI106" i="1"/>
  <c r="BF106" i="1"/>
  <c r="BE106" i="1"/>
  <c r="BB106" i="1"/>
  <c r="BA106" i="1"/>
  <c r="AX106" i="1"/>
  <c r="AW106" i="1"/>
  <c r="AT106" i="1"/>
  <c r="AU106" i="1" s="1"/>
  <c r="AS106" i="1"/>
  <c r="AQ106" i="1"/>
  <c r="AP106" i="1"/>
  <c r="AO106" i="1"/>
  <c r="AL106" i="1"/>
  <c r="AM106" i="1" s="1"/>
  <c r="AK106" i="1"/>
  <c r="AI106" i="1"/>
  <c r="AH106" i="1"/>
  <c r="AG106" i="1"/>
  <c r="AD106" i="1"/>
  <c r="AE106" i="1" s="1"/>
  <c r="AC106" i="1"/>
  <c r="Z106" i="1"/>
  <c r="Y106" i="1"/>
  <c r="V106" i="1"/>
  <c r="U106" i="1"/>
  <c r="R106" i="1"/>
  <c r="Q106" i="1"/>
  <c r="N106" i="1"/>
  <c r="O106" i="1" s="1"/>
  <c r="M106" i="1"/>
  <c r="K106" i="1"/>
  <c r="J106" i="1"/>
  <c r="I106" i="1"/>
  <c r="F106" i="1"/>
  <c r="G106" i="1" s="1"/>
  <c r="E106" i="1"/>
  <c r="BN105" i="1"/>
  <c r="BM105" i="1" s="1"/>
  <c r="BL105" i="1"/>
  <c r="BJ105" i="1"/>
  <c r="BI105" i="1"/>
  <c r="BF105" i="1"/>
  <c r="BG105" i="1" s="1"/>
  <c r="BE105" i="1"/>
  <c r="BC105" i="1"/>
  <c r="BB105" i="1"/>
  <c r="BA105" i="1"/>
  <c r="AX105" i="1"/>
  <c r="AY105" i="1" s="1"/>
  <c r="AW105" i="1"/>
  <c r="AT105" i="1"/>
  <c r="AS105" i="1"/>
  <c r="AP105" i="1"/>
  <c r="AO105" i="1"/>
  <c r="AL105" i="1"/>
  <c r="AK105" i="1"/>
  <c r="AH105" i="1"/>
  <c r="AI105" i="1" s="1"/>
  <c r="AF105" i="1"/>
  <c r="AG105" i="1" s="1"/>
  <c r="AD105" i="1"/>
  <c r="AE105" i="1" s="1"/>
  <c r="AC105" i="1"/>
  <c r="Z105" i="1"/>
  <c r="Y105" i="1"/>
  <c r="V105" i="1"/>
  <c r="U105" i="1"/>
  <c r="R105" i="1"/>
  <c r="Q105" i="1"/>
  <c r="P105" i="1"/>
  <c r="O105" i="1"/>
  <c r="N105" i="1"/>
  <c r="M105" i="1"/>
  <c r="J105" i="1"/>
  <c r="K105" i="1" s="1"/>
  <c r="I105" i="1"/>
  <c r="F105" i="1"/>
  <c r="E105" i="1"/>
  <c r="BN104" i="1"/>
  <c r="BM104" i="1"/>
  <c r="BL104" i="1"/>
  <c r="BJ104" i="1"/>
  <c r="BG104" i="1" s="1"/>
  <c r="BI104" i="1"/>
  <c r="BF104" i="1"/>
  <c r="BE104" i="1"/>
  <c r="BB104" i="1"/>
  <c r="BA104" i="1"/>
  <c r="AX104" i="1"/>
  <c r="AW104" i="1"/>
  <c r="AT104" i="1"/>
  <c r="AU104" i="1" s="1"/>
  <c r="AS104" i="1"/>
  <c r="AQ104" i="1"/>
  <c r="AP104" i="1"/>
  <c r="AO104" i="1"/>
  <c r="AL104" i="1"/>
  <c r="AM104" i="1" s="1"/>
  <c r="AK104" i="1"/>
  <c r="AI104" i="1"/>
  <c r="AH104" i="1"/>
  <c r="AG104" i="1"/>
  <c r="AF104" i="1"/>
  <c r="AE104" i="1"/>
  <c r="AD104" i="1"/>
  <c r="AC104" i="1"/>
  <c r="Z104" i="1"/>
  <c r="AA104" i="1" s="1"/>
  <c r="Y104" i="1"/>
  <c r="W104" i="1"/>
  <c r="V104" i="1"/>
  <c r="U104" i="1"/>
  <c r="R104" i="1"/>
  <c r="S104" i="1" s="1"/>
  <c r="P104" i="1"/>
  <c r="Q104" i="1" s="1"/>
  <c r="N104" i="1"/>
  <c r="M104" i="1"/>
  <c r="J104" i="1"/>
  <c r="I104" i="1"/>
  <c r="F104" i="1"/>
  <c r="G104" i="1" s="1"/>
  <c r="E104" i="1"/>
  <c r="BN103" i="1"/>
  <c r="BL103" i="1"/>
  <c r="BJ103" i="1"/>
  <c r="BM103" i="1" s="1"/>
  <c r="BI103" i="1"/>
  <c r="BF103" i="1"/>
  <c r="BG103" i="1" s="1"/>
  <c r="BE103" i="1"/>
  <c r="BC103" i="1"/>
  <c r="BB103" i="1"/>
  <c r="BA103" i="1"/>
  <c r="AX103" i="1"/>
  <c r="AY103" i="1" s="1"/>
  <c r="AW103" i="1"/>
  <c r="AU103" i="1"/>
  <c r="AT103" i="1"/>
  <c r="AS103" i="1"/>
  <c r="AP103" i="1"/>
  <c r="AQ103" i="1" s="1"/>
  <c r="AO103" i="1"/>
  <c r="AL103" i="1"/>
  <c r="AK103" i="1"/>
  <c r="AH103" i="1"/>
  <c r="AI103" i="1" s="1"/>
  <c r="AF103" i="1"/>
  <c r="AG103" i="1" s="1"/>
  <c r="AD103" i="1"/>
  <c r="AC103" i="1"/>
  <c r="AA103" i="1"/>
  <c r="Z103" i="1"/>
  <c r="Y103" i="1"/>
  <c r="V103" i="1"/>
  <c r="W103" i="1" s="1"/>
  <c r="U103" i="1"/>
  <c r="R103" i="1"/>
  <c r="Q103" i="1"/>
  <c r="P103" i="1"/>
  <c r="O103" i="1"/>
  <c r="N103" i="1"/>
  <c r="M103" i="1"/>
  <c r="J103" i="1"/>
  <c r="K103" i="1" s="1"/>
  <c r="I103" i="1"/>
  <c r="G103" i="1"/>
  <c r="F103" i="1"/>
  <c r="E103" i="1"/>
  <c r="BN102" i="1"/>
  <c r="BM102" i="1"/>
  <c r="BL102" i="1"/>
  <c r="BJ102" i="1"/>
  <c r="BI102" i="1"/>
  <c r="BG102" i="1"/>
  <c r="BF102" i="1"/>
  <c r="BE102" i="1"/>
  <c r="BB102" i="1"/>
  <c r="BC102" i="1" s="1"/>
  <c r="BA102" i="1"/>
  <c r="AX102" i="1"/>
  <c r="AW102" i="1"/>
  <c r="AT102" i="1"/>
  <c r="AS102" i="1"/>
  <c r="AP102" i="1"/>
  <c r="AO102" i="1"/>
  <c r="AL102" i="1"/>
  <c r="AM102" i="1" s="1"/>
  <c r="AK102" i="1"/>
  <c r="AI102" i="1"/>
  <c r="AH102" i="1"/>
  <c r="AG102" i="1"/>
  <c r="AD102" i="1"/>
  <c r="AE102" i="1" s="1"/>
  <c r="AC102" i="1"/>
  <c r="AA102" i="1"/>
  <c r="Z102" i="1"/>
  <c r="Y102" i="1"/>
  <c r="V102" i="1"/>
  <c r="W102" i="1" s="1"/>
  <c r="U102" i="1"/>
  <c r="R102" i="1"/>
  <c r="Q102" i="1"/>
  <c r="N102" i="1"/>
  <c r="M102" i="1"/>
  <c r="J102" i="1"/>
  <c r="I102" i="1"/>
  <c r="F102" i="1"/>
  <c r="G102" i="1" s="1"/>
  <c r="E102" i="1"/>
  <c r="BN101" i="1"/>
  <c r="BL101" i="1"/>
  <c r="BJ101" i="1"/>
  <c r="BI101" i="1"/>
  <c r="BF101" i="1"/>
  <c r="BG101" i="1" s="1"/>
  <c r="BE101" i="1"/>
  <c r="BC101" i="1"/>
  <c r="BB101" i="1"/>
  <c r="BA101" i="1"/>
  <c r="AX101" i="1"/>
  <c r="AY101" i="1" s="1"/>
  <c r="AW101" i="1"/>
  <c r="AU101" i="1"/>
  <c r="AT101" i="1"/>
  <c r="AS101" i="1"/>
  <c r="AP101" i="1"/>
  <c r="AQ101" i="1" s="1"/>
  <c r="AO101" i="1"/>
  <c r="AL101" i="1"/>
  <c r="AK101" i="1"/>
  <c r="AH101" i="1"/>
  <c r="AG101" i="1"/>
  <c r="AD101" i="1"/>
  <c r="AC101" i="1"/>
  <c r="Z101" i="1"/>
  <c r="AA101" i="1" s="1"/>
  <c r="Y101" i="1"/>
  <c r="W101" i="1"/>
  <c r="V101" i="1"/>
  <c r="U101" i="1"/>
  <c r="R101" i="1"/>
  <c r="S101" i="1" s="1"/>
  <c r="Q101" i="1"/>
  <c r="O101" i="1"/>
  <c r="N101" i="1"/>
  <c r="M101" i="1"/>
  <c r="J101" i="1"/>
  <c r="K101" i="1" s="1"/>
  <c r="I101" i="1"/>
  <c r="F101" i="1"/>
  <c r="E101" i="1"/>
  <c r="BN100" i="1"/>
  <c r="BM100" i="1"/>
  <c r="BL100" i="1"/>
  <c r="BJ100" i="1"/>
  <c r="BG100" i="1" s="1"/>
  <c r="BI100" i="1"/>
  <c r="BF100" i="1"/>
  <c r="BE100" i="1"/>
  <c r="BB100" i="1"/>
  <c r="BA100" i="1"/>
  <c r="AX100" i="1"/>
  <c r="AW100" i="1"/>
  <c r="AT100" i="1"/>
  <c r="AU100" i="1" s="1"/>
  <c r="AS100" i="1"/>
  <c r="AQ100" i="1"/>
  <c r="AP100" i="1"/>
  <c r="AO100" i="1"/>
  <c r="AL100" i="1"/>
  <c r="AM100" i="1" s="1"/>
  <c r="AK100" i="1"/>
  <c r="AI100" i="1"/>
  <c r="AH100" i="1"/>
  <c r="AG100" i="1"/>
  <c r="AD100" i="1"/>
  <c r="AE100" i="1" s="1"/>
  <c r="AC100" i="1"/>
  <c r="Z100" i="1"/>
  <c r="Y100" i="1"/>
  <c r="V100" i="1"/>
  <c r="U100" i="1"/>
  <c r="R100" i="1"/>
  <c r="Q100" i="1"/>
  <c r="N100" i="1"/>
  <c r="O100" i="1" s="1"/>
  <c r="M100" i="1"/>
  <c r="K100" i="1"/>
  <c r="J100" i="1"/>
  <c r="I100" i="1"/>
  <c r="F100" i="1"/>
  <c r="G100" i="1" s="1"/>
  <c r="E100" i="1"/>
  <c r="BN99" i="1"/>
  <c r="BM99" i="1" s="1"/>
  <c r="BL99" i="1"/>
  <c r="BJ99" i="1"/>
  <c r="BI99" i="1"/>
  <c r="BF99" i="1"/>
  <c r="BG99" i="1" s="1"/>
  <c r="BE99" i="1"/>
  <c r="BC99" i="1"/>
  <c r="BB99" i="1"/>
  <c r="BA99" i="1"/>
  <c r="AX99" i="1"/>
  <c r="AY99" i="1" s="1"/>
  <c r="AW99" i="1"/>
  <c r="AT99" i="1"/>
  <c r="AS99" i="1"/>
  <c r="AP99" i="1"/>
  <c r="AO99" i="1"/>
  <c r="AL99" i="1"/>
  <c r="AK99" i="1"/>
  <c r="AH99" i="1"/>
  <c r="AI99" i="1" s="1"/>
  <c r="AG99" i="1"/>
  <c r="AE99" i="1"/>
  <c r="AD99" i="1"/>
  <c r="AC99" i="1"/>
  <c r="Z99" i="1"/>
  <c r="AA99" i="1" s="1"/>
  <c r="Y99" i="1"/>
  <c r="W99" i="1"/>
  <c r="V99" i="1"/>
  <c r="U99" i="1"/>
  <c r="R99" i="1"/>
  <c r="S99" i="1" s="1"/>
  <c r="Q99" i="1"/>
  <c r="N99" i="1"/>
  <c r="M99" i="1"/>
  <c r="J99" i="1"/>
  <c r="I99" i="1"/>
  <c r="F99" i="1"/>
  <c r="E99" i="1"/>
  <c r="BN98" i="1"/>
  <c r="BM98" i="1"/>
  <c r="BL98" i="1"/>
  <c r="BJ98" i="1"/>
  <c r="BG98" i="1" s="1"/>
  <c r="BI98" i="1"/>
  <c r="BF98" i="1"/>
  <c r="BE98" i="1"/>
  <c r="BB98" i="1"/>
  <c r="BC98" i="1" s="1"/>
  <c r="BA98" i="1"/>
  <c r="AY98" i="1"/>
  <c r="AX98" i="1"/>
  <c r="AW98" i="1"/>
  <c r="AT98" i="1"/>
  <c r="AU98" i="1" s="1"/>
  <c r="AS98" i="1"/>
  <c r="AQ98" i="1"/>
  <c r="AP98" i="1"/>
  <c r="AO98" i="1"/>
  <c r="AL98" i="1"/>
  <c r="AM98" i="1" s="1"/>
  <c r="AK98" i="1"/>
  <c r="AH98" i="1"/>
  <c r="AG98" i="1"/>
  <c r="AD98" i="1"/>
  <c r="AC98" i="1"/>
  <c r="Z98" i="1"/>
  <c r="Y98" i="1"/>
  <c r="V98" i="1"/>
  <c r="W98" i="1" s="1"/>
  <c r="U98" i="1"/>
  <c r="R98" i="1"/>
  <c r="Q98" i="1"/>
  <c r="N98" i="1"/>
  <c r="O98" i="1" s="1"/>
  <c r="M98" i="1"/>
  <c r="K98" i="1"/>
  <c r="J98" i="1"/>
  <c r="I98" i="1"/>
  <c r="F98" i="1"/>
  <c r="G98" i="1" s="1"/>
  <c r="E98" i="1"/>
  <c r="BN97" i="1"/>
  <c r="BL97" i="1"/>
  <c r="BJ97" i="1"/>
  <c r="BM97" i="1" s="1"/>
  <c r="BI97" i="1"/>
  <c r="BF97" i="1"/>
  <c r="BG97" i="1" s="1"/>
  <c r="BE97" i="1"/>
  <c r="BB97" i="1"/>
  <c r="BA97" i="1"/>
  <c r="AX97" i="1"/>
  <c r="AW97" i="1"/>
  <c r="AT97" i="1"/>
  <c r="AS97" i="1"/>
  <c r="AP97" i="1"/>
  <c r="AQ97" i="1" s="1"/>
  <c r="AO97" i="1"/>
  <c r="AL97" i="1"/>
  <c r="AK97" i="1"/>
  <c r="AH97" i="1"/>
  <c r="AI97" i="1" s="1"/>
  <c r="AG97" i="1"/>
  <c r="AE97" i="1"/>
  <c r="AD97" i="1"/>
  <c r="AC97" i="1"/>
  <c r="Z97" i="1"/>
  <c r="AA97" i="1" s="1"/>
  <c r="Y97" i="1"/>
  <c r="V97" i="1"/>
  <c r="U97" i="1"/>
  <c r="R97" i="1"/>
  <c r="Q97" i="1"/>
  <c r="N97" i="1"/>
  <c r="M97" i="1"/>
  <c r="J97" i="1"/>
  <c r="K97" i="1" s="1"/>
  <c r="I97" i="1"/>
  <c r="G97" i="1"/>
  <c r="F97" i="1"/>
  <c r="E97" i="1"/>
  <c r="BN96" i="1"/>
  <c r="BL96" i="1"/>
  <c r="BJ96" i="1"/>
  <c r="BM96" i="1" s="1"/>
  <c r="BI96" i="1"/>
  <c r="BG96" i="1"/>
  <c r="BF96" i="1"/>
  <c r="BE96" i="1"/>
  <c r="BB96" i="1"/>
  <c r="BC96" i="1" s="1"/>
  <c r="BA96" i="1"/>
  <c r="AY96" i="1"/>
  <c r="AX96" i="1"/>
  <c r="AW96" i="1"/>
  <c r="AT96" i="1"/>
  <c r="AU96" i="1" s="1"/>
  <c r="AS96" i="1"/>
  <c r="AP96" i="1"/>
  <c r="AO96" i="1"/>
  <c r="AL96" i="1"/>
  <c r="AK96" i="1"/>
  <c r="AH96" i="1"/>
  <c r="AG96" i="1"/>
  <c r="AD96" i="1"/>
  <c r="AE96" i="1" s="1"/>
  <c r="AC96" i="1"/>
  <c r="Z96" i="1"/>
  <c r="Y96" i="1"/>
  <c r="V96" i="1"/>
  <c r="W96" i="1" s="1"/>
  <c r="U96" i="1"/>
  <c r="S96" i="1"/>
  <c r="R96" i="1"/>
  <c r="Q96" i="1"/>
  <c r="N96" i="1"/>
  <c r="O96" i="1" s="1"/>
  <c r="M96" i="1"/>
  <c r="J96" i="1"/>
  <c r="I96" i="1"/>
  <c r="F96" i="1"/>
  <c r="G96" i="1" s="1"/>
  <c r="E96" i="1"/>
  <c r="BN95" i="1"/>
  <c r="BM95" i="1" s="1"/>
  <c r="BL95" i="1"/>
  <c r="BJ95" i="1"/>
  <c r="BI95" i="1"/>
  <c r="BF95" i="1"/>
  <c r="BE95" i="1"/>
  <c r="BB95" i="1"/>
  <c r="BA95" i="1"/>
  <c r="AX95" i="1"/>
  <c r="AY95" i="1" s="1"/>
  <c r="AW95" i="1"/>
  <c r="AT95" i="1"/>
  <c r="AS95" i="1"/>
  <c r="AP95" i="1"/>
  <c r="AQ95" i="1" s="1"/>
  <c r="AO95" i="1"/>
  <c r="AM95" i="1"/>
  <c r="AL95" i="1"/>
  <c r="AK95" i="1"/>
  <c r="AH95" i="1"/>
  <c r="AI95" i="1" s="1"/>
  <c r="AG95" i="1"/>
  <c r="AD95" i="1"/>
  <c r="AC95" i="1"/>
  <c r="Z95" i="1"/>
  <c r="Y95" i="1"/>
  <c r="V95" i="1"/>
  <c r="U95" i="1"/>
  <c r="R95" i="1"/>
  <c r="S95" i="1" s="1"/>
  <c r="Q95" i="1"/>
  <c r="O95" i="1"/>
  <c r="N95" i="1"/>
  <c r="M95" i="1"/>
  <c r="J95" i="1"/>
  <c r="K95" i="1" s="1"/>
  <c r="I95" i="1"/>
  <c r="G95" i="1"/>
  <c r="F95" i="1"/>
  <c r="E95" i="1"/>
  <c r="BN94" i="1"/>
  <c r="BM94" i="1"/>
  <c r="BL94" i="1"/>
  <c r="BJ94" i="1"/>
  <c r="BI94" i="1"/>
  <c r="BG94" i="1"/>
  <c r="BF94" i="1"/>
  <c r="BE94" i="1"/>
  <c r="BB94" i="1"/>
  <c r="BC94" i="1" s="1"/>
  <c r="BA94" i="1"/>
  <c r="AX94" i="1"/>
  <c r="AW94" i="1"/>
  <c r="AT94" i="1"/>
  <c r="AS94" i="1"/>
  <c r="AP94" i="1"/>
  <c r="AO94" i="1"/>
  <c r="AL94" i="1"/>
  <c r="AM94" i="1" s="1"/>
  <c r="AK94" i="1"/>
  <c r="AH94" i="1"/>
  <c r="AG94" i="1"/>
  <c r="AD94" i="1"/>
  <c r="AE94" i="1" s="1"/>
  <c r="AC94" i="1"/>
  <c r="AA94" i="1"/>
  <c r="Z94" i="1"/>
  <c r="Y94" i="1"/>
  <c r="V94" i="1"/>
  <c r="U94" i="1"/>
  <c r="R94" i="1"/>
  <c r="Q94" i="1"/>
  <c r="N94" i="1"/>
  <c r="O94" i="1" s="1"/>
  <c r="M94" i="1"/>
  <c r="K94" i="1"/>
  <c r="J94" i="1"/>
  <c r="I94" i="1"/>
  <c r="F94" i="1"/>
  <c r="G94" i="1" s="1"/>
  <c r="E94" i="1"/>
  <c r="BN93" i="1"/>
  <c r="BL93" i="1"/>
  <c r="BJ93" i="1"/>
  <c r="BI93" i="1"/>
  <c r="BF93" i="1"/>
  <c r="BG93" i="1" s="1"/>
  <c r="BE93" i="1"/>
  <c r="BB93" i="1"/>
  <c r="BA93" i="1"/>
  <c r="AX93" i="1"/>
  <c r="AY93" i="1" s="1"/>
  <c r="AW93" i="1"/>
  <c r="AU93" i="1"/>
  <c r="AT93" i="1"/>
  <c r="AS93" i="1"/>
  <c r="AP93" i="1"/>
  <c r="AQ93" i="1" s="1"/>
  <c r="AO93" i="1"/>
  <c r="AM93" i="1"/>
  <c r="AL93" i="1"/>
  <c r="AK93" i="1"/>
  <c r="AH93" i="1"/>
  <c r="AI93" i="1" s="1"/>
  <c r="AG93" i="1"/>
  <c r="AD93" i="1"/>
  <c r="AC93" i="1"/>
  <c r="Z93" i="1"/>
  <c r="AA93" i="1" s="1"/>
  <c r="Y93" i="1"/>
  <c r="V93" i="1"/>
  <c r="U93" i="1"/>
  <c r="R93" i="1"/>
  <c r="S93" i="1" s="1"/>
  <c r="Q93" i="1"/>
  <c r="O93" i="1"/>
  <c r="N93" i="1"/>
  <c r="M93" i="1"/>
  <c r="J93" i="1"/>
  <c r="K93" i="1" s="1"/>
  <c r="I93" i="1"/>
  <c r="G93" i="1"/>
  <c r="F93" i="1"/>
  <c r="E93" i="1"/>
  <c r="BN92" i="1"/>
  <c r="BM92" i="1"/>
  <c r="BL92" i="1"/>
  <c r="BJ92" i="1"/>
  <c r="BI92" i="1"/>
  <c r="BG92" i="1"/>
  <c r="BF92" i="1"/>
  <c r="BE92" i="1"/>
  <c r="BB92" i="1"/>
  <c r="BC92" i="1" s="1"/>
  <c r="BA92" i="1"/>
  <c r="AX92" i="1"/>
  <c r="AW92" i="1"/>
  <c r="AT92" i="1"/>
  <c r="AU92" i="1" s="1"/>
  <c r="AS92" i="1"/>
  <c r="AP92" i="1"/>
  <c r="AO92" i="1"/>
  <c r="AL92" i="1"/>
  <c r="AM92" i="1" s="1"/>
  <c r="AK92" i="1"/>
  <c r="AI92" i="1"/>
  <c r="AH92" i="1"/>
  <c r="AG92" i="1"/>
  <c r="AD92" i="1"/>
  <c r="AE92" i="1" s="1"/>
  <c r="AC92" i="1"/>
  <c r="AA92" i="1"/>
  <c r="Z92" i="1"/>
  <c r="Y92" i="1"/>
  <c r="V92" i="1"/>
  <c r="W92" i="1" s="1"/>
  <c r="U92" i="1"/>
  <c r="R92" i="1"/>
  <c r="Q92" i="1"/>
  <c r="N92" i="1"/>
  <c r="O92" i="1" s="1"/>
  <c r="M92" i="1"/>
  <c r="J92" i="1"/>
  <c r="I92" i="1"/>
  <c r="F92" i="1"/>
  <c r="G92" i="1" s="1"/>
  <c r="E92" i="1"/>
  <c r="BN91" i="1"/>
  <c r="BM91" i="1" s="1"/>
  <c r="BL91" i="1"/>
  <c r="BJ91" i="1"/>
  <c r="BI91" i="1"/>
  <c r="BF91" i="1"/>
  <c r="BG91" i="1" s="1"/>
  <c r="BE91" i="1"/>
  <c r="BB91" i="1"/>
  <c r="BA91" i="1"/>
  <c r="AX91" i="1"/>
  <c r="AY91" i="1" s="1"/>
  <c r="AW91" i="1"/>
  <c r="AT91" i="1"/>
  <c r="AS91" i="1"/>
  <c r="AP91" i="1"/>
  <c r="AQ91" i="1" s="1"/>
  <c r="AO91" i="1"/>
  <c r="AM91" i="1"/>
  <c r="AL91" i="1"/>
  <c r="AK91" i="1"/>
  <c r="AH91" i="1"/>
  <c r="AI91" i="1" s="1"/>
  <c r="AG91" i="1"/>
  <c r="AE91" i="1"/>
  <c r="AD91" i="1"/>
  <c r="AC91" i="1"/>
  <c r="Z91" i="1"/>
  <c r="AA91" i="1" s="1"/>
  <c r="Y91" i="1"/>
  <c r="V91" i="1"/>
  <c r="U91" i="1"/>
  <c r="R91" i="1"/>
  <c r="S91" i="1" s="1"/>
  <c r="Q91" i="1"/>
  <c r="N91" i="1"/>
  <c r="M91" i="1"/>
  <c r="J91" i="1"/>
  <c r="K91" i="1" s="1"/>
  <c r="I91" i="1"/>
  <c r="G91" i="1"/>
  <c r="F91" i="1"/>
  <c r="E91" i="1"/>
  <c r="BN90" i="1"/>
  <c r="BM90" i="1"/>
  <c r="BL90" i="1"/>
  <c r="BJ90" i="1"/>
  <c r="BI90" i="1"/>
  <c r="BG90" i="1"/>
  <c r="BF90" i="1"/>
  <c r="BE90" i="1"/>
  <c r="BB90" i="1"/>
  <c r="BC90" i="1" s="1"/>
  <c r="BA90" i="1"/>
  <c r="AY90" i="1"/>
  <c r="AX90" i="1"/>
  <c r="AW90" i="1"/>
  <c r="AT90" i="1"/>
  <c r="AU90" i="1" s="1"/>
  <c r="AS90" i="1"/>
  <c r="AP90" i="1"/>
  <c r="AO90" i="1"/>
  <c r="AL90" i="1"/>
  <c r="AM90" i="1" s="1"/>
  <c r="AK90" i="1"/>
  <c r="AH90" i="1"/>
  <c r="AG90" i="1"/>
  <c r="AD90" i="1"/>
  <c r="AE90" i="1" s="1"/>
  <c r="AC90" i="1"/>
  <c r="AA90" i="1"/>
  <c r="Z90" i="1"/>
  <c r="Y90" i="1"/>
  <c r="V90" i="1"/>
  <c r="W90" i="1" s="1"/>
  <c r="U90" i="1"/>
  <c r="S90" i="1"/>
  <c r="R90" i="1"/>
  <c r="Q90" i="1"/>
  <c r="N90" i="1"/>
  <c r="O90" i="1" s="1"/>
  <c r="M90" i="1"/>
  <c r="J90" i="1"/>
  <c r="I90" i="1"/>
  <c r="F90" i="1"/>
  <c r="G90" i="1" s="1"/>
  <c r="E90" i="1"/>
  <c r="BN89" i="1"/>
  <c r="BL89" i="1"/>
  <c r="BJ89" i="1"/>
  <c r="BM89" i="1" s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T89" i="1"/>
  <c r="AU89" i="1" s="1"/>
  <c r="AS89" i="1"/>
  <c r="AQ89" i="1"/>
  <c r="AP89" i="1"/>
  <c r="AO89" i="1"/>
  <c r="AL89" i="1"/>
  <c r="AM89" i="1" s="1"/>
  <c r="AK89" i="1"/>
  <c r="AH89" i="1"/>
  <c r="AG89" i="1"/>
  <c r="AF89" i="1"/>
  <c r="AE89" i="1"/>
  <c r="AD89" i="1"/>
  <c r="AC89" i="1"/>
  <c r="Z89" i="1"/>
  <c r="AA89" i="1" s="1"/>
  <c r="Y89" i="1"/>
  <c r="V89" i="1"/>
  <c r="U89" i="1"/>
  <c r="R89" i="1"/>
  <c r="S89" i="1" s="1"/>
  <c r="Q89" i="1"/>
  <c r="O89" i="1"/>
  <c r="N89" i="1"/>
  <c r="M89" i="1"/>
  <c r="J89" i="1"/>
  <c r="K89" i="1" s="1"/>
  <c r="I89" i="1"/>
  <c r="G89" i="1"/>
  <c r="F89" i="1"/>
  <c r="E89" i="1"/>
  <c r="BN88" i="1"/>
  <c r="BM88" i="1"/>
  <c r="BL88" i="1"/>
  <c r="BJ88" i="1"/>
  <c r="BH88" i="1"/>
  <c r="BI88" i="1" s="1"/>
  <c r="BF88" i="1"/>
  <c r="BG88" i="1" s="1"/>
  <c r="BD88" i="1"/>
  <c r="BE88" i="1" s="1"/>
  <c r="BB88" i="1"/>
  <c r="AZ88" i="1"/>
  <c r="BA88" i="1" s="1"/>
  <c r="AX88" i="1"/>
  <c r="AY88" i="1" s="1"/>
  <c r="AW88" i="1"/>
  <c r="AT88" i="1"/>
  <c r="AS88" i="1"/>
  <c r="AP88" i="1"/>
  <c r="AQ88" i="1" s="1"/>
  <c r="AO88" i="1"/>
  <c r="AM88" i="1"/>
  <c r="AL88" i="1"/>
  <c r="AK88" i="1"/>
  <c r="AH88" i="1"/>
  <c r="AI88" i="1" s="1"/>
  <c r="AF88" i="1"/>
  <c r="AG88" i="1" s="1"/>
  <c r="AD88" i="1"/>
  <c r="AE88" i="1" s="1"/>
  <c r="AC88" i="1"/>
  <c r="Z88" i="1"/>
  <c r="Y88" i="1"/>
  <c r="V88" i="1"/>
  <c r="W88" i="1" s="1"/>
  <c r="U88" i="1"/>
  <c r="S88" i="1"/>
  <c r="R88" i="1"/>
  <c r="Q88" i="1"/>
  <c r="N88" i="1"/>
  <c r="O88" i="1" s="1"/>
  <c r="M88" i="1"/>
  <c r="K88" i="1"/>
  <c r="J88" i="1"/>
  <c r="I88" i="1"/>
  <c r="F88" i="1"/>
  <c r="G88" i="1" s="1"/>
  <c r="E88" i="1"/>
  <c r="BN87" i="1"/>
  <c r="BM87" i="1" s="1"/>
  <c r="BL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T87" i="1"/>
  <c r="AU87" i="1" s="1"/>
  <c r="AS87" i="1"/>
  <c r="AQ87" i="1"/>
  <c r="AP87" i="1"/>
  <c r="AO87" i="1"/>
  <c r="AL87" i="1"/>
  <c r="AM87" i="1" s="1"/>
  <c r="AK87" i="1"/>
  <c r="AI87" i="1"/>
  <c r="AH87" i="1"/>
  <c r="AG87" i="1"/>
  <c r="AF87" i="1"/>
  <c r="AE87" i="1"/>
  <c r="AD87" i="1"/>
  <c r="AC87" i="1"/>
  <c r="Z87" i="1"/>
  <c r="AA87" i="1" s="1"/>
  <c r="Y87" i="1"/>
  <c r="V87" i="1"/>
  <c r="U87" i="1"/>
  <c r="R87" i="1"/>
  <c r="S87" i="1" s="1"/>
  <c r="Q87" i="1"/>
  <c r="N87" i="1"/>
  <c r="M87" i="1"/>
  <c r="J87" i="1"/>
  <c r="K87" i="1" s="1"/>
  <c r="I87" i="1"/>
  <c r="F87" i="1"/>
  <c r="G87" i="1" s="1"/>
  <c r="E87" i="1"/>
  <c r="BN86" i="1"/>
  <c r="BM86" i="1"/>
  <c r="BL86" i="1"/>
  <c r="BJ86" i="1"/>
  <c r="BI86" i="1"/>
  <c r="BF86" i="1"/>
  <c r="BG86" i="1" s="1"/>
  <c r="BE86" i="1"/>
  <c r="BB86" i="1"/>
  <c r="BA86" i="1"/>
  <c r="AY86" i="1"/>
  <c r="AX86" i="1"/>
  <c r="AW86" i="1"/>
  <c r="AT86" i="1"/>
  <c r="AU86" i="1" s="1"/>
  <c r="AS86" i="1"/>
  <c r="AP86" i="1"/>
  <c r="AO86" i="1"/>
  <c r="AL86" i="1"/>
  <c r="AM86" i="1" s="1"/>
  <c r="AK86" i="1"/>
  <c r="AI86" i="1"/>
  <c r="AH86" i="1"/>
  <c r="AG86" i="1"/>
  <c r="AD86" i="1"/>
  <c r="AE86" i="1" s="1"/>
  <c r="AC86" i="1"/>
  <c r="AA86" i="1"/>
  <c r="Z86" i="1"/>
  <c r="Y86" i="1"/>
  <c r="V86" i="1"/>
  <c r="W86" i="1" s="1"/>
  <c r="U86" i="1"/>
  <c r="R86" i="1"/>
  <c r="Q86" i="1"/>
  <c r="O86" i="1"/>
  <c r="N86" i="1"/>
  <c r="M86" i="1"/>
  <c r="J86" i="1"/>
  <c r="K86" i="1" s="1"/>
  <c r="I86" i="1"/>
  <c r="F86" i="1"/>
  <c r="E86" i="1"/>
  <c r="BN85" i="1"/>
  <c r="BL85" i="1"/>
  <c r="BJ85" i="1"/>
  <c r="BI85" i="1"/>
  <c r="BF85" i="1"/>
  <c r="BG85" i="1" s="1"/>
  <c r="BE85" i="1"/>
  <c r="BB85" i="1"/>
  <c r="BA85" i="1"/>
  <c r="AX85" i="1"/>
  <c r="AY85" i="1" s="1"/>
  <c r="AW85" i="1"/>
  <c r="AU85" i="1"/>
  <c r="AT85" i="1"/>
  <c r="AS85" i="1"/>
  <c r="AP85" i="1"/>
  <c r="AQ85" i="1" s="1"/>
  <c r="AO85" i="1"/>
  <c r="AL85" i="1"/>
  <c r="AK85" i="1"/>
  <c r="AI85" i="1"/>
  <c r="AH85" i="1"/>
  <c r="AG85" i="1"/>
  <c r="AD85" i="1"/>
  <c r="AE85" i="1" s="1"/>
  <c r="AC85" i="1"/>
  <c r="Z85" i="1"/>
  <c r="Y85" i="1"/>
  <c r="W85" i="1"/>
  <c r="V85" i="1"/>
  <c r="U85" i="1"/>
  <c r="R85" i="1"/>
  <c r="S85" i="1" s="1"/>
  <c r="Q85" i="1"/>
  <c r="N85" i="1"/>
  <c r="O85" i="1" s="1"/>
  <c r="M85" i="1"/>
  <c r="J85" i="1"/>
  <c r="I85" i="1"/>
  <c r="G85" i="1"/>
  <c r="F85" i="1"/>
  <c r="E85" i="1"/>
  <c r="BN84" i="1"/>
  <c r="BM84" i="1"/>
  <c r="BL84" i="1"/>
  <c r="BJ84" i="1"/>
  <c r="BI84" i="1"/>
  <c r="BG84" i="1"/>
  <c r="BF84" i="1"/>
  <c r="BE84" i="1"/>
  <c r="BB84" i="1"/>
  <c r="BC84" i="1" s="1"/>
  <c r="BA84" i="1"/>
  <c r="AX84" i="1"/>
  <c r="AY84" i="1" s="1"/>
  <c r="AW84" i="1"/>
  <c r="AT84" i="1"/>
  <c r="AU84" i="1" s="1"/>
  <c r="AS84" i="1"/>
  <c r="AP84" i="1"/>
  <c r="AO84" i="1"/>
  <c r="AL84" i="1"/>
  <c r="AM84" i="1" s="1"/>
  <c r="AK84" i="1"/>
  <c r="AI84" i="1"/>
  <c r="AH84" i="1"/>
  <c r="AG84" i="1"/>
  <c r="AD84" i="1"/>
  <c r="AE84" i="1" s="1"/>
  <c r="AC84" i="1"/>
  <c r="Z84" i="1"/>
  <c r="Y84" i="1"/>
  <c r="W84" i="1"/>
  <c r="V84" i="1"/>
  <c r="U84" i="1"/>
  <c r="R84" i="1"/>
  <c r="S84" i="1" s="1"/>
  <c r="Q84" i="1"/>
  <c r="N84" i="1"/>
  <c r="M84" i="1"/>
  <c r="K84" i="1"/>
  <c r="J84" i="1"/>
  <c r="I84" i="1"/>
  <c r="F84" i="1"/>
  <c r="G84" i="1" s="1"/>
  <c r="E84" i="1"/>
  <c r="BN83" i="1"/>
  <c r="BM83" i="1"/>
  <c r="BL83" i="1"/>
  <c r="BJ83" i="1"/>
  <c r="BI83" i="1"/>
  <c r="BF83" i="1"/>
  <c r="BG83" i="1" s="1"/>
  <c r="BE83" i="1"/>
  <c r="BB83" i="1"/>
  <c r="BC83" i="1" s="1"/>
  <c r="BA83" i="1"/>
  <c r="AX83" i="1"/>
  <c r="AW83" i="1"/>
  <c r="AU83" i="1"/>
  <c r="AT83" i="1"/>
  <c r="AS83" i="1"/>
  <c r="AP83" i="1"/>
  <c r="AQ83" i="1" s="1"/>
  <c r="AO83" i="1"/>
  <c r="AL83" i="1"/>
  <c r="AK83" i="1"/>
  <c r="AH83" i="1"/>
  <c r="AI83" i="1" s="1"/>
  <c r="AG83" i="1"/>
  <c r="AD83" i="1"/>
  <c r="AC83" i="1"/>
  <c r="AA83" i="1"/>
  <c r="Z83" i="1"/>
  <c r="Y83" i="1"/>
  <c r="W83" i="1"/>
  <c r="V83" i="1"/>
  <c r="U83" i="1"/>
  <c r="R83" i="1"/>
  <c r="S83" i="1" s="1"/>
  <c r="Q83" i="1"/>
  <c r="N83" i="1"/>
  <c r="M83" i="1"/>
  <c r="K83" i="1"/>
  <c r="J83" i="1"/>
  <c r="I83" i="1"/>
  <c r="F83" i="1"/>
  <c r="G83" i="1" s="1"/>
  <c r="E83" i="1"/>
  <c r="BN82" i="1"/>
  <c r="BM82" i="1"/>
  <c r="BL82" i="1"/>
  <c r="BJ82" i="1"/>
  <c r="BI82" i="1"/>
  <c r="BF82" i="1"/>
  <c r="BG82" i="1" s="1"/>
  <c r="BE82" i="1"/>
  <c r="BB82" i="1"/>
  <c r="BA82" i="1"/>
  <c r="AY82" i="1"/>
  <c r="AX82" i="1"/>
  <c r="AW82" i="1"/>
  <c r="AT82" i="1"/>
  <c r="AU82" i="1" s="1"/>
  <c r="AS82" i="1"/>
  <c r="AP82" i="1"/>
  <c r="AQ82" i="1" s="1"/>
  <c r="AO82" i="1"/>
  <c r="AL82" i="1"/>
  <c r="AK82" i="1"/>
  <c r="AI82" i="1"/>
  <c r="AH82" i="1"/>
  <c r="AG82" i="1"/>
  <c r="AD82" i="1"/>
  <c r="AE82" i="1" s="1"/>
  <c r="AC82" i="1"/>
  <c r="Z82" i="1"/>
  <c r="AA82" i="1" s="1"/>
  <c r="Y82" i="1"/>
  <c r="V82" i="1"/>
  <c r="W82" i="1" s="1"/>
  <c r="U82" i="1"/>
  <c r="R82" i="1"/>
  <c r="S82" i="1" s="1"/>
  <c r="Q82" i="1"/>
  <c r="N82" i="1"/>
  <c r="O82" i="1" s="1"/>
  <c r="M82" i="1"/>
  <c r="K82" i="1"/>
  <c r="J82" i="1"/>
  <c r="I82" i="1"/>
  <c r="F82" i="1"/>
  <c r="G82" i="1" s="1"/>
  <c r="E82" i="1"/>
  <c r="BN81" i="1"/>
  <c r="BL81" i="1"/>
  <c r="BJ81" i="1"/>
  <c r="BM81" i="1" s="1"/>
  <c r="BI81" i="1"/>
  <c r="BF81" i="1"/>
  <c r="BC81" i="1" s="1"/>
  <c r="BE81" i="1"/>
  <c r="BB81" i="1"/>
  <c r="BA81" i="1"/>
  <c r="AY81" i="1"/>
  <c r="AX81" i="1"/>
  <c r="AW81" i="1"/>
  <c r="AT81" i="1"/>
  <c r="AU81" i="1" s="1"/>
  <c r="AS81" i="1"/>
  <c r="AP81" i="1"/>
  <c r="AO81" i="1"/>
  <c r="AM81" i="1"/>
  <c r="AL81" i="1"/>
  <c r="AK81" i="1"/>
  <c r="AH81" i="1"/>
  <c r="AI81" i="1" s="1"/>
  <c r="AG81" i="1"/>
  <c r="AD81" i="1"/>
  <c r="AE81" i="1" s="1"/>
  <c r="AC81" i="1"/>
  <c r="Z81" i="1"/>
  <c r="Y81" i="1"/>
  <c r="W81" i="1"/>
  <c r="V81" i="1"/>
  <c r="U81" i="1"/>
  <c r="R81" i="1"/>
  <c r="S81" i="1" s="1"/>
  <c r="Q81" i="1"/>
  <c r="N81" i="1"/>
  <c r="O81" i="1" s="1"/>
  <c r="M81" i="1"/>
  <c r="J81" i="1"/>
  <c r="K81" i="1" s="1"/>
  <c r="I81" i="1"/>
  <c r="G81" i="1"/>
  <c r="F81" i="1"/>
  <c r="E81" i="1"/>
  <c r="BN80" i="1"/>
  <c r="BM80" i="1"/>
  <c r="BL80" i="1"/>
  <c r="BJ80" i="1"/>
  <c r="BI80" i="1"/>
  <c r="BG80" i="1"/>
  <c r="BF80" i="1"/>
  <c r="BE80" i="1"/>
  <c r="BB80" i="1"/>
  <c r="BC80" i="1" s="1"/>
  <c r="BA80" i="1"/>
  <c r="AX80" i="1"/>
  <c r="AY80" i="1" s="1"/>
  <c r="AW80" i="1"/>
  <c r="AT80" i="1"/>
  <c r="AS80" i="1"/>
  <c r="AQ80" i="1"/>
  <c r="AP80" i="1"/>
  <c r="AO80" i="1"/>
  <c r="AL80" i="1"/>
  <c r="AM80" i="1" s="1"/>
  <c r="AK80" i="1"/>
  <c r="AH80" i="1"/>
  <c r="AI80" i="1" s="1"/>
  <c r="AG80" i="1"/>
  <c r="AD80" i="1"/>
  <c r="AE80" i="1" s="1"/>
  <c r="AC80" i="1"/>
  <c r="AA80" i="1"/>
  <c r="Z80" i="1"/>
  <c r="Y80" i="1"/>
  <c r="V80" i="1"/>
  <c r="W80" i="1" s="1"/>
  <c r="U80" i="1"/>
  <c r="R80" i="1"/>
  <c r="S80" i="1" s="1"/>
  <c r="Q80" i="1"/>
  <c r="N80" i="1"/>
  <c r="M80" i="1"/>
  <c r="K80" i="1"/>
  <c r="J80" i="1"/>
  <c r="I80" i="1"/>
  <c r="F80" i="1"/>
  <c r="G80" i="1" s="1"/>
  <c r="E80" i="1"/>
  <c r="BN79" i="1"/>
  <c r="BM79" i="1"/>
  <c r="BL79" i="1"/>
  <c r="BJ79" i="1"/>
  <c r="BI79" i="1"/>
  <c r="BF79" i="1"/>
  <c r="BG79" i="1" s="1"/>
  <c r="BE79" i="1"/>
  <c r="BB79" i="1"/>
  <c r="BC79" i="1" s="1"/>
  <c r="BA79" i="1"/>
  <c r="AX79" i="1"/>
  <c r="AY79" i="1" s="1"/>
  <c r="AW79" i="1"/>
  <c r="AU79" i="1"/>
  <c r="AT79" i="1"/>
  <c r="AS79" i="1"/>
  <c r="AP79" i="1"/>
  <c r="AQ79" i="1" s="1"/>
  <c r="AO79" i="1"/>
  <c r="AL79" i="1"/>
  <c r="AM79" i="1" s="1"/>
  <c r="AK79" i="1"/>
  <c r="AH79" i="1"/>
  <c r="AG79" i="1"/>
  <c r="AE79" i="1"/>
  <c r="AD79" i="1"/>
  <c r="AC79" i="1"/>
  <c r="Z79" i="1"/>
  <c r="AA79" i="1" s="1"/>
  <c r="Y79" i="1"/>
  <c r="V79" i="1"/>
  <c r="W79" i="1" s="1"/>
  <c r="U79" i="1"/>
  <c r="R79" i="1"/>
  <c r="S79" i="1" s="1"/>
  <c r="Q79" i="1"/>
  <c r="O79" i="1"/>
  <c r="N79" i="1"/>
  <c r="M79" i="1"/>
  <c r="J79" i="1"/>
  <c r="K79" i="1" s="1"/>
  <c r="I79" i="1"/>
  <c r="F79" i="1"/>
  <c r="G79" i="1" s="1"/>
  <c r="E79" i="1"/>
  <c r="BN78" i="1"/>
  <c r="BL78" i="1"/>
  <c r="BJ78" i="1"/>
  <c r="BM78" i="1" s="1"/>
  <c r="BI78" i="1"/>
  <c r="BF78" i="1"/>
  <c r="BG78" i="1" s="1"/>
  <c r="BE78" i="1"/>
  <c r="BB78" i="1"/>
  <c r="BA78" i="1"/>
  <c r="AY78" i="1"/>
  <c r="AX78" i="1"/>
  <c r="AW78" i="1"/>
  <c r="AT78" i="1"/>
  <c r="AU78" i="1" s="1"/>
  <c r="AS78" i="1"/>
  <c r="AP78" i="1"/>
  <c r="AQ78" i="1" s="1"/>
  <c r="AO78" i="1"/>
  <c r="AL78" i="1"/>
  <c r="AM78" i="1" s="1"/>
  <c r="AK78" i="1"/>
  <c r="AI78" i="1"/>
  <c r="AH78" i="1"/>
  <c r="AG78" i="1"/>
  <c r="AD78" i="1"/>
  <c r="AE78" i="1" s="1"/>
  <c r="AC78" i="1"/>
  <c r="Z78" i="1"/>
  <c r="AA78" i="1" s="1"/>
  <c r="Y78" i="1"/>
  <c r="V78" i="1"/>
  <c r="U78" i="1"/>
  <c r="S78" i="1"/>
  <c r="R78" i="1"/>
  <c r="Q78" i="1"/>
  <c r="N78" i="1"/>
  <c r="O78" i="1" s="1"/>
  <c r="M78" i="1"/>
  <c r="J78" i="1"/>
  <c r="K78" i="1" s="1"/>
  <c r="I78" i="1"/>
  <c r="F78" i="1"/>
  <c r="G78" i="1" s="1"/>
  <c r="E78" i="1"/>
  <c r="BN77" i="1"/>
  <c r="BL77" i="1"/>
  <c r="BJ77" i="1"/>
  <c r="BM77" i="1" s="1"/>
  <c r="BI77" i="1"/>
  <c r="BF77" i="1"/>
  <c r="BG77" i="1" s="1"/>
  <c r="BE77" i="1"/>
  <c r="BC77" i="1"/>
  <c r="BB77" i="1"/>
  <c r="BA77" i="1"/>
  <c r="AX77" i="1"/>
  <c r="AY77" i="1" s="1"/>
  <c r="AW77" i="1"/>
  <c r="AT77" i="1"/>
  <c r="AU77" i="1" s="1"/>
  <c r="AS77" i="1"/>
  <c r="AP77" i="1"/>
  <c r="AO77" i="1"/>
  <c r="AM77" i="1"/>
  <c r="AL77" i="1"/>
  <c r="AK77" i="1"/>
  <c r="AH77" i="1"/>
  <c r="AI77" i="1" s="1"/>
  <c r="AG77" i="1"/>
  <c r="AD77" i="1"/>
  <c r="AE77" i="1" s="1"/>
  <c r="AC77" i="1"/>
  <c r="Z77" i="1"/>
  <c r="AA77" i="1" s="1"/>
  <c r="Y77" i="1"/>
  <c r="W77" i="1"/>
  <c r="V77" i="1"/>
  <c r="U77" i="1"/>
  <c r="R77" i="1"/>
  <c r="S77" i="1" s="1"/>
  <c r="Q77" i="1"/>
  <c r="N77" i="1"/>
  <c r="O77" i="1" s="1"/>
  <c r="M77" i="1"/>
  <c r="J77" i="1"/>
  <c r="I77" i="1"/>
  <c r="G77" i="1"/>
  <c r="F77" i="1"/>
  <c r="E77" i="1"/>
  <c r="BN76" i="1"/>
  <c r="BM76" i="1"/>
  <c r="BL76" i="1"/>
  <c r="BJ76" i="1"/>
  <c r="BI76" i="1"/>
  <c r="BG76" i="1"/>
  <c r="BF76" i="1"/>
  <c r="BE76" i="1"/>
  <c r="BB76" i="1"/>
  <c r="BC76" i="1" s="1"/>
  <c r="BA76" i="1"/>
  <c r="AX76" i="1"/>
  <c r="AY76" i="1" s="1"/>
  <c r="AW76" i="1"/>
  <c r="AT76" i="1"/>
  <c r="AU76" i="1" s="1"/>
  <c r="AS76" i="1"/>
  <c r="AQ76" i="1"/>
  <c r="AP76" i="1"/>
  <c r="AO76" i="1"/>
  <c r="AL76" i="1"/>
  <c r="AM76" i="1" s="1"/>
  <c r="AK76" i="1"/>
  <c r="AH76" i="1"/>
  <c r="AI76" i="1" s="1"/>
  <c r="AG76" i="1"/>
  <c r="AD76" i="1"/>
  <c r="AC76" i="1"/>
  <c r="AA76" i="1"/>
  <c r="Z76" i="1"/>
  <c r="Y76" i="1"/>
  <c r="V76" i="1"/>
  <c r="W76" i="1" s="1"/>
  <c r="U76" i="1"/>
  <c r="R76" i="1"/>
  <c r="S76" i="1" s="1"/>
  <c r="Q76" i="1"/>
  <c r="N76" i="1"/>
  <c r="O76" i="1" s="1"/>
  <c r="M76" i="1"/>
  <c r="K76" i="1"/>
  <c r="J76" i="1"/>
  <c r="I76" i="1"/>
  <c r="F76" i="1"/>
  <c r="G76" i="1" s="1"/>
  <c r="E76" i="1"/>
  <c r="BN75" i="1"/>
  <c r="BM75" i="1"/>
  <c r="BL75" i="1"/>
  <c r="BJ75" i="1"/>
  <c r="BI75" i="1"/>
  <c r="BF75" i="1"/>
  <c r="BG75" i="1" s="1"/>
  <c r="BE75" i="1"/>
  <c r="BB75" i="1"/>
  <c r="BC75" i="1" s="1"/>
  <c r="BA75" i="1"/>
  <c r="AX75" i="1"/>
  <c r="AW75" i="1"/>
  <c r="AU75" i="1"/>
  <c r="AT75" i="1"/>
  <c r="AS75" i="1"/>
  <c r="AP75" i="1"/>
  <c r="AQ75" i="1" s="1"/>
  <c r="AO75" i="1"/>
  <c r="AL75" i="1"/>
  <c r="AM75" i="1" s="1"/>
  <c r="AK75" i="1"/>
  <c r="AH75" i="1"/>
  <c r="AI75" i="1" s="1"/>
  <c r="AG75" i="1"/>
  <c r="AE75" i="1"/>
  <c r="AD75" i="1"/>
  <c r="AC75" i="1"/>
  <c r="Z75" i="1"/>
  <c r="AA75" i="1" s="1"/>
  <c r="Y75" i="1"/>
  <c r="V75" i="1"/>
  <c r="W75" i="1" s="1"/>
  <c r="U75" i="1"/>
  <c r="R75" i="1"/>
  <c r="Q75" i="1"/>
  <c r="O75" i="1"/>
  <c r="N75" i="1"/>
  <c r="M75" i="1"/>
  <c r="J75" i="1"/>
  <c r="K75" i="1" s="1"/>
  <c r="I75" i="1"/>
  <c r="F75" i="1"/>
  <c r="G75" i="1" s="1"/>
  <c r="E75" i="1"/>
  <c r="BN74" i="1"/>
  <c r="BL74" i="1"/>
  <c r="BJ74" i="1"/>
  <c r="BM74" i="1" s="1"/>
  <c r="BI74" i="1"/>
  <c r="BF74" i="1"/>
  <c r="BG74" i="1" s="1"/>
  <c r="BE74" i="1"/>
  <c r="BB74" i="1"/>
  <c r="BC74" i="1" s="1"/>
  <c r="BA74" i="1"/>
  <c r="AY74" i="1"/>
  <c r="AX74" i="1"/>
  <c r="AW74" i="1"/>
  <c r="AT74" i="1"/>
  <c r="AU74" i="1" s="1"/>
  <c r="AS74" i="1"/>
  <c r="AP74" i="1"/>
  <c r="AQ74" i="1" s="1"/>
  <c r="AO74" i="1"/>
  <c r="AL74" i="1"/>
  <c r="AK74" i="1"/>
  <c r="AI74" i="1"/>
  <c r="AH74" i="1"/>
  <c r="AG74" i="1"/>
  <c r="AD74" i="1"/>
  <c r="AE74" i="1" s="1"/>
  <c r="AC74" i="1"/>
  <c r="Z74" i="1"/>
  <c r="AA74" i="1" s="1"/>
  <c r="Y74" i="1"/>
  <c r="V74" i="1"/>
  <c r="W74" i="1" s="1"/>
  <c r="U74" i="1"/>
  <c r="S74" i="1"/>
  <c r="R74" i="1"/>
  <c r="Q74" i="1"/>
  <c r="N74" i="1"/>
  <c r="O74" i="1" s="1"/>
  <c r="M74" i="1"/>
  <c r="J74" i="1"/>
  <c r="K74" i="1" s="1"/>
  <c r="I74" i="1"/>
  <c r="F74" i="1"/>
  <c r="E74" i="1"/>
  <c r="BN73" i="1"/>
  <c r="BL73" i="1"/>
  <c r="BJ73" i="1"/>
  <c r="BM73" i="1" s="1"/>
  <c r="BI73" i="1"/>
  <c r="BF73" i="1"/>
  <c r="BE73" i="1"/>
  <c r="BC73" i="1"/>
  <c r="BB73" i="1"/>
  <c r="BA73" i="1"/>
  <c r="AX73" i="1"/>
  <c r="AY73" i="1" s="1"/>
  <c r="AW73" i="1"/>
  <c r="AT73" i="1"/>
  <c r="AU73" i="1" s="1"/>
  <c r="AS73" i="1"/>
  <c r="AP73" i="1"/>
  <c r="AQ73" i="1" s="1"/>
  <c r="AO73" i="1"/>
  <c r="AM73" i="1"/>
  <c r="AL73" i="1"/>
  <c r="AK73" i="1"/>
  <c r="AH73" i="1"/>
  <c r="AI73" i="1" s="1"/>
  <c r="AG73" i="1"/>
  <c r="AD73" i="1"/>
  <c r="AE73" i="1" s="1"/>
  <c r="AC73" i="1"/>
  <c r="Z73" i="1"/>
  <c r="Y73" i="1"/>
  <c r="W73" i="1"/>
  <c r="V73" i="1"/>
  <c r="U73" i="1"/>
  <c r="R73" i="1"/>
  <c r="S73" i="1" s="1"/>
  <c r="Q73" i="1"/>
  <c r="N73" i="1"/>
  <c r="O73" i="1" s="1"/>
  <c r="M73" i="1"/>
  <c r="J73" i="1"/>
  <c r="K73" i="1" s="1"/>
  <c r="I73" i="1"/>
  <c r="G73" i="1"/>
  <c r="F73" i="1"/>
  <c r="E73" i="1"/>
  <c r="BN72" i="1"/>
  <c r="BM72" i="1"/>
  <c r="BL72" i="1"/>
  <c r="BJ72" i="1"/>
  <c r="BI72" i="1"/>
  <c r="BG72" i="1"/>
  <c r="BF72" i="1"/>
  <c r="BE72" i="1"/>
  <c r="BB72" i="1"/>
  <c r="BC72" i="1" s="1"/>
  <c r="BA72" i="1"/>
  <c r="AX72" i="1"/>
  <c r="AY72" i="1" s="1"/>
  <c r="AW72" i="1"/>
  <c r="AT72" i="1"/>
  <c r="AU72" i="1" s="1"/>
  <c r="AS72" i="1"/>
  <c r="AQ72" i="1"/>
  <c r="AP72" i="1"/>
  <c r="AO72" i="1"/>
  <c r="AL72" i="1"/>
  <c r="AM72" i="1" s="1"/>
  <c r="AK72" i="1"/>
  <c r="AH72" i="1"/>
  <c r="AI72" i="1" s="1"/>
  <c r="AG72" i="1"/>
  <c r="AD72" i="1"/>
  <c r="AE72" i="1" s="1"/>
  <c r="AC72" i="1"/>
  <c r="AA72" i="1"/>
  <c r="Z72" i="1"/>
  <c r="Y72" i="1"/>
  <c r="V72" i="1"/>
  <c r="W72" i="1" s="1"/>
  <c r="U72" i="1"/>
  <c r="R72" i="1"/>
  <c r="S72" i="1" s="1"/>
  <c r="Q72" i="1"/>
  <c r="N72" i="1"/>
  <c r="O72" i="1" s="1"/>
  <c r="M72" i="1"/>
  <c r="K72" i="1"/>
  <c r="J72" i="1"/>
  <c r="I72" i="1"/>
  <c r="F72" i="1"/>
  <c r="G72" i="1" s="1"/>
  <c r="E72" i="1"/>
  <c r="BN71" i="1"/>
  <c r="BM71" i="1"/>
  <c r="BL71" i="1"/>
  <c r="BJ71" i="1"/>
  <c r="BI71" i="1"/>
  <c r="BF71" i="1"/>
  <c r="BG71" i="1" s="1"/>
  <c r="BE71" i="1"/>
  <c r="BB71" i="1"/>
  <c r="BC71" i="1" s="1"/>
  <c r="BA71" i="1"/>
  <c r="AX71" i="1"/>
  <c r="AY71" i="1" s="1"/>
  <c r="AW71" i="1"/>
  <c r="AU71" i="1"/>
  <c r="AT71" i="1"/>
  <c r="AS71" i="1"/>
  <c r="AP71" i="1"/>
  <c r="AQ71" i="1" s="1"/>
  <c r="AO71" i="1"/>
  <c r="AL71" i="1"/>
  <c r="AM71" i="1" s="1"/>
  <c r="AK71" i="1"/>
  <c r="AH71" i="1"/>
  <c r="AI71" i="1" s="1"/>
  <c r="AG71" i="1"/>
  <c r="AE71" i="1"/>
  <c r="AD71" i="1"/>
  <c r="AC71" i="1"/>
  <c r="Z71" i="1"/>
  <c r="AA71" i="1" s="1"/>
  <c r="Y71" i="1"/>
  <c r="V71" i="1"/>
  <c r="W71" i="1" s="1"/>
  <c r="U71" i="1"/>
  <c r="R71" i="1"/>
  <c r="S71" i="1" s="1"/>
  <c r="Q71" i="1"/>
  <c r="O71" i="1"/>
  <c r="N71" i="1"/>
  <c r="M71" i="1"/>
  <c r="J71" i="1"/>
  <c r="K71" i="1" s="1"/>
  <c r="I71" i="1"/>
  <c r="F71" i="1"/>
  <c r="G71" i="1" s="1"/>
  <c r="E71" i="1"/>
  <c r="BN70" i="1"/>
  <c r="BL70" i="1"/>
  <c r="BJ70" i="1"/>
  <c r="BM70" i="1" s="1"/>
  <c r="BI70" i="1"/>
  <c r="BF70" i="1"/>
  <c r="BG70" i="1" s="1"/>
  <c r="BE70" i="1"/>
  <c r="BB70" i="1"/>
  <c r="BC70" i="1" s="1"/>
  <c r="BA70" i="1"/>
  <c r="AY70" i="1"/>
  <c r="AX70" i="1"/>
  <c r="AW70" i="1"/>
  <c r="AT70" i="1"/>
  <c r="AU70" i="1" s="1"/>
  <c r="AS70" i="1"/>
  <c r="AP70" i="1"/>
  <c r="AQ70" i="1" s="1"/>
  <c r="AO70" i="1"/>
  <c r="AL70" i="1"/>
  <c r="AM70" i="1" s="1"/>
  <c r="AK70" i="1"/>
  <c r="AI70" i="1"/>
  <c r="AH70" i="1"/>
  <c r="AG70" i="1"/>
  <c r="AD70" i="1"/>
  <c r="AE70" i="1" s="1"/>
  <c r="AC70" i="1"/>
  <c r="Z70" i="1"/>
  <c r="AA70" i="1" s="1"/>
  <c r="Y70" i="1"/>
  <c r="V70" i="1"/>
  <c r="W70" i="1" s="1"/>
  <c r="U70" i="1"/>
  <c r="S70" i="1"/>
  <c r="R70" i="1"/>
  <c r="Q70" i="1"/>
  <c r="N70" i="1"/>
  <c r="O70" i="1" s="1"/>
  <c r="M70" i="1"/>
  <c r="J70" i="1"/>
  <c r="K70" i="1" s="1"/>
  <c r="I70" i="1"/>
  <c r="F70" i="1"/>
  <c r="G70" i="1" s="1"/>
  <c r="E70" i="1"/>
  <c r="BN69" i="1"/>
  <c r="BL69" i="1"/>
  <c r="BJ69" i="1"/>
  <c r="BM69" i="1" s="1"/>
  <c r="BI69" i="1"/>
  <c r="BF69" i="1"/>
  <c r="BG69" i="1" s="1"/>
  <c r="BE69" i="1"/>
  <c r="BC69" i="1"/>
  <c r="BB69" i="1"/>
  <c r="BA69" i="1"/>
  <c r="AX69" i="1"/>
  <c r="AY69" i="1" s="1"/>
  <c r="AW69" i="1"/>
  <c r="AT69" i="1"/>
  <c r="AU69" i="1" s="1"/>
  <c r="AS69" i="1"/>
  <c r="AP69" i="1"/>
  <c r="AQ69" i="1" s="1"/>
  <c r="AO69" i="1"/>
  <c r="AM69" i="1"/>
  <c r="AL69" i="1"/>
  <c r="AK69" i="1"/>
  <c r="AH69" i="1"/>
  <c r="AI69" i="1" s="1"/>
  <c r="AG69" i="1"/>
  <c r="AD69" i="1"/>
  <c r="AC69" i="1"/>
  <c r="Z69" i="1"/>
  <c r="AA69" i="1" s="1"/>
  <c r="Y69" i="1"/>
  <c r="W69" i="1"/>
  <c r="V69" i="1"/>
  <c r="U69" i="1"/>
  <c r="R69" i="1"/>
  <c r="S69" i="1" s="1"/>
  <c r="Q69" i="1"/>
  <c r="N69" i="1"/>
  <c r="O69" i="1" s="1"/>
  <c r="M69" i="1"/>
  <c r="J69" i="1"/>
  <c r="K69" i="1" s="1"/>
  <c r="I69" i="1"/>
  <c r="G69" i="1"/>
  <c r="F69" i="1"/>
  <c r="E69" i="1"/>
  <c r="BN68" i="1"/>
  <c r="BM68" i="1"/>
  <c r="BL68" i="1"/>
  <c r="BJ68" i="1"/>
  <c r="BI68" i="1"/>
  <c r="BG68" i="1"/>
  <c r="BF68" i="1"/>
  <c r="BE68" i="1"/>
  <c r="BB68" i="1"/>
  <c r="BC68" i="1" s="1"/>
  <c r="BA68" i="1"/>
  <c r="AX68" i="1"/>
  <c r="AY68" i="1" s="1"/>
  <c r="AW68" i="1"/>
  <c r="AT68" i="1"/>
  <c r="AU68" i="1" s="1"/>
  <c r="AS68" i="1"/>
  <c r="AQ68" i="1"/>
  <c r="AP68" i="1"/>
  <c r="AO68" i="1"/>
  <c r="AL68" i="1"/>
  <c r="AM68" i="1" s="1"/>
  <c r="AK68" i="1"/>
  <c r="AH68" i="1"/>
  <c r="AI68" i="1" s="1"/>
  <c r="AG68" i="1"/>
  <c r="AD68" i="1"/>
  <c r="AE68" i="1" s="1"/>
  <c r="AC68" i="1"/>
  <c r="AA68" i="1"/>
  <c r="Z68" i="1"/>
  <c r="Y68" i="1"/>
  <c r="V68" i="1"/>
  <c r="W68" i="1" s="1"/>
  <c r="U68" i="1"/>
  <c r="R68" i="1"/>
  <c r="Q68" i="1"/>
  <c r="N68" i="1"/>
  <c r="O68" i="1" s="1"/>
  <c r="M68" i="1"/>
  <c r="K68" i="1"/>
  <c r="J68" i="1"/>
  <c r="I68" i="1"/>
  <c r="F68" i="1"/>
  <c r="G68" i="1" s="1"/>
  <c r="E68" i="1"/>
  <c r="BN67" i="1"/>
  <c r="BM67" i="1"/>
  <c r="BL67" i="1"/>
  <c r="BJ67" i="1"/>
  <c r="BI67" i="1"/>
  <c r="BF67" i="1"/>
  <c r="BG67" i="1" s="1"/>
  <c r="BE67" i="1"/>
  <c r="BB67" i="1"/>
  <c r="BA67" i="1"/>
  <c r="AX67" i="1"/>
  <c r="AY67" i="1" s="1"/>
  <c r="AW67" i="1"/>
  <c r="AU67" i="1"/>
  <c r="AT67" i="1"/>
  <c r="AS67" i="1"/>
  <c r="AP67" i="1"/>
  <c r="AQ67" i="1" s="1"/>
  <c r="AO67" i="1"/>
  <c r="AL67" i="1"/>
  <c r="AM67" i="1" s="1"/>
  <c r="AK67" i="1"/>
  <c r="AH67" i="1"/>
  <c r="AI67" i="1" s="1"/>
  <c r="AG67" i="1"/>
  <c r="AE67" i="1"/>
  <c r="AD67" i="1"/>
  <c r="AC67" i="1"/>
  <c r="Z67" i="1"/>
  <c r="AA67" i="1" s="1"/>
  <c r="Y67" i="1"/>
  <c r="V67" i="1"/>
  <c r="W67" i="1" s="1"/>
  <c r="U67" i="1"/>
  <c r="R67" i="1"/>
  <c r="S67" i="1" s="1"/>
  <c r="Q67" i="1"/>
  <c r="O67" i="1"/>
  <c r="N67" i="1"/>
  <c r="M67" i="1"/>
  <c r="J67" i="1"/>
  <c r="K67" i="1" s="1"/>
  <c r="I67" i="1"/>
  <c r="F67" i="1"/>
  <c r="G67" i="1" s="1"/>
  <c r="E67" i="1"/>
  <c r="BN66" i="1"/>
  <c r="BL66" i="1"/>
  <c r="BJ66" i="1"/>
  <c r="BM66" i="1" s="1"/>
  <c r="BI66" i="1"/>
  <c r="BF66" i="1"/>
  <c r="BG66" i="1" s="1"/>
  <c r="BE66" i="1"/>
  <c r="BB66" i="1"/>
  <c r="BC66" i="1" s="1"/>
  <c r="BA66" i="1"/>
  <c r="AY66" i="1"/>
  <c r="AX66" i="1"/>
  <c r="AW66" i="1"/>
  <c r="AT66" i="1"/>
  <c r="AU66" i="1" s="1"/>
  <c r="AS66" i="1"/>
  <c r="AP66" i="1"/>
  <c r="AQ66" i="1" s="1"/>
  <c r="AO66" i="1"/>
  <c r="AL66" i="1"/>
  <c r="AM66" i="1" s="1"/>
  <c r="AK66" i="1"/>
  <c r="AI66" i="1"/>
  <c r="AH66" i="1"/>
  <c r="AG66" i="1"/>
  <c r="AD66" i="1"/>
  <c r="AE66" i="1" s="1"/>
  <c r="AC66" i="1"/>
  <c r="Z66" i="1"/>
  <c r="AA66" i="1" s="1"/>
  <c r="Y66" i="1"/>
  <c r="V66" i="1"/>
  <c r="W66" i="1" s="1"/>
  <c r="U66" i="1"/>
  <c r="S66" i="1"/>
  <c r="R66" i="1"/>
  <c r="Q66" i="1"/>
  <c r="N66" i="1"/>
  <c r="O66" i="1" s="1"/>
  <c r="M66" i="1"/>
  <c r="J66" i="1"/>
  <c r="I66" i="1"/>
  <c r="F66" i="1"/>
  <c r="G66" i="1" s="1"/>
  <c r="E66" i="1"/>
  <c r="BN65" i="1"/>
  <c r="BL65" i="1"/>
  <c r="BJ65" i="1"/>
  <c r="BM65" i="1" s="1"/>
  <c r="BI65" i="1"/>
  <c r="BF65" i="1"/>
  <c r="BG65" i="1" s="1"/>
  <c r="BE65" i="1"/>
  <c r="BC65" i="1"/>
  <c r="BB65" i="1"/>
  <c r="BA65" i="1"/>
  <c r="AX65" i="1"/>
  <c r="AY65" i="1" s="1"/>
  <c r="AW65" i="1"/>
  <c r="AT65" i="1"/>
  <c r="AU65" i="1" s="1"/>
  <c r="AS65" i="1"/>
  <c r="AP65" i="1"/>
  <c r="AQ65" i="1" s="1"/>
  <c r="AO65" i="1"/>
  <c r="AM65" i="1"/>
  <c r="AL65" i="1"/>
  <c r="AK65" i="1"/>
  <c r="AH65" i="1"/>
  <c r="AI65" i="1" s="1"/>
  <c r="AF65" i="1"/>
  <c r="AG65" i="1" s="1"/>
  <c r="AD65" i="1"/>
  <c r="AC65" i="1"/>
  <c r="Z65" i="1"/>
  <c r="AA65" i="1" s="1"/>
  <c r="Y65" i="1"/>
  <c r="V65" i="1"/>
  <c r="W65" i="1" s="1"/>
  <c r="U65" i="1"/>
  <c r="S65" i="1"/>
  <c r="R65" i="1"/>
  <c r="Q65" i="1"/>
  <c r="N65" i="1"/>
  <c r="O65" i="1" s="1"/>
  <c r="M65" i="1"/>
  <c r="J65" i="1"/>
  <c r="K65" i="1" s="1"/>
  <c r="I65" i="1"/>
  <c r="F65" i="1"/>
  <c r="G65" i="1" s="1"/>
  <c r="E65" i="1"/>
  <c r="BN64" i="1"/>
  <c r="BL64" i="1"/>
  <c r="BJ64" i="1"/>
  <c r="BI64" i="1"/>
  <c r="BF64" i="1"/>
  <c r="BG64" i="1" s="1"/>
  <c r="BE64" i="1"/>
  <c r="BC64" i="1"/>
  <c r="BB64" i="1"/>
  <c r="BA64" i="1"/>
  <c r="AX64" i="1"/>
  <c r="AY64" i="1" s="1"/>
  <c r="AW64" i="1"/>
  <c r="AT64" i="1"/>
  <c r="AU64" i="1" s="1"/>
  <c r="AS64" i="1"/>
  <c r="AP64" i="1"/>
  <c r="AO64" i="1"/>
  <c r="AM64" i="1"/>
  <c r="AL64" i="1"/>
  <c r="AK64" i="1"/>
  <c r="AH64" i="1"/>
  <c r="AI64" i="1" s="1"/>
  <c r="AF64" i="1"/>
  <c r="AG64" i="1" s="1"/>
  <c r="AD64" i="1"/>
  <c r="AC64" i="1"/>
  <c r="Z64" i="1"/>
  <c r="AA64" i="1" s="1"/>
  <c r="Y64" i="1"/>
  <c r="V64" i="1"/>
  <c r="U64" i="1"/>
  <c r="S64" i="1"/>
  <c r="R64" i="1"/>
  <c r="Q64" i="1"/>
  <c r="N64" i="1"/>
  <c r="O64" i="1" s="1"/>
  <c r="M64" i="1"/>
  <c r="J64" i="1"/>
  <c r="I64" i="1"/>
  <c r="F64" i="1"/>
  <c r="G64" i="1" s="1"/>
  <c r="E64" i="1"/>
  <c r="BN63" i="1"/>
  <c r="BL63" i="1"/>
  <c r="BJ63" i="1"/>
  <c r="BM63" i="1" s="1"/>
  <c r="BI63" i="1"/>
  <c r="BF63" i="1"/>
  <c r="BE63" i="1"/>
  <c r="BC63" i="1"/>
  <c r="BB63" i="1"/>
  <c r="BA63" i="1"/>
  <c r="AX63" i="1"/>
  <c r="AY63" i="1" s="1"/>
  <c r="AW63" i="1"/>
  <c r="AT63" i="1"/>
  <c r="AS63" i="1"/>
  <c r="AP63" i="1"/>
  <c r="AQ63" i="1" s="1"/>
  <c r="AO63" i="1"/>
  <c r="AM63" i="1"/>
  <c r="AL63" i="1"/>
  <c r="AK63" i="1"/>
  <c r="AI63" i="1"/>
  <c r="AH63" i="1"/>
  <c r="AF63" i="1"/>
  <c r="AG63" i="1" s="1"/>
  <c r="AD63" i="1"/>
  <c r="AE63" i="1" s="1"/>
  <c r="AC63" i="1"/>
  <c r="Z63" i="1"/>
  <c r="Y63" i="1"/>
  <c r="V63" i="1"/>
  <c r="W63" i="1" s="1"/>
  <c r="U63" i="1"/>
  <c r="S63" i="1"/>
  <c r="R63" i="1"/>
  <c r="Q63" i="1"/>
  <c r="N63" i="1"/>
  <c r="O63" i="1" s="1"/>
  <c r="M63" i="1"/>
  <c r="J63" i="1"/>
  <c r="K63" i="1" s="1"/>
  <c r="I63" i="1"/>
  <c r="F63" i="1"/>
  <c r="E63" i="1"/>
  <c r="BN62" i="1"/>
  <c r="BL62" i="1"/>
  <c r="BJ62" i="1"/>
  <c r="BI62" i="1"/>
  <c r="BF62" i="1"/>
  <c r="BG62" i="1" s="1"/>
  <c r="BE62" i="1"/>
  <c r="BC62" i="1"/>
  <c r="BB62" i="1"/>
  <c r="BA62" i="1"/>
  <c r="AX62" i="1"/>
  <c r="AY62" i="1" s="1"/>
  <c r="AW62" i="1"/>
  <c r="AT62" i="1"/>
  <c r="AU62" i="1" s="1"/>
  <c r="AS62" i="1"/>
  <c r="AP62" i="1"/>
  <c r="AO62" i="1"/>
  <c r="AM62" i="1"/>
  <c r="AL62" i="1"/>
  <c r="AK62" i="1"/>
  <c r="AH62" i="1"/>
  <c r="AI62" i="1" s="1"/>
  <c r="AG62" i="1"/>
  <c r="AD62" i="1"/>
  <c r="AC62" i="1"/>
  <c r="Z62" i="1"/>
  <c r="AA62" i="1" s="1"/>
  <c r="Y62" i="1"/>
  <c r="W62" i="1"/>
  <c r="V62" i="1"/>
  <c r="U62" i="1"/>
  <c r="R62" i="1"/>
  <c r="S62" i="1" s="1"/>
  <c r="Q62" i="1"/>
  <c r="N62" i="1"/>
  <c r="O62" i="1" s="1"/>
  <c r="M62" i="1"/>
  <c r="J62" i="1"/>
  <c r="I62" i="1"/>
  <c r="G62" i="1"/>
  <c r="F62" i="1"/>
  <c r="E62" i="1"/>
  <c r="BN61" i="1"/>
  <c r="BM61" i="1"/>
  <c r="BL61" i="1"/>
  <c r="BJ61" i="1"/>
  <c r="BI61" i="1"/>
  <c r="BG61" i="1"/>
  <c r="BF61" i="1"/>
  <c r="BE61" i="1"/>
  <c r="BB61" i="1"/>
  <c r="BC61" i="1" s="1"/>
  <c r="BA61" i="1"/>
  <c r="AX61" i="1"/>
  <c r="AW61" i="1"/>
  <c r="AT61" i="1"/>
  <c r="AU61" i="1" s="1"/>
  <c r="AS61" i="1"/>
  <c r="AQ61" i="1"/>
  <c r="AP61" i="1"/>
  <c r="AO61" i="1"/>
  <c r="AL61" i="1"/>
  <c r="AM61" i="1" s="1"/>
  <c r="AK61" i="1"/>
  <c r="AH61" i="1"/>
  <c r="AI61" i="1" s="1"/>
  <c r="AG61" i="1"/>
  <c r="AD61" i="1"/>
  <c r="AC61" i="1"/>
  <c r="AA61" i="1"/>
  <c r="Z61" i="1"/>
  <c r="Y61" i="1"/>
  <c r="V61" i="1"/>
  <c r="W61" i="1" s="1"/>
  <c r="U61" i="1"/>
  <c r="R61" i="1"/>
  <c r="Q61" i="1"/>
  <c r="N61" i="1"/>
  <c r="O61" i="1" s="1"/>
  <c r="M61" i="1"/>
  <c r="K61" i="1"/>
  <c r="J61" i="1"/>
  <c r="I61" i="1"/>
  <c r="G61" i="1"/>
  <c r="F61" i="1"/>
  <c r="E61" i="1"/>
  <c r="BN60" i="1"/>
  <c r="BM60" i="1"/>
  <c r="BL60" i="1"/>
  <c r="BJ60" i="1"/>
  <c r="BI60" i="1"/>
  <c r="BG60" i="1"/>
  <c r="BF60" i="1"/>
  <c r="BE60" i="1"/>
  <c r="BB60" i="1"/>
  <c r="BC60" i="1" s="1"/>
  <c r="BA60" i="1"/>
  <c r="AX60" i="1"/>
  <c r="AW60" i="1"/>
  <c r="AU60" i="1"/>
  <c r="AT60" i="1"/>
  <c r="AS60" i="1"/>
  <c r="AP60" i="1"/>
  <c r="AQ60" i="1" s="1"/>
  <c r="AO60" i="1"/>
  <c r="AL60" i="1"/>
  <c r="AK60" i="1"/>
  <c r="AH60" i="1"/>
  <c r="AI60" i="1" s="1"/>
  <c r="AG60" i="1"/>
  <c r="AE60" i="1"/>
  <c r="AD60" i="1"/>
  <c r="AC60" i="1"/>
  <c r="Z60" i="1"/>
  <c r="AA60" i="1" s="1"/>
  <c r="Y60" i="1"/>
  <c r="V60" i="1"/>
  <c r="W60" i="1" s="1"/>
  <c r="U60" i="1"/>
  <c r="R60" i="1"/>
  <c r="Q60" i="1"/>
  <c r="O60" i="1"/>
  <c r="N60" i="1"/>
  <c r="M60" i="1"/>
  <c r="J60" i="1"/>
  <c r="K60" i="1" s="1"/>
  <c r="I60" i="1"/>
  <c r="F60" i="1"/>
  <c r="E60" i="1"/>
  <c r="BN59" i="1"/>
  <c r="BL59" i="1"/>
  <c r="BJ59" i="1"/>
  <c r="BM59" i="1" s="1"/>
  <c r="BI59" i="1"/>
  <c r="BF59" i="1"/>
  <c r="BG59" i="1" s="1"/>
  <c r="BE59" i="1"/>
  <c r="BB59" i="1"/>
  <c r="BA59" i="1"/>
  <c r="AY59" i="1"/>
  <c r="AX59" i="1"/>
  <c r="AW59" i="1"/>
  <c r="AT59" i="1"/>
  <c r="AU59" i="1" s="1"/>
  <c r="AS59" i="1"/>
  <c r="AP59" i="1"/>
  <c r="AO59" i="1"/>
  <c r="AL59" i="1"/>
  <c r="AM59" i="1" s="1"/>
  <c r="AK59" i="1"/>
  <c r="AI59" i="1"/>
  <c r="AH59" i="1"/>
  <c r="AG59" i="1"/>
  <c r="AE59" i="1"/>
  <c r="AD59" i="1"/>
  <c r="AC59" i="1"/>
  <c r="Z59" i="1"/>
  <c r="AA59" i="1" s="1"/>
  <c r="Y59" i="1"/>
  <c r="V59" i="1"/>
  <c r="U59" i="1"/>
  <c r="S59" i="1"/>
  <c r="R59" i="1"/>
  <c r="Q59" i="1"/>
  <c r="N59" i="1"/>
  <c r="O59" i="1" s="1"/>
  <c r="M59" i="1"/>
  <c r="J59" i="1"/>
  <c r="I59" i="1"/>
  <c r="F59" i="1"/>
  <c r="G59" i="1" s="1"/>
  <c r="E59" i="1"/>
  <c r="BN58" i="1"/>
  <c r="BL58" i="1"/>
  <c r="BJ58" i="1"/>
  <c r="BM58" i="1" s="1"/>
  <c r="BI58" i="1"/>
  <c r="BF58" i="1"/>
  <c r="BE58" i="1"/>
  <c r="BC58" i="1"/>
  <c r="BB58" i="1"/>
  <c r="BA58" i="1"/>
  <c r="AX58" i="1"/>
  <c r="AY58" i="1" s="1"/>
  <c r="AW58" i="1"/>
  <c r="AT58" i="1"/>
  <c r="AS58" i="1"/>
  <c r="AP58" i="1"/>
  <c r="AQ58" i="1" s="1"/>
  <c r="AO58" i="1"/>
  <c r="AM58" i="1"/>
  <c r="AL58" i="1"/>
  <c r="AK58" i="1"/>
  <c r="AI58" i="1"/>
  <c r="AH58" i="1"/>
  <c r="AG58" i="1"/>
  <c r="AD58" i="1"/>
  <c r="AE58" i="1" s="1"/>
  <c r="AC58" i="1"/>
  <c r="Z58" i="1"/>
  <c r="Y58" i="1"/>
  <c r="W58" i="1"/>
  <c r="V58" i="1"/>
  <c r="U58" i="1"/>
  <c r="R58" i="1"/>
  <c r="S58" i="1" s="1"/>
  <c r="Q58" i="1"/>
  <c r="N58" i="1"/>
  <c r="M58" i="1"/>
  <c r="J58" i="1"/>
  <c r="K58" i="1" s="1"/>
  <c r="I58" i="1"/>
  <c r="G58" i="1"/>
  <c r="F58" i="1"/>
  <c r="E58" i="1"/>
  <c r="BN57" i="1"/>
  <c r="BM57" i="1" s="1"/>
  <c r="BL57" i="1"/>
  <c r="BJ57" i="1"/>
  <c r="BI57" i="1"/>
  <c r="BG57" i="1"/>
  <c r="BF57" i="1"/>
  <c r="BE57" i="1"/>
  <c r="BC57" i="1"/>
  <c r="BB57" i="1"/>
  <c r="BA57" i="1"/>
  <c r="AX57" i="1"/>
  <c r="AY57" i="1" s="1"/>
  <c r="AW57" i="1"/>
  <c r="AT57" i="1"/>
  <c r="AS57" i="1"/>
  <c r="AQ57" i="1"/>
  <c r="AP57" i="1"/>
  <c r="AO57" i="1"/>
  <c r="AL57" i="1"/>
  <c r="AM57" i="1" s="1"/>
  <c r="AK57" i="1"/>
  <c r="AH57" i="1"/>
  <c r="AG57" i="1"/>
  <c r="AF57" i="1"/>
  <c r="AD57" i="1"/>
  <c r="AE57" i="1" s="1"/>
  <c r="AC57" i="1"/>
  <c r="AB57" i="1"/>
  <c r="Z57" i="1"/>
  <c r="AA57" i="1" s="1"/>
  <c r="Y57" i="1"/>
  <c r="X57" i="1"/>
  <c r="V57" i="1"/>
  <c r="W57" i="1" s="1"/>
  <c r="U57" i="1"/>
  <c r="T57" i="1"/>
  <c r="R57" i="1"/>
  <c r="Q57" i="1"/>
  <c r="P57" i="1"/>
  <c r="N57" i="1"/>
  <c r="O57" i="1" s="1"/>
  <c r="M57" i="1"/>
  <c r="L57" i="1"/>
  <c r="J57" i="1"/>
  <c r="K57" i="1" s="1"/>
  <c r="I57" i="1"/>
  <c r="H57" i="1"/>
  <c r="F57" i="1"/>
  <c r="E57" i="1"/>
  <c r="D57" i="1"/>
  <c r="BN56" i="1"/>
  <c r="BM56" i="1"/>
  <c r="BL56" i="1"/>
  <c r="BJ56" i="1"/>
  <c r="BI56" i="1"/>
  <c r="BF56" i="1"/>
  <c r="BG56" i="1" s="1"/>
  <c r="BE56" i="1"/>
  <c r="BB56" i="1"/>
  <c r="BA56" i="1"/>
  <c r="AX56" i="1"/>
  <c r="AY56" i="1" s="1"/>
  <c r="AW56" i="1"/>
  <c r="AU56" i="1"/>
  <c r="AT56" i="1"/>
  <c r="AS56" i="1"/>
  <c r="AQ56" i="1"/>
  <c r="AP56" i="1"/>
  <c r="AO56" i="1"/>
  <c r="AL56" i="1"/>
  <c r="AM56" i="1" s="1"/>
  <c r="AK56" i="1"/>
  <c r="AH56" i="1"/>
  <c r="AF56" i="1"/>
  <c r="AG56" i="1" s="1"/>
  <c r="AD56" i="1"/>
  <c r="AE56" i="1" s="1"/>
  <c r="AB56" i="1"/>
  <c r="AC56" i="1" s="1"/>
  <c r="Z56" i="1"/>
  <c r="AA56" i="1" s="1"/>
  <c r="Y56" i="1"/>
  <c r="X56" i="1"/>
  <c r="V56" i="1"/>
  <c r="W56" i="1" s="1"/>
  <c r="U56" i="1"/>
  <c r="T56" i="1"/>
  <c r="R56" i="1"/>
  <c r="S56" i="1" s="1"/>
  <c r="P56" i="1"/>
  <c r="Q56" i="1" s="1"/>
  <c r="N56" i="1"/>
  <c r="O56" i="1" s="1"/>
  <c r="L56" i="1"/>
  <c r="M56" i="1" s="1"/>
  <c r="J56" i="1"/>
  <c r="K56" i="1" s="1"/>
  <c r="I56" i="1"/>
  <c r="H56" i="1"/>
  <c r="F56" i="1"/>
  <c r="G56" i="1" s="1"/>
  <c r="E56" i="1"/>
  <c r="D56" i="1"/>
  <c r="BN55" i="1"/>
  <c r="BL55" i="1"/>
  <c r="BJ55" i="1"/>
  <c r="BM55" i="1" s="1"/>
  <c r="BI55" i="1"/>
  <c r="BF55" i="1"/>
  <c r="BE55" i="1"/>
  <c r="BB55" i="1"/>
  <c r="BC55" i="1" s="1"/>
  <c r="BA55" i="1"/>
  <c r="AY55" i="1"/>
  <c r="AX55" i="1"/>
  <c r="AW55" i="1"/>
  <c r="AU55" i="1"/>
  <c r="AT55" i="1"/>
  <c r="AS55" i="1"/>
  <c r="AP55" i="1"/>
  <c r="AQ55" i="1" s="1"/>
  <c r="AO55" i="1"/>
  <c r="AL55" i="1"/>
  <c r="AK55" i="1"/>
  <c r="AI55" i="1"/>
  <c r="AH55" i="1"/>
  <c r="AF55" i="1"/>
  <c r="AG55" i="1" s="1"/>
  <c r="AE55" i="1"/>
  <c r="AD55" i="1"/>
  <c r="AB55" i="1"/>
  <c r="AC55" i="1" s="1"/>
  <c r="AA55" i="1"/>
  <c r="Z55" i="1"/>
  <c r="X55" i="1"/>
  <c r="Y55" i="1" s="1"/>
  <c r="W55" i="1"/>
  <c r="V55" i="1"/>
  <c r="T55" i="1"/>
  <c r="U55" i="1" s="1"/>
  <c r="S55" i="1"/>
  <c r="R55" i="1"/>
  <c r="P55" i="1"/>
  <c r="Q55" i="1" s="1"/>
  <c r="O55" i="1"/>
  <c r="N55" i="1"/>
  <c r="L55" i="1"/>
  <c r="M55" i="1" s="1"/>
  <c r="K55" i="1"/>
  <c r="J55" i="1"/>
  <c r="H55" i="1"/>
  <c r="I55" i="1" s="1"/>
  <c r="G55" i="1"/>
  <c r="F55" i="1"/>
  <c r="D55" i="1"/>
  <c r="E55" i="1" s="1"/>
  <c r="BN54" i="1"/>
  <c r="BL54" i="1"/>
  <c r="BJ54" i="1"/>
  <c r="BI54" i="1"/>
  <c r="BF54" i="1"/>
  <c r="BG54" i="1" s="1"/>
  <c r="BE54" i="1"/>
  <c r="BC54" i="1"/>
  <c r="BB54" i="1"/>
  <c r="BA54" i="1"/>
  <c r="AY54" i="1"/>
  <c r="AX54" i="1"/>
  <c r="AW54" i="1"/>
  <c r="AT54" i="1"/>
  <c r="AU54" i="1" s="1"/>
  <c r="AS54" i="1"/>
  <c r="AP54" i="1"/>
  <c r="AO54" i="1"/>
  <c r="AM54" i="1"/>
  <c r="AL54" i="1"/>
  <c r="AK54" i="1"/>
  <c r="AH54" i="1"/>
  <c r="AI54" i="1" s="1"/>
  <c r="AG54" i="1"/>
  <c r="AD54" i="1"/>
  <c r="AC54" i="1"/>
  <c r="Z54" i="1"/>
  <c r="AA54" i="1" s="1"/>
  <c r="Y54" i="1"/>
  <c r="W54" i="1"/>
  <c r="V54" i="1"/>
  <c r="U54" i="1"/>
  <c r="S54" i="1"/>
  <c r="R54" i="1"/>
  <c r="Q54" i="1"/>
  <c r="N54" i="1"/>
  <c r="O54" i="1" s="1"/>
  <c r="M54" i="1"/>
  <c r="J54" i="1"/>
  <c r="I54" i="1"/>
  <c r="G54" i="1"/>
  <c r="F54" i="1"/>
  <c r="E54" i="1"/>
  <c r="BN53" i="1"/>
  <c r="BM53" i="1"/>
  <c r="BL53" i="1"/>
  <c r="BJ53" i="1"/>
  <c r="BI53" i="1"/>
  <c r="BG53" i="1"/>
  <c r="BF53" i="1"/>
  <c r="BE53" i="1"/>
  <c r="BB53" i="1"/>
  <c r="BC53" i="1" s="1"/>
  <c r="BA53" i="1"/>
  <c r="AX53" i="1"/>
  <c r="AW53" i="1"/>
  <c r="AT53" i="1"/>
  <c r="AU53" i="1" s="1"/>
  <c r="AS53" i="1"/>
  <c r="AQ53" i="1"/>
  <c r="AP53" i="1"/>
  <c r="AO53" i="1"/>
  <c r="AM53" i="1"/>
  <c r="AL53" i="1"/>
  <c r="AK53" i="1"/>
  <c r="AH53" i="1"/>
  <c r="AI53" i="1" s="1"/>
  <c r="AG53" i="1"/>
  <c r="AF53" i="1"/>
  <c r="AD53" i="1"/>
  <c r="AC53" i="1"/>
  <c r="AB53" i="1"/>
  <c r="Z53" i="1"/>
  <c r="Y53" i="1"/>
  <c r="V53" i="1"/>
  <c r="W53" i="1" s="1"/>
  <c r="U53" i="1"/>
  <c r="S53" i="1"/>
  <c r="R53" i="1"/>
  <c r="Q53" i="1"/>
  <c r="O53" i="1"/>
  <c r="N53" i="1"/>
  <c r="M53" i="1"/>
  <c r="J53" i="1"/>
  <c r="K53" i="1" s="1"/>
  <c r="I53" i="1"/>
  <c r="F53" i="1"/>
  <c r="E53" i="1"/>
  <c r="BN52" i="1"/>
  <c r="BL52" i="1"/>
  <c r="BJ52" i="1"/>
  <c r="BI52" i="1"/>
  <c r="BF52" i="1"/>
  <c r="BG52" i="1" s="1"/>
  <c r="BE52" i="1"/>
  <c r="BC52" i="1"/>
  <c r="BB52" i="1"/>
  <c r="BA52" i="1"/>
  <c r="AY52" i="1"/>
  <c r="AX52" i="1"/>
  <c r="AW52" i="1"/>
  <c r="AT52" i="1"/>
  <c r="AS52" i="1"/>
  <c r="AP52" i="1"/>
  <c r="AO52" i="1"/>
  <c r="AM52" i="1"/>
  <c r="AL52" i="1"/>
  <c r="AK52" i="1"/>
  <c r="AI52" i="1"/>
  <c r="AH52" i="1"/>
  <c r="AG52" i="1"/>
  <c r="AF52" i="1"/>
  <c r="AD52" i="1"/>
  <c r="AE52" i="1" s="1"/>
  <c r="AB52" i="1"/>
  <c r="AC52" i="1" s="1"/>
  <c r="Z52" i="1"/>
  <c r="AA52" i="1" s="1"/>
  <c r="Y52" i="1"/>
  <c r="V52" i="1"/>
  <c r="W52" i="1" s="1"/>
  <c r="U52" i="1"/>
  <c r="R52" i="1"/>
  <c r="Q52" i="1"/>
  <c r="O52" i="1"/>
  <c r="N52" i="1"/>
  <c r="M52" i="1"/>
  <c r="J52" i="1"/>
  <c r="K52" i="1" s="1"/>
  <c r="I52" i="1"/>
  <c r="F52" i="1"/>
  <c r="E52" i="1"/>
  <c r="BN51" i="1"/>
  <c r="BL51" i="1"/>
  <c r="BJ51" i="1"/>
  <c r="BM51" i="1" s="1"/>
  <c r="BI51" i="1"/>
  <c r="BG51" i="1"/>
  <c r="BF51" i="1"/>
  <c r="BE51" i="1"/>
  <c r="BC51" i="1"/>
  <c r="BB51" i="1"/>
  <c r="BA51" i="1"/>
  <c r="AX51" i="1"/>
  <c r="AY51" i="1" s="1"/>
  <c r="AW51" i="1"/>
  <c r="AT51" i="1"/>
  <c r="AQ51" i="1" s="1"/>
  <c r="AS51" i="1"/>
  <c r="AP51" i="1"/>
  <c r="AO51" i="1"/>
  <c r="AL51" i="1"/>
  <c r="AM51" i="1" s="1"/>
  <c r="AK51" i="1"/>
  <c r="AH51" i="1"/>
  <c r="AI51" i="1" s="1"/>
  <c r="AG51" i="1"/>
  <c r="AF51" i="1"/>
  <c r="AD51" i="1"/>
  <c r="AE51" i="1" s="1"/>
  <c r="AC51" i="1"/>
  <c r="AB51" i="1"/>
  <c r="Z51" i="1"/>
  <c r="AA51" i="1" s="1"/>
  <c r="Y51" i="1"/>
  <c r="V51" i="1"/>
  <c r="W51" i="1" s="1"/>
  <c r="U51" i="1"/>
  <c r="S51" i="1"/>
  <c r="R51" i="1"/>
  <c r="Q51" i="1"/>
  <c r="O51" i="1"/>
  <c r="N51" i="1"/>
  <c r="M51" i="1"/>
  <c r="J51" i="1"/>
  <c r="K51" i="1" s="1"/>
  <c r="I51" i="1"/>
  <c r="F51" i="1"/>
  <c r="G51" i="1" s="1"/>
  <c r="E51" i="1"/>
  <c r="BN50" i="1"/>
  <c r="BL50" i="1"/>
  <c r="BJ50" i="1"/>
  <c r="BM50" i="1" s="1"/>
  <c r="BI50" i="1"/>
  <c r="BF50" i="1"/>
  <c r="BC50" i="1" s="1"/>
  <c r="BE50" i="1"/>
  <c r="BB50" i="1"/>
  <c r="BA50" i="1"/>
  <c r="AX50" i="1"/>
  <c r="AY50" i="1" s="1"/>
  <c r="AW50" i="1"/>
  <c r="AT50" i="1"/>
  <c r="AU50" i="1" s="1"/>
  <c r="AS50" i="1"/>
  <c r="AP50" i="1"/>
  <c r="AQ50" i="1" s="1"/>
  <c r="AO50" i="1"/>
  <c r="AM50" i="1"/>
  <c r="AL50" i="1"/>
  <c r="AK50" i="1"/>
  <c r="AI50" i="1"/>
  <c r="AH50" i="1"/>
  <c r="AG50" i="1"/>
  <c r="AD50" i="1"/>
  <c r="AE50" i="1" s="1"/>
  <c r="AC50" i="1"/>
  <c r="Z50" i="1"/>
  <c r="W50" i="1" s="1"/>
  <c r="Y50" i="1"/>
  <c r="V50" i="1"/>
  <c r="U50" i="1"/>
  <c r="R50" i="1"/>
  <c r="S50" i="1" s="1"/>
  <c r="Q50" i="1"/>
  <c r="N50" i="1"/>
  <c r="O50" i="1" s="1"/>
  <c r="M50" i="1"/>
  <c r="J50" i="1"/>
  <c r="K50" i="1" s="1"/>
  <c r="I50" i="1"/>
  <c r="G50" i="1"/>
  <c r="F50" i="1"/>
  <c r="E50" i="1"/>
  <c r="BN49" i="1"/>
  <c r="BL49" i="1"/>
  <c r="BJ49" i="1"/>
  <c r="BM49" i="1" s="1"/>
  <c r="BI49" i="1"/>
  <c r="BG49" i="1"/>
  <c r="BF49" i="1"/>
  <c r="BE49" i="1"/>
  <c r="BC49" i="1"/>
  <c r="BB49" i="1"/>
  <c r="BA49" i="1"/>
  <c r="AX49" i="1"/>
  <c r="AY49" i="1" s="1"/>
  <c r="AW49" i="1"/>
  <c r="AT49" i="1"/>
  <c r="AQ49" i="1" s="1"/>
  <c r="AS49" i="1"/>
  <c r="AP49" i="1"/>
  <c r="AO49" i="1"/>
  <c r="AL49" i="1"/>
  <c r="AM49" i="1" s="1"/>
  <c r="AK49" i="1"/>
  <c r="AH49" i="1"/>
  <c r="AG49" i="1"/>
  <c r="AD49" i="1"/>
  <c r="AE49" i="1" s="1"/>
  <c r="AC49" i="1"/>
  <c r="AA49" i="1"/>
  <c r="Z49" i="1"/>
  <c r="Y49" i="1"/>
  <c r="W49" i="1"/>
  <c r="V49" i="1"/>
  <c r="U49" i="1"/>
  <c r="R49" i="1"/>
  <c r="S49" i="1" s="1"/>
  <c r="Q49" i="1"/>
  <c r="N49" i="1"/>
  <c r="K49" i="1" s="1"/>
  <c r="M49" i="1"/>
  <c r="J49" i="1"/>
  <c r="I49" i="1"/>
  <c r="F49" i="1"/>
  <c r="G49" i="1" s="1"/>
  <c r="D49" i="1"/>
  <c r="E49" i="1" s="1"/>
  <c r="BN48" i="1"/>
  <c r="BL48" i="1"/>
  <c r="BJ48" i="1"/>
  <c r="BM48" i="1" s="1"/>
  <c r="BI48" i="1"/>
  <c r="BG48" i="1"/>
  <c r="BF48" i="1"/>
  <c r="BE48" i="1"/>
  <c r="BC48" i="1"/>
  <c r="BB48" i="1"/>
  <c r="BA48" i="1"/>
  <c r="AX48" i="1"/>
  <c r="AY48" i="1" s="1"/>
  <c r="AW48" i="1"/>
  <c r="AT48" i="1"/>
  <c r="AQ48" i="1" s="1"/>
  <c r="AS48" i="1"/>
  <c r="AP48" i="1"/>
  <c r="AO48" i="1"/>
  <c r="AL48" i="1"/>
  <c r="AM48" i="1" s="1"/>
  <c r="AK48" i="1"/>
  <c r="AH48" i="1"/>
  <c r="AG48" i="1"/>
  <c r="AD48" i="1"/>
  <c r="AE48" i="1" s="1"/>
  <c r="AC48" i="1"/>
  <c r="AA48" i="1"/>
  <c r="Z48" i="1"/>
  <c r="Y48" i="1"/>
  <c r="W48" i="1"/>
  <c r="V48" i="1"/>
  <c r="U48" i="1"/>
  <c r="R48" i="1"/>
  <c r="S48" i="1" s="1"/>
  <c r="Q48" i="1"/>
  <c r="N48" i="1"/>
  <c r="K48" i="1" s="1"/>
  <c r="M48" i="1"/>
  <c r="J48" i="1"/>
  <c r="I48" i="1"/>
  <c r="F48" i="1"/>
  <c r="G48" i="1" s="1"/>
  <c r="D48" i="1"/>
  <c r="E48" i="1" s="1"/>
  <c r="BN47" i="1"/>
  <c r="BL47" i="1"/>
  <c r="BJ47" i="1"/>
  <c r="BM47" i="1" s="1"/>
  <c r="BI47" i="1"/>
  <c r="BG47" i="1"/>
  <c r="BF47" i="1"/>
  <c r="BE47" i="1"/>
  <c r="BC47" i="1"/>
  <c r="BB47" i="1"/>
  <c r="BA47" i="1"/>
  <c r="AX47" i="1"/>
  <c r="AY47" i="1" s="1"/>
  <c r="AW47" i="1"/>
  <c r="AT47" i="1"/>
  <c r="AQ47" i="1" s="1"/>
  <c r="AS47" i="1"/>
  <c r="AP47" i="1"/>
  <c r="AO47" i="1"/>
  <c r="AL47" i="1"/>
  <c r="AM47" i="1" s="1"/>
  <c r="AK47" i="1"/>
  <c r="AH47" i="1"/>
  <c r="AI47" i="1" s="1"/>
  <c r="AG47" i="1"/>
  <c r="AD47" i="1"/>
  <c r="AE47" i="1" s="1"/>
  <c r="AC47" i="1"/>
  <c r="AA47" i="1"/>
  <c r="Z47" i="1"/>
  <c r="Y47" i="1"/>
  <c r="W47" i="1"/>
  <c r="V47" i="1"/>
  <c r="U47" i="1"/>
  <c r="R47" i="1"/>
  <c r="S47" i="1" s="1"/>
  <c r="Q47" i="1"/>
  <c r="N47" i="1"/>
  <c r="K47" i="1" s="1"/>
  <c r="M47" i="1"/>
  <c r="J47" i="1"/>
  <c r="I47" i="1"/>
  <c r="F47" i="1"/>
  <c r="G47" i="1" s="1"/>
  <c r="D47" i="1"/>
  <c r="E47" i="1" s="1"/>
  <c r="BN46" i="1"/>
  <c r="BL46" i="1"/>
  <c r="BJ46" i="1"/>
  <c r="BM46" i="1" s="1"/>
  <c r="BI46" i="1"/>
  <c r="BG46" i="1"/>
  <c r="BF46" i="1"/>
  <c r="BE46" i="1"/>
  <c r="BC46" i="1"/>
  <c r="BB46" i="1"/>
  <c r="BA46" i="1"/>
  <c r="AX46" i="1"/>
  <c r="AY46" i="1" s="1"/>
  <c r="AW46" i="1"/>
  <c r="AT46" i="1"/>
  <c r="AU46" i="1" s="1"/>
  <c r="AS46" i="1"/>
  <c r="AP46" i="1"/>
  <c r="AQ46" i="1" s="1"/>
  <c r="AO46" i="1"/>
  <c r="AL46" i="1"/>
  <c r="AM46" i="1" s="1"/>
  <c r="AK46" i="1"/>
  <c r="AH46" i="1"/>
  <c r="AG46" i="1"/>
  <c r="AD46" i="1"/>
  <c r="AE46" i="1" s="1"/>
  <c r="AC46" i="1"/>
  <c r="AA46" i="1"/>
  <c r="Z46" i="1"/>
  <c r="Y46" i="1"/>
  <c r="W46" i="1"/>
  <c r="V46" i="1"/>
  <c r="U46" i="1"/>
  <c r="R46" i="1"/>
  <c r="S46" i="1" s="1"/>
  <c r="Q46" i="1"/>
  <c r="N46" i="1"/>
  <c r="K46" i="1" s="1"/>
  <c r="M46" i="1"/>
  <c r="J46" i="1"/>
  <c r="I46" i="1"/>
  <c r="F46" i="1"/>
  <c r="G46" i="1" s="1"/>
  <c r="E46" i="1"/>
  <c r="BN45" i="1"/>
  <c r="BM45" i="1" s="1"/>
  <c r="BL45" i="1"/>
  <c r="BK45" i="1"/>
  <c r="BJ45" i="1"/>
  <c r="BH45" i="1"/>
  <c r="BI45" i="1" s="1"/>
  <c r="BF45" i="1"/>
  <c r="BG45" i="1" s="1"/>
  <c r="BE45" i="1"/>
  <c r="BD45" i="1"/>
  <c r="BB45" i="1"/>
  <c r="BC45" i="1" s="1"/>
  <c r="BA45" i="1"/>
  <c r="AY45" i="1"/>
  <c r="AX45" i="1"/>
  <c r="AW45" i="1"/>
  <c r="AU45" i="1"/>
  <c r="AT45" i="1"/>
  <c r="AS45" i="1"/>
  <c r="AP45" i="1"/>
  <c r="AQ45" i="1" s="1"/>
  <c r="AO45" i="1"/>
  <c r="AL45" i="1"/>
  <c r="AI45" i="1" s="1"/>
  <c r="AK45" i="1"/>
  <c r="AH45" i="1"/>
  <c r="AG45" i="1"/>
  <c r="AD45" i="1"/>
  <c r="AE45" i="1" s="1"/>
  <c r="AC45" i="1"/>
  <c r="Z45" i="1"/>
  <c r="Y45" i="1"/>
  <c r="V45" i="1"/>
  <c r="W45" i="1" s="1"/>
  <c r="U45" i="1"/>
  <c r="S45" i="1"/>
  <c r="R45" i="1"/>
  <c r="Q45" i="1"/>
  <c r="O45" i="1"/>
  <c r="N45" i="1"/>
  <c r="M45" i="1"/>
  <c r="J45" i="1"/>
  <c r="K45" i="1" s="1"/>
  <c r="I45" i="1"/>
  <c r="F45" i="1"/>
  <c r="G45" i="1" s="1"/>
  <c r="E45" i="1"/>
  <c r="D45" i="1"/>
  <c r="BN44" i="1"/>
  <c r="BM44" i="1"/>
  <c r="BK44" i="1"/>
  <c r="BL44" i="1" s="1"/>
  <c r="BJ44" i="1"/>
  <c r="BI44" i="1"/>
  <c r="BH44" i="1"/>
  <c r="BG44" i="1"/>
  <c r="BF44" i="1"/>
  <c r="BD44" i="1"/>
  <c r="BE44" i="1" s="1"/>
  <c r="BC44" i="1"/>
  <c r="BB44" i="1"/>
  <c r="BA44" i="1"/>
  <c r="AY44" i="1"/>
  <c r="AX44" i="1"/>
  <c r="AW44" i="1"/>
  <c r="AT44" i="1"/>
  <c r="AU44" i="1" s="1"/>
  <c r="AS44" i="1"/>
  <c r="AP44" i="1"/>
  <c r="AM44" i="1" s="1"/>
  <c r="AO44" i="1"/>
  <c r="AL44" i="1"/>
  <c r="AK44" i="1"/>
  <c r="AH44" i="1"/>
  <c r="AI44" i="1" s="1"/>
  <c r="AG44" i="1"/>
  <c r="AD44" i="1"/>
  <c r="AC44" i="1"/>
  <c r="Z44" i="1"/>
  <c r="AA44" i="1" s="1"/>
  <c r="Y44" i="1"/>
  <c r="W44" i="1"/>
  <c r="V44" i="1"/>
  <c r="U44" i="1"/>
  <c r="S44" i="1"/>
  <c r="R44" i="1"/>
  <c r="Q44" i="1"/>
  <c r="N44" i="1"/>
  <c r="O44" i="1" s="1"/>
  <c r="M44" i="1"/>
  <c r="J44" i="1"/>
  <c r="G44" i="1" s="1"/>
  <c r="I44" i="1"/>
  <c r="F44" i="1"/>
  <c r="D44" i="1"/>
  <c r="E44" i="1" s="1"/>
  <c r="BN43" i="1"/>
  <c r="BL43" i="1"/>
  <c r="BK43" i="1"/>
  <c r="BJ43" i="1"/>
  <c r="BM43" i="1" s="1"/>
  <c r="BH43" i="1"/>
  <c r="BI43" i="1" s="1"/>
  <c r="BF43" i="1"/>
  <c r="BG43" i="1" s="1"/>
  <c r="BD43" i="1"/>
  <c r="BE43" i="1" s="1"/>
  <c r="BB43" i="1"/>
  <c r="BA43" i="1"/>
  <c r="AX43" i="1"/>
  <c r="AY43" i="1" s="1"/>
  <c r="AW43" i="1"/>
  <c r="AT43" i="1"/>
  <c r="AU43" i="1" s="1"/>
  <c r="AS43" i="1"/>
  <c r="AP43" i="1"/>
  <c r="AQ43" i="1" s="1"/>
  <c r="AO43" i="1"/>
  <c r="AL43" i="1"/>
  <c r="AM43" i="1" s="1"/>
  <c r="AK43" i="1"/>
  <c r="AH43" i="1"/>
  <c r="AG43" i="1"/>
  <c r="AD43" i="1"/>
  <c r="AE43" i="1" s="1"/>
  <c r="AC43" i="1"/>
  <c r="AA43" i="1"/>
  <c r="Z43" i="1"/>
  <c r="Y43" i="1"/>
  <c r="W43" i="1"/>
  <c r="V43" i="1"/>
  <c r="U43" i="1"/>
  <c r="R43" i="1"/>
  <c r="S43" i="1" s="1"/>
  <c r="Q43" i="1"/>
  <c r="N43" i="1"/>
  <c r="K43" i="1" s="1"/>
  <c r="M43" i="1"/>
  <c r="J43" i="1"/>
  <c r="I43" i="1"/>
  <c r="F43" i="1"/>
  <c r="G43" i="1" s="1"/>
  <c r="D43" i="1"/>
  <c r="E43" i="1" s="1"/>
  <c r="BN42" i="1"/>
  <c r="BL42" i="1"/>
  <c r="BJ42" i="1"/>
  <c r="BM42" i="1" s="1"/>
  <c r="BI42" i="1"/>
  <c r="BG42" i="1"/>
  <c r="BF42" i="1"/>
  <c r="BE42" i="1"/>
  <c r="BC42" i="1"/>
  <c r="BB42" i="1"/>
  <c r="BA42" i="1"/>
  <c r="AX42" i="1"/>
  <c r="AY42" i="1" s="1"/>
  <c r="AW42" i="1"/>
  <c r="AT42" i="1"/>
  <c r="AU42" i="1" s="1"/>
  <c r="AS42" i="1"/>
  <c r="AP42" i="1"/>
  <c r="AQ42" i="1" s="1"/>
  <c r="AO42" i="1"/>
  <c r="AL42" i="1"/>
  <c r="AM42" i="1" s="1"/>
  <c r="AK42" i="1"/>
  <c r="AH42" i="1"/>
  <c r="AI42" i="1" s="1"/>
  <c r="AG42" i="1"/>
  <c r="AD42" i="1"/>
  <c r="AE42" i="1" s="1"/>
  <c r="AC42" i="1"/>
  <c r="AA42" i="1"/>
  <c r="Z42" i="1"/>
  <c r="Y42" i="1"/>
  <c r="W42" i="1"/>
  <c r="V42" i="1"/>
  <c r="U42" i="1"/>
  <c r="R42" i="1"/>
  <c r="S42" i="1" s="1"/>
  <c r="Q42" i="1"/>
  <c r="N42" i="1"/>
  <c r="O42" i="1" s="1"/>
  <c r="M42" i="1"/>
  <c r="J42" i="1"/>
  <c r="K42" i="1" s="1"/>
  <c r="I42" i="1"/>
  <c r="F42" i="1"/>
  <c r="G42" i="1" s="1"/>
  <c r="E42" i="1"/>
  <c r="BN41" i="1"/>
  <c r="BM41" i="1" s="1"/>
  <c r="BL41" i="1"/>
  <c r="BJ41" i="1"/>
  <c r="BI41" i="1"/>
  <c r="BF41" i="1"/>
  <c r="BG41" i="1" s="1"/>
  <c r="BE41" i="1"/>
  <c r="BC41" i="1"/>
  <c r="BB41" i="1"/>
  <c r="BA41" i="1"/>
  <c r="AX41" i="1"/>
  <c r="AY41" i="1" s="1"/>
  <c r="AW41" i="1"/>
  <c r="AU41" i="1"/>
  <c r="AT41" i="1"/>
  <c r="AS41" i="1"/>
  <c r="AQ41" i="1"/>
  <c r="AP41" i="1"/>
  <c r="AO41" i="1"/>
  <c r="AM41" i="1"/>
  <c r="AL41" i="1"/>
  <c r="AK41" i="1"/>
  <c r="AH41" i="1"/>
  <c r="AE41" i="1" s="1"/>
  <c r="AG41" i="1"/>
  <c r="AD41" i="1"/>
  <c r="AC41" i="1"/>
  <c r="Z41" i="1"/>
  <c r="AA41" i="1" s="1"/>
  <c r="Y41" i="1"/>
  <c r="W41" i="1"/>
  <c r="V41" i="1"/>
  <c r="U41" i="1"/>
  <c r="R41" i="1"/>
  <c r="S41" i="1" s="1"/>
  <c r="Q41" i="1"/>
  <c r="O41" i="1"/>
  <c r="N41" i="1"/>
  <c r="M41" i="1"/>
  <c r="K41" i="1"/>
  <c r="J41" i="1"/>
  <c r="I41" i="1"/>
  <c r="G41" i="1"/>
  <c r="F41" i="1"/>
  <c r="E41" i="1"/>
  <c r="BN40" i="1"/>
  <c r="BM40" i="1"/>
  <c r="BL40" i="1"/>
  <c r="BJ40" i="1"/>
  <c r="BI40" i="1"/>
  <c r="BG40" i="1"/>
  <c r="BF40" i="1"/>
  <c r="BE40" i="1"/>
  <c r="BB40" i="1"/>
  <c r="AY40" i="1" s="1"/>
  <c r="BA40" i="1"/>
  <c r="AX40" i="1"/>
  <c r="AW40" i="1"/>
  <c r="AT40" i="1"/>
  <c r="AU40" i="1" s="1"/>
  <c r="AS40" i="1"/>
  <c r="AQ40" i="1"/>
  <c r="AP40" i="1"/>
  <c r="AO40" i="1"/>
  <c r="AL40" i="1"/>
  <c r="AM40" i="1" s="1"/>
  <c r="AK40" i="1"/>
  <c r="AI40" i="1"/>
  <c r="AH40" i="1"/>
  <c r="AG40" i="1"/>
  <c r="AE40" i="1"/>
  <c r="AD40" i="1"/>
  <c r="AC40" i="1"/>
  <c r="AA40" i="1"/>
  <c r="Z40" i="1"/>
  <c r="Y40" i="1"/>
  <c r="V40" i="1"/>
  <c r="S40" i="1" s="1"/>
  <c r="U40" i="1"/>
  <c r="R40" i="1"/>
  <c r="Q40" i="1"/>
  <c r="N40" i="1"/>
  <c r="O40" i="1" s="1"/>
  <c r="M40" i="1"/>
  <c r="K40" i="1"/>
  <c r="J40" i="1"/>
  <c r="I40" i="1"/>
  <c r="F40" i="1"/>
  <c r="G40" i="1" s="1"/>
  <c r="E40" i="1"/>
  <c r="BN39" i="1"/>
  <c r="BL39" i="1"/>
  <c r="BJ39" i="1"/>
  <c r="BM39" i="1" s="1"/>
  <c r="BI39" i="1"/>
  <c r="BF39" i="1"/>
  <c r="BG39" i="1" s="1"/>
  <c r="BE39" i="1"/>
  <c r="BC39" i="1"/>
  <c r="BB39" i="1"/>
  <c r="BA39" i="1"/>
  <c r="AY39" i="1"/>
  <c r="AX39" i="1"/>
  <c r="AW39" i="1"/>
  <c r="AU39" i="1"/>
  <c r="AT39" i="1"/>
  <c r="AS39" i="1"/>
  <c r="AP39" i="1"/>
  <c r="AM39" i="1" s="1"/>
  <c r="AO39" i="1"/>
  <c r="AL39" i="1"/>
  <c r="AK39" i="1"/>
  <c r="AH39" i="1"/>
  <c r="AI39" i="1" s="1"/>
  <c r="AG39" i="1"/>
  <c r="AE39" i="1"/>
  <c r="AD39" i="1"/>
  <c r="AC39" i="1"/>
  <c r="Z39" i="1"/>
  <c r="AA39" i="1" s="1"/>
  <c r="Y39" i="1"/>
  <c r="W39" i="1"/>
  <c r="V39" i="1"/>
  <c r="U39" i="1"/>
  <c r="S39" i="1"/>
  <c r="R39" i="1"/>
  <c r="Q39" i="1"/>
  <c r="O39" i="1"/>
  <c r="N39" i="1"/>
  <c r="M39" i="1"/>
  <c r="J39" i="1"/>
  <c r="G39" i="1" s="1"/>
  <c r="I39" i="1"/>
  <c r="F39" i="1"/>
  <c r="E39" i="1"/>
  <c r="BN38" i="1"/>
  <c r="BM38" i="1"/>
  <c r="BL38" i="1"/>
  <c r="BJ38" i="1"/>
  <c r="BG38" i="1" s="1"/>
  <c r="BI38" i="1"/>
  <c r="BF38" i="1"/>
  <c r="BE38" i="1"/>
  <c r="BB38" i="1"/>
  <c r="BC38" i="1" s="1"/>
  <c r="BA38" i="1"/>
  <c r="AX38" i="1"/>
  <c r="AY38" i="1" s="1"/>
  <c r="AW38" i="1"/>
  <c r="AT38" i="1"/>
  <c r="AU38" i="1" s="1"/>
  <c r="AS38" i="1"/>
  <c r="AQ38" i="1"/>
  <c r="AP38" i="1"/>
  <c r="AO38" i="1"/>
  <c r="AM38" i="1"/>
  <c r="AL38" i="1"/>
  <c r="AK38" i="1"/>
  <c r="AI38" i="1"/>
  <c r="AH38" i="1"/>
  <c r="AG38" i="1"/>
  <c r="AD38" i="1"/>
  <c r="AA38" i="1" s="1"/>
  <c r="AC38" i="1"/>
  <c r="Z38" i="1"/>
  <c r="Y38" i="1"/>
  <c r="V38" i="1"/>
  <c r="W38" i="1" s="1"/>
  <c r="U38" i="1"/>
  <c r="R38" i="1"/>
  <c r="S38" i="1" s="1"/>
  <c r="Q38" i="1"/>
  <c r="N38" i="1"/>
  <c r="O38" i="1" s="1"/>
  <c r="M38" i="1"/>
  <c r="K38" i="1"/>
  <c r="J38" i="1"/>
  <c r="I38" i="1"/>
  <c r="G38" i="1"/>
  <c r="F38" i="1"/>
  <c r="E38" i="1"/>
  <c r="BN37" i="1"/>
  <c r="BM37" i="1" s="1"/>
  <c r="BL37" i="1"/>
  <c r="BJ37" i="1"/>
  <c r="BI37" i="1"/>
  <c r="BG37" i="1"/>
  <c r="BF37" i="1"/>
  <c r="BE37" i="1"/>
  <c r="BC37" i="1"/>
  <c r="BB37" i="1"/>
  <c r="BA37" i="1"/>
  <c r="AX37" i="1"/>
  <c r="AU37" i="1" s="1"/>
  <c r="AW37" i="1"/>
  <c r="AT37" i="1"/>
  <c r="AS37" i="1"/>
  <c r="AP37" i="1"/>
  <c r="AQ37" i="1" s="1"/>
  <c r="AO37" i="1"/>
  <c r="AL37" i="1"/>
  <c r="AM37" i="1" s="1"/>
  <c r="AK37" i="1"/>
  <c r="AH37" i="1"/>
  <c r="AI37" i="1" s="1"/>
  <c r="AG37" i="1"/>
  <c r="AE37" i="1"/>
  <c r="AD37" i="1"/>
  <c r="AC37" i="1"/>
  <c r="AA37" i="1"/>
  <c r="Z37" i="1"/>
  <c r="Y37" i="1"/>
  <c r="V37" i="1"/>
  <c r="W37" i="1" s="1"/>
  <c r="U37" i="1"/>
  <c r="R37" i="1"/>
  <c r="O37" i="1" s="1"/>
  <c r="Q37" i="1"/>
  <c r="N37" i="1"/>
  <c r="M37" i="1"/>
  <c r="J37" i="1"/>
  <c r="K37" i="1" s="1"/>
  <c r="I37" i="1"/>
  <c r="F37" i="1"/>
  <c r="G37" i="1" s="1"/>
  <c r="E37" i="1"/>
  <c r="BN36" i="1"/>
  <c r="BL36" i="1"/>
  <c r="BJ36" i="1"/>
  <c r="BM36" i="1" s="1"/>
  <c r="BI36" i="1"/>
  <c r="BF36" i="1"/>
  <c r="BG36" i="1" s="1"/>
  <c r="BE36" i="1"/>
  <c r="BB36" i="1"/>
  <c r="BC36" i="1" s="1"/>
  <c r="BA36" i="1"/>
  <c r="AY36" i="1"/>
  <c r="AX36" i="1"/>
  <c r="AW36" i="1"/>
  <c r="AU36" i="1"/>
  <c r="AT36" i="1"/>
  <c r="AS36" i="1"/>
  <c r="AP36" i="1"/>
  <c r="AQ36" i="1" s="1"/>
  <c r="AO36" i="1"/>
  <c r="AL36" i="1"/>
  <c r="AI36" i="1" s="1"/>
  <c r="AK36" i="1"/>
  <c r="AH36" i="1"/>
  <c r="AG36" i="1"/>
  <c r="AD36" i="1"/>
  <c r="AE36" i="1" s="1"/>
  <c r="AC36" i="1"/>
  <c r="Z36" i="1"/>
  <c r="AA36" i="1" s="1"/>
  <c r="Y36" i="1"/>
  <c r="V36" i="1"/>
  <c r="W36" i="1" s="1"/>
  <c r="U36" i="1"/>
  <c r="S36" i="1"/>
  <c r="R36" i="1"/>
  <c r="Q36" i="1"/>
  <c r="O36" i="1"/>
  <c r="N36" i="1"/>
  <c r="M36" i="1"/>
  <c r="J36" i="1"/>
  <c r="K36" i="1" s="1"/>
  <c r="I36" i="1"/>
  <c r="F36" i="1"/>
  <c r="G36" i="1" s="1"/>
  <c r="E36" i="1"/>
  <c r="BN35" i="1"/>
  <c r="BL35" i="1"/>
  <c r="BJ35" i="1"/>
  <c r="BM35" i="1" s="1"/>
  <c r="BI35" i="1"/>
  <c r="BF35" i="1"/>
  <c r="BC35" i="1" s="1"/>
  <c r="BE35" i="1"/>
  <c r="BB35" i="1"/>
  <c r="BA35" i="1"/>
  <c r="AX35" i="1"/>
  <c r="AY35" i="1" s="1"/>
  <c r="AW35" i="1"/>
  <c r="AT35" i="1"/>
  <c r="AU35" i="1" s="1"/>
  <c r="AS35" i="1"/>
  <c r="AP35" i="1"/>
  <c r="AQ35" i="1" s="1"/>
  <c r="AO35" i="1"/>
  <c r="AM35" i="1"/>
  <c r="AL35" i="1"/>
  <c r="AK35" i="1"/>
  <c r="AI35" i="1"/>
  <c r="AH35" i="1"/>
  <c r="AG35" i="1"/>
  <c r="AD35" i="1"/>
  <c r="AE35" i="1" s="1"/>
  <c r="AC35" i="1"/>
  <c r="Z35" i="1"/>
  <c r="W35" i="1" s="1"/>
  <c r="Y35" i="1"/>
  <c r="V35" i="1"/>
  <c r="U35" i="1"/>
  <c r="R35" i="1"/>
  <c r="S35" i="1" s="1"/>
  <c r="Q35" i="1"/>
  <c r="N35" i="1"/>
  <c r="O35" i="1" s="1"/>
  <c r="M35" i="1"/>
  <c r="J35" i="1"/>
  <c r="K35" i="1" s="1"/>
  <c r="I35" i="1"/>
  <c r="G35" i="1"/>
  <c r="F35" i="1"/>
  <c r="E35" i="1"/>
  <c r="BN34" i="1"/>
  <c r="BL34" i="1"/>
  <c r="BJ34" i="1"/>
  <c r="BM34" i="1" s="1"/>
  <c r="BI34" i="1"/>
  <c r="BG34" i="1"/>
  <c r="BF34" i="1"/>
  <c r="BE34" i="1"/>
  <c r="BC34" i="1"/>
  <c r="BB34" i="1"/>
  <c r="BA34" i="1"/>
  <c r="AX34" i="1"/>
  <c r="AY34" i="1" s="1"/>
  <c r="AW34" i="1"/>
  <c r="AT34" i="1"/>
  <c r="AU34" i="1" s="1"/>
  <c r="AS34" i="1"/>
  <c r="AP34" i="1"/>
  <c r="AQ34" i="1" s="1"/>
  <c r="AO34" i="1"/>
  <c r="AL34" i="1"/>
  <c r="AM34" i="1" s="1"/>
  <c r="AK34" i="1"/>
  <c r="AH34" i="1"/>
  <c r="AI34" i="1" s="1"/>
  <c r="AG34" i="1"/>
  <c r="AD34" i="1"/>
  <c r="AE34" i="1" s="1"/>
  <c r="AC34" i="1"/>
  <c r="AA34" i="1"/>
  <c r="Z34" i="1"/>
  <c r="Y34" i="1"/>
  <c r="W34" i="1"/>
  <c r="V34" i="1"/>
  <c r="U34" i="1"/>
  <c r="R34" i="1"/>
  <c r="S34" i="1" s="1"/>
  <c r="Q34" i="1"/>
  <c r="N34" i="1"/>
  <c r="O34" i="1" s="1"/>
  <c r="M34" i="1"/>
  <c r="J34" i="1"/>
  <c r="K34" i="1" s="1"/>
  <c r="I34" i="1"/>
  <c r="F34" i="1"/>
  <c r="G34" i="1" s="1"/>
  <c r="E34" i="1"/>
  <c r="BN33" i="1"/>
  <c r="BM33" i="1"/>
  <c r="BL33" i="1"/>
  <c r="BJ33" i="1"/>
  <c r="BI33" i="1"/>
  <c r="BF33" i="1"/>
  <c r="BG33" i="1" s="1"/>
  <c r="BE33" i="1"/>
  <c r="BB33" i="1"/>
  <c r="BC33" i="1" s="1"/>
  <c r="BA33" i="1"/>
  <c r="AX33" i="1"/>
  <c r="AY33" i="1" s="1"/>
  <c r="AW33" i="1"/>
  <c r="AU33" i="1"/>
  <c r="AT33" i="1"/>
  <c r="AS33" i="1"/>
  <c r="AQ33" i="1"/>
  <c r="AP33" i="1"/>
  <c r="AO33" i="1"/>
  <c r="AL33" i="1"/>
  <c r="AM33" i="1" s="1"/>
  <c r="AK33" i="1"/>
  <c r="AH33" i="1"/>
  <c r="AI33" i="1" s="1"/>
  <c r="AG33" i="1"/>
  <c r="AD33" i="1"/>
  <c r="AE33" i="1" s="1"/>
  <c r="AC33" i="1"/>
  <c r="Z33" i="1"/>
  <c r="AA33" i="1" s="1"/>
  <c r="Y33" i="1"/>
  <c r="V33" i="1"/>
  <c r="W33" i="1" s="1"/>
  <c r="U33" i="1"/>
  <c r="R33" i="1"/>
  <c r="S33" i="1" s="1"/>
  <c r="Q33" i="1"/>
  <c r="O33" i="1"/>
  <c r="N33" i="1"/>
  <c r="M33" i="1"/>
  <c r="K33" i="1"/>
  <c r="J33" i="1"/>
  <c r="I33" i="1"/>
  <c r="F33" i="1"/>
  <c r="G33" i="1" s="1"/>
  <c r="E33" i="1"/>
  <c r="BN32" i="1"/>
  <c r="BM32" i="1"/>
  <c r="BL32" i="1"/>
  <c r="BJ32" i="1"/>
  <c r="BI32" i="1"/>
  <c r="BF32" i="1"/>
  <c r="BG32" i="1" s="1"/>
  <c r="BE32" i="1"/>
  <c r="BB32" i="1"/>
  <c r="BC32" i="1" s="1"/>
  <c r="BA32" i="1"/>
  <c r="AX32" i="1"/>
  <c r="AY32" i="1" s="1"/>
  <c r="AW32" i="1"/>
  <c r="AT32" i="1"/>
  <c r="AU32" i="1" s="1"/>
  <c r="AS32" i="1"/>
  <c r="AP32" i="1"/>
  <c r="AQ32" i="1" s="1"/>
  <c r="AO32" i="1"/>
  <c r="AL32" i="1"/>
  <c r="AM32" i="1" s="1"/>
  <c r="AK32" i="1"/>
  <c r="AI32" i="1"/>
  <c r="AH32" i="1"/>
  <c r="AG32" i="1"/>
  <c r="AE32" i="1"/>
  <c r="AD32" i="1"/>
  <c r="AC32" i="1"/>
  <c r="AA32" i="1"/>
  <c r="Z32" i="1"/>
  <c r="Y32" i="1"/>
  <c r="V32" i="1"/>
  <c r="W32" i="1" s="1"/>
  <c r="U32" i="1"/>
  <c r="R32" i="1"/>
  <c r="S32" i="1" s="1"/>
  <c r="Q32" i="1"/>
  <c r="N32" i="1"/>
  <c r="O32" i="1" s="1"/>
  <c r="M32" i="1"/>
  <c r="J32" i="1"/>
  <c r="K32" i="1" s="1"/>
  <c r="I32" i="1"/>
  <c r="F32" i="1"/>
  <c r="G32" i="1" s="1"/>
  <c r="E32" i="1"/>
  <c r="BN31" i="1"/>
  <c r="BL31" i="1"/>
  <c r="BJ31" i="1"/>
  <c r="BM31" i="1" s="1"/>
  <c r="BI31" i="1"/>
  <c r="BF31" i="1"/>
  <c r="BG31" i="1" s="1"/>
  <c r="BE31" i="1"/>
  <c r="BC31" i="1"/>
  <c r="BB31" i="1"/>
  <c r="BA31" i="1"/>
  <c r="AY31" i="1"/>
  <c r="AX31" i="1"/>
  <c r="AW31" i="1"/>
  <c r="AT31" i="1"/>
  <c r="AU31" i="1" s="1"/>
  <c r="AS31" i="1"/>
  <c r="AP31" i="1"/>
  <c r="AQ31" i="1" s="1"/>
  <c r="AO31" i="1"/>
  <c r="AL31" i="1"/>
  <c r="AM31" i="1" s="1"/>
  <c r="AK31" i="1"/>
  <c r="AH31" i="1"/>
  <c r="AI31" i="1" s="1"/>
  <c r="AG31" i="1"/>
  <c r="AD31" i="1"/>
  <c r="AE31" i="1" s="1"/>
  <c r="AC31" i="1"/>
  <c r="Z31" i="1"/>
  <c r="AA31" i="1" s="1"/>
  <c r="Y31" i="1"/>
  <c r="W31" i="1"/>
  <c r="V31" i="1"/>
  <c r="U31" i="1"/>
  <c r="S31" i="1"/>
  <c r="R31" i="1"/>
  <c r="Q31" i="1"/>
  <c r="N31" i="1"/>
  <c r="O31" i="1" s="1"/>
  <c r="M31" i="1"/>
  <c r="J31" i="1"/>
  <c r="K31" i="1" s="1"/>
  <c r="I31" i="1"/>
  <c r="F31" i="1"/>
  <c r="G31" i="1" s="1"/>
  <c r="E31" i="1"/>
  <c r="BN30" i="1"/>
  <c r="BM30" i="1"/>
  <c r="BL30" i="1"/>
  <c r="BJ30" i="1"/>
  <c r="BI30" i="1"/>
  <c r="BF30" i="1"/>
  <c r="BG30" i="1" s="1"/>
  <c r="BE30" i="1"/>
  <c r="BB30" i="1"/>
  <c r="BC30" i="1" s="1"/>
  <c r="BA30" i="1"/>
  <c r="AX30" i="1"/>
  <c r="AY30" i="1" s="1"/>
  <c r="AW30" i="1"/>
  <c r="AT30" i="1"/>
  <c r="AU30" i="1" s="1"/>
  <c r="AS30" i="1"/>
  <c r="AQ30" i="1"/>
  <c r="AP30" i="1"/>
  <c r="AO30" i="1"/>
  <c r="AM30" i="1"/>
  <c r="AL30" i="1"/>
  <c r="AK30" i="1"/>
  <c r="AI30" i="1"/>
  <c r="AH30" i="1"/>
  <c r="AG30" i="1"/>
  <c r="AD30" i="1"/>
  <c r="AE30" i="1" s="1"/>
  <c r="AC30" i="1"/>
  <c r="Z30" i="1"/>
  <c r="AA30" i="1" s="1"/>
  <c r="Y30" i="1"/>
  <c r="V30" i="1"/>
  <c r="W30" i="1" s="1"/>
  <c r="U30" i="1"/>
  <c r="R30" i="1"/>
  <c r="S30" i="1" s="1"/>
  <c r="Q30" i="1"/>
  <c r="N30" i="1"/>
  <c r="O30" i="1" s="1"/>
  <c r="M30" i="1"/>
  <c r="K30" i="1"/>
  <c r="J30" i="1"/>
  <c r="I30" i="1"/>
  <c r="G30" i="1"/>
  <c r="F30" i="1"/>
  <c r="E30" i="1"/>
  <c r="BN29" i="1"/>
  <c r="BM29" i="1" s="1"/>
  <c r="BL29" i="1"/>
  <c r="BJ29" i="1"/>
  <c r="BI29" i="1"/>
  <c r="BG29" i="1"/>
  <c r="BF29" i="1"/>
  <c r="BE29" i="1"/>
  <c r="BC29" i="1"/>
  <c r="BB29" i="1"/>
  <c r="BA29" i="1"/>
  <c r="AX29" i="1"/>
  <c r="AY29" i="1" s="1"/>
  <c r="AW29" i="1"/>
  <c r="AT29" i="1"/>
  <c r="AU29" i="1" s="1"/>
  <c r="AS29" i="1"/>
  <c r="AP29" i="1"/>
  <c r="AQ29" i="1" s="1"/>
  <c r="AO29" i="1"/>
  <c r="AL29" i="1"/>
  <c r="AM29" i="1" s="1"/>
  <c r="AK29" i="1"/>
  <c r="AH29" i="1"/>
  <c r="AI29" i="1" s="1"/>
  <c r="AG29" i="1"/>
  <c r="AE29" i="1"/>
  <c r="AD29" i="1"/>
  <c r="AC29" i="1"/>
  <c r="AA29" i="1"/>
  <c r="Z29" i="1"/>
  <c r="Y29" i="1"/>
  <c r="W29" i="1"/>
  <c r="V29" i="1"/>
  <c r="U29" i="1"/>
  <c r="R29" i="1"/>
  <c r="S29" i="1" s="1"/>
  <c r="Q29" i="1"/>
  <c r="N29" i="1"/>
  <c r="O29" i="1" s="1"/>
  <c r="M29" i="1"/>
  <c r="J29" i="1"/>
  <c r="K29" i="1" s="1"/>
  <c r="I29" i="1"/>
  <c r="F29" i="1"/>
  <c r="G29" i="1" s="1"/>
  <c r="E29" i="1"/>
  <c r="BN28" i="1"/>
  <c r="BL28" i="1"/>
  <c r="BJ28" i="1"/>
  <c r="BM28" i="1" s="1"/>
  <c r="BI28" i="1"/>
  <c r="BF28" i="1"/>
  <c r="BG28" i="1" s="1"/>
  <c r="BE28" i="1"/>
  <c r="BB28" i="1"/>
  <c r="BC28" i="1" s="1"/>
  <c r="BA28" i="1"/>
  <c r="AY28" i="1"/>
  <c r="AX28" i="1"/>
  <c r="AW28" i="1"/>
  <c r="AU28" i="1"/>
  <c r="AT28" i="1"/>
  <c r="AS28" i="1"/>
  <c r="AQ28" i="1"/>
  <c r="AP28" i="1"/>
  <c r="AO28" i="1"/>
  <c r="AL28" i="1"/>
  <c r="AI28" i="1" s="1"/>
  <c r="AK28" i="1"/>
  <c r="AH28" i="1"/>
  <c r="AG28" i="1"/>
  <c r="AD28" i="1"/>
  <c r="AE28" i="1" s="1"/>
  <c r="AC28" i="1"/>
  <c r="Z28" i="1"/>
  <c r="AA28" i="1" s="1"/>
  <c r="Y28" i="1"/>
  <c r="V28" i="1"/>
  <c r="W28" i="1" s="1"/>
  <c r="U28" i="1"/>
  <c r="S28" i="1"/>
  <c r="R28" i="1"/>
  <c r="Q28" i="1"/>
  <c r="O28" i="1"/>
  <c r="N28" i="1"/>
  <c r="M28" i="1"/>
  <c r="J28" i="1"/>
  <c r="K28" i="1" s="1"/>
  <c r="I28" i="1"/>
  <c r="F28" i="1"/>
  <c r="G28" i="1" s="1"/>
  <c r="E28" i="1"/>
  <c r="BN27" i="1"/>
  <c r="BL27" i="1"/>
  <c r="BJ27" i="1"/>
  <c r="BM27" i="1" s="1"/>
  <c r="BI27" i="1"/>
  <c r="BF27" i="1"/>
  <c r="BC27" i="1" s="1"/>
  <c r="BE27" i="1"/>
  <c r="BB27" i="1"/>
  <c r="BA27" i="1"/>
  <c r="AX27" i="1"/>
  <c r="AY27" i="1" s="1"/>
  <c r="AW27" i="1"/>
  <c r="AT27" i="1"/>
  <c r="AU27" i="1" s="1"/>
  <c r="AS27" i="1"/>
  <c r="AP27" i="1"/>
  <c r="AQ27" i="1" s="1"/>
  <c r="AO27" i="1"/>
  <c r="AM27" i="1"/>
  <c r="AL27" i="1"/>
  <c r="AK27" i="1"/>
  <c r="AI27" i="1"/>
  <c r="AH27" i="1"/>
  <c r="AG27" i="1"/>
  <c r="AD27" i="1"/>
  <c r="AE27" i="1" s="1"/>
  <c r="AC27" i="1"/>
  <c r="Z27" i="1"/>
  <c r="W27" i="1" s="1"/>
  <c r="Y27" i="1"/>
  <c r="V27" i="1"/>
  <c r="U27" i="1"/>
  <c r="R27" i="1"/>
  <c r="S27" i="1" s="1"/>
  <c r="Q27" i="1"/>
  <c r="N27" i="1"/>
  <c r="O27" i="1" s="1"/>
  <c r="M27" i="1"/>
  <c r="J27" i="1"/>
  <c r="K27" i="1" s="1"/>
  <c r="I27" i="1"/>
  <c r="G27" i="1"/>
  <c r="F27" i="1"/>
  <c r="E27" i="1"/>
  <c r="BN26" i="1"/>
  <c r="BL26" i="1"/>
  <c r="BJ26" i="1"/>
  <c r="BM26" i="1" s="1"/>
  <c r="BI26" i="1"/>
  <c r="BG26" i="1"/>
  <c r="BF26" i="1"/>
  <c r="BE26" i="1"/>
  <c r="BC26" i="1"/>
  <c r="BB26" i="1"/>
  <c r="BA26" i="1"/>
  <c r="AX26" i="1"/>
  <c r="AY26" i="1" s="1"/>
  <c r="AW26" i="1"/>
  <c r="AT26" i="1"/>
  <c r="AQ26" i="1" s="1"/>
  <c r="AS26" i="1"/>
  <c r="AP26" i="1"/>
  <c r="AO26" i="1"/>
  <c r="AL26" i="1"/>
  <c r="AM26" i="1" s="1"/>
  <c r="AK26" i="1"/>
  <c r="AH26" i="1"/>
  <c r="AI26" i="1" s="1"/>
  <c r="AG26" i="1"/>
  <c r="AD26" i="1"/>
  <c r="AE26" i="1" s="1"/>
  <c r="AC26" i="1"/>
  <c r="AA26" i="1"/>
  <c r="Z26" i="1"/>
  <c r="Y26" i="1"/>
  <c r="W26" i="1"/>
  <c r="V26" i="1"/>
  <c r="U26" i="1"/>
  <c r="R26" i="1"/>
  <c r="S26" i="1" s="1"/>
  <c r="Q26" i="1"/>
  <c r="N26" i="1"/>
  <c r="K26" i="1" s="1"/>
  <c r="M26" i="1"/>
  <c r="J26" i="1"/>
  <c r="I26" i="1"/>
  <c r="F26" i="1"/>
  <c r="G26" i="1" s="1"/>
  <c r="E26" i="1"/>
  <c r="BN25" i="1"/>
  <c r="BM25" i="1"/>
  <c r="BL25" i="1"/>
  <c r="BJ25" i="1"/>
  <c r="BI25" i="1"/>
  <c r="BF25" i="1"/>
  <c r="BG25" i="1" s="1"/>
  <c r="BE25" i="1"/>
  <c r="BB25" i="1"/>
  <c r="BC25" i="1" s="1"/>
  <c r="BA25" i="1"/>
  <c r="AX25" i="1"/>
  <c r="AY25" i="1" s="1"/>
  <c r="AW25" i="1"/>
  <c r="AU25" i="1"/>
  <c r="AT25" i="1"/>
  <c r="AS25" i="1"/>
  <c r="AQ25" i="1"/>
  <c r="AP25" i="1"/>
  <c r="AO25" i="1"/>
  <c r="AL25" i="1"/>
  <c r="AM25" i="1" s="1"/>
  <c r="AK25" i="1"/>
  <c r="AH25" i="1"/>
  <c r="AI25" i="1" s="1"/>
  <c r="AG25" i="1"/>
  <c r="AF25" i="1"/>
  <c r="AD25" i="1"/>
  <c r="AE25" i="1" s="1"/>
  <c r="AC25" i="1"/>
  <c r="AA25" i="1"/>
  <c r="Z25" i="1"/>
  <c r="Y25" i="1"/>
  <c r="W25" i="1"/>
  <c r="V25" i="1"/>
  <c r="U25" i="1"/>
  <c r="R25" i="1"/>
  <c r="S25" i="1" s="1"/>
  <c r="Q25" i="1"/>
  <c r="N25" i="1"/>
  <c r="K25" i="1" s="1"/>
  <c r="M25" i="1"/>
  <c r="J25" i="1"/>
  <c r="I25" i="1"/>
  <c r="F25" i="1"/>
  <c r="G25" i="1" s="1"/>
  <c r="E25" i="1"/>
  <c r="BN24" i="1"/>
  <c r="BM24" i="1"/>
  <c r="BL24" i="1"/>
  <c r="BJ24" i="1"/>
  <c r="BI24" i="1"/>
  <c r="BF24" i="1"/>
  <c r="BG24" i="1" s="1"/>
  <c r="BE24" i="1"/>
  <c r="BB24" i="1"/>
  <c r="BC24" i="1" s="1"/>
  <c r="BA24" i="1"/>
  <c r="AX24" i="1"/>
  <c r="AY24" i="1" s="1"/>
  <c r="AW24" i="1"/>
  <c r="AU24" i="1"/>
  <c r="AT24" i="1"/>
  <c r="AS24" i="1"/>
  <c r="AQ24" i="1"/>
  <c r="AP24" i="1"/>
  <c r="AO24" i="1"/>
  <c r="AL24" i="1"/>
  <c r="AM24" i="1" s="1"/>
  <c r="AK24" i="1"/>
  <c r="AH24" i="1"/>
  <c r="AI24" i="1" s="1"/>
  <c r="AG24" i="1"/>
  <c r="AF24" i="1"/>
  <c r="AD24" i="1"/>
  <c r="AE24" i="1" s="1"/>
  <c r="AC24" i="1"/>
  <c r="AA24" i="1"/>
  <c r="Z24" i="1"/>
  <c r="Y24" i="1"/>
  <c r="W24" i="1"/>
  <c r="V24" i="1"/>
  <c r="U24" i="1"/>
  <c r="R24" i="1"/>
  <c r="S24" i="1" s="1"/>
  <c r="Q24" i="1"/>
  <c r="N24" i="1"/>
  <c r="K24" i="1" s="1"/>
  <c r="M24" i="1"/>
  <c r="J24" i="1"/>
  <c r="I24" i="1"/>
  <c r="F24" i="1"/>
  <c r="G24" i="1" s="1"/>
  <c r="E24" i="1"/>
  <c r="BN23" i="1"/>
  <c r="BM23" i="1"/>
  <c r="BL23" i="1"/>
  <c r="BJ23" i="1"/>
  <c r="BI23" i="1"/>
  <c r="BF23" i="1"/>
  <c r="BG23" i="1" s="1"/>
  <c r="BE23" i="1"/>
  <c r="BB23" i="1"/>
  <c r="BC23" i="1" s="1"/>
  <c r="BA23" i="1"/>
  <c r="AX23" i="1"/>
  <c r="AY23" i="1" s="1"/>
  <c r="AW23" i="1"/>
  <c r="AU23" i="1"/>
  <c r="AT23" i="1"/>
  <c r="AS23" i="1"/>
  <c r="AQ23" i="1"/>
  <c r="AP23" i="1"/>
  <c r="AO23" i="1"/>
  <c r="AM23" i="1"/>
  <c r="AL23" i="1"/>
  <c r="AK23" i="1"/>
  <c r="AH23" i="1"/>
  <c r="AI23" i="1" s="1"/>
  <c r="AG23" i="1"/>
  <c r="AF23" i="1"/>
  <c r="AD23" i="1"/>
  <c r="AE23" i="1" s="1"/>
  <c r="AC23" i="1"/>
  <c r="AA23" i="1"/>
  <c r="Z23" i="1"/>
  <c r="Y23" i="1"/>
  <c r="W23" i="1"/>
  <c r="V23" i="1"/>
  <c r="U23" i="1"/>
  <c r="R23" i="1"/>
  <c r="S23" i="1" s="1"/>
  <c r="Q23" i="1"/>
  <c r="N23" i="1"/>
  <c r="K23" i="1" s="1"/>
  <c r="M23" i="1"/>
  <c r="J23" i="1"/>
  <c r="I23" i="1"/>
  <c r="F23" i="1"/>
  <c r="G23" i="1" s="1"/>
  <c r="E23" i="1"/>
  <c r="BN22" i="1"/>
  <c r="BM22" i="1"/>
  <c r="BL22" i="1"/>
  <c r="BJ22" i="1"/>
  <c r="BI22" i="1"/>
  <c r="BF22" i="1"/>
  <c r="BG22" i="1" s="1"/>
  <c r="BE22" i="1"/>
  <c r="BB22" i="1"/>
  <c r="BC22" i="1" s="1"/>
  <c r="BA22" i="1"/>
  <c r="AX22" i="1"/>
  <c r="AY22" i="1" s="1"/>
  <c r="AW22" i="1"/>
  <c r="AU22" i="1"/>
  <c r="AT22" i="1"/>
  <c r="AS22" i="1"/>
  <c r="AQ22" i="1"/>
  <c r="AP22" i="1"/>
  <c r="AO22" i="1"/>
  <c r="AL22" i="1"/>
  <c r="AM22" i="1" s="1"/>
  <c r="AK22" i="1"/>
  <c r="AH22" i="1"/>
  <c r="AE22" i="1" s="1"/>
  <c r="AG22" i="1"/>
  <c r="AD22" i="1"/>
  <c r="AC22" i="1"/>
  <c r="Z22" i="1"/>
  <c r="AA22" i="1" s="1"/>
  <c r="Y22" i="1"/>
  <c r="V22" i="1"/>
  <c r="W22" i="1" s="1"/>
  <c r="U22" i="1"/>
  <c r="R22" i="1"/>
  <c r="S22" i="1" s="1"/>
  <c r="Q22" i="1"/>
  <c r="O22" i="1"/>
  <c r="N22" i="1"/>
  <c r="M22" i="1"/>
  <c r="K22" i="1"/>
  <c r="J22" i="1"/>
  <c r="I22" i="1"/>
  <c r="F22" i="1"/>
  <c r="G22" i="1" s="1"/>
  <c r="E22" i="1"/>
  <c r="BN21" i="1"/>
  <c r="BM21" i="1"/>
  <c r="BL21" i="1"/>
  <c r="BJ21" i="1"/>
  <c r="BI21" i="1"/>
  <c r="BF21" i="1"/>
  <c r="BG21" i="1" s="1"/>
  <c r="BE21" i="1"/>
  <c r="BB21" i="1"/>
  <c r="AY21" i="1" s="1"/>
  <c r="BA21" i="1"/>
  <c r="AX21" i="1"/>
  <c r="AW21" i="1"/>
  <c r="AT21" i="1"/>
  <c r="AU21" i="1" s="1"/>
  <c r="AS21" i="1"/>
  <c r="AP21" i="1"/>
  <c r="AQ21" i="1" s="1"/>
  <c r="AO21" i="1"/>
  <c r="AL21" i="1"/>
  <c r="AM21" i="1" s="1"/>
  <c r="AK21" i="1"/>
  <c r="AI21" i="1"/>
  <c r="AH21" i="1"/>
  <c r="AG21" i="1"/>
  <c r="AE21" i="1"/>
  <c r="AD21" i="1"/>
  <c r="AC21" i="1"/>
  <c r="AA21" i="1"/>
  <c r="Z21" i="1"/>
  <c r="Y21" i="1"/>
  <c r="V21" i="1"/>
  <c r="S21" i="1" s="1"/>
  <c r="U21" i="1"/>
  <c r="R21" i="1"/>
  <c r="Q21" i="1"/>
  <c r="N21" i="1"/>
  <c r="O21" i="1" s="1"/>
  <c r="M21" i="1"/>
  <c r="J21" i="1"/>
  <c r="K21" i="1" s="1"/>
  <c r="I21" i="1"/>
  <c r="F21" i="1"/>
  <c r="G21" i="1" s="1"/>
  <c r="D21" i="1"/>
  <c r="E21" i="1" s="1"/>
  <c r="BN20" i="1"/>
  <c r="BM20" i="1"/>
  <c r="BL20" i="1"/>
  <c r="BJ20" i="1"/>
  <c r="BI20" i="1"/>
  <c r="BG20" i="1"/>
  <c r="BF20" i="1"/>
  <c r="BE20" i="1"/>
  <c r="BB20" i="1"/>
  <c r="AY20" i="1" s="1"/>
  <c r="BA20" i="1"/>
  <c r="AX20" i="1"/>
  <c r="AW20" i="1"/>
  <c r="AT20" i="1"/>
  <c r="AU20" i="1" s="1"/>
  <c r="AS20" i="1"/>
  <c r="AP20" i="1"/>
  <c r="AQ20" i="1" s="1"/>
  <c r="AO20" i="1"/>
  <c r="AL20" i="1"/>
  <c r="AM20" i="1" s="1"/>
  <c r="AK20" i="1"/>
  <c r="AI20" i="1"/>
  <c r="AH20" i="1"/>
  <c r="AG20" i="1"/>
  <c r="AE20" i="1"/>
  <c r="AD20" i="1"/>
  <c r="AC20" i="1"/>
  <c r="AA20" i="1"/>
  <c r="Z20" i="1"/>
  <c r="Y20" i="1"/>
  <c r="V20" i="1"/>
  <c r="S20" i="1" s="1"/>
  <c r="U20" i="1"/>
  <c r="R20" i="1"/>
  <c r="Q20" i="1"/>
  <c r="N20" i="1"/>
  <c r="O20" i="1" s="1"/>
  <c r="M20" i="1"/>
  <c r="J20" i="1"/>
  <c r="K20" i="1" s="1"/>
  <c r="I20" i="1"/>
  <c r="F20" i="1"/>
  <c r="G20" i="1" s="1"/>
  <c r="D20" i="1"/>
  <c r="E20" i="1" s="1"/>
  <c r="BN19" i="1"/>
  <c r="BM19" i="1"/>
  <c r="BL19" i="1"/>
  <c r="BJ19" i="1"/>
  <c r="BI19" i="1"/>
  <c r="BG19" i="1"/>
  <c r="BF19" i="1"/>
  <c r="BE19" i="1"/>
  <c r="BB19" i="1"/>
  <c r="AY19" i="1" s="1"/>
  <c r="BA19" i="1"/>
  <c r="AX19" i="1"/>
  <c r="AW19" i="1"/>
  <c r="AT19" i="1"/>
  <c r="AU19" i="1" s="1"/>
  <c r="AS19" i="1"/>
  <c r="AP19" i="1"/>
  <c r="AQ19" i="1" s="1"/>
  <c r="AO19" i="1"/>
  <c r="AL19" i="1"/>
  <c r="AM19" i="1" s="1"/>
  <c r="AK19" i="1"/>
  <c r="AI19" i="1"/>
  <c r="AH19" i="1"/>
  <c r="AG19" i="1"/>
  <c r="AE19" i="1"/>
  <c r="AD19" i="1"/>
  <c r="AC19" i="1"/>
  <c r="AA19" i="1"/>
  <c r="Z19" i="1"/>
  <c r="Y19" i="1"/>
  <c r="V19" i="1"/>
  <c r="S19" i="1" s="1"/>
  <c r="U19" i="1"/>
  <c r="R19" i="1"/>
  <c r="Q19" i="1"/>
  <c r="N19" i="1"/>
  <c r="O19" i="1" s="1"/>
  <c r="M19" i="1"/>
  <c r="J19" i="1"/>
  <c r="K19" i="1" s="1"/>
  <c r="I19" i="1"/>
  <c r="F19" i="1"/>
  <c r="G19" i="1" s="1"/>
  <c r="D19" i="1"/>
  <c r="E19" i="1" s="1"/>
  <c r="BN18" i="1"/>
  <c r="BM18" i="1"/>
  <c r="BL18" i="1"/>
  <c r="BJ18" i="1"/>
  <c r="BI18" i="1"/>
  <c r="BG18" i="1"/>
  <c r="BF18" i="1"/>
  <c r="BE18" i="1"/>
  <c r="BB18" i="1"/>
  <c r="AY18" i="1" s="1"/>
  <c r="BA18" i="1"/>
  <c r="AX18" i="1"/>
  <c r="AW18" i="1"/>
  <c r="AT18" i="1"/>
  <c r="AU18" i="1" s="1"/>
  <c r="AS18" i="1"/>
  <c r="AP18" i="1"/>
  <c r="AQ18" i="1" s="1"/>
  <c r="AO18" i="1"/>
  <c r="AL18" i="1"/>
  <c r="AM18" i="1" s="1"/>
  <c r="AK18" i="1"/>
  <c r="AI18" i="1"/>
  <c r="AH18" i="1"/>
  <c r="AG18" i="1"/>
  <c r="AE18" i="1"/>
  <c r="AD18" i="1"/>
  <c r="AC18" i="1"/>
  <c r="AA18" i="1"/>
  <c r="Z18" i="1"/>
  <c r="Y18" i="1"/>
  <c r="V18" i="1"/>
  <c r="S18" i="1" s="1"/>
  <c r="U18" i="1"/>
  <c r="R18" i="1"/>
  <c r="Q18" i="1"/>
  <c r="N18" i="1"/>
  <c r="O18" i="1" s="1"/>
  <c r="M18" i="1"/>
  <c r="J18" i="1"/>
  <c r="K18" i="1" s="1"/>
  <c r="I18" i="1"/>
  <c r="F18" i="1"/>
  <c r="G18" i="1" s="1"/>
  <c r="E18" i="1"/>
  <c r="BN17" i="1"/>
  <c r="BL17" i="1"/>
  <c r="BJ17" i="1"/>
  <c r="BM17" i="1" s="1"/>
  <c r="BI17" i="1"/>
  <c r="BF17" i="1"/>
  <c r="BG17" i="1" s="1"/>
  <c r="BE17" i="1"/>
  <c r="BC17" i="1"/>
  <c r="BB17" i="1"/>
  <c r="BA17" i="1"/>
  <c r="AY17" i="1"/>
  <c r="AX17" i="1"/>
  <c r="AW17" i="1"/>
  <c r="AU17" i="1"/>
  <c r="AT17" i="1"/>
  <c r="AS17" i="1"/>
  <c r="AP17" i="1"/>
  <c r="AM17" i="1" s="1"/>
  <c r="AO17" i="1"/>
  <c r="AL17" i="1"/>
  <c r="AK17" i="1"/>
  <c r="AH17" i="1"/>
  <c r="AI17" i="1" s="1"/>
  <c r="AG17" i="1"/>
  <c r="AD17" i="1"/>
  <c r="AE17" i="1" s="1"/>
  <c r="AC17" i="1"/>
  <c r="Z17" i="1"/>
  <c r="AA17" i="1" s="1"/>
  <c r="Y17" i="1"/>
  <c r="W17" i="1"/>
  <c r="V17" i="1"/>
  <c r="U17" i="1"/>
  <c r="S17" i="1"/>
  <c r="R17" i="1"/>
  <c r="Q17" i="1"/>
  <c r="O17" i="1"/>
  <c r="N17" i="1"/>
  <c r="M17" i="1"/>
  <c r="J17" i="1"/>
  <c r="G17" i="1" s="1"/>
  <c r="I17" i="1"/>
  <c r="F17" i="1"/>
  <c r="E17" i="1"/>
  <c r="BN16" i="1"/>
  <c r="BM16" i="1"/>
  <c r="BL16" i="1"/>
  <c r="BJ16" i="1"/>
  <c r="BG16" i="1" s="1"/>
  <c r="BI16" i="1"/>
  <c r="BF16" i="1"/>
  <c r="BE16" i="1"/>
  <c r="BB16" i="1"/>
  <c r="BC16" i="1" s="1"/>
  <c r="BA16" i="1"/>
  <c r="AX16" i="1"/>
  <c r="AY16" i="1" s="1"/>
  <c r="AW16" i="1"/>
  <c r="AT16" i="1"/>
  <c r="AU16" i="1" s="1"/>
  <c r="AS16" i="1"/>
  <c r="AQ16" i="1"/>
  <c r="AP16" i="1"/>
  <c r="AO16" i="1"/>
  <c r="AM16" i="1"/>
  <c r="AL16" i="1"/>
  <c r="AK16" i="1"/>
  <c r="AI16" i="1"/>
  <c r="AH16" i="1"/>
  <c r="AG16" i="1"/>
  <c r="AD16" i="1"/>
  <c r="AA16" i="1" s="1"/>
  <c r="AC16" i="1"/>
  <c r="Z16" i="1"/>
  <c r="Y16" i="1"/>
  <c r="V16" i="1"/>
  <c r="W16" i="1" s="1"/>
  <c r="U16" i="1"/>
  <c r="R16" i="1"/>
  <c r="S16" i="1" s="1"/>
  <c r="Q16" i="1"/>
  <c r="N16" i="1"/>
  <c r="O16" i="1" s="1"/>
  <c r="M16" i="1"/>
  <c r="K16" i="1"/>
  <c r="J16" i="1"/>
  <c r="I16" i="1"/>
  <c r="G16" i="1"/>
  <c r="F16" i="1"/>
  <c r="E16" i="1"/>
  <c r="BN15" i="1"/>
  <c r="BM15" i="1" s="1"/>
  <c r="BL15" i="1"/>
  <c r="BJ15" i="1"/>
  <c r="BI15" i="1"/>
  <c r="BG15" i="1"/>
  <c r="BF15" i="1"/>
  <c r="BE15" i="1"/>
  <c r="BC15" i="1"/>
  <c r="BB15" i="1"/>
  <c r="BA15" i="1"/>
  <c r="AX15" i="1"/>
  <c r="AU15" i="1" s="1"/>
  <c r="AW15" i="1"/>
  <c r="AT15" i="1"/>
  <c r="AS15" i="1"/>
  <c r="AP15" i="1"/>
  <c r="AQ15" i="1" s="1"/>
  <c r="AO15" i="1"/>
  <c r="AL15" i="1"/>
  <c r="AM15" i="1" s="1"/>
  <c r="AK15" i="1"/>
  <c r="AH15" i="1"/>
  <c r="AI15" i="1" s="1"/>
  <c r="AG15" i="1"/>
  <c r="AE15" i="1"/>
  <c r="AD15" i="1"/>
  <c r="AC15" i="1"/>
  <c r="AA15" i="1"/>
  <c r="Z15" i="1"/>
  <c r="Y15" i="1"/>
  <c r="W15" i="1"/>
  <c r="V15" i="1"/>
  <c r="U15" i="1"/>
  <c r="R15" i="1"/>
  <c r="O15" i="1" s="1"/>
  <c r="Q15" i="1"/>
  <c r="N15" i="1"/>
  <c r="M15" i="1"/>
  <c r="J15" i="1"/>
  <c r="K15" i="1" s="1"/>
  <c r="I15" i="1"/>
  <c r="F15" i="1"/>
  <c r="G15" i="1" s="1"/>
  <c r="E15" i="1"/>
  <c r="BN14" i="1"/>
  <c r="BL14" i="1"/>
  <c r="BJ14" i="1"/>
  <c r="BM14" i="1" s="1"/>
  <c r="BI14" i="1"/>
  <c r="BF14" i="1"/>
  <c r="BG14" i="1" s="1"/>
  <c r="BE14" i="1"/>
  <c r="BB14" i="1"/>
  <c r="BC14" i="1" s="1"/>
  <c r="BA14" i="1"/>
  <c r="AY14" i="1"/>
  <c r="AX14" i="1"/>
  <c r="AW14" i="1"/>
  <c r="AU14" i="1"/>
  <c r="AT14" i="1"/>
  <c r="AS14" i="1"/>
  <c r="AQ14" i="1"/>
  <c r="AP14" i="1"/>
  <c r="AO14" i="1"/>
  <c r="AL14" i="1"/>
  <c r="AI14" i="1" s="1"/>
  <c r="AK14" i="1"/>
  <c r="AH14" i="1"/>
  <c r="AG14" i="1"/>
  <c r="AD14" i="1"/>
  <c r="AE14" i="1" s="1"/>
  <c r="AC14" i="1"/>
  <c r="Z14" i="1"/>
  <c r="AA14" i="1" s="1"/>
  <c r="Y14" i="1"/>
  <c r="V14" i="1"/>
  <c r="W14" i="1" s="1"/>
  <c r="U14" i="1"/>
  <c r="S14" i="1"/>
  <c r="R14" i="1"/>
  <c r="Q14" i="1"/>
  <c r="O14" i="1"/>
  <c r="N14" i="1"/>
  <c r="M14" i="1"/>
  <c r="K14" i="1"/>
  <c r="J14" i="1"/>
  <c r="I14" i="1"/>
  <c r="F14" i="1"/>
  <c r="G14" i="1" s="1"/>
  <c r="E14" i="1"/>
  <c r="BN13" i="1"/>
  <c r="BL13" i="1"/>
  <c r="BJ13" i="1"/>
  <c r="BM13" i="1" s="1"/>
  <c r="BI13" i="1"/>
  <c r="BF13" i="1"/>
  <c r="BC13" i="1" s="1"/>
  <c r="BE13" i="1"/>
  <c r="BB13" i="1"/>
  <c r="BA13" i="1"/>
  <c r="AX13" i="1"/>
  <c r="AY13" i="1" s="1"/>
  <c r="AW13" i="1"/>
  <c r="AT13" i="1"/>
  <c r="AU13" i="1" s="1"/>
  <c r="AS13" i="1"/>
  <c r="AP13" i="1"/>
  <c r="AQ13" i="1" s="1"/>
  <c r="AO13" i="1"/>
  <c r="AM13" i="1"/>
  <c r="AL13" i="1"/>
  <c r="AK13" i="1"/>
  <c r="AI13" i="1"/>
  <c r="AH13" i="1"/>
  <c r="AG13" i="1"/>
  <c r="AE13" i="1"/>
  <c r="AD13" i="1"/>
  <c r="AC13" i="1"/>
  <c r="Z13" i="1"/>
  <c r="W13" i="1" s="1"/>
  <c r="Y13" i="1"/>
  <c r="V13" i="1"/>
  <c r="U13" i="1"/>
  <c r="R13" i="1"/>
  <c r="S13" i="1" s="1"/>
  <c r="Q13" i="1"/>
  <c r="N13" i="1"/>
  <c r="O13" i="1" s="1"/>
  <c r="M13" i="1"/>
  <c r="J13" i="1"/>
  <c r="K13" i="1" s="1"/>
  <c r="I13" i="1"/>
  <c r="G13" i="1"/>
  <c r="F13" i="1"/>
  <c r="E13" i="1"/>
  <c r="BN12" i="1"/>
  <c r="BL12" i="1"/>
  <c r="BJ12" i="1"/>
  <c r="BM12" i="1" s="1"/>
  <c r="BI12" i="1"/>
  <c r="BG12" i="1"/>
  <c r="BF12" i="1"/>
  <c r="BE12" i="1"/>
  <c r="BC12" i="1"/>
  <c r="BB12" i="1"/>
  <c r="BA12" i="1"/>
  <c r="AY12" i="1"/>
  <c r="AX12" i="1"/>
  <c r="AW12" i="1"/>
  <c r="AT12" i="1"/>
  <c r="AQ12" i="1" s="1"/>
  <c r="AS12" i="1"/>
  <c r="AP12" i="1"/>
  <c r="AO12" i="1"/>
  <c r="AL12" i="1"/>
  <c r="AM12" i="1" s="1"/>
  <c r="AK12" i="1"/>
  <c r="AH12" i="1"/>
  <c r="AI12" i="1" s="1"/>
  <c r="AG12" i="1"/>
  <c r="AD12" i="1"/>
  <c r="AE12" i="1" s="1"/>
  <c r="AC12" i="1"/>
  <c r="AA12" i="1"/>
  <c r="Z12" i="1"/>
  <c r="Y12" i="1"/>
  <c r="W12" i="1"/>
  <c r="V12" i="1"/>
  <c r="U12" i="1"/>
  <c r="S12" i="1"/>
  <c r="R12" i="1"/>
  <c r="Q12" i="1"/>
  <c r="N12" i="1"/>
  <c r="K12" i="1" s="1"/>
  <c r="M12" i="1"/>
  <c r="J12" i="1"/>
  <c r="I12" i="1"/>
  <c r="F12" i="1"/>
  <c r="G12" i="1" s="1"/>
  <c r="E12" i="1"/>
  <c r="BN11" i="1"/>
  <c r="BM11" i="1"/>
  <c r="BL11" i="1"/>
  <c r="BJ11" i="1"/>
  <c r="BI11" i="1"/>
  <c r="BF11" i="1"/>
  <c r="BG11" i="1" s="1"/>
  <c r="BE11" i="1"/>
  <c r="BB11" i="1"/>
  <c r="BC11" i="1" s="1"/>
  <c r="BA11" i="1"/>
  <c r="AX11" i="1"/>
  <c r="AY11" i="1" s="1"/>
  <c r="AW11" i="1"/>
  <c r="AU11" i="1"/>
  <c r="AT11" i="1"/>
  <c r="AS11" i="1"/>
  <c r="AQ11" i="1"/>
  <c r="AP11" i="1"/>
  <c r="AO11" i="1"/>
  <c r="AM11" i="1"/>
  <c r="AL11" i="1"/>
  <c r="AK11" i="1"/>
  <c r="AH11" i="1"/>
  <c r="AI11" i="1" s="1"/>
  <c r="AG11" i="1"/>
  <c r="AE11" i="1"/>
  <c r="AD11" i="1"/>
  <c r="AC11" i="1"/>
  <c r="Z11" i="1"/>
  <c r="AA11" i="1" s="1"/>
  <c r="Y11" i="1"/>
  <c r="V11" i="1"/>
  <c r="W11" i="1" s="1"/>
  <c r="U11" i="1"/>
  <c r="R11" i="1"/>
  <c r="S11" i="1" s="1"/>
  <c r="Q11" i="1"/>
  <c r="O11" i="1"/>
  <c r="N11" i="1"/>
  <c r="M11" i="1"/>
  <c r="K11" i="1"/>
  <c r="J11" i="1"/>
  <c r="I11" i="1"/>
  <c r="G11" i="1"/>
  <c r="F11" i="1"/>
  <c r="E11" i="1"/>
  <c r="BN10" i="1"/>
  <c r="BL10" i="1"/>
  <c r="BJ10" i="1"/>
  <c r="BM10" i="1" s="1"/>
  <c r="BI10" i="1"/>
  <c r="BG10" i="1"/>
  <c r="BF10" i="1"/>
  <c r="BE10" i="1"/>
  <c r="BB10" i="1"/>
  <c r="BC10" i="1" s="1"/>
  <c r="BA10" i="1"/>
  <c r="AY10" i="1"/>
  <c r="AX10" i="1"/>
  <c r="AW10" i="1"/>
  <c r="AT10" i="1"/>
  <c r="AU10" i="1" s="1"/>
  <c r="AS10" i="1"/>
  <c r="AP10" i="1"/>
  <c r="AQ10" i="1" s="1"/>
  <c r="AO10" i="1"/>
  <c r="AL10" i="1"/>
  <c r="AM10" i="1" s="1"/>
  <c r="AK10" i="1"/>
  <c r="AI10" i="1"/>
  <c r="AH10" i="1"/>
  <c r="AG10" i="1"/>
  <c r="AE10" i="1"/>
  <c r="AD10" i="1"/>
  <c r="AC10" i="1"/>
  <c r="AA10" i="1"/>
  <c r="Z10" i="1"/>
  <c r="Y10" i="1"/>
  <c r="V10" i="1"/>
  <c r="S10" i="1" s="1"/>
  <c r="U10" i="1"/>
  <c r="R10" i="1"/>
  <c r="Q10" i="1"/>
  <c r="N10" i="1"/>
  <c r="O10" i="1" s="1"/>
  <c r="M10" i="1"/>
  <c r="J10" i="1"/>
  <c r="K10" i="1" s="1"/>
  <c r="I10" i="1"/>
  <c r="F10" i="1"/>
  <c r="G10" i="1" s="1"/>
  <c r="E10" i="1"/>
  <c r="BN9" i="1"/>
  <c r="BL9" i="1"/>
  <c r="BJ9" i="1"/>
  <c r="BM9" i="1" s="1"/>
  <c r="BI9" i="1"/>
  <c r="BF9" i="1"/>
  <c r="BG9" i="1" s="1"/>
  <c r="BE9" i="1"/>
  <c r="BC9" i="1"/>
  <c r="BB9" i="1"/>
  <c r="BA9" i="1"/>
  <c r="AY9" i="1"/>
  <c r="AX9" i="1"/>
  <c r="AW9" i="1"/>
  <c r="AU9" i="1"/>
  <c r="AT9" i="1"/>
  <c r="AS9" i="1"/>
  <c r="AP9" i="1"/>
  <c r="AM9" i="1" s="1"/>
  <c r="AO9" i="1"/>
  <c r="AL9" i="1"/>
  <c r="AK9" i="1"/>
  <c r="AH9" i="1"/>
  <c r="AI9" i="1" s="1"/>
  <c r="AF9" i="1"/>
  <c r="AG9" i="1" s="1"/>
  <c r="AD9" i="1"/>
  <c r="AC9" i="1"/>
  <c r="AA9" i="1"/>
  <c r="Z9" i="1"/>
  <c r="Y9" i="1"/>
  <c r="V9" i="1"/>
  <c r="S9" i="1" s="1"/>
  <c r="U9" i="1"/>
  <c r="R9" i="1"/>
  <c r="Q9" i="1"/>
  <c r="N9" i="1"/>
  <c r="O9" i="1" s="1"/>
  <c r="M9" i="1"/>
  <c r="J9" i="1"/>
  <c r="K9" i="1" s="1"/>
  <c r="I9" i="1"/>
  <c r="F9" i="1"/>
  <c r="G9" i="1" s="1"/>
  <c r="E9" i="1"/>
  <c r="BN8" i="1"/>
  <c r="BL8" i="1"/>
  <c r="BJ8" i="1"/>
  <c r="BM8" i="1" s="1"/>
  <c r="BI8" i="1"/>
  <c r="BF8" i="1"/>
  <c r="BG8" i="1" s="1"/>
  <c r="BE8" i="1"/>
  <c r="BC8" i="1"/>
  <c r="BB8" i="1"/>
  <c r="BA8" i="1"/>
  <c r="AY8" i="1"/>
  <c r="AX8" i="1"/>
  <c r="AW8" i="1"/>
  <c r="AU8" i="1"/>
  <c r="AT8" i="1"/>
  <c r="AS8" i="1"/>
  <c r="AP8" i="1"/>
  <c r="AM8" i="1" s="1"/>
  <c r="AO8" i="1"/>
  <c r="AL8" i="1"/>
  <c r="AK8" i="1"/>
  <c r="AH8" i="1"/>
  <c r="AI8" i="1" s="1"/>
  <c r="AF8" i="1"/>
  <c r="AG8" i="1" s="1"/>
  <c r="AD8" i="1"/>
  <c r="AC8" i="1"/>
  <c r="AA8" i="1"/>
  <c r="Z8" i="1"/>
  <c r="Y8" i="1"/>
  <c r="V8" i="1"/>
  <c r="S8" i="1" s="1"/>
  <c r="U8" i="1"/>
  <c r="R8" i="1"/>
  <c r="Q8" i="1"/>
  <c r="N8" i="1"/>
  <c r="O8" i="1" s="1"/>
  <c r="M8" i="1"/>
  <c r="J8" i="1"/>
  <c r="K8" i="1" s="1"/>
  <c r="I8" i="1"/>
  <c r="F8" i="1"/>
  <c r="G8" i="1" s="1"/>
  <c r="E8" i="1"/>
  <c r="BN7" i="1"/>
  <c r="BL7" i="1"/>
  <c r="BJ7" i="1"/>
  <c r="BM7" i="1" s="1"/>
  <c r="BI7" i="1"/>
  <c r="BF7" i="1"/>
  <c r="BG7" i="1" s="1"/>
  <c r="BE7" i="1"/>
  <c r="BC7" i="1"/>
  <c r="BB7" i="1"/>
  <c r="BA7" i="1"/>
  <c r="AY7" i="1"/>
  <c r="AX7" i="1"/>
  <c r="AW7" i="1"/>
  <c r="AU7" i="1"/>
  <c r="AT7" i="1"/>
  <c r="AS7" i="1"/>
  <c r="AP7" i="1"/>
  <c r="AM7" i="1" s="1"/>
  <c r="AO7" i="1"/>
  <c r="AL7" i="1"/>
  <c r="AK7" i="1"/>
  <c r="AH7" i="1"/>
  <c r="AI7" i="1" s="1"/>
  <c r="AG7" i="1"/>
  <c r="AD7" i="1"/>
  <c r="AE7" i="1" s="1"/>
  <c r="AC7" i="1"/>
  <c r="Z7" i="1"/>
  <c r="AA7" i="1" s="1"/>
  <c r="Y7" i="1"/>
  <c r="W7" i="1"/>
  <c r="V7" i="1"/>
  <c r="U7" i="1"/>
  <c r="S7" i="1"/>
  <c r="R7" i="1"/>
  <c r="Q7" i="1"/>
  <c r="O7" i="1"/>
  <c r="N7" i="1"/>
  <c r="M7" i="1"/>
  <c r="J7" i="1"/>
  <c r="G7" i="1" s="1"/>
  <c r="I7" i="1"/>
  <c r="F7" i="1"/>
  <c r="E7" i="1"/>
  <c r="BN6" i="1"/>
  <c r="BM6" i="1"/>
  <c r="BL6" i="1"/>
  <c r="BJ6" i="1"/>
  <c r="BG6" i="1" s="1"/>
  <c r="BI6" i="1"/>
  <c r="BF6" i="1"/>
  <c r="BE6" i="1"/>
  <c r="BB6" i="1"/>
  <c r="BC6" i="1" s="1"/>
  <c r="BA6" i="1"/>
  <c r="AX6" i="1"/>
  <c r="AY6" i="1" s="1"/>
  <c r="AW6" i="1"/>
  <c r="AT6" i="1"/>
  <c r="AU6" i="1" s="1"/>
  <c r="AS6" i="1"/>
  <c r="AQ6" i="1"/>
  <c r="AP6" i="1"/>
  <c r="AO6" i="1"/>
  <c r="AM6" i="1"/>
  <c r="AL6" i="1"/>
  <c r="AK6" i="1"/>
  <c r="AI6" i="1"/>
  <c r="AH6" i="1"/>
  <c r="AG6" i="1"/>
  <c r="AD6" i="1"/>
  <c r="AA6" i="1" s="1"/>
  <c r="AC6" i="1"/>
  <c r="Z6" i="1"/>
  <c r="Y6" i="1"/>
  <c r="V6" i="1"/>
  <c r="W6" i="1" s="1"/>
  <c r="U6" i="1"/>
  <c r="R6" i="1"/>
  <c r="S6" i="1" s="1"/>
  <c r="Q6" i="1"/>
  <c r="N6" i="1"/>
  <c r="O6" i="1" s="1"/>
  <c r="M6" i="1"/>
  <c r="K6" i="1"/>
  <c r="J6" i="1"/>
  <c r="I6" i="1"/>
  <c r="G6" i="1"/>
  <c r="F6" i="1"/>
  <c r="E6" i="1"/>
  <c r="BN5" i="1"/>
  <c r="BM5" i="1" s="1"/>
  <c r="BL5" i="1"/>
  <c r="BJ5" i="1"/>
  <c r="BI5" i="1"/>
  <c r="BG5" i="1"/>
  <c r="BF5" i="1"/>
  <c r="BE5" i="1"/>
  <c r="BC5" i="1"/>
  <c r="BB5" i="1"/>
  <c r="BA5" i="1"/>
  <c r="AX5" i="1"/>
  <c r="AU5" i="1" s="1"/>
  <c r="AW5" i="1"/>
  <c r="AT5" i="1"/>
  <c r="AS5" i="1"/>
  <c r="AP5" i="1"/>
  <c r="AQ5" i="1" s="1"/>
  <c r="AO5" i="1"/>
  <c r="AL5" i="1"/>
  <c r="AM5" i="1" s="1"/>
  <c r="AK5" i="1"/>
  <c r="AH5" i="1"/>
  <c r="AI5" i="1" s="1"/>
  <c r="AF5" i="1"/>
  <c r="AG5" i="1" s="1"/>
  <c r="AD5" i="1"/>
  <c r="AE5" i="1" s="1"/>
  <c r="AC5" i="1"/>
  <c r="AB5" i="1"/>
  <c r="Z5" i="1"/>
  <c r="AA5" i="1" s="1"/>
  <c r="X5" i="1"/>
  <c r="Y5" i="1" s="1"/>
  <c r="V5" i="1"/>
  <c r="W5" i="1" s="1"/>
  <c r="U5" i="1"/>
  <c r="T5" i="1"/>
  <c r="R5" i="1"/>
  <c r="S5" i="1" s="1"/>
  <c r="P5" i="1"/>
  <c r="Q5" i="1" s="1"/>
  <c r="N5" i="1"/>
  <c r="O5" i="1" s="1"/>
  <c r="M5" i="1"/>
  <c r="L5" i="1"/>
  <c r="J5" i="1"/>
  <c r="K5" i="1" s="1"/>
  <c r="H5" i="1"/>
  <c r="I5" i="1" s="1"/>
  <c r="F5" i="1"/>
  <c r="G5" i="1" s="1"/>
  <c r="E5" i="1"/>
  <c r="D5" i="1"/>
  <c r="BN4" i="1"/>
  <c r="BL4" i="1"/>
  <c r="BJ4" i="1"/>
  <c r="BM4" i="1" s="1"/>
  <c r="BI4" i="1"/>
  <c r="BF4" i="1"/>
  <c r="BG4" i="1" s="1"/>
  <c r="BE4" i="1"/>
  <c r="BB4" i="1"/>
  <c r="BC4" i="1" s="1"/>
  <c r="BA4" i="1"/>
  <c r="AY4" i="1"/>
  <c r="AX4" i="1"/>
  <c r="AW4" i="1"/>
  <c r="AU4" i="1"/>
  <c r="AT4" i="1"/>
  <c r="AS4" i="1"/>
  <c r="AQ4" i="1"/>
  <c r="AP4" i="1"/>
  <c r="AO4" i="1"/>
  <c r="AL4" i="1"/>
  <c r="AM4" i="1" s="1"/>
  <c r="AK4" i="1"/>
  <c r="AH4" i="1"/>
  <c r="AI4" i="1" s="1"/>
  <c r="AG4" i="1"/>
  <c r="AD4" i="1"/>
  <c r="AE4" i="1" s="1"/>
  <c r="AB4" i="1"/>
  <c r="AC4" i="1" s="1"/>
  <c r="Z4" i="1"/>
  <c r="X4" i="1"/>
  <c r="Y4" i="1" s="1"/>
  <c r="V4" i="1"/>
  <c r="W4" i="1" s="1"/>
  <c r="T4" i="1"/>
  <c r="U4" i="1" s="1"/>
  <c r="R4" i="1"/>
  <c r="P4" i="1"/>
  <c r="Q4" i="1" s="1"/>
  <c r="N4" i="1"/>
  <c r="O4" i="1" s="1"/>
  <c r="L4" i="1"/>
  <c r="M4" i="1" s="1"/>
  <c r="J4" i="1"/>
  <c r="H4" i="1"/>
  <c r="I4" i="1" s="1"/>
  <c r="F4" i="1"/>
  <c r="G4" i="1" s="1"/>
  <c r="D4" i="1"/>
  <c r="E4" i="1" s="1"/>
  <c r="BN3" i="1"/>
  <c r="BL3" i="1"/>
  <c r="BJ3" i="1"/>
  <c r="BM3" i="1" s="1"/>
  <c r="BI3" i="1"/>
  <c r="BG3" i="1"/>
  <c r="BF3" i="1"/>
  <c r="BE3" i="1"/>
  <c r="BC3" i="1"/>
  <c r="BB3" i="1"/>
  <c r="BA3" i="1"/>
  <c r="AY3" i="1"/>
  <c r="AX3" i="1"/>
  <c r="AW3" i="1"/>
  <c r="AT3" i="1"/>
  <c r="AU3" i="1" s="1"/>
  <c r="AS3" i="1"/>
  <c r="AP3" i="1"/>
  <c r="AQ3" i="1" s="1"/>
  <c r="AO3" i="1"/>
  <c r="AL3" i="1"/>
  <c r="AM3" i="1" s="1"/>
  <c r="AK3" i="1"/>
  <c r="AH3" i="1"/>
  <c r="AI3" i="1" s="1"/>
  <c r="AG3" i="1"/>
  <c r="AD3" i="1"/>
  <c r="AE3" i="1" s="1"/>
  <c r="AB3" i="1"/>
  <c r="AC3" i="1" s="1"/>
  <c r="Z3" i="1"/>
  <c r="AA3" i="1" s="1"/>
  <c r="Y3" i="1"/>
  <c r="X3" i="1"/>
  <c r="V3" i="1"/>
  <c r="W3" i="1" s="1"/>
  <c r="T3" i="1"/>
  <c r="U3" i="1" s="1"/>
  <c r="R3" i="1"/>
  <c r="S3" i="1" s="1"/>
  <c r="Q3" i="1"/>
  <c r="P3" i="1"/>
  <c r="N3" i="1"/>
  <c r="O3" i="1" s="1"/>
  <c r="L3" i="1"/>
  <c r="M3" i="1" s="1"/>
  <c r="J3" i="1"/>
  <c r="K3" i="1" s="1"/>
  <c r="I3" i="1"/>
  <c r="H3" i="1"/>
  <c r="F3" i="1"/>
  <c r="G3" i="1" s="1"/>
  <c r="D3" i="1"/>
  <c r="E3" i="1" s="1"/>
  <c r="BN2" i="1"/>
  <c r="BM2" i="1"/>
  <c r="BL2" i="1"/>
  <c r="BJ2" i="1"/>
  <c r="BI2" i="1"/>
  <c r="BG2" i="1"/>
  <c r="BF2" i="1"/>
  <c r="BE2" i="1"/>
  <c r="BB2" i="1"/>
  <c r="BC2" i="1" s="1"/>
  <c r="BA2" i="1"/>
  <c r="AX2" i="1"/>
  <c r="AY2" i="1" s="1"/>
  <c r="AW2" i="1"/>
  <c r="AT2" i="1"/>
  <c r="AU2" i="1" s="1"/>
  <c r="AS2" i="1"/>
  <c r="AP2" i="1"/>
  <c r="AQ2" i="1" s="1"/>
  <c r="AO2" i="1"/>
  <c r="AL2" i="1"/>
  <c r="AM2" i="1" s="1"/>
  <c r="AK2" i="1"/>
  <c r="AI2" i="1"/>
  <c r="AH2" i="1"/>
  <c r="AG2" i="1"/>
  <c r="AE2" i="1"/>
  <c r="AD2" i="1"/>
  <c r="AC2" i="1"/>
  <c r="AA2" i="1"/>
  <c r="Z2" i="1"/>
  <c r="Y2" i="1"/>
  <c r="V2" i="1"/>
  <c r="W2" i="1" s="1"/>
  <c r="U2" i="1"/>
  <c r="R2" i="1"/>
  <c r="S2" i="1" s="1"/>
  <c r="Q2" i="1"/>
  <c r="N2" i="1"/>
  <c r="O2" i="1" s="1"/>
  <c r="M2" i="1"/>
  <c r="J2" i="1"/>
  <c r="K2" i="1" s="1"/>
  <c r="I2" i="1"/>
  <c r="F2" i="1"/>
  <c r="G2" i="1" s="1"/>
  <c r="E2" i="1"/>
  <c r="S4" i="1" l="1"/>
  <c r="AE8" i="1"/>
  <c r="AE9" i="1"/>
  <c r="BC43" i="1"/>
  <c r="K4" i="1"/>
  <c r="AA4" i="1"/>
  <c r="AI43" i="1"/>
  <c r="AE44" i="1"/>
  <c r="AA45" i="1"/>
  <c r="AI46" i="1"/>
  <c r="AI48" i="1"/>
  <c r="AI49" i="1"/>
  <c r="G52" i="1"/>
  <c r="S52" i="1"/>
  <c r="AE53" i="1"/>
  <c r="G57" i="1"/>
  <c r="AY5" i="1"/>
  <c r="AE6" i="1"/>
  <c r="K7" i="1"/>
  <c r="AQ7" i="1"/>
  <c r="W8" i="1"/>
  <c r="AQ8" i="1"/>
  <c r="W9" i="1"/>
  <c r="AQ9" i="1"/>
  <c r="W10" i="1"/>
  <c r="O12" i="1"/>
  <c r="AU12" i="1"/>
  <c r="AA13" i="1"/>
  <c r="BG13" i="1"/>
  <c r="AM14" i="1"/>
  <c r="S15" i="1"/>
  <c r="AY15" i="1"/>
  <c r="AE16" i="1"/>
  <c r="K17" i="1"/>
  <c r="AQ17" i="1"/>
  <c r="W18" i="1"/>
  <c r="BC18" i="1"/>
  <c r="W19" i="1"/>
  <c r="BC19" i="1"/>
  <c r="W20" i="1"/>
  <c r="BC20" i="1"/>
  <c r="W21" i="1"/>
  <c r="BC21" i="1"/>
  <c r="AI22" i="1"/>
  <c r="O23" i="1"/>
  <c r="O24" i="1"/>
  <c r="O25" i="1"/>
  <c r="O26" i="1"/>
  <c r="AU26" i="1"/>
  <c r="AA27" i="1"/>
  <c r="BG27" i="1"/>
  <c r="AM28" i="1"/>
  <c r="AA35" i="1"/>
  <c r="BG35" i="1"/>
  <c r="AM36" i="1"/>
  <c r="S37" i="1"/>
  <c r="AY37" i="1"/>
  <c r="AE38" i="1"/>
  <c r="K39" i="1"/>
  <c r="AQ39" i="1"/>
  <c r="W40" i="1"/>
  <c r="BC40" i="1"/>
  <c r="AI41" i="1"/>
  <c r="O43" i="1"/>
  <c r="K44" i="1"/>
  <c r="AQ44" i="1"/>
  <c r="AM45" i="1"/>
  <c r="O46" i="1"/>
  <c r="O47" i="1"/>
  <c r="AU47" i="1"/>
  <c r="O48" i="1"/>
  <c r="AU48" i="1"/>
  <c r="O49" i="1"/>
  <c r="AU49" i="1"/>
  <c r="AA50" i="1"/>
  <c r="BG50" i="1"/>
  <c r="AU51" i="1"/>
  <c r="G53" i="1"/>
  <c r="AE54" i="1"/>
  <c r="AQ54" i="1"/>
  <c r="AM55" i="1"/>
  <c r="AI56" i="1"/>
  <c r="S57" i="1"/>
  <c r="O58" i="1"/>
  <c r="AA58" i="1"/>
  <c r="AQ59" i="1"/>
  <c r="BC59" i="1"/>
  <c r="G60" i="1"/>
  <c r="S60" i="1"/>
  <c r="S61" i="1"/>
  <c r="AE61" i="1"/>
  <c r="AE62" i="1"/>
  <c r="AQ62" i="1"/>
  <c r="G63" i="1"/>
  <c r="BM64" i="1"/>
  <c r="AU63" i="1"/>
  <c r="BG63" i="1"/>
  <c r="K64" i="1"/>
  <c r="W64" i="1"/>
  <c r="AE65" i="1"/>
  <c r="K66" i="1"/>
  <c r="AE69" i="1"/>
  <c r="AQ52" i="1"/>
  <c r="AU52" i="1"/>
  <c r="BM52" i="1"/>
  <c r="AA53" i="1"/>
  <c r="AY53" i="1"/>
  <c r="K54" i="1"/>
  <c r="BM54" i="1"/>
  <c r="BG55" i="1"/>
  <c r="BC56" i="1"/>
  <c r="AI57" i="1"/>
  <c r="AU57" i="1"/>
  <c r="AU58" i="1"/>
  <c r="BG58" i="1"/>
  <c r="K59" i="1"/>
  <c r="W59" i="1"/>
  <c r="AM60" i="1"/>
  <c r="AY60" i="1"/>
  <c r="AY61" i="1"/>
  <c r="K62" i="1"/>
  <c r="BM62" i="1"/>
  <c r="AA63" i="1"/>
  <c r="AE64" i="1"/>
  <c r="AQ64" i="1"/>
  <c r="BC67" i="1"/>
  <c r="S68" i="1"/>
  <c r="BG81" i="1"/>
  <c r="BC82" i="1"/>
  <c r="AQ84" i="1"/>
  <c r="AA85" i="1"/>
  <c r="BM85" i="1"/>
  <c r="AA88" i="1"/>
  <c r="BC88" i="1"/>
  <c r="AI90" i="1"/>
  <c r="AU91" i="1"/>
  <c r="K92" i="1"/>
  <c r="W93" i="1"/>
  <c r="BM93" i="1"/>
  <c r="O97" i="1"/>
  <c r="S97" i="1"/>
  <c r="AE101" i="1"/>
  <c r="AI101" i="1"/>
  <c r="BM101" i="1"/>
  <c r="K102" i="1"/>
  <c r="O102" i="1"/>
  <c r="AE103" i="1"/>
  <c r="AM105" i="1"/>
  <c r="AQ105" i="1"/>
  <c r="S106" i="1"/>
  <c r="W106" i="1"/>
  <c r="O113" i="1"/>
  <c r="S113" i="1"/>
  <c r="AY122" i="1"/>
  <c r="BC122" i="1"/>
  <c r="AQ127" i="1"/>
  <c r="AU127" i="1"/>
  <c r="W136" i="1"/>
  <c r="AA136" i="1"/>
  <c r="BC148" i="1"/>
  <c r="BG148" i="1"/>
  <c r="AI149" i="1"/>
  <c r="AM149" i="1"/>
  <c r="AY157" i="1"/>
  <c r="BC157" i="1"/>
  <c r="AI161" i="1"/>
  <c r="AM161" i="1"/>
  <c r="AE166" i="1"/>
  <c r="AI166" i="1"/>
  <c r="K167" i="1"/>
  <c r="O167" i="1"/>
  <c r="AA73" i="1"/>
  <c r="BG73" i="1"/>
  <c r="G74" i="1"/>
  <c r="AM74" i="1"/>
  <c r="S75" i="1"/>
  <c r="AY75" i="1"/>
  <c r="AE76" i="1"/>
  <c r="K77" i="1"/>
  <c r="AQ77" i="1"/>
  <c r="W78" i="1"/>
  <c r="BC78" i="1"/>
  <c r="AI79" i="1"/>
  <c r="O80" i="1"/>
  <c r="AU80" i="1"/>
  <c r="AA81" i="1"/>
  <c r="O83" i="1"/>
  <c r="AM83" i="1"/>
  <c r="AY83" i="1"/>
  <c r="AM85" i="1"/>
  <c r="W87" i="1"/>
  <c r="K90" i="1"/>
  <c r="W91" i="1"/>
  <c r="AY92" i="1"/>
  <c r="AU95" i="1"/>
  <c r="AA96" i="1"/>
  <c r="BC108" i="1"/>
  <c r="BG108" i="1"/>
  <c r="O114" i="1"/>
  <c r="S114" i="1"/>
  <c r="AM117" i="1"/>
  <c r="AQ117" i="1"/>
  <c r="S118" i="1"/>
  <c r="W118" i="1"/>
  <c r="BG131" i="1"/>
  <c r="BM131" i="1"/>
  <c r="AM132" i="1"/>
  <c r="AQ132" i="1"/>
  <c r="S133" i="1"/>
  <c r="W133" i="1"/>
  <c r="BM140" i="1"/>
  <c r="AY141" i="1"/>
  <c r="BC141" i="1"/>
  <c r="AY143" i="1"/>
  <c r="BC143" i="1"/>
  <c r="AY145" i="1"/>
  <c r="BC145" i="1"/>
  <c r="O150" i="1"/>
  <c r="S150" i="1"/>
  <c r="AU152" i="1"/>
  <c r="AY152" i="1"/>
  <c r="AI153" i="1"/>
  <c r="AM153" i="1"/>
  <c r="AE158" i="1"/>
  <c r="AI158" i="1"/>
  <c r="AQ159" i="1"/>
  <c r="AU159" i="1"/>
  <c r="O162" i="1"/>
  <c r="S162" i="1"/>
  <c r="AU170" i="1"/>
  <c r="AY170" i="1"/>
  <c r="AA171" i="1"/>
  <c r="AE171" i="1"/>
  <c r="G172" i="1"/>
  <c r="K172" i="1"/>
  <c r="G176" i="1"/>
  <c r="K176" i="1"/>
  <c r="O177" i="1"/>
  <c r="S177" i="1"/>
  <c r="K181" i="1"/>
  <c r="O181" i="1"/>
  <c r="AU97" i="1"/>
  <c r="AY97" i="1"/>
  <c r="AA98" i="1"/>
  <c r="AE98" i="1"/>
  <c r="AQ102" i="1"/>
  <c r="AU102" i="1"/>
  <c r="K104" i="1"/>
  <c r="O104" i="1"/>
  <c r="AY106" i="1"/>
  <c r="BC106" i="1"/>
  <c r="W128" i="1"/>
  <c r="AA128" i="1"/>
  <c r="BC136" i="1"/>
  <c r="BG136" i="1"/>
  <c r="AI137" i="1"/>
  <c r="AM137" i="1"/>
  <c r="K141" i="1"/>
  <c r="O141" i="1"/>
  <c r="AE146" i="1"/>
  <c r="AI146" i="1"/>
  <c r="K147" i="1"/>
  <c r="O147" i="1"/>
  <c r="O154" i="1"/>
  <c r="S154" i="1"/>
  <c r="AQ167" i="1"/>
  <c r="AU167" i="1"/>
  <c r="W180" i="1"/>
  <c r="AA180" i="1"/>
  <c r="AQ94" i="1"/>
  <c r="AU94" i="1"/>
  <c r="G99" i="1"/>
  <c r="K99" i="1"/>
  <c r="AY104" i="1"/>
  <c r="BC104" i="1"/>
  <c r="O108" i="1"/>
  <c r="S108" i="1"/>
  <c r="AU114" i="1"/>
  <c r="AY114" i="1"/>
  <c r="AA115" i="1"/>
  <c r="AE115" i="1"/>
  <c r="G116" i="1"/>
  <c r="K116" i="1"/>
  <c r="AY118" i="1"/>
  <c r="BC118" i="1"/>
  <c r="AY133" i="1"/>
  <c r="BC133" i="1"/>
  <c r="O138" i="1"/>
  <c r="S138" i="1"/>
  <c r="S142" i="1"/>
  <c r="W142" i="1"/>
  <c r="S144" i="1"/>
  <c r="W144" i="1"/>
  <c r="AU150" i="1"/>
  <c r="AY150" i="1"/>
  <c r="AA151" i="1"/>
  <c r="AE151" i="1"/>
  <c r="BC160" i="1"/>
  <c r="BG160" i="1"/>
  <c r="AU162" i="1"/>
  <c r="AY162" i="1"/>
  <c r="AA163" i="1"/>
  <c r="AE163" i="1"/>
  <c r="G164" i="1"/>
  <c r="K164" i="1"/>
  <c r="BG171" i="1"/>
  <c r="BM171" i="1"/>
  <c r="AM172" i="1"/>
  <c r="AQ172" i="1"/>
  <c r="S173" i="1"/>
  <c r="W173" i="1"/>
  <c r="AE175" i="1"/>
  <c r="AI175" i="1"/>
  <c r="AM176" i="1"/>
  <c r="AQ176" i="1"/>
  <c r="AU177" i="1"/>
  <c r="AY177" i="1"/>
  <c r="AQ81" i="1"/>
  <c r="AE83" i="1"/>
  <c r="O84" i="1"/>
  <c r="BC85" i="1"/>
  <c r="G86" i="1"/>
  <c r="AQ86" i="1"/>
  <c r="BC86" i="1"/>
  <c r="O87" i="1"/>
  <c r="AU88" i="1"/>
  <c r="W89" i="1"/>
  <c r="O91" i="1"/>
  <c r="AQ92" i="1"/>
  <c r="BC93" i="1"/>
  <c r="AM97" i="1"/>
  <c r="S98" i="1"/>
  <c r="S107" i="1"/>
  <c r="W107" i="1"/>
  <c r="W109" i="1"/>
  <c r="AA109" i="1"/>
  <c r="AU119" i="1"/>
  <c r="AY119" i="1"/>
  <c r="AQ120" i="1"/>
  <c r="AU120" i="1"/>
  <c r="BC128" i="1"/>
  <c r="BG128" i="1"/>
  <c r="AI129" i="1"/>
  <c r="AM129" i="1"/>
  <c r="AE134" i="1"/>
  <c r="AI134" i="1"/>
  <c r="BM134" i="1"/>
  <c r="K135" i="1"/>
  <c r="O135" i="1"/>
  <c r="AQ147" i="1"/>
  <c r="AU147" i="1"/>
  <c r="AU154" i="1"/>
  <c r="AY154" i="1"/>
  <c r="AA155" i="1"/>
  <c r="AE155" i="1"/>
  <c r="G156" i="1"/>
  <c r="K156" i="1"/>
  <c r="W168" i="1"/>
  <c r="AA168" i="1"/>
  <c r="AY175" i="1"/>
  <c r="AM82" i="1"/>
  <c r="AA84" i="1"/>
  <c r="K85" i="1"/>
  <c r="S86" i="1"/>
  <c r="AI89" i="1"/>
  <c r="AQ90" i="1"/>
  <c r="BC91" i="1"/>
  <c r="S92" i="1"/>
  <c r="AE93" i="1"/>
  <c r="W94" i="1"/>
  <c r="S94" i="1"/>
  <c r="AI94" i="1"/>
  <c r="W95" i="1"/>
  <c r="AA95" i="1"/>
  <c r="AM99" i="1"/>
  <c r="AQ99" i="1"/>
  <c r="S100" i="1"/>
  <c r="W100" i="1"/>
  <c r="AE110" i="1"/>
  <c r="AI110" i="1"/>
  <c r="BM110" i="1"/>
  <c r="BM111" i="1"/>
  <c r="K112" i="1"/>
  <c r="O112" i="1"/>
  <c r="BG115" i="1"/>
  <c r="BM115" i="1"/>
  <c r="AM116" i="1"/>
  <c r="AQ116" i="1"/>
  <c r="AY125" i="1"/>
  <c r="BC125" i="1"/>
  <c r="O130" i="1"/>
  <c r="S130" i="1"/>
  <c r="AU138" i="1"/>
  <c r="AY138" i="1"/>
  <c r="AA139" i="1"/>
  <c r="AE139" i="1"/>
  <c r="AY142" i="1"/>
  <c r="BC142" i="1"/>
  <c r="AY144" i="1"/>
  <c r="BC144" i="1"/>
  <c r="BG163" i="1"/>
  <c r="BM163" i="1"/>
  <c r="AM164" i="1"/>
  <c r="AQ164" i="1"/>
  <c r="S165" i="1"/>
  <c r="W165" i="1"/>
  <c r="AY173" i="1"/>
  <c r="BC173" i="1"/>
  <c r="BC177" i="1"/>
  <c r="S105" i="1"/>
  <c r="W105" i="1"/>
  <c r="BG107" i="1"/>
  <c r="BM107" i="1"/>
  <c r="AM121" i="1"/>
  <c r="AQ121" i="1"/>
  <c r="S122" i="1"/>
  <c r="W122" i="1"/>
  <c r="AY124" i="1"/>
  <c r="BC124" i="1"/>
  <c r="AE126" i="1"/>
  <c r="AI126" i="1"/>
  <c r="K127" i="1"/>
  <c r="O127" i="1"/>
  <c r="AQ135" i="1"/>
  <c r="AU135" i="1"/>
  <c r="W148" i="1"/>
  <c r="AA148" i="1"/>
  <c r="AU151" i="1"/>
  <c r="AY151" i="1"/>
  <c r="AA152" i="1"/>
  <c r="AE152" i="1"/>
  <c r="BG155" i="1"/>
  <c r="BM155" i="1"/>
  <c r="AM156" i="1"/>
  <c r="AQ156" i="1"/>
  <c r="S157" i="1"/>
  <c r="W157" i="1"/>
  <c r="BC168" i="1"/>
  <c r="BG168" i="1"/>
  <c r="AI169" i="1"/>
  <c r="AM169" i="1"/>
  <c r="AE174" i="1"/>
  <c r="AI174" i="1"/>
  <c r="BC95" i="1"/>
  <c r="BG95" i="1"/>
  <c r="AI96" i="1"/>
  <c r="AM96" i="1"/>
  <c r="AY100" i="1"/>
  <c r="BC100" i="1"/>
  <c r="G117" i="1"/>
  <c r="K117" i="1"/>
  <c r="AY123" i="1"/>
  <c r="BC123" i="1"/>
  <c r="AU130" i="1"/>
  <c r="AY130" i="1"/>
  <c r="AA131" i="1"/>
  <c r="AE131" i="1"/>
  <c r="G132" i="1"/>
  <c r="K132" i="1"/>
  <c r="S143" i="1"/>
  <c r="W143" i="1"/>
  <c r="S145" i="1"/>
  <c r="W145" i="1"/>
  <c r="AY165" i="1"/>
  <c r="BC165" i="1"/>
  <c r="O170" i="1"/>
  <c r="S170" i="1"/>
  <c r="AI178" i="1"/>
  <c r="AM178" i="1"/>
  <c r="BC179" i="1"/>
  <c r="BG179" i="1"/>
  <c r="AQ180" i="1"/>
  <c r="AU180" i="1"/>
  <c r="AY181" i="1"/>
  <c r="BC181" i="1"/>
  <c r="AQ307" i="1"/>
  <c r="AU307" i="1"/>
  <c r="AE428" i="1"/>
  <c r="AI428" i="1"/>
  <c r="AU435" i="1"/>
  <c r="AY435" i="1"/>
  <c r="W439" i="1"/>
  <c r="AA439" i="1"/>
  <c r="BG444" i="1"/>
  <c r="BM444" i="1"/>
  <c r="O473" i="1"/>
  <c r="S473" i="1"/>
  <c r="AE473" i="1"/>
  <c r="AI473" i="1"/>
  <c r="AI512" i="1"/>
  <c r="AM512" i="1"/>
  <c r="AE521" i="1"/>
  <c r="AI521" i="1"/>
  <c r="AU525" i="1"/>
  <c r="AY525" i="1"/>
  <c r="AI676" i="1"/>
  <c r="AM676" i="1"/>
  <c r="S686" i="1"/>
  <c r="W686" i="1"/>
  <c r="AE700" i="1"/>
  <c r="AI700" i="1"/>
  <c r="AM703" i="1"/>
  <c r="AQ703" i="1"/>
  <c r="AQ706" i="1"/>
  <c r="AU706" i="1"/>
  <c r="AU709" i="1"/>
  <c r="AY709" i="1"/>
  <c r="AY712" i="1"/>
  <c r="BC712" i="1"/>
  <c r="BC715" i="1"/>
  <c r="BG715" i="1"/>
  <c r="AA718" i="1"/>
  <c r="AE718" i="1"/>
  <c r="AQ735" i="1"/>
  <c r="AU735" i="1"/>
  <c r="AA736" i="1"/>
  <c r="AE736" i="1"/>
  <c r="K737" i="1"/>
  <c r="O737" i="1"/>
  <c r="AE791" i="1"/>
  <c r="AI791" i="1"/>
  <c r="AU799" i="1"/>
  <c r="AY799" i="1"/>
  <c r="AE807" i="1"/>
  <c r="AI807" i="1"/>
  <c r="W809" i="1"/>
  <c r="AA809" i="1"/>
  <c r="AY811" i="1"/>
  <c r="BC811" i="1"/>
  <c r="AY815" i="1"/>
  <c r="BC815" i="1"/>
  <c r="G818" i="1"/>
  <c r="K818" i="1"/>
  <c r="BC830" i="1"/>
  <c r="AY830" i="1"/>
  <c r="AI841" i="1"/>
  <c r="AM841" i="1"/>
  <c r="AI851" i="1"/>
  <c r="AM851" i="1"/>
  <c r="O869" i="1"/>
  <c r="S869" i="1"/>
  <c r="AM871" i="1"/>
  <c r="AQ871" i="1"/>
  <c r="K874" i="1"/>
  <c r="O874" i="1"/>
  <c r="BC875" i="1"/>
  <c r="BG875" i="1"/>
  <c r="G879" i="1"/>
  <c r="K879" i="1"/>
  <c r="W905" i="1"/>
  <c r="S905" i="1"/>
  <c r="O908" i="1"/>
  <c r="K908" i="1"/>
  <c r="AU910" i="1"/>
  <c r="AQ910" i="1"/>
  <c r="BG911" i="1"/>
  <c r="BC911" i="1"/>
  <c r="BM931" i="1"/>
  <c r="BG931" i="1"/>
  <c r="BM141" i="1"/>
  <c r="AI182" i="1"/>
  <c r="O183" i="1"/>
  <c r="BC183" i="1"/>
  <c r="W185" i="1"/>
  <c r="AQ185" i="1"/>
  <c r="K186" i="1"/>
  <c r="AQ186" i="1"/>
  <c r="W187" i="1"/>
  <c r="BC187" i="1"/>
  <c r="AI188" i="1"/>
  <c r="O189" i="1"/>
  <c r="AU189" i="1"/>
  <c r="AA190" i="1"/>
  <c r="BG190" i="1"/>
  <c r="AM191" i="1"/>
  <c r="S192" i="1"/>
  <c r="AY192" i="1"/>
  <c r="AE193" i="1"/>
  <c r="K194" i="1"/>
  <c r="AQ194" i="1"/>
  <c r="BG195" i="1"/>
  <c r="AQ196" i="1"/>
  <c r="BG197" i="1"/>
  <c r="AM198" i="1"/>
  <c r="S199" i="1"/>
  <c r="AY199" i="1"/>
  <c r="AE200" i="1"/>
  <c r="K201" i="1"/>
  <c r="AQ201" i="1"/>
  <c r="W202" i="1"/>
  <c r="BC202" i="1"/>
  <c r="S206" i="1"/>
  <c r="AY206" i="1"/>
  <c r="AE207" i="1"/>
  <c r="K208" i="1"/>
  <c r="AQ208" i="1"/>
  <c r="W209" i="1"/>
  <c r="BC209" i="1"/>
  <c r="AI210" i="1"/>
  <c r="O211" i="1"/>
  <c r="AU211" i="1"/>
  <c r="AA212" i="1"/>
  <c r="BG212" i="1"/>
  <c r="AM213" i="1"/>
  <c r="S214" i="1"/>
  <c r="AY214" i="1"/>
  <c r="AE215" i="1"/>
  <c r="K216" i="1"/>
  <c r="AQ216" i="1"/>
  <c r="W217" i="1"/>
  <c r="BC217" i="1"/>
  <c r="AI218" i="1"/>
  <c r="O219" i="1"/>
  <c r="AU219" i="1"/>
  <c r="AA220" i="1"/>
  <c r="BG220" i="1"/>
  <c r="AM221" i="1"/>
  <c r="S222" i="1"/>
  <c r="AY222" i="1"/>
  <c r="AE223" i="1"/>
  <c r="BG223" i="1"/>
  <c r="O225" i="1"/>
  <c r="W226" i="1"/>
  <c r="BC227" i="1"/>
  <c r="G232" i="1"/>
  <c r="O233" i="1"/>
  <c r="O234" i="1"/>
  <c r="AM234" i="1"/>
  <c r="G236" i="1"/>
  <c r="AY237" i="1"/>
  <c r="O247" i="1"/>
  <c r="AQ247" i="1"/>
  <c r="AU259" i="1"/>
  <c r="AY259" i="1"/>
  <c r="G260" i="1"/>
  <c r="K260" i="1"/>
  <c r="G261" i="1"/>
  <c r="K261" i="1"/>
  <c r="AI265" i="1"/>
  <c r="AA278" i="1"/>
  <c r="W283" i="1"/>
  <c r="AQ284" i="1"/>
  <c r="AU284" i="1"/>
  <c r="K285" i="1"/>
  <c r="BG306" i="1"/>
  <c r="O311" i="1"/>
  <c r="AE316" i="1"/>
  <c r="AI316" i="1"/>
  <c r="BG331" i="1"/>
  <c r="AM332" i="1"/>
  <c r="AE342" i="1"/>
  <c r="AI342" i="1"/>
  <c r="BC344" i="1"/>
  <c r="AU346" i="1"/>
  <c r="AY346" i="1"/>
  <c r="AI353" i="1"/>
  <c r="W360" i="1"/>
  <c r="BG363" i="1"/>
  <c r="AE371" i="1"/>
  <c r="AI371" i="1"/>
  <c r="AY374" i="1"/>
  <c r="BM375" i="1"/>
  <c r="W385" i="1"/>
  <c r="AE389" i="1"/>
  <c r="AI389" i="1"/>
  <c r="AM393" i="1"/>
  <c r="G395" i="1"/>
  <c r="K395" i="1"/>
  <c r="O397" i="1"/>
  <c r="S397" i="1"/>
  <c r="BC404" i="1"/>
  <c r="BG407" i="1"/>
  <c r="O414" i="1"/>
  <c r="K419" i="1"/>
  <c r="W420" i="1"/>
  <c r="AA423" i="1"/>
  <c r="G437" i="1"/>
  <c r="K437" i="1"/>
  <c r="AQ437" i="1"/>
  <c r="AU437" i="1"/>
  <c r="AE443" i="1"/>
  <c r="AY447" i="1"/>
  <c r="AM448" i="1"/>
  <c r="AA450" i="1"/>
  <c r="W457" i="1"/>
  <c r="AY466" i="1"/>
  <c r="W475" i="1"/>
  <c r="W476" i="1"/>
  <c r="S483" i="1"/>
  <c r="AQ485" i="1"/>
  <c r="BC486" i="1"/>
  <c r="BM494" i="1"/>
  <c r="AM501" i="1"/>
  <c r="AU504" i="1"/>
  <c r="AA513" i="1"/>
  <c r="W513" i="1"/>
  <c r="BG533" i="1"/>
  <c r="BC533" i="1"/>
  <c r="BM185" i="1"/>
  <c r="BM193" i="1"/>
  <c r="BM200" i="1"/>
  <c r="BM207" i="1"/>
  <c r="BM215" i="1"/>
  <c r="AU260" i="1"/>
  <c r="AY260" i="1"/>
  <c r="AU261" i="1"/>
  <c r="AY261" i="1"/>
  <c r="AE287" i="1"/>
  <c r="AI287" i="1"/>
  <c r="BG287" i="1"/>
  <c r="BM287" i="1"/>
  <c r="BM314" i="1"/>
  <c r="BM316" i="1"/>
  <c r="W319" i="1"/>
  <c r="AE326" i="1"/>
  <c r="AI326" i="1"/>
  <c r="AA347" i="1"/>
  <c r="AE347" i="1"/>
  <c r="G348" i="1"/>
  <c r="K348" i="1"/>
  <c r="W352" i="1"/>
  <c r="AE358" i="1"/>
  <c r="AM364" i="1"/>
  <c r="BC377" i="1"/>
  <c r="BC383" i="1"/>
  <c r="AI386" i="1"/>
  <c r="AU387" i="1"/>
  <c r="G389" i="1"/>
  <c r="K389" i="1"/>
  <c r="K390" i="1"/>
  <c r="AE391" i="1"/>
  <c r="AI391" i="1"/>
  <c r="AY394" i="1"/>
  <c r="S396" i="1"/>
  <c r="W396" i="1"/>
  <c r="AQ403" i="1"/>
  <c r="AY409" i="1"/>
  <c r="BM410" i="1"/>
  <c r="AA415" i="1"/>
  <c r="AM416" i="1"/>
  <c r="S425" i="1"/>
  <c r="AE426" i="1"/>
  <c r="AE427" i="1"/>
  <c r="AI427" i="1"/>
  <c r="K428" i="1"/>
  <c r="BM428" i="1"/>
  <c r="AM439" i="1"/>
  <c r="AQ439" i="1"/>
  <c r="AE453" i="1"/>
  <c r="W456" i="1"/>
  <c r="AU463" i="1"/>
  <c r="AM465" i="1"/>
  <c r="AY467" i="1"/>
  <c r="AM471" i="1"/>
  <c r="BM473" i="1"/>
  <c r="O480" i="1"/>
  <c r="G482" i="1"/>
  <c r="AE484" i="1"/>
  <c r="AQ489" i="1"/>
  <c r="BC490" i="1"/>
  <c r="AY502" i="1"/>
  <c r="AI507" i="1"/>
  <c r="AE507" i="1"/>
  <c r="AA509" i="1"/>
  <c r="W509" i="1"/>
  <c r="AA512" i="1"/>
  <c r="AE512" i="1"/>
  <c r="BM512" i="1"/>
  <c r="BG512" i="1"/>
  <c r="S520" i="1"/>
  <c r="W520" i="1"/>
  <c r="AI524" i="1"/>
  <c r="AM524" i="1"/>
  <c r="AM549" i="1"/>
  <c r="AI549" i="1"/>
  <c r="S235" i="1"/>
  <c r="AM239" i="1"/>
  <c r="W240" i="1"/>
  <c r="AY242" i="1"/>
  <c r="AQ246" i="1"/>
  <c r="AM250" i="1"/>
  <c r="W252" i="1"/>
  <c r="AI253" i="1"/>
  <c r="W254" i="1"/>
  <c r="AM283" i="1"/>
  <c r="AQ283" i="1"/>
  <c r="S333" i="1"/>
  <c r="W333" i="1"/>
  <c r="AY333" i="1"/>
  <c r="AA339" i="1"/>
  <c r="AE339" i="1"/>
  <c r="G340" i="1"/>
  <c r="K340" i="1"/>
  <c r="AQ379" i="1"/>
  <c r="AU379" i="1"/>
  <c r="AU381" i="1"/>
  <c r="AY381" i="1"/>
  <c r="AM435" i="1"/>
  <c r="AQ435" i="1"/>
  <c r="BG437" i="1"/>
  <c r="BM437" i="1"/>
  <c r="O439" i="1"/>
  <c r="S439" i="1"/>
  <c r="AY444" i="1"/>
  <c r="BC444" i="1"/>
  <c r="BG496" i="1"/>
  <c r="BM496" i="1"/>
  <c r="AE499" i="1"/>
  <c r="AI499" i="1"/>
  <c r="BG519" i="1"/>
  <c r="BC519" i="1"/>
  <c r="AY94" i="1"/>
  <c r="AE95" i="1"/>
  <c r="K96" i="1"/>
  <c r="AQ96" i="1"/>
  <c r="W97" i="1"/>
  <c r="BC97" i="1"/>
  <c r="AI98" i="1"/>
  <c r="O99" i="1"/>
  <c r="AU99" i="1"/>
  <c r="AA100" i="1"/>
  <c r="G101" i="1"/>
  <c r="AM101" i="1"/>
  <c r="S102" i="1"/>
  <c r="AY102" i="1"/>
  <c r="S103" i="1"/>
  <c r="AM103" i="1"/>
  <c r="G105" i="1"/>
  <c r="AA105" i="1"/>
  <c r="AU105" i="1"/>
  <c r="AA106" i="1"/>
  <c r="AI107" i="1"/>
  <c r="W108" i="1"/>
  <c r="AM109" i="1"/>
  <c r="G110" i="1"/>
  <c r="AM110" i="1"/>
  <c r="G111" i="1"/>
  <c r="AY111" i="1"/>
  <c r="S112" i="1"/>
  <c r="W114" i="1"/>
  <c r="BC114" i="1"/>
  <c r="AI115" i="1"/>
  <c r="O116" i="1"/>
  <c r="AU116" i="1"/>
  <c r="O117" i="1"/>
  <c r="AU117" i="1"/>
  <c r="AA118" i="1"/>
  <c r="G119" i="1"/>
  <c r="BC119" i="1"/>
  <c r="AY120" i="1"/>
  <c r="AU121" i="1"/>
  <c r="AA122" i="1"/>
  <c r="G123" i="1"/>
  <c r="G124" i="1"/>
  <c r="G125" i="1"/>
  <c r="G126" i="1"/>
  <c r="AM126" i="1"/>
  <c r="S127" i="1"/>
  <c r="AY127" i="1"/>
  <c r="AE128" i="1"/>
  <c r="K129" i="1"/>
  <c r="AQ129" i="1"/>
  <c r="W130" i="1"/>
  <c r="BC130" i="1"/>
  <c r="AI131" i="1"/>
  <c r="O132" i="1"/>
  <c r="AU132" i="1"/>
  <c r="AA133" i="1"/>
  <c r="G134" i="1"/>
  <c r="AM134" i="1"/>
  <c r="S135" i="1"/>
  <c r="AY135" i="1"/>
  <c r="AE136" i="1"/>
  <c r="K137" i="1"/>
  <c r="AQ137" i="1"/>
  <c r="W138" i="1"/>
  <c r="BC138" i="1"/>
  <c r="K140" i="1"/>
  <c r="AY140" i="1"/>
  <c r="S141" i="1"/>
  <c r="AM141" i="1"/>
  <c r="AA142" i="1"/>
  <c r="AA143" i="1"/>
  <c r="AA144" i="1"/>
  <c r="AA145" i="1"/>
  <c r="G146" i="1"/>
  <c r="AM146" i="1"/>
  <c r="S147" i="1"/>
  <c r="AY147" i="1"/>
  <c r="AE148" i="1"/>
  <c r="K149" i="1"/>
  <c r="AQ149" i="1"/>
  <c r="W150" i="1"/>
  <c r="BC150" i="1"/>
  <c r="BC151" i="1"/>
  <c r="BC152" i="1"/>
  <c r="AQ153" i="1"/>
  <c r="W154" i="1"/>
  <c r="BC154" i="1"/>
  <c r="AI155" i="1"/>
  <c r="O156" i="1"/>
  <c r="AU156" i="1"/>
  <c r="AA157" i="1"/>
  <c r="G158" i="1"/>
  <c r="AM158" i="1"/>
  <c r="AY159" i="1"/>
  <c r="AQ161" i="1"/>
  <c r="W162" i="1"/>
  <c r="BC162" i="1"/>
  <c r="AI163" i="1"/>
  <c r="O164" i="1"/>
  <c r="AU164" i="1"/>
  <c r="AA165" i="1"/>
  <c r="G166" i="1"/>
  <c r="AM166" i="1"/>
  <c r="S167" i="1"/>
  <c r="AY167" i="1"/>
  <c r="AE168" i="1"/>
  <c r="K169" i="1"/>
  <c r="AQ169" i="1"/>
  <c r="W170" i="1"/>
  <c r="BC170" i="1"/>
  <c r="AI171" i="1"/>
  <c r="O172" i="1"/>
  <c r="AU172" i="1"/>
  <c r="AA173" i="1"/>
  <c r="G174" i="1"/>
  <c r="AM174" i="1"/>
  <c r="G175" i="1"/>
  <c r="AM175" i="1"/>
  <c r="O176" i="1"/>
  <c r="AU176" i="1"/>
  <c r="W177" i="1"/>
  <c r="K178" i="1"/>
  <c r="AQ178" i="1"/>
  <c r="K179" i="1"/>
  <c r="AY180" i="1"/>
  <c r="S181" i="1"/>
  <c r="G182" i="1"/>
  <c r="AM182" i="1"/>
  <c r="S183" i="1"/>
  <c r="AM183" i="1"/>
  <c r="G184" i="1"/>
  <c r="AA185" i="1"/>
  <c r="O186" i="1"/>
  <c r="AU186" i="1"/>
  <c r="AA187" i="1"/>
  <c r="G188" i="1"/>
  <c r="AM188" i="1"/>
  <c r="S189" i="1"/>
  <c r="AY189" i="1"/>
  <c r="AE190" i="1"/>
  <c r="K191" i="1"/>
  <c r="AQ191" i="1"/>
  <c r="W192" i="1"/>
  <c r="BC192" i="1"/>
  <c r="AI193" i="1"/>
  <c r="O194" i="1"/>
  <c r="AU194" i="1"/>
  <c r="K196" i="1"/>
  <c r="AU196" i="1"/>
  <c r="K198" i="1"/>
  <c r="AQ198" i="1"/>
  <c r="W199" i="1"/>
  <c r="BC199" i="1"/>
  <c r="AI200" i="1"/>
  <c r="O201" i="1"/>
  <c r="AU201" i="1"/>
  <c r="AA202" i="1"/>
  <c r="S204" i="1"/>
  <c r="W206" i="1"/>
  <c r="BC206" i="1"/>
  <c r="AI207" i="1"/>
  <c r="O208" i="1"/>
  <c r="AU208" i="1"/>
  <c r="AA209" i="1"/>
  <c r="G210" i="1"/>
  <c r="AM210" i="1"/>
  <c r="S211" i="1"/>
  <c r="AY211" i="1"/>
  <c r="AE212" i="1"/>
  <c r="K213" i="1"/>
  <c r="AQ213" i="1"/>
  <c r="W214" i="1"/>
  <c r="BC214" i="1"/>
  <c r="AI215" i="1"/>
  <c r="O216" i="1"/>
  <c r="AU216" i="1"/>
  <c r="AA217" i="1"/>
  <c r="G218" i="1"/>
  <c r="AM218" i="1"/>
  <c r="S219" i="1"/>
  <c r="AY219" i="1"/>
  <c r="AE220" i="1"/>
  <c r="K221" i="1"/>
  <c r="AQ221" i="1"/>
  <c r="W222" i="1"/>
  <c r="BC222" i="1"/>
  <c r="K224" i="1"/>
  <c r="S225" i="1"/>
  <c r="AM225" i="1"/>
  <c r="AY226" i="1"/>
  <c r="BC226" i="1"/>
  <c r="AI230" i="1"/>
  <c r="AM236" i="1"/>
  <c r="BM238" i="1"/>
  <c r="AA242" i="1"/>
  <c r="AI247" i="1"/>
  <c r="K249" i="1"/>
  <c r="AI249" i="1"/>
  <c r="BM252" i="1"/>
  <c r="AU254" i="1"/>
  <c r="O256" i="1"/>
  <c r="AM256" i="1"/>
  <c r="AA257" i="1"/>
  <c r="AY257" i="1"/>
  <c r="AM259" i="1"/>
  <c r="AQ259" i="1"/>
  <c r="W264" i="1"/>
  <c r="AU275" i="1"/>
  <c r="AY280" i="1"/>
  <c r="BM281" i="1"/>
  <c r="W287" i="1"/>
  <c r="AY287" i="1"/>
  <c r="S291" i="1"/>
  <c r="K293" i="1"/>
  <c r="S298" i="1"/>
  <c r="AQ311" i="1"/>
  <c r="AE312" i="1"/>
  <c r="AI312" i="1"/>
  <c r="K313" i="1"/>
  <c r="K316" i="1"/>
  <c r="K318" i="1"/>
  <c r="BC319" i="1"/>
  <c r="O330" i="1"/>
  <c r="AE334" i="1"/>
  <c r="W336" i="1"/>
  <c r="AA336" i="1"/>
  <c r="BG347" i="1"/>
  <c r="BM347" i="1"/>
  <c r="O354" i="1"/>
  <c r="BC360" i="1"/>
  <c r="S365" i="1"/>
  <c r="AE366" i="1"/>
  <c r="S367" i="1"/>
  <c r="AA370" i="1"/>
  <c r="G380" i="1"/>
  <c r="W382" i="1"/>
  <c r="BC384" i="1"/>
  <c r="W389" i="1"/>
  <c r="AA389" i="1"/>
  <c r="BM389" i="1"/>
  <c r="G397" i="1"/>
  <c r="K397" i="1"/>
  <c r="AU398" i="1"/>
  <c r="S401" i="1"/>
  <c r="AE402" i="1"/>
  <c r="AI405" i="1"/>
  <c r="AQ411" i="1"/>
  <c r="K427" i="1"/>
  <c r="BM427" i="1"/>
  <c r="BC434" i="1"/>
  <c r="AI437" i="1"/>
  <c r="AM437" i="1"/>
  <c r="BG439" i="1"/>
  <c r="BC441" i="1"/>
  <c r="G445" i="1"/>
  <c r="AE446" i="1"/>
  <c r="K454" i="1"/>
  <c r="BC458" i="1"/>
  <c r="AA464" i="1"/>
  <c r="AM469" i="1"/>
  <c r="AA470" i="1"/>
  <c r="G473" i="1"/>
  <c r="K473" i="1"/>
  <c r="W473" i="1"/>
  <c r="AA473" i="1"/>
  <c r="AQ477" i="1"/>
  <c r="BC478" i="1"/>
  <c r="BG481" i="1"/>
  <c r="K485" i="1"/>
  <c r="BC487" i="1"/>
  <c r="AM503" i="1"/>
  <c r="BC507" i="1"/>
  <c r="AY512" i="1"/>
  <c r="BC512" i="1"/>
  <c r="AA516" i="1"/>
  <c r="AE516" i="1"/>
  <c r="K523" i="1"/>
  <c r="G523" i="1"/>
  <c r="AE227" i="1"/>
  <c r="AI227" i="1"/>
  <c r="BM227" i="1"/>
  <c r="O232" i="1"/>
  <c r="BC245" i="1"/>
  <c r="AM260" i="1"/>
  <c r="AQ260" i="1"/>
  <c r="AM261" i="1"/>
  <c r="AQ261" i="1"/>
  <c r="AA265" i="1"/>
  <c r="S269" i="1"/>
  <c r="BM270" i="1"/>
  <c r="BG278" i="1"/>
  <c r="AI284" i="1"/>
  <c r="AM284" i="1"/>
  <c r="O302" i="1"/>
  <c r="K309" i="1"/>
  <c r="O309" i="1"/>
  <c r="AY313" i="1"/>
  <c r="AE315" i="1"/>
  <c r="AI315" i="1"/>
  <c r="AE317" i="1"/>
  <c r="AI317" i="1"/>
  <c r="O322" i="1"/>
  <c r="AA323" i="1"/>
  <c r="S325" i="1"/>
  <c r="K335" i="1"/>
  <c r="AI337" i="1"/>
  <c r="BG339" i="1"/>
  <c r="BM339" i="1"/>
  <c r="AM340" i="1"/>
  <c r="AQ340" i="1"/>
  <c r="S341" i="1"/>
  <c r="W341" i="1"/>
  <c r="BM350" i="1"/>
  <c r="AA363" i="1"/>
  <c r="W371" i="1"/>
  <c r="AA371" i="1"/>
  <c r="AQ373" i="1"/>
  <c r="AU373" i="1"/>
  <c r="S374" i="1"/>
  <c r="AE375" i="1"/>
  <c r="AI378" i="1"/>
  <c r="AI379" i="1"/>
  <c r="W383" i="1"/>
  <c r="BM391" i="1"/>
  <c r="S394" i="1"/>
  <c r="K396" i="1"/>
  <c r="O396" i="1"/>
  <c r="AY396" i="1"/>
  <c r="BG399" i="1"/>
  <c r="W404" i="1"/>
  <c r="AA407" i="1"/>
  <c r="G416" i="1"/>
  <c r="BC420" i="1"/>
  <c r="BG423" i="1"/>
  <c r="BC435" i="1"/>
  <c r="BG435" i="1"/>
  <c r="AE439" i="1"/>
  <c r="AI439" i="1"/>
  <c r="BC442" i="1"/>
  <c r="S447" i="1"/>
  <c r="BG450" i="1"/>
  <c r="AQ457" i="1"/>
  <c r="S466" i="1"/>
  <c r="AE467" i="1"/>
  <c r="AQ474" i="1"/>
  <c r="AQ475" i="1"/>
  <c r="AQ476" i="1"/>
  <c r="W486" i="1"/>
  <c r="AE494" i="1"/>
  <c r="AY499" i="1"/>
  <c r="S500" i="1"/>
  <c r="W500" i="1"/>
  <c r="S502" i="1"/>
  <c r="AA506" i="1"/>
  <c r="AU509" i="1"/>
  <c r="AA518" i="1"/>
  <c r="AE518" i="1"/>
  <c r="AQ522" i="1"/>
  <c r="AU522" i="1"/>
  <c r="K528" i="1"/>
  <c r="G528" i="1"/>
  <c r="AE226" i="1"/>
  <c r="AQ226" i="1"/>
  <c r="AQ228" i="1"/>
  <c r="AU229" i="1"/>
  <c r="O231" i="1"/>
  <c r="BG232" i="1"/>
  <c r="AI233" i="1"/>
  <c r="BG233" i="1"/>
  <c r="AY235" i="1"/>
  <c r="S237" i="1"/>
  <c r="W238" i="1"/>
  <c r="BC240" i="1"/>
  <c r="AM241" i="1"/>
  <c r="G243" i="1"/>
  <c r="AE243" i="1"/>
  <c r="AY247" i="1"/>
  <c r="O248" i="1"/>
  <c r="AM248" i="1"/>
  <c r="AY249" i="1"/>
  <c r="BC249" i="1"/>
  <c r="AQ251" i="1"/>
  <c r="AA255" i="1"/>
  <c r="AE258" i="1"/>
  <c r="BC259" i="1"/>
  <c r="BG259" i="1"/>
  <c r="AE260" i="1"/>
  <c r="AE261" i="1"/>
  <c r="AE262" i="1"/>
  <c r="AI263" i="1"/>
  <c r="AU266" i="1"/>
  <c r="BC272" i="1"/>
  <c r="AU274" i="1"/>
  <c r="AA276" i="1"/>
  <c r="AM279" i="1"/>
  <c r="AQ282" i="1"/>
  <c r="AU286" i="1"/>
  <c r="AE288" i="1"/>
  <c r="AI288" i="1"/>
  <c r="BG288" i="1"/>
  <c r="BM288" i="1"/>
  <c r="BM292" i="1"/>
  <c r="AA303" i="1"/>
  <c r="AA305" i="1"/>
  <c r="AA306" i="1"/>
  <c r="AI310" i="1"/>
  <c r="W312" i="1"/>
  <c r="BM312" i="1"/>
  <c r="BM315" i="1"/>
  <c r="BM317" i="1"/>
  <c r="AU330" i="1"/>
  <c r="O338" i="1"/>
  <c r="W344" i="1"/>
  <c r="AY349" i="1"/>
  <c r="BC352" i="1"/>
  <c r="AI361" i="1"/>
  <c r="K372" i="1"/>
  <c r="O372" i="1"/>
  <c r="BM372" i="1"/>
  <c r="W377" i="1"/>
  <c r="BC385" i="1"/>
  <c r="O395" i="1"/>
  <c r="S395" i="1"/>
  <c r="K403" i="1"/>
  <c r="S409" i="1"/>
  <c r="AE410" i="1"/>
  <c r="AI413" i="1"/>
  <c r="AU414" i="1"/>
  <c r="S417" i="1"/>
  <c r="AQ419" i="1"/>
  <c r="AY425" i="1"/>
  <c r="BM426" i="1"/>
  <c r="AE429" i="1"/>
  <c r="AI429" i="1"/>
  <c r="K430" i="1"/>
  <c r="AE435" i="1"/>
  <c r="AI435" i="1"/>
  <c r="AY437" i="1"/>
  <c r="BC437" i="1"/>
  <c r="AA438" i="1"/>
  <c r="AQ444" i="1"/>
  <c r="AU444" i="1"/>
  <c r="AY452" i="1"/>
  <c r="BM453" i="1"/>
  <c r="AQ456" i="1"/>
  <c r="BC459" i="1"/>
  <c r="O463" i="1"/>
  <c r="G465" i="1"/>
  <c r="S468" i="1"/>
  <c r="AY472" i="1"/>
  <c r="AU480" i="1"/>
  <c r="AM482" i="1"/>
  <c r="AY483" i="1"/>
  <c r="BM484" i="1"/>
  <c r="W490" i="1"/>
  <c r="AA495" i="1"/>
  <c r="AY496" i="1"/>
  <c r="BC496" i="1"/>
  <c r="W499" i="1"/>
  <c r="AA499" i="1"/>
  <c r="AQ512" i="1"/>
  <c r="AU512" i="1"/>
  <c r="BG526" i="1"/>
  <c r="BM526" i="1"/>
  <c r="AI530" i="1"/>
  <c r="AM530" i="1"/>
  <c r="AE250" i="1"/>
  <c r="AE252" i="1"/>
  <c r="AQ253" i="1"/>
  <c r="O254" i="1"/>
  <c r="G258" i="1"/>
  <c r="BC260" i="1"/>
  <c r="BG260" i="1"/>
  <c r="BC261" i="1"/>
  <c r="BG261" i="1"/>
  <c r="AE283" i="1"/>
  <c r="AI283" i="1"/>
  <c r="AU283" i="1"/>
  <c r="AY283" i="1"/>
  <c r="AI320" i="1"/>
  <c r="AM320" i="1"/>
  <c r="W328" i="1"/>
  <c r="AA328" i="1"/>
  <c r="BC336" i="1"/>
  <c r="BG336" i="1"/>
  <c r="AY341" i="1"/>
  <c r="BC341" i="1"/>
  <c r="O346" i="1"/>
  <c r="S346" i="1"/>
  <c r="AM381" i="1"/>
  <c r="AQ381" i="1"/>
  <c r="O389" i="1"/>
  <c r="S389" i="1"/>
  <c r="AA437" i="1"/>
  <c r="AE437" i="1"/>
  <c r="G448" i="1"/>
  <c r="K448" i="1"/>
  <c r="K491" i="1"/>
  <c r="O491" i="1"/>
  <c r="AA504" i="1"/>
  <c r="AE504" i="1"/>
  <c r="AA514" i="1"/>
  <c r="AE514" i="1"/>
  <c r="S551" i="1"/>
  <c r="O551" i="1"/>
  <c r="BG551" i="1"/>
  <c r="BC551" i="1"/>
  <c r="AE508" i="1"/>
  <c r="AY510" i="1"/>
  <c r="BC510" i="1"/>
  <c r="AM513" i="1"/>
  <c r="O532" i="1"/>
  <c r="K532" i="1"/>
  <c r="AM534" i="1"/>
  <c r="AI534" i="1"/>
  <c r="BG544" i="1"/>
  <c r="BC544" i="1"/>
  <c r="AU545" i="1"/>
  <c r="AQ545" i="1"/>
  <c r="AE561" i="1"/>
  <c r="AY563" i="1"/>
  <c r="AM564" i="1"/>
  <c r="BM568" i="1"/>
  <c r="AE570" i="1"/>
  <c r="K571" i="1"/>
  <c r="AE578" i="1"/>
  <c r="G580" i="1"/>
  <c r="S581" i="1"/>
  <c r="K582" i="1"/>
  <c r="W585" i="1"/>
  <c r="O588" i="1"/>
  <c r="AY616" i="1"/>
  <c r="BM634" i="1"/>
  <c r="G636" i="1"/>
  <c r="AI639" i="1"/>
  <c r="BC644" i="1"/>
  <c r="BM653" i="1"/>
  <c r="AQ654" i="1"/>
  <c r="W655" i="1"/>
  <c r="AQ656" i="1"/>
  <c r="AM662" i="1"/>
  <c r="AQ662" i="1"/>
  <c r="AM667" i="1"/>
  <c r="AE672" i="1"/>
  <c r="AI672" i="1"/>
  <c r="K676" i="1"/>
  <c r="AM680" i="1"/>
  <c r="AQ680" i="1"/>
  <c r="AU683" i="1"/>
  <c r="AQ683" i="1"/>
  <c r="K699" i="1"/>
  <c r="G699" i="1"/>
  <c r="S440" i="1"/>
  <c r="AA440" i="1"/>
  <c r="AI440" i="1"/>
  <c r="AQ440" i="1"/>
  <c r="K449" i="1"/>
  <c r="AU467" i="1"/>
  <c r="K472" i="1"/>
  <c r="S472" i="1"/>
  <c r="AA472" i="1"/>
  <c r="AQ491" i="1"/>
  <c r="AY491" i="1"/>
  <c r="AM492" i="1"/>
  <c r="AU492" i="1"/>
  <c r="BC492" i="1"/>
  <c r="AQ493" i="1"/>
  <c r="AY493" i="1"/>
  <c r="W495" i="1"/>
  <c r="K496" i="1"/>
  <c r="AM496" i="1"/>
  <c r="AI500" i="1"/>
  <c r="AE505" i="1"/>
  <c r="S512" i="1"/>
  <c r="W512" i="1"/>
  <c r="AY513" i="1"/>
  <c r="AU514" i="1"/>
  <c r="AQ514" i="1"/>
  <c r="G515" i="1"/>
  <c r="K515" i="1"/>
  <c r="W516" i="1"/>
  <c r="S516" i="1"/>
  <c r="AU518" i="1"/>
  <c r="G519" i="1"/>
  <c r="K519" i="1"/>
  <c r="AM520" i="1"/>
  <c r="AI520" i="1"/>
  <c r="AY521" i="1"/>
  <c r="AU521" i="1"/>
  <c r="BM522" i="1"/>
  <c r="BG522" i="1"/>
  <c r="W523" i="1"/>
  <c r="AA523" i="1"/>
  <c r="BC524" i="1"/>
  <c r="AY524" i="1"/>
  <c r="O526" i="1"/>
  <c r="K526" i="1"/>
  <c r="BM527" i="1"/>
  <c r="BC529" i="1"/>
  <c r="BC530" i="1"/>
  <c r="AY530" i="1"/>
  <c r="AE536" i="1"/>
  <c r="AA536" i="1"/>
  <c r="BC538" i="1"/>
  <c r="AY538" i="1"/>
  <c r="AU540" i="1"/>
  <c r="AQ540" i="1"/>
  <c r="S543" i="1"/>
  <c r="O543" i="1"/>
  <c r="AA546" i="1"/>
  <c r="W546" i="1"/>
  <c r="G550" i="1"/>
  <c r="BM551" i="1"/>
  <c r="AA552" i="1"/>
  <c r="W552" i="1"/>
  <c r="AY552" i="1"/>
  <c r="K554" i="1"/>
  <c r="G554" i="1"/>
  <c r="G557" i="1"/>
  <c r="K558" i="1"/>
  <c r="G558" i="1"/>
  <c r="G562" i="1"/>
  <c r="BM563" i="1"/>
  <c r="W568" i="1"/>
  <c r="AE569" i="1"/>
  <c r="G572" i="1"/>
  <c r="AU574" i="1"/>
  <c r="AA575" i="1"/>
  <c r="G576" i="1"/>
  <c r="G583" i="1"/>
  <c r="BM599" i="1"/>
  <c r="AQ600" i="1"/>
  <c r="W601" i="1"/>
  <c r="BM607" i="1"/>
  <c r="AQ608" i="1"/>
  <c r="W609" i="1"/>
  <c r="AE618" i="1"/>
  <c r="K619" i="1"/>
  <c r="S628" i="1"/>
  <c r="BG632" i="1"/>
  <c r="AU636" i="1"/>
  <c r="BG650" i="1"/>
  <c r="AM651" i="1"/>
  <c r="O658" i="1"/>
  <c r="BC666" i="1"/>
  <c r="BG666" i="1"/>
  <c r="AY673" i="1"/>
  <c r="AE679" i="1"/>
  <c r="AI679" i="1"/>
  <c r="BM274" i="1"/>
  <c r="BM275" i="1"/>
  <c r="BM276" i="1"/>
  <c r="BM277" i="1"/>
  <c r="K287" i="1"/>
  <c r="S287" i="1"/>
  <c r="AM295" i="1"/>
  <c r="AI296" i="1"/>
  <c r="AQ296" i="1"/>
  <c r="AM297" i="1"/>
  <c r="BM305" i="1"/>
  <c r="AQ372" i="1"/>
  <c r="AY372" i="1"/>
  <c r="K388" i="1"/>
  <c r="S388" i="1"/>
  <c r="AA388" i="1"/>
  <c r="AI388" i="1"/>
  <c r="AI393" i="1"/>
  <c r="AI436" i="1"/>
  <c r="AQ436" i="1"/>
  <c r="AY436" i="1"/>
  <c r="BG436" i="1"/>
  <c r="S441" i="1"/>
  <c r="AA441" i="1"/>
  <c r="AI441" i="1"/>
  <c r="AQ441" i="1"/>
  <c r="AY441" i="1"/>
  <c r="BC443" i="1"/>
  <c r="AY445" i="1"/>
  <c r="BG445" i="1"/>
  <c r="K471" i="1"/>
  <c r="S471" i="1"/>
  <c r="AI493" i="1"/>
  <c r="BG495" i="1"/>
  <c r="BC497" i="1"/>
  <c r="AI503" i="1"/>
  <c r="W506" i="1"/>
  <c r="O507" i="1"/>
  <c r="AY507" i="1"/>
  <c r="AQ509" i="1"/>
  <c r="G510" i="1"/>
  <c r="S511" i="1"/>
  <c r="O511" i="1"/>
  <c r="BC516" i="1"/>
  <c r="K537" i="1"/>
  <c r="G537" i="1"/>
  <c r="AA541" i="1"/>
  <c r="W541" i="1"/>
  <c r="BG543" i="1"/>
  <c r="BC543" i="1"/>
  <c r="G547" i="1"/>
  <c r="AM548" i="1"/>
  <c r="AI548" i="1"/>
  <c r="G556" i="1"/>
  <c r="BM570" i="1"/>
  <c r="AQ571" i="1"/>
  <c r="W572" i="1"/>
  <c r="BM578" i="1"/>
  <c r="AI579" i="1"/>
  <c r="BM581" i="1"/>
  <c r="AQ582" i="1"/>
  <c r="W583" i="1"/>
  <c r="G586" i="1"/>
  <c r="AU588" i="1"/>
  <c r="AA589" i="1"/>
  <c r="G590" i="1"/>
  <c r="AU592" i="1"/>
  <c r="BG596" i="1"/>
  <c r="AM597" i="1"/>
  <c r="BG604" i="1"/>
  <c r="AM605" i="1"/>
  <c r="BG612" i="1"/>
  <c r="AM613" i="1"/>
  <c r="AY615" i="1"/>
  <c r="AU622" i="1"/>
  <c r="AA623" i="1"/>
  <c r="AU624" i="1"/>
  <c r="AA625" i="1"/>
  <c r="O640" i="1"/>
  <c r="W646" i="1"/>
  <c r="S652" i="1"/>
  <c r="BG658" i="1"/>
  <c r="BG660" i="1"/>
  <c r="K663" i="1"/>
  <c r="AA667" i="1"/>
  <c r="G677" i="1"/>
  <c r="K677" i="1"/>
  <c r="BC686" i="1"/>
  <c r="AU688" i="1"/>
  <c r="AQ688" i="1"/>
  <c r="AE691" i="1"/>
  <c r="AI691" i="1"/>
  <c r="AI331" i="1"/>
  <c r="AM358" i="1"/>
  <c r="BG514" i="1"/>
  <c r="BM514" i="1"/>
  <c r="AA515" i="1"/>
  <c r="W515" i="1"/>
  <c r="AU515" i="1"/>
  <c r="AY515" i="1"/>
  <c r="AQ516" i="1"/>
  <c r="AU516" i="1"/>
  <c r="BG518" i="1"/>
  <c r="BM518" i="1"/>
  <c r="AA519" i="1"/>
  <c r="W519" i="1"/>
  <c r="AY520" i="1"/>
  <c r="BC520" i="1"/>
  <c r="K522" i="1"/>
  <c r="O522" i="1"/>
  <c r="AQ523" i="1"/>
  <c r="AM523" i="1"/>
  <c r="O525" i="1"/>
  <c r="S525" i="1"/>
  <c r="AA526" i="1"/>
  <c r="AE526" i="1"/>
  <c r="AA527" i="1"/>
  <c r="AE527" i="1"/>
  <c r="AU529" i="1"/>
  <c r="AQ529" i="1"/>
  <c r="O531" i="1"/>
  <c r="S531" i="1"/>
  <c r="AU532" i="1"/>
  <c r="AQ532" i="1"/>
  <c r="S535" i="1"/>
  <c r="O535" i="1"/>
  <c r="AI539" i="1"/>
  <c r="AE539" i="1"/>
  <c r="AM551" i="1"/>
  <c r="AI551" i="1"/>
  <c r="W557" i="1"/>
  <c r="S557" i="1"/>
  <c r="BM557" i="1"/>
  <c r="BG557" i="1"/>
  <c r="O662" i="1"/>
  <c r="S662" i="1"/>
  <c r="BG509" i="1"/>
  <c r="BC509" i="1"/>
  <c r="S510" i="1"/>
  <c r="W510" i="1"/>
  <c r="BC513" i="1"/>
  <c r="BC527" i="1"/>
  <c r="AY527" i="1"/>
  <c r="AA533" i="1"/>
  <c r="W533" i="1"/>
  <c r="BM536" i="1"/>
  <c r="BG536" i="1"/>
  <c r="BG546" i="1"/>
  <c r="BC546" i="1"/>
  <c r="AM550" i="1"/>
  <c r="AI550" i="1"/>
  <c r="AQ554" i="1"/>
  <c r="AM554" i="1"/>
  <c r="W556" i="1"/>
  <c r="S556" i="1"/>
  <c r="AQ558" i="1"/>
  <c r="AM558" i="1"/>
  <c r="AE666" i="1"/>
  <c r="AI666" i="1"/>
  <c r="BG676" i="1"/>
  <c r="BM676" i="1"/>
  <c r="O508" i="1"/>
  <c r="K509" i="1"/>
  <c r="G513" i="1"/>
  <c r="K513" i="1"/>
  <c r="AI513" i="1"/>
  <c r="O514" i="1"/>
  <c r="K514" i="1"/>
  <c r="S517" i="1"/>
  <c r="O517" i="1"/>
  <c r="AM517" i="1"/>
  <c r="AQ517" i="1"/>
  <c r="O518" i="1"/>
  <c r="K518" i="1"/>
  <c r="AM519" i="1"/>
  <c r="AQ519" i="1"/>
  <c r="G520" i="1"/>
  <c r="S521" i="1"/>
  <c r="O521" i="1"/>
  <c r="AE522" i="1"/>
  <c r="AA522" i="1"/>
  <c r="BC523" i="1"/>
  <c r="BG523" i="1"/>
  <c r="W524" i="1"/>
  <c r="AI525" i="1"/>
  <c r="AE525" i="1"/>
  <c r="AU526" i="1"/>
  <c r="AQ526" i="1"/>
  <c r="G527" i="1"/>
  <c r="K527" i="1"/>
  <c r="AE528" i="1"/>
  <c r="AA528" i="1"/>
  <c r="AA529" i="1"/>
  <c r="W529" i="1"/>
  <c r="W530" i="1"/>
  <c r="S530" i="1"/>
  <c r="AI531" i="1"/>
  <c r="AE531" i="1"/>
  <c r="G534" i="1"/>
  <c r="AQ537" i="1"/>
  <c r="AM537" i="1"/>
  <c r="BG541" i="1"/>
  <c r="BC541" i="1"/>
  <c r="AM547" i="1"/>
  <c r="AI547" i="1"/>
  <c r="W555" i="1"/>
  <c r="S555" i="1"/>
  <c r="O561" i="1"/>
  <c r="G565" i="1"/>
  <c r="AQ568" i="1"/>
  <c r="AI573" i="1"/>
  <c r="W584" i="1"/>
  <c r="BC586" i="1"/>
  <c r="S591" i="1"/>
  <c r="BG591" i="1"/>
  <c r="AY598" i="1"/>
  <c r="AY606" i="1"/>
  <c r="AY614" i="1"/>
  <c r="AE616" i="1"/>
  <c r="BC620" i="1"/>
  <c r="AE629" i="1"/>
  <c r="K630" i="1"/>
  <c r="AE631" i="1"/>
  <c r="AQ637" i="1"/>
  <c r="W638" i="1"/>
  <c r="BM644" i="1"/>
  <c r="AI647" i="1"/>
  <c r="O649" i="1"/>
  <c r="AQ679" i="1"/>
  <c r="AM510" i="1"/>
  <c r="AI510" i="1"/>
  <c r="AU513" i="1"/>
  <c r="AE515" i="1"/>
  <c r="BC515" i="1"/>
  <c r="AI527" i="1"/>
  <c r="AY528" i="1"/>
  <c r="BC528" i="1"/>
  <c r="AY529" i="1"/>
  <c r="AY535" i="1"/>
  <c r="AU535" i="1"/>
  <c r="W538" i="1"/>
  <c r="S538" i="1"/>
  <c r="O540" i="1"/>
  <c r="K540" i="1"/>
  <c r="AM542" i="1"/>
  <c r="AI542" i="1"/>
  <c r="AU552" i="1"/>
  <c r="AQ552" i="1"/>
  <c r="AM561" i="1"/>
  <c r="BG563" i="1"/>
  <c r="W565" i="1"/>
  <c r="AI566" i="1"/>
  <c r="O580" i="1"/>
  <c r="AI587" i="1"/>
  <c r="AA592" i="1"/>
  <c r="O595" i="1"/>
  <c r="O603" i="1"/>
  <c r="O611" i="1"/>
  <c r="AY617" i="1"/>
  <c r="AE634" i="1"/>
  <c r="O636" i="1"/>
  <c r="AM644" i="1"/>
  <c r="AE645" i="1"/>
  <c r="O673" i="1"/>
  <c r="AI699" i="1"/>
  <c r="AE705" i="1"/>
  <c r="AI705" i="1"/>
  <c r="AI708" i="1"/>
  <c r="AM708" i="1"/>
  <c r="AM711" i="1"/>
  <c r="AQ711" i="1"/>
  <c r="AI716" i="1"/>
  <c r="AM716" i="1"/>
  <c r="G719" i="1"/>
  <c r="K719" i="1"/>
  <c r="AY720" i="1"/>
  <c r="BC720" i="1"/>
  <c r="AA726" i="1"/>
  <c r="AE726" i="1"/>
  <c r="G729" i="1"/>
  <c r="K729" i="1"/>
  <c r="BG730" i="1"/>
  <c r="BM730" i="1"/>
  <c r="BG731" i="1"/>
  <c r="BM731" i="1"/>
  <c r="BG732" i="1"/>
  <c r="BM732" i="1"/>
  <c r="BG733" i="1"/>
  <c r="BM733" i="1"/>
  <c r="AE739" i="1"/>
  <c r="AI739" i="1"/>
  <c r="AQ760" i="1"/>
  <c r="S790" i="1"/>
  <c r="W790" i="1"/>
  <c r="AI794" i="1"/>
  <c r="AM794" i="1"/>
  <c r="AI798" i="1"/>
  <c r="AM798" i="1"/>
  <c r="AM801" i="1"/>
  <c r="AQ801" i="1"/>
  <c r="AQ804" i="1"/>
  <c r="AU804" i="1"/>
  <c r="BC805" i="1"/>
  <c r="BG805" i="1"/>
  <c r="S810" i="1"/>
  <c r="W810" i="1"/>
  <c r="AA822" i="1"/>
  <c r="W822" i="1"/>
  <c r="S846" i="1"/>
  <c r="O846" i="1"/>
  <c r="AY531" i="1"/>
  <c r="AE532" i="1"/>
  <c r="K533" i="1"/>
  <c r="AQ533" i="1"/>
  <c r="W534" i="1"/>
  <c r="BC534" i="1"/>
  <c r="AI535" i="1"/>
  <c r="O536" i="1"/>
  <c r="AU536" i="1"/>
  <c r="AA537" i="1"/>
  <c r="BG537" i="1"/>
  <c r="AM538" i="1"/>
  <c r="S539" i="1"/>
  <c r="AY539" i="1"/>
  <c r="AE540" i="1"/>
  <c r="K541" i="1"/>
  <c r="AQ541" i="1"/>
  <c r="W542" i="1"/>
  <c r="BC542" i="1"/>
  <c r="AQ543" i="1"/>
  <c r="W544" i="1"/>
  <c r="AQ544" i="1"/>
  <c r="W545" i="1"/>
  <c r="K546" i="1"/>
  <c r="AQ546" i="1"/>
  <c r="W547" i="1"/>
  <c r="BC547" i="1"/>
  <c r="W548" i="1"/>
  <c r="BC548" i="1"/>
  <c r="W549" i="1"/>
  <c r="BC549" i="1"/>
  <c r="W550" i="1"/>
  <c r="BC550" i="1"/>
  <c r="K552" i="1"/>
  <c r="S553" i="1"/>
  <c r="AM553" i="1"/>
  <c r="BG553" i="1"/>
  <c r="AA554" i="1"/>
  <c r="BG554" i="1"/>
  <c r="AM555" i="1"/>
  <c r="BG555" i="1"/>
  <c r="AM556" i="1"/>
  <c r="BG556" i="1"/>
  <c r="AM557" i="1"/>
  <c r="AA558" i="1"/>
  <c r="BG558" i="1"/>
  <c r="S560" i="1"/>
  <c r="W562" i="1"/>
  <c r="BC562" i="1"/>
  <c r="AI563" i="1"/>
  <c r="AA564" i="1"/>
  <c r="S566" i="1"/>
  <c r="AY566" i="1"/>
  <c r="AE567" i="1"/>
  <c r="BG568" i="1"/>
  <c r="AA569" i="1"/>
  <c r="AU569" i="1"/>
  <c r="O570" i="1"/>
  <c r="AU570" i="1"/>
  <c r="AA571" i="1"/>
  <c r="BG571" i="1"/>
  <c r="AM572" i="1"/>
  <c r="S573" i="1"/>
  <c r="AY573" i="1"/>
  <c r="AE574" i="1"/>
  <c r="K575" i="1"/>
  <c r="AQ575" i="1"/>
  <c r="W576" i="1"/>
  <c r="BC576" i="1"/>
  <c r="AI577" i="1"/>
  <c r="O578" i="1"/>
  <c r="AU578" i="1"/>
  <c r="AY579" i="1"/>
  <c r="BC580" i="1"/>
  <c r="BG581" i="1"/>
  <c r="AA582" i="1"/>
  <c r="BG582" i="1"/>
  <c r="AM583" i="1"/>
  <c r="BG583" i="1"/>
  <c r="AM584" i="1"/>
  <c r="BG584" i="1"/>
  <c r="AM585" i="1"/>
  <c r="BG585" i="1"/>
  <c r="AM586" i="1"/>
  <c r="S587" i="1"/>
  <c r="AY587" i="1"/>
  <c r="AE588" i="1"/>
  <c r="K589" i="1"/>
  <c r="AQ589" i="1"/>
  <c r="W590" i="1"/>
  <c r="BC590" i="1"/>
  <c r="AQ591" i="1"/>
  <c r="W592" i="1"/>
  <c r="K593" i="1"/>
  <c r="AM593" i="1"/>
  <c r="S594" i="1"/>
  <c r="AY594" i="1"/>
  <c r="AE595" i="1"/>
  <c r="K596" i="1"/>
  <c r="AQ596" i="1"/>
  <c r="W597" i="1"/>
  <c r="BC597" i="1"/>
  <c r="AI598" i="1"/>
  <c r="O599" i="1"/>
  <c r="AU599" i="1"/>
  <c r="AA600" i="1"/>
  <c r="BG600" i="1"/>
  <c r="AM601" i="1"/>
  <c r="S602" i="1"/>
  <c r="AY602" i="1"/>
  <c r="AE603" i="1"/>
  <c r="K604" i="1"/>
  <c r="AQ604" i="1"/>
  <c r="W605" i="1"/>
  <c r="BC605" i="1"/>
  <c r="AI606" i="1"/>
  <c r="O607" i="1"/>
  <c r="AU607" i="1"/>
  <c r="AA608" i="1"/>
  <c r="BG608" i="1"/>
  <c r="AM609" i="1"/>
  <c r="S610" i="1"/>
  <c r="AY610" i="1"/>
  <c r="AE611" i="1"/>
  <c r="K612" i="1"/>
  <c r="AQ612" i="1"/>
  <c r="W613" i="1"/>
  <c r="BC613" i="1"/>
  <c r="AI614" i="1"/>
  <c r="O615" i="1"/>
  <c r="AU615" i="1"/>
  <c r="O616" i="1"/>
  <c r="AU616" i="1"/>
  <c r="O617" i="1"/>
  <c r="AU617" i="1"/>
  <c r="O618" i="1"/>
  <c r="AU618" i="1"/>
  <c r="AA619" i="1"/>
  <c r="BG619" i="1"/>
  <c r="AM620" i="1"/>
  <c r="S621" i="1"/>
  <c r="AY621" i="1"/>
  <c r="AE622" i="1"/>
  <c r="K623" i="1"/>
  <c r="K624" i="1"/>
  <c r="K625" i="1"/>
  <c r="K626" i="1"/>
  <c r="AQ626" i="1"/>
  <c r="W627" i="1"/>
  <c r="BC627" i="1"/>
  <c r="AI628" i="1"/>
  <c r="O629" i="1"/>
  <c r="AU629" i="1"/>
  <c r="AA630" i="1"/>
  <c r="BG630" i="1"/>
  <c r="AM632" i="1"/>
  <c r="W633" i="1"/>
  <c r="O634" i="1"/>
  <c r="AU634" i="1"/>
  <c r="W635" i="1"/>
  <c r="BC635" i="1"/>
  <c r="AE636" i="1"/>
  <c r="AA637" i="1"/>
  <c r="BG637" i="1"/>
  <c r="AM638" i="1"/>
  <c r="S639" i="1"/>
  <c r="AY639" i="1"/>
  <c r="AE640" i="1"/>
  <c r="K641" i="1"/>
  <c r="AQ641" i="1"/>
  <c r="W642" i="1"/>
  <c r="BC642" i="1"/>
  <c r="O644" i="1"/>
  <c r="AA645" i="1"/>
  <c r="AM646" i="1"/>
  <c r="S647" i="1"/>
  <c r="AY647" i="1"/>
  <c r="S648" i="1"/>
  <c r="AY648" i="1"/>
  <c r="AE649" i="1"/>
  <c r="K650" i="1"/>
  <c r="AQ650" i="1"/>
  <c r="W651" i="1"/>
  <c r="BC651" i="1"/>
  <c r="AI652" i="1"/>
  <c r="O653" i="1"/>
  <c r="AU653" i="1"/>
  <c r="AA654" i="1"/>
  <c r="BG654" i="1"/>
  <c r="BG655" i="1"/>
  <c r="BG656" i="1"/>
  <c r="S657" i="1"/>
  <c r="AM657" i="1"/>
  <c r="AE658" i="1"/>
  <c r="AQ658" i="1"/>
  <c r="AU659" i="1"/>
  <c r="S660" i="1"/>
  <c r="O661" i="1"/>
  <c r="AA661" i="1"/>
  <c r="BC662" i="1"/>
  <c r="K664" i="1"/>
  <c r="AI664" i="1"/>
  <c r="S665" i="1"/>
  <c r="AE665" i="1"/>
  <c r="AQ665" i="1"/>
  <c r="AE668" i="1"/>
  <c r="AQ668" i="1"/>
  <c r="BC668" i="1"/>
  <c r="O669" i="1"/>
  <c r="AM669" i="1"/>
  <c r="AU670" i="1"/>
  <c r="AM671" i="1"/>
  <c r="BG671" i="1"/>
  <c r="AI673" i="1"/>
  <c r="AU673" i="1"/>
  <c r="O674" i="1"/>
  <c r="AM674" i="1"/>
  <c r="AU677" i="1"/>
  <c r="BG677" i="1"/>
  <c r="AE678" i="1"/>
  <c r="BC678" i="1"/>
  <c r="W680" i="1"/>
  <c r="BG683" i="1"/>
  <c r="W685" i="1"/>
  <c r="AQ687" i="1"/>
  <c r="AA688" i="1"/>
  <c r="W689" i="1"/>
  <c r="AI689" i="1"/>
  <c r="BC689" i="1"/>
  <c r="AA690" i="1"/>
  <c r="W692" i="1"/>
  <c r="AQ694" i="1"/>
  <c r="BM699" i="1"/>
  <c r="AM700" i="1"/>
  <c r="AA702" i="1"/>
  <c r="AE702" i="1"/>
  <c r="S704" i="1"/>
  <c r="W704" i="1"/>
  <c r="AQ714" i="1"/>
  <c r="AU714" i="1"/>
  <c r="W723" i="1"/>
  <c r="AA723" i="1"/>
  <c r="O725" i="1"/>
  <c r="S725" i="1"/>
  <c r="G728" i="1"/>
  <c r="K728" i="1"/>
  <c r="AU729" i="1"/>
  <c r="AY729" i="1"/>
  <c r="S738" i="1"/>
  <c r="W738" i="1"/>
  <c r="K740" i="1"/>
  <c r="AU750" i="1"/>
  <c r="O753" i="1"/>
  <c r="BC753" i="1"/>
  <c r="AA756" i="1"/>
  <c r="AQ768" i="1"/>
  <c r="BC769" i="1"/>
  <c r="AI771" i="1"/>
  <c r="K772" i="1"/>
  <c r="AY772" i="1"/>
  <c r="BC772" i="1"/>
  <c r="O775" i="1"/>
  <c r="S778" i="1"/>
  <c r="AI782" i="1"/>
  <c r="AM785" i="1"/>
  <c r="BM791" i="1"/>
  <c r="AI797" i="1"/>
  <c r="AM797" i="1"/>
  <c r="AE803" i="1"/>
  <c r="AI803" i="1"/>
  <c r="S812" i="1"/>
  <c r="W812" i="1"/>
  <c r="AY813" i="1"/>
  <c r="BC813" i="1"/>
  <c r="BG817" i="1"/>
  <c r="BM817" i="1"/>
  <c r="BM532" i="1"/>
  <c r="BM540" i="1"/>
  <c r="BM545" i="1"/>
  <c r="AY559" i="1"/>
  <c r="K561" i="1"/>
  <c r="BC561" i="1"/>
  <c r="AI562" i="1"/>
  <c r="O563" i="1"/>
  <c r="G564" i="1"/>
  <c r="AY567" i="1"/>
  <c r="G569" i="1"/>
  <c r="AM571" i="1"/>
  <c r="AY572" i="1"/>
  <c r="AE573" i="1"/>
  <c r="K574" i="1"/>
  <c r="AQ574" i="1"/>
  <c r="BM574" i="1"/>
  <c r="W575" i="1"/>
  <c r="BC575" i="1"/>
  <c r="AI576" i="1"/>
  <c r="O577" i="1"/>
  <c r="AU577" i="1"/>
  <c r="AA578" i="1"/>
  <c r="BG578" i="1"/>
  <c r="W579" i="1"/>
  <c r="AI580" i="1"/>
  <c r="AM581" i="1"/>
  <c r="G582" i="1"/>
  <c r="AM582" i="1"/>
  <c r="BM588" i="1"/>
  <c r="BM592" i="1"/>
  <c r="BM595" i="1"/>
  <c r="BM603" i="1"/>
  <c r="BM611" i="1"/>
  <c r="AE621" i="1"/>
  <c r="K622" i="1"/>
  <c r="AQ622" i="1"/>
  <c r="BM622" i="1"/>
  <c r="W623" i="1"/>
  <c r="AQ623" i="1"/>
  <c r="BM623" i="1"/>
  <c r="W624" i="1"/>
  <c r="AQ624" i="1"/>
  <c r="BM624" i="1"/>
  <c r="W625" i="1"/>
  <c r="AQ625" i="1"/>
  <c r="BM625" i="1"/>
  <c r="W626" i="1"/>
  <c r="BC626" i="1"/>
  <c r="AI627" i="1"/>
  <c r="O628" i="1"/>
  <c r="AU628" i="1"/>
  <c r="AA629" i="1"/>
  <c r="BG629" i="1"/>
  <c r="G630" i="1"/>
  <c r="AM630" i="1"/>
  <c r="S631" i="1"/>
  <c r="K632" i="1"/>
  <c r="AA634" i="1"/>
  <c r="BG634" i="1"/>
  <c r="AI635" i="1"/>
  <c r="BM636" i="1"/>
  <c r="AM637" i="1"/>
  <c r="AE639" i="1"/>
  <c r="BM640" i="1"/>
  <c r="BM649" i="1"/>
  <c r="AI651" i="1"/>
  <c r="O652" i="1"/>
  <c r="AU652" i="1"/>
  <c r="AA653" i="1"/>
  <c r="BG653" i="1"/>
  <c r="G654" i="1"/>
  <c r="AM654" i="1"/>
  <c r="S655" i="1"/>
  <c r="AM655" i="1"/>
  <c r="S656" i="1"/>
  <c r="AM656" i="1"/>
  <c r="AY657" i="1"/>
  <c r="K658" i="1"/>
  <c r="BC658" i="1"/>
  <c r="O659" i="1"/>
  <c r="AA659" i="1"/>
  <c r="AE660" i="1"/>
  <c r="BC660" i="1"/>
  <c r="G663" i="1"/>
  <c r="S663" i="1"/>
  <c r="BM663" i="1"/>
  <c r="AU664" i="1"/>
  <c r="BC665" i="1"/>
  <c r="O666" i="1"/>
  <c r="BM666" i="1"/>
  <c r="K667" i="1"/>
  <c r="W667" i="1"/>
  <c r="AI667" i="1"/>
  <c r="AU667" i="1"/>
  <c r="S668" i="1"/>
  <c r="S671" i="1"/>
  <c r="AY671" i="1"/>
  <c r="G672" i="1"/>
  <c r="AM672" i="1"/>
  <c r="AY674" i="1"/>
  <c r="W675" i="1"/>
  <c r="AI675" i="1"/>
  <c r="AU675" i="1"/>
  <c r="O679" i="1"/>
  <c r="AM679" i="1"/>
  <c r="AY679" i="1"/>
  <c r="O681" i="1"/>
  <c r="AA681" i="1"/>
  <c r="K684" i="1"/>
  <c r="AQ684" i="1"/>
  <c r="K685" i="1"/>
  <c r="AY686" i="1"/>
  <c r="K687" i="1"/>
  <c r="O691" i="1"/>
  <c r="W693" i="1"/>
  <c r="AI693" i="1"/>
  <c r="AE695" i="1"/>
  <c r="AQ696" i="1"/>
  <c r="O697" i="1"/>
  <c r="AA698" i="1"/>
  <c r="AA699" i="1"/>
  <c r="W699" i="1"/>
  <c r="BM705" i="1"/>
  <c r="AA710" i="1"/>
  <c r="AE710" i="1"/>
  <c r="AE713" i="1"/>
  <c r="AI713" i="1"/>
  <c r="O717" i="1"/>
  <c r="S717" i="1"/>
  <c r="BG718" i="1"/>
  <c r="BM718" i="1"/>
  <c r="AE721" i="1"/>
  <c r="AI721" i="1"/>
  <c r="G727" i="1"/>
  <c r="K727" i="1"/>
  <c r="BG728" i="1"/>
  <c r="BM728" i="1"/>
  <c r="AM734" i="1"/>
  <c r="AQ734" i="1"/>
  <c r="BM735" i="1"/>
  <c r="BM739" i="1"/>
  <c r="BC741" i="1"/>
  <c r="BC743" i="1"/>
  <c r="O748" i="1"/>
  <c r="AI754" i="1"/>
  <c r="G757" i="1"/>
  <c r="AY758" i="1"/>
  <c r="K792" i="1"/>
  <c r="O792" i="1"/>
  <c r="W793" i="1"/>
  <c r="AA793" i="1"/>
  <c r="AI796" i="1"/>
  <c r="AM796" i="1"/>
  <c r="AA800" i="1"/>
  <c r="AE800" i="1"/>
  <c r="S802" i="1"/>
  <c r="W802" i="1"/>
  <c r="AI806" i="1"/>
  <c r="AM806" i="1"/>
  <c r="W807" i="1"/>
  <c r="AA807" i="1"/>
  <c r="AY807" i="1"/>
  <c r="BC807" i="1"/>
  <c r="S808" i="1"/>
  <c r="AY810" i="1"/>
  <c r="BC810" i="1"/>
  <c r="AM818" i="1"/>
  <c r="AQ818" i="1"/>
  <c r="G703" i="1"/>
  <c r="K703" i="1"/>
  <c r="K706" i="1"/>
  <c r="O706" i="1"/>
  <c r="W707" i="1"/>
  <c r="AA707" i="1"/>
  <c r="O709" i="1"/>
  <c r="S709" i="1"/>
  <c r="S712" i="1"/>
  <c r="W712" i="1"/>
  <c r="AM719" i="1"/>
  <c r="AQ719" i="1"/>
  <c r="K722" i="1"/>
  <c r="O722" i="1"/>
  <c r="BG727" i="1"/>
  <c r="BM727" i="1"/>
  <c r="O735" i="1"/>
  <c r="S735" i="1"/>
  <c r="BC787" i="1"/>
  <c r="BG787" i="1"/>
  <c r="AI795" i="1"/>
  <c r="AM795" i="1"/>
  <c r="O799" i="1"/>
  <c r="S799" i="1"/>
  <c r="O809" i="1"/>
  <c r="S809" i="1"/>
  <c r="AE809" i="1"/>
  <c r="AI809" i="1"/>
  <c r="AE814" i="1"/>
  <c r="AI814" i="1"/>
  <c r="S819" i="1"/>
  <c r="W819" i="1"/>
  <c r="BG701" i="1"/>
  <c r="BM701" i="1"/>
  <c r="G711" i="1"/>
  <c r="K711" i="1"/>
  <c r="W715" i="1"/>
  <c r="AA715" i="1"/>
  <c r="BC723" i="1"/>
  <c r="BG723" i="1"/>
  <c r="BG726" i="1"/>
  <c r="BM726" i="1"/>
  <c r="AM729" i="1"/>
  <c r="AQ729" i="1"/>
  <c r="AA730" i="1"/>
  <c r="AE730" i="1"/>
  <c r="BG776" i="1"/>
  <c r="BM779" i="1"/>
  <c r="O783" i="1"/>
  <c r="S786" i="1"/>
  <c r="S787" i="1"/>
  <c r="W787" i="1"/>
  <c r="G801" i="1"/>
  <c r="K801" i="1"/>
  <c r="K804" i="1"/>
  <c r="O804" i="1"/>
  <c r="W805" i="1"/>
  <c r="AA805" i="1"/>
  <c r="S811" i="1"/>
  <c r="W811" i="1"/>
  <c r="AY812" i="1"/>
  <c r="BC812" i="1"/>
  <c r="BM814" i="1"/>
  <c r="S815" i="1"/>
  <c r="W815" i="1"/>
  <c r="AA662" i="1"/>
  <c r="AQ666" i="1"/>
  <c r="W672" i="1"/>
  <c r="BM673" i="1"/>
  <c r="BM675" i="1"/>
  <c r="AU676" i="1"/>
  <c r="AY682" i="1"/>
  <c r="AA684" i="1"/>
  <c r="AE686" i="1"/>
  <c r="BG687" i="1"/>
  <c r="BC688" i="1"/>
  <c r="AI690" i="1"/>
  <c r="AQ691" i="1"/>
  <c r="AY694" i="1"/>
  <c r="K696" i="1"/>
  <c r="BG702" i="1"/>
  <c r="BM702" i="1"/>
  <c r="AY704" i="1"/>
  <c r="BC704" i="1"/>
  <c r="K714" i="1"/>
  <c r="O714" i="1"/>
  <c r="AU717" i="1"/>
  <c r="AY717" i="1"/>
  <c r="S720" i="1"/>
  <c r="W720" i="1"/>
  <c r="AU725" i="1"/>
  <c r="AY725" i="1"/>
  <c r="AM728" i="1"/>
  <c r="AQ728" i="1"/>
  <c r="AU736" i="1"/>
  <c r="AY736" i="1"/>
  <c r="AY738" i="1"/>
  <c r="BC738" i="1"/>
  <c r="AM745" i="1"/>
  <c r="S747" i="1"/>
  <c r="AU748" i="1"/>
  <c r="AM757" i="1"/>
  <c r="K760" i="1"/>
  <c r="K768" i="1"/>
  <c r="W769" i="1"/>
  <c r="AU775" i="1"/>
  <c r="AY778" i="1"/>
  <c r="G785" i="1"/>
  <c r="K788" i="1"/>
  <c r="O807" i="1"/>
  <c r="S807" i="1"/>
  <c r="BG825" i="1"/>
  <c r="BC825" i="1"/>
  <c r="BC659" i="1"/>
  <c r="AI663" i="1"/>
  <c r="S664" i="1"/>
  <c r="BM668" i="1"/>
  <c r="W669" i="1"/>
  <c r="AU669" i="1"/>
  <c r="S670" i="1"/>
  <c r="BC670" i="1"/>
  <c r="W673" i="1"/>
  <c r="W674" i="1"/>
  <c r="AM678" i="1"/>
  <c r="G680" i="1"/>
  <c r="O682" i="1"/>
  <c r="W683" i="1"/>
  <c r="AI683" i="1"/>
  <c r="BC707" i="1"/>
  <c r="BG707" i="1"/>
  <c r="BG710" i="1"/>
  <c r="BM710" i="1"/>
  <c r="AQ722" i="1"/>
  <c r="AU722" i="1"/>
  <c r="AI724" i="1"/>
  <c r="AM724" i="1"/>
  <c r="AM727" i="1"/>
  <c r="AQ727" i="1"/>
  <c r="G731" i="1"/>
  <c r="K731" i="1"/>
  <c r="G732" i="1"/>
  <c r="K732" i="1"/>
  <c r="G733" i="1"/>
  <c r="K733" i="1"/>
  <c r="G734" i="1"/>
  <c r="K734" i="1"/>
  <c r="AE744" i="1"/>
  <c r="AI744" i="1"/>
  <c r="BC761" i="1"/>
  <c r="BG764" i="1"/>
  <c r="BM767" i="1"/>
  <c r="O771" i="1"/>
  <c r="AE772" i="1"/>
  <c r="AI772" i="1"/>
  <c r="BG772" i="1"/>
  <c r="BM772" i="1"/>
  <c r="AI774" i="1"/>
  <c r="AM777" i="1"/>
  <c r="BM787" i="1"/>
  <c r="AQ792" i="1"/>
  <c r="AU792" i="1"/>
  <c r="BC793" i="1"/>
  <c r="BG793" i="1"/>
  <c r="BG800" i="1"/>
  <c r="BM800" i="1"/>
  <c r="AY802" i="1"/>
  <c r="BC802" i="1"/>
  <c r="S813" i="1"/>
  <c r="W813" i="1"/>
  <c r="AM816" i="1"/>
  <c r="AQ816" i="1"/>
  <c r="AA817" i="1"/>
  <c r="AE817" i="1"/>
  <c r="AY819" i="1"/>
  <c r="BC819" i="1"/>
  <c r="O825" i="1"/>
  <c r="S825" i="1"/>
  <c r="AU825" i="1"/>
  <c r="O827" i="1"/>
  <c r="AA830" i="1"/>
  <c r="AE830" i="1"/>
  <c r="K832" i="1"/>
  <c r="AQ834" i="1"/>
  <c r="AU834" i="1"/>
  <c r="K836" i="1"/>
  <c r="O836" i="1"/>
  <c r="AA837" i="1"/>
  <c r="S838" i="1"/>
  <c r="K842" i="1"/>
  <c r="G845" i="1"/>
  <c r="AU846" i="1"/>
  <c r="AU848" i="1"/>
  <c r="AY848" i="1"/>
  <c r="BG853" i="1"/>
  <c r="BM853" i="1"/>
  <c r="S855" i="1"/>
  <c r="BC856" i="1"/>
  <c r="S872" i="1"/>
  <c r="W872" i="1"/>
  <c r="AI876" i="1"/>
  <c r="AM876" i="1"/>
  <c r="K882" i="1"/>
  <c r="AQ886" i="1"/>
  <c r="O889" i="1"/>
  <c r="AM891" i="1"/>
  <c r="K904" i="1"/>
  <c r="G904" i="1"/>
  <c r="O823" i="1"/>
  <c r="S823" i="1"/>
  <c r="K826" i="1"/>
  <c r="O826" i="1"/>
  <c r="BC827" i="1"/>
  <c r="BG827" i="1"/>
  <c r="AY832" i="1"/>
  <c r="BC832" i="1"/>
  <c r="AQ849" i="1"/>
  <c r="AU849" i="1"/>
  <c r="O852" i="1"/>
  <c r="S852" i="1"/>
  <c r="AM854" i="1"/>
  <c r="AQ854" i="1"/>
  <c r="K858" i="1"/>
  <c r="O858" i="1"/>
  <c r="BC859" i="1"/>
  <c r="BG859" i="1"/>
  <c r="W867" i="1"/>
  <c r="AA867" i="1"/>
  <c r="BG878" i="1"/>
  <c r="BM878" i="1"/>
  <c r="K824" i="1"/>
  <c r="O824" i="1"/>
  <c r="AI828" i="1"/>
  <c r="AM828" i="1"/>
  <c r="G831" i="1"/>
  <c r="K831" i="1"/>
  <c r="AY836" i="1"/>
  <c r="BC836" i="1"/>
  <c r="AI860" i="1"/>
  <c r="AM860" i="1"/>
  <c r="AU869" i="1"/>
  <c r="AY869" i="1"/>
  <c r="AQ874" i="1"/>
  <c r="AU874" i="1"/>
  <c r="O877" i="1"/>
  <c r="S877" i="1"/>
  <c r="AM879" i="1"/>
  <c r="AQ879" i="1"/>
  <c r="AA901" i="1"/>
  <c r="AE901" i="1"/>
  <c r="BG903" i="1"/>
  <c r="BM903" i="1"/>
  <c r="O821" i="1"/>
  <c r="AA821" i="1"/>
  <c r="G823" i="1"/>
  <c r="W823" i="1"/>
  <c r="G827" i="1"/>
  <c r="AU827" i="1"/>
  <c r="AQ832" i="1"/>
  <c r="AY838" i="1"/>
  <c r="BM838" i="1"/>
  <c r="AQ842" i="1"/>
  <c r="AY843" i="1"/>
  <c r="AI845" i="1"/>
  <c r="W846" i="1"/>
  <c r="AA846" i="1"/>
  <c r="AA848" i="1"/>
  <c r="W850" i="1"/>
  <c r="AA850" i="1"/>
  <c r="S864" i="1"/>
  <c r="AE865" i="1"/>
  <c r="AI865" i="1"/>
  <c r="AA870" i="1"/>
  <c r="AE870" i="1"/>
  <c r="AY872" i="1"/>
  <c r="BC872" i="1"/>
  <c r="AQ882" i="1"/>
  <c r="AU889" i="1"/>
  <c r="G892" i="1"/>
  <c r="AQ826" i="1"/>
  <c r="AU826" i="1"/>
  <c r="AE833" i="1"/>
  <c r="AI833" i="1"/>
  <c r="AQ840" i="1"/>
  <c r="AU840" i="1"/>
  <c r="AU852" i="1"/>
  <c r="AY852" i="1"/>
  <c r="AQ858" i="1"/>
  <c r="AU858" i="1"/>
  <c r="BC867" i="1"/>
  <c r="BG867" i="1"/>
  <c r="G871" i="1"/>
  <c r="K871" i="1"/>
  <c r="W875" i="1"/>
  <c r="AA875" i="1"/>
  <c r="AQ899" i="1"/>
  <c r="K820" i="1"/>
  <c r="AA823" i="1"/>
  <c r="AU829" i="1"/>
  <c r="AM831" i="1"/>
  <c r="AQ831" i="1"/>
  <c r="K834" i="1"/>
  <c r="O834" i="1"/>
  <c r="AE835" i="1"/>
  <c r="AU837" i="1"/>
  <c r="AY837" i="1"/>
  <c r="AY847" i="1"/>
  <c r="BC847" i="1"/>
  <c r="AA853" i="1"/>
  <c r="AE853" i="1"/>
  <c r="AU861" i="1"/>
  <c r="AQ866" i="1"/>
  <c r="AI868" i="1"/>
  <c r="AM868" i="1"/>
  <c r="AU877" i="1"/>
  <c r="AY877" i="1"/>
  <c r="W883" i="1"/>
  <c r="O885" i="1"/>
  <c r="K886" i="1"/>
  <c r="BC887" i="1"/>
  <c r="G891" i="1"/>
  <c r="AU822" i="1"/>
  <c r="AY822" i="1"/>
  <c r="W827" i="1"/>
  <c r="AA827" i="1"/>
  <c r="AM827" i="1"/>
  <c r="G829" i="1"/>
  <c r="S832" i="1"/>
  <c r="W832" i="1"/>
  <c r="AA838" i="1"/>
  <c r="AE838" i="1"/>
  <c r="AA839" i="1"/>
  <c r="AI840" i="1"/>
  <c r="AY840" i="1"/>
  <c r="BC846" i="1"/>
  <c r="BG846" i="1"/>
  <c r="BC850" i="1"/>
  <c r="BG850" i="1"/>
  <c r="G854" i="1"/>
  <c r="K854" i="1"/>
  <c r="AE857" i="1"/>
  <c r="W859" i="1"/>
  <c r="AA859" i="1"/>
  <c r="AA862" i="1"/>
  <c r="AY864" i="1"/>
  <c r="BG870" i="1"/>
  <c r="BM870" i="1"/>
  <c r="AE873" i="1"/>
  <c r="AI873" i="1"/>
  <c r="AA878" i="1"/>
  <c r="AE878" i="1"/>
  <c r="AI888" i="1"/>
  <c r="AM892" i="1"/>
  <c r="AI909" i="1"/>
  <c r="AE909" i="1"/>
  <c r="AU923" i="1"/>
  <c r="AQ923" i="1"/>
  <c r="BC934" i="1"/>
  <c r="BG934" i="1"/>
  <c r="O907" i="1"/>
  <c r="K907" i="1"/>
  <c r="AM912" i="1"/>
  <c r="AI912" i="1"/>
  <c r="BC919" i="1"/>
  <c r="BG919" i="1"/>
  <c r="AE885" i="1"/>
  <c r="AM885" i="1"/>
  <c r="O896" i="1"/>
  <c r="K897" i="1"/>
  <c r="BC897" i="1"/>
  <c r="O899" i="1"/>
  <c r="K901" i="1"/>
  <c r="BG901" i="1"/>
  <c r="S903" i="1"/>
  <c r="AE903" i="1"/>
  <c r="AM904" i="1"/>
  <c r="AI908" i="1"/>
  <c r="AE908" i="1"/>
  <c r="BM909" i="1"/>
  <c r="AA920" i="1"/>
  <c r="AQ936" i="1"/>
  <c r="AM936" i="1"/>
  <c r="AE941" i="1"/>
  <c r="AI941" i="1"/>
  <c r="BC905" i="1"/>
  <c r="AY905" i="1"/>
  <c r="O910" i="1"/>
  <c r="K910" i="1"/>
  <c r="AA911" i="1"/>
  <c r="W911" i="1"/>
  <c r="AI907" i="1"/>
  <c r="AE907" i="1"/>
  <c r="S913" i="1"/>
  <c r="O920" i="1"/>
  <c r="O936" i="1"/>
  <c r="S936" i="1"/>
  <c r="AM901" i="1"/>
  <c r="O909" i="1"/>
  <c r="K909" i="1"/>
  <c r="G912" i="1"/>
  <c r="K915" i="1"/>
  <c r="BM918" i="1"/>
  <c r="AI922" i="1"/>
  <c r="AQ929" i="1"/>
  <c r="AU929" i="1"/>
  <c r="AQ896" i="1"/>
  <c r="AM897" i="1"/>
  <c r="AI898" i="1"/>
  <c r="AE900" i="1"/>
  <c r="AY902" i="1"/>
  <c r="AU904" i="1"/>
  <c r="AI906" i="1"/>
  <c r="AE906" i="1"/>
  <c r="BM907" i="1"/>
  <c r="K916" i="1"/>
  <c r="S921" i="1"/>
  <c r="AI932" i="1"/>
  <c r="AM932" i="1"/>
  <c r="G1167" i="1"/>
  <c r="K1167" i="1"/>
  <c r="BC1210" i="1"/>
  <c r="AY1210" i="1"/>
  <c r="AQ1217" i="1"/>
  <c r="AM1217" i="1"/>
  <c r="AY1261" i="1"/>
  <c r="AU1261" i="1"/>
  <c r="W1265" i="1"/>
  <c r="AA1265" i="1"/>
  <c r="K1270" i="1"/>
  <c r="O1270" i="1"/>
  <c r="AI1272" i="1"/>
  <c r="AM1272" i="1"/>
  <c r="AQ1279" i="1"/>
  <c r="AU1279" i="1"/>
  <c r="AE1290" i="1"/>
  <c r="AI1290" i="1"/>
  <c r="AI1293" i="1"/>
  <c r="AM1293" i="1"/>
  <c r="BC1300" i="1"/>
  <c r="BG1300" i="1"/>
  <c r="W1316" i="1"/>
  <c r="AA1316" i="1"/>
  <c r="AE1322" i="1"/>
  <c r="AI1322" i="1"/>
  <c r="G1332" i="1"/>
  <c r="K1332" i="1"/>
  <c r="K1335" i="1"/>
  <c r="O1335" i="1"/>
  <c r="O1338" i="1"/>
  <c r="S1338" i="1"/>
  <c r="AA1339" i="1"/>
  <c r="AE1339" i="1"/>
  <c r="S1341" i="1"/>
  <c r="W1341" i="1"/>
  <c r="AI921" i="1"/>
  <c r="K924" i="1"/>
  <c r="BG924" i="1"/>
  <c r="W925" i="1"/>
  <c r="S926" i="1"/>
  <c r="AE926" i="1"/>
  <c r="BC927" i="1"/>
  <c r="O929" i="1"/>
  <c r="AI929" i="1"/>
  <c r="AA932" i="1"/>
  <c r="W934" i="1"/>
  <c r="AU934" i="1"/>
  <c r="AU935" i="1"/>
  <c r="G936" i="1"/>
  <c r="BG937" i="1"/>
  <c r="AI938" i="1"/>
  <c r="K941" i="1"/>
  <c r="BM941" i="1"/>
  <c r="AY942" i="1"/>
  <c r="O947" i="1"/>
  <c r="AU948" i="1"/>
  <c r="K949" i="1"/>
  <c r="AQ950" i="1"/>
  <c r="AM952" i="1"/>
  <c r="O953" i="1"/>
  <c r="BG954" i="1"/>
  <c r="K955" i="1"/>
  <c r="AY959" i="1"/>
  <c r="AA961" i="1"/>
  <c r="K963" i="1"/>
  <c r="AM963" i="1"/>
  <c r="AQ969" i="1"/>
  <c r="BM972" i="1"/>
  <c r="AE974" i="1"/>
  <c r="S981" i="1"/>
  <c r="BM982" i="1"/>
  <c r="AY984" i="1"/>
  <c r="AM985" i="1"/>
  <c r="K988" i="1"/>
  <c r="BC989" i="1"/>
  <c r="W993" i="1"/>
  <c r="AU994" i="1"/>
  <c r="AE1006" i="1"/>
  <c r="AU1010" i="1"/>
  <c r="K1018" i="1"/>
  <c r="AY1025" i="1"/>
  <c r="O928" i="1"/>
  <c r="AA929" i="1"/>
  <c r="BC932" i="1"/>
  <c r="AE1015" i="1"/>
  <c r="AY1021" i="1"/>
  <c r="W1057" i="1"/>
  <c r="O913" i="1"/>
  <c r="AU913" i="1"/>
  <c r="AA914" i="1"/>
  <c r="BG914" i="1"/>
  <c r="G915" i="1"/>
  <c r="BG915" i="1"/>
  <c r="G916" i="1"/>
  <c r="BG916" i="1"/>
  <c r="G917" i="1"/>
  <c r="AA918" i="1"/>
  <c r="BG918" i="1"/>
  <c r="G919" i="1"/>
  <c r="AM919" i="1"/>
  <c r="BM919" i="1"/>
  <c r="K920" i="1"/>
  <c r="W920" i="1"/>
  <c r="O921" i="1"/>
  <c r="BG921" i="1"/>
  <c r="G922" i="1"/>
  <c r="AE922" i="1"/>
  <c r="O923" i="1"/>
  <c r="AA923" i="1"/>
  <c r="AY923" i="1"/>
  <c r="BM924" i="1"/>
  <c r="AI926" i="1"/>
  <c r="AI927" i="1"/>
  <c r="AU927" i="1"/>
  <c r="AA928" i="1"/>
  <c r="AU928" i="1"/>
  <c r="AY929" i="1"/>
  <c r="W930" i="1"/>
  <c r="K931" i="1"/>
  <c r="AU933" i="1"/>
  <c r="W936" i="1"/>
  <c r="AU936" i="1"/>
  <c r="W937" i="1"/>
  <c r="AM938" i="1"/>
  <c r="AM939" i="1"/>
  <c r="AY940" i="1"/>
  <c r="AM941" i="1"/>
  <c r="BC942" i="1"/>
  <c r="AQ943" i="1"/>
  <c r="S944" i="1"/>
  <c r="AY945" i="1"/>
  <c r="O949" i="1"/>
  <c r="AU950" i="1"/>
  <c r="W951" i="1"/>
  <c r="S953" i="1"/>
  <c r="BM954" i="1"/>
  <c r="S956" i="1"/>
  <c r="BM957" i="1"/>
  <c r="W970" i="1"/>
  <c r="K975" i="1"/>
  <c r="O978" i="1"/>
  <c r="AA979" i="1"/>
  <c r="AA995" i="1"/>
  <c r="AY997" i="1"/>
  <c r="AM1004" i="1"/>
  <c r="K1007" i="1"/>
  <c r="BC1008" i="1"/>
  <c r="AA1011" i="1"/>
  <c r="AY1013" i="1"/>
  <c r="K1017" i="1"/>
  <c r="O1021" i="1"/>
  <c r="AQ1024" i="1"/>
  <c r="AE1026" i="1"/>
  <c r="AU1028" i="1"/>
  <c r="S1034" i="1"/>
  <c r="BM1035" i="1"/>
  <c r="AI1038" i="1"/>
  <c r="AQ1041" i="1"/>
  <c r="O1044" i="1"/>
  <c r="BG1045" i="1"/>
  <c r="G928" i="1"/>
  <c r="AQ971" i="1"/>
  <c r="AY981" i="1"/>
  <c r="AQ988" i="1"/>
  <c r="O991" i="1"/>
  <c r="S1005" i="1"/>
  <c r="BM1006" i="1"/>
  <c r="AI1009" i="1"/>
  <c r="G1012" i="1"/>
  <c r="BM1016" i="1"/>
  <c r="AQ1021" i="1"/>
  <c r="AM927" i="1"/>
  <c r="BC929" i="1"/>
  <c r="BG932" i="1"/>
  <c r="AA1028" i="1"/>
  <c r="O1029" i="1"/>
  <c r="AU922" i="1"/>
  <c r="AQ924" i="1"/>
  <c r="BC925" i="1"/>
  <c r="AY926" i="1"/>
  <c r="AU932" i="1"/>
  <c r="AE933" i="1"/>
  <c r="AE934" i="1"/>
  <c r="S939" i="1"/>
  <c r="AE940" i="1"/>
  <c r="W943" i="1"/>
  <c r="AY944" i="1"/>
  <c r="O948" i="1"/>
  <c r="AU949" i="1"/>
  <c r="K950" i="1"/>
  <c r="BC951" i="1"/>
  <c r="G952" i="1"/>
  <c r="AY953" i="1"/>
  <c r="AA954" i="1"/>
  <c r="AY956" i="1"/>
  <c r="BC967" i="1"/>
  <c r="BC970" i="1"/>
  <c r="BC976" i="1"/>
  <c r="AE982" i="1"/>
  <c r="W989" i="1"/>
  <c r="S992" i="1"/>
  <c r="O994" i="1"/>
  <c r="BG995" i="1"/>
  <c r="AQ1007" i="1"/>
  <c r="O1010" i="1"/>
  <c r="BG1011" i="1"/>
  <c r="BM1015" i="1"/>
  <c r="AE1017" i="1"/>
  <c r="W1019" i="1"/>
  <c r="AI1021" i="1"/>
  <c r="G1023" i="1"/>
  <c r="BM1026" i="1"/>
  <c r="BC1029" i="1"/>
  <c r="AA1032" i="1"/>
  <c r="AY1034" i="1"/>
  <c r="W1041" i="1"/>
  <c r="AU1044" i="1"/>
  <c r="AY1054" i="1"/>
  <c r="K947" i="1"/>
  <c r="AQ948" i="1"/>
  <c r="BM949" i="1"/>
  <c r="AI952" i="1"/>
  <c r="G955" i="1"/>
  <c r="BG959" i="1"/>
  <c r="AA964" i="1"/>
  <c r="AU992" i="1"/>
  <c r="AY1005" i="1"/>
  <c r="AM1012" i="1"/>
  <c r="K1015" i="1"/>
  <c r="AI1023" i="1"/>
  <c r="W1024" i="1"/>
  <c r="AM1027" i="1"/>
  <c r="AI1030" i="1"/>
  <c r="G1033" i="1"/>
  <c r="W1037" i="1"/>
  <c r="BC1039" i="1"/>
  <c r="AQ1049" i="1"/>
  <c r="AE1055" i="1"/>
  <c r="K1056" i="1"/>
  <c r="AA1371" i="1"/>
  <c r="AE1371" i="1"/>
  <c r="G1372" i="1"/>
  <c r="K1372" i="1"/>
  <c r="AQ1375" i="1"/>
  <c r="AU1375" i="1"/>
  <c r="W1376" i="1"/>
  <c r="AA1376" i="1"/>
  <c r="BC1392" i="1"/>
  <c r="BG1392" i="1"/>
  <c r="AI1393" i="1"/>
  <c r="AM1393" i="1"/>
  <c r="BC1401" i="1"/>
  <c r="BG1401" i="1"/>
  <c r="AU1404" i="1"/>
  <c r="AY1404" i="1"/>
  <c r="AA1413" i="1"/>
  <c r="AE1413" i="1"/>
  <c r="G1414" i="1"/>
  <c r="K1414" i="1"/>
  <c r="AQ1417" i="1"/>
  <c r="AU1417" i="1"/>
  <c r="W1418" i="1"/>
  <c r="AA1418" i="1"/>
  <c r="O1423" i="1"/>
  <c r="S1423" i="1"/>
  <c r="AE1427" i="1"/>
  <c r="AI1427" i="1"/>
  <c r="W1437" i="1"/>
  <c r="AA1437" i="1"/>
  <c r="S1442" i="1"/>
  <c r="W1442" i="1"/>
  <c r="K1444" i="1"/>
  <c r="O1444" i="1"/>
  <c r="AI1446" i="1"/>
  <c r="AM1446" i="1"/>
  <c r="AA1447" i="1"/>
  <c r="AE1447" i="1"/>
  <c r="AQ1449" i="1"/>
  <c r="AU1449" i="1"/>
  <c r="O1451" i="1"/>
  <c r="S1451" i="1"/>
  <c r="AY1482" i="1"/>
  <c r="BC1482" i="1"/>
  <c r="O1486" i="1"/>
  <c r="S1486" i="1"/>
  <c r="AE1490" i="1"/>
  <c r="AI1490" i="1"/>
  <c r="AU1494" i="1"/>
  <c r="AY1494" i="1"/>
  <c r="BG1498" i="1"/>
  <c r="BM1498" i="1"/>
  <c r="AA1556" i="1"/>
  <c r="AE1556" i="1"/>
  <c r="G1557" i="1"/>
  <c r="K1557" i="1"/>
  <c r="S1568" i="1"/>
  <c r="W1568" i="1"/>
  <c r="BG1574" i="1"/>
  <c r="BM1574" i="1"/>
  <c r="AM1575" i="1"/>
  <c r="AQ1575" i="1"/>
  <c r="W1579" i="1"/>
  <c r="AA1579" i="1"/>
  <c r="AI1588" i="1"/>
  <c r="AM1588" i="1"/>
  <c r="BG1594" i="1"/>
  <c r="BM1594" i="1"/>
  <c r="AI1683" i="1"/>
  <c r="AM1683" i="1"/>
  <c r="K1689" i="1"/>
  <c r="O1689" i="1"/>
  <c r="AU1692" i="1"/>
  <c r="AY1692" i="1"/>
  <c r="K1697" i="1"/>
  <c r="O1697" i="1"/>
  <c r="AY1699" i="1"/>
  <c r="BC1699" i="1"/>
  <c r="AQ1701" i="1"/>
  <c r="AU1701" i="1"/>
  <c r="AA1705" i="1"/>
  <c r="AE1705" i="1"/>
  <c r="G1706" i="1"/>
  <c r="K1706" i="1"/>
  <c r="AA1721" i="1"/>
  <c r="AE1721" i="1"/>
  <c r="G1722" i="1"/>
  <c r="K1722" i="1"/>
  <c r="AA1729" i="1"/>
  <c r="AE1729" i="1"/>
  <c r="G1730" i="1"/>
  <c r="K1730" i="1"/>
  <c r="AA1737" i="1"/>
  <c r="AE1737" i="1"/>
  <c r="G1738" i="1"/>
  <c r="K1738" i="1"/>
  <c r="S1789" i="1"/>
  <c r="O1789" i="1"/>
  <c r="BC1812" i="1"/>
  <c r="BG1812" i="1"/>
  <c r="AI1813" i="1"/>
  <c r="AM1813" i="1"/>
  <c r="G1828" i="1"/>
  <c r="K1828" i="1"/>
  <c r="BC1832" i="1"/>
  <c r="BG1832" i="1"/>
  <c r="AA1835" i="1"/>
  <c r="AE1835" i="1"/>
  <c r="AY1837" i="1"/>
  <c r="BC1837" i="1"/>
  <c r="AQ1839" i="1"/>
  <c r="AU1839" i="1"/>
  <c r="O1842" i="1"/>
  <c r="S1842" i="1"/>
  <c r="AM1844" i="1"/>
  <c r="AQ1844" i="1"/>
  <c r="BC1856" i="1"/>
  <c r="BG1856" i="1"/>
  <c r="AA1859" i="1"/>
  <c r="AE1859" i="1"/>
  <c r="AY1861" i="1"/>
  <c r="BC1861" i="1"/>
  <c r="AQ1863" i="1"/>
  <c r="AU1863" i="1"/>
  <c r="AA1881" i="1"/>
  <c r="AE1881" i="1"/>
  <c r="AE1932" i="1"/>
  <c r="AA1932" i="1"/>
  <c r="BG1938" i="1"/>
  <c r="BC1938" i="1"/>
  <c r="S2006" i="1"/>
  <c r="W2006" i="1"/>
  <c r="AY1068" i="1"/>
  <c r="K1069" i="1"/>
  <c r="W1071" i="1"/>
  <c r="AI1071" i="1"/>
  <c r="AY1072" i="1"/>
  <c r="BG1074" i="1"/>
  <c r="W1075" i="1"/>
  <c r="AU1080" i="1"/>
  <c r="AQ1081" i="1"/>
  <c r="AE1089" i="1"/>
  <c r="O1094" i="1"/>
  <c r="AQ1099" i="1"/>
  <c r="O1102" i="1"/>
  <c r="AM1104" i="1"/>
  <c r="G1107" i="1"/>
  <c r="AU1110" i="1"/>
  <c r="S1113" i="1"/>
  <c r="AM1115" i="1"/>
  <c r="AI1117" i="1"/>
  <c r="K1118" i="1"/>
  <c r="AI1120" i="1"/>
  <c r="AY1121" i="1"/>
  <c r="W1124" i="1"/>
  <c r="AQ1126" i="1"/>
  <c r="K1132" i="1"/>
  <c r="AI1134" i="1"/>
  <c r="AA1137" i="1"/>
  <c r="K1144" i="1"/>
  <c r="AI1146" i="1"/>
  <c r="AE1151" i="1"/>
  <c r="AU1155" i="1"/>
  <c r="S1158" i="1"/>
  <c r="AA1164" i="1"/>
  <c r="AY1166" i="1"/>
  <c r="O1169" i="1"/>
  <c r="AQ1178" i="1"/>
  <c r="BC1182" i="1"/>
  <c r="AI1183" i="1"/>
  <c r="S1187" i="1"/>
  <c r="BC1190" i="1"/>
  <c r="AI1191" i="1"/>
  <c r="S1195" i="1"/>
  <c r="W1202" i="1"/>
  <c r="S1202" i="1"/>
  <c r="AM1206" i="1"/>
  <c r="AI1206" i="1"/>
  <c r="S1259" i="1"/>
  <c r="O1259" i="1"/>
  <c r="AQ1199" i="1"/>
  <c r="AM1199" i="1"/>
  <c r="AI1226" i="1"/>
  <c r="AM1226" i="1"/>
  <c r="K1209" i="1"/>
  <c r="G1209" i="1"/>
  <c r="AQ1255" i="1"/>
  <c r="AU1255" i="1"/>
  <c r="G1257" i="1"/>
  <c r="K1257" i="1"/>
  <c r="BC1257" i="1"/>
  <c r="BG1257" i="1"/>
  <c r="AU1171" i="1"/>
  <c r="AY1171" i="1"/>
  <c r="S1222" i="1"/>
  <c r="W1222" i="1"/>
  <c r="AA1246" i="1"/>
  <c r="AE1246" i="1"/>
  <c r="S1248" i="1"/>
  <c r="W1248" i="1"/>
  <c r="BM1019" i="1"/>
  <c r="AE1085" i="1"/>
  <c r="AY1089" i="1"/>
  <c r="AQ1137" i="1"/>
  <c r="K1198" i="1"/>
  <c r="G1198" i="1"/>
  <c r="BG1208" i="1"/>
  <c r="BM1208" i="1"/>
  <c r="W1242" i="1"/>
  <c r="AA1242" i="1"/>
  <c r="K1244" i="1"/>
  <c r="O1244" i="1"/>
  <c r="AY1060" i="1"/>
  <c r="K1061" i="1"/>
  <c r="BM1061" i="1"/>
  <c r="AA1062" i="1"/>
  <c r="AM1062" i="1"/>
  <c r="BC1063" i="1"/>
  <c r="O1064" i="1"/>
  <c r="O1065" i="1"/>
  <c r="AA1065" i="1"/>
  <c r="AQ1066" i="1"/>
  <c r="BC1066" i="1"/>
  <c r="G1067" i="1"/>
  <c r="S1067" i="1"/>
  <c r="S1068" i="1"/>
  <c r="AE1068" i="1"/>
  <c r="AU1069" i="1"/>
  <c r="S1072" i="1"/>
  <c r="AA1074" i="1"/>
  <c r="AM1074" i="1"/>
  <c r="BC1079" i="1"/>
  <c r="O1084" i="1"/>
  <c r="O1089" i="1"/>
  <c r="AM1093" i="1"/>
  <c r="K1097" i="1"/>
  <c r="BG1098" i="1"/>
  <c r="K1099" i="1"/>
  <c r="BC1103" i="1"/>
  <c r="G1104" i="1"/>
  <c r="AQ1107" i="1"/>
  <c r="O1110" i="1"/>
  <c r="AM1112" i="1"/>
  <c r="G1115" i="1"/>
  <c r="AU1118" i="1"/>
  <c r="S1121" i="1"/>
  <c r="AM1123" i="1"/>
  <c r="AI1125" i="1"/>
  <c r="K1126" i="1"/>
  <c r="AE1135" i="1"/>
  <c r="AY1141" i="1"/>
  <c r="AA1147" i="1"/>
  <c r="BG1147" i="1"/>
  <c r="AQ1152" i="1"/>
  <c r="O1155" i="1"/>
  <c r="AE1159" i="1"/>
  <c r="AU1163" i="1"/>
  <c r="S1166" i="1"/>
  <c r="AI1169" i="1"/>
  <c r="AA1171" i="1"/>
  <c r="BG1174" i="1"/>
  <c r="K1178" i="1"/>
  <c r="AQ1179" i="1"/>
  <c r="AA1185" i="1"/>
  <c r="G1186" i="1"/>
  <c r="AA1193" i="1"/>
  <c r="G1194" i="1"/>
  <c r="AU1204" i="1"/>
  <c r="AQ1204" i="1"/>
  <c r="AE1209" i="1"/>
  <c r="BM1212" i="1"/>
  <c r="S1059" i="1"/>
  <c r="BM1069" i="1"/>
  <c r="AA1070" i="1"/>
  <c r="AI1072" i="1"/>
  <c r="AU1072" i="1"/>
  <c r="BM1073" i="1"/>
  <c r="G1075" i="1"/>
  <c r="S1075" i="1"/>
  <c r="BG1075" i="1"/>
  <c r="G1077" i="1"/>
  <c r="O1079" i="1"/>
  <c r="W1082" i="1"/>
  <c r="AE1084" i="1"/>
  <c r="K1094" i="1"/>
  <c r="AM1096" i="1"/>
  <c r="AM1099" i="1"/>
  <c r="AI1101" i="1"/>
  <c r="K1102" i="1"/>
  <c r="AI1104" i="1"/>
  <c r="AY1105" i="1"/>
  <c r="W1108" i="1"/>
  <c r="AQ1110" i="1"/>
  <c r="O1113" i="1"/>
  <c r="AE1114" i="1"/>
  <c r="BC1116" i="1"/>
  <c r="AE1117" i="1"/>
  <c r="AA1119" i="1"/>
  <c r="AU1121" i="1"/>
  <c r="BM1122" i="1"/>
  <c r="S1124" i="1"/>
  <c r="AE1131" i="1"/>
  <c r="AI1137" i="1"/>
  <c r="AY1140" i="1"/>
  <c r="AE1143" i="1"/>
  <c r="AY1150" i="1"/>
  <c r="W1153" i="1"/>
  <c r="BG1156" i="1"/>
  <c r="BC1161" i="1"/>
  <c r="AU1173" i="1"/>
  <c r="AM1175" i="1"/>
  <c r="AQ1181" i="1"/>
  <c r="W1182" i="1"/>
  <c r="AQ1189" i="1"/>
  <c r="W1190" i="1"/>
  <c r="BG1197" i="1"/>
  <c r="BM1197" i="1"/>
  <c r="K1201" i="1"/>
  <c r="O1205" i="1"/>
  <c r="AA1213" i="1"/>
  <c r="W1213" i="1"/>
  <c r="S1215" i="1"/>
  <c r="O1215" i="1"/>
  <c r="BM1165" i="1"/>
  <c r="AU1196" i="1"/>
  <c r="W1198" i="1"/>
  <c r="BG1198" i="1"/>
  <c r="BC1199" i="1"/>
  <c r="G1200" i="1"/>
  <c r="BM1201" i="1"/>
  <c r="AI1202" i="1"/>
  <c r="S1203" i="1"/>
  <c r="BG1204" i="1"/>
  <c r="G1205" i="1"/>
  <c r="AQ1205" i="1"/>
  <c r="AY1206" i="1"/>
  <c r="AI1207" i="1"/>
  <c r="W1209" i="1"/>
  <c r="BG1209" i="1"/>
  <c r="O1211" i="1"/>
  <c r="AY1211" i="1"/>
  <c r="AM1213" i="1"/>
  <c r="AE1215" i="1"/>
  <c r="O1216" i="1"/>
  <c r="BC1217" i="1"/>
  <c r="G1218" i="1"/>
  <c r="AU1219" i="1"/>
  <c r="AY1219" i="1"/>
  <c r="AU1220" i="1"/>
  <c r="AY1223" i="1"/>
  <c r="BM1224" i="1"/>
  <c r="W1228" i="1"/>
  <c r="AA1228" i="1"/>
  <c r="BG1229" i="1"/>
  <c r="BM1229" i="1"/>
  <c r="AA1230" i="1"/>
  <c r="AY1231" i="1"/>
  <c r="BC1231" i="1"/>
  <c r="G1238" i="1"/>
  <c r="K1238" i="1"/>
  <c r="K1241" i="1"/>
  <c r="O1241" i="1"/>
  <c r="W1251" i="1"/>
  <c r="AA1251" i="1"/>
  <c r="W1260" i="1"/>
  <c r="AA1260" i="1"/>
  <c r="K1264" i="1"/>
  <c r="O1264" i="1"/>
  <c r="O1267" i="1"/>
  <c r="S1267" i="1"/>
  <c r="G1275" i="1"/>
  <c r="K1275" i="1"/>
  <c r="K1278" i="1"/>
  <c r="O1278" i="1"/>
  <c r="G1285" i="1"/>
  <c r="K1285" i="1"/>
  <c r="O1286" i="1"/>
  <c r="S1286" i="1"/>
  <c r="AA1287" i="1"/>
  <c r="AE1287" i="1"/>
  <c r="S1289" i="1"/>
  <c r="W1289" i="1"/>
  <c r="AM1296" i="1"/>
  <c r="AQ1296" i="1"/>
  <c r="AQ1299" i="1"/>
  <c r="AU1299" i="1"/>
  <c r="AU1302" i="1"/>
  <c r="AY1302" i="1"/>
  <c r="BG1303" i="1"/>
  <c r="BM1303" i="1"/>
  <c r="AY1305" i="1"/>
  <c r="BC1305" i="1"/>
  <c r="G1312" i="1"/>
  <c r="K1312" i="1"/>
  <c r="K1315" i="1"/>
  <c r="O1315" i="1"/>
  <c r="O1318" i="1"/>
  <c r="S1318" i="1"/>
  <c r="AA1319" i="1"/>
  <c r="AE1319" i="1"/>
  <c r="S1321" i="1"/>
  <c r="W1321" i="1"/>
  <c r="G1324" i="1"/>
  <c r="K1324" i="1"/>
  <c r="BC1328" i="1"/>
  <c r="BG1328" i="1"/>
  <c r="W1344" i="1"/>
  <c r="AA1344" i="1"/>
  <c r="BG1349" i="1"/>
  <c r="BM1349" i="1"/>
  <c r="AU1355" i="1"/>
  <c r="AQ1355" i="1"/>
  <c r="O1177" i="1"/>
  <c r="AA1181" i="1"/>
  <c r="BG1181" i="1"/>
  <c r="AM1182" i="1"/>
  <c r="S1183" i="1"/>
  <c r="AY1183" i="1"/>
  <c r="AE1184" i="1"/>
  <c r="K1185" i="1"/>
  <c r="AQ1185" i="1"/>
  <c r="W1186" i="1"/>
  <c r="BC1186" i="1"/>
  <c r="AI1187" i="1"/>
  <c r="O1188" i="1"/>
  <c r="AU1188" i="1"/>
  <c r="AA1189" i="1"/>
  <c r="BG1189" i="1"/>
  <c r="AM1190" i="1"/>
  <c r="S1191" i="1"/>
  <c r="AY1191" i="1"/>
  <c r="AE1192" i="1"/>
  <c r="K1193" i="1"/>
  <c r="AQ1193" i="1"/>
  <c r="W1194" i="1"/>
  <c r="BC1194" i="1"/>
  <c r="AI1195" i="1"/>
  <c r="BC1195" i="1"/>
  <c r="BG1196" i="1"/>
  <c r="G1197" i="1"/>
  <c r="S1197" i="1"/>
  <c r="W1199" i="1"/>
  <c r="S1200" i="1"/>
  <c r="AE1200" i="1"/>
  <c r="AQ1200" i="1"/>
  <c r="AM1201" i="1"/>
  <c r="AY1201" i="1"/>
  <c r="AE1203" i="1"/>
  <c r="AQ1203" i="1"/>
  <c r="O1204" i="1"/>
  <c r="BC1205" i="1"/>
  <c r="G1206" i="1"/>
  <c r="AU1207" i="1"/>
  <c r="BG1207" i="1"/>
  <c r="AE1208" i="1"/>
  <c r="W1210" i="1"/>
  <c r="K1212" i="1"/>
  <c r="W1212" i="1"/>
  <c r="AU1212" i="1"/>
  <c r="O1214" i="1"/>
  <c r="AM1214" i="1"/>
  <c r="AA1216" i="1"/>
  <c r="AM1216" i="1"/>
  <c r="K1217" i="1"/>
  <c r="S1218" i="1"/>
  <c r="AE1218" i="1"/>
  <c r="BC1218" i="1"/>
  <c r="K1220" i="1"/>
  <c r="W1220" i="1"/>
  <c r="G1221" i="1"/>
  <c r="K1221" i="1"/>
  <c r="AI1221" i="1"/>
  <c r="BM1221" i="1"/>
  <c r="AM1222" i="1"/>
  <c r="W1225" i="1"/>
  <c r="AA1225" i="1"/>
  <c r="BC1226" i="1"/>
  <c r="BC1234" i="1"/>
  <c r="BG1234" i="1"/>
  <c r="G1243" i="1"/>
  <c r="BC1244" i="1"/>
  <c r="G1247" i="1"/>
  <c r="K1247" i="1"/>
  <c r="K1250" i="1"/>
  <c r="O1250" i="1"/>
  <c r="O1253" i="1"/>
  <c r="S1253" i="1"/>
  <c r="AA1254" i="1"/>
  <c r="AE1254" i="1"/>
  <c r="AA1255" i="1"/>
  <c r="AI1258" i="1"/>
  <c r="AM1258" i="1"/>
  <c r="BG1259" i="1"/>
  <c r="BM1260" i="1"/>
  <c r="G1266" i="1"/>
  <c r="AE1269" i="1"/>
  <c r="BC1281" i="1"/>
  <c r="BG1281" i="1"/>
  <c r="W1292" i="1"/>
  <c r="AA1292" i="1"/>
  <c r="AE1298" i="1"/>
  <c r="AI1298" i="1"/>
  <c r="AI1301" i="1"/>
  <c r="AM1301" i="1"/>
  <c r="BC1308" i="1"/>
  <c r="BG1308" i="1"/>
  <c r="AI1325" i="1"/>
  <c r="AM1325" i="1"/>
  <c r="AQ1327" i="1"/>
  <c r="AU1327" i="1"/>
  <c r="AU1330" i="1"/>
  <c r="AY1330" i="1"/>
  <c r="BG1331" i="1"/>
  <c r="BM1331" i="1"/>
  <c r="AY1333" i="1"/>
  <c r="BC1333" i="1"/>
  <c r="G1340" i="1"/>
  <c r="K1340" i="1"/>
  <c r="K1343" i="1"/>
  <c r="O1343" i="1"/>
  <c r="O1346" i="1"/>
  <c r="S1346" i="1"/>
  <c r="AE1347" i="1"/>
  <c r="AA1347" i="1"/>
  <c r="O1352" i="1"/>
  <c r="S1352" i="1"/>
  <c r="K1224" i="1"/>
  <c r="O1224" i="1"/>
  <c r="O1227" i="1"/>
  <c r="S1227" i="1"/>
  <c r="AY1228" i="1"/>
  <c r="BC1228" i="1"/>
  <c r="AM1230" i="1"/>
  <c r="AQ1230" i="1"/>
  <c r="AQ1233" i="1"/>
  <c r="AU1233" i="1"/>
  <c r="AU1236" i="1"/>
  <c r="AY1236" i="1"/>
  <c r="BG1237" i="1"/>
  <c r="BM1237" i="1"/>
  <c r="AY1239" i="1"/>
  <c r="BC1239" i="1"/>
  <c r="K1256" i="1"/>
  <c r="O1256" i="1"/>
  <c r="AY1262" i="1"/>
  <c r="BC1262" i="1"/>
  <c r="BC1267" i="1"/>
  <c r="BG1267" i="1"/>
  <c r="AU1273" i="1"/>
  <c r="AY1273" i="1"/>
  <c r="BG1274" i="1"/>
  <c r="BM1274" i="1"/>
  <c r="AY1276" i="1"/>
  <c r="BC1276" i="1"/>
  <c r="AQ1282" i="1"/>
  <c r="AU1282" i="1"/>
  <c r="AQ1283" i="1"/>
  <c r="AU1283" i="1"/>
  <c r="G1288" i="1"/>
  <c r="K1288" i="1"/>
  <c r="K1291" i="1"/>
  <c r="O1291" i="1"/>
  <c r="O1294" i="1"/>
  <c r="S1294" i="1"/>
  <c r="AA1295" i="1"/>
  <c r="AE1295" i="1"/>
  <c r="S1297" i="1"/>
  <c r="W1297" i="1"/>
  <c r="AM1304" i="1"/>
  <c r="AQ1304" i="1"/>
  <c r="AQ1307" i="1"/>
  <c r="AU1307" i="1"/>
  <c r="AU1310" i="1"/>
  <c r="AY1310" i="1"/>
  <c r="BG1311" i="1"/>
  <c r="BM1311" i="1"/>
  <c r="AY1313" i="1"/>
  <c r="BC1313" i="1"/>
  <c r="G1320" i="1"/>
  <c r="K1320" i="1"/>
  <c r="K1323" i="1"/>
  <c r="O1323" i="1"/>
  <c r="AE1326" i="1"/>
  <c r="AI1326" i="1"/>
  <c r="AI1329" i="1"/>
  <c r="AM1329" i="1"/>
  <c r="BC1336" i="1"/>
  <c r="BG1336" i="1"/>
  <c r="AE1348" i="1"/>
  <c r="AI1348" i="1"/>
  <c r="AU1349" i="1"/>
  <c r="AY1349" i="1"/>
  <c r="AY1350" i="1"/>
  <c r="BC1350" i="1"/>
  <c r="BC1353" i="1"/>
  <c r="AY1353" i="1"/>
  <c r="O1219" i="1"/>
  <c r="S1219" i="1"/>
  <c r="AY1222" i="1"/>
  <c r="BC1222" i="1"/>
  <c r="AM1229" i="1"/>
  <c r="AQ1229" i="1"/>
  <c r="AE1232" i="1"/>
  <c r="AI1232" i="1"/>
  <c r="AI1235" i="1"/>
  <c r="AM1235" i="1"/>
  <c r="BC1242" i="1"/>
  <c r="BG1242" i="1"/>
  <c r="AQ1244" i="1"/>
  <c r="AU1244" i="1"/>
  <c r="BG1246" i="1"/>
  <c r="BM1246" i="1"/>
  <c r="AY1248" i="1"/>
  <c r="BC1248" i="1"/>
  <c r="BC1265" i="1"/>
  <c r="BG1265" i="1"/>
  <c r="AQ1268" i="1"/>
  <c r="AU1268" i="1"/>
  <c r="AQ1270" i="1"/>
  <c r="AU1270" i="1"/>
  <c r="AQ1280" i="1"/>
  <c r="AU1280" i="1"/>
  <c r="W1300" i="1"/>
  <c r="AA1300" i="1"/>
  <c r="AE1306" i="1"/>
  <c r="AI1306" i="1"/>
  <c r="AI1309" i="1"/>
  <c r="AM1309" i="1"/>
  <c r="BC1316" i="1"/>
  <c r="BG1316" i="1"/>
  <c r="AM1332" i="1"/>
  <c r="AQ1332" i="1"/>
  <c r="AQ1335" i="1"/>
  <c r="AU1335" i="1"/>
  <c r="AU1338" i="1"/>
  <c r="AY1338" i="1"/>
  <c r="BG1339" i="1"/>
  <c r="BM1339" i="1"/>
  <c r="AY1341" i="1"/>
  <c r="BC1341" i="1"/>
  <c r="O1353" i="1"/>
  <c r="K1353" i="1"/>
  <c r="AU1197" i="1"/>
  <c r="BM1199" i="1"/>
  <c r="BG1200" i="1"/>
  <c r="G1202" i="1"/>
  <c r="AE1204" i="1"/>
  <c r="W1206" i="1"/>
  <c r="AU1208" i="1"/>
  <c r="AM1210" i="1"/>
  <c r="BM1220" i="1"/>
  <c r="S1231" i="1"/>
  <c r="W1231" i="1"/>
  <c r="AM1238" i="1"/>
  <c r="AQ1238" i="1"/>
  <c r="AQ1241" i="1"/>
  <c r="AU1241" i="1"/>
  <c r="BC1251" i="1"/>
  <c r="BG1251" i="1"/>
  <c r="AQ1264" i="1"/>
  <c r="AU1264" i="1"/>
  <c r="S1273" i="1"/>
  <c r="AM1275" i="1"/>
  <c r="AQ1275" i="1"/>
  <c r="AQ1278" i="1"/>
  <c r="AU1278" i="1"/>
  <c r="O1280" i="1"/>
  <c r="AU1286" i="1"/>
  <c r="AY1286" i="1"/>
  <c r="BG1287" i="1"/>
  <c r="BM1287" i="1"/>
  <c r="AY1289" i="1"/>
  <c r="BC1289" i="1"/>
  <c r="G1296" i="1"/>
  <c r="K1296" i="1"/>
  <c r="K1299" i="1"/>
  <c r="O1299" i="1"/>
  <c r="O1302" i="1"/>
  <c r="S1302" i="1"/>
  <c r="AA1303" i="1"/>
  <c r="AE1303" i="1"/>
  <c r="S1305" i="1"/>
  <c r="W1305" i="1"/>
  <c r="AM1312" i="1"/>
  <c r="AQ1312" i="1"/>
  <c r="AQ1315" i="1"/>
  <c r="AU1315" i="1"/>
  <c r="AU1318" i="1"/>
  <c r="AY1318" i="1"/>
  <c r="BG1319" i="1"/>
  <c r="BM1319" i="1"/>
  <c r="AY1321" i="1"/>
  <c r="BC1321" i="1"/>
  <c r="AM1324" i="1"/>
  <c r="AQ1324" i="1"/>
  <c r="W1328" i="1"/>
  <c r="AA1328" i="1"/>
  <c r="AE1334" i="1"/>
  <c r="AI1334" i="1"/>
  <c r="AI1337" i="1"/>
  <c r="AM1337" i="1"/>
  <c r="BC1344" i="1"/>
  <c r="BG1344" i="1"/>
  <c r="AU1351" i="1"/>
  <c r="AQ1351" i="1"/>
  <c r="AQ1198" i="1"/>
  <c r="W1201" i="1"/>
  <c r="BC1202" i="1"/>
  <c r="AA1205" i="1"/>
  <c r="BM1205" i="1"/>
  <c r="S1207" i="1"/>
  <c r="AQ1209" i="1"/>
  <c r="AI1211" i="1"/>
  <c r="BG1213" i="1"/>
  <c r="AY1215" i="1"/>
  <c r="AA1220" i="1"/>
  <c r="AE1220" i="1"/>
  <c r="AM1221" i="1"/>
  <c r="AQ1221" i="1"/>
  <c r="G1222" i="1"/>
  <c r="BC1225" i="1"/>
  <c r="BG1225" i="1"/>
  <c r="W1226" i="1"/>
  <c r="AU1227" i="1"/>
  <c r="W1234" i="1"/>
  <c r="AA1234" i="1"/>
  <c r="AE1240" i="1"/>
  <c r="AI1240" i="1"/>
  <c r="AI1243" i="1"/>
  <c r="AM1243" i="1"/>
  <c r="S1245" i="1"/>
  <c r="W1245" i="1"/>
  <c r="AM1247" i="1"/>
  <c r="AQ1247" i="1"/>
  <c r="AQ1250" i="1"/>
  <c r="AU1250" i="1"/>
  <c r="AU1253" i="1"/>
  <c r="AY1253" i="1"/>
  <c r="BG1254" i="1"/>
  <c r="BM1254" i="1"/>
  <c r="AM1256" i="1"/>
  <c r="AQ1256" i="1"/>
  <c r="G1258" i="1"/>
  <c r="G1259" i="1"/>
  <c r="AQ1260" i="1"/>
  <c r="AU1260" i="1"/>
  <c r="AE1263" i="1"/>
  <c r="AI1263" i="1"/>
  <c r="AI1266" i="1"/>
  <c r="AM1266" i="1"/>
  <c r="AE1277" i="1"/>
  <c r="AI1277" i="1"/>
  <c r="W1283" i="1"/>
  <c r="AA1283" i="1"/>
  <c r="BC1292" i="1"/>
  <c r="BG1292" i="1"/>
  <c r="W1308" i="1"/>
  <c r="AA1308" i="1"/>
  <c r="AE1314" i="1"/>
  <c r="AI1314" i="1"/>
  <c r="AI1317" i="1"/>
  <c r="AM1317" i="1"/>
  <c r="K1327" i="1"/>
  <c r="O1327" i="1"/>
  <c r="O1330" i="1"/>
  <c r="S1330" i="1"/>
  <c r="AA1331" i="1"/>
  <c r="AE1331" i="1"/>
  <c r="S1333" i="1"/>
  <c r="W1333" i="1"/>
  <c r="AM1340" i="1"/>
  <c r="AQ1340" i="1"/>
  <c r="AQ1343" i="1"/>
  <c r="AU1343" i="1"/>
  <c r="AU1346" i="1"/>
  <c r="AY1346" i="1"/>
  <c r="AM1352" i="1"/>
  <c r="AQ1352" i="1"/>
  <c r="AQ1196" i="1"/>
  <c r="AA1197" i="1"/>
  <c r="BC1198" i="1"/>
  <c r="G1199" i="1"/>
  <c r="BM1200" i="1"/>
  <c r="BG1201" i="1"/>
  <c r="O1203" i="1"/>
  <c r="AY1203" i="1"/>
  <c r="AM1205" i="1"/>
  <c r="AE1207" i="1"/>
  <c r="O1208" i="1"/>
  <c r="BC1209" i="1"/>
  <c r="G1210" i="1"/>
  <c r="AU1211" i="1"/>
  <c r="AE1212" i="1"/>
  <c r="W1214" i="1"/>
  <c r="K1216" i="1"/>
  <c r="AU1216" i="1"/>
  <c r="AM1218" i="1"/>
  <c r="AI1219" i="1"/>
  <c r="AQ1220" i="1"/>
  <c r="AE1223" i="1"/>
  <c r="AI1223" i="1"/>
  <c r="AQ1224" i="1"/>
  <c r="AU1224" i="1"/>
  <c r="K1228" i="1"/>
  <c r="AI1228" i="1"/>
  <c r="AU1229" i="1"/>
  <c r="G1230" i="1"/>
  <c r="K1230" i="1"/>
  <c r="K1233" i="1"/>
  <c r="O1233" i="1"/>
  <c r="O1236" i="1"/>
  <c r="S1236" i="1"/>
  <c r="AA1237" i="1"/>
  <c r="AE1237" i="1"/>
  <c r="S1239" i="1"/>
  <c r="W1239" i="1"/>
  <c r="AE1249" i="1"/>
  <c r="AI1249" i="1"/>
  <c r="AI1252" i="1"/>
  <c r="AM1252" i="1"/>
  <c r="AY1259" i="1"/>
  <c r="BC1259" i="1"/>
  <c r="S1262" i="1"/>
  <c r="W1262" i="1"/>
  <c r="W1269" i="1"/>
  <c r="AA1269" i="1"/>
  <c r="BC1271" i="1"/>
  <c r="BG1271" i="1"/>
  <c r="AA1274" i="1"/>
  <c r="AE1274" i="1"/>
  <c r="S1276" i="1"/>
  <c r="W1276" i="1"/>
  <c r="K1282" i="1"/>
  <c r="O1282" i="1"/>
  <c r="AM1288" i="1"/>
  <c r="AQ1288" i="1"/>
  <c r="AQ1291" i="1"/>
  <c r="AU1291" i="1"/>
  <c r="AU1294" i="1"/>
  <c r="AY1294" i="1"/>
  <c r="BG1295" i="1"/>
  <c r="BM1295" i="1"/>
  <c r="AY1297" i="1"/>
  <c r="BC1297" i="1"/>
  <c r="G1304" i="1"/>
  <c r="K1304" i="1"/>
  <c r="K1307" i="1"/>
  <c r="O1307" i="1"/>
  <c r="O1310" i="1"/>
  <c r="S1310" i="1"/>
  <c r="AA1311" i="1"/>
  <c r="AE1311" i="1"/>
  <c r="S1313" i="1"/>
  <c r="W1313" i="1"/>
  <c r="AM1320" i="1"/>
  <c r="AQ1320" i="1"/>
  <c r="AQ1323" i="1"/>
  <c r="AU1323" i="1"/>
  <c r="W1336" i="1"/>
  <c r="AA1336" i="1"/>
  <c r="AE1342" i="1"/>
  <c r="AI1342" i="1"/>
  <c r="AI1345" i="1"/>
  <c r="AM1345" i="1"/>
  <c r="G1350" i="1"/>
  <c r="K1350" i="1"/>
  <c r="AQ1347" i="1"/>
  <c r="O1351" i="1"/>
  <c r="AA1356" i="1"/>
  <c r="W1356" i="1"/>
  <c r="AM1356" i="1"/>
  <c r="S1357" i="1"/>
  <c r="BC1359" i="1"/>
  <c r="S1360" i="1"/>
  <c r="G1361" i="1"/>
  <c r="BC1362" i="1"/>
  <c r="K1364" i="1"/>
  <c r="S1367" i="1"/>
  <c r="S1369" i="1"/>
  <c r="AI1369" i="1"/>
  <c r="BG1379" i="1"/>
  <c r="BM1379" i="1"/>
  <c r="AM1380" i="1"/>
  <c r="AQ1380" i="1"/>
  <c r="S1381" i="1"/>
  <c r="W1381" i="1"/>
  <c r="BC1384" i="1"/>
  <c r="BG1384" i="1"/>
  <c r="AI1385" i="1"/>
  <c r="AM1385" i="1"/>
  <c r="O1386" i="1"/>
  <c r="AY1397" i="1"/>
  <c r="BC1397" i="1"/>
  <c r="AA1405" i="1"/>
  <c r="AE1405" i="1"/>
  <c r="G1406" i="1"/>
  <c r="K1406" i="1"/>
  <c r="AQ1409" i="1"/>
  <c r="AU1409" i="1"/>
  <c r="W1410" i="1"/>
  <c r="AA1410" i="1"/>
  <c r="K1428" i="1"/>
  <c r="O1428" i="1"/>
  <c r="AU1431" i="1"/>
  <c r="AY1431" i="1"/>
  <c r="AY1448" i="1"/>
  <c r="BC1448" i="1"/>
  <c r="AI1456" i="1"/>
  <c r="AM1456" i="1"/>
  <c r="BG1371" i="1"/>
  <c r="BM1371" i="1"/>
  <c r="AM1372" i="1"/>
  <c r="AQ1372" i="1"/>
  <c r="S1373" i="1"/>
  <c r="W1373" i="1"/>
  <c r="BC1376" i="1"/>
  <c r="BG1376" i="1"/>
  <c r="AI1377" i="1"/>
  <c r="AM1377" i="1"/>
  <c r="AY1389" i="1"/>
  <c r="BC1389" i="1"/>
  <c r="O1394" i="1"/>
  <c r="S1394" i="1"/>
  <c r="AE1398" i="1"/>
  <c r="AI1398" i="1"/>
  <c r="AY1400" i="1"/>
  <c r="BC1400" i="1"/>
  <c r="W1402" i="1"/>
  <c r="AA1402" i="1"/>
  <c r="BG1413" i="1"/>
  <c r="BM1413" i="1"/>
  <c r="AM1414" i="1"/>
  <c r="AQ1414" i="1"/>
  <c r="S1415" i="1"/>
  <c r="W1415" i="1"/>
  <c r="BC1418" i="1"/>
  <c r="BG1418" i="1"/>
  <c r="BC1420" i="1"/>
  <c r="BG1420" i="1"/>
  <c r="AU1423" i="1"/>
  <c r="AY1423" i="1"/>
  <c r="AA1432" i="1"/>
  <c r="AE1432" i="1"/>
  <c r="G1433" i="1"/>
  <c r="K1433" i="1"/>
  <c r="AE1435" i="1"/>
  <c r="AI1435" i="1"/>
  <c r="AU1439" i="1"/>
  <c r="AY1439" i="1"/>
  <c r="BG1447" i="1"/>
  <c r="BM1447" i="1"/>
  <c r="AU1451" i="1"/>
  <c r="AY1451" i="1"/>
  <c r="AA1452" i="1"/>
  <c r="AE1452" i="1"/>
  <c r="G1453" i="1"/>
  <c r="K1453" i="1"/>
  <c r="AQ1455" i="1"/>
  <c r="AU1455" i="1"/>
  <c r="AI1354" i="1"/>
  <c r="AE1354" i="1"/>
  <c r="AI1367" i="1"/>
  <c r="AM1367" i="1"/>
  <c r="AY1381" i="1"/>
  <c r="BC1381" i="1"/>
  <c r="AE1390" i="1"/>
  <c r="AI1390" i="1"/>
  <c r="BG1405" i="1"/>
  <c r="BM1405" i="1"/>
  <c r="AM1406" i="1"/>
  <c r="AQ1406" i="1"/>
  <c r="S1407" i="1"/>
  <c r="W1407" i="1"/>
  <c r="BC1410" i="1"/>
  <c r="BG1410" i="1"/>
  <c r="AI1411" i="1"/>
  <c r="AM1411" i="1"/>
  <c r="AA1424" i="1"/>
  <c r="AE1424" i="1"/>
  <c r="G1425" i="1"/>
  <c r="K1425" i="1"/>
  <c r="AQ1428" i="1"/>
  <c r="AU1428" i="1"/>
  <c r="W1429" i="1"/>
  <c r="AA1429" i="1"/>
  <c r="BC1437" i="1"/>
  <c r="BG1437" i="1"/>
  <c r="AA1440" i="1"/>
  <c r="AE1440" i="1"/>
  <c r="AY1442" i="1"/>
  <c r="BC1442" i="1"/>
  <c r="AQ1444" i="1"/>
  <c r="AU1444" i="1"/>
  <c r="S1454" i="1"/>
  <c r="W1454" i="1"/>
  <c r="AA1480" i="1"/>
  <c r="AE1480" i="1"/>
  <c r="AY1373" i="1"/>
  <c r="BC1373" i="1"/>
  <c r="O1378" i="1"/>
  <c r="S1378" i="1"/>
  <c r="AE1382" i="1"/>
  <c r="AI1382" i="1"/>
  <c r="BM1382" i="1"/>
  <c r="AA1387" i="1"/>
  <c r="G1388" i="1"/>
  <c r="AU1394" i="1"/>
  <c r="AY1394" i="1"/>
  <c r="BC1402" i="1"/>
  <c r="BG1402" i="1"/>
  <c r="AI1403" i="1"/>
  <c r="AM1403" i="1"/>
  <c r="AY1415" i="1"/>
  <c r="BC1415" i="1"/>
  <c r="BG1432" i="1"/>
  <c r="BM1432" i="1"/>
  <c r="AM1433" i="1"/>
  <c r="AQ1433" i="1"/>
  <c r="S1434" i="1"/>
  <c r="W1434" i="1"/>
  <c r="K1436" i="1"/>
  <c r="O1436" i="1"/>
  <c r="AI1438" i="1"/>
  <c r="AM1438" i="1"/>
  <c r="G1441" i="1"/>
  <c r="K1441" i="1"/>
  <c r="W1445" i="1"/>
  <c r="AA1445" i="1"/>
  <c r="BG1452" i="1"/>
  <c r="BM1452" i="1"/>
  <c r="AM1453" i="1"/>
  <c r="AQ1453" i="1"/>
  <c r="AY1454" i="1"/>
  <c r="BC1454" i="1"/>
  <c r="AE1455" i="1"/>
  <c r="AI1455" i="1"/>
  <c r="AU1460" i="1"/>
  <c r="AY1460" i="1"/>
  <c r="W1353" i="1"/>
  <c r="AI1353" i="1"/>
  <c r="AY1354" i="1"/>
  <c r="O1355" i="1"/>
  <c r="K1355" i="1"/>
  <c r="AA1355" i="1"/>
  <c r="BC1357" i="1"/>
  <c r="AY1360" i="1"/>
  <c r="AM1361" i="1"/>
  <c r="S1362" i="1"/>
  <c r="AU1364" i="1"/>
  <c r="AA1365" i="1"/>
  <c r="G1366" i="1"/>
  <c r="S1368" i="1"/>
  <c r="S1370" i="1"/>
  <c r="AU1370" i="1"/>
  <c r="AE1374" i="1"/>
  <c r="AI1374" i="1"/>
  <c r="BM1374" i="1"/>
  <c r="K1383" i="1"/>
  <c r="O1383" i="1"/>
  <c r="AA1395" i="1"/>
  <c r="AE1395" i="1"/>
  <c r="G1396" i="1"/>
  <c r="K1396" i="1"/>
  <c r="AE1400" i="1"/>
  <c r="AI1401" i="1"/>
  <c r="AM1401" i="1"/>
  <c r="AY1407" i="1"/>
  <c r="BC1407" i="1"/>
  <c r="O1412" i="1"/>
  <c r="S1412" i="1"/>
  <c r="AE1416" i="1"/>
  <c r="AI1416" i="1"/>
  <c r="BM1416" i="1"/>
  <c r="BG1424" i="1"/>
  <c r="BM1424" i="1"/>
  <c r="AM1425" i="1"/>
  <c r="AQ1425" i="1"/>
  <c r="S1426" i="1"/>
  <c r="W1426" i="1"/>
  <c r="BC1429" i="1"/>
  <c r="BG1429" i="1"/>
  <c r="AI1430" i="1"/>
  <c r="AM1430" i="1"/>
  <c r="AQ1348" i="1"/>
  <c r="AA1352" i="1"/>
  <c r="G1356" i="1"/>
  <c r="AI1358" i="1"/>
  <c r="BM1358" i="1"/>
  <c r="AA1360" i="1"/>
  <c r="K1375" i="1"/>
  <c r="O1375" i="1"/>
  <c r="AU1378" i="1"/>
  <c r="AY1378" i="1"/>
  <c r="BG1387" i="1"/>
  <c r="AM1388" i="1"/>
  <c r="S1389" i="1"/>
  <c r="AQ1391" i="1"/>
  <c r="AU1391" i="1"/>
  <c r="W1392" i="1"/>
  <c r="AA1392" i="1"/>
  <c r="AU1399" i="1"/>
  <c r="O1404" i="1"/>
  <c r="S1404" i="1"/>
  <c r="AE1408" i="1"/>
  <c r="AI1408" i="1"/>
  <c r="BM1408" i="1"/>
  <c r="K1417" i="1"/>
  <c r="O1417" i="1"/>
  <c r="BC1419" i="1"/>
  <c r="BG1419" i="1"/>
  <c r="BC1421" i="1"/>
  <c r="BG1421" i="1"/>
  <c r="AI1422" i="1"/>
  <c r="AM1422" i="1"/>
  <c r="BG1440" i="1"/>
  <c r="BM1440" i="1"/>
  <c r="AE1443" i="1"/>
  <c r="AI1443" i="1"/>
  <c r="K1449" i="1"/>
  <c r="O1449" i="1"/>
  <c r="AI1450" i="1"/>
  <c r="AM1450" i="1"/>
  <c r="AE1457" i="1"/>
  <c r="AA1457" i="1"/>
  <c r="BC1365" i="1"/>
  <c r="BG1365" i="1"/>
  <c r="AI1366" i="1"/>
  <c r="AM1366" i="1"/>
  <c r="AI1368" i="1"/>
  <c r="AM1368" i="1"/>
  <c r="AA1379" i="1"/>
  <c r="AE1379" i="1"/>
  <c r="G1380" i="1"/>
  <c r="K1380" i="1"/>
  <c r="AQ1383" i="1"/>
  <c r="AU1383" i="1"/>
  <c r="W1384" i="1"/>
  <c r="AA1384" i="1"/>
  <c r="BG1395" i="1"/>
  <c r="BM1395" i="1"/>
  <c r="AM1396" i="1"/>
  <c r="AQ1396" i="1"/>
  <c r="S1397" i="1"/>
  <c r="W1397" i="1"/>
  <c r="K1409" i="1"/>
  <c r="O1409" i="1"/>
  <c r="AU1412" i="1"/>
  <c r="AY1412" i="1"/>
  <c r="AY1426" i="1"/>
  <c r="BC1426" i="1"/>
  <c r="O1431" i="1"/>
  <c r="S1431" i="1"/>
  <c r="AY1434" i="1"/>
  <c r="BC1434" i="1"/>
  <c r="AQ1436" i="1"/>
  <c r="AU1436" i="1"/>
  <c r="O1439" i="1"/>
  <c r="S1439" i="1"/>
  <c r="AM1441" i="1"/>
  <c r="AQ1441" i="1"/>
  <c r="BC1445" i="1"/>
  <c r="BG1445" i="1"/>
  <c r="S1448" i="1"/>
  <c r="W1448" i="1"/>
  <c r="AY1456" i="1"/>
  <c r="O1458" i="1"/>
  <c r="AQ1462" i="1"/>
  <c r="AU1462" i="1"/>
  <c r="BG1462" i="1"/>
  <c r="K1463" i="1"/>
  <c r="AI1464" i="1"/>
  <c r="AM1464" i="1"/>
  <c r="AY1464" i="1"/>
  <c r="AU1465" i="1"/>
  <c r="AY1465" i="1"/>
  <c r="K1466" i="1"/>
  <c r="BG1466" i="1"/>
  <c r="BM1466" i="1"/>
  <c r="AA1467" i="1"/>
  <c r="AY1468" i="1"/>
  <c r="BC1468" i="1"/>
  <c r="O1469" i="1"/>
  <c r="K1470" i="1"/>
  <c r="O1470" i="1"/>
  <c r="AA1470" i="1"/>
  <c r="AQ1471" i="1"/>
  <c r="G1472" i="1"/>
  <c r="S1472" i="1"/>
  <c r="O1473" i="1"/>
  <c r="S1473" i="1"/>
  <c r="AE1473" i="1"/>
  <c r="AA1474" i="1"/>
  <c r="AE1474" i="1"/>
  <c r="AQ1474" i="1"/>
  <c r="BC1476" i="1"/>
  <c r="AM1477" i="1"/>
  <c r="AU1480" i="1"/>
  <c r="G1481" i="1"/>
  <c r="K1481" i="1"/>
  <c r="AI1483" i="1"/>
  <c r="BG1487" i="1"/>
  <c r="BM1487" i="1"/>
  <c r="BC1492" i="1"/>
  <c r="BG1492" i="1"/>
  <c r="AA1496" i="1"/>
  <c r="AE1496" i="1"/>
  <c r="AM1499" i="1"/>
  <c r="AQ1499" i="1"/>
  <c r="BG1507" i="1"/>
  <c r="AQ1513" i="1"/>
  <c r="O1516" i="1"/>
  <c r="AE1520" i="1"/>
  <c r="BC1525" i="1"/>
  <c r="W1533" i="1"/>
  <c r="BC1356" i="1"/>
  <c r="AI1357" i="1"/>
  <c r="O1358" i="1"/>
  <c r="AU1358" i="1"/>
  <c r="AM1359" i="1"/>
  <c r="G1360" i="1"/>
  <c r="BC1361" i="1"/>
  <c r="AI1362" i="1"/>
  <c r="O1363" i="1"/>
  <c r="AU1363" i="1"/>
  <c r="AA1364" i="1"/>
  <c r="BG1364" i="1"/>
  <c r="G1365" i="1"/>
  <c r="AM1365" i="1"/>
  <c r="S1366" i="1"/>
  <c r="AY1366" i="1"/>
  <c r="AY1367" i="1"/>
  <c r="AY1368" i="1"/>
  <c r="AE1369" i="1"/>
  <c r="AY1369" i="1"/>
  <c r="AE1370" i="1"/>
  <c r="K1371" i="1"/>
  <c r="AQ1371" i="1"/>
  <c r="W1372" i="1"/>
  <c r="BC1372" i="1"/>
  <c r="AI1373" i="1"/>
  <c r="O1374" i="1"/>
  <c r="AU1374" i="1"/>
  <c r="AA1375" i="1"/>
  <c r="BG1375" i="1"/>
  <c r="G1376" i="1"/>
  <c r="AM1376" i="1"/>
  <c r="S1377" i="1"/>
  <c r="AY1377" i="1"/>
  <c r="AE1378" i="1"/>
  <c r="K1379" i="1"/>
  <c r="AQ1379" i="1"/>
  <c r="W1380" i="1"/>
  <c r="BC1380" i="1"/>
  <c r="AI1381" i="1"/>
  <c r="O1382" i="1"/>
  <c r="AU1382" i="1"/>
  <c r="AA1383" i="1"/>
  <c r="BG1383" i="1"/>
  <c r="G1384" i="1"/>
  <c r="AM1384" i="1"/>
  <c r="S1385" i="1"/>
  <c r="AY1385" i="1"/>
  <c r="AE1386" i="1"/>
  <c r="K1387" i="1"/>
  <c r="AQ1387" i="1"/>
  <c r="W1388" i="1"/>
  <c r="BC1388" i="1"/>
  <c r="AI1389" i="1"/>
  <c r="O1390" i="1"/>
  <c r="AU1390" i="1"/>
  <c r="AA1391" i="1"/>
  <c r="BG1391" i="1"/>
  <c r="G1392" i="1"/>
  <c r="AM1392" i="1"/>
  <c r="S1393" i="1"/>
  <c r="AY1393" i="1"/>
  <c r="AE1394" i="1"/>
  <c r="K1395" i="1"/>
  <c r="AQ1395" i="1"/>
  <c r="W1396" i="1"/>
  <c r="BC1396" i="1"/>
  <c r="AI1397" i="1"/>
  <c r="O1398" i="1"/>
  <c r="AU1398" i="1"/>
  <c r="W1399" i="1"/>
  <c r="AQ1399" i="1"/>
  <c r="AA1400" i="1"/>
  <c r="G1402" i="1"/>
  <c r="AM1402" i="1"/>
  <c r="S1403" i="1"/>
  <c r="AY1403" i="1"/>
  <c r="AE1404" i="1"/>
  <c r="K1405" i="1"/>
  <c r="AQ1405" i="1"/>
  <c r="W1406" i="1"/>
  <c r="BC1406" i="1"/>
  <c r="AI1407" i="1"/>
  <c r="O1408" i="1"/>
  <c r="AU1408" i="1"/>
  <c r="AA1409" i="1"/>
  <c r="BG1409" i="1"/>
  <c r="G1410" i="1"/>
  <c r="AM1410" i="1"/>
  <c r="S1411" i="1"/>
  <c r="AY1411" i="1"/>
  <c r="AE1412" i="1"/>
  <c r="K1413" i="1"/>
  <c r="AQ1413" i="1"/>
  <c r="W1414" i="1"/>
  <c r="BC1414" i="1"/>
  <c r="AI1415" i="1"/>
  <c r="O1416" i="1"/>
  <c r="AU1416" i="1"/>
  <c r="AA1417" i="1"/>
  <c r="BG1417" i="1"/>
  <c r="G1418" i="1"/>
  <c r="AM1418" i="1"/>
  <c r="S1419" i="1"/>
  <c r="AM1419" i="1"/>
  <c r="S1420" i="1"/>
  <c r="AM1420" i="1"/>
  <c r="S1421" i="1"/>
  <c r="AM1421" i="1"/>
  <c r="S1422" i="1"/>
  <c r="AY1422" i="1"/>
  <c r="AE1423" i="1"/>
  <c r="K1424" i="1"/>
  <c r="AQ1424" i="1"/>
  <c r="W1425" i="1"/>
  <c r="BC1425" i="1"/>
  <c r="AI1426" i="1"/>
  <c r="O1427" i="1"/>
  <c r="AU1427" i="1"/>
  <c r="AA1428" i="1"/>
  <c r="BG1428" i="1"/>
  <c r="G1429" i="1"/>
  <c r="AM1429" i="1"/>
  <c r="S1430" i="1"/>
  <c r="AY1430" i="1"/>
  <c r="AE1431" i="1"/>
  <c r="K1432" i="1"/>
  <c r="AQ1432" i="1"/>
  <c r="W1433" i="1"/>
  <c r="BC1433" i="1"/>
  <c r="AI1434" i="1"/>
  <c r="O1435" i="1"/>
  <c r="AU1435" i="1"/>
  <c r="AA1436" i="1"/>
  <c r="BG1436" i="1"/>
  <c r="G1437" i="1"/>
  <c r="AM1437" i="1"/>
  <c r="S1438" i="1"/>
  <c r="AY1438" i="1"/>
  <c r="AE1439" i="1"/>
  <c r="K1440" i="1"/>
  <c r="AQ1440" i="1"/>
  <c r="W1441" i="1"/>
  <c r="BC1441" i="1"/>
  <c r="AI1442" i="1"/>
  <c r="O1443" i="1"/>
  <c r="AU1443" i="1"/>
  <c r="AA1444" i="1"/>
  <c r="BG1444" i="1"/>
  <c r="G1445" i="1"/>
  <c r="AM1445" i="1"/>
  <c r="S1446" i="1"/>
  <c r="AY1446" i="1"/>
  <c r="K1447" i="1"/>
  <c r="AQ1447" i="1"/>
  <c r="AI1448" i="1"/>
  <c r="AA1449" i="1"/>
  <c r="S1450" i="1"/>
  <c r="AY1450" i="1"/>
  <c r="AE1451" i="1"/>
  <c r="K1452" i="1"/>
  <c r="AQ1452" i="1"/>
  <c r="W1453" i="1"/>
  <c r="BC1453" i="1"/>
  <c r="AI1454" i="1"/>
  <c r="O1455" i="1"/>
  <c r="G1456" i="1"/>
  <c r="S1456" i="1"/>
  <c r="K1457" i="1"/>
  <c r="BC1457" i="1"/>
  <c r="AA1458" i="1"/>
  <c r="BM1458" i="1"/>
  <c r="K1459" i="1"/>
  <c r="W1459" i="1"/>
  <c r="AA1460" i="1"/>
  <c r="AI1461" i="1"/>
  <c r="AM1461" i="1"/>
  <c r="AY1461" i="1"/>
  <c r="O1479" i="1"/>
  <c r="S1479" i="1"/>
  <c r="AA1481" i="1"/>
  <c r="AY1483" i="1"/>
  <c r="W1484" i="1"/>
  <c r="AA1484" i="1"/>
  <c r="AM1488" i="1"/>
  <c r="AQ1488" i="1"/>
  <c r="K1491" i="1"/>
  <c r="O1491" i="1"/>
  <c r="AI1493" i="1"/>
  <c r="AM1493" i="1"/>
  <c r="BG1497" i="1"/>
  <c r="BM1497" i="1"/>
  <c r="AQ1502" i="1"/>
  <c r="O1505" i="1"/>
  <c r="AA1509" i="1"/>
  <c r="AY1511" i="1"/>
  <c r="W1514" i="1"/>
  <c r="BG1517" i="1"/>
  <c r="BC1522" i="1"/>
  <c r="AI1526" i="1"/>
  <c r="AI1538" i="1"/>
  <c r="O1542" i="1"/>
  <c r="S1542" i="1"/>
  <c r="AM1455" i="1"/>
  <c r="BM1462" i="1"/>
  <c r="W1463" i="1"/>
  <c r="AA1463" i="1"/>
  <c r="AM1463" i="1"/>
  <c r="BC1464" i="1"/>
  <c r="O1466" i="1"/>
  <c r="AM1467" i="1"/>
  <c r="AQ1467" i="1"/>
  <c r="BC1467" i="1"/>
  <c r="G1468" i="1"/>
  <c r="S1469" i="1"/>
  <c r="AE1470" i="1"/>
  <c r="G1471" i="1"/>
  <c r="BC1471" i="1"/>
  <c r="BG1471" i="1"/>
  <c r="W1472" i="1"/>
  <c r="AI1473" i="1"/>
  <c r="AU1474" i="1"/>
  <c r="G1475" i="1"/>
  <c r="K1475" i="1"/>
  <c r="W1475" i="1"/>
  <c r="AI1475" i="1"/>
  <c r="O1477" i="1"/>
  <c r="S1477" i="1"/>
  <c r="AQ1477" i="1"/>
  <c r="G1478" i="1"/>
  <c r="S1478" i="1"/>
  <c r="AI1479" i="1"/>
  <c r="BG1480" i="1"/>
  <c r="BM1480" i="1"/>
  <c r="G1482" i="1"/>
  <c r="G1485" i="1"/>
  <c r="BC1485" i="1"/>
  <c r="BG1485" i="1"/>
  <c r="AU1486" i="1"/>
  <c r="AY1486" i="1"/>
  <c r="S1489" i="1"/>
  <c r="W1489" i="1"/>
  <c r="AA1495" i="1"/>
  <c r="AE1495" i="1"/>
  <c r="W1451" i="1"/>
  <c r="BC1451" i="1"/>
  <c r="AI1452" i="1"/>
  <c r="O1453" i="1"/>
  <c r="AU1453" i="1"/>
  <c r="AA1454" i="1"/>
  <c r="G1455" i="1"/>
  <c r="AY1455" i="1"/>
  <c r="AQ1456" i="1"/>
  <c r="BC1456" i="1"/>
  <c r="AU1457" i="1"/>
  <c r="AM1481" i="1"/>
  <c r="AQ1481" i="1"/>
  <c r="BG1496" i="1"/>
  <c r="BM1496" i="1"/>
  <c r="AE1547" i="1"/>
  <c r="AA1547" i="1"/>
  <c r="K1462" i="1"/>
  <c r="O1462" i="1"/>
  <c r="O1465" i="1"/>
  <c r="S1465" i="1"/>
  <c r="AA1466" i="1"/>
  <c r="AE1466" i="1"/>
  <c r="S1468" i="1"/>
  <c r="W1468" i="1"/>
  <c r="AE1469" i="1"/>
  <c r="AI1469" i="1"/>
  <c r="AQ1470" i="1"/>
  <c r="AU1470" i="1"/>
  <c r="AI1472" i="1"/>
  <c r="AM1472" i="1"/>
  <c r="AU1473" i="1"/>
  <c r="AY1473" i="1"/>
  <c r="BG1474" i="1"/>
  <c r="BM1474" i="1"/>
  <c r="AA1475" i="1"/>
  <c r="AU1475" i="1"/>
  <c r="AY1475" i="1"/>
  <c r="BC1477" i="1"/>
  <c r="BG1477" i="1"/>
  <c r="AU1479" i="1"/>
  <c r="AY1479" i="1"/>
  <c r="S1482" i="1"/>
  <c r="W1482" i="1"/>
  <c r="K1483" i="1"/>
  <c r="O1483" i="1"/>
  <c r="AQ1491" i="1"/>
  <c r="AU1491" i="1"/>
  <c r="O1494" i="1"/>
  <c r="S1494" i="1"/>
  <c r="AA1498" i="1"/>
  <c r="AE1498" i="1"/>
  <c r="AU1505" i="1"/>
  <c r="BG1509" i="1"/>
  <c r="BC1514" i="1"/>
  <c r="AI1525" i="1"/>
  <c r="O1527" i="1"/>
  <c r="BC1533" i="1"/>
  <c r="BC1544" i="1"/>
  <c r="AI1460" i="1"/>
  <c r="G1461" i="1"/>
  <c r="S1461" i="1"/>
  <c r="O1480" i="1"/>
  <c r="AM1482" i="1"/>
  <c r="AE1483" i="1"/>
  <c r="AA1487" i="1"/>
  <c r="AE1487" i="1"/>
  <c r="AY1489" i="1"/>
  <c r="BC1489" i="1"/>
  <c r="W1492" i="1"/>
  <c r="AA1492" i="1"/>
  <c r="BG1495" i="1"/>
  <c r="BM1495" i="1"/>
  <c r="G1499" i="1"/>
  <c r="K1499" i="1"/>
  <c r="BC1503" i="1"/>
  <c r="AA1507" i="1"/>
  <c r="AM1510" i="1"/>
  <c r="K1513" i="1"/>
  <c r="AI1515" i="1"/>
  <c r="AQ1521" i="1"/>
  <c r="BG1528" i="1"/>
  <c r="AY1542" i="1"/>
  <c r="AQ1459" i="1"/>
  <c r="BC1463" i="1"/>
  <c r="BG1463" i="1"/>
  <c r="G1467" i="1"/>
  <c r="K1467" i="1"/>
  <c r="W1471" i="1"/>
  <c r="AA1471" i="1"/>
  <c r="AI1476" i="1"/>
  <c r="AM1476" i="1"/>
  <c r="AI1478" i="1"/>
  <c r="AM1478" i="1"/>
  <c r="AQ1484" i="1"/>
  <c r="AU1484" i="1"/>
  <c r="G1488" i="1"/>
  <c r="K1488" i="1"/>
  <c r="AA1497" i="1"/>
  <c r="AE1497" i="1"/>
  <c r="AE1501" i="1"/>
  <c r="AI1501" i="1"/>
  <c r="AU1537" i="1"/>
  <c r="AA1539" i="1"/>
  <c r="AU1541" i="1"/>
  <c r="AY1543" i="1"/>
  <c r="AU1544" i="1"/>
  <c r="S1546" i="1"/>
  <c r="AM1548" i="1"/>
  <c r="G1552" i="1"/>
  <c r="G1554" i="1"/>
  <c r="AQ1560" i="1"/>
  <c r="AU1560" i="1"/>
  <c r="AQ1564" i="1"/>
  <c r="BC1571" i="1"/>
  <c r="BG1571" i="1"/>
  <c r="AI1572" i="1"/>
  <c r="AM1572" i="1"/>
  <c r="S1576" i="1"/>
  <c r="W1576" i="1"/>
  <c r="BG1587" i="1"/>
  <c r="BM1587" i="1"/>
  <c r="BC1591" i="1"/>
  <c r="BG1591" i="1"/>
  <c r="AI1592" i="1"/>
  <c r="AM1592" i="1"/>
  <c r="G1596" i="1"/>
  <c r="K1596" i="1"/>
  <c r="BG1597" i="1"/>
  <c r="BM1597" i="1"/>
  <c r="AM1598" i="1"/>
  <c r="AQ1598" i="1"/>
  <c r="AE1476" i="1"/>
  <c r="BG1537" i="1"/>
  <c r="AM1540" i="1"/>
  <c r="BM1540" i="1"/>
  <c r="O1543" i="1"/>
  <c r="AA1543" i="1"/>
  <c r="O1548" i="1"/>
  <c r="BG1556" i="1"/>
  <c r="BM1556" i="1"/>
  <c r="AM1557" i="1"/>
  <c r="AQ1557" i="1"/>
  <c r="W1561" i="1"/>
  <c r="AA1561" i="1"/>
  <c r="G1562" i="1"/>
  <c r="K1564" i="1"/>
  <c r="O1564" i="1"/>
  <c r="S1565" i="1"/>
  <c r="W1565" i="1"/>
  <c r="AY1568" i="1"/>
  <c r="BC1568" i="1"/>
  <c r="AQ1583" i="1"/>
  <c r="AI1584" i="1"/>
  <c r="AM1584" i="1"/>
  <c r="S1599" i="1"/>
  <c r="W1599" i="1"/>
  <c r="BC1549" i="1"/>
  <c r="BG1549" i="1"/>
  <c r="BC1551" i="1"/>
  <c r="BG1551" i="1"/>
  <c r="BC1553" i="1"/>
  <c r="BG1553" i="1"/>
  <c r="AI1554" i="1"/>
  <c r="AM1554" i="1"/>
  <c r="S1558" i="1"/>
  <c r="W1558" i="1"/>
  <c r="AE1569" i="1"/>
  <c r="AI1569" i="1"/>
  <c r="O1573" i="1"/>
  <c r="S1573" i="1"/>
  <c r="AY1576" i="1"/>
  <c r="BC1576" i="1"/>
  <c r="O1593" i="1"/>
  <c r="S1593" i="1"/>
  <c r="BG1595" i="1"/>
  <c r="BM1595" i="1"/>
  <c r="BC1602" i="1"/>
  <c r="AY1602" i="1"/>
  <c r="BC1561" i="1"/>
  <c r="BG1561" i="1"/>
  <c r="AI1562" i="1"/>
  <c r="AM1562" i="1"/>
  <c r="AE1564" i="1"/>
  <c r="AI1564" i="1"/>
  <c r="AU1565" i="1"/>
  <c r="AY1565" i="1"/>
  <c r="K1570" i="1"/>
  <c r="O1570" i="1"/>
  <c r="AE1577" i="1"/>
  <c r="AI1577" i="1"/>
  <c r="AM1581" i="1"/>
  <c r="AQ1581" i="1"/>
  <c r="S1586" i="1"/>
  <c r="W1586" i="1"/>
  <c r="AE1589" i="1"/>
  <c r="AI1589" i="1"/>
  <c r="G1597" i="1"/>
  <c r="K1597" i="1"/>
  <c r="AY1599" i="1"/>
  <c r="BC1599" i="1"/>
  <c r="AA1605" i="1"/>
  <c r="AE1605" i="1"/>
  <c r="K1538" i="1"/>
  <c r="AU1538" i="1"/>
  <c r="G1540" i="1"/>
  <c r="O1544" i="1"/>
  <c r="AM1545" i="1"/>
  <c r="AY1546" i="1"/>
  <c r="W1550" i="1"/>
  <c r="AA1550" i="1"/>
  <c r="G1551" i="1"/>
  <c r="G1553" i="1"/>
  <c r="O1555" i="1"/>
  <c r="S1555" i="1"/>
  <c r="AY1558" i="1"/>
  <c r="BC1558" i="1"/>
  <c r="AA1566" i="1"/>
  <c r="AE1566" i="1"/>
  <c r="G1567" i="1"/>
  <c r="K1567" i="1"/>
  <c r="AU1573" i="1"/>
  <c r="AY1573" i="1"/>
  <c r="K1578" i="1"/>
  <c r="O1578" i="1"/>
  <c r="S1582" i="1"/>
  <c r="W1582" i="1"/>
  <c r="AQ1584" i="1"/>
  <c r="AI1585" i="1"/>
  <c r="AM1585" i="1"/>
  <c r="K1589" i="1"/>
  <c r="K1590" i="1"/>
  <c r="O1590" i="1"/>
  <c r="AU1593" i="1"/>
  <c r="AY1593" i="1"/>
  <c r="BG1539" i="1"/>
  <c r="S1541" i="1"/>
  <c r="AA1542" i="1"/>
  <c r="AE1544" i="1"/>
  <c r="AY1547" i="1"/>
  <c r="AE1559" i="1"/>
  <c r="AI1559" i="1"/>
  <c r="O1563" i="1"/>
  <c r="S1563" i="1"/>
  <c r="AQ1570" i="1"/>
  <c r="AU1570" i="1"/>
  <c r="AA1574" i="1"/>
  <c r="AE1574" i="1"/>
  <c r="G1575" i="1"/>
  <c r="K1575" i="1"/>
  <c r="K1580" i="1"/>
  <c r="O1580" i="1"/>
  <c r="AY1580" i="1"/>
  <c r="BC1580" i="1"/>
  <c r="AY1586" i="1"/>
  <c r="BC1586" i="1"/>
  <c r="AA1594" i="1"/>
  <c r="AE1594" i="1"/>
  <c r="G1595" i="1"/>
  <c r="K1595" i="1"/>
  <c r="BG1596" i="1"/>
  <c r="BM1596" i="1"/>
  <c r="AQ1601" i="1"/>
  <c r="AM1601" i="1"/>
  <c r="AE1608" i="1"/>
  <c r="AI1608" i="1"/>
  <c r="BC1550" i="1"/>
  <c r="BG1550" i="1"/>
  <c r="BC1552" i="1"/>
  <c r="BG1552" i="1"/>
  <c r="AU1555" i="1"/>
  <c r="AY1555" i="1"/>
  <c r="K1560" i="1"/>
  <c r="O1560" i="1"/>
  <c r="BG1566" i="1"/>
  <c r="BM1566" i="1"/>
  <c r="AM1567" i="1"/>
  <c r="AQ1567" i="1"/>
  <c r="W1571" i="1"/>
  <c r="AA1571" i="1"/>
  <c r="AQ1578" i="1"/>
  <c r="AU1578" i="1"/>
  <c r="AY1582" i="1"/>
  <c r="BC1582" i="1"/>
  <c r="AI1583" i="1"/>
  <c r="AM1583" i="1"/>
  <c r="AA1587" i="1"/>
  <c r="AE1587" i="1"/>
  <c r="AQ1590" i="1"/>
  <c r="AU1590" i="1"/>
  <c r="W1591" i="1"/>
  <c r="AA1591" i="1"/>
  <c r="G1598" i="1"/>
  <c r="K1598" i="1"/>
  <c r="O1600" i="1"/>
  <c r="S1602" i="1"/>
  <c r="AM1603" i="1"/>
  <c r="AY1603" i="1"/>
  <c r="AY1604" i="1"/>
  <c r="AQ1605" i="1"/>
  <c r="G1606" i="1"/>
  <c r="BG1606" i="1"/>
  <c r="W1607" i="1"/>
  <c r="AA1611" i="1"/>
  <c r="AM1611" i="1"/>
  <c r="AI1613" i="1"/>
  <c r="AU1619" i="1"/>
  <c r="G1621" i="1"/>
  <c r="G1636" i="1"/>
  <c r="AM1636" i="1"/>
  <c r="AE1667" i="1"/>
  <c r="AA1667" i="1"/>
  <c r="AA1600" i="1"/>
  <c r="K1601" i="1"/>
  <c r="AU1601" i="1"/>
  <c r="BG1601" i="1"/>
  <c r="BG1602" i="1"/>
  <c r="BM1608" i="1"/>
  <c r="AY1609" i="1"/>
  <c r="K1610" i="1"/>
  <c r="BM1610" i="1"/>
  <c r="G1612" i="1"/>
  <c r="S1612" i="1"/>
  <c r="AY1613" i="1"/>
  <c r="K1614" i="1"/>
  <c r="W1616" i="1"/>
  <c r="AI1616" i="1"/>
  <c r="AY1617" i="1"/>
  <c r="AI1620" i="1"/>
  <c r="AA1622" i="1"/>
  <c r="BC1623" i="1"/>
  <c r="G1624" i="1"/>
  <c r="AE1628" i="1"/>
  <c r="BM1629" i="1"/>
  <c r="S1631" i="1"/>
  <c r="AA1642" i="1"/>
  <c r="AY1644" i="1"/>
  <c r="W1647" i="1"/>
  <c r="AE1654" i="1"/>
  <c r="AM1660" i="1"/>
  <c r="K1663" i="1"/>
  <c r="AI1665" i="1"/>
  <c r="AE1621" i="1"/>
  <c r="AE1636" i="1"/>
  <c r="AQ1638" i="1"/>
  <c r="O1641" i="1"/>
  <c r="AE1645" i="1"/>
  <c r="W1649" i="1"/>
  <c r="BC1650" i="1"/>
  <c r="AE1653" i="1"/>
  <c r="K1655" i="1"/>
  <c r="AA1601" i="1"/>
  <c r="AA1602" i="1"/>
  <c r="AM1602" i="1"/>
  <c r="W1604" i="1"/>
  <c r="BM1605" i="1"/>
  <c r="AA1606" i="1"/>
  <c r="AM1606" i="1"/>
  <c r="AE1609" i="1"/>
  <c r="AM1612" i="1"/>
  <c r="AY1612" i="1"/>
  <c r="AE1614" i="1"/>
  <c r="AQ1614" i="1"/>
  <c r="BC1616" i="1"/>
  <c r="O1617" i="1"/>
  <c r="AE1618" i="1"/>
  <c r="W1621" i="1"/>
  <c r="BG1621" i="1"/>
  <c r="BG1622" i="1"/>
  <c r="K1623" i="1"/>
  <c r="AY1624" i="1"/>
  <c r="AA1625" i="1"/>
  <c r="AY1625" i="1"/>
  <c r="AE1627" i="1"/>
  <c r="BM1628" i="1"/>
  <c r="AY1631" i="1"/>
  <c r="W1634" i="1"/>
  <c r="W1636" i="1"/>
  <c r="W1639" i="1"/>
  <c r="BG1642" i="1"/>
  <c r="AQ1663" i="1"/>
  <c r="AQ1607" i="1"/>
  <c r="BC1607" i="1"/>
  <c r="G1608" i="1"/>
  <c r="S1608" i="1"/>
  <c r="AQ1608" i="1"/>
  <c r="G1609" i="1"/>
  <c r="AE1610" i="1"/>
  <c r="AQ1610" i="1"/>
  <c r="G1611" i="1"/>
  <c r="K1615" i="1"/>
  <c r="W1615" i="1"/>
  <c r="BG1618" i="1"/>
  <c r="AI1621" i="1"/>
  <c r="AA1626" i="1"/>
  <c r="BG1627" i="1"/>
  <c r="K1628" i="1"/>
  <c r="G1630" i="1"/>
  <c r="AM1643" i="1"/>
  <c r="K1646" i="1"/>
  <c r="AQ1647" i="1"/>
  <c r="BC1652" i="1"/>
  <c r="AA1659" i="1"/>
  <c r="AY1661" i="1"/>
  <c r="W1664" i="1"/>
  <c r="AU1600" i="1"/>
  <c r="AI1603" i="1"/>
  <c r="AI1604" i="1"/>
  <c r="AU1604" i="1"/>
  <c r="AQ1606" i="1"/>
  <c r="BC1606" i="1"/>
  <c r="G1607" i="1"/>
  <c r="S1607" i="1"/>
  <c r="BC1612" i="1"/>
  <c r="S1613" i="1"/>
  <c r="AE1613" i="1"/>
  <c r="AU1614" i="1"/>
  <c r="S1617" i="1"/>
  <c r="BM1622" i="1"/>
  <c r="BC1624" i="1"/>
  <c r="G1627" i="1"/>
  <c r="AE1629" i="1"/>
  <c r="BC1631" i="1"/>
  <c r="AE1632" i="1"/>
  <c r="AU1641" i="1"/>
  <c r="S1644" i="1"/>
  <c r="W1648" i="1"/>
  <c r="AM1651" i="1"/>
  <c r="G1660" i="1"/>
  <c r="AY1665" i="1"/>
  <c r="AI1666" i="1"/>
  <c r="G1667" i="1"/>
  <c r="AU1671" i="1"/>
  <c r="AQ1673" i="1"/>
  <c r="AA1678" i="1"/>
  <c r="AE1678" i="1"/>
  <c r="G1679" i="1"/>
  <c r="K1679" i="1"/>
  <c r="G1686" i="1"/>
  <c r="K1686" i="1"/>
  <c r="AA1693" i="1"/>
  <c r="AE1693" i="1"/>
  <c r="G1694" i="1"/>
  <c r="K1694" i="1"/>
  <c r="W1702" i="1"/>
  <c r="AA1702" i="1"/>
  <c r="AQ1709" i="1"/>
  <c r="AU1709" i="1"/>
  <c r="W1710" i="1"/>
  <c r="AA1710" i="1"/>
  <c r="S1715" i="1"/>
  <c r="AQ1717" i="1"/>
  <c r="AU1717" i="1"/>
  <c r="W1718" i="1"/>
  <c r="AA1718" i="1"/>
  <c r="AQ1725" i="1"/>
  <c r="AU1725" i="1"/>
  <c r="W1726" i="1"/>
  <c r="AA1726" i="1"/>
  <c r="S1731" i="1"/>
  <c r="W1734" i="1"/>
  <c r="AA1734" i="1"/>
  <c r="AU1666" i="1"/>
  <c r="BG1666" i="1"/>
  <c r="AA1669" i="1"/>
  <c r="S1674" i="1"/>
  <c r="W1676" i="1"/>
  <c r="BM1676" i="1"/>
  <c r="AA1677" i="1"/>
  <c r="AE1677" i="1"/>
  <c r="G1682" i="1"/>
  <c r="AQ1684" i="1"/>
  <c r="AU1684" i="1"/>
  <c r="AQ1689" i="1"/>
  <c r="AU1689" i="1"/>
  <c r="W1690" i="1"/>
  <c r="AA1690" i="1"/>
  <c r="G1691" i="1"/>
  <c r="AQ1697" i="1"/>
  <c r="AU1697" i="1"/>
  <c r="G1700" i="1"/>
  <c r="BG1705" i="1"/>
  <c r="BM1705" i="1"/>
  <c r="AM1706" i="1"/>
  <c r="AQ1706" i="1"/>
  <c r="BG1721" i="1"/>
  <c r="BM1721" i="1"/>
  <c r="AM1722" i="1"/>
  <c r="AQ1722" i="1"/>
  <c r="BG1729" i="1"/>
  <c r="BM1729" i="1"/>
  <c r="AM1730" i="1"/>
  <c r="AQ1730" i="1"/>
  <c r="BG1737" i="1"/>
  <c r="BM1737" i="1"/>
  <c r="BG1678" i="1"/>
  <c r="BM1678" i="1"/>
  <c r="AU1680" i="1"/>
  <c r="AY1680" i="1"/>
  <c r="BC1683" i="1"/>
  <c r="BG1683" i="1"/>
  <c r="AM1686" i="1"/>
  <c r="AQ1686" i="1"/>
  <c r="BG1693" i="1"/>
  <c r="BM1693" i="1"/>
  <c r="AM1694" i="1"/>
  <c r="AQ1694" i="1"/>
  <c r="W1698" i="1"/>
  <c r="AA1698" i="1"/>
  <c r="AU1700" i="1"/>
  <c r="AY1700" i="1"/>
  <c r="BC1702" i="1"/>
  <c r="BG1702" i="1"/>
  <c r="AI1703" i="1"/>
  <c r="AM1703" i="1"/>
  <c r="S1707" i="1"/>
  <c r="W1707" i="1"/>
  <c r="BC1710" i="1"/>
  <c r="BG1710" i="1"/>
  <c r="AI1711" i="1"/>
  <c r="AM1711" i="1"/>
  <c r="BC1718" i="1"/>
  <c r="BG1718" i="1"/>
  <c r="AI1719" i="1"/>
  <c r="AM1719" i="1"/>
  <c r="S1723" i="1"/>
  <c r="W1723" i="1"/>
  <c r="BC1726" i="1"/>
  <c r="BG1726" i="1"/>
  <c r="AI1727" i="1"/>
  <c r="AM1727" i="1"/>
  <c r="BC1734" i="1"/>
  <c r="BG1734" i="1"/>
  <c r="AI1735" i="1"/>
  <c r="AM1735" i="1"/>
  <c r="G1680" i="1"/>
  <c r="K1680" i="1"/>
  <c r="BC1681" i="1"/>
  <c r="BG1681" i="1"/>
  <c r="AI1682" i="1"/>
  <c r="AM1682" i="1"/>
  <c r="S1687" i="1"/>
  <c r="W1687" i="1"/>
  <c r="BC1690" i="1"/>
  <c r="BG1690" i="1"/>
  <c r="AI1691" i="1"/>
  <c r="AM1691" i="1"/>
  <c r="S1695" i="1"/>
  <c r="W1695" i="1"/>
  <c r="O1668" i="1"/>
  <c r="BG1669" i="1"/>
  <c r="AE1672" i="1"/>
  <c r="AY1674" i="1"/>
  <c r="AM1675" i="1"/>
  <c r="S1681" i="1"/>
  <c r="W1684" i="1"/>
  <c r="AA1684" i="1"/>
  <c r="BC1698" i="1"/>
  <c r="BG1698" i="1"/>
  <c r="O1704" i="1"/>
  <c r="S1704" i="1"/>
  <c r="AY1707" i="1"/>
  <c r="BC1707" i="1"/>
  <c r="AU1712" i="1"/>
  <c r="K1717" i="1"/>
  <c r="AU1720" i="1"/>
  <c r="AY1723" i="1"/>
  <c r="BC1723" i="1"/>
  <c r="AU1728" i="1"/>
  <c r="K1733" i="1"/>
  <c r="AQ1668" i="1"/>
  <c r="AM1670" i="1"/>
  <c r="O1671" i="1"/>
  <c r="BG1672" i="1"/>
  <c r="K1673" i="1"/>
  <c r="G1677" i="1"/>
  <c r="AU1677" i="1"/>
  <c r="BG1679" i="1"/>
  <c r="BM1679" i="1"/>
  <c r="O1683" i="1"/>
  <c r="S1683" i="1"/>
  <c r="AY1687" i="1"/>
  <c r="BC1687" i="1"/>
  <c r="O1692" i="1"/>
  <c r="S1692" i="1"/>
  <c r="AY1695" i="1"/>
  <c r="BC1695" i="1"/>
  <c r="S1699" i="1"/>
  <c r="W1699" i="1"/>
  <c r="AE1708" i="1"/>
  <c r="AI1708" i="1"/>
  <c r="BM1708" i="1"/>
  <c r="AA1713" i="1"/>
  <c r="G1714" i="1"/>
  <c r="AE1716" i="1"/>
  <c r="AI1716" i="1"/>
  <c r="AE1724" i="1"/>
  <c r="AI1724" i="1"/>
  <c r="BG1742" i="1"/>
  <c r="BC1742" i="1"/>
  <c r="AE1688" i="1"/>
  <c r="AI1688" i="1"/>
  <c r="AE1696" i="1"/>
  <c r="AI1696" i="1"/>
  <c r="AU1704" i="1"/>
  <c r="AY1704" i="1"/>
  <c r="K1709" i="1"/>
  <c r="O1709" i="1"/>
  <c r="K1725" i="1"/>
  <c r="O1725" i="1"/>
  <c r="AU1736" i="1"/>
  <c r="AY1736" i="1"/>
  <c r="W1738" i="1"/>
  <c r="BG1738" i="1"/>
  <c r="AQ1746" i="1"/>
  <c r="BC1746" i="1"/>
  <c r="G1747" i="1"/>
  <c r="AQ1750" i="1"/>
  <c r="K1753" i="1"/>
  <c r="W1753" i="1"/>
  <c r="BG1755" i="1"/>
  <c r="AA1758" i="1"/>
  <c r="BC1759" i="1"/>
  <c r="G1769" i="1"/>
  <c r="BC1775" i="1"/>
  <c r="AM1781" i="1"/>
  <c r="K1784" i="1"/>
  <c r="AI1786" i="1"/>
  <c r="AE1796" i="1"/>
  <c r="AA1796" i="1"/>
  <c r="AI1685" i="1"/>
  <c r="AQ1713" i="1"/>
  <c r="O1716" i="1"/>
  <c r="AU1716" i="1"/>
  <c r="AA1717" i="1"/>
  <c r="BG1717" i="1"/>
  <c r="AM1718" i="1"/>
  <c r="AY1719" i="1"/>
  <c r="AE1720" i="1"/>
  <c r="K1721" i="1"/>
  <c r="AQ1721" i="1"/>
  <c r="W1722" i="1"/>
  <c r="BC1722" i="1"/>
  <c r="AI1723" i="1"/>
  <c r="O1724" i="1"/>
  <c r="AU1724" i="1"/>
  <c r="AA1725" i="1"/>
  <c r="BG1725" i="1"/>
  <c r="AM1726" i="1"/>
  <c r="S1727" i="1"/>
  <c r="AY1727" i="1"/>
  <c r="AE1728" i="1"/>
  <c r="K1729" i="1"/>
  <c r="AQ1729" i="1"/>
  <c r="W1730" i="1"/>
  <c r="BC1730" i="1"/>
  <c r="AI1731" i="1"/>
  <c r="O1732" i="1"/>
  <c r="AU1732" i="1"/>
  <c r="AA1733" i="1"/>
  <c r="BG1733" i="1"/>
  <c r="AM1734" i="1"/>
  <c r="S1735" i="1"/>
  <c r="AY1735" i="1"/>
  <c r="AE1736" i="1"/>
  <c r="K1737" i="1"/>
  <c r="AQ1737" i="1"/>
  <c r="AI1738" i="1"/>
  <c r="W1739" i="1"/>
  <c r="AI1739" i="1"/>
  <c r="AI1740" i="1"/>
  <c r="AE1740" i="1"/>
  <c r="AU1740" i="1"/>
  <c r="AU1741" i="1"/>
  <c r="AQ1741" i="1"/>
  <c r="BG1741" i="1"/>
  <c r="K1742" i="1"/>
  <c r="AM1743" i="1"/>
  <c r="AI1743" i="1"/>
  <c r="AY1743" i="1"/>
  <c r="AY1744" i="1"/>
  <c r="AU1744" i="1"/>
  <c r="K1745" i="1"/>
  <c r="W1747" i="1"/>
  <c r="AI1747" i="1"/>
  <c r="AY1748" i="1"/>
  <c r="BG1750" i="1"/>
  <c r="K1751" i="1"/>
  <c r="AI1752" i="1"/>
  <c r="O1754" i="1"/>
  <c r="AM1756" i="1"/>
  <c r="AE1760" i="1"/>
  <c r="AQ1764" i="1"/>
  <c r="O1767" i="1"/>
  <c r="AE1771" i="1"/>
  <c r="AU1779" i="1"/>
  <c r="S1782" i="1"/>
  <c r="AU1800" i="1"/>
  <c r="AQ1800" i="1"/>
  <c r="K1801" i="1"/>
  <c r="G1801" i="1"/>
  <c r="AA1805" i="1"/>
  <c r="W1805" i="1"/>
  <c r="AA1742" i="1"/>
  <c r="W1742" i="1"/>
  <c r="BG1797" i="1"/>
  <c r="BC1797" i="1"/>
  <c r="BM1804" i="1"/>
  <c r="BG1804" i="1"/>
  <c r="AE1745" i="1"/>
  <c r="AQ1745" i="1"/>
  <c r="BC1747" i="1"/>
  <c r="O1748" i="1"/>
  <c r="AE1749" i="1"/>
  <c r="BC1752" i="1"/>
  <c r="AE1753" i="1"/>
  <c r="AQ1753" i="1"/>
  <c r="AU1754" i="1"/>
  <c r="S1757" i="1"/>
  <c r="AE1763" i="1"/>
  <c r="AU1767" i="1"/>
  <c r="S1770" i="1"/>
  <c r="AA1780" i="1"/>
  <c r="AY1782" i="1"/>
  <c r="W1785" i="1"/>
  <c r="AU1790" i="1"/>
  <c r="AQ1790" i="1"/>
  <c r="BC1739" i="1"/>
  <c r="AY1739" i="1"/>
  <c r="O1740" i="1"/>
  <c r="O1741" i="1"/>
  <c r="K1741" i="1"/>
  <c r="AA1741" i="1"/>
  <c r="AQ1742" i="1"/>
  <c r="G1743" i="1"/>
  <c r="S1743" i="1"/>
  <c r="S1744" i="1"/>
  <c r="O1744" i="1"/>
  <c r="AE1744" i="1"/>
  <c r="K1746" i="1"/>
  <c r="W1746" i="1"/>
  <c r="AU1749" i="1"/>
  <c r="BG1749" i="1"/>
  <c r="K1750" i="1"/>
  <c r="AE1751" i="1"/>
  <c r="O1752" i="1"/>
  <c r="AA1755" i="1"/>
  <c r="AU1757" i="1"/>
  <c r="BM1758" i="1"/>
  <c r="W1759" i="1"/>
  <c r="BC1765" i="1"/>
  <c r="G1781" i="1"/>
  <c r="AQ1793" i="1"/>
  <c r="AM1793" i="1"/>
  <c r="AE1801" i="1"/>
  <c r="AU1805" i="1"/>
  <c r="S1738" i="1"/>
  <c r="AQ1738" i="1"/>
  <c r="BC1738" i="1"/>
  <c r="G1739" i="1"/>
  <c r="AU1745" i="1"/>
  <c r="S1748" i="1"/>
  <c r="AA1750" i="1"/>
  <c r="AM1750" i="1"/>
  <c r="AQ1776" i="1"/>
  <c r="O1779" i="1"/>
  <c r="AE1783" i="1"/>
  <c r="BC1791" i="1"/>
  <c r="K1787" i="1"/>
  <c r="AU1787" i="1"/>
  <c r="BG1787" i="1"/>
  <c r="AI1789" i="1"/>
  <c r="AE1789" i="1"/>
  <c r="BG1790" i="1"/>
  <c r="AU1791" i="1"/>
  <c r="BC1793" i="1"/>
  <c r="G1794" i="1"/>
  <c r="S1795" i="1"/>
  <c r="AU1796" i="1"/>
  <c r="AQ1796" i="1"/>
  <c r="G1797" i="1"/>
  <c r="W1798" i="1"/>
  <c r="AI1799" i="1"/>
  <c r="W1801" i="1"/>
  <c r="BM1801" i="1"/>
  <c r="AM1802" i="1"/>
  <c r="AY1803" i="1"/>
  <c r="O1804" i="1"/>
  <c r="K1804" i="1"/>
  <c r="AM1805" i="1"/>
  <c r="BC1806" i="1"/>
  <c r="AY1817" i="1"/>
  <c r="BC1817" i="1"/>
  <c r="AU1822" i="1"/>
  <c r="AY1822" i="1"/>
  <c r="K1831" i="1"/>
  <c r="O1831" i="1"/>
  <c r="AI1833" i="1"/>
  <c r="AM1833" i="1"/>
  <c r="G1836" i="1"/>
  <c r="K1836" i="1"/>
  <c r="W1840" i="1"/>
  <c r="AA1840" i="1"/>
  <c r="S1845" i="1"/>
  <c r="W1845" i="1"/>
  <c r="AQ1850" i="1"/>
  <c r="AU1850" i="1"/>
  <c r="S1852" i="1"/>
  <c r="W1852" i="1"/>
  <c r="S1853" i="1"/>
  <c r="W1853" i="1"/>
  <c r="K1855" i="1"/>
  <c r="O1855" i="1"/>
  <c r="AI1857" i="1"/>
  <c r="AM1857" i="1"/>
  <c r="G1860" i="1"/>
  <c r="K1860" i="1"/>
  <c r="W1864" i="1"/>
  <c r="AA1864" i="1"/>
  <c r="AA1745" i="1"/>
  <c r="BG1745" i="1"/>
  <c r="G1746" i="1"/>
  <c r="AM1746" i="1"/>
  <c r="S1747" i="1"/>
  <c r="AY1747" i="1"/>
  <c r="AE1748" i="1"/>
  <c r="K1749" i="1"/>
  <c r="AQ1749" i="1"/>
  <c r="W1750" i="1"/>
  <c r="BC1750" i="1"/>
  <c r="W1751" i="1"/>
  <c r="AQ1751" i="1"/>
  <c r="AY1752" i="1"/>
  <c r="G1753" i="1"/>
  <c r="AA1754" i="1"/>
  <c r="BG1754" i="1"/>
  <c r="G1755" i="1"/>
  <c r="AM1755" i="1"/>
  <c r="S1756" i="1"/>
  <c r="AY1756" i="1"/>
  <c r="AE1757" i="1"/>
  <c r="K1758" i="1"/>
  <c r="AQ1758" i="1"/>
  <c r="AM1759" i="1"/>
  <c r="AU1760" i="1"/>
  <c r="W1761" i="1"/>
  <c r="BC1761" i="1"/>
  <c r="AI1762" i="1"/>
  <c r="O1763" i="1"/>
  <c r="AU1763" i="1"/>
  <c r="AA1764" i="1"/>
  <c r="BG1764" i="1"/>
  <c r="G1765" i="1"/>
  <c r="AM1765" i="1"/>
  <c r="S1766" i="1"/>
  <c r="AY1766" i="1"/>
  <c r="AE1767" i="1"/>
  <c r="K1768" i="1"/>
  <c r="AQ1768" i="1"/>
  <c r="W1769" i="1"/>
  <c r="BC1769" i="1"/>
  <c r="AI1770" i="1"/>
  <c r="O1771" i="1"/>
  <c r="AU1771" i="1"/>
  <c r="AA1772" i="1"/>
  <c r="BG1772" i="1"/>
  <c r="G1773" i="1"/>
  <c r="AM1773" i="1"/>
  <c r="S1774" i="1"/>
  <c r="AY1774" i="1"/>
  <c r="S1775" i="1"/>
  <c r="AM1775" i="1"/>
  <c r="BG1776" i="1"/>
  <c r="G1777" i="1"/>
  <c r="AM1777" i="1"/>
  <c r="S1778" i="1"/>
  <c r="AY1778" i="1"/>
  <c r="AE1779" i="1"/>
  <c r="K1780" i="1"/>
  <c r="AQ1780" i="1"/>
  <c r="W1781" i="1"/>
  <c r="BC1781" i="1"/>
  <c r="AI1782" i="1"/>
  <c r="O1783" i="1"/>
  <c r="AU1783" i="1"/>
  <c r="AA1784" i="1"/>
  <c r="BG1784" i="1"/>
  <c r="G1785" i="1"/>
  <c r="AM1785" i="1"/>
  <c r="S1786" i="1"/>
  <c r="W1787" i="1"/>
  <c r="K1788" i="1"/>
  <c r="AI1788" i="1"/>
  <c r="AU1789" i="1"/>
  <c r="AI1790" i="1"/>
  <c r="K1791" i="1"/>
  <c r="S1793" i="1"/>
  <c r="AE1793" i="1"/>
  <c r="W1794" i="1"/>
  <c r="S1794" i="1"/>
  <c r="AI1795" i="1"/>
  <c r="AE1795" i="1"/>
  <c r="BG1796" i="1"/>
  <c r="AU1797" i="1"/>
  <c r="AM1798" i="1"/>
  <c r="AI1798" i="1"/>
  <c r="AY1799" i="1"/>
  <c r="AU1799" i="1"/>
  <c r="K1800" i="1"/>
  <c r="BC1802" i="1"/>
  <c r="AY1802" i="1"/>
  <c r="AA1804" i="1"/>
  <c r="O1805" i="1"/>
  <c r="AY1807" i="1"/>
  <c r="AU1807" i="1"/>
  <c r="BC1809" i="1"/>
  <c r="O1814" i="1"/>
  <c r="S1814" i="1"/>
  <c r="AE1818" i="1"/>
  <c r="AI1818" i="1"/>
  <c r="BC1820" i="1"/>
  <c r="BG1820" i="1"/>
  <c r="AA1823" i="1"/>
  <c r="AE1823" i="1"/>
  <c r="AY1825" i="1"/>
  <c r="BC1825" i="1"/>
  <c r="BG1827" i="1"/>
  <c r="BM1827" i="1"/>
  <c r="K1866" i="1"/>
  <c r="O1866" i="1"/>
  <c r="AA1791" i="1"/>
  <c r="W1791" i="1"/>
  <c r="O1792" i="1"/>
  <c r="K1792" i="1"/>
  <c r="AE1810" i="1"/>
  <c r="AI1810" i="1"/>
  <c r="K1819" i="1"/>
  <c r="O1819" i="1"/>
  <c r="AI1821" i="1"/>
  <c r="AM1821" i="1"/>
  <c r="G1824" i="1"/>
  <c r="K1824" i="1"/>
  <c r="BC1828" i="1"/>
  <c r="BG1828" i="1"/>
  <c r="BG1835" i="1"/>
  <c r="BM1835" i="1"/>
  <c r="AE1838" i="1"/>
  <c r="AI1838" i="1"/>
  <c r="AU1842" i="1"/>
  <c r="AY1842" i="1"/>
  <c r="BG1859" i="1"/>
  <c r="BM1859" i="1"/>
  <c r="AE1862" i="1"/>
  <c r="AI1862" i="1"/>
  <c r="O1790" i="1"/>
  <c r="K1790" i="1"/>
  <c r="AA1797" i="1"/>
  <c r="W1797" i="1"/>
  <c r="AQ1801" i="1"/>
  <c r="AM1801" i="1"/>
  <c r="BG1805" i="1"/>
  <c r="BC1805" i="1"/>
  <c r="K1811" i="1"/>
  <c r="O1811" i="1"/>
  <c r="AU1814" i="1"/>
  <c r="AY1814" i="1"/>
  <c r="AY1829" i="1"/>
  <c r="BC1829" i="1"/>
  <c r="AQ1831" i="1"/>
  <c r="AU1831" i="1"/>
  <c r="O1834" i="1"/>
  <c r="S1834" i="1"/>
  <c r="AM1836" i="1"/>
  <c r="AQ1836" i="1"/>
  <c r="BC1840" i="1"/>
  <c r="BG1840" i="1"/>
  <c r="AA1843" i="1"/>
  <c r="AE1843" i="1"/>
  <c r="AY1845" i="1"/>
  <c r="BC1845" i="1"/>
  <c r="AE1849" i="1"/>
  <c r="AI1849" i="1"/>
  <c r="AY1852" i="1"/>
  <c r="BC1852" i="1"/>
  <c r="AY1853" i="1"/>
  <c r="BC1853" i="1"/>
  <c r="AQ1855" i="1"/>
  <c r="AU1855" i="1"/>
  <c r="O1858" i="1"/>
  <c r="S1858" i="1"/>
  <c r="AM1860" i="1"/>
  <c r="AQ1860" i="1"/>
  <c r="BC1864" i="1"/>
  <c r="BG1864" i="1"/>
  <c r="AA1876" i="1"/>
  <c r="AE1876" i="1"/>
  <c r="BC1788" i="1"/>
  <c r="AY1788" i="1"/>
  <c r="AA1790" i="1"/>
  <c r="AE1791" i="1"/>
  <c r="BM1793" i="1"/>
  <c r="AM1794" i="1"/>
  <c r="AY1795" i="1"/>
  <c r="O1796" i="1"/>
  <c r="K1796" i="1"/>
  <c r="AM1797" i="1"/>
  <c r="BC1798" i="1"/>
  <c r="AE1800" i="1"/>
  <c r="AA1800" i="1"/>
  <c r="BC1801" i="1"/>
  <c r="G1802" i="1"/>
  <c r="S1803" i="1"/>
  <c r="AU1804" i="1"/>
  <c r="AQ1804" i="1"/>
  <c r="G1805" i="1"/>
  <c r="W1806" i="1"/>
  <c r="AY1808" i="1"/>
  <c r="AU1808" i="1"/>
  <c r="AA1815" i="1"/>
  <c r="AE1815" i="1"/>
  <c r="G1816" i="1"/>
  <c r="K1816" i="1"/>
  <c r="BG1823" i="1"/>
  <c r="BM1823" i="1"/>
  <c r="AE1826" i="1"/>
  <c r="AI1826" i="1"/>
  <c r="W1832" i="1"/>
  <c r="AA1832" i="1"/>
  <c r="S1837" i="1"/>
  <c r="W1837" i="1"/>
  <c r="K1839" i="1"/>
  <c r="O1839" i="1"/>
  <c r="AI1841" i="1"/>
  <c r="AM1841" i="1"/>
  <c r="G1844" i="1"/>
  <c r="K1844" i="1"/>
  <c r="AE1848" i="1"/>
  <c r="AI1848" i="1"/>
  <c r="BM1849" i="1"/>
  <c r="W1856" i="1"/>
  <c r="AA1856" i="1"/>
  <c r="S1861" i="1"/>
  <c r="W1861" i="1"/>
  <c r="K1863" i="1"/>
  <c r="O1863" i="1"/>
  <c r="AU1786" i="1"/>
  <c r="AM1792" i="1"/>
  <c r="BC1794" i="1"/>
  <c r="AY1794" i="1"/>
  <c r="S1799" i="1"/>
  <c r="O1799" i="1"/>
  <c r="W1802" i="1"/>
  <c r="S1802" i="1"/>
  <c r="AI1803" i="1"/>
  <c r="AE1803" i="1"/>
  <c r="AM1806" i="1"/>
  <c r="AI1806" i="1"/>
  <c r="AQ1811" i="1"/>
  <c r="AU1811" i="1"/>
  <c r="W1812" i="1"/>
  <c r="AA1812" i="1"/>
  <c r="AQ1819" i="1"/>
  <c r="AU1819" i="1"/>
  <c r="O1822" i="1"/>
  <c r="S1822" i="1"/>
  <c r="AM1824" i="1"/>
  <c r="AQ1824" i="1"/>
  <c r="AE1847" i="1"/>
  <c r="AI1847" i="1"/>
  <c r="BM1848" i="1"/>
  <c r="K1850" i="1"/>
  <c r="O1850" i="1"/>
  <c r="BC1792" i="1"/>
  <c r="AY1792" i="1"/>
  <c r="BG1815" i="1"/>
  <c r="BM1815" i="1"/>
  <c r="AM1816" i="1"/>
  <c r="AQ1816" i="1"/>
  <c r="S1817" i="1"/>
  <c r="W1817" i="1"/>
  <c r="W1820" i="1"/>
  <c r="AA1820" i="1"/>
  <c r="S1825" i="1"/>
  <c r="W1825" i="1"/>
  <c r="K1827" i="1"/>
  <c r="O1827" i="1"/>
  <c r="AE1830" i="1"/>
  <c r="AI1830" i="1"/>
  <c r="AU1834" i="1"/>
  <c r="AY1834" i="1"/>
  <c r="BG1843" i="1"/>
  <c r="BM1843" i="1"/>
  <c r="AE1846" i="1"/>
  <c r="AI1846" i="1"/>
  <c r="AE1851" i="1"/>
  <c r="AI1851" i="1"/>
  <c r="AE1854" i="1"/>
  <c r="AI1854" i="1"/>
  <c r="AU1858" i="1"/>
  <c r="AY1858" i="1"/>
  <c r="AM1866" i="1"/>
  <c r="AI1867" i="1"/>
  <c r="AQ1868" i="1"/>
  <c r="AU1868" i="1"/>
  <c r="K1869" i="1"/>
  <c r="G1869" i="1"/>
  <c r="AI1870" i="1"/>
  <c r="AM1870" i="1"/>
  <c r="AU1871" i="1"/>
  <c r="AY1871" i="1"/>
  <c r="BG1872" i="1"/>
  <c r="BM1872" i="1"/>
  <c r="AA1873" i="1"/>
  <c r="W1873" i="1"/>
  <c r="AY1874" i="1"/>
  <c r="BC1874" i="1"/>
  <c r="AU1875" i="1"/>
  <c r="AQ1875" i="1"/>
  <c r="AQ1876" i="1"/>
  <c r="AQ1878" i="1"/>
  <c r="AM1878" i="1"/>
  <c r="G1879" i="1"/>
  <c r="K1885" i="1"/>
  <c r="AQ1893" i="1"/>
  <c r="AU1893" i="1"/>
  <c r="BG1898" i="1"/>
  <c r="BC1898" i="1"/>
  <c r="AU1809" i="1"/>
  <c r="O1810" i="1"/>
  <c r="AU1810" i="1"/>
  <c r="AA1811" i="1"/>
  <c r="BG1811" i="1"/>
  <c r="G1812" i="1"/>
  <c r="AM1812" i="1"/>
  <c r="S1813" i="1"/>
  <c r="AY1813" i="1"/>
  <c r="AE1814" i="1"/>
  <c r="K1815" i="1"/>
  <c r="AQ1815" i="1"/>
  <c r="W1816" i="1"/>
  <c r="BC1816" i="1"/>
  <c r="AI1817" i="1"/>
  <c r="O1818" i="1"/>
  <c r="AU1818" i="1"/>
  <c r="AA1819" i="1"/>
  <c r="BG1819" i="1"/>
  <c r="G1820" i="1"/>
  <c r="AM1820" i="1"/>
  <c r="S1821" i="1"/>
  <c r="AY1821" i="1"/>
  <c r="AE1822" i="1"/>
  <c r="K1823" i="1"/>
  <c r="AQ1823" i="1"/>
  <c r="W1824" i="1"/>
  <c r="BC1824" i="1"/>
  <c r="AI1825" i="1"/>
  <c r="O1826" i="1"/>
  <c r="AU1826" i="1"/>
  <c r="AA1827" i="1"/>
  <c r="W1828" i="1"/>
  <c r="S1829" i="1"/>
  <c r="O1830" i="1"/>
  <c r="AU1830" i="1"/>
  <c r="AA1831" i="1"/>
  <c r="BG1831" i="1"/>
  <c r="G1832" i="1"/>
  <c r="AM1832" i="1"/>
  <c r="S1833" i="1"/>
  <c r="AY1833" i="1"/>
  <c r="AE1834" i="1"/>
  <c r="K1835" i="1"/>
  <c r="AQ1835" i="1"/>
  <c r="W1836" i="1"/>
  <c r="BC1836" i="1"/>
  <c r="AI1837" i="1"/>
  <c r="O1838" i="1"/>
  <c r="AU1838" i="1"/>
  <c r="AA1839" i="1"/>
  <c r="BG1839" i="1"/>
  <c r="G1840" i="1"/>
  <c r="AM1840" i="1"/>
  <c r="S1841" i="1"/>
  <c r="AY1841" i="1"/>
  <c r="AE1842" i="1"/>
  <c r="K1843" i="1"/>
  <c r="AQ1843" i="1"/>
  <c r="W1844" i="1"/>
  <c r="BC1844" i="1"/>
  <c r="AI1845" i="1"/>
  <c r="O1846" i="1"/>
  <c r="AU1846" i="1"/>
  <c r="O1847" i="1"/>
  <c r="AU1847" i="1"/>
  <c r="O1848" i="1"/>
  <c r="AU1848" i="1"/>
  <c r="O1849" i="1"/>
  <c r="AU1849" i="1"/>
  <c r="AA1850" i="1"/>
  <c r="BG1850" i="1"/>
  <c r="G1851" i="1"/>
  <c r="AU1851" i="1"/>
  <c r="AI1852" i="1"/>
  <c r="AI1853" i="1"/>
  <c r="O1854" i="1"/>
  <c r="AU1854" i="1"/>
  <c r="AA1855" i="1"/>
  <c r="BG1855" i="1"/>
  <c r="G1856" i="1"/>
  <c r="AM1856" i="1"/>
  <c r="S1857" i="1"/>
  <c r="AY1857" i="1"/>
  <c r="AE1858" i="1"/>
  <c r="K1859" i="1"/>
  <c r="AQ1859" i="1"/>
  <c r="W1860" i="1"/>
  <c r="BC1860" i="1"/>
  <c r="AI1861" i="1"/>
  <c r="O1862" i="1"/>
  <c r="AU1862" i="1"/>
  <c r="AA1863" i="1"/>
  <c r="BG1863" i="1"/>
  <c r="G1864" i="1"/>
  <c r="AM1864" i="1"/>
  <c r="S1865" i="1"/>
  <c r="AE1865" i="1"/>
  <c r="AQ1865" i="1"/>
  <c r="AY1866" i="1"/>
  <c r="AY1883" i="1"/>
  <c r="G1890" i="1"/>
  <c r="S1891" i="1"/>
  <c r="W1891" i="1"/>
  <c r="AE1892" i="1"/>
  <c r="AI1892" i="1"/>
  <c r="AI1828" i="1"/>
  <c r="AQ1828" i="1"/>
  <c r="AY1867" i="1"/>
  <c r="AU1867" i="1"/>
  <c r="BM1868" i="1"/>
  <c r="BG1868" i="1"/>
  <c r="W1869" i="1"/>
  <c r="AA1869" i="1"/>
  <c r="BC1870" i="1"/>
  <c r="AY1870" i="1"/>
  <c r="O1872" i="1"/>
  <c r="K1872" i="1"/>
  <c r="AM1873" i="1"/>
  <c r="AQ1873" i="1"/>
  <c r="S1875" i="1"/>
  <c r="O1875" i="1"/>
  <c r="AI1876" i="1"/>
  <c r="BC1878" i="1"/>
  <c r="BG1878" i="1"/>
  <c r="W1879" i="1"/>
  <c r="S1879" i="1"/>
  <c r="BC1886" i="1"/>
  <c r="K1893" i="1"/>
  <c r="AA1894" i="1"/>
  <c r="W1894" i="1"/>
  <c r="AY1895" i="1"/>
  <c r="BC1895" i="1"/>
  <c r="BG1881" i="1"/>
  <c r="BM1881" i="1"/>
  <c r="AM1882" i="1"/>
  <c r="BG1889" i="1"/>
  <c r="K1868" i="1"/>
  <c r="O1868" i="1"/>
  <c r="AQ1869" i="1"/>
  <c r="AM1869" i="1"/>
  <c r="O1871" i="1"/>
  <c r="S1871" i="1"/>
  <c r="AA1872" i="1"/>
  <c r="AE1872" i="1"/>
  <c r="BG1873" i="1"/>
  <c r="BC1873" i="1"/>
  <c r="S1874" i="1"/>
  <c r="W1874" i="1"/>
  <c r="K1877" i="1"/>
  <c r="G1877" i="1"/>
  <c r="AQ1877" i="1"/>
  <c r="AU1877" i="1"/>
  <c r="K1878" i="1"/>
  <c r="G1878" i="1"/>
  <c r="AI1879" i="1"/>
  <c r="AM1879" i="1"/>
  <c r="BC1896" i="1"/>
  <c r="BG1896" i="1"/>
  <c r="W1866" i="1"/>
  <c r="S1867" i="1"/>
  <c r="O1867" i="1"/>
  <c r="O1876" i="1"/>
  <c r="K1876" i="1"/>
  <c r="S1883" i="1"/>
  <c r="AE1884" i="1"/>
  <c r="AM1890" i="1"/>
  <c r="AY1891" i="1"/>
  <c r="BC1891" i="1"/>
  <c r="AA1865" i="1"/>
  <c r="BM1865" i="1"/>
  <c r="AI1866" i="1"/>
  <c r="AE1867" i="1"/>
  <c r="AE1868" i="1"/>
  <c r="AA1868" i="1"/>
  <c r="BC1869" i="1"/>
  <c r="BG1869" i="1"/>
  <c r="W1870" i="1"/>
  <c r="S1870" i="1"/>
  <c r="AI1871" i="1"/>
  <c r="AE1871" i="1"/>
  <c r="AU1872" i="1"/>
  <c r="AQ1872" i="1"/>
  <c r="G1873" i="1"/>
  <c r="K1873" i="1"/>
  <c r="AM1874" i="1"/>
  <c r="AI1874" i="1"/>
  <c r="BM1876" i="1"/>
  <c r="BG1876" i="1"/>
  <c r="W1877" i="1"/>
  <c r="AA1877" i="1"/>
  <c r="BM1877" i="1"/>
  <c r="BG1877" i="1"/>
  <c r="W1878" i="1"/>
  <c r="AA1878" i="1"/>
  <c r="BC1879" i="1"/>
  <c r="O1880" i="1"/>
  <c r="W1886" i="1"/>
  <c r="AQ1896" i="1"/>
  <c r="AU1896" i="1"/>
  <c r="AE1897" i="1"/>
  <c r="BM1897" i="1"/>
  <c r="W1899" i="1"/>
  <c r="O1900" i="1"/>
  <c r="O1902" i="1"/>
  <c r="O1903" i="1"/>
  <c r="AM1905" i="1"/>
  <c r="AI1907" i="1"/>
  <c r="AY1907" i="1"/>
  <c r="AE1912" i="1"/>
  <c r="K1913" i="1"/>
  <c r="AM1917" i="1"/>
  <c r="AQ1935" i="1"/>
  <c r="AU1935" i="1"/>
  <c r="AY1879" i="1"/>
  <c r="AE1880" i="1"/>
  <c r="K1881" i="1"/>
  <c r="AQ1881" i="1"/>
  <c r="W1882" i="1"/>
  <c r="BC1882" i="1"/>
  <c r="AI1883" i="1"/>
  <c r="O1884" i="1"/>
  <c r="AU1884" i="1"/>
  <c r="AA1885" i="1"/>
  <c r="BG1885" i="1"/>
  <c r="G1886" i="1"/>
  <c r="AM1886" i="1"/>
  <c r="S1887" i="1"/>
  <c r="AY1887" i="1"/>
  <c r="AE1888" i="1"/>
  <c r="K1889" i="1"/>
  <c r="AQ1889" i="1"/>
  <c r="W1890" i="1"/>
  <c r="BC1890" i="1"/>
  <c r="AI1891" i="1"/>
  <c r="O1892" i="1"/>
  <c r="AU1892" i="1"/>
  <c r="AA1893" i="1"/>
  <c r="BG1893" i="1"/>
  <c r="G1894" i="1"/>
  <c r="AY1894" i="1"/>
  <c r="W1895" i="1"/>
  <c r="O1896" i="1"/>
  <c r="AQ1897" i="1"/>
  <c r="O1898" i="1"/>
  <c r="AA1898" i="1"/>
  <c r="BM1898" i="1"/>
  <c r="AI1899" i="1"/>
  <c r="AA1900" i="1"/>
  <c r="AY1900" i="1"/>
  <c r="K1901" i="1"/>
  <c r="W1901" i="1"/>
  <c r="AE1903" i="1"/>
  <c r="AQ1903" i="1"/>
  <c r="BC1905" i="1"/>
  <c r="S1906" i="1"/>
  <c r="AM1909" i="1"/>
  <c r="BC1909" i="1"/>
  <c r="G1910" i="1"/>
  <c r="BM1916" i="1"/>
  <c r="S1918" i="1"/>
  <c r="BC1921" i="1"/>
  <c r="AA1928" i="1"/>
  <c r="AE1928" i="1"/>
  <c r="AE1933" i="1"/>
  <c r="AA1933" i="1"/>
  <c r="AU1926" i="1"/>
  <c r="AQ1926" i="1"/>
  <c r="AU1937" i="1"/>
  <c r="AQ1937" i="1"/>
  <c r="AE1942" i="1"/>
  <c r="AI1942" i="1"/>
  <c r="AE1930" i="1"/>
  <c r="AA1930" i="1"/>
  <c r="AQ1934" i="1"/>
  <c r="AM1934" i="1"/>
  <c r="AM1895" i="1"/>
  <c r="G1898" i="1"/>
  <c r="AQ1898" i="1"/>
  <c r="AY1899" i="1"/>
  <c r="AQ1900" i="1"/>
  <c r="AM1901" i="1"/>
  <c r="AI1902" i="1"/>
  <c r="AU1902" i="1"/>
  <c r="BM1903" i="1"/>
  <c r="AA1904" i="1"/>
  <c r="O1907" i="1"/>
  <c r="AQ1907" i="1"/>
  <c r="BG1907" i="1"/>
  <c r="AA1910" i="1"/>
  <c r="W1910" i="1"/>
  <c r="S1911" i="1"/>
  <c r="BC1914" i="1"/>
  <c r="K1916" i="1"/>
  <c r="O1923" i="1"/>
  <c r="W1924" i="1"/>
  <c r="S1924" i="1"/>
  <c r="G1895" i="1"/>
  <c r="O1897" i="1"/>
  <c r="G1899" i="1"/>
  <c r="AQ1904" i="1"/>
  <c r="BC1904" i="1"/>
  <c r="G1905" i="1"/>
  <c r="AU1909" i="1"/>
  <c r="S1917" i="1"/>
  <c r="AE1919" i="1"/>
  <c r="K1920" i="1"/>
  <c r="O1927" i="1"/>
  <c r="AE1931" i="1"/>
  <c r="AA1931" i="1"/>
  <c r="AM1940" i="1"/>
  <c r="AQ1940" i="1"/>
  <c r="W1947" i="1"/>
  <c r="AA1947" i="1"/>
  <c r="AE1925" i="1"/>
  <c r="O1926" i="1"/>
  <c r="BC1927" i="1"/>
  <c r="G1928" i="1"/>
  <c r="BG1928" i="1"/>
  <c r="AI1930" i="1"/>
  <c r="BG1930" i="1"/>
  <c r="G1931" i="1"/>
  <c r="AI1931" i="1"/>
  <c r="BG1931" i="1"/>
  <c r="G1932" i="1"/>
  <c r="AI1932" i="1"/>
  <c r="BG1932" i="1"/>
  <c r="G1933" i="1"/>
  <c r="AI1933" i="1"/>
  <c r="BG1933" i="1"/>
  <c r="G1934" i="1"/>
  <c r="AU1934" i="1"/>
  <c r="K1935" i="1"/>
  <c r="W1935" i="1"/>
  <c r="K1937" i="1"/>
  <c r="O1943" i="1"/>
  <c r="AE1951" i="1"/>
  <c r="AM1924" i="1"/>
  <c r="AA1926" i="1"/>
  <c r="K1927" i="1"/>
  <c r="W1929" i="1"/>
  <c r="AU1929" i="1"/>
  <c r="BM1934" i="1"/>
  <c r="AM1936" i="1"/>
  <c r="S1940" i="1"/>
  <c r="W1941" i="1"/>
  <c r="K1942" i="1"/>
  <c r="AU1943" i="1"/>
  <c r="BC1924" i="1"/>
  <c r="AA1927" i="1"/>
  <c r="BM1927" i="1"/>
  <c r="AM1928" i="1"/>
  <c r="O1931" i="1"/>
  <c r="O1932" i="1"/>
  <c r="O1933" i="1"/>
  <c r="O1934" i="1"/>
  <c r="BC1935" i="1"/>
  <c r="S1937" i="1"/>
  <c r="AE1938" i="1"/>
  <c r="G1939" i="1"/>
  <c r="K1940" i="1"/>
  <c r="AY1940" i="1"/>
  <c r="BC1941" i="1"/>
  <c r="AQ1942" i="1"/>
  <c r="BG1946" i="1"/>
  <c r="O1955" i="1"/>
  <c r="AE1959" i="1"/>
  <c r="W1969" i="1"/>
  <c r="AA1969" i="1"/>
  <c r="O1925" i="1"/>
  <c r="AY1925" i="1"/>
  <c r="AM1927" i="1"/>
  <c r="O1929" i="1"/>
  <c r="BC1929" i="1"/>
  <c r="G1936" i="1"/>
  <c r="AE1936" i="1"/>
  <c r="BG1939" i="1"/>
  <c r="BM1939" i="1"/>
  <c r="W1943" i="1"/>
  <c r="AE1947" i="1"/>
  <c r="AI1947" i="1"/>
  <c r="AQ1952" i="1"/>
  <c r="BG1956" i="1"/>
  <c r="BC1961" i="1"/>
  <c r="BM1949" i="1"/>
  <c r="BM1957" i="1"/>
  <c r="G1965" i="1"/>
  <c r="AE1965" i="1"/>
  <c r="AQ1965" i="1"/>
  <c r="AY1966" i="1"/>
  <c r="K1967" i="1"/>
  <c r="AA1968" i="1"/>
  <c r="AY1968" i="1"/>
  <c r="O1970" i="1"/>
  <c r="G1972" i="1"/>
  <c r="BG1972" i="1"/>
  <c r="BM1972" i="1"/>
  <c r="AY1973" i="1"/>
  <c r="O1975" i="1"/>
  <c r="G1980" i="1"/>
  <c r="K1983" i="1"/>
  <c r="O1986" i="1"/>
  <c r="AA1987" i="1"/>
  <c r="S1989" i="1"/>
  <c r="AM1996" i="1"/>
  <c r="AE1998" i="1"/>
  <c r="AE1999" i="1"/>
  <c r="AI1999" i="1"/>
  <c r="K2000" i="1"/>
  <c r="S1965" i="1"/>
  <c r="BM1965" i="1"/>
  <c r="AE1971" i="1"/>
  <c r="BC1976" i="1"/>
  <c r="W1992" i="1"/>
  <c r="AA2004" i="1"/>
  <c r="AE2004" i="1"/>
  <c r="BM1964" i="1"/>
  <c r="AQ1973" i="1"/>
  <c r="O2010" i="1"/>
  <c r="K2010" i="1"/>
  <c r="AY1964" i="1"/>
  <c r="AE1966" i="1"/>
  <c r="AQ1967" i="1"/>
  <c r="S1968" i="1"/>
  <c r="BG1968" i="1"/>
  <c r="AU1970" i="1"/>
  <c r="BM1971" i="1"/>
  <c r="S1973" i="1"/>
  <c r="AM1980" i="1"/>
  <c r="AQ1983" i="1"/>
  <c r="AU1986" i="1"/>
  <c r="BG1987" i="1"/>
  <c r="AY1989" i="1"/>
  <c r="G1996" i="1"/>
  <c r="BG2006" i="1"/>
  <c r="BC2006" i="1"/>
  <c r="AI1969" i="1"/>
  <c r="AY1971" i="1"/>
  <c r="AQ1972" i="1"/>
  <c r="AI1974" i="1"/>
  <c r="W1976" i="1"/>
  <c r="AE1982" i="1"/>
  <c r="AI1985" i="1"/>
  <c r="BC1992" i="1"/>
  <c r="AE2001" i="1"/>
  <c r="AI2001" i="1"/>
  <c r="BC2003" i="1"/>
  <c r="BG2003" i="1"/>
  <c r="AE2000" i="1"/>
  <c r="AI2000" i="1"/>
  <c r="K2005" i="1"/>
  <c r="O2005" i="1"/>
  <c r="BM1980" i="1"/>
  <c r="BM1988" i="1"/>
  <c r="BM1996" i="1"/>
  <c r="S2002" i="1"/>
  <c r="BC2002" i="1"/>
  <c r="AQ2004" i="1"/>
  <c r="AM2005" i="1"/>
  <c r="AU2007" i="1"/>
  <c r="AE2008" i="1"/>
  <c r="AE2011" i="1"/>
  <c r="BC2011" i="1"/>
  <c r="G2012" i="1"/>
  <c r="BC2012" i="1"/>
  <c r="G2013" i="1"/>
  <c r="O2003" i="1"/>
  <c r="AI2007" i="1"/>
  <c r="S2009" i="1"/>
  <c r="S2010" i="1"/>
  <c r="AQ2010" i="1"/>
  <c r="W2008" i="1"/>
  <c r="AE2003" i="1"/>
  <c r="O2004" i="1"/>
  <c r="G2006" i="1"/>
  <c r="O2007" i="1"/>
  <c r="AA2007" i="1"/>
  <c r="AI2009" i="1"/>
  <c r="W2011" i="1"/>
  <c r="BM2011" i="1"/>
  <c r="BM2012" i="1"/>
  <c r="AM2013" i="1"/>
  <c r="AQ2001" i="1"/>
  <c r="BM2004" i="1"/>
  <c r="W2005" i="1"/>
  <c r="BG2005" i="1"/>
  <c r="AE2006" i="1"/>
  <c r="O2008" i="1"/>
  <c r="AM2008" i="1"/>
  <c r="BM2009" i="1"/>
  <c r="AY2010" i="1"/>
  <c r="AQ2035" i="1"/>
  <c r="BG2037" i="1"/>
</calcChain>
</file>

<file path=xl/sharedStrings.xml><?xml version="1.0" encoding="utf-8"?>
<sst xmlns="http://schemas.openxmlformats.org/spreadsheetml/2006/main" count="32191" uniqueCount="17802">
  <si>
    <t>公司代码</t>
  </si>
  <si>
    <t>利润表</t>
  </si>
  <si>
    <t>2021-12-31</t>
  </si>
  <si>
    <t>2021.12增长率</t>
  </si>
  <si>
    <t>2021-09-30</t>
  </si>
  <si>
    <t>2021.09增长率</t>
  </si>
  <si>
    <t>2021-06-30</t>
  </si>
  <si>
    <t>2021.06增长率</t>
  </si>
  <si>
    <t>2021-03-31</t>
  </si>
  <si>
    <t>2021.03增长率</t>
  </si>
  <si>
    <t>2020-12-31</t>
  </si>
  <si>
    <t>2020.12增长率</t>
  </si>
  <si>
    <t>2020-09-30</t>
  </si>
  <si>
    <t>2020.06增长率</t>
  </si>
  <si>
    <t>2020-06-30</t>
  </si>
  <si>
    <t>2020-03-31</t>
  </si>
  <si>
    <t>2020.03增长率</t>
  </si>
  <si>
    <t>2019-12-31</t>
  </si>
  <si>
    <t>2019-09-30</t>
  </si>
  <si>
    <t>2019.09增长率</t>
  </si>
  <si>
    <t>2019-06-30</t>
  </si>
  <si>
    <t>2019.06增长率</t>
  </si>
  <si>
    <t>2019-03-31</t>
  </si>
  <si>
    <t>2019.03增长率</t>
  </si>
  <si>
    <t>2018-12-31</t>
  </si>
  <si>
    <t>2018.12增长率</t>
  </si>
  <si>
    <t>2018-09-30</t>
  </si>
  <si>
    <t>2018.09增长率</t>
  </si>
  <si>
    <t>2018-06-30</t>
  </si>
  <si>
    <t>2018-03-31</t>
  </si>
  <si>
    <t>2018.06增长率</t>
  </si>
  <si>
    <t>营业收入</t>
  </si>
  <si>
    <t>51.80*100000000</t>
  </si>
  <si>
    <t>36.29*100000000</t>
  </si>
  <si>
    <t>23.96*100000000</t>
  </si>
  <si>
    <t>11.85*100000000</t>
  </si>
  <si>
    <t>52.25*100000000</t>
  </si>
  <si>
    <t>37.61*100000000</t>
  </si>
  <si>
    <t>23.54*100000000</t>
  </si>
  <si>
    <t>13.14*100000000</t>
  </si>
  <si>
    <t>82.39*100000000</t>
  </si>
  <si>
    <t>61.16*100000000</t>
  </si>
  <si>
    <t>40.43*100000000</t>
  </si>
  <si>
    <t>20.09*100000000</t>
  </si>
  <si>
    <t>77.47*100000000</t>
  </si>
  <si>
    <t>58.03*100000000</t>
  </si>
  <si>
    <t>37.21*100000000</t>
  </si>
  <si>
    <t>17.24*100000000</t>
  </si>
  <si>
    <t>营业利润</t>
  </si>
  <si>
    <t>1.748*100000000</t>
  </si>
  <si>
    <t>14.20*100000000</t>
  </si>
  <si>
    <t>8.854*100000000</t>
  </si>
  <si>
    <t>6.334*100000000</t>
  </si>
  <si>
    <t>3.517*100000000</t>
  </si>
  <si>
    <t>15.28*100000000</t>
  </si>
  <si>
    <t>12.47*100000000</t>
  </si>
  <si>
    <t>9.519*100000000</t>
  </si>
  <si>
    <t>5.949*100000000</t>
  </si>
  <si>
    <t>利润总额</t>
  </si>
  <si>
    <t>1.775*100000000</t>
  </si>
  <si>
    <t>14.28*100000000</t>
  </si>
  <si>
    <t>9.018*100000000</t>
  </si>
  <si>
    <t>6.492*100000000</t>
  </si>
  <si>
    <t>3.545*100000000</t>
  </si>
  <si>
    <t>15.38*100000000</t>
  </si>
  <si>
    <t>12.53*100000000</t>
  </si>
  <si>
    <t>9.550*100000000</t>
  </si>
  <si>
    <t>5.964*100000000</t>
  </si>
  <si>
    <t>净利润</t>
  </si>
  <si>
    <t>11.31*100000000</t>
  </si>
  <si>
    <t>6.879*100000000</t>
  </si>
  <si>
    <t>4.948*100000000</t>
  </si>
  <si>
    <t>2.651*100000000</t>
  </si>
  <si>
    <t>11.62*100000000</t>
  </si>
  <si>
    <t>9.396*100000000</t>
  </si>
  <si>
    <t>7.158*100000000</t>
  </si>
  <si>
    <t>4.364*100000000</t>
  </si>
  <si>
    <t>155.5*100000000</t>
  </si>
  <si>
    <t>122.0*100000000</t>
  </si>
  <si>
    <t>88.43*100000000</t>
  </si>
  <si>
    <t>39.64*100000000</t>
  </si>
  <si>
    <t>137.3*100000000</t>
  </si>
  <si>
    <t>101.1*100000000</t>
  </si>
  <si>
    <t>64.61*100000000</t>
  </si>
  <si>
    <t>20.66*100000000</t>
  </si>
  <si>
    <t>135.2*100000000</t>
  </si>
  <si>
    <t>99.42*100000000</t>
  </si>
  <si>
    <t>67.61*100000000</t>
  </si>
  <si>
    <t>31.17*100000000</t>
  </si>
  <si>
    <t>144.2*100000000</t>
  </si>
  <si>
    <t>92.43*100000000</t>
  </si>
  <si>
    <t>57.89*100000000</t>
  </si>
  <si>
    <t>24.58*100000000</t>
  </si>
  <si>
    <t>3.838*100000000</t>
  </si>
  <si>
    <t>5.233*100000000</t>
  </si>
  <si>
    <t>4.856*100000000</t>
  </si>
  <si>
    <t>2.590*100000000</t>
  </si>
  <si>
    <t>6.001*100000000</t>
  </si>
  <si>
    <t>4.964*100000000</t>
  </si>
  <si>
    <t>3.308*100000000</t>
  </si>
  <si>
    <t>6444*10000</t>
  </si>
  <si>
    <t>4.038*100000000</t>
  </si>
  <si>
    <t>3.006*100000000</t>
  </si>
  <si>
    <t>2.239*100000000</t>
  </si>
  <si>
    <t>1.062*100000000</t>
  </si>
  <si>
    <t>5.081*100000000</t>
  </si>
  <si>
    <t>3.848*100000000</t>
  </si>
  <si>
    <t>2.910*100000000</t>
  </si>
  <si>
    <t>1.398*100000000</t>
  </si>
  <si>
    <t>3.544*100000000</t>
  </si>
  <si>
    <t>5.102*100000000</t>
  </si>
  <si>
    <t>4.734*100000000</t>
  </si>
  <si>
    <t>2.615*100000000</t>
  </si>
  <si>
    <t>5.078*100000000</t>
  </si>
  <si>
    <t>4.064*100000000</t>
  </si>
  <si>
    <t>2.408*100000000</t>
  </si>
  <si>
    <t>4.012*100000000</t>
  </si>
  <si>
    <t>2.971*100000000</t>
  </si>
  <si>
    <t>2.214*100000000</t>
  </si>
  <si>
    <t>1.058*100000000</t>
  </si>
  <si>
    <t>4.920*100000000</t>
  </si>
  <si>
    <t>3.742*100000000</t>
  </si>
  <si>
    <t>2.903*100000000</t>
  </si>
  <si>
    <t>1.391*100000000</t>
  </si>
  <si>
    <t>3.822*100000000</t>
  </si>
  <si>
    <t>5.195*100000000</t>
  </si>
  <si>
    <t>5.104*100000000</t>
  </si>
  <si>
    <t>2.718*100000000</t>
  </si>
  <si>
    <t>5.529*100000000</t>
  </si>
  <si>
    <t>4.952*100000000</t>
  </si>
  <si>
    <t>2.949*100000000</t>
  </si>
  <si>
    <t>4.136*100000000</t>
  </si>
  <si>
    <t>3.118*100000000</t>
  </si>
  <si>
    <t>2.324*100000000</t>
  </si>
  <si>
    <t>1.108*100000000</t>
  </si>
  <si>
    <t>5.489*100000000</t>
  </si>
  <si>
    <t>4.045*100000000</t>
  </si>
  <si>
    <t>2.875*100000000</t>
  </si>
  <si>
    <t>1.282*100000000</t>
  </si>
  <si>
    <t>35.86*100000000</t>
  </si>
  <si>
    <t>26.64*100000000</t>
  </si>
  <si>
    <t>17.50*100000000</t>
  </si>
  <si>
    <t>8.393*100000000</t>
  </si>
  <si>
    <t>30.98*100000000</t>
  </si>
  <si>
    <t>22.35*100000000</t>
  </si>
  <si>
    <t>14.34*100000000</t>
  </si>
  <si>
    <t>7.301*100000000</t>
  </si>
  <si>
    <t>35.30*100000000</t>
  </si>
  <si>
    <t>26.02*100000000</t>
  </si>
  <si>
    <t>17.23*100000000</t>
  </si>
  <si>
    <t>8.558*100000000</t>
  </si>
  <si>
    <t>31.71*100000000</t>
  </si>
  <si>
    <t>23.37*100000000</t>
  </si>
  <si>
    <t>15.52*100000000</t>
  </si>
  <si>
    <t>7.775*100000000</t>
  </si>
  <si>
    <t>13.65*100000000</t>
  </si>
  <si>
    <t>10.36*100000000</t>
  </si>
  <si>
    <t>6.813*100000000</t>
  </si>
  <si>
    <t>3.171*100000000</t>
  </si>
  <si>
    <t>10.94*100000000</t>
  </si>
  <si>
    <t>8.051*100000000</t>
  </si>
  <si>
    <t>5.313*100000000</t>
  </si>
  <si>
    <t>12.83*100000000</t>
  </si>
  <si>
    <t>9.689*100000000</t>
  </si>
  <si>
    <t>6.427*100000000</t>
  </si>
  <si>
    <t>3.230*100000000</t>
  </si>
  <si>
    <t>10.61*100000000</t>
  </si>
  <si>
    <t>8.216*100000000</t>
  </si>
  <si>
    <t>5.507*100000000</t>
  </si>
  <si>
    <t>2.689*100000000</t>
  </si>
  <si>
    <t>13.67*100000000</t>
  </si>
  <si>
    <t>6.817*100000000</t>
  </si>
  <si>
    <t>3.174*100000000</t>
  </si>
  <si>
    <t>11.05*100000000</t>
  </si>
  <si>
    <t>8.186*100000000</t>
  </si>
  <si>
    <t>5.437*100000000</t>
  </si>
  <si>
    <t>2.730*100000000</t>
  </si>
  <si>
    <t>13.01*100000000</t>
  </si>
  <si>
    <t>9.855*100000000</t>
  </si>
  <si>
    <t>6.507*100000000</t>
  </si>
  <si>
    <t>3.268*100000000</t>
  </si>
  <si>
    <t>7.868*100000000</t>
  </si>
  <si>
    <t>5.386*100000000</t>
  </si>
  <si>
    <t>10.25*100000000</t>
  </si>
  <si>
    <t>7.763*100000000</t>
  </si>
  <si>
    <t>5.112*100000000</t>
  </si>
  <si>
    <t>2.377*100000000</t>
  </si>
  <si>
    <t>8.261*100000000</t>
  </si>
  <si>
    <t>6.129*100000000</t>
  </si>
  <si>
    <t>4.071*100000000</t>
  </si>
  <si>
    <t>2.039*100000000</t>
  </si>
  <si>
    <t>9.731*100000000</t>
  </si>
  <si>
    <t>7.396*100000000</t>
  </si>
  <si>
    <t>4.884*100000000</t>
  </si>
  <si>
    <t>2.452*100000000</t>
  </si>
  <si>
    <t>7.755*100000000</t>
  </si>
  <si>
    <t>5.904*100000000</t>
  </si>
  <si>
    <t>4.042*100000000</t>
  </si>
  <si>
    <t>2.018*100000000</t>
  </si>
  <si>
    <t>222.3*100000000</t>
  </si>
  <si>
    <t>152.3*100000000</t>
  </si>
  <si>
    <t>86.26*100000000</t>
  </si>
  <si>
    <t>42.36*100000000</t>
  </si>
  <si>
    <t>192.2*100000000</t>
  </si>
  <si>
    <t>115.8*100000000</t>
  </si>
  <si>
    <t>69.56*100000000</t>
  </si>
  <si>
    <t>29.26*100000000</t>
  </si>
  <si>
    <t>149.1*100000000</t>
  </si>
  <si>
    <t>91.54*100000000</t>
  </si>
  <si>
    <t>57.48*100000000</t>
  </si>
  <si>
    <t>24.48*100000000</t>
  </si>
  <si>
    <t>124.6*100000000</t>
  </si>
  <si>
    <t>76.12*100000000</t>
  </si>
  <si>
    <t>45.79*100000000</t>
  </si>
  <si>
    <t>21.17*100000000</t>
  </si>
  <si>
    <t>33.16*100000000</t>
  </si>
  <si>
    <t>25.26*100000000</t>
  </si>
  <si>
    <t>18.39*100000000</t>
  </si>
  <si>
    <t>4.701*100000000</t>
  </si>
  <si>
    <t>22.38*100000000</t>
  </si>
  <si>
    <t>14.36*100000000</t>
  </si>
  <si>
    <t>7.515*100000000</t>
  </si>
  <si>
    <t>2.044*100000000</t>
  </si>
  <si>
    <t>15.87*100000000</t>
  </si>
  <si>
    <t>9.549*100000000</t>
  </si>
  <si>
    <t>6.096*100000000</t>
  </si>
  <si>
    <t>1.750*100000000</t>
  </si>
  <si>
    <t>13.35*100000000</t>
  </si>
  <si>
    <t>7.616*100000000</t>
  </si>
  <si>
    <t>4.217*100000000</t>
  </si>
  <si>
    <t>1.732*100000000</t>
  </si>
  <si>
    <t>32.54*100000000</t>
  </si>
  <si>
    <t>25.33*100000000</t>
  </si>
  <si>
    <t>18.44*100000000</t>
  </si>
  <si>
    <t>4.736*100000000</t>
  </si>
  <si>
    <t>22.40*100000000</t>
  </si>
  <si>
    <t>14.56*100000000</t>
  </si>
  <si>
    <t>7.620*100000000</t>
  </si>
  <si>
    <t>1.962*100000000</t>
  </si>
  <si>
    <t>15.99*100000000</t>
  </si>
  <si>
    <t>9.876*100000000</t>
  </si>
  <si>
    <t>6.120*100000000</t>
  </si>
  <si>
    <t>1.768*100000000</t>
  </si>
  <si>
    <t>12.79*100000000</t>
  </si>
  <si>
    <t>7.611*100000000</t>
  </si>
  <si>
    <t>4.213*100000000</t>
  </si>
  <si>
    <t>1.742*100000000</t>
  </si>
  <si>
    <t>21.68*100000000</t>
  </si>
  <si>
    <t>15.81*100000000</t>
  </si>
  <si>
    <t>3.476*100000000</t>
  </si>
  <si>
    <t>16.02*100000000</t>
  </si>
  <si>
    <t>10.43*100000000</t>
  </si>
  <si>
    <t>4.774*100000000</t>
  </si>
  <si>
    <t>1.083*100000000</t>
  </si>
  <si>
    <t>10.92*100000000</t>
  </si>
  <si>
    <t>6.696*100000000</t>
  </si>
  <si>
    <t>4.013*100000000</t>
  </si>
  <si>
    <t>1.136*100000000</t>
  </si>
  <si>
    <t>8.156*100000000</t>
  </si>
  <si>
    <t>5.092*100000000</t>
  </si>
  <si>
    <t>2.751*100000000</t>
  </si>
  <si>
    <t>1.211*100000000</t>
  </si>
  <si>
    <t>2046*100000000</t>
  </si>
  <si>
    <t>1450*100000000</t>
  </si>
  <si>
    <t>951.2*100000000</t>
  </si>
  <si>
    <t>499.1*100000000</t>
  </si>
  <si>
    <t>1694*100000000</t>
  </si>
  <si>
    <t>1219*100000000</t>
  </si>
  <si>
    <t>791.5*100000000</t>
  </si>
  <si>
    <t>403.8*100000000</t>
  </si>
  <si>
    <t>1736*100000000</t>
  </si>
  <si>
    <t>1273*100000000</t>
  </si>
  <si>
    <t>834.7*100000000</t>
  </si>
  <si>
    <t>456.5*100000000</t>
  </si>
  <si>
    <t>1699*100000000</t>
  </si>
  <si>
    <t>1260*100000000</t>
  </si>
  <si>
    <t>826.9*100000000</t>
  </si>
  <si>
    <t>434.2*100000000</t>
  </si>
  <si>
    <t>15.86*100000000</t>
  </si>
  <si>
    <t>63.45*100000000</t>
  </si>
  <si>
    <t>49.08*100000000</t>
  </si>
  <si>
    <t>96.28*100000000</t>
  </si>
  <si>
    <t>142.3*100000000</t>
  </si>
  <si>
    <t>90.67*100000000</t>
  </si>
  <si>
    <t>36.82*100000000</t>
  </si>
  <si>
    <t>44.89*100000000</t>
  </si>
  <si>
    <t>86.09*100000000</t>
  </si>
  <si>
    <t>62.36*100000000</t>
  </si>
  <si>
    <t>45.32*100000000</t>
  </si>
  <si>
    <t>36.48*100000000</t>
  </si>
  <si>
    <t>40.82*100000000</t>
  </si>
  <si>
    <t>36.55*100000000</t>
  </si>
  <si>
    <t>23.63*100000000</t>
  </si>
  <si>
    <t>15.25*100000000</t>
  </si>
  <si>
    <t>63.26*100000000</t>
  </si>
  <si>
    <t>49.30*100000000</t>
  </si>
  <si>
    <t>88.14*100000000</t>
  </si>
  <si>
    <t>141.3*100000000</t>
  </si>
  <si>
    <t>91.52*100000000</t>
  </si>
  <si>
    <t>37.46*100000000</t>
  </si>
  <si>
    <t>46.63*100000000</t>
  </si>
  <si>
    <t>88.92*100000000</t>
  </si>
  <si>
    <t>63.78*100000000</t>
  </si>
  <si>
    <t>46.47*100000000</t>
  </si>
  <si>
    <t>34.36*100000000</t>
  </si>
  <si>
    <t>39.89*100000000</t>
  </si>
  <si>
    <t>36.72*100000000</t>
  </si>
  <si>
    <t>23.74*100000000</t>
  </si>
  <si>
    <t>8.320*100000000</t>
  </si>
  <si>
    <t>51.71*100000000</t>
  </si>
  <si>
    <t>40.30*100000000</t>
  </si>
  <si>
    <t>57.04*100000000</t>
  </si>
  <si>
    <t>112.1*100000000</t>
  </si>
  <si>
    <t>71.14*100000000</t>
  </si>
  <si>
    <t>28.18*100000000</t>
  </si>
  <si>
    <t>22.28*100000000</t>
  </si>
  <si>
    <t>67.76*100000000</t>
  </si>
  <si>
    <t>48.72*100000000</t>
  </si>
  <si>
    <t>35.74*100000000</t>
  </si>
  <si>
    <t>24.07*100000000</t>
  </si>
  <si>
    <t>28.09*100000000</t>
  </si>
  <si>
    <t>27.80*100000000</t>
  </si>
  <si>
    <t>17.52*100000000</t>
  </si>
  <si>
    <t>39.21*100000000</t>
  </si>
  <si>
    <t>25.81*100000000</t>
  </si>
  <si>
    <t>16.88*100000000</t>
  </si>
  <si>
    <t>8.474*100000000</t>
  </si>
  <si>
    <t>29.34*100000000</t>
  </si>
  <si>
    <t>17.45*100000000</t>
  </si>
  <si>
    <t>8.189*100000000</t>
  </si>
  <si>
    <t>2.724*100000000</t>
  </si>
  <si>
    <t>29.46*100000000</t>
  </si>
  <si>
    <t>22.30*100000000</t>
  </si>
  <si>
    <t>14.68*100000000</t>
  </si>
  <si>
    <t>7.499*100000000</t>
  </si>
  <si>
    <t>29.67*100000000</t>
  </si>
  <si>
    <t>22.49*100000000</t>
  </si>
  <si>
    <t>7.284*100000000</t>
  </si>
  <si>
    <t>21.19*100000000</t>
  </si>
  <si>
    <t>15.59*100000000</t>
  </si>
  <si>
    <t>10.09*100000000</t>
  </si>
  <si>
    <t>5.017*100000000</t>
  </si>
  <si>
    <t>11.88*100000000</t>
  </si>
  <si>
    <t>6.359*100000000</t>
  </si>
  <si>
    <t>1.036*100000000</t>
  </si>
  <si>
    <t>15.56*100000000</t>
  </si>
  <si>
    <t>11.79*100000000</t>
  </si>
  <si>
    <t>7.631*100000000</t>
  </si>
  <si>
    <t>4.057*100000000</t>
  </si>
  <si>
    <t>15.47*100000000</t>
  </si>
  <si>
    <t>11.83*100000000</t>
  </si>
  <si>
    <t>7.678*100000000</t>
  </si>
  <si>
    <t>3.737*100000000</t>
  </si>
  <si>
    <t>15.61*100000000</t>
  </si>
  <si>
    <t>5.019*100000000</t>
  </si>
  <si>
    <t>6.306*100000000</t>
  </si>
  <si>
    <t>9792*10000</t>
  </si>
  <si>
    <t>15.60*100000000</t>
  </si>
  <si>
    <t>11.80*100000000</t>
  </si>
  <si>
    <t>7.633*100000000</t>
  </si>
  <si>
    <t>15.48*100000000</t>
  </si>
  <si>
    <t>3.732*100000000</t>
  </si>
  <si>
    <t>15.45*100000000</t>
  </si>
  <si>
    <t>11.23*100000000</t>
  </si>
  <si>
    <t>7.252*100000000</t>
  </si>
  <si>
    <t>3.616*100000000</t>
  </si>
  <si>
    <t>8.167*100000000</t>
  </si>
  <si>
    <t>4.149*100000000</t>
  </si>
  <si>
    <t>3210*10000</t>
  </si>
  <si>
    <t>10.59*100000000</t>
  </si>
  <si>
    <t>8.421*100000000</t>
  </si>
  <si>
    <t>5.447*100000000</t>
  </si>
  <si>
    <t>2.901*100000000</t>
  </si>
  <si>
    <t>10.97*100000000</t>
  </si>
  <si>
    <t>8.466*100000000</t>
  </si>
  <si>
    <t>5.485*100000000</t>
  </si>
  <si>
    <t>2.643*100000000</t>
  </si>
  <si>
    <t>1688*100000000</t>
  </si>
  <si>
    <t>1306*100000000</t>
  </si>
  <si>
    <t>877.8*100000000</t>
  </si>
  <si>
    <t>430.7*100000000</t>
  </si>
  <si>
    <t>1850*100000000</t>
  </si>
  <si>
    <t>1433*100000000</t>
  </si>
  <si>
    <t>981.1*100000000</t>
  </si>
  <si>
    <t>493.3*100000000</t>
  </si>
  <si>
    <t>1804*100000000</t>
  </si>
  <si>
    <t>1331*100000000</t>
  </si>
  <si>
    <t>882.6*100000000</t>
  </si>
  <si>
    <t>438.6*100000000</t>
  </si>
  <si>
    <t>1568*100000000</t>
  </si>
  <si>
    <t>1157*100000000</t>
  </si>
  <si>
    <t>754.2*100000000</t>
  </si>
  <si>
    <t>367.5*100000000</t>
  </si>
  <si>
    <t>361.4*100000000</t>
  </si>
  <si>
    <t>382.4*100000000</t>
  </si>
  <si>
    <t>291.5*100000000</t>
  </si>
  <si>
    <t>169.1*100000000</t>
  </si>
  <si>
    <t>371.9*100000000</t>
  </si>
  <si>
    <t>431.0*100000000</t>
  </si>
  <si>
    <t>332.0*100000000</t>
  </si>
  <si>
    <t>201.1*100000000</t>
  </si>
  <si>
    <t>649.3*100000000</t>
  </si>
  <si>
    <t>552.4*100000000</t>
  </si>
  <si>
    <t>384.6*100000000</t>
  </si>
  <si>
    <t>192.1*100000000</t>
  </si>
  <si>
    <t>592.9*100000000</t>
  </si>
  <si>
    <t>519.1*100000000</t>
  </si>
  <si>
    <t>361.1*100000000</t>
  </si>
  <si>
    <t>182.7*100000000</t>
  </si>
  <si>
    <t>356.0*100000000</t>
  </si>
  <si>
    <t>380.4*100000000</t>
  </si>
  <si>
    <t>289.4*100000000</t>
  </si>
  <si>
    <t>168.9*100000000</t>
  </si>
  <si>
    <t>367.1*100000000</t>
  </si>
  <si>
    <t>427.9*100000000</t>
  </si>
  <si>
    <t>330.8*100000000</t>
  </si>
  <si>
    <t>200.3*100000000</t>
  </si>
  <si>
    <t>647.4*100000000</t>
  </si>
  <si>
    <t>551.6*100000000</t>
  </si>
  <si>
    <t>384.2*100000000</t>
  </si>
  <si>
    <t>587.9*100000000</t>
  </si>
  <si>
    <t>515.3*100000000</t>
  </si>
  <si>
    <t>358.9*100000000</t>
  </si>
  <si>
    <t>180.8*100000000</t>
  </si>
  <si>
    <t>348.5*100000000</t>
  </si>
  <si>
    <t>357.8*100000000</t>
  </si>
  <si>
    <t>267.4*100000000</t>
  </si>
  <si>
    <t>146.2*100000000</t>
  </si>
  <si>
    <t>351.0*100000000</t>
  </si>
  <si>
    <t>378.9*100000000</t>
  </si>
  <si>
    <t>287.8*100000000</t>
  </si>
  <si>
    <t>168.1*100000000</t>
  </si>
  <si>
    <t>549.2*100000000</t>
  </si>
  <si>
    <t>461.1*100000000</t>
  </si>
  <si>
    <t>319.7*100000000</t>
  </si>
  <si>
    <t>159.7*100000000</t>
  </si>
  <si>
    <t>503.3*100000000</t>
  </si>
  <si>
    <t>431.6*100000000</t>
  </si>
  <si>
    <t>298.5*100000000</t>
  </si>
  <si>
    <t>151.3*100000000</t>
  </si>
  <si>
    <t>65.05*100000000</t>
  </si>
  <si>
    <t>46.56*100000000</t>
  </si>
  <si>
    <t>30.62*100000000</t>
  </si>
  <si>
    <t>15.53*100000000</t>
  </si>
  <si>
    <t>57.67*100000000</t>
  </si>
  <si>
    <t>43.61*100000000</t>
  </si>
  <si>
    <t>28.39*100000000</t>
  </si>
  <si>
    <t>14.16*100000000</t>
  </si>
  <si>
    <t>52.46*100000000</t>
  </si>
  <si>
    <t>38.47*100000000</t>
  </si>
  <si>
    <t>25.23*100000000</t>
  </si>
  <si>
    <t>12.95*100000000</t>
  </si>
  <si>
    <t>51.30*100000000</t>
  </si>
  <si>
    <t>38.43*100000000</t>
  </si>
  <si>
    <t>25.63*100000000</t>
  </si>
  <si>
    <t>12.45*100000000</t>
  </si>
  <si>
    <t>10.32*100000000</t>
  </si>
  <si>
    <t>8.122*100000000</t>
  </si>
  <si>
    <t>5.124*100000000</t>
  </si>
  <si>
    <t>2.857*100000000</t>
  </si>
  <si>
    <t>9.395*100000000</t>
  </si>
  <si>
    <t>8.865*100000000</t>
  </si>
  <si>
    <t>5.874*100000000</t>
  </si>
  <si>
    <t>2.663*100000000</t>
  </si>
  <si>
    <t>9.372*100000000</t>
  </si>
  <si>
    <t>7.858*100000000</t>
  </si>
  <si>
    <t>5.328*100000000</t>
  </si>
  <si>
    <t>3.375*100000000</t>
  </si>
  <si>
    <t>9.455*100000000</t>
  </si>
  <si>
    <t>7.927*100000000</t>
  </si>
  <si>
    <t>5.259*100000000</t>
  </si>
  <si>
    <t>2.595*100000000</t>
  </si>
  <si>
    <t>10.31*100000000</t>
  </si>
  <si>
    <t>8.106*100000000</t>
  </si>
  <si>
    <t>5.109*100000000</t>
  </si>
  <si>
    <t>2.838*100000000</t>
  </si>
  <si>
    <t>9.369*100000000</t>
  </si>
  <si>
    <t>8.861*100000000</t>
  </si>
  <si>
    <t>5.873*100000000</t>
  </si>
  <si>
    <t>2.636*100000000</t>
  </si>
  <si>
    <t>9.379*100000000</t>
  </si>
  <si>
    <t>7.818*100000000</t>
  </si>
  <si>
    <t>5.303*100000000</t>
  </si>
  <si>
    <t>3.372*100000000</t>
  </si>
  <si>
    <t>9.457*100000000</t>
  </si>
  <si>
    <t>7.926*100000000</t>
  </si>
  <si>
    <t>5.257*100000000</t>
  </si>
  <si>
    <t>2.596*100000000</t>
  </si>
  <si>
    <t>8.203*100000000</t>
  </si>
  <si>
    <t>6.381*100000000</t>
  </si>
  <si>
    <t>3.974*100000000</t>
  </si>
  <si>
    <t>2.234*100000000</t>
  </si>
  <si>
    <t>7.337*100000000</t>
  </si>
  <si>
    <t>6.860*100000000</t>
  </si>
  <si>
    <t>4.571*100000000</t>
  </si>
  <si>
    <t>2.054*100000000</t>
  </si>
  <si>
    <t>7.145*100000000</t>
  </si>
  <si>
    <t>5.960*100000000</t>
  </si>
  <si>
    <t>4.035*100000000</t>
  </si>
  <si>
    <t>2.514*100000000</t>
  </si>
  <si>
    <t>7.353*100000000</t>
  </si>
  <si>
    <t>6.135*100000000</t>
  </si>
  <si>
    <t>4.062*100000000</t>
  </si>
  <si>
    <t>1.972*100000000</t>
  </si>
  <si>
    <t>342.9*100000000</t>
  </si>
  <si>
    <t>262.4*100000000</t>
  </si>
  <si>
    <t>173.6*100000000</t>
  </si>
  <si>
    <t>76.85*100000000</t>
  </si>
  <si>
    <t>261.2*100000000</t>
  </si>
  <si>
    <t>120.4*100000000</t>
  </si>
  <si>
    <t>53.99*100000000</t>
  </si>
  <si>
    <t>361.0*100000000</t>
  </si>
  <si>
    <t>266.1*100000000</t>
  </si>
  <si>
    <t>172.0*100000000</t>
  </si>
  <si>
    <t>81.59*100000000</t>
  </si>
  <si>
    <t>260.8*100000000</t>
  </si>
  <si>
    <t>175.1*100000000</t>
  </si>
  <si>
    <t>86.44*100000000</t>
  </si>
  <si>
    <t>178.6*100000000</t>
  </si>
  <si>
    <t>145.1*100000000</t>
  </si>
  <si>
    <t>105.7*100000000</t>
  </si>
  <si>
    <t>38.72*100000000</t>
  </si>
  <si>
    <t>105.9*100000000</t>
  </si>
  <si>
    <t>79.14*100000000</t>
  </si>
  <si>
    <t>51.07*100000000</t>
  </si>
  <si>
    <t>22.25*100000000</t>
  </si>
  <si>
    <t>118.7*100000000</t>
  </si>
  <si>
    <t>89.58*100000000</t>
  </si>
  <si>
    <t>57.90*100000000</t>
  </si>
  <si>
    <t>25.47*100000000</t>
  </si>
  <si>
    <t>142.6*100000000</t>
  </si>
  <si>
    <t>74.19*100000000</t>
  </si>
  <si>
    <t>50.05*100000000</t>
  </si>
  <si>
    <t>23.61*100000000</t>
  </si>
  <si>
    <t>179.6*100000000</t>
  </si>
  <si>
    <t>145.8*100000000</t>
  </si>
  <si>
    <t>106.4*100000000</t>
  </si>
  <si>
    <t>51.09*100000000</t>
  </si>
  <si>
    <t>22.21*100000000</t>
  </si>
  <si>
    <t>118.2*100000000</t>
  </si>
  <si>
    <t>89.10*100000000</t>
  </si>
  <si>
    <t>57.88*100000000</t>
  </si>
  <si>
    <t>25.41*100000000</t>
  </si>
  <si>
    <t>143.3*100000000</t>
  </si>
  <si>
    <t>74.44*100000000</t>
  </si>
  <si>
    <t>50.25*100000000</t>
  </si>
  <si>
    <t>23.70*100000000</t>
  </si>
  <si>
    <t>154.8*100000000</t>
  </si>
  <si>
    <t>124.7*100000000</t>
  </si>
  <si>
    <t>91.68*100000000</t>
  </si>
  <si>
    <t>31.66*100000000</t>
  </si>
  <si>
    <t>91.83*100000000</t>
  </si>
  <si>
    <t>67.45*100000000</t>
  </si>
  <si>
    <t>43.29*100000000</t>
  </si>
  <si>
    <t>18.98*100000000</t>
  </si>
  <si>
    <t>99.26*100000000</t>
  </si>
  <si>
    <t>75.67*100000000</t>
  </si>
  <si>
    <t>48.81*100000000</t>
  </si>
  <si>
    <t>21.32*100000000</t>
  </si>
  <si>
    <t>114.7*100000000</t>
  </si>
  <si>
    <t>59.85*100000000</t>
  </si>
  <si>
    <t>39.94*100000000</t>
  </si>
  <si>
    <t>18.96*100000000</t>
  </si>
  <si>
    <t>1109*100000000</t>
  </si>
  <si>
    <t>872.9*100000000</t>
  </si>
  <si>
    <t>588.3*100000000</t>
  </si>
  <si>
    <t>266.8*100000000</t>
  </si>
  <si>
    <t>873.2*100000000</t>
  </si>
  <si>
    <t>639.2*100000000</t>
  </si>
  <si>
    <t>401.5*100000000</t>
  </si>
  <si>
    <t>193.9*100000000</t>
  </si>
  <si>
    <t>710.9*100000000</t>
  </si>
  <si>
    <t>529.8*100000000</t>
  </si>
  <si>
    <t>323.5*100000000</t>
  </si>
  <si>
    <t>138.4*100000000</t>
  </si>
  <si>
    <t>559.1*100000000</t>
  </si>
  <si>
    <t>405.5*100000000</t>
  </si>
  <si>
    <t>248.8*100000000</t>
  </si>
  <si>
    <t>118.0*100000000</t>
  </si>
  <si>
    <t>38.77*100000000</t>
  </si>
  <si>
    <t>55.38*100000000</t>
  </si>
  <si>
    <t>40.28*100000000</t>
  </si>
  <si>
    <t>12.24*100000000</t>
  </si>
  <si>
    <t>20.38*100000000</t>
  </si>
  <si>
    <t>16.07*100000000</t>
  </si>
  <si>
    <t>8.583*100000000</t>
  </si>
  <si>
    <t>2.445*100000000</t>
  </si>
  <si>
    <t>10.89*100000000</t>
  </si>
  <si>
    <t>10.71*100000000</t>
  </si>
  <si>
    <t>9.479*100000000</t>
  </si>
  <si>
    <t>1.759*100000000</t>
  </si>
  <si>
    <t>29.13*100000000</t>
  </si>
  <si>
    <t>29.66*100000000</t>
  </si>
  <si>
    <t>18.14*100000000</t>
  </si>
  <si>
    <t>6.441*100000000</t>
  </si>
  <si>
    <t>40.34*100000000</t>
  </si>
  <si>
    <t>55.34*100000000</t>
  </si>
  <si>
    <t>40.05*100000000</t>
  </si>
  <si>
    <t>12.13*100000000</t>
  </si>
  <si>
    <t>19.71*100000000</t>
  </si>
  <si>
    <t>8.518*100000000</t>
  </si>
  <si>
    <t>2.451*100000000</t>
  </si>
  <si>
    <t>10.04*100000000</t>
  </si>
  <si>
    <t>10.16*100000000</t>
  </si>
  <si>
    <t>9.470*100000000</t>
  </si>
  <si>
    <t>1.753*100000000</t>
  </si>
  <si>
    <t>24.56*100000000</t>
  </si>
  <si>
    <t>29.31*100000000</t>
  </si>
  <si>
    <t>17.85*100000000</t>
  </si>
  <si>
    <t>6.363*100000000</t>
  </si>
  <si>
    <t>29.62*100000000</t>
  </si>
  <si>
    <t>44.00*100000000</t>
  </si>
  <si>
    <t>32.06*100000000</t>
  </si>
  <si>
    <t>9.701*100000000</t>
  </si>
  <si>
    <t>15.80*100000000</t>
  </si>
  <si>
    <t>11.55*100000000</t>
  </si>
  <si>
    <t>6.494*100000000</t>
  </si>
  <si>
    <t>1.568*100000000</t>
  </si>
  <si>
    <t>9.057*100000000</t>
  </si>
  <si>
    <t>7.425*100000000</t>
  </si>
  <si>
    <t>7.377*100000000</t>
  </si>
  <si>
    <t>1.607*100000000</t>
  </si>
  <si>
    <t>23.39*100000000</t>
  </si>
  <si>
    <t>26.00*100000000</t>
  </si>
  <si>
    <t>17.29*100000000</t>
  </si>
  <si>
    <t>6.290*100000000</t>
  </si>
  <si>
    <t>127.0*100000000</t>
  </si>
  <si>
    <t>92.88*100000000</t>
  </si>
  <si>
    <t>61.15*100000000</t>
  </si>
  <si>
    <t>30.77*100000000</t>
  </si>
  <si>
    <t>163.8*100000000</t>
  </si>
  <si>
    <t>132.9*100000000</t>
  </si>
  <si>
    <t>97.62*100000000</t>
  </si>
  <si>
    <t>40.68*100000000</t>
  </si>
  <si>
    <t>138.8*100000000</t>
  </si>
  <si>
    <t>105.3*100000000</t>
  </si>
  <si>
    <t>71.38*100000000</t>
  </si>
  <si>
    <t>38.48*100000000</t>
  </si>
  <si>
    <t>122.9*100000000</t>
  </si>
  <si>
    <t>83.04*100000000</t>
  </si>
  <si>
    <t>51.26*100000000</t>
  </si>
  <si>
    <t>24.06*100000000</t>
  </si>
  <si>
    <t>8.473*100000000</t>
  </si>
  <si>
    <t>8.556*100000000</t>
  </si>
  <si>
    <t>4.764*100000000</t>
  </si>
  <si>
    <t>28.88*100000000</t>
  </si>
  <si>
    <t>37.52*100000000</t>
  </si>
  <si>
    <t>32.51*100000000</t>
  </si>
  <si>
    <t>7.615*100000000</t>
  </si>
  <si>
    <t>10.76*100000000</t>
  </si>
  <si>
    <t>9.421*100000000</t>
  </si>
  <si>
    <t>7.005*100000000</t>
  </si>
  <si>
    <t>5.390*100000000</t>
  </si>
  <si>
    <t>4.418*100000000</t>
  </si>
  <si>
    <t>8.307*100000000</t>
  </si>
  <si>
    <t>8.369*100000000</t>
  </si>
  <si>
    <t>28.95*100000000</t>
  </si>
  <si>
    <t>37.55*100000000</t>
  </si>
  <si>
    <t>32.47*100000000</t>
  </si>
  <si>
    <t>7.627*100000000</t>
  </si>
  <si>
    <t>10.20*100000000</t>
  </si>
  <si>
    <t>9.387*100000000</t>
  </si>
  <si>
    <t>6.959*100000000</t>
  </si>
  <si>
    <t>5.417*100000000</t>
  </si>
  <si>
    <t>4.435*100000000</t>
  </si>
  <si>
    <t>6.762*100000000</t>
  </si>
  <si>
    <t>7.055*100000000</t>
  </si>
  <si>
    <t>4.030*100000000</t>
  </si>
  <si>
    <t>26.23*100000000</t>
  </si>
  <si>
    <t>35.27*100000000</t>
  </si>
  <si>
    <t>30.47*100000000</t>
  </si>
  <si>
    <t>6.751*100000000</t>
  </si>
  <si>
    <t>6.894*100000000</t>
  </si>
  <si>
    <t>7.954*100000000</t>
  </si>
  <si>
    <t>6.084*100000000</t>
  </si>
  <si>
    <t>3.239*100000000</t>
  </si>
  <si>
    <t>1044*100000000</t>
  </si>
  <si>
    <t>780.0*100000000</t>
  </si>
  <si>
    <t>534.8*100000000</t>
  </si>
  <si>
    <t>292.6*100000000</t>
  </si>
  <si>
    <t>930.1*100000000</t>
  </si>
  <si>
    <t>653.7*100000000</t>
  </si>
  <si>
    <t>415.3*100000000</t>
  </si>
  <si>
    <t>221.2*100000000</t>
  </si>
  <si>
    <t>936.5*100000000</t>
  </si>
  <si>
    <t>674.6*100000000</t>
  </si>
  <si>
    <t>441.4*100000000</t>
  </si>
  <si>
    <t>235.3*100000000</t>
  </si>
  <si>
    <t>893.1*100000000</t>
  </si>
  <si>
    <t>650.6*100000000</t>
  </si>
  <si>
    <t>415.4*100000000</t>
  </si>
  <si>
    <t>224.7*100000000</t>
  </si>
  <si>
    <t>17.60*100000000</t>
  </si>
  <si>
    <t>46.00*100000000</t>
  </si>
  <si>
    <t>21.07*100000000</t>
  </si>
  <si>
    <t>73.56*100000000</t>
  </si>
  <si>
    <t>60.48*100000000</t>
  </si>
  <si>
    <t>38.35*100000000</t>
  </si>
  <si>
    <t>20.43*100000000</t>
  </si>
  <si>
    <t>54.93*100000000</t>
  </si>
  <si>
    <t>41.28*100000000</t>
  </si>
  <si>
    <t>26.97*100000000</t>
  </si>
  <si>
    <t>13.98*100000000</t>
  </si>
  <si>
    <t>36.20*100000000</t>
  </si>
  <si>
    <t>27.49*100000000</t>
  </si>
  <si>
    <t>16.94*100000000</t>
  </si>
  <si>
    <t>10.40*100000000</t>
  </si>
  <si>
    <t>18.42*100000000</t>
  </si>
  <si>
    <t>46.65*100000000</t>
  </si>
  <si>
    <t>21.63*100000000</t>
  </si>
  <si>
    <t>76.44*100000000</t>
  </si>
  <si>
    <t>63.96*100000000</t>
  </si>
  <si>
    <t>40.18*100000000</t>
  </si>
  <si>
    <t>20.72*100000000</t>
  </si>
  <si>
    <t>55.37*100000000</t>
  </si>
  <si>
    <t>41.50*100000000</t>
  </si>
  <si>
    <t>27.20*100000000</t>
  </si>
  <si>
    <t>14.50*100000000</t>
  </si>
  <si>
    <t>27.19*100000000</t>
  </si>
  <si>
    <t>16.69*100000000</t>
  </si>
  <si>
    <t>10.49*100000000</t>
  </si>
  <si>
    <t>17.78*100000000</t>
  </si>
  <si>
    <t>39.60*100000000</t>
  </si>
  <si>
    <t>17.01*100000000</t>
  </si>
  <si>
    <t>62.24*100000000</t>
  </si>
  <si>
    <t>51.39*100000000</t>
  </si>
  <si>
    <t>31.82*100000000</t>
  </si>
  <si>
    <t>16.00*100000000</t>
  </si>
  <si>
    <t>44.39*100000000</t>
  </si>
  <si>
    <t>33.94*100000000</t>
  </si>
  <si>
    <t>21.74*100000000</t>
  </si>
  <si>
    <t>23.08*100000000</t>
  </si>
  <si>
    <t>20.45*100000000</t>
  </si>
  <si>
    <t>12.10*100000000</t>
  </si>
  <si>
    <t>7.951*100000000</t>
  </si>
  <si>
    <t>2.741*1000000000000</t>
  </si>
  <si>
    <t>2.003*1000000000000</t>
  </si>
  <si>
    <t>1.262*1000000000000</t>
  </si>
  <si>
    <t>5770*100000000</t>
  </si>
  <si>
    <t>2.105*1000000000000</t>
  </si>
  <si>
    <t>1.553*1000000000000</t>
  </si>
  <si>
    <t>1.033*1000000000000</t>
  </si>
  <si>
    <t>5545*100000000</t>
  </si>
  <si>
    <t>2.960*1000000000000</t>
  </si>
  <si>
    <t>2.233*1000000000000</t>
  </si>
  <si>
    <t>1.499*1000000000000</t>
  </si>
  <si>
    <t>7176*100000000</t>
  </si>
  <si>
    <t>2.891*1000000000000</t>
  </si>
  <si>
    <t>2.073*1000000000000</t>
  </si>
  <si>
    <t>1.300*1000000000000</t>
  </si>
  <si>
    <t>6213*100000000</t>
  </si>
  <si>
    <t>1124*100000000</t>
  </si>
  <si>
    <t>943.0*100000000</t>
  </si>
  <si>
    <t>638.6*100000000</t>
  </si>
  <si>
    <t>302.8*100000000</t>
  </si>
  <si>
    <t>508.0*100000000</t>
  </si>
  <si>
    <t>376.9*100000000</t>
  </si>
  <si>
    <t>901.3*100000000</t>
  </si>
  <si>
    <t>685.2*100000000</t>
  </si>
  <si>
    <t>491.8*100000000</t>
  </si>
  <si>
    <t>241.8*100000000</t>
  </si>
  <si>
    <t>1015*100000000</t>
  </si>
  <si>
    <t>972.6*100000000</t>
  </si>
  <si>
    <t>679.4*100000000</t>
  </si>
  <si>
    <t>314.9*100000000</t>
  </si>
  <si>
    <t>1083*100000000</t>
  </si>
  <si>
    <t>937.4*100000000</t>
  </si>
  <si>
    <t>634.8*100000000</t>
  </si>
  <si>
    <t>299.9*100000000</t>
  </si>
  <si>
    <t>484.4*100000000</t>
  </si>
  <si>
    <t>369.9*100000000</t>
  </si>
  <si>
    <t>901.1*100000000</t>
  </si>
  <si>
    <t>683.3*100000000</t>
  </si>
  <si>
    <t>491.0*100000000</t>
  </si>
  <si>
    <t>240.1*100000000</t>
  </si>
  <si>
    <t>1005*100000000</t>
  </si>
  <si>
    <t>967.0*100000000</t>
  </si>
  <si>
    <t>678.7*100000000</t>
  </si>
  <si>
    <t>315.2*100000000</t>
  </si>
  <si>
    <t>850.3*100000000</t>
  </si>
  <si>
    <t>728.0*100000000</t>
  </si>
  <si>
    <t>485.3*100000000</t>
  </si>
  <si>
    <t>229.1*100000000</t>
  </si>
  <si>
    <t>421.0*100000000</t>
  </si>
  <si>
    <t>309.4*100000000</t>
  </si>
  <si>
    <t>721.7*100000000</t>
  </si>
  <si>
    <t>544.6*100000000</t>
  </si>
  <si>
    <t>389.6*100000000</t>
  </si>
  <si>
    <t>184.7*100000000</t>
  </si>
  <si>
    <t>802.9*100000000</t>
  </si>
  <si>
    <t>757.8*100000000</t>
  </si>
  <si>
    <t>532.8*100000000</t>
  </si>
  <si>
    <t>245.2*100000000</t>
  </si>
  <si>
    <t>1016*100000000</t>
  </si>
  <si>
    <t>785.0*100000000</t>
  </si>
  <si>
    <t>515.8*100000000</t>
  </si>
  <si>
    <t>212.5*100000000</t>
  </si>
  <si>
    <t>925.6*100000000</t>
  </si>
  <si>
    <t>653.5*100000000</t>
  </si>
  <si>
    <t>211.4*100000000</t>
  </si>
  <si>
    <t>1543*100000000</t>
  </si>
  <si>
    <t>1167*100000000</t>
  </si>
  <si>
    <t>729.4*100000000</t>
  </si>
  <si>
    <t>376.3*100000000</t>
  </si>
  <si>
    <t>1436*100000000</t>
  </si>
  <si>
    <t>1089*100000000</t>
  </si>
  <si>
    <t>675.6*100000000</t>
  </si>
  <si>
    <t>341.0*100000000</t>
  </si>
  <si>
    <t>32.02*100000000</t>
  </si>
  <si>
    <t>54.18*100000000</t>
  </si>
  <si>
    <t>20.79*100000000</t>
  </si>
  <si>
    <t>35.53*100000000</t>
  </si>
  <si>
    <t>40.09*100000000</t>
  </si>
  <si>
    <t>59.12*100000000</t>
  </si>
  <si>
    <t>28.47*100000000</t>
  </si>
  <si>
    <t>34.91*100000000</t>
  </si>
  <si>
    <t>40.70*100000000</t>
  </si>
  <si>
    <t>60.38*100000000</t>
  </si>
  <si>
    <t>24.00*100000000</t>
  </si>
  <si>
    <t>37.74*100000000</t>
  </si>
  <si>
    <t>44.87*100000000</t>
  </si>
  <si>
    <t>63.92*100000000</t>
  </si>
  <si>
    <t>31.01*100000000</t>
  </si>
  <si>
    <t>37.28*100000000</t>
  </si>
  <si>
    <t>30.95*100000000</t>
  </si>
  <si>
    <t>45.67*100000000</t>
  </si>
  <si>
    <t>17.12*100000000</t>
  </si>
  <si>
    <t>28.84*100000000</t>
  </si>
  <si>
    <t>34.56*100000000</t>
  </si>
  <si>
    <t>48.57*100000000</t>
  </si>
  <si>
    <t>24.05*100000000</t>
  </si>
  <si>
    <t>28.62*100000000</t>
  </si>
  <si>
    <t>765.2*100000000</t>
  </si>
  <si>
    <t>578.1*100000000</t>
  </si>
  <si>
    <t>377.2*100000000</t>
  </si>
  <si>
    <t>164.0*100000000</t>
  </si>
  <si>
    <t>543.8*100000000</t>
  </si>
  <si>
    <t>419.9*100000000</t>
  </si>
  <si>
    <t>128.5*100000000</t>
  </si>
  <si>
    <t>431.4*100000000</t>
  </si>
  <si>
    <t>327.7*100000000</t>
  </si>
  <si>
    <t>217.9*100000000</t>
  </si>
  <si>
    <t>105.2*100000000</t>
  </si>
  <si>
    <t>372.2*100000000</t>
  </si>
  <si>
    <t>272.1*100000000</t>
  </si>
  <si>
    <t>199.9*100000000</t>
  </si>
  <si>
    <t>97.12*100000000</t>
  </si>
  <si>
    <t>324.3*100000000</t>
  </si>
  <si>
    <t>238.8*100000000</t>
  </si>
  <si>
    <t>163.4*100000000</t>
  </si>
  <si>
    <t>68.36*100000000</t>
  </si>
  <si>
    <t>206.4*100000000</t>
  </si>
  <si>
    <t>169.8*100000000</t>
  </si>
  <si>
    <t>118.8*100000000</t>
  </si>
  <si>
    <t>55.33*100000000</t>
  </si>
  <si>
    <t>170.1*100000000</t>
  </si>
  <si>
    <t>144.5*100000000</t>
  </si>
  <si>
    <t>89.30*100000000</t>
  </si>
  <si>
    <t>57.36*100000000</t>
  </si>
  <si>
    <t>96.09*100000000</t>
  </si>
  <si>
    <t>73.64*100000000</t>
  </si>
  <si>
    <t>36.24*100000000</t>
  </si>
  <si>
    <t>318.9*100000000</t>
  </si>
  <si>
    <t>238.4*100000000</t>
  </si>
  <si>
    <t>162.9*100000000</t>
  </si>
  <si>
    <t>68.42*100000000</t>
  </si>
  <si>
    <t>204.7*100000000</t>
  </si>
  <si>
    <t>169.9*100000000</t>
  </si>
  <si>
    <t>89.32*100000000</t>
  </si>
  <si>
    <t>57.37*100000000</t>
  </si>
  <si>
    <t>96.37*100000000</t>
  </si>
  <si>
    <t>73.94*100000000</t>
  </si>
  <si>
    <t>36.44*100000000</t>
  </si>
  <si>
    <t>183.0*100000000</t>
  </si>
  <si>
    <t>125.9*100000000</t>
  </si>
  <si>
    <t>53.43*100000000</t>
  </si>
  <si>
    <t>155.2*100000000</t>
  </si>
  <si>
    <t>131.1*100000000</t>
  </si>
  <si>
    <t>92.20*100000000</t>
  </si>
  <si>
    <t>42.23*100000000</t>
  </si>
  <si>
    <t>126.5*100000000</t>
  </si>
  <si>
    <t>108.5*100000000</t>
  </si>
  <si>
    <t>66.64*100000000</t>
  </si>
  <si>
    <t>43.57*100000000</t>
  </si>
  <si>
    <t>98.76*100000000</t>
  </si>
  <si>
    <t>76.83*100000000</t>
  </si>
  <si>
    <t>58.23*100000000</t>
  </si>
  <si>
    <t>27.98*100000000</t>
  </si>
  <si>
    <t>29.77*100000000</t>
  </si>
  <si>
    <t>14.92*100000000</t>
  </si>
  <si>
    <t>7.206*100000000</t>
  </si>
  <si>
    <t>23.26*100000000</t>
  </si>
  <si>
    <t>15.18*100000000</t>
  </si>
  <si>
    <t>6.903*100000000</t>
  </si>
  <si>
    <t>2.215*100000000</t>
  </si>
  <si>
    <t>29.04*100000000</t>
  </si>
  <si>
    <t>20.90*100000000</t>
  </si>
  <si>
    <t>13.52*100000000</t>
  </si>
  <si>
    <t>6.704*100000000</t>
  </si>
  <si>
    <t>26.63*100000000</t>
  </si>
  <si>
    <t>19.70*100000000</t>
  </si>
  <si>
    <t>12.75*100000000</t>
  </si>
  <si>
    <t>6.239*100000000</t>
  </si>
  <si>
    <t>12.39*100000000</t>
  </si>
  <si>
    <t>8.478*100000000</t>
  </si>
  <si>
    <t>4.295*100000000</t>
  </si>
  <si>
    <t>9.938*100000000</t>
  </si>
  <si>
    <t>5.803*100000000</t>
  </si>
  <si>
    <t>1.010*100000000</t>
  </si>
  <si>
    <t>15.13*100000000</t>
  </si>
  <si>
    <t>11.50*100000000</t>
  </si>
  <si>
    <t>7.623*100000000</t>
  </si>
  <si>
    <t>3.627*100000000</t>
  </si>
  <si>
    <t>12.94*100000000</t>
  </si>
  <si>
    <t>6.768*100000000</t>
  </si>
  <si>
    <t>3.243*100000000</t>
  </si>
  <si>
    <t>14.48*100000000</t>
  </si>
  <si>
    <t>12.03*100000000</t>
  </si>
  <si>
    <t>8.080*100000000</t>
  </si>
  <si>
    <t>3.875*100000000</t>
  </si>
  <si>
    <t>7.884*100000000</t>
  </si>
  <si>
    <t>4.577*100000000</t>
  </si>
  <si>
    <t>5657*10000</t>
  </si>
  <si>
    <t>14.58*100000000</t>
  </si>
  <si>
    <t>11.53*100000000</t>
  </si>
  <si>
    <t>7.643*100000000</t>
  </si>
  <si>
    <t>3.635*100000000</t>
  </si>
  <si>
    <t>10.60*100000000</t>
  </si>
  <si>
    <t>6.835*100000000</t>
  </si>
  <si>
    <t>3.297*100000000</t>
  </si>
  <si>
    <t>10.57*100000000</t>
  </si>
  <si>
    <t>9.065*100000000</t>
  </si>
  <si>
    <t>6.142*100000000</t>
  </si>
  <si>
    <t>2.885*100000000</t>
  </si>
  <si>
    <t>5.783*100000000</t>
  </si>
  <si>
    <t>3.336*100000000</t>
  </si>
  <si>
    <t>3296*10000</t>
  </si>
  <si>
    <t>10.81*100000000</t>
  </si>
  <si>
    <t>8.631*100000000</t>
  </si>
  <si>
    <t>5.764*100000000</t>
  </si>
  <si>
    <t>2.646*100000000</t>
  </si>
  <si>
    <t>9.582*100000000</t>
  </si>
  <si>
    <t>7.843*100000000</t>
  </si>
  <si>
    <t>5.087*100000000</t>
  </si>
  <si>
    <t>2.410*100000000</t>
  </si>
  <si>
    <t>3313*100000000</t>
  </si>
  <si>
    <t>2514*100000000</t>
  </si>
  <si>
    <t>1687*100000000</t>
  </si>
  <si>
    <t>847.5*100000000</t>
  </si>
  <si>
    <t>2905*100000000</t>
  </si>
  <si>
    <t>2214*100000000</t>
  </si>
  <si>
    <t>1484*100000000</t>
  </si>
  <si>
    <t>766.0*100000000</t>
  </si>
  <si>
    <t>2697*100000000</t>
  </si>
  <si>
    <t>2077*100000000</t>
  </si>
  <si>
    <t>1383*100000000</t>
  </si>
  <si>
    <t>687.4*100000000</t>
  </si>
  <si>
    <t>2486*100000000</t>
  </si>
  <si>
    <t>1882*100000000</t>
  </si>
  <si>
    <t>1261*100000000</t>
  </si>
  <si>
    <t>613.0*100000000</t>
  </si>
  <si>
    <t>1480*100000000</t>
  </si>
  <si>
    <t>1166*100000000</t>
  </si>
  <si>
    <t>762.4*100000000</t>
  </si>
  <si>
    <t>400.0*100000000</t>
  </si>
  <si>
    <t>1226*100000000</t>
  </si>
  <si>
    <t>980.5*100000000</t>
  </si>
  <si>
    <t>630.3*100000000</t>
  </si>
  <si>
    <t>351.3*100000000</t>
  </si>
  <si>
    <t>1170*100000000</t>
  </si>
  <si>
    <t>986.6*100000000</t>
  </si>
  <si>
    <t>648.4*100000000</t>
  </si>
  <si>
    <t>330.5*100000000</t>
  </si>
  <si>
    <t>1066*100000000</t>
  </si>
  <si>
    <t>885.2*100000000</t>
  </si>
  <si>
    <t>589.9*100000000</t>
  </si>
  <si>
    <t>292.7*100000000</t>
  </si>
  <si>
    <t>1482*100000000</t>
  </si>
  <si>
    <t>763.2*100000000</t>
  </si>
  <si>
    <t>400.9*100000000</t>
  </si>
  <si>
    <t>1224*100000000</t>
  </si>
  <si>
    <t>979.1*100000000</t>
  </si>
  <si>
    <t>628.4*100000000</t>
  </si>
  <si>
    <t>349.0*100000000</t>
  </si>
  <si>
    <t>1171*100000000</t>
  </si>
  <si>
    <t>986.8*100000000</t>
  </si>
  <si>
    <t>648.7*100000000</t>
  </si>
  <si>
    <t>330.7*100000000</t>
  </si>
  <si>
    <t>1065*100000000</t>
  </si>
  <si>
    <t>885.8*100000000</t>
  </si>
  <si>
    <t>589.5*100000000</t>
  </si>
  <si>
    <t>292.9*100000000</t>
  </si>
  <si>
    <t>1208*100000000</t>
  </si>
  <si>
    <t>943.6*100000000</t>
  </si>
  <si>
    <t>616.5*100000000</t>
  </si>
  <si>
    <t>322.5*100000000</t>
  </si>
  <si>
    <t>979.6*100000000</t>
  </si>
  <si>
    <t>770.7*100000000</t>
  </si>
  <si>
    <t>500.8*100000000</t>
  </si>
  <si>
    <t>279.5*100000000</t>
  </si>
  <si>
    <t>934.2*100000000</t>
  </si>
  <si>
    <t>777.6*100000000</t>
  </si>
  <si>
    <t>508.6*100000000</t>
  </si>
  <si>
    <t>255.0*100000000</t>
  </si>
  <si>
    <t>808.2*100000000</t>
  </si>
  <si>
    <t>448.7*100000000</t>
  </si>
  <si>
    <t>227.1*100000000</t>
  </si>
  <si>
    <t>141.9*100000000</t>
  </si>
  <si>
    <t>93.92*100000000</t>
  </si>
  <si>
    <t>32.00*100000000</t>
  </si>
  <si>
    <t>196.5*100000000</t>
  </si>
  <si>
    <t>121.9*100000000</t>
  </si>
  <si>
    <t>76.77*100000000</t>
  </si>
  <si>
    <t>19.52*100000000</t>
  </si>
  <si>
    <t>158.0*100000000</t>
  </si>
  <si>
    <t>69.00*100000000</t>
  </si>
  <si>
    <t>23.87*100000000</t>
  </si>
  <si>
    <t>130.7*100000000</t>
  </si>
  <si>
    <t>81.86*100000000</t>
  </si>
  <si>
    <t>53.59*100000000</t>
  </si>
  <si>
    <t>21.41*100000000</t>
  </si>
  <si>
    <t>6.927*100000000</t>
  </si>
  <si>
    <t>4.465*100000000</t>
  </si>
  <si>
    <t>1.914*100000000</t>
  </si>
  <si>
    <t>8.418*100000000</t>
  </si>
  <si>
    <t>5.483*100000000</t>
  </si>
  <si>
    <t>3.319*100000000</t>
  </si>
  <si>
    <t>5963*10000</t>
  </si>
  <si>
    <t>6.740*100000000</t>
  </si>
  <si>
    <t>4.507*100000000</t>
  </si>
  <si>
    <t>2.717*100000000</t>
  </si>
  <si>
    <t>9256*10000</t>
  </si>
  <si>
    <t>5.910*100000000</t>
  </si>
  <si>
    <t>3.504*100000000</t>
  </si>
  <si>
    <t>2.048*100000000</t>
  </si>
  <si>
    <t>8885*10000</t>
  </si>
  <si>
    <t>10.15*100000000</t>
  </si>
  <si>
    <t>6.931*100000000</t>
  </si>
  <si>
    <t>4.469*100000000</t>
  </si>
  <si>
    <t>1.920*100000000</t>
  </si>
  <si>
    <t>8.340*100000000</t>
  </si>
  <si>
    <t>5.473*100000000</t>
  </si>
  <si>
    <t>3.317*100000000</t>
  </si>
  <si>
    <t>5944*10000</t>
  </si>
  <si>
    <t>6.795*100000000</t>
  </si>
  <si>
    <t>4.541*100000000</t>
  </si>
  <si>
    <t>2.727*100000000</t>
  </si>
  <si>
    <t>9263*10000</t>
  </si>
  <si>
    <t>5.948*100000000</t>
  </si>
  <si>
    <t>3.535*100000000</t>
  </si>
  <si>
    <t>2.062*100000000</t>
  </si>
  <si>
    <t>8960*10000</t>
  </si>
  <si>
    <t>9.135*100000000</t>
  </si>
  <si>
    <t>6.088*100000000</t>
  </si>
  <si>
    <t>3.753*100000000</t>
  </si>
  <si>
    <t>1.585*100000000</t>
  </si>
  <si>
    <t>7.579*100000000</t>
  </si>
  <si>
    <t>4.826*100000000</t>
  </si>
  <si>
    <t>2.934*100000000</t>
  </si>
  <si>
    <t>4859*10000</t>
  </si>
  <si>
    <t>5.883*100000000</t>
  </si>
  <si>
    <t>3.987*100000000</t>
  </si>
  <si>
    <t>2.351*100000000</t>
  </si>
  <si>
    <t>7469*10000</t>
  </si>
  <si>
    <t>5.103*100000000</t>
  </si>
  <si>
    <t>2.987*100000000</t>
  </si>
  <si>
    <t>1.730*100000000</t>
  </si>
  <si>
    <t>6809*10000</t>
  </si>
  <si>
    <t>850.5*100000000</t>
  </si>
  <si>
    <t>520.2*100000000</t>
  </si>
  <si>
    <t>325.2*100000000</t>
  </si>
  <si>
    <t>132.7*100000000</t>
  </si>
  <si>
    <t>645.6*100000000</t>
  </si>
  <si>
    <t>375.4*100000000</t>
  </si>
  <si>
    <t>198.4*100000000</t>
  </si>
  <si>
    <t>54.04*100000000</t>
  </si>
  <si>
    <t>527.3*100000000</t>
  </si>
  <si>
    <t>309.7*100000000</t>
  </si>
  <si>
    <t>176.3*100000000</t>
  </si>
  <si>
    <t>64.07*100000000</t>
  </si>
  <si>
    <t>400.2*100000000</t>
  </si>
  <si>
    <t>246.1*100000000</t>
  </si>
  <si>
    <t>154.7*100000000</t>
  </si>
  <si>
    <t>49.34*100000000</t>
  </si>
  <si>
    <t>67.81*100000000</t>
  </si>
  <si>
    <t>43.35*100000000</t>
  </si>
  <si>
    <t>30.42*100000000</t>
  </si>
  <si>
    <t>14.13*100000000</t>
  </si>
  <si>
    <t>36.83*100000000</t>
  </si>
  <si>
    <t>21.62*100000000</t>
  </si>
  <si>
    <t>12.70*100000000</t>
  </si>
  <si>
    <t>3.462*100000000</t>
  </si>
  <si>
    <t>21.03*100000000</t>
  </si>
  <si>
    <t>10.05*100000000</t>
  </si>
  <si>
    <t>9.121*100000000</t>
  </si>
  <si>
    <t>4.223*100000000</t>
  </si>
  <si>
    <t>14.70*100000000</t>
  </si>
  <si>
    <t>7.178*100000000</t>
  </si>
  <si>
    <t>5.878*100000000</t>
  </si>
  <si>
    <t>1.434*100000000</t>
  </si>
  <si>
    <t>68.48*100000000</t>
  </si>
  <si>
    <t>43.51*100000000</t>
  </si>
  <si>
    <t>30.59*100000000</t>
  </si>
  <si>
    <t>14.24*100000000</t>
  </si>
  <si>
    <t>36.68*100000000</t>
  </si>
  <si>
    <t>21.72*100000000</t>
  </si>
  <si>
    <t>12.74*100000000</t>
  </si>
  <si>
    <t>3.486*100000000</t>
  </si>
  <si>
    <t>10.33*100000000</t>
  </si>
  <si>
    <t>9.294*100000000</t>
  </si>
  <si>
    <t>4.216*100000000</t>
  </si>
  <si>
    <t>14.86*100000000</t>
  </si>
  <si>
    <t>6.928*100000000</t>
  </si>
  <si>
    <t>5.984*100000000</t>
  </si>
  <si>
    <t>1.444*100000000</t>
  </si>
  <si>
    <t>56.94*100000000</t>
  </si>
  <si>
    <t>36.13*100000000</t>
  </si>
  <si>
    <t>25.55*100000000</t>
  </si>
  <si>
    <t>11.97*100000000</t>
  </si>
  <si>
    <t>30.36*100000000</t>
  </si>
  <si>
    <t>17.65*100000000</t>
  </si>
  <si>
    <t>10.03*100000000</t>
  </si>
  <si>
    <t>2.841*100000000</t>
  </si>
  <si>
    <t>16.98*100000000</t>
  </si>
  <si>
    <t>8.563*100000000</t>
  </si>
  <si>
    <t>7.702*100000000</t>
  </si>
  <si>
    <t>3.547*100000000</t>
  </si>
  <si>
    <t>12.07*100000000</t>
  </si>
  <si>
    <t>5.725*100000000</t>
  </si>
  <si>
    <t>4.945*100000000</t>
  </si>
  <si>
    <t>1.189*100000000</t>
  </si>
  <si>
    <t>3279*100000000</t>
  </si>
  <si>
    <t>2445*100000000</t>
  </si>
  <si>
    <t>1642*100000000</t>
  </si>
  <si>
    <t>822.7*100000000</t>
  </si>
  <si>
    <t>3038*100000000</t>
  </si>
  <si>
    <t>2254*100000000</t>
  </si>
  <si>
    <t>1504*100000000</t>
  </si>
  <si>
    <t>738.2*100000000</t>
  </si>
  <si>
    <t>2171*100000000</t>
  </si>
  <si>
    <t>731.5*100000000</t>
  </si>
  <si>
    <t>2909*100000000</t>
  </si>
  <si>
    <t>2197*100000000</t>
  </si>
  <si>
    <t>1491*100000000</t>
  </si>
  <si>
    <t>749.4*100000000</t>
  </si>
  <si>
    <t>177.0*100000000</t>
  </si>
  <si>
    <t>155.6*100000000</t>
  </si>
  <si>
    <t>46.04*100000000</t>
  </si>
  <si>
    <t>155.9*100000000</t>
  </si>
  <si>
    <t>136.9*100000000</t>
  </si>
  <si>
    <t>97.51*100000000</t>
  </si>
  <si>
    <t>39.24*100000000</t>
  </si>
  <si>
    <t>134.4*100000000</t>
  </si>
  <si>
    <t>118.3*100000000</t>
  </si>
  <si>
    <t>83.43*100000000</t>
  </si>
  <si>
    <t>47.12*100000000</t>
  </si>
  <si>
    <t>119.2*100000000</t>
  </si>
  <si>
    <t>107.2*100000000</t>
  </si>
  <si>
    <t>77.90*100000000</t>
  </si>
  <si>
    <t>38.44*100000000</t>
  </si>
  <si>
    <t>178.1*100000000</t>
  </si>
  <si>
    <t>112.4*100000000</t>
  </si>
  <si>
    <t>46.99*100000000</t>
  </si>
  <si>
    <t>159.6*100000000</t>
  </si>
  <si>
    <t>97.02*100000000</t>
  </si>
  <si>
    <t>40.85*100000000</t>
  </si>
  <si>
    <t>140.4*100000000</t>
  </si>
  <si>
    <t>122.3*100000000</t>
  </si>
  <si>
    <t>86.51*100000000</t>
  </si>
  <si>
    <t>47.84*100000000</t>
  </si>
  <si>
    <t>120.8*100000000</t>
  </si>
  <si>
    <t>105.5*100000000</t>
  </si>
  <si>
    <t>77.37*100000000</t>
  </si>
  <si>
    <t>39.78*100000000</t>
  </si>
  <si>
    <t>129.3*100000000</t>
  </si>
  <si>
    <t>91.72*100000000</t>
  </si>
  <si>
    <t>38.39*100000000</t>
  </si>
  <si>
    <t>125.2*100000000</t>
  </si>
  <si>
    <t>108.4*100000000</t>
  </si>
  <si>
    <t>75.78*100000000</t>
  </si>
  <si>
    <t>31.63*100000000</t>
  </si>
  <si>
    <t>112.6*100000000</t>
  </si>
  <si>
    <t>68.16*100000000</t>
  </si>
  <si>
    <t>93.01*100000000</t>
  </si>
  <si>
    <t>79.06*100000000</t>
  </si>
  <si>
    <t>58.92*100000000</t>
  </si>
  <si>
    <t>29.85*100000000</t>
  </si>
  <si>
    <t>37.26*100000000</t>
  </si>
  <si>
    <t>10.38*100000000</t>
  </si>
  <si>
    <t>5.100*100000000</t>
  </si>
  <si>
    <t>49.14*100000000</t>
  </si>
  <si>
    <t>34.39*100000000</t>
  </si>
  <si>
    <t>20.49*100000000</t>
  </si>
  <si>
    <t>13.87*100000000</t>
  </si>
  <si>
    <t>38.74*100000000</t>
  </si>
  <si>
    <t>25.79*100000000</t>
  </si>
  <si>
    <t>16.64*100000000</t>
  </si>
  <si>
    <t>7.617*100000000</t>
  </si>
  <si>
    <t>40.40*100000000</t>
  </si>
  <si>
    <t>30.84*100000000</t>
  </si>
  <si>
    <t>21.49*100000000</t>
  </si>
  <si>
    <t>7.440*100000000</t>
  </si>
  <si>
    <t>5.459*100000000</t>
  </si>
  <si>
    <t>1.047*100000000</t>
  </si>
  <si>
    <t>5787*10000</t>
  </si>
  <si>
    <t>2490*10000</t>
  </si>
  <si>
    <t>7.665*100000000</t>
  </si>
  <si>
    <t>3.897*100000000</t>
  </si>
  <si>
    <t>2.992*100000000</t>
  </si>
  <si>
    <t>3.215*100000000</t>
  </si>
  <si>
    <t>2231*10000</t>
  </si>
  <si>
    <t>5224*10000</t>
  </si>
  <si>
    <t>2383*10000</t>
  </si>
  <si>
    <t>1.593*100000000</t>
  </si>
  <si>
    <t>9262*10000</t>
  </si>
  <si>
    <t>1377*10000</t>
  </si>
  <si>
    <t>5.496*100000000</t>
  </si>
  <si>
    <t>1.052*100000000</t>
  </si>
  <si>
    <t>5796*10000</t>
  </si>
  <si>
    <t>2511*10000</t>
  </si>
  <si>
    <t>7.673*100000000</t>
  </si>
  <si>
    <t>5.838*100000000</t>
  </si>
  <si>
    <t>3.866*100000000</t>
  </si>
  <si>
    <t>2.978*100000000</t>
  </si>
  <si>
    <t>3.273*100000000</t>
  </si>
  <si>
    <t>2803*10000</t>
  </si>
  <si>
    <t>5819*10000</t>
  </si>
  <si>
    <t>2977*10000</t>
  </si>
  <si>
    <t>4.874*100000000</t>
  </si>
  <si>
    <t>1.604*100000000</t>
  </si>
  <si>
    <t>9341*10000</t>
  </si>
  <si>
    <t>1403*10000</t>
  </si>
  <si>
    <t>4.241*100000000</t>
  </si>
  <si>
    <t>9442*10000</t>
  </si>
  <si>
    <t>3579*10000</t>
  </si>
  <si>
    <t>1813*10000</t>
  </si>
  <si>
    <t>5.020*100000000</t>
  </si>
  <si>
    <t>4.261*100000000</t>
  </si>
  <si>
    <t>2.968*100000000</t>
  </si>
  <si>
    <t>2.766*100000000</t>
  </si>
  <si>
    <t>2.954*100000000</t>
  </si>
  <si>
    <t>2625*10000</t>
  </si>
  <si>
    <t>4830*10000</t>
  </si>
  <si>
    <t>789.7*10000</t>
  </si>
  <si>
    <t>3.664*100000000</t>
  </si>
  <si>
    <t>9443*10000</t>
  </si>
  <si>
    <t>7195*10000</t>
  </si>
  <si>
    <t>881.6*10000</t>
  </si>
  <si>
    <t>875.1*100000000</t>
  </si>
  <si>
    <t>660.4*100000000</t>
  </si>
  <si>
    <t>441.8*100000000</t>
  </si>
  <si>
    <t>166.3*100000000</t>
  </si>
  <si>
    <t>673.2*100000000</t>
  </si>
  <si>
    <t>488.8*100000000</t>
  </si>
  <si>
    <t>279.2*100000000</t>
  </si>
  <si>
    <t>89.49*100000000</t>
  </si>
  <si>
    <t>622.5*100000000</t>
  </si>
  <si>
    <t>441.9*100000000</t>
  </si>
  <si>
    <t>272.4*100000000</t>
  </si>
  <si>
    <t>117.1*100000000</t>
  </si>
  <si>
    <t>565.3*100000000</t>
  </si>
  <si>
    <t>396.6*100000000</t>
  </si>
  <si>
    <t>255.8*100000000</t>
  </si>
  <si>
    <t>104.8*100000000</t>
  </si>
  <si>
    <t>8.101*100000000</t>
  </si>
  <si>
    <t>6.245*100000000</t>
  </si>
  <si>
    <t>1.275*100000000</t>
  </si>
  <si>
    <t>4.366*100000000</t>
  </si>
  <si>
    <t>3.170*100000000</t>
  </si>
  <si>
    <t>1.810*100000000</t>
  </si>
  <si>
    <t>2.188*100000000</t>
  </si>
  <si>
    <t>1.781*100000000</t>
  </si>
  <si>
    <t>1.731*100000000</t>
  </si>
  <si>
    <t>3782*10000</t>
  </si>
  <si>
    <t>1103*10000</t>
  </si>
  <si>
    <t>7.861*100000000</t>
  </si>
  <si>
    <t>6.133*100000000</t>
  </si>
  <si>
    <t>4.853*100000000</t>
  </si>
  <si>
    <t>1.242*100000000</t>
  </si>
  <si>
    <t>4.536*100000000</t>
  </si>
  <si>
    <t>3.401*100000000</t>
  </si>
  <si>
    <t>2.089*100000000</t>
  </si>
  <si>
    <t>2.658*100000000</t>
  </si>
  <si>
    <t>2.154*100000000</t>
  </si>
  <si>
    <t>1.556*100000000</t>
  </si>
  <si>
    <t>3801*10000</t>
  </si>
  <si>
    <t>1588*10000</t>
  </si>
  <si>
    <t>4.880*100000000</t>
  </si>
  <si>
    <t>3.587*100000000</t>
  </si>
  <si>
    <t>2.988*100000000</t>
  </si>
  <si>
    <t>8995*10000</t>
  </si>
  <si>
    <t>2.649*100000000</t>
  </si>
  <si>
    <t>2.458*100000000</t>
  </si>
  <si>
    <t>1.479*100000000</t>
  </si>
  <si>
    <t>1.702*100000000</t>
  </si>
  <si>
    <t>1.354*100000000</t>
  </si>
  <si>
    <t>8744*10000</t>
  </si>
  <si>
    <t>2098*10000</t>
  </si>
  <si>
    <t>1426*10000</t>
  </si>
  <si>
    <t>11.91*100000000</t>
  </si>
  <si>
    <t>8.686*100000000</t>
  </si>
  <si>
    <t>6.043*100000000</t>
  </si>
  <si>
    <t>1.617*100000000</t>
  </si>
  <si>
    <t>9.597*100000000</t>
  </si>
  <si>
    <t>3.225*100000000</t>
  </si>
  <si>
    <t>2.305*100000000</t>
  </si>
  <si>
    <t>8021*10000</t>
  </si>
  <si>
    <t>6.681*100000000</t>
  </si>
  <si>
    <t>6.196*100000000</t>
  </si>
  <si>
    <t>4.876*100000000</t>
  </si>
  <si>
    <t>3.038*100000000</t>
  </si>
  <si>
    <t>23.64*100000000</t>
  </si>
  <si>
    <t>20.28*100000000</t>
  </si>
  <si>
    <t>6.438*100000000</t>
  </si>
  <si>
    <t>2.806*100000000</t>
  </si>
  <si>
    <t>67.52*100000000</t>
  </si>
  <si>
    <t>57.34*100000000</t>
  </si>
  <si>
    <t>39.27*100000000</t>
  </si>
  <si>
    <t>16.28*100000000</t>
  </si>
  <si>
    <t>61.18*100000000</t>
  </si>
  <si>
    <t>53.18*100000000</t>
  </si>
  <si>
    <t>34.45*100000000</t>
  </si>
  <si>
    <t>9.967*100000000</t>
  </si>
  <si>
    <t>47.26*100000000</t>
  </si>
  <si>
    <t>38.18*100000000</t>
  </si>
  <si>
    <t>26.01*100000000</t>
  </si>
  <si>
    <t>18.02*100000000</t>
  </si>
  <si>
    <t>27.43*100000000</t>
  </si>
  <si>
    <t>18.18*100000000</t>
  </si>
  <si>
    <t>13.97*100000000</t>
  </si>
  <si>
    <t>7.846*100000000</t>
  </si>
  <si>
    <t>67.17*100000000</t>
  </si>
  <si>
    <t>57.10*100000000</t>
  </si>
  <si>
    <t>39.04*100000000</t>
  </si>
  <si>
    <t>16.19*100000000</t>
  </si>
  <si>
    <t>61.03*100000000</t>
  </si>
  <si>
    <t>52.97*100000000</t>
  </si>
  <si>
    <t>34.25*100000000</t>
  </si>
  <si>
    <t>9.828*100000000</t>
  </si>
  <si>
    <t>47.15*100000000</t>
  </si>
  <si>
    <t>37.80*100000000</t>
  </si>
  <si>
    <t>25.96*100000000</t>
  </si>
  <si>
    <t>17.97*100000000</t>
  </si>
  <si>
    <t>27.35*100000000</t>
  </si>
  <si>
    <t>18.22*100000000</t>
  </si>
  <si>
    <t>13.93*100000000</t>
  </si>
  <si>
    <t>7.838*100000000</t>
  </si>
  <si>
    <t>53.08*100000000</t>
  </si>
  <si>
    <t>43.68*100000000</t>
  </si>
  <si>
    <t>30.14*100000000</t>
  </si>
  <si>
    <t>12.04*100000000</t>
  </si>
  <si>
    <t>47.06*100000000</t>
  </si>
  <si>
    <t>25.76*100000000</t>
  </si>
  <si>
    <t>7.179*100000000</t>
  </si>
  <si>
    <t>35.00*100000000</t>
  </si>
  <si>
    <t>28.10*100000000</t>
  </si>
  <si>
    <t>19.36*100000000</t>
  </si>
  <si>
    <t>13.49*100000000</t>
  </si>
  <si>
    <t>20.25*100000000</t>
  </si>
  <si>
    <t>13.06*100000000</t>
  </si>
  <si>
    <t>9.840*100000000</t>
  </si>
  <si>
    <t>5.705*100000000</t>
  </si>
  <si>
    <t>91.12*100000000</t>
  </si>
  <si>
    <t>68.75*100000000</t>
  </si>
  <si>
    <t>46.30*100000000</t>
  </si>
  <si>
    <t>24.08*100000000</t>
  </si>
  <si>
    <t>85.04*100000000</t>
  </si>
  <si>
    <t>63.74*100000000</t>
  </si>
  <si>
    <t>41.47*100000000</t>
  </si>
  <si>
    <t>21.82*100000000</t>
  </si>
  <si>
    <t>93.81*100000000</t>
  </si>
  <si>
    <t>74.07*100000000</t>
  </si>
  <si>
    <t>48.66*100000000</t>
  </si>
  <si>
    <t>26.33*100000000</t>
  </si>
  <si>
    <t>82.25*100000000</t>
  </si>
  <si>
    <t>63.10*100000000</t>
  </si>
  <si>
    <t>40.88*100000000</t>
  </si>
  <si>
    <t>21.38*100000000</t>
  </si>
  <si>
    <t>11.37*100000000</t>
  </si>
  <si>
    <t>10.93*100000000</t>
  </si>
  <si>
    <t>7.299*100000000</t>
  </si>
  <si>
    <t>3.585*100000000</t>
  </si>
  <si>
    <t>12.29*100000000</t>
  </si>
  <si>
    <t>10.58*100000000</t>
  </si>
  <si>
    <t>6.703*100000000</t>
  </si>
  <si>
    <t>3.414*100000000</t>
  </si>
  <si>
    <t>12.62*100000000</t>
  </si>
  <si>
    <t>10.96*100000000</t>
  </si>
  <si>
    <t>4.024*100000000</t>
  </si>
  <si>
    <t>11.89*100000000</t>
  </si>
  <si>
    <t>10.21*100000000</t>
  </si>
  <si>
    <t>7.165*100000000</t>
  </si>
  <si>
    <t>3.703*100000000</t>
  </si>
  <si>
    <t>11.21*100000000</t>
  </si>
  <si>
    <t>7.303*100000000</t>
  </si>
  <si>
    <t>3.605*100000000</t>
  </si>
  <si>
    <t>12.15*100000000</t>
  </si>
  <si>
    <t>10.44*100000000</t>
  </si>
  <si>
    <t>6.612*100000000</t>
  </si>
  <si>
    <t>3.344*100000000</t>
  </si>
  <si>
    <t>7.600*100000000</t>
  </si>
  <si>
    <t>4.009*100000000</t>
  </si>
  <si>
    <t>11.84*100000000</t>
  </si>
  <si>
    <t>10.23*100000000</t>
  </si>
  <si>
    <t>7.167*100000000</t>
  </si>
  <si>
    <t>9.721*100000000</t>
  </si>
  <si>
    <t>9.242*100000000</t>
  </si>
  <si>
    <t>6.226*100000000</t>
  </si>
  <si>
    <t>2.972*100000000</t>
  </si>
  <si>
    <t>10.13*100000000</t>
  </si>
  <si>
    <t>8.819*100000000</t>
  </si>
  <si>
    <t>5.604*100000000</t>
  </si>
  <si>
    <t>2.764*100000000</t>
  </si>
  <si>
    <t>10.66*100000000</t>
  </si>
  <si>
    <t>9.304*100000000</t>
  </si>
  <si>
    <t>6.462*100000000</t>
  </si>
  <si>
    <t>3.325*100000000</t>
  </si>
  <si>
    <t>9.895*100000000</t>
  </si>
  <si>
    <t>8.636*100000000</t>
  </si>
  <si>
    <t>6.026*100000000</t>
  </si>
  <si>
    <t>3.129*100000000</t>
  </si>
  <si>
    <t>81.03*100000000</t>
  </si>
  <si>
    <t>61.86*100000000</t>
  </si>
  <si>
    <t>37.53*100000000</t>
  </si>
  <si>
    <t>17.00*100000000</t>
  </si>
  <si>
    <t>70.54*100000000</t>
  </si>
  <si>
    <t>46.53*100000000</t>
  </si>
  <si>
    <t>26.93*100000000</t>
  </si>
  <si>
    <t>63.56*100000000</t>
  </si>
  <si>
    <t>48.88*100000000</t>
  </si>
  <si>
    <t>30.92*100000000</t>
  </si>
  <si>
    <t>14.38*100000000</t>
  </si>
  <si>
    <t>58.57*100000000</t>
  </si>
  <si>
    <t>43.74*100000000</t>
  </si>
  <si>
    <t>27.97*100000000</t>
  </si>
  <si>
    <t>12.09*100000000</t>
  </si>
  <si>
    <t>11.71*100000000</t>
  </si>
  <si>
    <t>8.492*100000000</t>
  </si>
  <si>
    <t>5.599*100000000</t>
  </si>
  <si>
    <t>1.544*100000000</t>
  </si>
  <si>
    <t>6.970*100000000</t>
  </si>
  <si>
    <t>4.281*100000000</t>
  </si>
  <si>
    <t>2.575*100000000</t>
  </si>
  <si>
    <t>6356*10000</t>
  </si>
  <si>
    <t>4.314*100000000</t>
  </si>
  <si>
    <t>3.529*100000000</t>
  </si>
  <si>
    <t>2.072*100000000</t>
  </si>
  <si>
    <t>6012*10000</t>
  </si>
  <si>
    <t>1.549*100000000</t>
  </si>
  <si>
    <t>1.587*100000000</t>
  </si>
  <si>
    <t>9970*10000</t>
  </si>
  <si>
    <t>2872*10000</t>
  </si>
  <si>
    <t>8.362*100000000</t>
  </si>
  <si>
    <t>5.555*100000000</t>
  </si>
  <si>
    <t>1.501*100000000</t>
  </si>
  <si>
    <t>6.881*100000000</t>
  </si>
  <si>
    <t>4.156*100000000</t>
  </si>
  <si>
    <t>2.456*100000000</t>
  </si>
  <si>
    <t>5831*10000</t>
  </si>
  <si>
    <t>4.330*100000000</t>
  </si>
  <si>
    <t>3.497*100000000</t>
  </si>
  <si>
    <t>5827*10000</t>
  </si>
  <si>
    <t>1.498*100000000</t>
  </si>
  <si>
    <t>1.625*100000000</t>
  </si>
  <si>
    <t>1.042*100000000</t>
  </si>
  <si>
    <t>2901*10000</t>
  </si>
  <si>
    <t>9.780*100000000</t>
  </si>
  <si>
    <t>7.207*100000000</t>
  </si>
  <si>
    <t>4.797*100000000</t>
  </si>
  <si>
    <t>1.290*100000000</t>
  </si>
  <si>
    <t>6.112*100000000</t>
  </si>
  <si>
    <t>3.637*100000000</t>
  </si>
  <si>
    <t>2.115*100000000</t>
  </si>
  <si>
    <t>4888*10000</t>
  </si>
  <si>
    <t>3.850*100000000</t>
  </si>
  <si>
    <t>3.011*100000000</t>
  </si>
  <si>
    <t>1.762*100000000</t>
  </si>
  <si>
    <t>4686*10000</t>
  </si>
  <si>
    <t>1.301*100000000</t>
  </si>
  <si>
    <t>1.381*100000000</t>
  </si>
  <si>
    <t>8803*10000</t>
  </si>
  <si>
    <t>2163*10000</t>
  </si>
  <si>
    <t>232.3*100000000</t>
  </si>
  <si>
    <t>156.6*100000000</t>
  </si>
  <si>
    <t>98.06*100000000</t>
  </si>
  <si>
    <t>217.1*100000000</t>
  </si>
  <si>
    <t>136.1*100000000</t>
  </si>
  <si>
    <t>76.11*100000000</t>
  </si>
  <si>
    <t>28.14*100000000</t>
  </si>
  <si>
    <t>304.9*100000000</t>
  </si>
  <si>
    <t>208.7*100000000</t>
  </si>
  <si>
    <t>125.1*100000000</t>
  </si>
  <si>
    <t>48.39*100000000</t>
  </si>
  <si>
    <t>317.5*100000000</t>
  </si>
  <si>
    <t>193.7*100000000</t>
  </si>
  <si>
    <t>120.2*100000000</t>
  </si>
  <si>
    <t>46.59*100000000</t>
  </si>
  <si>
    <t>5.350*100000000</t>
  </si>
  <si>
    <t>2.339*100000000</t>
  </si>
  <si>
    <t>6608*10000</t>
  </si>
  <si>
    <t>3.040*100000000</t>
  </si>
  <si>
    <t>1.813*100000000</t>
  </si>
  <si>
    <t>9143*10000</t>
  </si>
  <si>
    <t>20.22*100000000</t>
  </si>
  <si>
    <t>14.57*100000000</t>
  </si>
  <si>
    <t>7.663*100000000</t>
  </si>
  <si>
    <t>3.704*100000000</t>
  </si>
  <si>
    <t>24.68*100000000</t>
  </si>
  <si>
    <t>7.268*100000000</t>
  </si>
  <si>
    <t>3.615*100000000</t>
  </si>
  <si>
    <t>5.435*100000000</t>
  </si>
  <si>
    <t>1.881*100000000</t>
  </si>
  <si>
    <t>8454*10000</t>
  </si>
  <si>
    <t>3.477*100000000</t>
  </si>
  <si>
    <t>1.619*100000000</t>
  </si>
  <si>
    <t>6836*10000</t>
  </si>
  <si>
    <t>20.87*100000000</t>
  </si>
  <si>
    <t>15.00*100000000</t>
  </si>
  <si>
    <t>7.969*100000000</t>
  </si>
  <si>
    <t>3.763*100000000</t>
  </si>
  <si>
    <t>7.435*100000000</t>
  </si>
  <si>
    <t>3.700*100000000</t>
  </si>
  <si>
    <t>6.255*100000000</t>
  </si>
  <si>
    <t>1.452*100000000</t>
  </si>
  <si>
    <t>5.181*100000000</t>
  </si>
  <si>
    <t>1.671*100000000</t>
  </si>
  <si>
    <t>6795*10000</t>
  </si>
  <si>
    <t>19.65*100000000</t>
  </si>
  <si>
    <t>13.48*100000000</t>
  </si>
  <si>
    <t>6.935*100000000</t>
  </si>
  <si>
    <t>3.143*100000000</t>
  </si>
  <si>
    <t>23.28*100000000</t>
  </si>
  <si>
    <t>12.12*100000000</t>
  </si>
  <si>
    <t>6.266*100000000</t>
  </si>
  <si>
    <t>2.980*100000000</t>
  </si>
  <si>
    <t>94.57*100000000</t>
  </si>
  <si>
    <t>64.02*100000000</t>
  </si>
  <si>
    <t>44.28*100000000</t>
  </si>
  <si>
    <t>21.21*100000000</t>
  </si>
  <si>
    <t>56.03*100000000</t>
  </si>
  <si>
    <t>23.43*100000000</t>
  </si>
  <si>
    <t>8.521*100000000</t>
  </si>
  <si>
    <t>77.87*100000000</t>
  </si>
  <si>
    <t>52.64*100000000</t>
  </si>
  <si>
    <t>37.17*100000000</t>
  </si>
  <si>
    <t>16.80*100000000</t>
  </si>
  <si>
    <t>81.09*100000000</t>
  </si>
  <si>
    <t>49.38*100000000</t>
  </si>
  <si>
    <t>30.34*100000000</t>
  </si>
  <si>
    <t>11.67*100000000</t>
  </si>
  <si>
    <t>1.666*100000000</t>
  </si>
  <si>
    <t>1.876*100000000</t>
  </si>
  <si>
    <t>7297*10000</t>
  </si>
  <si>
    <t>7.484*100000000</t>
  </si>
  <si>
    <t>6.680*100000000</t>
  </si>
  <si>
    <t>9.157*100000000</t>
  </si>
  <si>
    <t>5.284*100000000</t>
  </si>
  <si>
    <t>4.306*100000000</t>
  </si>
  <si>
    <t>1.843*100000000</t>
  </si>
  <si>
    <t>13.07*100000000</t>
  </si>
  <si>
    <t>6.448*100000000</t>
  </si>
  <si>
    <t>2.933*100000000</t>
  </si>
  <si>
    <t>1.667*100000000</t>
  </si>
  <si>
    <t>1.877*100000000</t>
  </si>
  <si>
    <t>7322*10000</t>
  </si>
  <si>
    <t>7.467*100000000</t>
  </si>
  <si>
    <t>6.639*100000000</t>
  </si>
  <si>
    <t>9.171*100000000</t>
  </si>
  <si>
    <t>5.291*100000000</t>
  </si>
  <si>
    <t>4.311*100000000</t>
  </si>
  <si>
    <t>1.846*100000000</t>
  </si>
  <si>
    <t>13.15*100000000</t>
  </si>
  <si>
    <t>6.555*100000000</t>
  </si>
  <si>
    <t>3.053*100000000</t>
  </si>
  <si>
    <t>86.68*10000</t>
  </si>
  <si>
    <t>5957*10000</t>
  </si>
  <si>
    <t>1.038*100000000</t>
  </si>
  <si>
    <t>3347*10000</t>
  </si>
  <si>
    <t>4.137*100000000</t>
  </si>
  <si>
    <t>5.351*100000000</t>
  </si>
  <si>
    <t>2.940*100000000</t>
  </si>
  <si>
    <t>2.582*100000000</t>
  </si>
  <si>
    <t>9400*10000</t>
  </si>
  <si>
    <t>8.713*100000000</t>
  </si>
  <si>
    <t>4.117*100000000</t>
  </si>
  <si>
    <t>1.795*100000000</t>
  </si>
  <si>
    <t>15.93*100000000</t>
  </si>
  <si>
    <t>11.35*100000000</t>
  </si>
  <si>
    <t>7.310*100000000</t>
  </si>
  <si>
    <t>3.445*100000000</t>
  </si>
  <si>
    <t>12.73*100000000</t>
  </si>
  <si>
    <t>8.413*100000000</t>
  </si>
  <si>
    <t>4.844*100000000</t>
  </si>
  <si>
    <t>2.006*100000000</t>
  </si>
  <si>
    <t>11.28*100000000</t>
  </si>
  <si>
    <t>7.961*100000000</t>
  </si>
  <si>
    <t>2.246*100000000</t>
  </si>
  <si>
    <t>11.17*100000000</t>
  </si>
  <si>
    <t>5.616*100000000</t>
  </si>
  <si>
    <t>3.631*100000000</t>
  </si>
  <si>
    <t>1.797*100000000</t>
  </si>
  <si>
    <t>502.2*10000</t>
  </si>
  <si>
    <t>923.5*10000</t>
  </si>
  <si>
    <t>481.6*10000</t>
  </si>
  <si>
    <t>335.4*10000</t>
  </si>
  <si>
    <t>2318*10000</t>
  </si>
  <si>
    <t>213.9*10000</t>
  </si>
  <si>
    <t>111.5*10000</t>
  </si>
  <si>
    <t>123.4*10000</t>
  </si>
  <si>
    <t>619.6*10000</t>
  </si>
  <si>
    <t>964.9*10000</t>
  </si>
  <si>
    <t>474.9*10000</t>
  </si>
  <si>
    <t>1397*10000</t>
  </si>
  <si>
    <t>36.35*10000</t>
  </si>
  <si>
    <t>2764*10000</t>
  </si>
  <si>
    <t>23.03*10000</t>
  </si>
  <si>
    <t>243.5*10000</t>
  </si>
  <si>
    <t>142.0*10000</t>
  </si>
  <si>
    <t>154.6*10000</t>
  </si>
  <si>
    <t>618.4*10000</t>
  </si>
  <si>
    <t>963.7*10000</t>
  </si>
  <si>
    <t>1455*10000</t>
  </si>
  <si>
    <t>2232*10000</t>
  </si>
  <si>
    <t>18.40*10000</t>
  </si>
  <si>
    <t>236.2*100000000</t>
  </si>
  <si>
    <t>174.1*100000000</t>
  </si>
  <si>
    <t>128.3*100000000</t>
  </si>
  <si>
    <t>67.60*100000000</t>
  </si>
  <si>
    <t>238.7*100000000</t>
  </si>
  <si>
    <t>179.5*100000000</t>
  </si>
  <si>
    <t>129.7*100000000</t>
  </si>
  <si>
    <t>64.86*100000000</t>
  </si>
  <si>
    <t>234.0*100000000</t>
  </si>
  <si>
    <t>177.2*100000000</t>
  </si>
  <si>
    <t>128.7*100000000</t>
  </si>
  <si>
    <t>65.43*100000000</t>
  </si>
  <si>
    <t>222.0*100000000</t>
  </si>
  <si>
    <t>168.2*100000000</t>
  </si>
  <si>
    <t>62.61*100000000</t>
  </si>
  <si>
    <t>1.553*100000000</t>
  </si>
  <si>
    <t>5.355*100000000</t>
  </si>
  <si>
    <t>6.373*100000000</t>
  </si>
  <si>
    <t>3.365*100000000</t>
  </si>
  <si>
    <t>10.42*100000000</t>
  </si>
  <si>
    <t>9.528*100000000</t>
  </si>
  <si>
    <t>8.491*100000000</t>
  </si>
  <si>
    <t>3.569*100000000</t>
  </si>
  <si>
    <t>7.379*100000000</t>
  </si>
  <si>
    <t>6.199*100000000</t>
  </si>
  <si>
    <t>5.831*100000000</t>
  </si>
  <si>
    <t>3.214*100000000</t>
  </si>
  <si>
    <t>4.984*100000000</t>
  </si>
  <si>
    <t>4.338*100000000</t>
  </si>
  <si>
    <t>4.829*100000000</t>
  </si>
  <si>
    <t>2.568*100000000</t>
  </si>
  <si>
    <t>1.326*100000000</t>
  </si>
  <si>
    <t>5.174*100000000</t>
  </si>
  <si>
    <t>6.250*100000000</t>
  </si>
  <si>
    <t>3.310*100000000</t>
  </si>
  <si>
    <t>8.358*100000000</t>
  </si>
  <si>
    <t>3.537*100000000</t>
  </si>
  <si>
    <t>7.153*100000000</t>
  </si>
  <si>
    <t>6.151*100000000</t>
  </si>
  <si>
    <t>3.222*100000000</t>
  </si>
  <si>
    <t>5.031*100000000</t>
  </si>
  <si>
    <t>4.439*100000000</t>
  </si>
  <si>
    <t>4.911*100000000</t>
  </si>
  <si>
    <t>2.588*100000000</t>
  </si>
  <si>
    <t>2.597*100000000</t>
  </si>
  <si>
    <t>3.735*100000000</t>
  </si>
  <si>
    <t>2.293*100000000</t>
  </si>
  <si>
    <t>7.517*100000000</t>
  </si>
  <si>
    <t>7.091*100000000</t>
  </si>
  <si>
    <t>6.318*100000000</t>
  </si>
  <si>
    <t>2.563*100000000</t>
  </si>
  <si>
    <t>5.608*100000000</t>
  </si>
  <si>
    <t>4.895*100000000</t>
  </si>
  <si>
    <t>4.650*100000000</t>
  </si>
  <si>
    <t>2.780*100000000</t>
  </si>
  <si>
    <t>3.837*100000000</t>
  </si>
  <si>
    <t>3.791*100000000</t>
  </si>
  <si>
    <t>2.387*100000000</t>
  </si>
  <si>
    <t>12.86*100000000</t>
  </si>
  <si>
    <t>10.26*100000000</t>
  </si>
  <si>
    <t>7.593*100000000</t>
  </si>
  <si>
    <t>4.058*100000000</t>
  </si>
  <si>
    <t>6.645*100000000</t>
  </si>
  <si>
    <t>4.494*100000000</t>
  </si>
  <si>
    <t>1.639*100000000</t>
  </si>
  <si>
    <t>20.13*100000000</t>
  </si>
  <si>
    <t>5.319*100000000</t>
  </si>
  <si>
    <t>22.90*100000000</t>
  </si>
  <si>
    <t>18.83*100000000</t>
  </si>
  <si>
    <t>6.130*100000000</t>
  </si>
  <si>
    <t>2744*10000</t>
  </si>
  <si>
    <t>4432*10000</t>
  </si>
  <si>
    <t>8108*10000</t>
  </si>
  <si>
    <t>4911*10000</t>
  </si>
  <si>
    <t>3.996*100000000</t>
  </si>
  <si>
    <t>3.687*100000000</t>
  </si>
  <si>
    <t>2.720*100000000</t>
  </si>
  <si>
    <t>1.480*100000000</t>
  </si>
  <si>
    <t>4.799*100000000</t>
  </si>
  <si>
    <t>3.870*100000000</t>
  </si>
  <si>
    <t>2.844*100000000</t>
  </si>
  <si>
    <t>1.577*100000000</t>
  </si>
  <si>
    <t>2864*10000</t>
  </si>
  <si>
    <t>4715*10000</t>
  </si>
  <si>
    <t>8019*10000</t>
  </si>
  <si>
    <t>4962*10000</t>
  </si>
  <si>
    <t>4.178*100000000</t>
  </si>
  <si>
    <t>3.691*100000000</t>
  </si>
  <si>
    <t>2.757*100000000</t>
  </si>
  <si>
    <t>5.123*100000000</t>
  </si>
  <si>
    <t>3.986*100000000</t>
  </si>
  <si>
    <t>2.969*100000000</t>
  </si>
  <si>
    <t>1.579*100000000</t>
  </si>
  <si>
    <t>2754*10000</t>
  </si>
  <si>
    <t>4148*10000</t>
  </si>
  <si>
    <t>6794*10000</t>
  </si>
  <si>
    <t>4169*10000</t>
  </si>
  <si>
    <t>3.877*100000000</t>
  </si>
  <si>
    <t>3.454*100000000</t>
  </si>
  <si>
    <t>2.586*100000000</t>
  </si>
  <si>
    <t>4.667*100000000</t>
  </si>
  <si>
    <t>3.610*100000000</t>
  </si>
  <si>
    <t>2.685*100000000</t>
  </si>
  <si>
    <t>1.380*100000000</t>
  </si>
  <si>
    <t>78.61*100000000</t>
  </si>
  <si>
    <t>56.97*100000000</t>
  </si>
  <si>
    <t>36.11*100000000</t>
  </si>
  <si>
    <t>17.99*100000000</t>
  </si>
  <si>
    <t>75.25*100000000</t>
  </si>
  <si>
    <t>51.54*100000000</t>
  </si>
  <si>
    <t>9.149*100000000</t>
  </si>
  <si>
    <t>65.31*100000000</t>
  </si>
  <si>
    <t>46.95*100000000</t>
  </si>
  <si>
    <t>32.17*100000000</t>
  </si>
  <si>
    <t>14.97*100000000</t>
  </si>
  <si>
    <t>66.73*100000000</t>
  </si>
  <si>
    <t>49.05*100000000</t>
  </si>
  <si>
    <t>34.65*100000000</t>
  </si>
  <si>
    <t>17.25*100000000</t>
  </si>
  <si>
    <t>4.805*100000000</t>
  </si>
  <si>
    <t>2.729*100000000</t>
  </si>
  <si>
    <t>1.790*100000000</t>
  </si>
  <si>
    <t>8501*10000</t>
  </si>
  <si>
    <t>4.044*100000000</t>
  </si>
  <si>
    <t>1.332*100000000</t>
  </si>
  <si>
    <t>3.335*100000000</t>
  </si>
  <si>
    <t>2.496*100000000</t>
  </si>
  <si>
    <t>5510*10000</t>
  </si>
  <si>
    <t>3.598*100000000</t>
  </si>
  <si>
    <t>2.159*100000000</t>
  </si>
  <si>
    <t>9488*10000</t>
  </si>
  <si>
    <t>4.835*100000000</t>
  </si>
  <si>
    <t>2.737*100000000</t>
  </si>
  <si>
    <t>1.798*100000000</t>
  </si>
  <si>
    <t>8499*10000</t>
  </si>
  <si>
    <t>3.155*100000000</t>
  </si>
  <si>
    <t>2.317*100000000</t>
  </si>
  <si>
    <t>7553*10000</t>
  </si>
  <si>
    <t>3.343*100000000</t>
  </si>
  <si>
    <t>2.498*100000000</t>
  </si>
  <si>
    <t>1.794*100000000</t>
  </si>
  <si>
    <t>5529*10000</t>
  </si>
  <si>
    <t>3.334*100000000</t>
  </si>
  <si>
    <t>2.695*100000000</t>
  </si>
  <si>
    <t>2.147*100000000</t>
  </si>
  <si>
    <t>9307*10000</t>
  </si>
  <si>
    <t>4.352*100000000</t>
  </si>
  <si>
    <t>2.322*100000000</t>
  </si>
  <si>
    <t>1.564*100000000</t>
  </si>
  <si>
    <t>7316*10000</t>
  </si>
  <si>
    <t>2.786*100000000</t>
  </si>
  <si>
    <t>2.030*100000000</t>
  </si>
  <si>
    <t>6510*10000</t>
  </si>
  <si>
    <t>2.926*100000000</t>
  </si>
  <si>
    <t>2.210*100000000</t>
  </si>
  <si>
    <t>1.618*100000000</t>
  </si>
  <si>
    <t>4394*10000</t>
  </si>
  <si>
    <t>2.876*100000000</t>
  </si>
  <si>
    <t>2.346*100000000</t>
  </si>
  <si>
    <t>1.852*100000000</t>
  </si>
  <si>
    <t>8033*10000</t>
  </si>
  <si>
    <t>146.0*100000000</t>
  </si>
  <si>
    <t>106.8*100000000</t>
  </si>
  <si>
    <t>73.59*100000000</t>
  </si>
  <si>
    <t>37.06*100000000</t>
  </si>
  <si>
    <t>90.53*100000000</t>
  </si>
  <si>
    <t>60.04*100000000</t>
  </si>
  <si>
    <t>30.30*100000000</t>
  </si>
  <si>
    <t>132.8*100000000</t>
  </si>
  <si>
    <t>99.59*100000000</t>
  </si>
  <si>
    <t>71.57*100000000</t>
  </si>
  <si>
    <t>39.11*100000000</t>
  </si>
  <si>
    <t>142.1*100000000</t>
  </si>
  <si>
    <t>72.67*100000000</t>
  </si>
  <si>
    <t>36.64*100000000</t>
  </si>
  <si>
    <t>17.19*100000000</t>
  </si>
  <si>
    <t>12.36*100000000</t>
  </si>
  <si>
    <t>5.988*100000000</t>
  </si>
  <si>
    <t>20.05*100000000</t>
  </si>
  <si>
    <t>14.05*100000000</t>
  </si>
  <si>
    <t>4.499*100000000</t>
  </si>
  <si>
    <t>19.68*100000000</t>
  </si>
  <si>
    <t>17.02*100000000</t>
  </si>
  <si>
    <t>13.19*100000000</t>
  </si>
  <si>
    <t>6.842*100000000</t>
  </si>
  <si>
    <t>22.77*100000000</t>
  </si>
  <si>
    <t>17.75*100000000</t>
  </si>
  <si>
    <t>6.539*100000000</t>
  </si>
  <si>
    <t>23.27*100000000</t>
  </si>
  <si>
    <t>12.41*100000000</t>
  </si>
  <si>
    <t>5.980*100000000</t>
  </si>
  <si>
    <t>19.83*100000000</t>
  </si>
  <si>
    <t>9.146*100000000</t>
  </si>
  <si>
    <t>4.411*100000000</t>
  </si>
  <si>
    <t>19.67*100000000</t>
  </si>
  <si>
    <t>13.20*100000000</t>
  </si>
  <si>
    <t>6.862*100000000</t>
  </si>
  <si>
    <t>22.55*100000000</t>
  </si>
  <si>
    <t>17.76*100000000</t>
  </si>
  <si>
    <t>13.17*100000000</t>
  </si>
  <si>
    <t>6.538*100000000</t>
  </si>
  <si>
    <t>18.91*100000000</t>
  </si>
  <si>
    <t>14.04*100000000</t>
  </si>
  <si>
    <t>9.902*100000000</t>
  </si>
  <si>
    <t>4.871*100000000</t>
  </si>
  <si>
    <t>16.16*100000000</t>
  </si>
  <si>
    <t>11.29*100000000</t>
  </si>
  <si>
    <t>7.406*100000000</t>
  </si>
  <si>
    <t>3.581*100000000</t>
  </si>
  <si>
    <t>15.62*100000000</t>
  </si>
  <si>
    <t>13.88*100000000</t>
  </si>
  <si>
    <t>10.79*100000000</t>
  </si>
  <si>
    <t>5.682*100000000</t>
  </si>
  <si>
    <t>18.23*100000000</t>
  </si>
  <si>
    <t>14.49*100000000</t>
  </si>
  <si>
    <t>5.383*100000000</t>
  </si>
  <si>
    <t>612.8*100000000</t>
  </si>
  <si>
    <t>391.1*100000000</t>
  </si>
  <si>
    <t>224.9*100000000</t>
  </si>
  <si>
    <t>94.38*100000000</t>
  </si>
  <si>
    <t>446.0*100000000</t>
  </si>
  <si>
    <t>294.8*100000000</t>
  </si>
  <si>
    <t>179.7*100000000</t>
  </si>
  <si>
    <t>78.79*100000000</t>
  </si>
  <si>
    <t>369.8*100000000</t>
  </si>
  <si>
    <t>254.5*100000000</t>
  </si>
  <si>
    <t>170.5*100000000</t>
  </si>
  <si>
    <t>80.14*100000000</t>
  </si>
  <si>
    <t>282.2*100000000</t>
  </si>
  <si>
    <t>186.1*100000000</t>
  </si>
  <si>
    <t>80.07*100000000</t>
  </si>
  <si>
    <t>115.5*100000000</t>
  </si>
  <si>
    <t>79.27*100000000</t>
  </si>
  <si>
    <t>44.73*100000000</t>
  </si>
  <si>
    <t>26.99*100000000</t>
  </si>
  <si>
    <t>36.86*100000000</t>
  </si>
  <si>
    <t>20.93*100000000</t>
  </si>
  <si>
    <t>5.462*100000000</t>
  </si>
  <si>
    <t>28.56*100000000</t>
  </si>
  <si>
    <t>21.54*100000000</t>
  </si>
  <si>
    <t>13.79*100000000</t>
  </si>
  <si>
    <t>5.676*100000000</t>
  </si>
  <si>
    <t>27.72*100000000</t>
  </si>
  <si>
    <t>25.00*100000000</t>
  </si>
  <si>
    <t>18.58*100000000</t>
  </si>
  <si>
    <t>7.841*100000000</t>
  </si>
  <si>
    <t>115.4*100000000</t>
  </si>
  <si>
    <t>79.77*100000000</t>
  </si>
  <si>
    <t>45.13*100000000</t>
  </si>
  <si>
    <t>27.17*100000000</t>
  </si>
  <si>
    <t>35.88*100000000</t>
  </si>
  <si>
    <t>21.30*100000000</t>
  </si>
  <si>
    <t>12.43*100000000</t>
  </si>
  <si>
    <t>5.610*100000000</t>
  </si>
  <si>
    <t>28.11*100000000</t>
  </si>
  <si>
    <t>21.76*100000000</t>
  </si>
  <si>
    <t>13.99*100000000</t>
  </si>
  <si>
    <t>5.872*100000000</t>
  </si>
  <si>
    <t>27.87*100000000</t>
  </si>
  <si>
    <t>25.70*100000000</t>
  </si>
  <si>
    <t>19.22*100000000</t>
  </si>
  <si>
    <t>8.071*100000000</t>
  </si>
  <si>
    <t>98.14*100000000</t>
  </si>
  <si>
    <t>67.89*100000000</t>
  </si>
  <si>
    <t>38.19*100000000</t>
  </si>
  <si>
    <t>23.14*100000000</t>
  </si>
  <si>
    <t>31.32*100000000</t>
  </si>
  <si>
    <t>18.19*100000000</t>
  </si>
  <si>
    <t>10.54*100000000</t>
  </si>
  <si>
    <t>5.168*100000000</t>
  </si>
  <si>
    <t>23.90*100000000</t>
  </si>
  <si>
    <t>19.21*100000000</t>
  </si>
  <si>
    <t>12.42*100000000</t>
  </si>
  <si>
    <t>5.268*100000000</t>
  </si>
  <si>
    <t>25.34*100000000</t>
  </si>
  <si>
    <t>23.25*100000000</t>
  </si>
  <si>
    <t>17.89*100000000</t>
  </si>
  <si>
    <t>6.869*100000000</t>
  </si>
  <si>
    <t>632.5*100000000</t>
  </si>
  <si>
    <t>476.3*100000000</t>
  </si>
  <si>
    <t>309.3*100000000</t>
  </si>
  <si>
    <t>132.1*100000000</t>
  </si>
  <si>
    <t>521.1*100000000</t>
  </si>
  <si>
    <t>399.1*100000000</t>
  </si>
  <si>
    <t>256.6*100000000</t>
  </si>
  <si>
    <t>111.6*100000000</t>
  </si>
  <si>
    <t>539.8*100000000</t>
  </si>
  <si>
    <t>410.8*100000000</t>
  </si>
  <si>
    <t>284.0*100000000</t>
  </si>
  <si>
    <t>137.9*100000000</t>
  </si>
  <si>
    <t>367.2*100000000</t>
  </si>
  <si>
    <t>231.7*100000000</t>
  </si>
  <si>
    <t>101.5*100000000</t>
  </si>
  <si>
    <t>51.33*100000000</t>
  </si>
  <si>
    <t>21.08*100000000</t>
  </si>
  <si>
    <t>8.074*100000000</t>
  </si>
  <si>
    <t>6.736*100000000</t>
  </si>
  <si>
    <t>3.586*100000000</t>
  </si>
  <si>
    <t>1.529*100000000</t>
  </si>
  <si>
    <t>1.163*100000000</t>
  </si>
  <si>
    <t>3.470*100000000</t>
  </si>
  <si>
    <t>2.401*100000000</t>
  </si>
  <si>
    <t>2.130*100000000</t>
  </si>
  <si>
    <t>1.330*100000000</t>
  </si>
  <si>
    <t>4.688*100000000</t>
  </si>
  <si>
    <t>3.329*100000000</t>
  </si>
  <si>
    <t>1.443*100000000</t>
  </si>
  <si>
    <t>48.70*100000000</t>
  </si>
  <si>
    <t>38.01*100000000</t>
  </si>
  <si>
    <t>20.80*100000000</t>
  </si>
  <si>
    <t>6.382*100000000</t>
  </si>
  <si>
    <t>3.352*100000000</t>
  </si>
  <si>
    <t>1.374*100000000</t>
  </si>
  <si>
    <t>1.067*100000000</t>
  </si>
  <si>
    <t>4.084*100000000</t>
  </si>
  <si>
    <t>2.358*100000000</t>
  </si>
  <si>
    <t>1.643*100000000</t>
  </si>
  <si>
    <t>5.151*100000000</t>
  </si>
  <si>
    <t>3.524*100000000</t>
  </si>
  <si>
    <t>2.642*100000000</t>
  </si>
  <si>
    <t>1.525*100000000</t>
  </si>
  <si>
    <t>42.07*100000000</t>
  </si>
  <si>
    <t>33.27*100000000</t>
  </si>
  <si>
    <t>18.57*100000000</t>
  </si>
  <si>
    <t>6.858*100000000</t>
  </si>
  <si>
    <t>3.947*100000000</t>
  </si>
  <si>
    <t>1.806*100000000</t>
  </si>
  <si>
    <t>3778*10000</t>
  </si>
  <si>
    <t>3795*10000</t>
  </si>
  <si>
    <t>1.776*100000000</t>
  </si>
  <si>
    <t>1.656*100000000</t>
  </si>
  <si>
    <t>1.513*100000000</t>
  </si>
  <si>
    <t>1.188*100000000</t>
  </si>
  <si>
    <t>2.515*100000000</t>
  </si>
  <si>
    <t>1.190*100000000</t>
  </si>
  <si>
    <t>1.339*100000000</t>
  </si>
  <si>
    <t>8568*10000</t>
  </si>
  <si>
    <t>19.80*100000000</t>
  </si>
  <si>
    <t>15.08*100000000</t>
  </si>
  <si>
    <t>9.776*100000000</t>
  </si>
  <si>
    <t>3.809*100000000</t>
  </si>
  <si>
    <t>19.69*100000000</t>
  </si>
  <si>
    <t>15.10*100000000</t>
  </si>
  <si>
    <t>10.08*100000000</t>
  </si>
  <si>
    <t>3.701*100000000</t>
  </si>
  <si>
    <t>22.12*100000000</t>
  </si>
  <si>
    <t>16.77*100000000</t>
  </si>
  <si>
    <t>10.52*100000000</t>
  </si>
  <si>
    <t>3.829*100000000</t>
  </si>
  <si>
    <t>19.10*100000000</t>
  </si>
  <si>
    <t>14.27*100000000</t>
  </si>
  <si>
    <t>9.354*100000000</t>
  </si>
  <si>
    <t>3.719*100000000</t>
  </si>
  <si>
    <t>2.413*100000000</t>
  </si>
  <si>
    <t>2.447*100000000</t>
  </si>
  <si>
    <t>1.957*100000000</t>
  </si>
  <si>
    <t>1506*10000</t>
  </si>
  <si>
    <t>1.548*100000000</t>
  </si>
  <si>
    <t>1.145*100000000</t>
  </si>
  <si>
    <t>2597*10000</t>
  </si>
  <si>
    <t>2.331*100000000</t>
  </si>
  <si>
    <t>1.296*100000000</t>
  </si>
  <si>
    <t>3176*10000</t>
  </si>
  <si>
    <t>1.603*100000000</t>
  </si>
  <si>
    <t>1.423*100000000</t>
  </si>
  <si>
    <t>3080*10000</t>
  </si>
  <si>
    <t>2.405*100000000</t>
  </si>
  <si>
    <t>2.440*100000000</t>
  </si>
  <si>
    <t>1.955*100000000</t>
  </si>
  <si>
    <t>1493*10000</t>
  </si>
  <si>
    <t>1.481*100000000</t>
  </si>
  <si>
    <t>1.085*100000000</t>
  </si>
  <si>
    <t>2071*10000</t>
  </si>
  <si>
    <t>2.319*100000000</t>
  </si>
  <si>
    <t>1.289*100000000</t>
  </si>
  <si>
    <t>3117*10000</t>
  </si>
  <si>
    <t>1.394*100000000</t>
  </si>
  <si>
    <t>2717*10000</t>
  </si>
  <si>
    <t>1.980*100000000</t>
  </si>
  <si>
    <t>2.016*100000000</t>
  </si>
  <si>
    <t>1.541*100000000</t>
  </si>
  <si>
    <t>1202*10000</t>
  </si>
  <si>
    <t>1.461*100000000</t>
  </si>
  <si>
    <t>9843*10000</t>
  </si>
  <si>
    <t>1516*10000</t>
  </si>
  <si>
    <t>1.825*100000000</t>
  </si>
  <si>
    <t>1.160*100000000</t>
  </si>
  <si>
    <t>2068*10000</t>
  </si>
  <si>
    <t>1.460*100000000</t>
  </si>
  <si>
    <t>1.293*100000000</t>
  </si>
  <si>
    <t>2176*10000</t>
  </si>
  <si>
    <t>379.1*100000000</t>
  </si>
  <si>
    <t>281.1*100000000</t>
  </si>
  <si>
    <t>178.5*100000000</t>
  </si>
  <si>
    <t>89.76*100000000</t>
  </si>
  <si>
    <t>316.5*100000000</t>
  </si>
  <si>
    <t>227.4*100000000</t>
  </si>
  <si>
    <t>140.2*100000000</t>
  </si>
  <si>
    <t>62.53*100000000</t>
  </si>
  <si>
    <t>295.3*100000000</t>
  </si>
  <si>
    <t>213.6*100000000</t>
  </si>
  <si>
    <t>129.1*100000000</t>
  </si>
  <si>
    <t>63.66*100000000</t>
  </si>
  <si>
    <t>259.8*100000000</t>
  </si>
  <si>
    <t>186.5*100000000</t>
  </si>
  <si>
    <t>123.0*100000000</t>
  </si>
  <si>
    <t>60.64*100000000</t>
  </si>
  <si>
    <t>5.720*100000000</t>
  </si>
  <si>
    <t>6.623*100000000</t>
  </si>
  <si>
    <t>1.462*100000000</t>
  </si>
  <si>
    <t>13.18*100000000</t>
  </si>
  <si>
    <t>11.78*100000000</t>
  </si>
  <si>
    <t>6.652*100000000</t>
  </si>
  <si>
    <t>8857*10000</t>
  </si>
  <si>
    <t>11.54*100000000</t>
  </si>
  <si>
    <t>9.575*100000000</t>
  </si>
  <si>
    <t>5.726*100000000</t>
  </si>
  <si>
    <t>1.819*100000000</t>
  </si>
  <si>
    <t>10.95*100000000</t>
  </si>
  <si>
    <t>9.669*100000000</t>
  </si>
  <si>
    <t>6.425*100000000</t>
  </si>
  <si>
    <t>1.646*100000000</t>
  </si>
  <si>
    <t>6.362*100000000</t>
  </si>
  <si>
    <t>7.407*100000000</t>
  </si>
  <si>
    <t>2.195*100000000</t>
  </si>
  <si>
    <t>13.47*100000000</t>
  </si>
  <si>
    <t>12.11*100000000</t>
  </si>
  <si>
    <t>6.947*100000000</t>
  </si>
  <si>
    <t>1.265*100000000</t>
  </si>
  <si>
    <t>11.61*100000000</t>
  </si>
  <si>
    <t>9.718*100000000</t>
  </si>
  <si>
    <t>5.821*100000000</t>
  </si>
  <si>
    <t>10.39*100000000</t>
  </si>
  <si>
    <t>9.655*100000000</t>
  </si>
  <si>
    <t>6.449*100000000</t>
  </si>
  <si>
    <t>1.664*100000000</t>
  </si>
  <si>
    <t>7.350*100000000</t>
  </si>
  <si>
    <t>6.716*100000000</t>
  </si>
  <si>
    <t>1.861*100000000</t>
  </si>
  <si>
    <t>10.01*100000000</t>
  </si>
  <si>
    <t>5.955*100000000</t>
  </si>
  <si>
    <t>1.033*100000000</t>
  </si>
  <si>
    <t>9.615*100000000</t>
  </si>
  <si>
    <t>7.938*100000000</t>
  </si>
  <si>
    <t>4.985*100000000</t>
  </si>
  <si>
    <t>1.496*100000000</t>
  </si>
  <si>
    <t>7.940*100000000</t>
  </si>
  <si>
    <t>7.304*100000000</t>
  </si>
  <si>
    <t>1.167*100000000</t>
  </si>
  <si>
    <t>19.28*100000000</t>
  </si>
  <si>
    <t>13.61*100000000</t>
  </si>
  <si>
    <t>8.240*100000000</t>
  </si>
  <si>
    <t>3.887*100000000</t>
  </si>
  <si>
    <t>16.68*100000000</t>
  </si>
  <si>
    <t>3.641*100000000</t>
  </si>
  <si>
    <t>16.08*100000000</t>
  </si>
  <si>
    <t>7.988*100000000</t>
  </si>
  <si>
    <t>4.350*100000000</t>
  </si>
  <si>
    <t>12.14*100000000</t>
  </si>
  <si>
    <t>7.645*100000000</t>
  </si>
  <si>
    <t>4.019*100000000</t>
  </si>
  <si>
    <t>1.534*100000000</t>
  </si>
  <si>
    <t>1.285*100000000</t>
  </si>
  <si>
    <t>7508*10000</t>
  </si>
  <si>
    <t>3910*10000</t>
  </si>
  <si>
    <t>9201*10000</t>
  </si>
  <si>
    <t>9706*10000</t>
  </si>
  <si>
    <t>5256*10000</t>
  </si>
  <si>
    <t>2659*10000</t>
  </si>
  <si>
    <t>1.223*100000000</t>
  </si>
  <si>
    <t>1.084*100000000</t>
  </si>
  <si>
    <t>5934*10000</t>
  </si>
  <si>
    <t>3459*10000</t>
  </si>
  <si>
    <t>1.193*100000000</t>
  </si>
  <si>
    <t>1.157*100000000</t>
  </si>
  <si>
    <t>5538*10000</t>
  </si>
  <si>
    <t>3098*10000</t>
  </si>
  <si>
    <t>1.514*100000000</t>
  </si>
  <si>
    <t>1.258*100000000</t>
  </si>
  <si>
    <t>7267*10000</t>
  </si>
  <si>
    <t>3810*10000</t>
  </si>
  <si>
    <t>8984*10000</t>
  </si>
  <si>
    <t>9643*10000</t>
  </si>
  <si>
    <t>5138*10000</t>
  </si>
  <si>
    <t>2622*10000</t>
  </si>
  <si>
    <t>1.161*100000000</t>
  </si>
  <si>
    <t>1.073*100000000</t>
  </si>
  <si>
    <t>5996*10000</t>
  </si>
  <si>
    <t>3506*10000</t>
  </si>
  <si>
    <t>1.183*100000000</t>
  </si>
  <si>
    <t>1.146*100000000</t>
  </si>
  <si>
    <t>5403*10000</t>
  </si>
  <si>
    <t>3110*10000</t>
  </si>
  <si>
    <t>1.241*100000000</t>
  </si>
  <si>
    <t>1.019*100000000</t>
  </si>
  <si>
    <t>6086*10000</t>
  </si>
  <si>
    <t>3349*10000</t>
  </si>
  <si>
    <t>7612*10000</t>
  </si>
  <si>
    <t>8173*10000</t>
  </si>
  <si>
    <t>4350*10000</t>
  </si>
  <si>
    <t>2619*10000</t>
  </si>
  <si>
    <t>1.007*100000000</t>
  </si>
  <si>
    <t>9482*10000</t>
  </si>
  <si>
    <t>5093*10000</t>
  </si>
  <si>
    <t>3024*10000</t>
  </si>
  <si>
    <t>9641*10000</t>
  </si>
  <si>
    <t>9872*10000</t>
  </si>
  <si>
    <t>4799*10000</t>
  </si>
  <si>
    <t>2662*10000</t>
  </si>
  <si>
    <t>28.67*100000000</t>
  </si>
  <si>
    <t>14.23*100000000</t>
  </si>
  <si>
    <t>6.919*100000000</t>
  </si>
  <si>
    <t>24.95*100000000</t>
  </si>
  <si>
    <t>18.43*100000000</t>
  </si>
  <si>
    <t>10.73*100000000</t>
  </si>
  <si>
    <t>26.70*100000000</t>
  </si>
  <si>
    <t>19.46*100000000</t>
  </si>
  <si>
    <t>13.60*100000000</t>
  </si>
  <si>
    <t>6.963*100000000</t>
  </si>
  <si>
    <t>28.61*100000000</t>
  </si>
  <si>
    <t>22.60*100000000</t>
  </si>
  <si>
    <t>6.685*100000000</t>
  </si>
  <si>
    <t>2.382*100000000</t>
  </si>
  <si>
    <t>2.002*100000000</t>
  </si>
  <si>
    <t>1.389*100000000</t>
  </si>
  <si>
    <t>6898*10000</t>
  </si>
  <si>
    <t>1.075*100000000</t>
  </si>
  <si>
    <t>1560*10000</t>
  </si>
  <si>
    <t>300.0*10000</t>
  </si>
  <si>
    <t>1.078*100000000</t>
  </si>
  <si>
    <t>6185*10000</t>
  </si>
  <si>
    <t>2.155*100000000</t>
  </si>
  <si>
    <t>2.276*100000000</t>
  </si>
  <si>
    <t>1.648*100000000</t>
  </si>
  <si>
    <t>6412*10000</t>
  </si>
  <si>
    <t>1.958*100000000</t>
  </si>
  <si>
    <t>1.387*100000000</t>
  </si>
  <si>
    <t>6893*10000</t>
  </si>
  <si>
    <t>1.192*100000000</t>
  </si>
  <si>
    <t>1433*10000</t>
  </si>
  <si>
    <t>154.0*10000</t>
  </si>
  <si>
    <t>1.589*100000000</t>
  </si>
  <si>
    <t>1.399*100000000</t>
  </si>
  <si>
    <t>1.152*100000000</t>
  </si>
  <si>
    <t>6917*10000</t>
  </si>
  <si>
    <t>1.961*100000000</t>
  </si>
  <si>
    <t>1.567*100000000</t>
  </si>
  <si>
    <t>6415*10000</t>
  </si>
  <si>
    <t>2.065*100000000</t>
  </si>
  <si>
    <t>1.682*100000000</t>
  </si>
  <si>
    <t>1.225*100000000</t>
  </si>
  <si>
    <t>6588*10000</t>
  </si>
  <si>
    <t>8836*10000</t>
  </si>
  <si>
    <t>466.2*10000</t>
  </si>
  <si>
    <t>1.450*100000000</t>
  </si>
  <si>
    <t>1.034*100000000</t>
  </si>
  <si>
    <t>6263*10000</t>
  </si>
  <si>
    <t>1.766*100000000</t>
  </si>
  <si>
    <t>1.935*100000000</t>
  </si>
  <si>
    <t>5671*10000</t>
  </si>
  <si>
    <t>6.454*100000000</t>
  </si>
  <si>
    <t>4.572*100000000</t>
  </si>
  <si>
    <t>2.950*100000000</t>
  </si>
  <si>
    <t>1.365*100000000</t>
  </si>
  <si>
    <t>5.440*100000000</t>
  </si>
  <si>
    <t>3.473*100000000</t>
  </si>
  <si>
    <t>2.076*100000000</t>
  </si>
  <si>
    <t>8279*10000</t>
  </si>
  <si>
    <t>3.582*100000000</t>
  </si>
  <si>
    <t>2.275*100000000</t>
  </si>
  <si>
    <t>1.037*100000000</t>
  </si>
  <si>
    <t>4.179*100000000</t>
  </si>
  <si>
    <t>3.001*100000000</t>
  </si>
  <si>
    <t>1.858*100000000</t>
  </si>
  <si>
    <t>7415*10000</t>
  </si>
  <si>
    <t>7.160*100000000</t>
  </si>
  <si>
    <t>1.367*100000000</t>
  </si>
  <si>
    <t>8678*10000</t>
  </si>
  <si>
    <t>3591*10000</t>
  </si>
  <si>
    <t>5805*10000</t>
  </si>
  <si>
    <t>1.482*100000000</t>
  </si>
  <si>
    <t>9709*10000</t>
  </si>
  <si>
    <t>2241*10000</t>
  </si>
  <si>
    <t>1.588*100000000</t>
  </si>
  <si>
    <t>1.026*100000000</t>
  </si>
  <si>
    <t>3666*10000</t>
  </si>
  <si>
    <t>1.407*100000000</t>
  </si>
  <si>
    <t>1.143*100000000</t>
  </si>
  <si>
    <t>6609*10000</t>
  </si>
  <si>
    <t>2348*10000</t>
  </si>
  <si>
    <t>8.721*100000000</t>
  </si>
  <si>
    <t>1.369*100000000</t>
  </si>
  <si>
    <t>8672*10000</t>
  </si>
  <si>
    <t>3581*10000</t>
  </si>
  <si>
    <t>5822*10000</t>
  </si>
  <si>
    <t>1.485*100000000</t>
  </si>
  <si>
    <t>9734*10000</t>
  </si>
  <si>
    <t>2236*10000</t>
  </si>
  <si>
    <t>1.815*100000000</t>
  </si>
  <si>
    <t>1.586*100000000</t>
  </si>
  <si>
    <t>3667*10000</t>
  </si>
  <si>
    <t>1.406*100000000</t>
  </si>
  <si>
    <t>1.142*100000000</t>
  </si>
  <si>
    <t>6598*10000</t>
  </si>
  <si>
    <t>2349*10000</t>
  </si>
  <si>
    <t>6.482*100000000</t>
  </si>
  <si>
    <t>1.011*100000000</t>
  </si>
  <si>
    <t>6351*10000</t>
  </si>
  <si>
    <t>2525*10000</t>
  </si>
  <si>
    <t>3136*10000</t>
  </si>
  <si>
    <t>1.018*100000000</t>
  </si>
  <si>
    <t>6441*10000</t>
  </si>
  <si>
    <t>1620*10000</t>
  </si>
  <si>
    <t>1.357*100000000</t>
  </si>
  <si>
    <t>1.187*100000000</t>
  </si>
  <si>
    <t>7710*10000</t>
  </si>
  <si>
    <t>2740*10000</t>
  </si>
  <si>
    <t>1.050*100000000</t>
  </si>
  <si>
    <t>8548*10000</t>
  </si>
  <si>
    <t>4969*10000</t>
  </si>
  <si>
    <t>1755*10000</t>
  </si>
  <si>
    <t>671.3*100000000</t>
  </si>
  <si>
    <t>525.0*100000000</t>
  </si>
  <si>
    <t>347.1*100000000</t>
  </si>
  <si>
    <t>134.0*100000000</t>
  </si>
  <si>
    <t>586.4*100000000</t>
  </si>
  <si>
    <t>423.0*100000000</t>
  </si>
  <si>
    <t>251.3*100000000</t>
  </si>
  <si>
    <t>154.5*100000000</t>
  </si>
  <si>
    <t>1209*100000000</t>
  </si>
  <si>
    <t>934.0*100000000</t>
  </si>
  <si>
    <t>587.8*100000000</t>
  </si>
  <si>
    <t>300.5*100000000</t>
  </si>
  <si>
    <t>1149*100000000</t>
  </si>
  <si>
    <t>878.8*100000000</t>
  </si>
  <si>
    <t>544.2*100000000</t>
  </si>
  <si>
    <t>267.5*100000000</t>
  </si>
  <si>
    <t>34.64*100000000</t>
  </si>
  <si>
    <t>55.24*100000000</t>
  </si>
  <si>
    <t>22.88*100000000</t>
  </si>
  <si>
    <t>29.58*100000000</t>
  </si>
  <si>
    <t>57.59*100000000</t>
  </si>
  <si>
    <t>25.80*100000000</t>
  </si>
  <si>
    <t>43.02*100000000</t>
  </si>
  <si>
    <t>60.95*100000000</t>
  </si>
  <si>
    <t>27.10*100000000</t>
  </si>
  <si>
    <t>28.75*100000000</t>
  </si>
  <si>
    <t>38.67*100000000</t>
  </si>
  <si>
    <t>63.09*100000000</t>
  </si>
  <si>
    <t>27.66*100000000</t>
  </si>
  <si>
    <t>34.83*100000000</t>
  </si>
  <si>
    <t>47.81*100000000</t>
  </si>
  <si>
    <t>21.34*100000000</t>
  </si>
  <si>
    <t>21.70*100000000</t>
  </si>
  <si>
    <t>29.41*100000000</t>
  </si>
  <si>
    <t>25.06*100000000</t>
  </si>
  <si>
    <t>21.58*100000000</t>
  </si>
  <si>
    <t>70.59*100000000</t>
  </si>
  <si>
    <t>42.56*100000000</t>
  </si>
  <si>
    <t>13.57*100000000</t>
  </si>
  <si>
    <t>70.07*100000000</t>
  </si>
  <si>
    <t>43.64*100000000</t>
  </si>
  <si>
    <t>27.33*100000000</t>
  </si>
  <si>
    <t>11.10*100000000</t>
  </si>
  <si>
    <t>64.63*100000000</t>
  </si>
  <si>
    <t>43.93*100000000</t>
  </si>
  <si>
    <t>31.39*100000000</t>
  </si>
  <si>
    <t>13.31*100000000</t>
  </si>
  <si>
    <t>75.83*100000000</t>
  </si>
  <si>
    <t>45.34*100000000</t>
  </si>
  <si>
    <t>32.11*100000000</t>
  </si>
  <si>
    <t>3.423*100000000</t>
  </si>
  <si>
    <t>2.736*100000000</t>
  </si>
  <si>
    <t>1.836*100000000</t>
  </si>
  <si>
    <t>4.771*100000000</t>
  </si>
  <si>
    <t>3.125*100000000</t>
  </si>
  <si>
    <t>1.807*100000000</t>
  </si>
  <si>
    <t>6302*10000</t>
  </si>
  <si>
    <t>3.173*100000000</t>
  </si>
  <si>
    <t>2.280*100000000</t>
  </si>
  <si>
    <t>8474*10000</t>
  </si>
  <si>
    <t>5.302*100000000</t>
  </si>
  <si>
    <t>3.328*100000000</t>
  </si>
  <si>
    <t>2.256*100000000</t>
  </si>
  <si>
    <t>8318*10000</t>
  </si>
  <si>
    <t>3.412*100000000</t>
  </si>
  <si>
    <t>2.733*100000000</t>
  </si>
  <si>
    <t>1.834*100000000</t>
  </si>
  <si>
    <t>7987*10000</t>
  </si>
  <si>
    <t>4.770*100000000</t>
  </si>
  <si>
    <t>3.132*100000000</t>
  </si>
  <si>
    <t>6427*10000</t>
  </si>
  <si>
    <t>4.151*100000000</t>
  </si>
  <si>
    <t>3.193*100000000</t>
  </si>
  <si>
    <t>2.298*100000000</t>
  </si>
  <si>
    <t>8588*10000</t>
  </si>
  <si>
    <t>3.342*100000000</t>
  </si>
  <si>
    <t>2.269*100000000</t>
  </si>
  <si>
    <t>8400*10000</t>
  </si>
  <si>
    <t>3.203*100000000</t>
  </si>
  <si>
    <t>2.602*100000000</t>
  </si>
  <si>
    <t>1.844*100000000</t>
  </si>
  <si>
    <t>6741*10000</t>
  </si>
  <si>
    <t>4.265*100000000</t>
  </si>
  <si>
    <t>2.882*100000000</t>
  </si>
  <si>
    <t>1.747*100000000</t>
  </si>
  <si>
    <t>5264*10000</t>
  </si>
  <si>
    <t>3.832*100000000</t>
  </si>
  <si>
    <t>3.008*100000000</t>
  </si>
  <si>
    <t>2.069*100000000</t>
  </si>
  <si>
    <t>7151*10000</t>
  </si>
  <si>
    <t>4.691*100000000</t>
  </si>
  <si>
    <t>2.865*100000000</t>
  </si>
  <si>
    <t>1.967*100000000</t>
  </si>
  <si>
    <t>6764*10000</t>
  </si>
  <si>
    <t>178.9*100000000</t>
  </si>
  <si>
    <t>138.2*100000000</t>
  </si>
  <si>
    <t>90.73*100000000</t>
  </si>
  <si>
    <t>43.21*100000000</t>
  </si>
  <si>
    <t>151.7*100000000</t>
  </si>
  <si>
    <t>141.8*100000000</t>
  </si>
  <si>
    <t>87.88*100000000</t>
  </si>
  <si>
    <t>42.26*100000000</t>
  </si>
  <si>
    <t>163.7*100000000</t>
  </si>
  <si>
    <t>77.71*100000000</t>
  </si>
  <si>
    <t>34.03*100000000</t>
  </si>
  <si>
    <t>156.4*100000000</t>
  </si>
  <si>
    <t>76.72*100000000</t>
  </si>
  <si>
    <t>28.83*100000000</t>
  </si>
  <si>
    <t>4.883*100000000</t>
  </si>
  <si>
    <t>4.601*100000000</t>
  </si>
  <si>
    <t>2.941*100000000</t>
  </si>
  <si>
    <t>1.642*100000000</t>
  </si>
  <si>
    <t>5.844*100000000</t>
  </si>
  <si>
    <t>5.110*100000000</t>
  </si>
  <si>
    <t>1.893*100000000</t>
  </si>
  <si>
    <t>6.261*100000000</t>
  </si>
  <si>
    <t>5.316*100000000</t>
  </si>
  <si>
    <t>3.640*100000000</t>
  </si>
  <si>
    <t>6.907*100000000</t>
  </si>
  <si>
    <t>5.412*100000000</t>
  </si>
  <si>
    <t>3.655*100000000</t>
  </si>
  <si>
    <t>1.726*100000000</t>
  </si>
  <si>
    <t>4.896*100000000</t>
  </si>
  <si>
    <t>4.612*100000000</t>
  </si>
  <si>
    <t>2.944*100000000</t>
  </si>
  <si>
    <t>1.644*100000000</t>
  </si>
  <si>
    <t>5.700*100000000</t>
  </si>
  <si>
    <t>5.111*100000000</t>
  </si>
  <si>
    <t>3.516*100000000</t>
  </si>
  <si>
    <t>1.892*100000000</t>
  </si>
  <si>
    <t>6.260*100000000</t>
  </si>
  <si>
    <t>5.311*100000000</t>
  </si>
  <si>
    <t>3.639*100000000</t>
  </si>
  <si>
    <t>1.703*100000000</t>
  </si>
  <si>
    <t>6.925*100000000</t>
  </si>
  <si>
    <t>5.531*100000000</t>
  </si>
  <si>
    <t>3.756*100000000</t>
  </si>
  <si>
    <t>1.740*100000000</t>
  </si>
  <si>
    <t>3.400*100000000</t>
  </si>
  <si>
    <t>3.302*100000000</t>
  </si>
  <si>
    <t>2.099*100000000</t>
  </si>
  <si>
    <t>1.176*100000000</t>
  </si>
  <si>
    <t>4.021*100000000</t>
  </si>
  <si>
    <t>3.755*100000000</t>
  </si>
  <si>
    <t>2.583*100000000</t>
  </si>
  <si>
    <t>1.395*100000000</t>
  </si>
  <si>
    <t>4.540*100000000</t>
  </si>
  <si>
    <t>3.879*100000000</t>
  </si>
  <si>
    <t>1.237*100000000</t>
  </si>
  <si>
    <t>5.088*100000000</t>
  </si>
  <si>
    <t>4.074*100000000</t>
  </si>
  <si>
    <t>2.769*100000000</t>
  </si>
  <si>
    <t>499.6*100000000</t>
  </si>
  <si>
    <t>388.6*100000000</t>
  </si>
  <si>
    <t>254.6*100000000</t>
  </si>
  <si>
    <t>104.9*100000000</t>
  </si>
  <si>
    <t>328.9*100000000</t>
  </si>
  <si>
    <t>229.5*100000000</t>
  </si>
  <si>
    <t>134.2*100000000</t>
  </si>
  <si>
    <t>59.10*100000000</t>
  </si>
  <si>
    <t>195.0*100000000</t>
  </si>
  <si>
    <t>124.8*100000000</t>
  </si>
  <si>
    <t>65.21*100000000</t>
  </si>
  <si>
    <t>264.5*100000000</t>
  </si>
  <si>
    <t>197.5*100000000</t>
  </si>
  <si>
    <t>131.8*100000000</t>
  </si>
  <si>
    <t>65.42*100000000</t>
  </si>
  <si>
    <t>20.77*100000000</t>
  </si>
  <si>
    <t>13.45*100000000</t>
  </si>
  <si>
    <t>4.999*100000000</t>
  </si>
  <si>
    <t>9.769*100000000</t>
  </si>
  <si>
    <t>4.843*100000000</t>
  </si>
  <si>
    <t>1.699*100000000</t>
  </si>
  <si>
    <t>12.26*100000000</t>
  </si>
  <si>
    <t>11.13*100000000</t>
  </si>
  <si>
    <t>9.448*100000000</t>
  </si>
  <si>
    <t>5.625*100000000</t>
  </si>
  <si>
    <t>26.80*100000000</t>
  </si>
  <si>
    <t>21.86*100000000</t>
  </si>
  <si>
    <t>15.64*100000000</t>
  </si>
  <si>
    <t>6.823*100000000</t>
  </si>
  <si>
    <t>21.40*100000000</t>
  </si>
  <si>
    <t>13.50*100000000</t>
  </si>
  <si>
    <t>14.11*100000000</t>
  </si>
  <si>
    <t>9.739*100000000</t>
  </si>
  <si>
    <t>4.810*100000000</t>
  </si>
  <si>
    <t>1.669*100000000</t>
  </si>
  <si>
    <t>12.19*100000000</t>
  </si>
  <si>
    <t>11.22*100000000</t>
  </si>
  <si>
    <t>9.547*100000000</t>
  </si>
  <si>
    <t>5.737*100000000</t>
  </si>
  <si>
    <t>26.61*100000000</t>
  </si>
  <si>
    <t>21.80*100000000</t>
  </si>
  <si>
    <t>15.69*100000000</t>
  </si>
  <si>
    <t>6.824*100000000</t>
  </si>
  <si>
    <t>16.40*100000000</t>
  </si>
  <si>
    <t>16.21*100000000</t>
  </si>
  <si>
    <t>9.866*100000000</t>
  </si>
  <si>
    <t>3.609*100000000</t>
  </si>
  <si>
    <t>11.41*100000000</t>
  </si>
  <si>
    <t>7.564*100000000</t>
  </si>
  <si>
    <t>3.909*100000000</t>
  </si>
  <si>
    <t>1.403*100000000</t>
  </si>
  <si>
    <t>9.329*100000000</t>
  </si>
  <si>
    <t>8.424*100000000</t>
  </si>
  <si>
    <t>7.242*100000000</t>
  </si>
  <si>
    <t>4.417*100000000</t>
  </si>
  <si>
    <t>19.56*100000000</t>
  </si>
  <si>
    <t>16.20*100000000</t>
  </si>
  <si>
    <t>11.64*100000000</t>
  </si>
  <si>
    <t>5.055*100000000</t>
  </si>
  <si>
    <t>67.06*100000000</t>
  </si>
  <si>
    <t>47.87*100000000</t>
  </si>
  <si>
    <t>32.86*100000000</t>
  </si>
  <si>
    <t>16.90*100000000</t>
  </si>
  <si>
    <t>57.16*100000000</t>
  </si>
  <si>
    <t>40.80*100000000</t>
  </si>
  <si>
    <t>25.93*100000000</t>
  </si>
  <si>
    <t>41.08*100000000</t>
  </si>
  <si>
    <t>20.14*100000000</t>
  </si>
  <si>
    <t>9.075*100000000</t>
  </si>
  <si>
    <t>30.11*100000000</t>
  </si>
  <si>
    <t>21.92*100000000</t>
  </si>
  <si>
    <t>14.21*100000000</t>
  </si>
  <si>
    <t>6.747*100000000</t>
  </si>
  <si>
    <t>1644*10000</t>
  </si>
  <si>
    <t>1580*10000</t>
  </si>
  <si>
    <t>1287*10000</t>
  </si>
  <si>
    <t>3381*10000</t>
  </si>
  <si>
    <t>3905*10000</t>
  </si>
  <si>
    <t>1772*10000</t>
  </si>
  <si>
    <t>843.5*10000</t>
  </si>
  <si>
    <t>2239*10000</t>
  </si>
  <si>
    <t>5061*10000</t>
  </si>
  <si>
    <t>5363*10000</t>
  </si>
  <si>
    <t>6110*10000</t>
  </si>
  <si>
    <t>320.5*10000</t>
  </si>
  <si>
    <t>188.6*10000</t>
  </si>
  <si>
    <t>1675*10000</t>
  </si>
  <si>
    <t>1290*10000</t>
  </si>
  <si>
    <t>3392*10000</t>
  </si>
  <si>
    <t>3887*10000</t>
  </si>
  <si>
    <t>1780*10000</t>
  </si>
  <si>
    <t>823.8*10000</t>
  </si>
  <si>
    <t>1390*10000</t>
  </si>
  <si>
    <t>5020*10000</t>
  </si>
  <si>
    <t>5349*10000</t>
  </si>
  <si>
    <t>6112*10000</t>
  </si>
  <si>
    <t>628.9*10000</t>
  </si>
  <si>
    <t>475.5*10000</t>
  </si>
  <si>
    <t>1149*10000</t>
  </si>
  <si>
    <t>1230*10000</t>
  </si>
  <si>
    <t>1152*10000</t>
  </si>
  <si>
    <t>2275*10000</t>
  </si>
  <si>
    <t>3497*10000</t>
  </si>
  <si>
    <t>743.9*10000</t>
  </si>
  <si>
    <t>942.3*10000</t>
  </si>
  <si>
    <t>4780*10000</t>
  </si>
  <si>
    <t>5167*10000</t>
  </si>
  <si>
    <t>6027*10000</t>
  </si>
  <si>
    <t>487.7*10000</t>
  </si>
  <si>
    <t>452.2*10000</t>
  </si>
  <si>
    <t>121.5*100000000</t>
  </si>
  <si>
    <t>95.70*100000000</t>
  </si>
  <si>
    <t>64.43*100000000</t>
  </si>
  <si>
    <t>32.97*100000000</t>
  </si>
  <si>
    <t>86.45*100000000</t>
  </si>
  <si>
    <t>57.54*100000000</t>
  </si>
  <si>
    <t>26.83*100000000</t>
  </si>
  <si>
    <t>116.4*100000000</t>
  </si>
  <si>
    <t>89.91*100000000</t>
  </si>
  <si>
    <t>61.49*100000000</t>
  </si>
  <si>
    <t>31.07*100000000</t>
  </si>
  <si>
    <t>106.9*100000000</t>
  </si>
  <si>
    <t>77.43*100000000</t>
  </si>
  <si>
    <t>51.46*100000000</t>
  </si>
  <si>
    <t>22.50*100000000</t>
  </si>
  <si>
    <t>3.374*100000000</t>
  </si>
  <si>
    <t>1.002*100000000</t>
  </si>
  <si>
    <t>3310*10000</t>
  </si>
  <si>
    <t>8498*10000</t>
  </si>
  <si>
    <t>5241*10000</t>
  </si>
  <si>
    <t>8011*10000</t>
  </si>
  <si>
    <t>2.454*100000000</t>
  </si>
  <si>
    <t>1.725*100000000</t>
  </si>
  <si>
    <t>1.492*100000000</t>
  </si>
  <si>
    <t>2.541*100000000</t>
  </si>
  <si>
    <t>1.203*100000000</t>
  </si>
  <si>
    <t>2290*10000</t>
  </si>
  <si>
    <t>3.405*100000000</t>
  </si>
  <si>
    <t>3427*10000</t>
  </si>
  <si>
    <t>1.527*100000000</t>
  </si>
  <si>
    <t>8341*10000</t>
  </si>
  <si>
    <t>5488*10000</t>
  </si>
  <si>
    <t>7047*10000</t>
  </si>
  <si>
    <t>2.297*100000000</t>
  </si>
  <si>
    <t>1.624*100000000</t>
  </si>
  <si>
    <t>1.371*100000000</t>
  </si>
  <si>
    <t>1.402*100000000</t>
  </si>
  <si>
    <t>2.491*100000000</t>
  </si>
  <si>
    <t>1.172*100000000</t>
  </si>
  <si>
    <t>1927*10000</t>
  </si>
  <si>
    <t>2.314*100000000</t>
  </si>
  <si>
    <t>7158*10000</t>
  </si>
  <si>
    <t>2006*10000</t>
  </si>
  <si>
    <t>3209*10000</t>
  </si>
  <si>
    <t>1257*10000</t>
  </si>
  <si>
    <t>903.9*10000</t>
  </si>
  <si>
    <t>1.222*100000000</t>
  </si>
  <si>
    <t>9306*10000</t>
  </si>
  <si>
    <t>1.092*100000000</t>
  </si>
  <si>
    <t>6205*10000</t>
  </si>
  <si>
    <t>1.658*100000000</t>
  </si>
  <si>
    <t>6264*10000</t>
  </si>
  <si>
    <t>691.5*10000</t>
  </si>
  <si>
    <t>7.874*100000000</t>
  </si>
  <si>
    <t>5.674*100000000</t>
  </si>
  <si>
    <t>4.166*100000000</t>
  </si>
  <si>
    <t>2.179*100000000</t>
  </si>
  <si>
    <t>7.150*100000000</t>
  </si>
  <si>
    <t>4.040*100000000</t>
  </si>
  <si>
    <t>1.272*100000000</t>
  </si>
  <si>
    <t>3837*10000</t>
  </si>
  <si>
    <t>5.372*100000000</t>
  </si>
  <si>
    <t>4.060*100000000</t>
  </si>
  <si>
    <t>2.402*100000000</t>
  </si>
  <si>
    <t>1.353*100000000</t>
  </si>
  <si>
    <t>6.074*100000000</t>
  </si>
  <si>
    <t>2.936*100000000</t>
  </si>
  <si>
    <t>1.623*100000000</t>
  </si>
  <si>
    <t>5710*10000</t>
  </si>
  <si>
    <t>3800*10000</t>
  </si>
  <si>
    <t>3696*10000</t>
  </si>
  <si>
    <t>644.2*10000</t>
  </si>
  <si>
    <t>4760*10000</t>
  </si>
  <si>
    <t>4447*10000</t>
  </si>
  <si>
    <t>3755*10000</t>
  </si>
  <si>
    <t>2858*10000</t>
  </si>
  <si>
    <t>1154*10000</t>
  </si>
  <si>
    <t>443.7*10000</t>
  </si>
  <si>
    <t>3146*10000</t>
  </si>
  <si>
    <t>3446*10000</t>
  </si>
  <si>
    <t>3126*10000</t>
  </si>
  <si>
    <t>681.2*10000</t>
  </si>
  <si>
    <t>5971*10000</t>
  </si>
  <si>
    <t>3848*10000</t>
  </si>
  <si>
    <t>3732*10000</t>
  </si>
  <si>
    <t>644.4*10000</t>
  </si>
  <si>
    <t>4978*10000</t>
  </si>
  <si>
    <t>4612*10000</t>
  </si>
  <si>
    <t>3757*10000</t>
  </si>
  <si>
    <t>3226*10000</t>
  </si>
  <si>
    <t>1491*10000</t>
  </si>
  <si>
    <t>480.3*10000</t>
  </si>
  <si>
    <t>3315*10000</t>
  </si>
  <si>
    <t>3501*10000</t>
  </si>
  <si>
    <t>3144*10000</t>
  </si>
  <si>
    <t>681.5*10000</t>
  </si>
  <si>
    <t>5728*10000</t>
  </si>
  <si>
    <t>3545*10000</t>
  </si>
  <si>
    <t>3560*10000</t>
  </si>
  <si>
    <t>643.9*10000</t>
  </si>
  <si>
    <t>3909*10000</t>
  </si>
  <si>
    <t>3521*10000</t>
  </si>
  <si>
    <t>2713*10000</t>
  </si>
  <si>
    <t>2792*10000</t>
  </si>
  <si>
    <t>1393*10000</t>
  </si>
  <si>
    <t>131.2*100000000</t>
  </si>
  <si>
    <t>111.9*100000000</t>
  </si>
  <si>
    <t>71.39*100000000</t>
  </si>
  <si>
    <t>32.72*100000000</t>
  </si>
  <si>
    <t>109.4*100000000</t>
  </si>
  <si>
    <t>90.30*100000000</t>
  </si>
  <si>
    <t>55.98*100000000</t>
  </si>
  <si>
    <t>20.86*100000000</t>
  </si>
  <si>
    <t>102.1*100000000</t>
  </si>
  <si>
    <t>30.25*100000000</t>
  </si>
  <si>
    <t>18.33*100000000</t>
  </si>
  <si>
    <t>8.333*100000000</t>
  </si>
  <si>
    <t>34.67*100000000</t>
  </si>
  <si>
    <t>29.24*100000000</t>
  </si>
  <si>
    <t>17.64*100000000</t>
  </si>
  <si>
    <t>8.127*100000000</t>
  </si>
  <si>
    <t>29.48*100000000</t>
  </si>
  <si>
    <t>26.91*100000000</t>
  </si>
  <si>
    <t>16.65*100000000</t>
  </si>
  <si>
    <t>7.668*100000000</t>
  </si>
  <si>
    <t>19.64*100000000</t>
  </si>
  <si>
    <t>20.36*100000000</t>
  </si>
  <si>
    <t>13.81*100000000</t>
  </si>
  <si>
    <t>3.428*100000000</t>
  </si>
  <si>
    <t>16.27*100000000</t>
  </si>
  <si>
    <t>5.712*100000000</t>
  </si>
  <si>
    <t>3.134*100000000</t>
  </si>
  <si>
    <t>1.154*100000000</t>
  </si>
  <si>
    <t>4.854*100000000</t>
  </si>
  <si>
    <t>2.493*100000000</t>
  </si>
  <si>
    <t>9093*10000</t>
  </si>
  <si>
    <t>26.92*100000000</t>
  </si>
  <si>
    <t>16.70*100000000</t>
  </si>
  <si>
    <t>7.676*100000000</t>
  </si>
  <si>
    <t>21.31*100000000</t>
  </si>
  <si>
    <t>13.73*100000000</t>
  </si>
  <si>
    <t>3.377*100000000</t>
  </si>
  <si>
    <t>17.95*100000000</t>
  </si>
  <si>
    <t>7.410*100000000</t>
  </si>
  <si>
    <t>4.823*100000000</t>
  </si>
  <si>
    <t>4.870*100000000</t>
  </si>
  <si>
    <t>2.506*100000000</t>
  </si>
  <si>
    <t>9103*10000</t>
  </si>
  <si>
    <t>23.99*100000000</t>
  </si>
  <si>
    <t>21.61*100000000</t>
  </si>
  <si>
    <t>12.97*100000000</t>
  </si>
  <si>
    <t>6.162*100000000</t>
  </si>
  <si>
    <t>10.98*100000000</t>
  </si>
  <si>
    <t>2.539*100000000</t>
  </si>
  <si>
    <t>15.23*100000000</t>
  </si>
  <si>
    <t>6.606*100000000</t>
  </si>
  <si>
    <t>2.707*100000000</t>
  </si>
  <si>
    <t>1.009*100000000</t>
  </si>
  <si>
    <t>4.227*100000000</t>
  </si>
  <si>
    <t>2.342*100000000</t>
  </si>
  <si>
    <t>8596*10000</t>
  </si>
  <si>
    <t>17.28*100000000</t>
  </si>
  <si>
    <t>11.58*100000000</t>
  </si>
  <si>
    <t>5.675*100000000</t>
  </si>
  <si>
    <t>20.54*100000000</t>
  </si>
  <si>
    <t>8.687*100000000</t>
  </si>
  <si>
    <t>3.734*100000000</t>
  </si>
  <si>
    <t>21.36*100000000</t>
  </si>
  <si>
    <t>16.39*100000000</t>
  </si>
  <si>
    <t>10.80*100000000</t>
  </si>
  <si>
    <t>5.642*100000000</t>
  </si>
  <si>
    <t>22.61*100000000</t>
  </si>
  <si>
    <t>17.15*100000000</t>
  </si>
  <si>
    <t>9.496*100000000</t>
  </si>
  <si>
    <t>4.703*100000000</t>
  </si>
  <si>
    <t>6398*10000</t>
  </si>
  <si>
    <t>6584*10000</t>
  </si>
  <si>
    <t>2409*10000</t>
  </si>
  <si>
    <t>5389*10000</t>
  </si>
  <si>
    <t>4373*10000</t>
  </si>
  <si>
    <t>3345*10000</t>
  </si>
  <si>
    <t>428.1*10000</t>
  </si>
  <si>
    <t>9598*10000</t>
  </si>
  <si>
    <t>8795*10000</t>
  </si>
  <si>
    <t>5107*10000</t>
  </si>
  <si>
    <t>3022*10000</t>
  </si>
  <si>
    <t>7842*10000</t>
  </si>
  <si>
    <t>7128*10000</t>
  </si>
  <si>
    <t>2818*10000</t>
  </si>
  <si>
    <t>2003*10000</t>
  </si>
  <si>
    <t>6571*10000</t>
  </si>
  <si>
    <t>6674*10000</t>
  </si>
  <si>
    <t>5287*10000</t>
  </si>
  <si>
    <t>2425*10000</t>
  </si>
  <si>
    <t>5512*10000</t>
  </si>
  <si>
    <t>4426*10000</t>
  </si>
  <si>
    <t>3386*10000</t>
  </si>
  <si>
    <t>793.2*10000</t>
  </si>
  <si>
    <t>9019*10000</t>
  </si>
  <si>
    <t>5296*10000</t>
  </si>
  <si>
    <t>3193*10000</t>
  </si>
  <si>
    <t>8771*10000</t>
  </si>
  <si>
    <t>7833*10000</t>
  </si>
  <si>
    <t>3188*10000</t>
  </si>
  <si>
    <t>2013*10000</t>
  </si>
  <si>
    <t>5702*10000</t>
  </si>
  <si>
    <t>5617*10000</t>
  </si>
  <si>
    <t>1742*10000</t>
  </si>
  <si>
    <t>4138*10000</t>
  </si>
  <si>
    <t>3784*10000</t>
  </si>
  <si>
    <t>2976*10000</t>
  </si>
  <si>
    <t>721.7*10000</t>
  </si>
  <si>
    <t>9028*10000</t>
  </si>
  <si>
    <t>8183*10000</t>
  </si>
  <si>
    <t>4824*10000</t>
  </si>
  <si>
    <t>2833*10000</t>
  </si>
  <si>
    <t>7748*10000</t>
  </si>
  <si>
    <t>6744*10000</t>
  </si>
  <si>
    <t>2866*10000</t>
  </si>
  <si>
    <t>1888*10000</t>
  </si>
  <si>
    <t>86.35*100000000</t>
  </si>
  <si>
    <t>62.31*100000000</t>
  </si>
  <si>
    <t>35.20*100000000</t>
  </si>
  <si>
    <t>71.51*100000000</t>
  </si>
  <si>
    <t>12.01*100000000</t>
  </si>
  <si>
    <t>140.5*100000000</t>
  </si>
  <si>
    <t>95.45*100000000</t>
  </si>
  <si>
    <t>58.53*100000000</t>
  </si>
  <si>
    <t>25.43*100000000</t>
  </si>
  <si>
    <t>122.6*100000000</t>
  </si>
  <si>
    <t>89.29*100000000</t>
  </si>
  <si>
    <t>55.67*100000000</t>
  </si>
  <si>
    <t>25.07*100000000</t>
  </si>
  <si>
    <t>7573*10000</t>
  </si>
  <si>
    <t>1.041*100000000</t>
  </si>
  <si>
    <t>12.23*100000000</t>
  </si>
  <si>
    <t>10.45*100000000</t>
  </si>
  <si>
    <t>7.456*100000000</t>
  </si>
  <si>
    <t>12.37*100000000</t>
  </si>
  <si>
    <t>7.730*100000000</t>
  </si>
  <si>
    <t>1.835*100000000</t>
  </si>
  <si>
    <t>9325*10000</t>
  </si>
  <si>
    <t>12.33*100000000</t>
  </si>
  <si>
    <t>10.48*100000000</t>
  </si>
  <si>
    <t>1.385*100000000</t>
  </si>
  <si>
    <t>7.747*100000000</t>
  </si>
  <si>
    <t>1.838*100000000</t>
  </si>
  <si>
    <t>4248*10000</t>
  </si>
  <si>
    <t>5974*10000</t>
  </si>
  <si>
    <t>6689*10000</t>
  </si>
  <si>
    <t>9.100*100000000</t>
  </si>
  <si>
    <t>7.973*100000000</t>
  </si>
  <si>
    <t>5.626*100000000</t>
  </si>
  <si>
    <t>9.178*100000000</t>
  </si>
  <si>
    <t>7.999*100000000</t>
  </si>
  <si>
    <t>5.896*100000000</t>
  </si>
  <si>
    <t>236.1*100000000</t>
  </si>
  <si>
    <t>165.8*100000000</t>
  </si>
  <si>
    <t>98.53*100000000</t>
  </si>
  <si>
    <t>44.67*100000000</t>
  </si>
  <si>
    <t>183.2*100000000</t>
  </si>
  <si>
    <t>152.2*100000000</t>
  </si>
  <si>
    <t>93.41*100000000</t>
  </si>
  <si>
    <t>39.07*100000000</t>
  </si>
  <si>
    <t>180.4*100000000</t>
  </si>
  <si>
    <t>95.07*100000000</t>
  </si>
  <si>
    <t>43.54*100000000</t>
  </si>
  <si>
    <t>143.0*100000000</t>
  </si>
  <si>
    <t>93.94*100000000</t>
  </si>
  <si>
    <t>40.91*100000000</t>
  </si>
  <si>
    <t>59.01*100000000</t>
  </si>
  <si>
    <t>34.75*100000000</t>
  </si>
  <si>
    <t>15.14*100000000</t>
  </si>
  <si>
    <t>4.641*100000000</t>
  </si>
  <si>
    <t>7.697*100000000</t>
  </si>
  <si>
    <t>4.758*100000000</t>
  </si>
  <si>
    <t>1.645*100000000</t>
  </si>
  <si>
    <t>303.7*10000</t>
  </si>
  <si>
    <t>4.832*100000000</t>
  </si>
  <si>
    <t>2.388*100000000</t>
  </si>
  <si>
    <t>8670*10000</t>
  </si>
  <si>
    <t>11.59*100000000</t>
  </si>
  <si>
    <t>53.90*100000000</t>
  </si>
  <si>
    <t>31.18*100000000</t>
  </si>
  <si>
    <t>14.30*100000000</t>
  </si>
  <si>
    <t>4.579*100000000</t>
  </si>
  <si>
    <t>7.027*100000000</t>
  </si>
  <si>
    <t>4.609*100000000</t>
  </si>
  <si>
    <t>1.744*100000000</t>
  </si>
  <si>
    <t>612.7*10000</t>
  </si>
  <si>
    <t>4.565*100000000</t>
  </si>
  <si>
    <t>4.769*100000000</t>
  </si>
  <si>
    <t>2.433*100000000</t>
  </si>
  <si>
    <t>9.417*100000000</t>
  </si>
  <si>
    <t>5.158*100000000</t>
  </si>
  <si>
    <t>2.068*100000000</t>
  </si>
  <si>
    <t>47.02*100000000</t>
  </si>
  <si>
    <t>27.14*100000000</t>
  </si>
  <si>
    <t>3.823*100000000</t>
  </si>
  <si>
    <t>5.974*100000000</t>
  </si>
  <si>
    <t>3.912*100000000</t>
  </si>
  <si>
    <t>1.393*100000000</t>
  </si>
  <si>
    <t>504.7*10000</t>
  </si>
  <si>
    <t>3.929*100000000</t>
  </si>
  <si>
    <t>3.931*100000000</t>
  </si>
  <si>
    <t>2.034*100000000</t>
  </si>
  <si>
    <t>7496*10000</t>
  </si>
  <si>
    <t>7.948*100000000</t>
  </si>
  <si>
    <t>7.509*100000000</t>
  </si>
  <si>
    <t>4.204*100000000</t>
  </si>
  <si>
    <t>1.653*100000000</t>
  </si>
  <si>
    <t>62.93*100000000</t>
  </si>
  <si>
    <t>43.69*100000000</t>
  </si>
  <si>
    <t>27.75*100000000</t>
  </si>
  <si>
    <t>60.93*100000000</t>
  </si>
  <si>
    <t>43.41*100000000</t>
  </si>
  <si>
    <t>28.25*100000000</t>
  </si>
  <si>
    <t>69.10*100000000</t>
  </si>
  <si>
    <t>48.77*100000000</t>
  </si>
  <si>
    <t>32.38*100000000</t>
  </si>
  <si>
    <t>67.01*100000000</t>
  </si>
  <si>
    <t>50.03*100000000</t>
  </si>
  <si>
    <t>33.41*100000000</t>
  </si>
  <si>
    <t>14.43*100000000</t>
  </si>
  <si>
    <t>6448*10000</t>
  </si>
  <si>
    <t>4656*10000</t>
  </si>
  <si>
    <t>2652*10000</t>
  </si>
  <si>
    <t>5845*10000</t>
  </si>
  <si>
    <t>8559*10000</t>
  </si>
  <si>
    <t>4478*10000</t>
  </si>
  <si>
    <t>5258*10000</t>
  </si>
  <si>
    <t>1.250*100000000</t>
  </si>
  <si>
    <t>3192*10000</t>
  </si>
  <si>
    <t>20.12*100000000</t>
  </si>
  <si>
    <t>15.02*100000000</t>
  </si>
  <si>
    <t>9.630*100000000</t>
  </si>
  <si>
    <t>16.44*100000000</t>
  </si>
  <si>
    <t>11.93*100000000</t>
  </si>
  <si>
    <t>7.232*100000000</t>
  </si>
  <si>
    <t>3.353*100000000</t>
  </si>
  <si>
    <t>15.29*100000000</t>
  </si>
  <si>
    <t>7.388*100000000</t>
  </si>
  <si>
    <t>3.534*100000000</t>
  </si>
  <si>
    <t>14.51*100000000</t>
  </si>
  <si>
    <t>10.50*100000000</t>
  </si>
  <si>
    <t>6.967*100000000</t>
  </si>
  <si>
    <t>3.386*100000000</t>
  </si>
  <si>
    <t>4.259*100000000</t>
  </si>
  <si>
    <t>1.413*100000000</t>
  </si>
  <si>
    <t>9907*10000</t>
  </si>
  <si>
    <t>2.749*100000000</t>
  </si>
  <si>
    <t>3.176*100000000</t>
  </si>
  <si>
    <t>1.693*100000000</t>
  </si>
  <si>
    <t>5327*10000</t>
  </si>
  <si>
    <t>2.623*100000000</t>
  </si>
  <si>
    <t>2.559*100000000</t>
  </si>
  <si>
    <t>2.035*100000000</t>
  </si>
  <si>
    <t>1.056*100000000</t>
  </si>
  <si>
    <t>2.807*100000000</t>
  </si>
  <si>
    <t>1.816*100000000</t>
  </si>
  <si>
    <t>1.029*100000000</t>
  </si>
  <si>
    <t>4.535*100000000</t>
  </si>
  <si>
    <t>2.252*100000000</t>
  </si>
  <si>
    <t>1.559*100000000</t>
  </si>
  <si>
    <t>1.064*100000000</t>
  </si>
  <si>
    <t>3.370*100000000</t>
  </si>
  <si>
    <t>1.832*100000000</t>
  </si>
  <si>
    <t>6031*10000</t>
  </si>
  <si>
    <t>2.880*100000000</t>
  </si>
  <si>
    <t>2.773*100000000</t>
  </si>
  <si>
    <t>1.127*100000000</t>
  </si>
  <si>
    <t>3.080*100000000</t>
  </si>
  <si>
    <t>2.620*100000000</t>
  </si>
  <si>
    <t>1.956*100000000</t>
  </si>
  <si>
    <t>3.904*100000000</t>
  </si>
  <si>
    <t>2.049*100000000</t>
  </si>
  <si>
    <t>9728*10000</t>
  </si>
  <si>
    <t>2.546*100000000</t>
  </si>
  <si>
    <t>2.835*100000000</t>
  </si>
  <si>
    <t>1.635*100000000</t>
  </si>
  <si>
    <t>5098*10000</t>
  </si>
  <si>
    <t>2.504*100000000</t>
  </si>
  <si>
    <t>1.974*100000000</t>
  </si>
  <si>
    <t>8431*10000</t>
  </si>
  <si>
    <t>2.813*100000000</t>
  </si>
  <si>
    <t>2.265*100000000</t>
  </si>
  <si>
    <t>1.685*100000000</t>
  </si>
  <si>
    <t>7649*10000</t>
  </si>
  <si>
    <t>20.24*100000000</t>
  </si>
  <si>
    <t>10.19*100000000</t>
  </si>
  <si>
    <t>4.292*100000000</t>
  </si>
  <si>
    <t>13.32*100000000</t>
  </si>
  <si>
    <t>8.969*100000000</t>
  </si>
  <si>
    <t>5.446*100000000</t>
  </si>
  <si>
    <t>2.353*100000000</t>
  </si>
  <si>
    <t>7.886*100000000</t>
  </si>
  <si>
    <t>3.930*100000000</t>
  </si>
  <si>
    <t>1.863*100000000</t>
  </si>
  <si>
    <t>5.824*100000000</t>
  </si>
  <si>
    <t>3.860*100000000</t>
  </si>
  <si>
    <t>7.656*100000000</t>
  </si>
  <si>
    <t>5.723*100000000</t>
  </si>
  <si>
    <t>4.514*100000000</t>
  </si>
  <si>
    <t>1.601*100000000</t>
  </si>
  <si>
    <t>6.182*100000000</t>
  </si>
  <si>
    <t>1.622*100000000</t>
  </si>
  <si>
    <t>1.103*100000000</t>
  </si>
  <si>
    <t>4695*10000</t>
  </si>
  <si>
    <t>2.945*100000000</t>
  </si>
  <si>
    <t>1.137*100000000</t>
  </si>
  <si>
    <t>1.545*100000000</t>
  </si>
  <si>
    <t>1.003*100000000</t>
  </si>
  <si>
    <t>7461*10000</t>
  </si>
  <si>
    <t>1857*10000</t>
  </si>
  <si>
    <t>7.667*100000000</t>
  </si>
  <si>
    <t>5.722*100000000</t>
  </si>
  <si>
    <t>4.511*100000000</t>
  </si>
  <si>
    <t>1.597*100000000</t>
  </si>
  <si>
    <t>6.186*100000000</t>
  </si>
  <si>
    <t>4662*10000</t>
  </si>
  <si>
    <t>2.931*100000000</t>
  </si>
  <si>
    <t>2.077*100000000</t>
  </si>
  <si>
    <t>1.614*100000000</t>
  </si>
  <si>
    <t>1.139*100000000</t>
  </si>
  <si>
    <t>1.022*100000000</t>
  </si>
  <si>
    <t>7641*10000</t>
  </si>
  <si>
    <t>1861*10000</t>
  </si>
  <si>
    <t>7.376*100000000</t>
  </si>
  <si>
    <t>5.136*100000000</t>
  </si>
  <si>
    <t>3.964*100000000</t>
  </si>
  <si>
    <t>5.418*100000000</t>
  </si>
  <si>
    <t>1.467*100000000</t>
  </si>
  <si>
    <t>9925*10000</t>
  </si>
  <si>
    <t>4352*10000</t>
  </si>
  <si>
    <t>2.686*100000000</t>
  </si>
  <si>
    <t>1.867*100000000</t>
  </si>
  <si>
    <t>1.442*100000000</t>
  </si>
  <si>
    <t>9953*10000</t>
  </si>
  <si>
    <t>1.464*100000000</t>
  </si>
  <si>
    <t>7421*10000</t>
  </si>
  <si>
    <t>1805*10000</t>
  </si>
  <si>
    <t>25.03*100000000</t>
  </si>
  <si>
    <t>21.84*100000000</t>
  </si>
  <si>
    <t>19.75*100000000</t>
  </si>
  <si>
    <t>4.833*100000000</t>
  </si>
  <si>
    <t>22.81*100000000</t>
  </si>
  <si>
    <t>9.477*100000000</t>
  </si>
  <si>
    <t>4.858*100000000</t>
  </si>
  <si>
    <t>3.526*100000000</t>
  </si>
  <si>
    <t>12.56*100000000</t>
  </si>
  <si>
    <t>7.835*100000000</t>
  </si>
  <si>
    <t>5.045*100000000</t>
  </si>
  <si>
    <t>28.30*100000000</t>
  </si>
  <si>
    <t>20.01*100000000</t>
  </si>
  <si>
    <t>14.14*100000000</t>
  </si>
  <si>
    <t>10.37*100000000</t>
  </si>
  <si>
    <t>6.237*100000000</t>
  </si>
  <si>
    <t>5.466*100000000</t>
  </si>
  <si>
    <t>4.561*100000000</t>
  </si>
  <si>
    <t>6.690*100000000</t>
  </si>
  <si>
    <t>2.735*100000000</t>
  </si>
  <si>
    <t>1.713*100000000</t>
  </si>
  <si>
    <t>1.153*100000000</t>
  </si>
  <si>
    <t>4.131*100000000</t>
  </si>
  <si>
    <t>2.899*100000000</t>
  </si>
  <si>
    <t>1.942*100000000</t>
  </si>
  <si>
    <t>8.128*100000000</t>
  </si>
  <si>
    <t>4.819*100000000</t>
  </si>
  <si>
    <t>1.803*100000000</t>
  </si>
  <si>
    <t>6.238*100000000</t>
  </si>
  <si>
    <t>5.467*100000000</t>
  </si>
  <si>
    <t>6.668*100000000</t>
  </si>
  <si>
    <t>2.748*100000000</t>
  </si>
  <si>
    <t>1.727*100000000</t>
  </si>
  <si>
    <t>6.550*100000000</t>
  </si>
  <si>
    <t>4.140*100000000</t>
  </si>
  <si>
    <t>2.887*100000000</t>
  </si>
  <si>
    <t>1.945*100000000</t>
  </si>
  <si>
    <t>8.099*100000000</t>
  </si>
  <si>
    <t>4.783*100000000</t>
  </si>
  <si>
    <t>2.862*100000000</t>
  </si>
  <si>
    <t>1.804*100000000</t>
  </si>
  <si>
    <t>4.187*100000000</t>
  </si>
  <si>
    <t>2.051*100000000</t>
  </si>
  <si>
    <t>1.312*100000000</t>
  </si>
  <si>
    <t>8873*10000</t>
  </si>
  <si>
    <t>5.106*100000000</t>
  </si>
  <si>
    <t>3.270*100000000</t>
  </si>
  <si>
    <t>2.250*100000000</t>
  </si>
  <si>
    <t>1.508*100000000</t>
  </si>
  <si>
    <t>6.741*100000000</t>
  </si>
  <si>
    <t>3.863*100000000</t>
  </si>
  <si>
    <t>2.288*100000000</t>
  </si>
  <si>
    <t>1.396*100000000</t>
  </si>
  <si>
    <t>197.1*100000000</t>
  </si>
  <si>
    <t>85.60*100000000</t>
  </si>
  <si>
    <t>39.96*100000000</t>
  </si>
  <si>
    <t>116.7*100000000</t>
  </si>
  <si>
    <t>78.76*100000000</t>
  </si>
  <si>
    <t>48.92*100000000</t>
  </si>
  <si>
    <t>24.42*100000000</t>
  </si>
  <si>
    <t>77.38*100000000</t>
  </si>
  <si>
    <t>50.62*100000000</t>
  </si>
  <si>
    <t>24.96*100000000</t>
  </si>
  <si>
    <t>100.3*100000000</t>
  </si>
  <si>
    <t>76.29*100000000</t>
  </si>
  <si>
    <t>50.18*100000000</t>
  </si>
  <si>
    <t>73.11*100000000</t>
  </si>
  <si>
    <t>52.18*100000000</t>
  </si>
  <si>
    <t>31.38*100000000</t>
  </si>
  <si>
    <t>28.71*100000000</t>
  </si>
  <si>
    <t>15.26*100000000</t>
  </si>
  <si>
    <t>9.122*100000000</t>
  </si>
  <si>
    <t>3.695*100000000</t>
  </si>
  <si>
    <t>25.24*100000000</t>
  </si>
  <si>
    <t>18.61*100000000</t>
  </si>
  <si>
    <t>12.66*100000000</t>
  </si>
  <si>
    <t>28.37*100000000</t>
  </si>
  <si>
    <t>23.02*100000000</t>
  </si>
  <si>
    <t>7.285*100000000</t>
  </si>
  <si>
    <t>73.03*100000000</t>
  </si>
  <si>
    <t>51.91*100000000</t>
  </si>
  <si>
    <t>31.13*100000000</t>
  </si>
  <si>
    <t>12.88*100000000</t>
  </si>
  <si>
    <t>28.54*100000000</t>
  </si>
  <si>
    <t>9.017*100000000</t>
  </si>
  <si>
    <t>3.690*100000000</t>
  </si>
  <si>
    <t>25.37*100000000</t>
  </si>
  <si>
    <t>18.71*100000000</t>
  </si>
  <si>
    <t>12.69*100000000</t>
  </si>
  <si>
    <t>5.809*100000000</t>
  </si>
  <si>
    <t>28.24*100000000</t>
  </si>
  <si>
    <t>23.10*100000000</t>
  </si>
  <si>
    <t>7.446*100000000</t>
  </si>
  <si>
    <t>61.38*100000000</t>
  </si>
  <si>
    <t>43.59*100000000</t>
  </si>
  <si>
    <t>26.17*100000000</t>
  </si>
  <si>
    <t>10.69*100000000</t>
  </si>
  <si>
    <t>24.10*100000000</t>
  </si>
  <si>
    <t>12.61*100000000</t>
  </si>
  <si>
    <t>7.390*100000000</t>
  </si>
  <si>
    <t>21.13*100000000</t>
  </si>
  <si>
    <t>15.51*100000000</t>
  </si>
  <si>
    <t>10.55*100000000</t>
  </si>
  <si>
    <t>4.942*100000000</t>
  </si>
  <si>
    <t>23.85*100000000</t>
  </si>
  <si>
    <t>19.18*100000000</t>
  </si>
  <si>
    <t>12.72*100000000</t>
  </si>
  <si>
    <t>6.211*100000000</t>
  </si>
  <si>
    <t>65.86*100000000</t>
  </si>
  <si>
    <t>49.28*100000000</t>
  </si>
  <si>
    <t>34.20*100000000</t>
  </si>
  <si>
    <t>16.93*100000000</t>
  </si>
  <si>
    <t>53.82*100000000</t>
  </si>
  <si>
    <t>36.38*100000000</t>
  </si>
  <si>
    <t>21.89*100000000</t>
  </si>
  <si>
    <t>8.544*100000000</t>
  </si>
  <si>
    <t>19.39*100000000</t>
  </si>
  <si>
    <t>12.68*100000000</t>
  </si>
  <si>
    <t>8.026*100000000</t>
  </si>
  <si>
    <t>4.075*100000000</t>
  </si>
  <si>
    <t>12.93*100000000</t>
  </si>
  <si>
    <t>9.520*100000000</t>
  </si>
  <si>
    <t>6.948*100000000</t>
  </si>
  <si>
    <t>3.131*100000000</t>
  </si>
  <si>
    <t>9197*10000</t>
  </si>
  <si>
    <t>7152*10000</t>
  </si>
  <si>
    <t>5742*10000</t>
  </si>
  <si>
    <t>8872*10000</t>
  </si>
  <si>
    <t>3161*10000</t>
  </si>
  <si>
    <t>997.6*10000</t>
  </si>
  <si>
    <t>747.0*10000</t>
  </si>
  <si>
    <t>498.0*10000</t>
  </si>
  <si>
    <t>6562*10000</t>
  </si>
  <si>
    <t>1284*10000</t>
  </si>
  <si>
    <t>365.5*10000</t>
  </si>
  <si>
    <t>9304*10000</t>
  </si>
  <si>
    <t>1.637*100000000</t>
  </si>
  <si>
    <t>1.424*100000000</t>
  </si>
  <si>
    <t>7360*10000</t>
  </si>
  <si>
    <t>6181*10000</t>
  </si>
  <si>
    <t>9124*10000</t>
  </si>
  <si>
    <t>3400*10000</t>
  </si>
  <si>
    <t>1058*10000</t>
  </si>
  <si>
    <t>809.1*10000</t>
  </si>
  <si>
    <t>557.0*10000</t>
  </si>
  <si>
    <t>1307*10000</t>
  </si>
  <si>
    <t>375.8*10000</t>
  </si>
  <si>
    <t>9821*10000</t>
  </si>
  <si>
    <t>1.392*100000000</t>
  </si>
  <si>
    <t>7183*10000</t>
  </si>
  <si>
    <t>5558*10000</t>
  </si>
  <si>
    <t>8783*10000</t>
  </si>
  <si>
    <t>3336*10000</t>
  </si>
  <si>
    <t>202.7*100000000</t>
  </si>
  <si>
    <t>153.8*100000000</t>
  </si>
  <si>
    <t>98.32*100000000</t>
  </si>
  <si>
    <t>45.05*100000000</t>
  </si>
  <si>
    <t>146.9*100000000</t>
  </si>
  <si>
    <t>68.79*100000000</t>
  </si>
  <si>
    <t>30.72*100000000</t>
  </si>
  <si>
    <t>132.4*100000000</t>
  </si>
  <si>
    <t>94.70*100000000</t>
  </si>
  <si>
    <t>59.73*100000000</t>
  </si>
  <si>
    <t>119.8*100000000</t>
  </si>
  <si>
    <t>89.74*100000000</t>
  </si>
  <si>
    <t>58.07*100000000</t>
  </si>
  <si>
    <t>28.28*100000000</t>
  </si>
  <si>
    <t>27.95*100000000</t>
  </si>
  <si>
    <t>16.84*100000000</t>
  </si>
  <si>
    <t>6.753*100000000</t>
  </si>
  <si>
    <t>4.315*100000000</t>
  </si>
  <si>
    <t>18.05*100000000</t>
  </si>
  <si>
    <t>13.08*100000000</t>
  </si>
  <si>
    <t>7.771*100000000</t>
  </si>
  <si>
    <t>3.180*100000000</t>
  </si>
  <si>
    <t>6.498*100000000</t>
  </si>
  <si>
    <t>3.087*100000000</t>
  </si>
  <si>
    <t>33.10*100000000</t>
  </si>
  <si>
    <t>27.92*100000000</t>
  </si>
  <si>
    <t>16.75*100000000</t>
  </si>
  <si>
    <t>6.717*100000000</t>
  </si>
  <si>
    <t>20.83*100000000</t>
  </si>
  <si>
    <t>16.01*100000000</t>
  </si>
  <si>
    <t>10.30*100000000</t>
  </si>
  <si>
    <t>4.283*100000000</t>
  </si>
  <si>
    <t>9.959*100000000</t>
  </si>
  <si>
    <t>6.520*100000000</t>
  </si>
  <si>
    <t>3.085*100000000</t>
  </si>
  <si>
    <t>29.25*100000000</t>
  </si>
  <si>
    <t>24.19*100000000</t>
  </si>
  <si>
    <t>14.63*100000000</t>
  </si>
  <si>
    <t>5.716*100000000</t>
  </si>
  <si>
    <t>18.00*100000000</t>
  </si>
  <si>
    <t>14.06*100000000</t>
  </si>
  <si>
    <t>9.013*100000000</t>
  </si>
  <si>
    <t>3.665*100000000</t>
  </si>
  <si>
    <t>15.63*100000000</t>
  </si>
  <si>
    <t>2.664*100000000</t>
  </si>
  <si>
    <t>10.65*100000000</t>
  </si>
  <si>
    <t>8.578*100000000</t>
  </si>
  <si>
    <t>5.643*100000000</t>
  </si>
  <si>
    <t>2.607*100000000</t>
  </si>
  <si>
    <t>33.12*100000000</t>
  </si>
  <si>
    <t>16.04*100000000</t>
  </si>
  <si>
    <t>11.57*100000000</t>
  </si>
  <si>
    <t>4.320*100000000</t>
  </si>
  <si>
    <t>24.92*100000000</t>
  </si>
  <si>
    <t>11.06*100000000</t>
  </si>
  <si>
    <t>5.537*100000000</t>
  </si>
  <si>
    <t>23.32*100000000</t>
  </si>
  <si>
    <t>9.228*100000000</t>
  </si>
  <si>
    <t>6.269*100000000</t>
  </si>
  <si>
    <t>2.164*100000000</t>
  </si>
  <si>
    <t>24.22*100000000</t>
  </si>
  <si>
    <t>8.765*100000000</t>
  </si>
  <si>
    <t>6485*10000</t>
  </si>
  <si>
    <t>4787*10000</t>
  </si>
  <si>
    <t>2925*10000</t>
  </si>
  <si>
    <t>1550*10000</t>
  </si>
  <si>
    <t>6155*10000</t>
  </si>
  <si>
    <t>5114*10000</t>
  </si>
  <si>
    <t>1723*10000</t>
  </si>
  <si>
    <t>6067*10000</t>
  </si>
  <si>
    <t>4453*10000</t>
  </si>
  <si>
    <t>2871*10000</t>
  </si>
  <si>
    <t>408.7*10000</t>
  </si>
  <si>
    <t>6001*10000</t>
  </si>
  <si>
    <t>4804*10000</t>
  </si>
  <si>
    <t>2799*10000</t>
  </si>
  <si>
    <t>323.3*10000</t>
  </si>
  <si>
    <t>6706*10000</t>
  </si>
  <si>
    <t>4789*10000</t>
  </si>
  <si>
    <t>2956*10000</t>
  </si>
  <si>
    <t>1556*10000</t>
  </si>
  <si>
    <t>5109*10000</t>
  </si>
  <si>
    <t>4153*10000</t>
  </si>
  <si>
    <t>733.3*10000</t>
  </si>
  <si>
    <t>6374*10000</t>
  </si>
  <si>
    <t>4808*10000</t>
  </si>
  <si>
    <t>3268*10000</t>
  </si>
  <si>
    <t>412.9*10000</t>
  </si>
  <si>
    <t>4790*10000</t>
  </si>
  <si>
    <t>2807*10000</t>
  </si>
  <si>
    <t>323.5*10000</t>
  </si>
  <si>
    <t>6249*10000</t>
  </si>
  <si>
    <t>4588*10000</t>
  </si>
  <si>
    <t>2755*10000</t>
  </si>
  <si>
    <t>5190*10000</t>
  </si>
  <si>
    <t>4147*10000</t>
  </si>
  <si>
    <t>727.1*10000</t>
  </si>
  <si>
    <t>6195*10000</t>
  </si>
  <si>
    <t>4607*10000</t>
  </si>
  <si>
    <t>3068*10000</t>
  </si>
  <si>
    <t>5785*10000</t>
  </si>
  <si>
    <t>4458*10000</t>
  </si>
  <si>
    <t>2476*10000</t>
  </si>
  <si>
    <t>322.1*10000</t>
  </si>
  <si>
    <t>1520*100000000</t>
  </si>
  <si>
    <t>1050*100000000</t>
  </si>
  <si>
    <t>653.8*100000000</t>
  </si>
  <si>
    <t>310.6*100000000</t>
  </si>
  <si>
    <t>2150*100000000</t>
  </si>
  <si>
    <t>1647*100000000</t>
  </si>
  <si>
    <t>1155*100000000</t>
  </si>
  <si>
    <t>480.1*100000000</t>
  </si>
  <si>
    <t>2147*100000000</t>
  </si>
  <si>
    <t>1506*100000000</t>
  </si>
  <si>
    <t>1060*100000000</t>
  </si>
  <si>
    <t>482.4*100000000</t>
  </si>
  <si>
    <t>1630*100000000</t>
  </si>
  <si>
    <t>1192*100000000</t>
  </si>
  <si>
    <t>763.1*100000000</t>
  </si>
  <si>
    <t>323.3*100000000</t>
  </si>
  <si>
    <t>242.6*100000000</t>
  </si>
  <si>
    <t>165.0*100000000</t>
  </si>
  <si>
    <t>78.25*100000000</t>
  </si>
  <si>
    <t>28.48*100000000</t>
  </si>
  <si>
    <t>97.11*100000000</t>
  </si>
  <si>
    <t>80.72*100000000</t>
  </si>
  <si>
    <t>158.1*100000000</t>
  </si>
  <si>
    <t>109.1*100000000</t>
  </si>
  <si>
    <t>84.07*100000000</t>
  </si>
  <si>
    <t>38.59*100000000</t>
  </si>
  <si>
    <t>153.7*100000000</t>
  </si>
  <si>
    <t>111.2*100000000</t>
  </si>
  <si>
    <t>79.22*100000000</t>
  </si>
  <si>
    <t>35.33*100000000</t>
  </si>
  <si>
    <t>240.4*100000000</t>
  </si>
  <si>
    <t>161.1*100000000</t>
  </si>
  <si>
    <t>76.96*100000000</t>
  </si>
  <si>
    <t>92.54*100000000</t>
  </si>
  <si>
    <t>103.6*100000000</t>
  </si>
  <si>
    <t>86.61*100000000</t>
  </si>
  <si>
    <t>111.4*100000000</t>
  </si>
  <si>
    <t>85.53*100000000</t>
  </si>
  <si>
    <t>39.15*100000000</t>
  </si>
  <si>
    <t>150.4*100000000</t>
  </si>
  <si>
    <t>110.3*100000000</t>
  </si>
  <si>
    <t>80.69*100000000</t>
  </si>
  <si>
    <t>36.14*100000000</t>
  </si>
  <si>
    <t>185.7*100000000</t>
  </si>
  <si>
    <t>129.9*100000000</t>
  </si>
  <si>
    <t>63.82*100000000</t>
  </si>
  <si>
    <t>68.38*100000000</t>
  </si>
  <si>
    <t>87.20*100000000</t>
  </si>
  <si>
    <t>70.93*100000000</t>
  </si>
  <si>
    <t>22.03*100000000</t>
  </si>
  <si>
    <t>89.89*100000000</t>
  </si>
  <si>
    <t>70.40*100000000</t>
  </si>
  <si>
    <t>30.17*100000000</t>
  </si>
  <si>
    <t>106.6*100000000</t>
  </si>
  <si>
    <t>75.03*100000000</t>
  </si>
  <si>
    <t>56.68*100000000</t>
  </si>
  <si>
    <t>27.47*100000000</t>
  </si>
  <si>
    <t>9.743*100000000</t>
  </si>
  <si>
    <t>4.238*100000000</t>
  </si>
  <si>
    <t>20.65*100000000</t>
  </si>
  <si>
    <t>14.45*100000000</t>
  </si>
  <si>
    <t>9.469*100000000</t>
  </si>
  <si>
    <t>3.935*100000000</t>
  </si>
  <si>
    <t>19.17*100000000</t>
  </si>
  <si>
    <t>12.92*100000000</t>
  </si>
  <si>
    <t>8.182*100000000</t>
  </si>
  <si>
    <t>3.727*100000000</t>
  </si>
  <si>
    <t>17.84*100000000</t>
  </si>
  <si>
    <t>13.53*100000000</t>
  </si>
  <si>
    <t>8.794*100000000</t>
  </si>
  <si>
    <t>3.583*100000000</t>
  </si>
  <si>
    <t>1852*10000</t>
  </si>
  <si>
    <t>1744*10000</t>
  </si>
  <si>
    <t>488.3*10000</t>
  </si>
  <si>
    <t>1526*10000</t>
  </si>
  <si>
    <t>1686*10000</t>
  </si>
  <si>
    <t>1518*10000</t>
  </si>
  <si>
    <t>417.7*10000</t>
  </si>
  <si>
    <t>2119*10000</t>
  </si>
  <si>
    <t>1992*10000</t>
  </si>
  <si>
    <t>420.8*10000</t>
  </si>
  <si>
    <t>2023*10000</t>
  </si>
  <si>
    <t>1873*10000</t>
  </si>
  <si>
    <t>487.4*10000</t>
  </si>
  <si>
    <t>2195*10000</t>
  </si>
  <si>
    <t>1954*10000</t>
  </si>
  <si>
    <t>1767*10000</t>
  </si>
  <si>
    <t>462.6*10000</t>
  </si>
  <si>
    <t>2782*10000</t>
  </si>
  <si>
    <t>2464*10000</t>
  </si>
  <si>
    <t>1978*10000</t>
  </si>
  <si>
    <t>494.6*10000</t>
  </si>
  <si>
    <t>1554*10000</t>
  </si>
  <si>
    <t>1474*10000</t>
  </si>
  <si>
    <t>340.4*10000</t>
  </si>
  <si>
    <t>1879*10000</t>
  </si>
  <si>
    <t>1444*10000</t>
  </si>
  <si>
    <t>339.9*10000</t>
  </si>
  <si>
    <t>2011*10000</t>
  </si>
  <si>
    <t>2022*10000</t>
  </si>
  <si>
    <t>1632*10000</t>
  </si>
  <si>
    <t>352.9*10000</t>
  </si>
  <si>
    <t>390.1*100000000</t>
  </si>
  <si>
    <t>270.5*100000000</t>
  </si>
  <si>
    <t>169.5*100000000</t>
  </si>
  <si>
    <t>80.56*100000000</t>
  </si>
  <si>
    <t>303.1*100000000</t>
  </si>
  <si>
    <t>221.0*100000000</t>
  </si>
  <si>
    <t>140.3*100000000</t>
  </si>
  <si>
    <t>58.81*100000000</t>
  </si>
  <si>
    <t>285.9*100000000</t>
  </si>
  <si>
    <t>212.3*100000000</t>
  </si>
  <si>
    <t>141.7*100000000</t>
  </si>
  <si>
    <t>67.30*100000000</t>
  </si>
  <si>
    <t>249.2*100000000</t>
  </si>
  <si>
    <t>181.4*100000000</t>
  </si>
  <si>
    <t>118.6*100000000</t>
  </si>
  <si>
    <t>57.19*100000000</t>
  </si>
  <si>
    <t>63.14*100000000</t>
  </si>
  <si>
    <t>33.28*100000000</t>
  </si>
  <si>
    <t>47.21*100000000</t>
  </si>
  <si>
    <t>33.90*100000000</t>
  </si>
  <si>
    <t>23.22*100000000</t>
  </si>
  <si>
    <t>7.896*100000000</t>
  </si>
  <si>
    <t>44.94*100000000</t>
  </si>
  <si>
    <t>22.18*100000000</t>
  </si>
  <si>
    <t>9.908*100000000</t>
  </si>
  <si>
    <t>35.36*100000000</t>
  </si>
  <si>
    <t>20.39*100000000</t>
  </si>
  <si>
    <t>9.686*100000000</t>
  </si>
  <si>
    <t>60.54*100000000</t>
  </si>
  <si>
    <t>46.66*100000000</t>
  </si>
  <si>
    <t>33.04*100000000</t>
  </si>
  <si>
    <t>11.45*100000000</t>
  </si>
  <si>
    <t>46.78*100000000</t>
  </si>
  <si>
    <t>33.60*100000000</t>
  </si>
  <si>
    <t>7.694*100000000</t>
  </si>
  <si>
    <t>45.26*100000000</t>
  </si>
  <si>
    <t>29.59*100000000</t>
  </si>
  <si>
    <t>21.96*100000000</t>
  </si>
  <si>
    <t>9.843*100000000</t>
  </si>
  <si>
    <t>35.80*100000000</t>
  </si>
  <si>
    <t>27.69*100000000</t>
  </si>
  <si>
    <t>9.691*100000000</t>
  </si>
  <si>
    <t>49.87*100000000</t>
  </si>
  <si>
    <t>39.35*100000000</t>
  </si>
  <si>
    <t>27.54*100000000</t>
  </si>
  <si>
    <t>9.787*100000000</t>
  </si>
  <si>
    <t>39.40*100000000</t>
  </si>
  <si>
    <t>27.50*100000000</t>
  </si>
  <si>
    <t>6.485*100000000</t>
  </si>
  <si>
    <t>37.44*100000000</t>
  </si>
  <si>
    <t>18.20*100000000</t>
  </si>
  <si>
    <t>8.508*100000000</t>
  </si>
  <si>
    <t>30.20*100000000</t>
  </si>
  <si>
    <t>17.38*100000000</t>
  </si>
  <si>
    <t>8.379*100000000</t>
  </si>
  <si>
    <t>33.39*100000000</t>
  </si>
  <si>
    <t>16.30*100000000</t>
  </si>
  <si>
    <t>9.213*100000000</t>
  </si>
  <si>
    <t>22.91*100000000</t>
  </si>
  <si>
    <t>15.98*100000000</t>
  </si>
  <si>
    <t>10.46*100000000</t>
  </si>
  <si>
    <t>5.632*100000000</t>
  </si>
  <si>
    <t>20.16*100000000</t>
  </si>
  <si>
    <t>13.55*100000000</t>
  </si>
  <si>
    <t>9.433*100000000</t>
  </si>
  <si>
    <t>5.586*100000000</t>
  </si>
  <si>
    <t>6.325*100000000</t>
  </si>
  <si>
    <t>2.537*100000000</t>
  </si>
  <si>
    <t>2.467*100000000</t>
  </si>
  <si>
    <t>2.013*100000000</t>
  </si>
  <si>
    <t>1.605*100000000</t>
  </si>
  <si>
    <t>1.327*100000000</t>
  </si>
  <si>
    <t>7578*10000</t>
  </si>
  <si>
    <t>4396*10000</t>
  </si>
  <si>
    <t>2573*10000</t>
  </si>
  <si>
    <t>843.7*10000</t>
  </si>
  <si>
    <t>2.521*100000000</t>
  </si>
  <si>
    <t>2.465*100000000</t>
  </si>
  <si>
    <t>2.010*100000000</t>
  </si>
  <si>
    <t>1.609*100000000</t>
  </si>
  <si>
    <t>7594*10000</t>
  </si>
  <si>
    <t>4402*10000</t>
  </si>
  <si>
    <t>2574*10000</t>
  </si>
  <si>
    <t>4513*10000</t>
  </si>
  <si>
    <t>4441*10000</t>
  </si>
  <si>
    <t>3260*10000</t>
  </si>
  <si>
    <t>849.1*10000</t>
  </si>
  <si>
    <t>2.148*100000000</t>
  </si>
  <si>
    <t>2.111*100000000</t>
  </si>
  <si>
    <t>1.823*100000000</t>
  </si>
  <si>
    <t>1.528*100000000</t>
  </si>
  <si>
    <t>6509*10000</t>
  </si>
  <si>
    <t>3642*10000</t>
  </si>
  <si>
    <t>2171*10000</t>
  </si>
  <si>
    <t>2614*10000</t>
  </si>
  <si>
    <t>3171*10000</t>
  </si>
  <si>
    <t>278.4*10000</t>
  </si>
  <si>
    <t>95.29*100000000</t>
  </si>
  <si>
    <t>72.73*100000000</t>
  </si>
  <si>
    <t>48.71*100000000</t>
  </si>
  <si>
    <t>22.54*100000000</t>
  </si>
  <si>
    <t>84.18*100000000</t>
  </si>
  <si>
    <t>69.68*100000000</t>
  </si>
  <si>
    <t>44.16*100000000</t>
  </si>
  <si>
    <t>18.54*100000000</t>
  </si>
  <si>
    <t>92.11*100000000</t>
  </si>
  <si>
    <t>70.50*100000000</t>
  </si>
  <si>
    <t>46.57*100000000</t>
  </si>
  <si>
    <t>90.10*100000000</t>
  </si>
  <si>
    <t>71.77*100000000</t>
  </si>
  <si>
    <t>47.23*100000000</t>
  </si>
  <si>
    <t>7.727*100000000</t>
  </si>
  <si>
    <t>5.915*100000000</t>
  </si>
  <si>
    <t>4.532*100000000</t>
  </si>
  <si>
    <t>7.028*100000000</t>
  </si>
  <si>
    <t>5.785*100000000</t>
  </si>
  <si>
    <t>3.277*100000000</t>
  </si>
  <si>
    <t>5924*10000</t>
  </si>
  <si>
    <t>6.101*100000000</t>
  </si>
  <si>
    <t>5.065*100000000</t>
  </si>
  <si>
    <t>3.391*100000000</t>
  </si>
  <si>
    <t>7813*10000</t>
  </si>
  <si>
    <t>5.545*100000000</t>
  </si>
  <si>
    <t>5.365*100000000</t>
  </si>
  <si>
    <t>4.125*100000000</t>
  </si>
  <si>
    <t>9066*10000</t>
  </si>
  <si>
    <t>7.608*100000000</t>
  </si>
  <si>
    <t>5.890*100000000</t>
  </si>
  <si>
    <t>1.670*100000000</t>
  </si>
  <si>
    <t>6.941*100000000</t>
  </si>
  <si>
    <t>3.175*100000000</t>
  </si>
  <si>
    <t>5260*10000</t>
  </si>
  <si>
    <t>5.946*100000000</t>
  </si>
  <si>
    <t>5.070*100000000</t>
  </si>
  <si>
    <t>3.394*100000000</t>
  </si>
  <si>
    <t>7880*10000</t>
  </si>
  <si>
    <t>5.521*100000000</t>
  </si>
  <si>
    <t>5.345*100000000</t>
  </si>
  <si>
    <t>4.090*100000000</t>
  </si>
  <si>
    <t>9115*10000</t>
  </si>
  <si>
    <t>6.027*100000000</t>
  </si>
  <si>
    <t>4.655*100000000</t>
  </si>
  <si>
    <t>1.319*100000000</t>
  </si>
  <si>
    <t>4.598*100000000</t>
  </si>
  <si>
    <t>2.574*100000000</t>
  </si>
  <si>
    <t>4337*10000</t>
  </si>
  <si>
    <t>5.199*100000000</t>
  </si>
  <si>
    <t>4.232*100000000</t>
  </si>
  <si>
    <t>2.870*100000000</t>
  </si>
  <si>
    <t>6079*10000</t>
  </si>
  <si>
    <t>4.122*100000000</t>
  </si>
  <si>
    <t>3.137*100000000</t>
  </si>
  <si>
    <t>6955*10000</t>
  </si>
  <si>
    <t>21.39*100000000</t>
  </si>
  <si>
    <t>4.943*100000000</t>
  </si>
  <si>
    <t>9.896*100000000</t>
  </si>
  <si>
    <t>6.286*100000000</t>
  </si>
  <si>
    <t>9.313*100000000</t>
  </si>
  <si>
    <t>6.188*100000000</t>
  </si>
  <si>
    <t>10.28*100000000</t>
  </si>
  <si>
    <t>7.413*100000000</t>
  </si>
  <si>
    <t>4.528*100000000</t>
  </si>
  <si>
    <t>2.127*100000000</t>
  </si>
  <si>
    <t>4.717*100000000</t>
  </si>
  <si>
    <t>3.337*100000000</t>
  </si>
  <si>
    <t>1.764*100000000</t>
  </si>
  <si>
    <t>4.721*100000000</t>
  </si>
  <si>
    <t>3.667*100000000</t>
  </si>
  <si>
    <t>2.494*100000000</t>
  </si>
  <si>
    <t>1.448*100000000</t>
  </si>
  <si>
    <t>3.512*100000000</t>
  </si>
  <si>
    <t>7973*10000</t>
  </si>
  <si>
    <t>2.441*100000000</t>
  </si>
  <si>
    <t>2.589*100000000</t>
  </si>
  <si>
    <t>1.453*100000000</t>
  </si>
  <si>
    <t>7791*10000</t>
  </si>
  <si>
    <t>2.549*100000000</t>
  </si>
  <si>
    <t>4.711*100000000</t>
  </si>
  <si>
    <t>3.341*100000000</t>
  </si>
  <si>
    <t>1.763*100000000</t>
  </si>
  <si>
    <t>3.647*100000000</t>
  </si>
  <si>
    <t>2.476*100000000</t>
  </si>
  <si>
    <t>3.527*100000000</t>
  </si>
  <si>
    <t>2.697*100000000</t>
  </si>
  <si>
    <t>7972*10000</t>
  </si>
  <si>
    <t>2.444*100000000</t>
  </si>
  <si>
    <t>2.594*100000000</t>
  </si>
  <si>
    <t>7789*10000</t>
  </si>
  <si>
    <t>3.004*100000000</t>
  </si>
  <si>
    <t>4.207*100000000</t>
  </si>
  <si>
    <t>3.269*100000000</t>
  </si>
  <si>
    <t>2.426*100000000</t>
  </si>
  <si>
    <t>7137*10000</t>
  </si>
  <si>
    <t>2.181*100000000</t>
  </si>
  <si>
    <t>2.328*100000000</t>
  </si>
  <si>
    <t>1.305*100000000</t>
  </si>
  <si>
    <t>6907*10000</t>
  </si>
  <si>
    <t>2.428*100000000</t>
  </si>
  <si>
    <t>1.772*100000000</t>
  </si>
  <si>
    <t>1.201*100000000</t>
  </si>
  <si>
    <t>6172*10000</t>
  </si>
  <si>
    <t>2.768*100000000</t>
  </si>
  <si>
    <t>2.117*100000000</t>
  </si>
  <si>
    <t>1.516*100000000</t>
  </si>
  <si>
    <t>8528*10000</t>
  </si>
  <si>
    <t>2.612*100000000</t>
  </si>
  <si>
    <t>1.886*100000000</t>
  </si>
  <si>
    <t>6169*10000</t>
  </si>
  <si>
    <t>1.697*100000000</t>
  </si>
  <si>
    <t>1.099*100000000</t>
  </si>
  <si>
    <t>5700*10000</t>
  </si>
  <si>
    <t>4.184*10000</t>
  </si>
  <si>
    <t>366.2*10000</t>
  </si>
  <si>
    <t>206.1*10000</t>
  </si>
  <si>
    <t>1987*10000</t>
  </si>
  <si>
    <t>719.5*10000</t>
  </si>
  <si>
    <t>620.3*10000</t>
  </si>
  <si>
    <t>692.6*10000</t>
  </si>
  <si>
    <t>91.12*10000</t>
  </si>
  <si>
    <t>344.9*10000</t>
  </si>
  <si>
    <t>207.7*10000</t>
  </si>
  <si>
    <t>770.2*10000</t>
  </si>
  <si>
    <t>664.5*10000</t>
  </si>
  <si>
    <t>695.5*10000</t>
  </si>
  <si>
    <t>77.03*10000</t>
  </si>
  <si>
    <t>55.08*100000000</t>
  </si>
  <si>
    <t>40.47*100000000</t>
  </si>
  <si>
    <t>26.98*100000000</t>
  </si>
  <si>
    <t>13.30*100000000</t>
  </si>
  <si>
    <t>44.56*100000000</t>
  </si>
  <si>
    <t>33.30*100000000</t>
  </si>
  <si>
    <t>21.69*100000000</t>
  </si>
  <si>
    <t>8.269*100000000</t>
  </si>
  <si>
    <t>40.44*100000000</t>
  </si>
  <si>
    <t>29.73*100000000</t>
  </si>
  <si>
    <t>19.57*100000000</t>
  </si>
  <si>
    <t>34.77*100000000</t>
  </si>
  <si>
    <t>26.26*100000000</t>
  </si>
  <si>
    <t>18.67*100000000</t>
  </si>
  <si>
    <t>9.624*100000000</t>
  </si>
  <si>
    <t>1.499*100000000</t>
  </si>
  <si>
    <t>1.286*100000000</t>
  </si>
  <si>
    <t>6931*10000</t>
  </si>
  <si>
    <t>1.928*100000000</t>
  </si>
  <si>
    <t>1.439*100000000</t>
  </si>
  <si>
    <t>1.170*100000000</t>
  </si>
  <si>
    <t>3325*10000</t>
  </si>
  <si>
    <t>8393*10000</t>
  </si>
  <si>
    <t>5433*10000</t>
  </si>
  <si>
    <t>3374*10000</t>
  </si>
  <si>
    <t>3196*10000</t>
  </si>
  <si>
    <t>4473*10000</t>
  </si>
  <si>
    <t>4454*10000</t>
  </si>
  <si>
    <t>2861*10000</t>
  </si>
  <si>
    <t>1.512*100000000</t>
  </si>
  <si>
    <t>1.233*100000000</t>
  </si>
  <si>
    <t>6963*10000</t>
  </si>
  <si>
    <t>1.885*100000000</t>
  </si>
  <si>
    <t>1.420*100000000</t>
  </si>
  <si>
    <t>3043*10000</t>
  </si>
  <si>
    <t>8497*10000</t>
  </si>
  <si>
    <t>5570*10000</t>
  </si>
  <si>
    <t>3429*10000</t>
  </si>
  <si>
    <t>3388*10000</t>
  </si>
  <si>
    <t>4401*10000</t>
  </si>
  <si>
    <t>2889*10000</t>
  </si>
  <si>
    <t>1.429*100000000</t>
  </si>
  <si>
    <t>1.126*100000000</t>
  </si>
  <si>
    <t>1.106*100000000</t>
  </si>
  <si>
    <t>5750*10000</t>
  </si>
  <si>
    <t>1.704*100000000</t>
  </si>
  <si>
    <t>1.200*100000000</t>
  </si>
  <si>
    <t>9816*10000</t>
  </si>
  <si>
    <t>2436*10000</t>
  </si>
  <si>
    <t>9207*10000</t>
  </si>
  <si>
    <t>6662*10000</t>
  </si>
  <si>
    <t>4315*10000</t>
  </si>
  <si>
    <t>3442*10000</t>
  </si>
  <si>
    <t>3414*10000</t>
  </si>
  <si>
    <t>3531*10000</t>
  </si>
  <si>
    <t>2327*10000</t>
  </si>
  <si>
    <t>287.3*100000000</t>
  </si>
  <si>
    <t>203.8*100000000</t>
  </si>
  <si>
    <t>125.4*100000000</t>
  </si>
  <si>
    <t>223.0*100000000</t>
  </si>
  <si>
    <t>156.0*100000000</t>
  </si>
  <si>
    <t>102.0*100000000</t>
  </si>
  <si>
    <t>49.46*100000000</t>
  </si>
  <si>
    <t>215.1*100000000</t>
  </si>
  <si>
    <t>163.3*100000000</t>
  </si>
  <si>
    <t>49.10*100000000</t>
  </si>
  <si>
    <t>202.2*100000000</t>
  </si>
  <si>
    <t>149.8*100000000</t>
  </si>
  <si>
    <t>96.78*100000000</t>
  </si>
  <si>
    <t>45.65*100000000</t>
  </si>
  <si>
    <t>41.45*100000000</t>
  </si>
  <si>
    <t>29.51*100000000</t>
  </si>
  <si>
    <t>17.47*100000000</t>
  </si>
  <si>
    <t>6.249*100000000</t>
  </si>
  <si>
    <t>17.67*100000000</t>
  </si>
  <si>
    <t>19.84*100000000</t>
  </si>
  <si>
    <t>16.53*100000000</t>
  </si>
  <si>
    <t>9.850*100000000</t>
  </si>
  <si>
    <t>3.511*100000000</t>
  </si>
  <si>
    <t>4.280*100000000</t>
  </si>
  <si>
    <t>41.39*100000000</t>
  </si>
  <si>
    <t>29.30*100000000</t>
  </si>
  <si>
    <t>6.288*100000000</t>
  </si>
  <si>
    <t>26.06*100000000</t>
  </si>
  <si>
    <t>3.682*100000000</t>
  </si>
  <si>
    <t>20.02*100000000</t>
  </si>
  <si>
    <t>16.61*100000000</t>
  </si>
  <si>
    <t>9.888*100000000</t>
  </si>
  <si>
    <t>3.525*100000000</t>
  </si>
  <si>
    <t>18.32*100000000</t>
  </si>
  <si>
    <t>18.11*100000000</t>
  </si>
  <si>
    <t>10.47*100000000</t>
  </si>
  <si>
    <t>4.221*100000000</t>
  </si>
  <si>
    <t>37.19*100000000</t>
  </si>
  <si>
    <t>26.18*100000000</t>
  </si>
  <si>
    <t>5.672*100000000</t>
  </si>
  <si>
    <t>9.245*100000000</t>
  </si>
  <si>
    <t>17.36*100000000</t>
  </si>
  <si>
    <t>13.66*100000000</t>
  </si>
  <si>
    <t>8.212*100000000</t>
  </si>
  <si>
    <t>14.82*100000000</t>
  </si>
  <si>
    <t>8.693*100000000</t>
  </si>
  <si>
    <t>3.349*100000000</t>
  </si>
  <si>
    <t>261.5*100000000</t>
  </si>
  <si>
    <t>200.8*100000000</t>
  </si>
  <si>
    <t>126.1*100000000</t>
  </si>
  <si>
    <t>57.84*100000000</t>
  </si>
  <si>
    <t>203.0*100000000</t>
  </si>
  <si>
    <t>146.5*100000000</t>
  </si>
  <si>
    <t>92.48*100000000</t>
  </si>
  <si>
    <t>42.87*100000000</t>
  </si>
  <si>
    <t>211.2*100000000</t>
  </si>
  <si>
    <t>106.3*100000000</t>
  </si>
  <si>
    <t>51.55*100000000</t>
  </si>
  <si>
    <t>207.8*100000000</t>
  </si>
  <si>
    <t>100.8*100000000</t>
  </si>
  <si>
    <t>44.42*100000000</t>
  </si>
  <si>
    <t>8.120*100000000</t>
  </si>
  <si>
    <t>5.703*100000000</t>
  </si>
  <si>
    <t>2.123*100000000</t>
  </si>
  <si>
    <t>1275*10000</t>
  </si>
  <si>
    <t>6.806*100000000</t>
  </si>
  <si>
    <t>6.473*100000000</t>
  </si>
  <si>
    <t>5.278*100000000</t>
  </si>
  <si>
    <t>1.110*100000000</t>
  </si>
  <si>
    <t>16.58*100000000</t>
  </si>
  <si>
    <t>17.31*100000000</t>
  </si>
  <si>
    <t>10.10*100000000</t>
  </si>
  <si>
    <t>3.425*100000000</t>
  </si>
  <si>
    <t>14.37*100000000</t>
  </si>
  <si>
    <t>10.11*100000000</t>
  </si>
  <si>
    <t>7.607*100000000</t>
  </si>
  <si>
    <t>5.659*100000000</t>
  </si>
  <si>
    <t>2.086*100000000</t>
  </si>
  <si>
    <t>942.2*10000</t>
  </si>
  <si>
    <t>5.922*100000000</t>
  </si>
  <si>
    <t>5.734*100000000</t>
  </si>
  <si>
    <t>5.182*100000000</t>
  </si>
  <si>
    <t>16.43*100000000</t>
  </si>
  <si>
    <t>17.18*100000000</t>
  </si>
  <si>
    <t>9.187*100000000</t>
  </si>
  <si>
    <t>7.660*100000000</t>
  </si>
  <si>
    <t>5.581*100000000</t>
  </si>
  <si>
    <t>4.208*100000000</t>
  </si>
  <si>
    <t>1.520*100000000</t>
  </si>
  <si>
    <t>445.9*10000</t>
  </si>
  <si>
    <t>4.277*100000000</t>
  </si>
  <si>
    <t>4.219*100000000</t>
  </si>
  <si>
    <t>3.801*100000000</t>
  </si>
  <si>
    <t>6862*10000</t>
  </si>
  <si>
    <t>12.77*100000000</t>
  </si>
  <si>
    <t>7.488*100000000</t>
  </si>
  <si>
    <t>8.498*100000000</t>
  </si>
  <si>
    <t>5.179*100000000</t>
  </si>
  <si>
    <t>2.233*100000000</t>
  </si>
  <si>
    <t>4.150*100000000</t>
  </si>
  <si>
    <t>1.921*100000000</t>
  </si>
  <si>
    <t>12.40*100000000</t>
  </si>
  <si>
    <t>8.255*100000000</t>
  </si>
  <si>
    <t>5.286*100000000</t>
  </si>
  <si>
    <t>2.719*100000000</t>
  </si>
  <si>
    <t>11.99*100000000</t>
  </si>
  <si>
    <t>8.731*100000000</t>
  </si>
  <si>
    <t>5.790*100000000</t>
  </si>
  <si>
    <t>5788*10000</t>
  </si>
  <si>
    <t>4389*10000</t>
  </si>
  <si>
    <t>1456*10000</t>
  </si>
  <si>
    <t>278.2*10000</t>
  </si>
  <si>
    <t>5102*10000</t>
  </si>
  <si>
    <t>5434*10000</t>
  </si>
  <si>
    <t>2434*10000</t>
  </si>
  <si>
    <t>5580*10000</t>
  </si>
  <si>
    <t>4816*10000</t>
  </si>
  <si>
    <t>3227*10000</t>
  </si>
  <si>
    <t>1489*10000</t>
  </si>
  <si>
    <t>6151*10000</t>
  </si>
  <si>
    <t>5024*10000</t>
  </si>
  <si>
    <t>2704*10000</t>
  </si>
  <si>
    <t>622.6*10000</t>
  </si>
  <si>
    <t>5753*10000</t>
  </si>
  <si>
    <t>4492*10000</t>
  </si>
  <si>
    <t>1447*10000</t>
  </si>
  <si>
    <t>265.4*10000</t>
  </si>
  <si>
    <t>4948*10000</t>
  </si>
  <si>
    <t>5320*10000</t>
  </si>
  <si>
    <t>2322*10000</t>
  </si>
  <si>
    <t>5456*10000</t>
  </si>
  <si>
    <t>4813*10000</t>
  </si>
  <si>
    <t>3224*10000</t>
  </si>
  <si>
    <t>1484*10000</t>
  </si>
  <si>
    <t>5999*10000</t>
  </si>
  <si>
    <t>4965*10000</t>
  </si>
  <si>
    <t>2644*10000</t>
  </si>
  <si>
    <t>571.6*10000</t>
  </si>
  <si>
    <t>4885*10000</t>
  </si>
  <si>
    <t>3481*10000</t>
  </si>
  <si>
    <t>1060*10000</t>
  </si>
  <si>
    <t>183.8*10000</t>
  </si>
  <si>
    <t>2222*10000</t>
  </si>
  <si>
    <t>4098*10000</t>
  </si>
  <si>
    <t>2124*10000</t>
  </si>
  <si>
    <t>3806*10000</t>
  </si>
  <si>
    <t>3360*10000</t>
  </si>
  <si>
    <t>2237*10000</t>
  </si>
  <si>
    <t>1002*10000</t>
  </si>
  <si>
    <t>4036*10000</t>
  </si>
  <si>
    <t>3527*10000</t>
  </si>
  <si>
    <t>1853*10000</t>
  </si>
  <si>
    <t>340.3*10000</t>
  </si>
  <si>
    <t>10.88*100000000</t>
  </si>
  <si>
    <t>7.316*100000000</t>
  </si>
  <si>
    <t>3.736*100000000</t>
  </si>
  <si>
    <t>9.810*100000000</t>
  </si>
  <si>
    <t>6.385*100000000</t>
  </si>
  <si>
    <t>3.077*100000000</t>
  </si>
  <si>
    <t>10.67*100000000</t>
  </si>
  <si>
    <t>7.085*100000000</t>
  </si>
  <si>
    <t>11.47*100000000</t>
  </si>
  <si>
    <t>7.677*100000000</t>
  </si>
  <si>
    <t>6069*10000</t>
  </si>
  <si>
    <t>5501*10000</t>
  </si>
  <si>
    <t>3158*10000</t>
  </si>
  <si>
    <t>4114*10000</t>
  </si>
  <si>
    <t>4578*10000</t>
  </si>
  <si>
    <t>2522*10000</t>
  </si>
  <si>
    <t>777.8*10000</t>
  </si>
  <si>
    <t>1217*10000</t>
  </si>
  <si>
    <t>646.5*10000</t>
  </si>
  <si>
    <t>157.1*10000</t>
  </si>
  <si>
    <t>131.4*10000</t>
  </si>
  <si>
    <t>824.2*10000</t>
  </si>
  <si>
    <t>1327*10000</t>
  </si>
  <si>
    <t>652.9*10000</t>
  </si>
  <si>
    <t>6116*10000</t>
  </si>
  <si>
    <t>5524*10000</t>
  </si>
  <si>
    <t>3163*10000</t>
  </si>
  <si>
    <t>1555*10000</t>
  </si>
  <si>
    <t>4810*10000</t>
  </si>
  <si>
    <t>4519*10000</t>
  </si>
  <si>
    <t>2540*10000</t>
  </si>
  <si>
    <t>781.8*10000</t>
  </si>
  <si>
    <t>1268*10000</t>
  </si>
  <si>
    <t>661.5*10000</t>
  </si>
  <si>
    <t>201.0*10000</t>
  </si>
  <si>
    <t>175.0*10000</t>
  </si>
  <si>
    <t>890.9*10000</t>
  </si>
  <si>
    <t>1792*10000</t>
  </si>
  <si>
    <t>636.8*10000</t>
  </si>
  <si>
    <t>1280*10000</t>
  </si>
  <si>
    <t>884.6*10000</t>
  </si>
  <si>
    <t>1796*10000</t>
  </si>
  <si>
    <t>10.00*100000000</t>
  </si>
  <si>
    <t>7.434*100000000</t>
  </si>
  <si>
    <t>5.022*100000000</t>
  </si>
  <si>
    <t>2.487*100000000</t>
  </si>
  <si>
    <t>8.471*100000000</t>
  </si>
  <si>
    <t>6.214*100000000</t>
  </si>
  <si>
    <t>1.912*100000000</t>
  </si>
  <si>
    <t>8.221*100000000</t>
  </si>
  <si>
    <t>6.072*100000000</t>
  </si>
  <si>
    <t>4.105*100000000</t>
  </si>
  <si>
    <t>6.514*100000000</t>
  </si>
  <si>
    <t>4.524*100000000</t>
  </si>
  <si>
    <t>5429*10000</t>
  </si>
  <si>
    <t>3661*10000</t>
  </si>
  <si>
    <t>3021*10000</t>
  </si>
  <si>
    <t>1820*10000</t>
  </si>
  <si>
    <t>1186*10000</t>
  </si>
  <si>
    <t>1357*10000</t>
  </si>
  <si>
    <t>857.7*10000</t>
  </si>
  <si>
    <t>284.6*10000</t>
  </si>
  <si>
    <t>507.5*10000</t>
  </si>
  <si>
    <t>307.4*10000</t>
  </si>
  <si>
    <t>5164*10000</t>
  </si>
  <si>
    <t>3780*10000</t>
  </si>
  <si>
    <t>3097*10000</t>
  </si>
  <si>
    <t>1889*10000</t>
  </si>
  <si>
    <t>1256*10000</t>
  </si>
  <si>
    <t>1576*10000</t>
  </si>
  <si>
    <t>36.18*10000</t>
  </si>
  <si>
    <t>1048*10000</t>
  </si>
  <si>
    <t>394.0*10000</t>
  </si>
  <si>
    <t>584.8*10000</t>
  </si>
  <si>
    <t>362.1*10000</t>
  </si>
  <si>
    <t>5032*10000</t>
  </si>
  <si>
    <t>3601*10000</t>
  </si>
  <si>
    <t>2975*10000</t>
  </si>
  <si>
    <t>964.2*10000</t>
  </si>
  <si>
    <t>946.1*10000</t>
  </si>
  <si>
    <t>1041*10000</t>
  </si>
  <si>
    <t>402.6*10000</t>
  </si>
  <si>
    <t>551.7*10000</t>
  </si>
  <si>
    <t>319.3*10000</t>
  </si>
  <si>
    <t>7.175*100000000</t>
  </si>
  <si>
    <t>4.902*100000000</t>
  </si>
  <si>
    <t>3.679*100000000</t>
  </si>
  <si>
    <t>1.707*100000000</t>
  </si>
  <si>
    <t>6.854*100000000</t>
  </si>
  <si>
    <t>4.889*100000000</t>
  </si>
  <si>
    <t>2.923*100000000</t>
  </si>
  <si>
    <t>11.87*100000000</t>
  </si>
  <si>
    <t>8.818*100000000</t>
  </si>
  <si>
    <t>6.064*100000000</t>
  </si>
  <si>
    <t>8.946*100000000</t>
  </si>
  <si>
    <t>5.876*100000000</t>
  </si>
  <si>
    <t>2.851*100000000</t>
  </si>
  <si>
    <t>803.4*10000</t>
  </si>
  <si>
    <t>7560*10000</t>
  </si>
  <si>
    <t>7351*10000</t>
  </si>
  <si>
    <t>697.6*10000</t>
  </si>
  <si>
    <t>3911*10000</t>
  </si>
  <si>
    <t>1708*10000</t>
  </si>
  <si>
    <t>592.5*10000</t>
  </si>
  <si>
    <t>7134*10000</t>
  </si>
  <si>
    <t>7517*10000</t>
  </si>
  <si>
    <t>854.2*10000</t>
  </si>
  <si>
    <t>4170*10000</t>
  </si>
  <si>
    <t>6281*10000</t>
  </si>
  <si>
    <t>1587*10000</t>
  </si>
  <si>
    <t>926.7*10000</t>
  </si>
  <si>
    <t>288.7*10000</t>
  </si>
  <si>
    <t>5823*10000</t>
  </si>
  <si>
    <t>6257*10000</t>
  </si>
  <si>
    <t>196.5*10000</t>
  </si>
  <si>
    <t>2093*10000</t>
  </si>
  <si>
    <t>4302*10000</t>
  </si>
  <si>
    <t>789.3*10000</t>
  </si>
  <si>
    <t>43.37*100000000</t>
  </si>
  <si>
    <t>42.48*100000000</t>
  </si>
  <si>
    <t>34.26*100000000</t>
  </si>
  <si>
    <t>17.83*100000000</t>
  </si>
  <si>
    <t>3.348*100000000</t>
  </si>
  <si>
    <t>32.57*100000000</t>
  </si>
  <si>
    <t>23.67*100000000</t>
  </si>
  <si>
    <t>16.71*100000000</t>
  </si>
  <si>
    <t>9.356*100000000</t>
  </si>
  <si>
    <t>21.75*100000000</t>
  </si>
  <si>
    <t>16.72*100000000</t>
  </si>
  <si>
    <t>13.00*100000000</t>
  </si>
  <si>
    <t>5.534*100000000</t>
  </si>
  <si>
    <t>3.221*100000000</t>
  </si>
  <si>
    <t>2.784*100000000</t>
  </si>
  <si>
    <t>2.282*100000000</t>
  </si>
  <si>
    <t>9966*10000</t>
  </si>
  <si>
    <t>4.050*100000000</t>
  </si>
  <si>
    <t>3.062*100000000</t>
  </si>
  <si>
    <t>4053*10000</t>
  </si>
  <si>
    <t>1.456*100000000</t>
  </si>
  <si>
    <t>1.116*100000000</t>
  </si>
  <si>
    <t>3817*10000</t>
  </si>
  <si>
    <t>1.001*100000000</t>
  </si>
  <si>
    <t>1.314*100000000</t>
  </si>
  <si>
    <t>1.027*100000000</t>
  </si>
  <si>
    <t>6360*10000</t>
  </si>
  <si>
    <t>3.285*100000000</t>
  </si>
  <si>
    <t>2.821*100000000</t>
  </si>
  <si>
    <t>2.329*100000000</t>
  </si>
  <si>
    <t>9957*10000</t>
  </si>
  <si>
    <t>4.111*100000000</t>
  </si>
  <si>
    <t>4862*10000</t>
  </si>
  <si>
    <t>1.943*100000000</t>
  </si>
  <si>
    <t>1.458*100000000</t>
  </si>
  <si>
    <t>1.121*100000000</t>
  </si>
  <si>
    <t>3916*10000</t>
  </si>
  <si>
    <t>9712*10000</t>
  </si>
  <si>
    <t>1.352*100000000</t>
  </si>
  <si>
    <t>3.167*100000000</t>
  </si>
  <si>
    <t>2.743*100000000</t>
  </si>
  <si>
    <t>2.313*100000000</t>
  </si>
  <si>
    <t>9921*10000</t>
  </si>
  <si>
    <t>3.546*100000000</t>
  </si>
  <si>
    <t>2.682*100000000</t>
  </si>
  <si>
    <t>4647*10000</t>
  </si>
  <si>
    <t>1.780*100000000</t>
  </si>
  <si>
    <t>1.100*100000000</t>
  </si>
  <si>
    <t>3913*10000</t>
  </si>
  <si>
    <t>9036*10000</t>
  </si>
  <si>
    <t>6290*10000</t>
  </si>
  <si>
    <t>24.31*100000000</t>
  </si>
  <si>
    <t>6.662*100000000</t>
  </si>
  <si>
    <t>15.43*100000000</t>
  </si>
  <si>
    <t>9.809*100000000</t>
  </si>
  <si>
    <t>35.45*100000000</t>
  </si>
  <si>
    <t>27.77*100000000</t>
  </si>
  <si>
    <t>8.043*100000000</t>
  </si>
  <si>
    <t>50.19*100000000</t>
  </si>
  <si>
    <t>42.96*100000000</t>
  </si>
  <si>
    <t>12.44*100000000</t>
  </si>
  <si>
    <t>8949*10000</t>
  </si>
  <si>
    <t>6326*10000</t>
  </si>
  <si>
    <t>3025*10000</t>
  </si>
  <si>
    <t>9611*10000</t>
  </si>
  <si>
    <t>1881*10000</t>
  </si>
  <si>
    <t>8369*10000</t>
  </si>
  <si>
    <t>4506*10000</t>
  </si>
  <si>
    <t>265.6*10000</t>
  </si>
  <si>
    <t>9061*10000</t>
  </si>
  <si>
    <t>9267*10000</t>
  </si>
  <si>
    <t>6461*10000</t>
  </si>
  <si>
    <t>3111*10000</t>
  </si>
  <si>
    <t>1.215*100000000</t>
  </si>
  <si>
    <t>1.197*100000000</t>
  </si>
  <si>
    <t>9955*10000</t>
  </si>
  <si>
    <t>2155*10000</t>
  </si>
  <si>
    <t>9610*10000</t>
  </si>
  <si>
    <t>5492*10000</t>
  </si>
  <si>
    <t>745.4*10000</t>
  </si>
  <si>
    <t>7826*10000</t>
  </si>
  <si>
    <t>8157*10000</t>
  </si>
  <si>
    <t>5687*10000</t>
  </si>
  <si>
    <t>2819*10000</t>
  </si>
  <si>
    <t>7942*10000</t>
  </si>
  <si>
    <t>8198*10000</t>
  </si>
  <si>
    <t>6536*10000</t>
  </si>
  <si>
    <t>1189*10000</t>
  </si>
  <si>
    <t>8074*10000</t>
  </si>
  <si>
    <t>4717*10000</t>
  </si>
  <si>
    <t>382.4*10000</t>
  </si>
  <si>
    <t>61.53*100000000</t>
  </si>
  <si>
    <t>31.44*100000000</t>
  </si>
  <si>
    <t>12.71*100000000</t>
  </si>
  <si>
    <t>52.82*100000000</t>
  </si>
  <si>
    <t>35.76*100000000</t>
  </si>
  <si>
    <t>19.04*100000000</t>
  </si>
  <si>
    <t>8.007*100000000</t>
  </si>
  <si>
    <t>83.11*100000000</t>
  </si>
  <si>
    <t>39.90*100000000</t>
  </si>
  <si>
    <t>19.44*100000000</t>
  </si>
  <si>
    <t>85.39*100000000</t>
  </si>
  <si>
    <t>63.69*100000000</t>
  </si>
  <si>
    <t>40.02*100000000</t>
  </si>
  <si>
    <t>19.24*100000000</t>
  </si>
  <si>
    <t>403.4*10000</t>
  </si>
  <si>
    <t>1.627*100000000</t>
  </si>
  <si>
    <t>9600*10000</t>
  </si>
  <si>
    <t>5.575*100000000</t>
  </si>
  <si>
    <t>1.570*100000000</t>
  </si>
  <si>
    <t>12.81*100000000</t>
  </si>
  <si>
    <t>11.42*100000000</t>
  </si>
  <si>
    <t>5.250*100000000</t>
  </si>
  <si>
    <t>1.537*100000000</t>
  </si>
  <si>
    <t>603.8*10000</t>
  </si>
  <si>
    <t>9805*10000</t>
  </si>
  <si>
    <t>5.571*100000000</t>
  </si>
  <si>
    <t>11.56*100000000</t>
  </si>
  <si>
    <t>5.261*100000000</t>
  </si>
  <si>
    <t>1.554*100000000</t>
  </si>
  <si>
    <t>1011*10000</t>
  </si>
  <si>
    <t>1.051*100000000</t>
  </si>
  <si>
    <t>6202*10000</t>
  </si>
  <si>
    <t>9.193*100000000</t>
  </si>
  <si>
    <t>7.470*100000000</t>
  </si>
  <si>
    <t>3.962*100000000</t>
  </si>
  <si>
    <t>9832*10000</t>
  </si>
  <si>
    <t>8.923*100000000</t>
  </si>
  <si>
    <t>8.328*100000000</t>
  </si>
  <si>
    <t>3.675*100000000</t>
  </si>
  <si>
    <t>9550*10000</t>
  </si>
  <si>
    <t>121.4*100000000</t>
  </si>
  <si>
    <t>91.07*100000000</t>
  </si>
  <si>
    <t>30.68*100000000</t>
  </si>
  <si>
    <t>113.5*100000000</t>
  </si>
  <si>
    <t>81.54*100000000</t>
  </si>
  <si>
    <t>24.99*100000000</t>
  </si>
  <si>
    <t>110.7*100000000</t>
  </si>
  <si>
    <t>83.12*100000000</t>
  </si>
  <si>
    <t>56.66*100000000</t>
  </si>
  <si>
    <t>101.9*100000000</t>
  </si>
  <si>
    <t>78.05*100000000</t>
  </si>
  <si>
    <t>53.31*100000000</t>
  </si>
  <si>
    <t>28.22*100000000</t>
  </si>
  <si>
    <t>7.001*100000000</t>
  </si>
  <si>
    <t>6.291*100000000</t>
  </si>
  <si>
    <t>3.868*100000000</t>
  </si>
  <si>
    <t>2.355*100000000</t>
  </si>
  <si>
    <t>7.769*100000000</t>
  </si>
  <si>
    <t>6.005*100000000</t>
  </si>
  <si>
    <t>5.283*100000000</t>
  </si>
  <si>
    <t>1.015*100000000</t>
  </si>
  <si>
    <t>5.209*100000000</t>
  </si>
  <si>
    <t>16.26*100000000</t>
  </si>
  <si>
    <t>2.150*100000000</t>
  </si>
  <si>
    <t>3.360*100000000</t>
  </si>
  <si>
    <t>3.123*100000000</t>
  </si>
  <si>
    <t>6.442*100000000</t>
  </si>
  <si>
    <t>6.371*100000000</t>
  </si>
  <si>
    <t>2.332*100000000</t>
  </si>
  <si>
    <t>9.041*100000000</t>
  </si>
  <si>
    <t>5.149*100000000</t>
  </si>
  <si>
    <t>9819*10000</t>
  </si>
  <si>
    <t>5.071*100000000</t>
  </si>
  <si>
    <t>3.314*100000000</t>
  </si>
  <si>
    <t>2.125*100000000</t>
  </si>
  <si>
    <t>3.450*100000000</t>
  </si>
  <si>
    <t>3.145*100000000</t>
  </si>
  <si>
    <t>1.515*100000000</t>
  </si>
  <si>
    <t>3.396*100000000</t>
  </si>
  <si>
    <t>1.878*100000000</t>
  </si>
  <si>
    <t>5.968*100000000</t>
  </si>
  <si>
    <t>4.184*100000000</t>
  </si>
  <si>
    <t>3.233*100000000</t>
  </si>
  <si>
    <t>1.551*100000000</t>
  </si>
  <si>
    <t>2.674*100000000</t>
  </si>
  <si>
    <t>2.425*100000000</t>
  </si>
  <si>
    <t>1.302*100000000</t>
  </si>
  <si>
    <t>58.93*100000000</t>
  </si>
  <si>
    <t>35.49*100000000</t>
  </si>
  <si>
    <t>7.528*100000000</t>
  </si>
  <si>
    <t>50.32*100000000</t>
  </si>
  <si>
    <t>14.79*100000000</t>
  </si>
  <si>
    <t>3.982*100000000</t>
  </si>
  <si>
    <t>49.47*100000000</t>
  </si>
  <si>
    <t>6.424*100000000</t>
  </si>
  <si>
    <t>49.31*100000000</t>
  </si>
  <si>
    <t>28.59*100000000</t>
  </si>
  <si>
    <t>5.939*100000000</t>
  </si>
  <si>
    <t>4.812*100000000</t>
  </si>
  <si>
    <t>2.474*100000000</t>
  </si>
  <si>
    <t>1401*10000</t>
  </si>
  <si>
    <t>2.762*100000000</t>
  </si>
  <si>
    <t>2790*10000</t>
  </si>
  <si>
    <t>8278*10000</t>
  </si>
  <si>
    <t>2004*10000</t>
  </si>
  <si>
    <t>4.842*100000000</t>
  </si>
  <si>
    <t>1552*10000</t>
  </si>
  <si>
    <t>2.775*100000000</t>
  </si>
  <si>
    <t>2841*10000</t>
  </si>
  <si>
    <t>2.547*100000000</t>
  </si>
  <si>
    <t>2.505*100000000</t>
  </si>
  <si>
    <t>8253*10000</t>
  </si>
  <si>
    <t>4.376*100000000</t>
  </si>
  <si>
    <t>2.161*100000000</t>
  </si>
  <si>
    <t>2.380*100000000</t>
  </si>
  <si>
    <t>347.2*10000</t>
  </si>
  <si>
    <t>1.971*100000000</t>
  </si>
  <si>
    <t>5786*10000</t>
  </si>
  <si>
    <t>64.30*100000000</t>
  </si>
  <si>
    <t>41.46*100000000</t>
  </si>
  <si>
    <t>50.66*100000000</t>
  </si>
  <si>
    <t>17.92*100000000</t>
  </si>
  <si>
    <t>7.506*100000000</t>
  </si>
  <si>
    <t>50.39*100000000</t>
  </si>
  <si>
    <t>33.58*100000000</t>
  </si>
  <si>
    <t>10.99*100000000</t>
  </si>
  <si>
    <t>45.76*100000000</t>
  </si>
  <si>
    <t>31.72*100000000</t>
  </si>
  <si>
    <t>20.96*100000000</t>
  </si>
  <si>
    <t>10.84*100000000</t>
  </si>
  <si>
    <t>12.16*100000000</t>
  </si>
  <si>
    <t>6.549*100000000</t>
  </si>
  <si>
    <t>5.620*100000000</t>
  </si>
  <si>
    <t>10.56*100000000</t>
  </si>
  <si>
    <t>8.402*100000000</t>
  </si>
  <si>
    <t>8.989*100000000</t>
  </si>
  <si>
    <t>14.83*100000000</t>
  </si>
  <si>
    <t>8.433*100000000</t>
  </si>
  <si>
    <t>3.219*100000000</t>
  </si>
  <si>
    <t>13.71*100000000</t>
  </si>
  <si>
    <t>9.476*100000000</t>
  </si>
  <si>
    <t>7.793*100000000</t>
  </si>
  <si>
    <t>3.025*100000000</t>
  </si>
  <si>
    <t>8.056*100000000</t>
  </si>
  <si>
    <t>2.097*100000000</t>
  </si>
  <si>
    <t>15.68*100000000</t>
  </si>
  <si>
    <t>3.278*100000000</t>
  </si>
  <si>
    <t>9.961*100000000</t>
  </si>
  <si>
    <t>6.804*100000000</t>
  </si>
  <si>
    <t>5.633*100000000</t>
  </si>
  <si>
    <t>2.145*100000000</t>
  </si>
  <si>
    <t>10.75*100000000</t>
  </si>
  <si>
    <t>8.830*100000000</t>
  </si>
  <si>
    <t>7.349*100000000</t>
  </si>
  <si>
    <t>11.11*100000000</t>
  </si>
  <si>
    <t>7.972*100000000</t>
  </si>
  <si>
    <t>5.693*100000000</t>
  </si>
  <si>
    <t>235.2*100000000</t>
  </si>
  <si>
    <t>141.6*100000000</t>
  </si>
  <si>
    <t>91.88*100000000</t>
  </si>
  <si>
    <t>218.1*100000000</t>
  </si>
  <si>
    <t>108.7*100000000</t>
  </si>
  <si>
    <t>88.20*100000000</t>
  </si>
  <si>
    <t>39.25*100000000</t>
  </si>
  <si>
    <t>339.8*100000000</t>
  </si>
  <si>
    <t>191.5*100000000</t>
  </si>
  <si>
    <t>119.1*100000000</t>
  </si>
  <si>
    <t>53.53*100000000</t>
  </si>
  <si>
    <t>279.4*100000000</t>
  </si>
  <si>
    <t>231.1*100000000</t>
  </si>
  <si>
    <t>155.8*100000000</t>
  </si>
  <si>
    <t>54.71*100000000</t>
  </si>
  <si>
    <t>15.05*100000000</t>
  </si>
  <si>
    <t>9.858*100000000</t>
  </si>
  <si>
    <t>5.993*100000000</t>
  </si>
  <si>
    <t>24.14*100000000</t>
  </si>
  <si>
    <t>9.234*100000000</t>
  </si>
  <si>
    <t>5.211*100000000</t>
  </si>
  <si>
    <t>29.33*100000000</t>
  </si>
  <si>
    <t>20.94*100000000</t>
  </si>
  <si>
    <t>13.24*100000000</t>
  </si>
  <si>
    <t>7.872*100000000</t>
  </si>
  <si>
    <t>34.00*100000000</t>
  </si>
  <si>
    <t>18.99*100000000</t>
  </si>
  <si>
    <t>3.722*100000000</t>
  </si>
  <si>
    <t>27.05*100000000</t>
  </si>
  <si>
    <t>15.27*100000000</t>
  </si>
  <si>
    <t>6.031*100000000</t>
  </si>
  <si>
    <t>23.93*100000000</t>
  </si>
  <si>
    <t>9.203*100000000</t>
  </si>
  <si>
    <t>5.279*100000000</t>
  </si>
  <si>
    <t>29.94*100000000</t>
  </si>
  <si>
    <t>21.18*100000000</t>
  </si>
  <si>
    <t>13.38*100000000</t>
  </si>
  <si>
    <t>7.894*100000000</t>
  </si>
  <si>
    <t>33.52*100000000</t>
  </si>
  <si>
    <t>19.12*100000000</t>
  </si>
  <si>
    <t>3.771*100000000</t>
  </si>
  <si>
    <t>22.44*100000000</t>
  </si>
  <si>
    <t>8.503*100000000</t>
  </si>
  <si>
    <t>4.672*100000000</t>
  </si>
  <si>
    <t>20.78*100000000</t>
  </si>
  <si>
    <t>7.534*100000000</t>
  </si>
  <si>
    <t>4.792*100000000</t>
  </si>
  <si>
    <t>24.23*100000000</t>
  </si>
  <si>
    <t>11.00*100000000</t>
  </si>
  <si>
    <t>6.773*100000000</t>
  </si>
  <si>
    <t>15.58*100000000</t>
  </si>
  <si>
    <t>8.660*100000000</t>
  </si>
  <si>
    <t>2.976*100000000</t>
  </si>
  <si>
    <t>6.698*100000000</t>
  </si>
  <si>
    <t>3.361*100000000</t>
  </si>
  <si>
    <t>1.915*100000000</t>
  </si>
  <si>
    <t>7.618*100000000</t>
  </si>
  <si>
    <t>3.942*100000000</t>
  </si>
  <si>
    <t>2.100*100000000</t>
  </si>
  <si>
    <t>8.704*100000000</t>
  </si>
  <si>
    <t>6.403*100000000</t>
  </si>
  <si>
    <t>4.414*100000000</t>
  </si>
  <si>
    <t>2.556*100000000</t>
  </si>
  <si>
    <t>8.776*100000000</t>
  </si>
  <si>
    <t>6.430*100000000</t>
  </si>
  <si>
    <t>4.443*100000000</t>
  </si>
  <si>
    <t>2.461*100000000</t>
  </si>
  <si>
    <t>2572*10000</t>
  </si>
  <si>
    <t>1132*10000</t>
  </si>
  <si>
    <t>343.5*10000</t>
  </si>
  <si>
    <t>1341*10000</t>
  </si>
  <si>
    <t>999.7*10000</t>
  </si>
  <si>
    <t>641.0*10000</t>
  </si>
  <si>
    <t>3344*10000</t>
  </si>
  <si>
    <t>2593*10000</t>
  </si>
  <si>
    <t>1925*10000</t>
  </si>
  <si>
    <t>1014*10000</t>
  </si>
  <si>
    <t>3963*10000</t>
  </si>
  <si>
    <t>3166*10000</t>
  </si>
  <si>
    <t>1150*10000</t>
  </si>
  <si>
    <t>2463*10000</t>
  </si>
  <si>
    <t>1067*10000</t>
  </si>
  <si>
    <t>338.2*10000</t>
  </si>
  <si>
    <t>2282*10000</t>
  </si>
  <si>
    <t>1296*10000</t>
  </si>
  <si>
    <t>993.2*10000</t>
  </si>
  <si>
    <t>635.4*10000</t>
  </si>
  <si>
    <t>3298*10000</t>
  </si>
  <si>
    <t>2577*10000</t>
  </si>
  <si>
    <t>1893*10000</t>
  </si>
  <si>
    <t>984.0*10000</t>
  </si>
  <si>
    <t>4651*10000</t>
  </si>
  <si>
    <t>3957*10000</t>
  </si>
  <si>
    <t>3165*10000</t>
  </si>
  <si>
    <t>1638*10000</t>
  </si>
  <si>
    <t>381.7*10000</t>
  </si>
  <si>
    <t>358.3*10000</t>
  </si>
  <si>
    <t>1291*10000</t>
  </si>
  <si>
    <t>353.7*10000</t>
  </si>
  <si>
    <t>202.9*10000</t>
  </si>
  <si>
    <t>2168*10000</t>
  </si>
  <si>
    <t>1404*10000</t>
  </si>
  <si>
    <t>1143*10000</t>
  </si>
  <si>
    <t>690.4*10000</t>
  </si>
  <si>
    <t>3514*10000</t>
  </si>
  <si>
    <t>2678*10000</t>
  </si>
  <si>
    <t>2137*10000</t>
  </si>
  <si>
    <t>807.2*10000</t>
  </si>
  <si>
    <t>89.57*100000000</t>
  </si>
  <si>
    <t>58.55*100000000</t>
  </si>
  <si>
    <t>33.68*100000000</t>
  </si>
  <si>
    <t>55.68*100000000</t>
  </si>
  <si>
    <t>39.18*100000000</t>
  </si>
  <si>
    <t>25.12*100000000</t>
  </si>
  <si>
    <t>11.82*100000000</t>
  </si>
  <si>
    <t>53.69*100000000</t>
  </si>
  <si>
    <t>40.63*100000000</t>
  </si>
  <si>
    <t>56.04*100000000</t>
  </si>
  <si>
    <t>41.90*100000000</t>
  </si>
  <si>
    <t>13.70*100000000</t>
  </si>
  <si>
    <t>21.05*100000000</t>
  </si>
  <si>
    <t>13.96*100000000</t>
  </si>
  <si>
    <t>8.442*100000000</t>
  </si>
  <si>
    <t>4.003*100000000</t>
  </si>
  <si>
    <t>15.32*100000000</t>
  </si>
  <si>
    <t>6.746*100000000</t>
  </si>
  <si>
    <t>2.942*100000000</t>
  </si>
  <si>
    <t>14.44*100000000</t>
  </si>
  <si>
    <t>7.788*100000000</t>
  </si>
  <si>
    <t>4.100*100000000</t>
  </si>
  <si>
    <t>6.807*100000000</t>
  </si>
  <si>
    <t>3.451*100000000</t>
  </si>
  <si>
    <t>20.75*100000000</t>
  </si>
  <si>
    <t>13.86*100000000</t>
  </si>
  <si>
    <t>8.408*100000000</t>
  </si>
  <si>
    <t>4.014*100000000</t>
  </si>
  <si>
    <t>6.710*100000000</t>
  </si>
  <si>
    <t>14.41*100000000</t>
  </si>
  <si>
    <t>11.26*100000000</t>
  </si>
  <si>
    <t>7.770*100000000</t>
  </si>
  <si>
    <t>4.102*100000000</t>
  </si>
  <si>
    <t>6.895*100000000</t>
  </si>
  <si>
    <t>3.483*100000000</t>
  </si>
  <si>
    <t>18.08*100000000</t>
  </si>
  <si>
    <t>12.08*100000000</t>
  </si>
  <si>
    <t>7.130*100000000</t>
  </si>
  <si>
    <t>13.03*100000000</t>
  </si>
  <si>
    <t>8.533*100000000</t>
  </si>
  <si>
    <t>5.560*100000000</t>
  </si>
  <si>
    <t>12.31*100000000</t>
  </si>
  <si>
    <t>6.534*100000000</t>
  </si>
  <si>
    <t>11.04*100000000</t>
  </si>
  <si>
    <t>8.582*100000000</t>
  </si>
  <si>
    <t>2.946*100000000</t>
  </si>
  <si>
    <t>54.82*100000000</t>
  </si>
  <si>
    <t>46.88*100000000</t>
  </si>
  <si>
    <t>13.33*100000000</t>
  </si>
  <si>
    <t>50.81*100000000</t>
  </si>
  <si>
    <t>22.68*100000000</t>
  </si>
  <si>
    <t>8.298*100000000</t>
  </si>
  <si>
    <t>47.77*100000000</t>
  </si>
  <si>
    <t>39.14*100000000</t>
  </si>
  <si>
    <t>26.12*100000000</t>
  </si>
  <si>
    <t>65.62*100000000</t>
  </si>
  <si>
    <t>55.31*100000000</t>
  </si>
  <si>
    <t>35.58*100000000</t>
  </si>
  <si>
    <t>14.89*100000000</t>
  </si>
  <si>
    <t>1.239*100000000</t>
  </si>
  <si>
    <t>7287*10000</t>
  </si>
  <si>
    <t>2576*10000</t>
  </si>
  <si>
    <t>1170*10000</t>
  </si>
  <si>
    <t>1.069*100000000</t>
  </si>
  <si>
    <t>6062*10000</t>
  </si>
  <si>
    <t>1225*10000</t>
  </si>
  <si>
    <t>1.800*100000000</t>
  </si>
  <si>
    <t>1.333*100000000</t>
  </si>
  <si>
    <t>1.071*100000000</t>
  </si>
  <si>
    <t>3953*10000</t>
  </si>
  <si>
    <t>2.257*100000000</t>
  </si>
  <si>
    <t>9209*10000</t>
  </si>
  <si>
    <t>3037*10000</t>
  </si>
  <si>
    <t>7849*10000</t>
  </si>
  <si>
    <t>1.533*100000000</t>
  </si>
  <si>
    <t>1.087*100000000</t>
  </si>
  <si>
    <t>6149*10000</t>
  </si>
  <si>
    <t>1253*10000</t>
  </si>
  <si>
    <t>2.839*100000000</t>
  </si>
  <si>
    <t>2.334*100000000</t>
  </si>
  <si>
    <t>1.098*100000000</t>
  </si>
  <si>
    <t>4356*10000</t>
  </si>
  <si>
    <t>2.459*100000000</t>
  </si>
  <si>
    <t>1.014*100000000</t>
  </si>
  <si>
    <t>3829*10000</t>
  </si>
  <si>
    <t>5531*10000</t>
  </si>
  <si>
    <t>850.0*10000</t>
  </si>
  <si>
    <t>1.288*100000000</t>
  </si>
  <si>
    <t>9041*10000</t>
  </si>
  <si>
    <t>4991*10000</t>
  </si>
  <si>
    <t>842.9*10000</t>
  </si>
  <si>
    <t>2.315*100000000</t>
  </si>
  <si>
    <t>1.905*100000000</t>
  </si>
  <si>
    <t>8879*10000</t>
  </si>
  <si>
    <t>3533*10000</t>
  </si>
  <si>
    <t>1.317*100000000</t>
  </si>
  <si>
    <t>7941*10000</t>
  </si>
  <si>
    <t>2997*10000</t>
  </si>
  <si>
    <t>756.7*100000000</t>
  </si>
  <si>
    <t>591.6*100000000</t>
  </si>
  <si>
    <t>385.9*100000000</t>
  </si>
  <si>
    <t>169.4*100000000</t>
  </si>
  <si>
    <t>531.2*100000000</t>
  </si>
  <si>
    <t>386.6*100000000</t>
  </si>
  <si>
    <t>243.6*100000000</t>
  </si>
  <si>
    <t>115.3*100000000</t>
  </si>
  <si>
    <t>479.7*100000000</t>
  </si>
  <si>
    <t>367.3*100000000</t>
  </si>
  <si>
    <t>241.0*100000000</t>
  </si>
  <si>
    <t>436.5*100000000</t>
  </si>
  <si>
    <t>336.4*100000000</t>
  </si>
  <si>
    <t>216.2*100000000</t>
  </si>
  <si>
    <t>103.7*100000000</t>
  </si>
  <si>
    <t>50.28*100000000</t>
  </si>
  <si>
    <t>42.74*100000000</t>
  </si>
  <si>
    <t>28.07*100000000</t>
  </si>
  <si>
    <t>11.95*100000000</t>
  </si>
  <si>
    <t>38.61*100000000</t>
  </si>
  <si>
    <t>17.05*100000000</t>
  </si>
  <si>
    <t>7.214*100000000</t>
  </si>
  <si>
    <t>40.56*100000000</t>
  </si>
  <si>
    <t>33.81*100000000</t>
  </si>
  <si>
    <t>26.90*100000000</t>
  </si>
  <si>
    <t>50.49*100000000</t>
  </si>
  <si>
    <t>33.31*100000000</t>
  </si>
  <si>
    <t>14.32*100000000</t>
  </si>
  <si>
    <t>49.78*100000000</t>
  </si>
  <si>
    <t>42.81*100000000</t>
  </si>
  <si>
    <t>12.05*100000000</t>
  </si>
  <si>
    <t>38.79*100000000</t>
  </si>
  <si>
    <t>28.55*100000000</t>
  </si>
  <si>
    <t>17.42*100000000</t>
  </si>
  <si>
    <t>7.221*100000000</t>
  </si>
  <si>
    <t>39.02*100000000</t>
  </si>
  <si>
    <t>33.47*100000000</t>
  </si>
  <si>
    <t>26.56*100000000</t>
  </si>
  <si>
    <t>50.47*100000000</t>
  </si>
  <si>
    <t>14.31*100000000</t>
  </si>
  <si>
    <t>40.95*100000000</t>
  </si>
  <si>
    <t>34.81*100000000</t>
  </si>
  <si>
    <t>22.64*100000000</t>
  </si>
  <si>
    <t>9.784*100000000</t>
  </si>
  <si>
    <t>31.88*100000000</t>
  </si>
  <si>
    <t>23.68*100000000</t>
  </si>
  <si>
    <t>5.908*100000000</t>
  </si>
  <si>
    <t>33.65*100000000</t>
  </si>
  <si>
    <t>21.56*100000000</t>
  </si>
  <si>
    <t>9.753*100000000</t>
  </si>
  <si>
    <t>47.41*100000000</t>
  </si>
  <si>
    <t>40.66*100000000</t>
  </si>
  <si>
    <t>27.64*100000000</t>
  </si>
  <si>
    <t>113.9*100000000</t>
  </si>
  <si>
    <t>72.80*100000000</t>
  </si>
  <si>
    <t>44.92*100000000</t>
  </si>
  <si>
    <t>83.76*100000000</t>
  </si>
  <si>
    <t>59.55*100000000</t>
  </si>
  <si>
    <t>37.69*100000000</t>
  </si>
  <si>
    <t>21.22*100000000</t>
  </si>
  <si>
    <t>62.20*100000000</t>
  </si>
  <si>
    <t>32.82*100000000</t>
  </si>
  <si>
    <t>7.475*100000000</t>
  </si>
  <si>
    <t>19.37*100000000</t>
  </si>
  <si>
    <t>12.60*100000000</t>
  </si>
  <si>
    <t>5.661*100000000</t>
  </si>
  <si>
    <t>5.490*100000000</t>
  </si>
  <si>
    <t>3.305*100000000</t>
  </si>
  <si>
    <t>1.342*100000000</t>
  </si>
  <si>
    <t>9573*10000</t>
  </si>
  <si>
    <t>2.680*100000000</t>
  </si>
  <si>
    <t>1.686*100000000</t>
  </si>
  <si>
    <t>8273*10000</t>
  </si>
  <si>
    <t>5.474*100000000</t>
  </si>
  <si>
    <t>2.482*100000000</t>
  </si>
  <si>
    <t>8486*10000</t>
  </si>
  <si>
    <t>5.583*100000000</t>
  </si>
  <si>
    <t>3.415*100000000</t>
  </si>
  <si>
    <t>2.419*100000000</t>
  </si>
  <si>
    <t>1.347*100000000</t>
  </si>
  <si>
    <t>5.230*100000000</t>
  </si>
  <si>
    <t>2.831*100000000</t>
  </si>
  <si>
    <t>2.041*100000000</t>
  </si>
  <si>
    <t>9587*10000</t>
  </si>
  <si>
    <t>2.846*100000000</t>
  </si>
  <si>
    <t>1.857*100000000</t>
  </si>
  <si>
    <t>8452*10000</t>
  </si>
  <si>
    <t>5.628*100000000</t>
  </si>
  <si>
    <t>2.617*100000000</t>
  </si>
  <si>
    <t>9119*10000</t>
  </si>
  <si>
    <t>5.380*100000000</t>
  </si>
  <si>
    <t>3.280*100000000</t>
  </si>
  <si>
    <t>2.168*100000000</t>
  </si>
  <si>
    <t>1.214*100000000</t>
  </si>
  <si>
    <t>4.556*100000000</t>
  </si>
  <si>
    <t>2.576*100000000</t>
  </si>
  <si>
    <t>1.831*100000000</t>
  </si>
  <si>
    <t>8470*10000</t>
  </si>
  <si>
    <t>4.124*100000000</t>
  </si>
  <si>
    <t>2.530*100000000</t>
  </si>
  <si>
    <t>7425*10000</t>
  </si>
  <si>
    <t>4.615*100000000</t>
  </si>
  <si>
    <t>2.187*100000000</t>
  </si>
  <si>
    <t>7486*10000</t>
  </si>
  <si>
    <t>44.38*100000000</t>
  </si>
  <si>
    <t>31.09*100000000</t>
  </si>
  <si>
    <t>19.76*100000000</t>
  </si>
  <si>
    <t>9.871*100000000</t>
  </si>
  <si>
    <t>36.78*100000000</t>
  </si>
  <si>
    <t>24.39*100000000</t>
  </si>
  <si>
    <t>16.05*100000000</t>
  </si>
  <si>
    <t>18.92*100000000</t>
  </si>
  <si>
    <t>9.670*100000000</t>
  </si>
  <si>
    <t>36.76*100000000</t>
  </si>
  <si>
    <t>24.77*100000000</t>
  </si>
  <si>
    <t>14.90*100000000</t>
  </si>
  <si>
    <t>7.105*100000000</t>
  </si>
  <si>
    <t>1.021*100000000</t>
  </si>
  <si>
    <t>1.323*100000000</t>
  </si>
  <si>
    <t>7564*10000</t>
  </si>
  <si>
    <t>3006*10000</t>
  </si>
  <si>
    <t>7857*10000</t>
  </si>
  <si>
    <t>8682*10000</t>
  </si>
  <si>
    <t>4737*10000</t>
  </si>
  <si>
    <t>969.3*10000</t>
  </si>
  <si>
    <t>1.592*100000000</t>
  </si>
  <si>
    <t>6376*10000</t>
  </si>
  <si>
    <t>4727*10000</t>
  </si>
  <si>
    <t>1.765*100000000</t>
  </si>
  <si>
    <t>6077*10000</t>
  </si>
  <si>
    <t>4093*10000</t>
  </si>
  <si>
    <t>1.054*100000000</t>
  </si>
  <si>
    <t>7660*10000</t>
  </si>
  <si>
    <t>7542*10000</t>
  </si>
  <si>
    <t>8479*10000</t>
  </si>
  <si>
    <t>4523*10000</t>
  </si>
  <si>
    <t>842.4*10000</t>
  </si>
  <si>
    <t>1.633*100000000</t>
  </si>
  <si>
    <t>1.476*100000000</t>
  </si>
  <si>
    <t>6518*10000</t>
  </si>
  <si>
    <t>4759*10000</t>
  </si>
  <si>
    <t>1.811*100000000</t>
  </si>
  <si>
    <t>1.497*100000000</t>
  </si>
  <si>
    <t>6452*10000</t>
  </si>
  <si>
    <t>4166*10000</t>
  </si>
  <si>
    <t>6131*10000</t>
  </si>
  <si>
    <t>1837*10000</t>
  </si>
  <si>
    <t>4064*10000</t>
  </si>
  <si>
    <t>5711*10000</t>
  </si>
  <si>
    <t>2724*10000</t>
  </si>
  <si>
    <t>108.5*10000</t>
  </si>
  <si>
    <t>1.251*100000000</t>
  </si>
  <si>
    <t>1.158*100000000</t>
  </si>
  <si>
    <t>3365*10000</t>
  </si>
  <si>
    <t>1.356*100000000</t>
  </si>
  <si>
    <t>1.131*100000000</t>
  </si>
  <si>
    <t>4164*10000</t>
  </si>
  <si>
    <t>2455*10000</t>
  </si>
  <si>
    <t>75.94*100000000</t>
  </si>
  <si>
    <t>52.34*100000000</t>
  </si>
  <si>
    <t>89.33*100000000</t>
  </si>
  <si>
    <t>64.26*100000000</t>
  </si>
  <si>
    <t>43.42*100000000</t>
  </si>
  <si>
    <t>20.50*100000000</t>
  </si>
  <si>
    <t>76.53*100000000</t>
  </si>
  <si>
    <t>55.60*100000000</t>
  </si>
  <si>
    <t>37.14*100000000</t>
  </si>
  <si>
    <t>66.86*100000000</t>
  </si>
  <si>
    <t>48.99*100000000</t>
  </si>
  <si>
    <t>14.99*100000000</t>
  </si>
  <si>
    <t>9.707*100000000</t>
  </si>
  <si>
    <t>5.281*100000000</t>
  </si>
  <si>
    <t>8.872*100000000</t>
  </si>
  <si>
    <t>8.149*100000000</t>
  </si>
  <si>
    <t>5.765*100000000</t>
  </si>
  <si>
    <t>2.872*100000000</t>
  </si>
  <si>
    <t>9.758*100000000</t>
  </si>
  <si>
    <t>7.672*100000000</t>
  </si>
  <si>
    <t>5.673*100000000</t>
  </si>
  <si>
    <t>2.937*100000000</t>
  </si>
  <si>
    <t>15.17*100000000</t>
  </si>
  <si>
    <t>11.86*100000000</t>
  </si>
  <si>
    <t>9.785*100000000</t>
  </si>
  <si>
    <t>5.317*100000000</t>
  </si>
  <si>
    <t>3.821*100000000</t>
  </si>
  <si>
    <t>11.09*100000000</t>
  </si>
  <si>
    <t>8.222*100000000</t>
  </si>
  <si>
    <t>5.819*100000000</t>
  </si>
  <si>
    <t>2.921*100000000</t>
  </si>
  <si>
    <t>9.820*100000000</t>
  </si>
  <si>
    <t>7.865*100000000</t>
  </si>
  <si>
    <t>5.763*100000000</t>
  </si>
  <si>
    <t>3.003*100000000</t>
  </si>
  <si>
    <t>13.21*100000000</t>
  </si>
  <si>
    <t>4.492*100000000</t>
  </si>
  <si>
    <t>14.22*100000000</t>
  </si>
  <si>
    <t>7.502*100000000</t>
  </si>
  <si>
    <t>3.196*100000000</t>
  </si>
  <si>
    <t>9.399*100000000</t>
  </si>
  <si>
    <t>4.816*100000000</t>
  </si>
  <si>
    <t>8.997*100000000</t>
  </si>
  <si>
    <t>7.003*100000000</t>
  </si>
  <si>
    <t>5.196*100000000</t>
  </si>
  <si>
    <t>2.836*100000000</t>
  </si>
  <si>
    <t>93.43*100000000</t>
  </si>
  <si>
    <t>59.79*100000000</t>
  </si>
  <si>
    <t>88.81*100000000</t>
  </si>
  <si>
    <t>58.86*100000000</t>
  </si>
  <si>
    <t>28.52*100000000</t>
  </si>
  <si>
    <t>83.13*100000000</t>
  </si>
  <si>
    <t>53.57*100000000</t>
  </si>
  <si>
    <t>114.2*100000000</t>
  </si>
  <si>
    <t>85.25*100000000</t>
  </si>
  <si>
    <t>57.50*100000000</t>
  </si>
  <si>
    <t>10.83*100000000</t>
  </si>
  <si>
    <t>20.46*100000000</t>
  </si>
  <si>
    <t>16.51*100000000</t>
  </si>
  <si>
    <t>4.738*100000000</t>
  </si>
  <si>
    <t>15.89*100000000</t>
  </si>
  <si>
    <t>14.29*100000000</t>
  </si>
  <si>
    <t>9.297*100000000</t>
  </si>
  <si>
    <t>4.733*100000000</t>
  </si>
  <si>
    <t>16.67*100000000</t>
  </si>
  <si>
    <t>8.990*100000000</t>
  </si>
  <si>
    <t>6.358*100000000</t>
  </si>
  <si>
    <t>10.72*100000000</t>
  </si>
  <si>
    <t>4.822*100000000</t>
  </si>
  <si>
    <t>19.98*100000000</t>
  </si>
  <si>
    <t>16.15*100000000</t>
  </si>
  <si>
    <t>4.725*100000000</t>
  </si>
  <si>
    <t>17.32*100000000</t>
  </si>
  <si>
    <t>9.326*100000000</t>
  </si>
  <si>
    <t>4.749*100000000</t>
  </si>
  <si>
    <t>13.04*100000000</t>
  </si>
  <si>
    <t>6.343*100000000</t>
  </si>
  <si>
    <t>15.36*100000000</t>
  </si>
  <si>
    <t>12.82*100000000</t>
  </si>
  <si>
    <t>8.159*100000000</t>
  </si>
  <si>
    <t>3.672*100000000</t>
  </si>
  <si>
    <t>14.77*100000000</t>
  </si>
  <si>
    <t>11.92*100000000</t>
  </si>
  <si>
    <t>8.117*100000000</t>
  </si>
  <si>
    <t>3.449*100000000</t>
  </si>
  <si>
    <t>12.57*100000000</t>
  </si>
  <si>
    <t>6.761*100000000</t>
  </si>
  <si>
    <t>3.443*100000000</t>
  </si>
  <si>
    <t>9.191*100000000</t>
  </si>
  <si>
    <t>4.470*100000000</t>
  </si>
  <si>
    <t>45.68*100000000</t>
  </si>
  <si>
    <t>32.58*100000000</t>
  </si>
  <si>
    <t>20.35*100000000</t>
  </si>
  <si>
    <t>10.74*100000000</t>
  </si>
  <si>
    <t>47.99*100000000</t>
  </si>
  <si>
    <t>38.83*100000000</t>
  </si>
  <si>
    <t>25.27*100000000</t>
  </si>
  <si>
    <t>37.99*100000000</t>
  </si>
  <si>
    <t>28.21*100000000</t>
  </si>
  <si>
    <t>15.33*100000000</t>
  </si>
  <si>
    <t>50.33*100000000</t>
  </si>
  <si>
    <t>3.189*100000000</t>
  </si>
  <si>
    <t>1.220*100000000</t>
  </si>
  <si>
    <t>8545*10000</t>
  </si>
  <si>
    <t>5.735*100000000</t>
  </si>
  <si>
    <t>1.960*100000000</t>
  </si>
  <si>
    <t>1.185*100000000</t>
  </si>
  <si>
    <t>8443*10000</t>
  </si>
  <si>
    <t>616.1*10000</t>
  </si>
  <si>
    <t>8520*10000</t>
  </si>
  <si>
    <t>2.406*100000000</t>
  </si>
  <si>
    <t>1.226*100000000</t>
  </si>
  <si>
    <t>8605*10000</t>
  </si>
  <si>
    <t>5.399*100000000</t>
  </si>
  <si>
    <t>2.142*100000000</t>
  </si>
  <si>
    <t>8871*10000</t>
  </si>
  <si>
    <t>1.178*100000000</t>
  </si>
  <si>
    <t>1.125*100000000</t>
  </si>
  <si>
    <t>5648*10000</t>
  </si>
  <si>
    <t>1.691*100000000</t>
  </si>
  <si>
    <t>8484*10000</t>
  </si>
  <si>
    <t>1.754*100000000</t>
  </si>
  <si>
    <t>9051*10000</t>
  </si>
  <si>
    <t>6410*10000</t>
  </si>
  <si>
    <t>4.389*100000000</t>
  </si>
  <si>
    <t>3.184*100000000</t>
  </si>
  <si>
    <t>1.471*100000000</t>
  </si>
  <si>
    <t>9736*10000</t>
  </si>
  <si>
    <t>4463*10000</t>
  </si>
  <si>
    <t>8171*10000</t>
  </si>
  <si>
    <t>8823*10000</t>
  </si>
  <si>
    <t>9032*10000</t>
  </si>
  <si>
    <t>3261*10000</t>
  </si>
  <si>
    <t>5968*10000</t>
  </si>
  <si>
    <t>1.523*100000000</t>
  </si>
  <si>
    <t>1.090*100000000</t>
  </si>
  <si>
    <t>7131*10000</t>
  </si>
  <si>
    <t>3615*10000</t>
  </si>
  <si>
    <t>1.919*100000000</t>
  </si>
  <si>
    <t>9902*10000</t>
  </si>
  <si>
    <t>5112*10000</t>
  </si>
  <si>
    <t>9.958*100000000</t>
  </si>
  <si>
    <t>7.414*100000000</t>
  </si>
  <si>
    <t>4.523*100000000</t>
  </si>
  <si>
    <t>149.0*100000000</t>
  </si>
  <si>
    <t>111.5*100000000</t>
  </si>
  <si>
    <t>74.56*100000000</t>
  </si>
  <si>
    <t>123.1*100000000</t>
  </si>
  <si>
    <t>88.70*100000000</t>
  </si>
  <si>
    <t>53.85*100000000</t>
  </si>
  <si>
    <t>25.84*100000000</t>
  </si>
  <si>
    <t>135.4*100000000</t>
  </si>
  <si>
    <t>100.5*100000000</t>
  </si>
  <si>
    <t>65.47*100000000</t>
  </si>
  <si>
    <t>31.78*100000000</t>
  </si>
  <si>
    <t>147.6*100000000</t>
  </si>
  <si>
    <t>111.3*100000000</t>
  </si>
  <si>
    <t>74.21*100000000</t>
  </si>
  <si>
    <t>10.14*100000000</t>
  </si>
  <si>
    <t>8.911*100000000</t>
  </si>
  <si>
    <t>3.916*100000000</t>
  </si>
  <si>
    <t>5.924*100000000</t>
  </si>
  <si>
    <t>3.283*100000000</t>
  </si>
  <si>
    <t>1.954*100000000</t>
  </si>
  <si>
    <t>7.187*100000000</t>
  </si>
  <si>
    <t>5.881*100000000</t>
  </si>
  <si>
    <t>1.360*100000000</t>
  </si>
  <si>
    <t>9.125*100000000</t>
  </si>
  <si>
    <t>8.353*100000000</t>
  </si>
  <si>
    <t>4.913*100000000</t>
  </si>
  <si>
    <t>2.133*100000000</t>
  </si>
  <si>
    <t>9.942*100000000</t>
  </si>
  <si>
    <t>9.073*100000000</t>
  </si>
  <si>
    <t>6.837*100000000</t>
  </si>
  <si>
    <t>3.993*100000000</t>
  </si>
  <si>
    <t>8.397*100000000</t>
  </si>
  <si>
    <t>5.958*100000000</t>
  </si>
  <si>
    <t>8.004*100000000</t>
  </si>
  <si>
    <t>6.055*100000000</t>
  </si>
  <si>
    <t>1.388*100000000</t>
  </si>
  <si>
    <t>8.453*100000000</t>
  </si>
  <si>
    <t>4.980*100000000</t>
  </si>
  <si>
    <t>2.178*100000000</t>
  </si>
  <si>
    <t>7.728*100000000</t>
  </si>
  <si>
    <t>7.394*100000000</t>
  </si>
  <si>
    <t>5.745*100000000</t>
  </si>
  <si>
    <t>3.246*100000000</t>
  </si>
  <si>
    <t>6.468*100000000</t>
  </si>
  <si>
    <t>4.631*100000000</t>
  </si>
  <si>
    <t>2.613*100000000</t>
  </si>
  <si>
    <t>4.664*100000000</t>
  </si>
  <si>
    <t>2.634*100000000</t>
  </si>
  <si>
    <t>7.204*100000000</t>
  </si>
  <si>
    <t>6.565*100000000</t>
  </si>
  <si>
    <t>3.751*100000000</t>
  </si>
  <si>
    <t>1.651*100000000</t>
  </si>
  <si>
    <t>1455*100000000</t>
  </si>
  <si>
    <t>1073*100000000</t>
  </si>
  <si>
    <t>676.6*100000000</t>
  </si>
  <si>
    <t>313.1*100000000</t>
  </si>
  <si>
    <t>734.3*100000000</t>
  </si>
  <si>
    <t>492.3*100000000</t>
  </si>
  <si>
    <t>309.1*100000000</t>
  </si>
  <si>
    <t>153.4*100000000</t>
  </si>
  <si>
    <t>680.5*100000000</t>
  </si>
  <si>
    <t>485.4*100000000</t>
  </si>
  <si>
    <t>315.4*100000000</t>
  </si>
  <si>
    <t>159.5*100000000</t>
  </si>
  <si>
    <t>728.4*100000000</t>
  </si>
  <si>
    <t>554.6*100000000</t>
  </si>
  <si>
    <t>372.6*100000000</t>
  </si>
  <si>
    <t>174.0*100000000</t>
  </si>
  <si>
    <t>294.3*100000000</t>
  </si>
  <si>
    <t>238.0*100000000</t>
  </si>
  <si>
    <t>161.4*100000000</t>
  </si>
  <si>
    <t>78.40*100000000</t>
  </si>
  <si>
    <t>64.48*100000000</t>
  </si>
  <si>
    <t>33.45*100000000</t>
  </si>
  <si>
    <t>16.89*100000000</t>
  </si>
  <si>
    <t>100.2*100000000</t>
  </si>
  <si>
    <t>70.22*100000000</t>
  </si>
  <si>
    <t>35.90*100000000</t>
  </si>
  <si>
    <t>196.0*100000000</t>
  </si>
  <si>
    <t>131.4*100000000</t>
  </si>
  <si>
    <t>64.97*100000000</t>
  </si>
  <si>
    <t>161.5*100000000</t>
  </si>
  <si>
    <t>78.35*100000000</t>
  </si>
  <si>
    <t>117.3*100000000</t>
  </si>
  <si>
    <t>63.81*100000000</t>
  </si>
  <si>
    <t>33.24*100000000</t>
  </si>
  <si>
    <t>16.78*100000000</t>
  </si>
  <si>
    <t>70.15*100000000</t>
  </si>
  <si>
    <t>35.89*100000000</t>
  </si>
  <si>
    <t>170.2*100000000</t>
  </si>
  <si>
    <t>131.3*100000000</t>
  </si>
  <si>
    <t>64.94*100000000</t>
  </si>
  <si>
    <t>250.4*100000000</t>
  </si>
  <si>
    <t>198.8*100000000</t>
  </si>
  <si>
    <t>137.8*100000000</t>
  </si>
  <si>
    <t>67.49*100000000</t>
  </si>
  <si>
    <t>104.1*100000000</t>
  </si>
  <si>
    <t>56.21*100000000</t>
  </si>
  <si>
    <t>30.27*100000000</t>
  </si>
  <si>
    <t>14.95*100000000</t>
  </si>
  <si>
    <t>82.81*100000000</t>
  </si>
  <si>
    <t>58.76*100000000</t>
  </si>
  <si>
    <t>160.7*100000000</t>
  </si>
  <si>
    <t>139.4*100000000</t>
  </si>
  <si>
    <t>107.8*100000000</t>
  </si>
  <si>
    <t>53.12*100000000</t>
  </si>
  <si>
    <t>170.8*100000000</t>
  </si>
  <si>
    <t>168.5*100000000</t>
  </si>
  <si>
    <t>120.3*100000000</t>
  </si>
  <si>
    <t>48.36*100000000</t>
  </si>
  <si>
    <t>187.5*100000000</t>
  </si>
  <si>
    <t>233.1*100000000</t>
  </si>
  <si>
    <t>115.0*100000000</t>
  </si>
  <si>
    <t>39.22*100000000</t>
  </si>
  <si>
    <t>264.6*100000000</t>
  </si>
  <si>
    <t>194.7*100000000</t>
  </si>
  <si>
    <t>77.25*100000000</t>
  </si>
  <si>
    <t>119.3*100000000</t>
  </si>
  <si>
    <t>94.24*100000000</t>
  </si>
  <si>
    <t>65.58*100000000</t>
  </si>
  <si>
    <t>34.27*100000000</t>
  </si>
  <si>
    <t>9421*10000</t>
  </si>
  <si>
    <t>9583*10000</t>
  </si>
  <si>
    <t>3.441*100000000</t>
  </si>
  <si>
    <t>2.571*100000000</t>
  </si>
  <si>
    <t>2.228*100000000</t>
  </si>
  <si>
    <t>3.045*100000000</t>
  </si>
  <si>
    <t>5713*10000</t>
  </si>
  <si>
    <t>4671*10000</t>
  </si>
  <si>
    <t>1.351*100000000</t>
  </si>
  <si>
    <t>1.269*100000000</t>
  </si>
  <si>
    <t>3.575*100000000</t>
  </si>
  <si>
    <t>2.512*100000000</t>
  </si>
  <si>
    <t>2.592*100000000</t>
  </si>
  <si>
    <t>3.092*100000000</t>
  </si>
  <si>
    <t>1.440*100000000</t>
  </si>
  <si>
    <t>6309*10000</t>
  </si>
  <si>
    <t>5096*10000</t>
  </si>
  <si>
    <t>9932*10000</t>
  </si>
  <si>
    <t>2.877*100000000</t>
  </si>
  <si>
    <t>2.078*100000000</t>
  </si>
  <si>
    <t>1.908*100000000</t>
  </si>
  <si>
    <t>2.121*100000000</t>
  </si>
  <si>
    <t>1.859*100000000</t>
  </si>
  <si>
    <t>2.753*100000000</t>
  </si>
  <si>
    <t>3623*10000</t>
  </si>
  <si>
    <t>2499*10000</t>
  </si>
  <si>
    <t>37.64*100000000</t>
  </si>
  <si>
    <t>28.04*100000000</t>
  </si>
  <si>
    <t>9.306*100000000</t>
  </si>
  <si>
    <t>36.63*100000000</t>
  </si>
  <si>
    <t>12.55*100000000</t>
  </si>
  <si>
    <t>3.079*100000000</t>
  </si>
  <si>
    <t>51.36*100000000</t>
  </si>
  <si>
    <t>38.98*100000000</t>
  </si>
  <si>
    <t>23.50*100000000</t>
  </si>
  <si>
    <t>8.992*100000000</t>
  </si>
  <si>
    <t>34.46*100000000</t>
  </si>
  <si>
    <t>22.84*100000000</t>
  </si>
  <si>
    <t>6.053*100000000</t>
  </si>
  <si>
    <t>9396*10000</t>
  </si>
  <si>
    <t>5678*10000</t>
  </si>
  <si>
    <t>1262*10000</t>
  </si>
  <si>
    <t>9378*10000</t>
  </si>
  <si>
    <t>5806*10000</t>
  </si>
  <si>
    <t>5365*10000</t>
  </si>
  <si>
    <t>5865*10000</t>
  </si>
  <si>
    <t>573.3*10000</t>
  </si>
  <si>
    <t>7509*10000</t>
  </si>
  <si>
    <t>5118*10000</t>
  </si>
  <si>
    <t>4530*10000</t>
  </si>
  <si>
    <t>5507*10000</t>
  </si>
  <si>
    <t>119.0*10000</t>
  </si>
  <si>
    <t>76.46*100000000</t>
  </si>
  <si>
    <t>58.30*100000000</t>
  </si>
  <si>
    <t>42.10*100000000</t>
  </si>
  <si>
    <t>21.15*100000000</t>
  </si>
  <si>
    <t>70.32*100000000</t>
  </si>
  <si>
    <t>53.62*100000000</t>
  </si>
  <si>
    <t>36.85*100000000</t>
  </si>
  <si>
    <t>75.97*100000000</t>
  </si>
  <si>
    <t>57.35*100000000</t>
  </si>
  <si>
    <t>39.23*100000000</t>
  </si>
  <si>
    <t>19.54*100000000</t>
  </si>
  <si>
    <t>54.20*100000000</t>
  </si>
  <si>
    <t>36.65*100000000</t>
  </si>
  <si>
    <t>18.60*100000000</t>
  </si>
  <si>
    <t>7.523*100000000</t>
  </si>
  <si>
    <t>5.048*100000000</t>
  </si>
  <si>
    <t>3.434*100000000</t>
  </si>
  <si>
    <t>2.003*100000000</t>
  </si>
  <si>
    <t>5.338*100000000</t>
  </si>
  <si>
    <t>2.208*100000000</t>
  </si>
  <si>
    <t>7.002*100000000</t>
  </si>
  <si>
    <t>6.589*100000000</t>
  </si>
  <si>
    <t>2.740*100000000</t>
  </si>
  <si>
    <t>6.463*100000000</t>
  </si>
  <si>
    <t>5.245*100000000</t>
  </si>
  <si>
    <t>3.659*100000000</t>
  </si>
  <si>
    <t>1.822*100000000</t>
  </si>
  <si>
    <t>3.463*100000000</t>
  </si>
  <si>
    <t>5.340*100000000</t>
  </si>
  <si>
    <t>2.207*100000000</t>
  </si>
  <si>
    <t>7.020*100000000</t>
  </si>
  <si>
    <t>6.605*100000000</t>
  </si>
  <si>
    <t>5.335*100000000</t>
  </si>
  <si>
    <t>2.755*100000000</t>
  </si>
  <si>
    <t>5.238*100000000</t>
  </si>
  <si>
    <t>3.649*100000000</t>
  </si>
  <si>
    <t>6.493*100000000</t>
  </si>
  <si>
    <t>4.205*100000000</t>
  </si>
  <si>
    <t>2.858*100000000</t>
  </si>
  <si>
    <t>1.692*100000000</t>
  </si>
  <si>
    <t>4.302*100000000</t>
  </si>
  <si>
    <t>3.121*100000000</t>
  </si>
  <si>
    <t>5.404*100000000</t>
  </si>
  <si>
    <t>2.333*100000000</t>
  </si>
  <si>
    <t>4.538*100000000</t>
  </si>
  <si>
    <t>3.168*100000000</t>
  </si>
  <si>
    <t>1.507*100000000</t>
  </si>
  <si>
    <t>72.14*100000000</t>
  </si>
  <si>
    <t>43.03*100000000</t>
  </si>
  <si>
    <t>5.596*100000000</t>
  </si>
  <si>
    <t>50.69*100000000</t>
  </si>
  <si>
    <t>30.16*100000000</t>
  </si>
  <si>
    <t>2.126*100000000</t>
  </si>
  <si>
    <t>44.20*100000000</t>
  </si>
  <si>
    <t>11.27*100000000</t>
  </si>
  <si>
    <t>4.406*100000000</t>
  </si>
  <si>
    <t>13.27*100000000</t>
  </si>
  <si>
    <t>4.484*100000000</t>
  </si>
  <si>
    <t>2.463*100000000</t>
  </si>
  <si>
    <t>1.779*100000000</t>
  </si>
  <si>
    <t>8456*10000</t>
  </si>
  <si>
    <t>7562*10000</t>
  </si>
  <si>
    <t>4733*10000</t>
  </si>
  <si>
    <t>1.488*100000000</t>
  </si>
  <si>
    <t>1473*10000</t>
  </si>
  <si>
    <t>1077*10000</t>
  </si>
  <si>
    <t>1.004*100000000</t>
  </si>
  <si>
    <t>8311*10000</t>
  </si>
  <si>
    <t>7281*10000</t>
  </si>
  <si>
    <t>1.504*100000000</t>
  </si>
  <si>
    <t>1603*10000</t>
  </si>
  <si>
    <t>1079*10000</t>
  </si>
  <si>
    <t>1.659*100000000</t>
  </si>
  <si>
    <t>5801*10000</t>
  </si>
  <si>
    <t>3435*10000</t>
  </si>
  <si>
    <t>1.338*100000000</t>
  </si>
  <si>
    <t>1365*10000</t>
  </si>
  <si>
    <t>1005*10000</t>
  </si>
  <si>
    <t>8361*10000</t>
  </si>
  <si>
    <t>3.954*100000000</t>
  </si>
  <si>
    <t>3.049*100000000</t>
  </si>
  <si>
    <t>2.122*100000000</t>
  </si>
  <si>
    <t>1.079*100000000</t>
  </si>
  <si>
    <t>4.922*100000000</t>
  </si>
  <si>
    <t>3.560*100000000</t>
  </si>
  <si>
    <t>1.181*100000000</t>
  </si>
  <si>
    <t>5.175*100000000</t>
  </si>
  <si>
    <t>3.781*100000000</t>
  </si>
  <si>
    <t>2.466*100000000</t>
  </si>
  <si>
    <t>1.307*100000000</t>
  </si>
  <si>
    <t>5.334*100000000</t>
  </si>
  <si>
    <t>3.905*100000000</t>
  </si>
  <si>
    <t>1.384*100000000</t>
  </si>
  <si>
    <t>7210*10000</t>
  </si>
  <si>
    <t>3648*10000</t>
  </si>
  <si>
    <t>4566*10000</t>
  </si>
  <si>
    <t>2.144*100000000</t>
  </si>
  <si>
    <t>1.560*100000000</t>
  </si>
  <si>
    <t>9846*10000</t>
  </si>
  <si>
    <t>6855*10000</t>
  </si>
  <si>
    <t>1.313*100000000</t>
  </si>
  <si>
    <t>6714*10000</t>
  </si>
  <si>
    <t>1.132*100000000</t>
  </si>
  <si>
    <t>7207*10000</t>
  </si>
  <si>
    <t>3643*10000</t>
  </si>
  <si>
    <t>1.565*100000000</t>
  </si>
  <si>
    <t>9062*10000</t>
  </si>
  <si>
    <t>4516*10000</t>
  </si>
  <si>
    <t>2.143*100000000</t>
  </si>
  <si>
    <t>1.557*100000000</t>
  </si>
  <si>
    <t>9826*10000</t>
  </si>
  <si>
    <t>6835*10000</t>
  </si>
  <si>
    <t>6766*10000</t>
  </si>
  <si>
    <t>6120*10000</t>
  </si>
  <si>
    <t>3765*10000</t>
  </si>
  <si>
    <t>2058*10000</t>
  </si>
  <si>
    <t>8230*10000</t>
  </si>
  <si>
    <t>9817*10000</t>
  </si>
  <si>
    <t>5411*10000</t>
  </si>
  <si>
    <t>2802*10000</t>
  </si>
  <si>
    <t>1.059*100000000</t>
  </si>
  <si>
    <t>6560*10000</t>
  </si>
  <si>
    <t>4604*10000</t>
  </si>
  <si>
    <t>1.927*100000000</t>
  </si>
  <si>
    <t>9741*10000</t>
  </si>
  <si>
    <t>2427*10000</t>
  </si>
  <si>
    <t>8.074*10000</t>
  </si>
  <si>
    <t>4929*10000</t>
  </si>
  <si>
    <t>4284*10000</t>
  </si>
  <si>
    <t>3875*10000</t>
  </si>
  <si>
    <t>2259*10000</t>
  </si>
  <si>
    <t>16.55*100000000</t>
  </si>
  <si>
    <t>14.07*100000000</t>
  </si>
  <si>
    <t>9.609*100000000</t>
  </si>
  <si>
    <t>20.10*100000000</t>
  </si>
  <si>
    <t>10.62*100000000</t>
  </si>
  <si>
    <t>1.897*100000000</t>
  </si>
  <si>
    <t>1956*10000</t>
  </si>
  <si>
    <t>2083*10000</t>
  </si>
  <si>
    <t>1259*10000</t>
  </si>
  <si>
    <t>451.2*10000</t>
  </si>
  <si>
    <t>1114*10000</t>
  </si>
  <si>
    <t>1694*10000</t>
  </si>
  <si>
    <t>1134*10000</t>
  </si>
  <si>
    <t>1.930*100000000</t>
  </si>
  <si>
    <t>2922*10000</t>
  </si>
  <si>
    <t>2078*10000</t>
  </si>
  <si>
    <t>1272*10000</t>
  </si>
  <si>
    <t>310.7*10000</t>
  </si>
  <si>
    <t>1050*10000</t>
  </si>
  <si>
    <t>1637*10000</t>
  </si>
  <si>
    <t>1133*10000</t>
  </si>
  <si>
    <t>159.9*100000000</t>
  </si>
  <si>
    <t>102.3*100000000</t>
  </si>
  <si>
    <t>226.6*100000000</t>
  </si>
  <si>
    <t>144.7*100000000</t>
  </si>
  <si>
    <t>91.31*100000000</t>
  </si>
  <si>
    <t>44.15*100000000</t>
  </si>
  <si>
    <t>246.0*100000000</t>
  </si>
  <si>
    <t>155.4*100000000</t>
  </si>
  <si>
    <t>147.9*100000000</t>
  </si>
  <si>
    <t>100.7*100000000</t>
  </si>
  <si>
    <t>46.90*100000000</t>
  </si>
  <si>
    <t>1.023*100000000</t>
  </si>
  <si>
    <t>3352*10000</t>
  </si>
  <si>
    <t>4.929*100000000</t>
  </si>
  <si>
    <t>6.046*100000000</t>
  </si>
  <si>
    <t>2.854*100000000</t>
  </si>
  <si>
    <t>2.224*100000000</t>
  </si>
  <si>
    <t>8794*10000</t>
  </si>
  <si>
    <t>6.018*100000000</t>
  </si>
  <si>
    <t>7696*10000</t>
  </si>
  <si>
    <t>2.047*100000000</t>
  </si>
  <si>
    <t>1.097*100000000</t>
  </si>
  <si>
    <t>3776*10000</t>
  </si>
  <si>
    <t>5.909*100000000</t>
  </si>
  <si>
    <t>2.957*100000000</t>
  </si>
  <si>
    <t>9851*10000</t>
  </si>
  <si>
    <t>5.371*100000000</t>
  </si>
  <si>
    <t>2.518*100000000</t>
  </si>
  <si>
    <t>1.968*100000000</t>
  </si>
  <si>
    <t>7752*10000</t>
  </si>
  <si>
    <t>8673*10000</t>
  </si>
  <si>
    <t>3265*10000</t>
  </si>
  <si>
    <t>4.161*100000000</t>
  </si>
  <si>
    <t>1.259*100000000</t>
  </si>
  <si>
    <t>4.971*100000000</t>
  </si>
  <si>
    <t>1.760*100000000</t>
  </si>
  <si>
    <t>6962*10000</t>
  </si>
  <si>
    <t>3.938*100000000</t>
  </si>
  <si>
    <t>1.631*100000000</t>
  </si>
  <si>
    <t>1.328*100000000</t>
  </si>
  <si>
    <t>5455*10000</t>
  </si>
  <si>
    <t>1.375*100000000</t>
  </si>
  <si>
    <t>27.53*100000000</t>
  </si>
  <si>
    <t>19.47*100000000</t>
  </si>
  <si>
    <t>12.06*100000000</t>
  </si>
  <si>
    <t>95.64*100000000</t>
  </si>
  <si>
    <t>32.36*100000000</t>
  </si>
  <si>
    <t>30.76*100000000</t>
  </si>
  <si>
    <t>21.98*100000000</t>
  </si>
  <si>
    <t>34.01*100000000</t>
  </si>
  <si>
    <t>23.23*100000000</t>
  </si>
  <si>
    <t>8317*10000</t>
  </si>
  <si>
    <t>4621*10000</t>
  </si>
  <si>
    <t>5485*10000</t>
  </si>
  <si>
    <t>5.480*100000000</t>
  </si>
  <si>
    <t>3.757*100000000</t>
  </si>
  <si>
    <t>3.997*100000000</t>
  </si>
  <si>
    <t>2.277*100000000</t>
  </si>
  <si>
    <t>2.446*100000000</t>
  </si>
  <si>
    <t>2.404*100000000</t>
  </si>
  <si>
    <t>1.320*100000000</t>
  </si>
  <si>
    <t>8399*10000</t>
  </si>
  <si>
    <t>4626*10000</t>
  </si>
  <si>
    <t>5483*10000</t>
  </si>
  <si>
    <t>5.493*100000000</t>
  </si>
  <si>
    <t>4.001*100000000</t>
  </si>
  <si>
    <t>2.525*100000000</t>
  </si>
  <si>
    <t>2.790*100000000</t>
  </si>
  <si>
    <t>2828*10000</t>
  </si>
  <si>
    <t>208.0*10000</t>
  </si>
  <si>
    <t>2753*10000</t>
  </si>
  <si>
    <t>1.851*100000000</t>
  </si>
  <si>
    <t>2.572*100000000</t>
  </si>
  <si>
    <t>2.811*100000000</t>
  </si>
  <si>
    <t>7884*10000</t>
  </si>
  <si>
    <t>117.8*100000000</t>
  </si>
  <si>
    <t>71.24*100000000</t>
  </si>
  <si>
    <t>45.51*100000000</t>
  </si>
  <si>
    <t>74.81*100000000</t>
  </si>
  <si>
    <t>51.47*100000000</t>
  </si>
  <si>
    <t>31.36*100000000</t>
  </si>
  <si>
    <t>61.60*100000000</t>
  </si>
  <si>
    <t>42.71*100000000</t>
  </si>
  <si>
    <t>26.71*100000000</t>
  </si>
  <si>
    <t>12.54*100000000</t>
  </si>
  <si>
    <t>48.49*100000000</t>
  </si>
  <si>
    <t>35.85*100000000</t>
  </si>
  <si>
    <t>22.89*100000000</t>
  </si>
  <si>
    <t>9.403*100000000</t>
  </si>
  <si>
    <t>5.631*100000000</t>
  </si>
  <si>
    <t>1.724*100000000</t>
  </si>
  <si>
    <t>8.938*100000000</t>
  </si>
  <si>
    <t>5.572*100000000</t>
  </si>
  <si>
    <t>2.225*100000000</t>
  </si>
  <si>
    <t>11.01*100000000</t>
  </si>
  <si>
    <t>9.525*100000000</t>
  </si>
  <si>
    <t>6.379*100000000</t>
  </si>
  <si>
    <t>3.878*100000000</t>
  </si>
  <si>
    <t>11.36*100000000</t>
  </si>
  <si>
    <t>2.924*100000000</t>
  </si>
  <si>
    <t>12.99*100000000</t>
  </si>
  <si>
    <t>9.464*100000000</t>
  </si>
  <si>
    <t>11.16*100000000</t>
  </si>
  <si>
    <t>2.311*100000000</t>
  </si>
  <si>
    <t>9.572*100000000</t>
  </si>
  <si>
    <t>6.412*100000000</t>
  </si>
  <si>
    <t>3.885*100000000</t>
  </si>
  <si>
    <t>9.376*100000000</t>
  </si>
  <si>
    <t>6.284*100000000</t>
  </si>
  <si>
    <t>4.570*100000000</t>
  </si>
  <si>
    <t>9.036*100000000</t>
  </si>
  <si>
    <t>7.294*100000000</t>
  </si>
  <si>
    <t>4.495*100000000</t>
  </si>
  <si>
    <t>1.829*100000000</t>
  </si>
  <si>
    <t>8.766*100000000</t>
  </si>
  <si>
    <t>7.501*100000000</t>
  </si>
  <si>
    <t>5.043*100000000</t>
  </si>
  <si>
    <t>3.127*100000000</t>
  </si>
  <si>
    <t>512.4*100000000</t>
  </si>
  <si>
    <t>286.7*100000000</t>
  </si>
  <si>
    <t>207.7*100000000</t>
  </si>
  <si>
    <t>63.70*100000000</t>
  </si>
  <si>
    <t>510.1*100000000</t>
  </si>
  <si>
    <t>287.6*100000000</t>
  </si>
  <si>
    <t>228.7*100000000</t>
  </si>
  <si>
    <t>90.34*100000000</t>
  </si>
  <si>
    <t>331.5*100000000</t>
  </si>
  <si>
    <t>194.4*100000000</t>
  </si>
  <si>
    <t>142.2*100000000</t>
  </si>
  <si>
    <t>67.05*100000000</t>
  </si>
  <si>
    <t>237.0*100000000</t>
  </si>
  <si>
    <t>94.30*100000000</t>
  </si>
  <si>
    <t>69.62*100000000</t>
  </si>
  <si>
    <t>39.43*100000000</t>
  </si>
  <si>
    <t>31.79*100000000</t>
  </si>
  <si>
    <t>63.58*100000000</t>
  </si>
  <si>
    <t>32.81*100000000</t>
  </si>
  <si>
    <t>28.01*100000000</t>
  </si>
  <si>
    <t>43.56*100000000</t>
  </si>
  <si>
    <t>29.17*100000000</t>
  </si>
  <si>
    <t>21.85*100000000</t>
  </si>
  <si>
    <t>30.97*100000000</t>
  </si>
  <si>
    <t>20.60*100000000</t>
  </si>
  <si>
    <t>16.92*100000000</t>
  </si>
  <si>
    <t>6.056*100000000</t>
  </si>
  <si>
    <t>68.29*100000000</t>
  </si>
  <si>
    <t>38.37*100000000</t>
  </si>
  <si>
    <t>31.75*100000000</t>
  </si>
  <si>
    <t>10.02*100000000</t>
  </si>
  <si>
    <t>32.15*100000000</t>
  </si>
  <si>
    <t>27.41*100000000</t>
  </si>
  <si>
    <t>43.94*100000000</t>
  </si>
  <si>
    <t>29.64*100000000</t>
  </si>
  <si>
    <t>22.24*100000000</t>
  </si>
  <si>
    <t>30.85*100000000</t>
  </si>
  <si>
    <t>20.52*100000000</t>
  </si>
  <si>
    <t>6.030*100000000</t>
  </si>
  <si>
    <t>46.77*100000000</t>
  </si>
  <si>
    <t>23.66*100000000</t>
  </si>
  <si>
    <t>7.336*100000000</t>
  </si>
  <si>
    <t>45.60*100000000</t>
  </si>
  <si>
    <t>25.21*100000000</t>
  </si>
  <si>
    <t>9.048*100000000</t>
  </si>
  <si>
    <t>33.14*100000000</t>
  </si>
  <si>
    <t>21.77*100000000</t>
  </si>
  <si>
    <t>7.510*100000000</t>
  </si>
  <si>
    <t>24.02*100000000</t>
  </si>
  <si>
    <t>13.25*100000000</t>
  </si>
  <si>
    <t>69.08*100000000</t>
  </si>
  <si>
    <t>53.52*100000000</t>
  </si>
  <si>
    <t>36.40*100000000</t>
  </si>
  <si>
    <t>18.27*100000000</t>
  </si>
  <si>
    <t>66.04*100000000</t>
  </si>
  <si>
    <t>49.57*100000000</t>
  </si>
  <si>
    <t>32.90*100000000</t>
  </si>
  <si>
    <t>16.56*100000000</t>
  </si>
  <si>
    <t>69.94*100000000</t>
  </si>
  <si>
    <t>51.77*100000000</t>
  </si>
  <si>
    <t>35.34*100000000</t>
  </si>
  <si>
    <t>17.53*100000000</t>
  </si>
  <si>
    <t>63.59*100000000</t>
  </si>
  <si>
    <t>46.89*100000000</t>
  </si>
  <si>
    <t>31.12*100000000</t>
  </si>
  <si>
    <t>8.667*100000000</t>
  </si>
  <si>
    <t>7.561*100000000</t>
  </si>
  <si>
    <t>2.469*100000000</t>
  </si>
  <si>
    <t>7.852*100000000</t>
  </si>
  <si>
    <t>5.811*100000000</t>
  </si>
  <si>
    <t>3.983*100000000</t>
  </si>
  <si>
    <t>1.947*100000000</t>
  </si>
  <si>
    <t>7.590*100000000</t>
  </si>
  <si>
    <t>5.551*100000000</t>
  </si>
  <si>
    <t>3.960*100000000</t>
  </si>
  <si>
    <t>2.176*100000000</t>
  </si>
  <si>
    <t>6.415*100000000</t>
  </si>
  <si>
    <t>4.646*100000000</t>
  </si>
  <si>
    <t>3.541*100000000</t>
  </si>
  <si>
    <t>1.984*100000000</t>
  </si>
  <si>
    <t>8.728*100000000</t>
  </si>
  <si>
    <t>7.639*100000000</t>
  </si>
  <si>
    <t>5.396*100000000</t>
  </si>
  <si>
    <t>2.485*100000000</t>
  </si>
  <si>
    <t>7.681*100000000</t>
  </si>
  <si>
    <t>3.819*100000000</t>
  </si>
  <si>
    <t>1.966*100000000</t>
  </si>
  <si>
    <t>7.431*100000000</t>
  </si>
  <si>
    <t>5.469*100000000</t>
  </si>
  <si>
    <t>3.952*100000000</t>
  </si>
  <si>
    <t>6.406*100000000</t>
  </si>
  <si>
    <t>4.645*100000000</t>
  </si>
  <si>
    <t>1.988*100000000</t>
  </si>
  <si>
    <t>7.869*100000000</t>
  </si>
  <si>
    <t>6.770*100000000</t>
  </si>
  <si>
    <t>4.726*100000000</t>
  </si>
  <si>
    <t>6.797*100000000</t>
  </si>
  <si>
    <t>4.934*100000000</t>
  </si>
  <si>
    <t>3.338*100000000</t>
  </si>
  <si>
    <t>1.746*100000000</t>
  </si>
  <si>
    <t>6.354*100000000</t>
  </si>
  <si>
    <t>3.539*100000000</t>
  </si>
  <si>
    <t>1.916*100000000</t>
  </si>
  <si>
    <t>5.678*100000000</t>
  </si>
  <si>
    <t>3.152*100000000</t>
  </si>
  <si>
    <t>1.741*100000000</t>
  </si>
  <si>
    <t>30.80*100000000</t>
  </si>
  <si>
    <t>18.37*100000000</t>
  </si>
  <si>
    <t>31.56*100000000</t>
  </si>
  <si>
    <t>22.27*100000000</t>
  </si>
  <si>
    <t>14.09*100000000</t>
  </si>
  <si>
    <t>5.114*100000000</t>
  </si>
  <si>
    <t>18.97*100000000</t>
  </si>
  <si>
    <t>11.81*100000000</t>
  </si>
  <si>
    <t>5.344*100000000</t>
  </si>
  <si>
    <t>26.10*100000000</t>
  </si>
  <si>
    <t>19.08*100000000</t>
  </si>
  <si>
    <t>5.918*100000000</t>
  </si>
  <si>
    <t>4.553*100000000</t>
  </si>
  <si>
    <t>3.886*100000000</t>
  </si>
  <si>
    <t>2.543*100000000</t>
  </si>
  <si>
    <t>1.169*100000000</t>
  </si>
  <si>
    <t>4.334*100000000</t>
  </si>
  <si>
    <t>3.678*100000000</t>
  </si>
  <si>
    <t>2.007*100000000</t>
  </si>
  <si>
    <t>1.329*100000000</t>
  </si>
  <si>
    <t>9385*10000</t>
  </si>
  <si>
    <t>1.700*100000000</t>
  </si>
  <si>
    <t>7683*10000</t>
  </si>
  <si>
    <t>4.458*100000000</t>
  </si>
  <si>
    <t>3.874*100000000</t>
  </si>
  <si>
    <t>2.535*100000000</t>
  </si>
  <si>
    <t>1.165*100000000</t>
  </si>
  <si>
    <t>3.656*100000000</t>
  </si>
  <si>
    <t>1.063*100000000</t>
  </si>
  <si>
    <t>1.975*100000000</t>
  </si>
  <si>
    <t>1.761*100000000</t>
  </si>
  <si>
    <t>1.322*100000000</t>
  </si>
  <si>
    <t>9394*10000</t>
  </si>
  <si>
    <t>3.136*100000000</t>
  </si>
  <si>
    <t>1.709*100000000</t>
  </si>
  <si>
    <t>7809*10000</t>
  </si>
  <si>
    <t>4.212*100000000</t>
  </si>
  <si>
    <t>3.499*100000000</t>
  </si>
  <si>
    <t>2.255*100000000</t>
  </si>
  <si>
    <t>1.061*100000000</t>
  </si>
  <si>
    <t>3.862*100000000</t>
  </si>
  <si>
    <t>3.388*100000000</t>
  </si>
  <si>
    <t>2.129*100000000</t>
  </si>
  <si>
    <t>9767*10000</t>
  </si>
  <si>
    <t>1.677*100000000</t>
  </si>
  <si>
    <t>1.468*100000000</t>
  </si>
  <si>
    <t>1.114*100000000</t>
  </si>
  <si>
    <t>8288*10000</t>
  </si>
  <si>
    <t>2.905*100000000</t>
  </si>
  <si>
    <t>2.367*100000000</t>
  </si>
  <si>
    <t>1.661*100000000</t>
  </si>
  <si>
    <t>8514*10000</t>
  </si>
  <si>
    <t>690.1*100000000</t>
  </si>
  <si>
    <t>535.4*100000000</t>
  </si>
  <si>
    <t>361.3*100000000</t>
  </si>
  <si>
    <t>200.5*100000000</t>
  </si>
  <si>
    <t>616.7*100000000</t>
  </si>
  <si>
    <t>468.8*100000000</t>
  </si>
  <si>
    <t>304.7*100000000</t>
  </si>
  <si>
    <t>649.5*100000000</t>
  </si>
  <si>
    <t>500.6*100000000</t>
  </si>
  <si>
    <t>333.4*100000000</t>
  </si>
  <si>
    <t>180.6*100000000</t>
  </si>
  <si>
    <t>422.3*100000000</t>
  </si>
  <si>
    <t>298.8*100000000</t>
  </si>
  <si>
    <t>148.4*100000000</t>
  </si>
  <si>
    <t>69.09*100000000</t>
  </si>
  <si>
    <t>47.86*100000000</t>
  </si>
  <si>
    <t>42.62*100000000</t>
  </si>
  <si>
    <t>32.45*100000000</t>
  </si>
  <si>
    <t>22.59*100000000</t>
  </si>
  <si>
    <t>15.16*100000000</t>
  </si>
  <si>
    <t>40.55*100000000</t>
  </si>
  <si>
    <t>39.68*100000000</t>
  </si>
  <si>
    <t>31.77*100000000</t>
  </si>
  <si>
    <t>17.70*100000000</t>
  </si>
  <si>
    <t>38.36*100000000</t>
  </si>
  <si>
    <t>38.08*100000000</t>
  </si>
  <si>
    <t>29.82*100000000</t>
  </si>
  <si>
    <t>42.05*100000000</t>
  </si>
  <si>
    <t>31.89*100000000</t>
  </si>
  <si>
    <t>20.42*100000000</t>
  </si>
  <si>
    <t>37.39*100000000</t>
  </si>
  <si>
    <t>34.76*100000000</t>
  </si>
  <si>
    <t>22.65*100000000</t>
  </si>
  <si>
    <t>15.20*100000000</t>
  </si>
  <si>
    <t>41.29*100000000</t>
  </si>
  <si>
    <t>40.51*100000000</t>
  </si>
  <si>
    <t>32.12*100000000</t>
  </si>
  <si>
    <t>17.74*100000000</t>
  </si>
  <si>
    <t>40.19*100000000</t>
  </si>
  <si>
    <t>39.81*100000000</t>
  </si>
  <si>
    <t>11.43*100000000</t>
  </si>
  <si>
    <t>39.69*100000000</t>
  </si>
  <si>
    <t>35.09*100000000</t>
  </si>
  <si>
    <t>26.50*100000000</t>
  </si>
  <si>
    <t>17.04*100000000</t>
  </si>
  <si>
    <t>28.34*100000000</t>
  </si>
  <si>
    <t>18.85*100000000</t>
  </si>
  <si>
    <t>12.59*100000000</t>
  </si>
  <si>
    <t>34.41*100000000</t>
  </si>
  <si>
    <t>33.80*100000000</t>
  </si>
  <si>
    <t>26.78*100000000</t>
  </si>
  <si>
    <t>14.65*100000000</t>
  </si>
  <si>
    <t>26.59*100000000</t>
  </si>
  <si>
    <t>9.265*100000000</t>
  </si>
  <si>
    <t>439.5*100000000</t>
  </si>
  <si>
    <t>317.0*100000000</t>
  </si>
  <si>
    <t>231.3*100000000</t>
  </si>
  <si>
    <t>121.0*100000000</t>
  </si>
  <si>
    <t>441.3*100000000</t>
  </si>
  <si>
    <t>299.1*100000000</t>
  </si>
  <si>
    <t>182.9*100000000</t>
  </si>
  <si>
    <t>65.17*100000000</t>
  </si>
  <si>
    <t>521.6*100000000</t>
  </si>
  <si>
    <t>374.8*100000000</t>
  </si>
  <si>
    <t>267.0*100000000</t>
  </si>
  <si>
    <t>116.3*100000000</t>
  </si>
  <si>
    <t>559.2*100000000</t>
  </si>
  <si>
    <t>411.4*100000000</t>
  </si>
  <si>
    <t>240.3*100000000</t>
  </si>
  <si>
    <t>4.324*100000000</t>
  </si>
  <si>
    <t>1.845*100000000</t>
  </si>
  <si>
    <t>5614*10000</t>
  </si>
  <si>
    <t>5.436*100000000</t>
  </si>
  <si>
    <t>2.471*100000000</t>
  </si>
  <si>
    <t>2.850*100000000</t>
  </si>
  <si>
    <t>916.5*10000</t>
  </si>
  <si>
    <t>6.596*100000000</t>
  </si>
  <si>
    <t>6.256*100000000</t>
  </si>
  <si>
    <t>5.556*100000000</t>
  </si>
  <si>
    <t>3.447*100000000</t>
  </si>
  <si>
    <t>11.30*100000000</t>
  </si>
  <si>
    <t>8.458*100000000</t>
  </si>
  <si>
    <t>4.284*100000000</t>
  </si>
  <si>
    <t>2.916*100000000</t>
  </si>
  <si>
    <t>1.939*100000000</t>
  </si>
  <si>
    <t>6153*10000</t>
  </si>
  <si>
    <t>4.988*100000000</t>
  </si>
  <si>
    <t>2.709*100000000</t>
  </si>
  <si>
    <t>3.027*100000000</t>
  </si>
  <si>
    <t>2015*10000</t>
  </si>
  <si>
    <t>7.025*100000000</t>
  </si>
  <si>
    <t>6.530*100000000</t>
  </si>
  <si>
    <t>5.641*100000000</t>
  </si>
  <si>
    <t>3.482*100000000</t>
  </si>
  <si>
    <t>8.061*100000000</t>
  </si>
  <si>
    <t>6.189*100000000</t>
  </si>
  <si>
    <t>2.337*100000000</t>
  </si>
  <si>
    <t>2.776*100000000</t>
  </si>
  <si>
    <t>1.925*100000000</t>
  </si>
  <si>
    <t>1.175*100000000</t>
  </si>
  <si>
    <t>2041*10000</t>
  </si>
  <si>
    <t>2.503*100000000</t>
  </si>
  <si>
    <t>1.451*100000000</t>
  </si>
  <si>
    <t>2.213*100000000</t>
  </si>
  <si>
    <t>456.4*10000</t>
  </si>
  <si>
    <t>4.630*100000000</t>
  </si>
  <si>
    <t>4.047*100000000</t>
  </si>
  <si>
    <t>2.564*100000000</t>
  </si>
  <si>
    <t>7.804*100000000</t>
  </si>
  <si>
    <t>5.925*100000000</t>
  </si>
  <si>
    <t>4.415*100000000</t>
  </si>
  <si>
    <t>1.990*100000000</t>
  </si>
  <si>
    <t>1980*100000000</t>
  </si>
  <si>
    <t>1515*100000000</t>
  </si>
  <si>
    <t>1046*100000000</t>
  </si>
  <si>
    <t>532.3*100000000</t>
  </si>
  <si>
    <t>1524*100000000</t>
  </si>
  <si>
    <t>1033*100000000</t>
  </si>
  <si>
    <t>673.6*100000000</t>
  </si>
  <si>
    <t>297.7*100000000</t>
  </si>
  <si>
    <t>1008*100000000</t>
  </si>
  <si>
    <t>763.3*100000000</t>
  </si>
  <si>
    <t>423.3*100000000</t>
  </si>
  <si>
    <t>150.5*100000000</t>
  </si>
  <si>
    <t>600.7*100000000</t>
  </si>
  <si>
    <t>438.3*100000000</t>
  </si>
  <si>
    <t>197.9*100000000</t>
  </si>
  <si>
    <t>162.5*100000000</t>
  </si>
  <si>
    <t>110.2*100000000</t>
  </si>
  <si>
    <t>51.57*100000000</t>
  </si>
  <si>
    <t>180.5*100000000</t>
  </si>
  <si>
    <t>75.29*100000000</t>
  </si>
  <si>
    <t>29.05*100000000</t>
  </si>
  <si>
    <t>132.2*100000000</t>
  </si>
  <si>
    <t>89.34*100000000</t>
  </si>
  <si>
    <t>52.75*100000000</t>
  </si>
  <si>
    <t>6.081*100000000</t>
  </si>
  <si>
    <t>41.19*100000000</t>
  </si>
  <si>
    <t>44.57*100000000</t>
  </si>
  <si>
    <t>21.71*100000000</t>
  </si>
  <si>
    <t>11.60*100000000</t>
  </si>
  <si>
    <t>198.3*100000000</t>
  </si>
  <si>
    <t>162.6*100000000</t>
  </si>
  <si>
    <t>51.59*100000000</t>
  </si>
  <si>
    <t>75.02*100000000</t>
  </si>
  <si>
    <t>28.87*100000000</t>
  </si>
  <si>
    <t>89.35*100000000</t>
  </si>
  <si>
    <t>52.80*100000000</t>
  </si>
  <si>
    <t>6.076*100000000</t>
  </si>
  <si>
    <t>41.40*100000000</t>
  </si>
  <si>
    <t>44.55*100000000</t>
  </si>
  <si>
    <t>21.67*100000000</t>
  </si>
  <si>
    <t>127.2*100000000</t>
  </si>
  <si>
    <t>86.40*100000000</t>
  </si>
  <si>
    <t>41.18*100000000</t>
  </si>
  <si>
    <t>134.9*100000000</t>
  </si>
  <si>
    <t>99.11*100000000</t>
  </si>
  <si>
    <t>55.46*100000000</t>
  </si>
  <si>
    <t>21.66*100000000</t>
  </si>
  <si>
    <t>68.10*100000000</t>
  </si>
  <si>
    <t>40.31*100000000</t>
  </si>
  <si>
    <t>4.796*100000000</t>
  </si>
  <si>
    <t>34.02*100000000</t>
  </si>
  <si>
    <t>37.18*100000000</t>
  </si>
  <si>
    <t>19.05*100000000</t>
  </si>
  <si>
    <t>162.0*100000000</t>
  </si>
  <si>
    <t>100.1*100000000</t>
  </si>
  <si>
    <t>65.74*100000000</t>
  </si>
  <si>
    <t>130.0*100000000</t>
  </si>
  <si>
    <t>75.85*100000000</t>
  </si>
  <si>
    <t>40.50*100000000</t>
  </si>
  <si>
    <t>79.81*100000000</t>
  </si>
  <si>
    <t>47.62*100000000</t>
  </si>
  <si>
    <t>16.03*100000000</t>
  </si>
  <si>
    <t>49.39*100000000</t>
  </si>
  <si>
    <t>30.00*100000000</t>
  </si>
  <si>
    <t>13.94*100000000</t>
  </si>
  <si>
    <t>51.52*100000000</t>
  </si>
  <si>
    <t>30.33*100000000</t>
  </si>
  <si>
    <t>9.084*100000000</t>
  </si>
  <si>
    <t>37.47*100000000</t>
  </si>
  <si>
    <t>20.37*100000000</t>
  </si>
  <si>
    <t>4.862*100000000</t>
  </si>
  <si>
    <t>44.88*100000000</t>
  </si>
  <si>
    <t>23.00*100000000</t>
  </si>
  <si>
    <t>8.355*100000000</t>
  </si>
  <si>
    <t>50.24*100000000</t>
  </si>
  <si>
    <t>46.97*100000000</t>
  </si>
  <si>
    <t>38.26*100000000</t>
  </si>
  <si>
    <t>7.213*100000000</t>
  </si>
  <si>
    <t>51.85*100000000</t>
  </si>
  <si>
    <t>30.82*100000000</t>
  </si>
  <si>
    <t>9.212*100000000</t>
  </si>
  <si>
    <t>38.12*100000000</t>
  </si>
  <si>
    <t>44.10*100000000</t>
  </si>
  <si>
    <t>31.57*100000000</t>
  </si>
  <si>
    <t>23.33*100000000</t>
  </si>
  <si>
    <t>8.461*100000000</t>
  </si>
  <si>
    <t>43.13*100000000</t>
  </si>
  <si>
    <t>44.79*100000000</t>
  </si>
  <si>
    <t>38.56*100000000</t>
  </si>
  <si>
    <t>7.351*100000000</t>
  </si>
  <si>
    <t>23.56*100000000</t>
  </si>
  <si>
    <t>7.036*100000000</t>
  </si>
  <si>
    <t>27.60*100000000</t>
  </si>
  <si>
    <t>15.37*100000000</t>
  </si>
  <si>
    <t>6.472*100000000</t>
  </si>
  <si>
    <t>36.26*100000000</t>
  </si>
  <si>
    <t>36.54*100000000</t>
  </si>
  <si>
    <t>10.07*100000000</t>
  </si>
  <si>
    <t>6.737*100000000</t>
  </si>
  <si>
    <t>4.053*100000000</t>
  </si>
  <si>
    <t>1.526*100000000</t>
  </si>
  <si>
    <t>9.020*100000000</t>
  </si>
  <si>
    <t>6.475*100000000</t>
  </si>
  <si>
    <t>4.419*100000000</t>
  </si>
  <si>
    <t>1.833*100000000</t>
  </si>
  <si>
    <t>5.826*100000000</t>
  </si>
  <si>
    <t>2.852*100000000</t>
  </si>
  <si>
    <t>2.340*100000000</t>
  </si>
  <si>
    <t>8602*10000</t>
  </si>
  <si>
    <t>6981*10000</t>
  </si>
  <si>
    <t>3699*10000</t>
  </si>
  <si>
    <t>1310*10000</t>
  </si>
  <si>
    <t>6384*10000</t>
  </si>
  <si>
    <t>6841*10000</t>
  </si>
  <si>
    <t>3698*10000</t>
  </si>
  <si>
    <t>8045*10000</t>
  </si>
  <si>
    <t>5283*10000</t>
  </si>
  <si>
    <t>2432*10000</t>
  </si>
  <si>
    <t>6977*10000</t>
  </si>
  <si>
    <t>6349*10000</t>
  </si>
  <si>
    <t>3767*10000</t>
  </si>
  <si>
    <t>1570*10000</t>
  </si>
  <si>
    <t>8594*10000</t>
  </si>
  <si>
    <t>6987*10000</t>
  </si>
  <si>
    <t>3704*10000</t>
  </si>
  <si>
    <t>1309*10000</t>
  </si>
  <si>
    <t>6394*10000</t>
  </si>
  <si>
    <t>6992*10000</t>
  </si>
  <si>
    <t>3818*10000</t>
  </si>
  <si>
    <t>8405*10000</t>
  </si>
  <si>
    <t>8695*10000</t>
  </si>
  <si>
    <t>5414*10000</t>
  </si>
  <si>
    <t>2520*10000</t>
  </si>
  <si>
    <t>7071*10000</t>
  </si>
  <si>
    <t>6589*10000</t>
  </si>
  <si>
    <t>3927*10000</t>
  </si>
  <si>
    <t>7900*10000</t>
  </si>
  <si>
    <t>6093*10000</t>
  </si>
  <si>
    <t>3271*10000</t>
  </si>
  <si>
    <t>1124*10000</t>
  </si>
  <si>
    <t>5817*10000</t>
  </si>
  <si>
    <t>6059*10000</t>
  </si>
  <si>
    <t>7237*10000</t>
  </si>
  <si>
    <t>4414*10000</t>
  </si>
  <si>
    <t>2085*10000</t>
  </si>
  <si>
    <t>6152*10000</t>
  </si>
  <si>
    <t>5598*10000</t>
  </si>
  <si>
    <t>3331*10000</t>
  </si>
  <si>
    <t>1308*10000</t>
  </si>
  <si>
    <t>9.221*100000000</t>
  </si>
  <si>
    <t>4.409*100000000</t>
  </si>
  <si>
    <t>3.566*100000000</t>
  </si>
  <si>
    <t>2.169*100000000</t>
  </si>
  <si>
    <t>9.542*100000000</t>
  </si>
  <si>
    <t>6.066*100000000</t>
  </si>
  <si>
    <t>4.114*100000000</t>
  </si>
  <si>
    <t>6.848*100000000</t>
  </si>
  <si>
    <t>4.557*100000000</t>
  </si>
  <si>
    <t>7.675*100000000</t>
  </si>
  <si>
    <t>2.061*100000000</t>
  </si>
  <si>
    <t>8565*10000</t>
  </si>
  <si>
    <t>2669*10000</t>
  </si>
  <si>
    <t>591.4*10000</t>
  </si>
  <si>
    <t>2995*10000</t>
  </si>
  <si>
    <t>6052*10000</t>
  </si>
  <si>
    <t>3609*10000</t>
  </si>
  <si>
    <t>1068*10000</t>
  </si>
  <si>
    <t>3376*10000</t>
  </si>
  <si>
    <t>3190*10000</t>
  </si>
  <si>
    <t>5910*10000</t>
  </si>
  <si>
    <t>4204*10000</t>
  </si>
  <si>
    <t>1038*10000</t>
  </si>
  <si>
    <t>2538*10000</t>
  </si>
  <si>
    <t>5869*10000</t>
  </si>
  <si>
    <t>2.639*100000000</t>
  </si>
  <si>
    <t>1.425*100000000</t>
  </si>
  <si>
    <t>6574*10000</t>
  </si>
  <si>
    <t>1.278*100000000</t>
  </si>
  <si>
    <t>7861*10000</t>
  </si>
  <si>
    <t>3218*10000</t>
  </si>
  <si>
    <t>3.026*100000000</t>
  </si>
  <si>
    <t>9604*10000</t>
  </si>
  <si>
    <t>3.978*100000000</t>
  </si>
  <si>
    <t>2.951*100000000</t>
  </si>
  <si>
    <t>312.4*10000</t>
  </si>
  <si>
    <t>288.9*10000</t>
  </si>
  <si>
    <t>79.77*10000</t>
  </si>
  <si>
    <t>1226*10000</t>
  </si>
  <si>
    <t>993.0*10000</t>
  </si>
  <si>
    <t>994.0*10000</t>
  </si>
  <si>
    <t>314.2*10000</t>
  </si>
  <si>
    <t>286.9*10000</t>
  </si>
  <si>
    <t>79.32*10000</t>
  </si>
  <si>
    <t>1210*10000</t>
  </si>
  <si>
    <t>975.4*10000</t>
  </si>
  <si>
    <t>978.3*10000</t>
  </si>
  <si>
    <t>235.0*10000</t>
  </si>
  <si>
    <t>187.1*10000</t>
  </si>
  <si>
    <t>1101*10000</t>
  </si>
  <si>
    <t>414.9*10000</t>
  </si>
  <si>
    <t>534.5*10000</t>
  </si>
  <si>
    <t>6.121*100000000</t>
  </si>
  <si>
    <t>3.493*100000000</t>
  </si>
  <si>
    <t>1.737*100000000</t>
  </si>
  <si>
    <t>5.223*100000000</t>
  </si>
  <si>
    <t>4.000*100000000</t>
  </si>
  <si>
    <t>9922*10000</t>
  </si>
  <si>
    <t>3.550*100000000</t>
  </si>
  <si>
    <t>5293*10000</t>
  </si>
  <si>
    <t>2.752*100000000</t>
  </si>
  <si>
    <t>1.959*100000000</t>
  </si>
  <si>
    <t>1.459*100000000</t>
  </si>
  <si>
    <t>8657*10000</t>
  </si>
  <si>
    <t>789.9*10000</t>
  </si>
  <si>
    <t>866.1*10000</t>
  </si>
  <si>
    <t>964.7*10000</t>
  </si>
  <si>
    <t>167.4*10000</t>
  </si>
  <si>
    <t>46.38*10000</t>
  </si>
  <si>
    <t>1858*10000</t>
  </si>
  <si>
    <t>2.578*10000</t>
  </si>
  <si>
    <t>537.9*10000</t>
  </si>
  <si>
    <t>789.8*10000</t>
  </si>
  <si>
    <t>872.2*10000</t>
  </si>
  <si>
    <t>2484*10000</t>
  </si>
  <si>
    <t>862.7*10000</t>
  </si>
  <si>
    <t>759.1*10000</t>
  </si>
  <si>
    <t>1931*10000</t>
  </si>
  <si>
    <t>671.3*10000</t>
  </si>
  <si>
    <t>2075*10000</t>
  </si>
  <si>
    <t>780.2*10000</t>
  </si>
  <si>
    <t>871.2*10000</t>
  </si>
  <si>
    <t>3807*10000</t>
  </si>
  <si>
    <t>700.2*10000</t>
  </si>
  <si>
    <t>697.2*10000</t>
  </si>
  <si>
    <t>513.5*10000</t>
  </si>
  <si>
    <t>83.53*100000000</t>
  </si>
  <si>
    <t>61.46*100000000</t>
  </si>
  <si>
    <t>24.34*100000000</t>
  </si>
  <si>
    <t>95.49*100000000</t>
  </si>
  <si>
    <t>60.88*100000000</t>
  </si>
  <si>
    <t>40.87*100000000</t>
  </si>
  <si>
    <t>119.9*100000000</t>
  </si>
  <si>
    <t>60.97*100000000</t>
  </si>
  <si>
    <t>33.50*100000000</t>
  </si>
  <si>
    <t>116.0*100000000</t>
  </si>
  <si>
    <t>92.45*100000000</t>
  </si>
  <si>
    <t>61.35*100000000</t>
  </si>
  <si>
    <t>33.96*100000000</t>
  </si>
  <si>
    <t>2805*10000</t>
  </si>
  <si>
    <t>5480*10000</t>
  </si>
  <si>
    <t>1.404*100000000</t>
  </si>
  <si>
    <t>1.162*100000000</t>
  </si>
  <si>
    <t>7081*10000</t>
  </si>
  <si>
    <t>6530*10000</t>
  </si>
  <si>
    <t>5108*10000</t>
  </si>
  <si>
    <t>9584*10000</t>
  </si>
  <si>
    <t>8882*10000</t>
  </si>
  <si>
    <t>5992*10000</t>
  </si>
  <si>
    <t>3552*10000</t>
  </si>
  <si>
    <t>1445*10000</t>
  </si>
  <si>
    <t>5440*10000</t>
  </si>
  <si>
    <t>1.074*100000000</t>
  </si>
  <si>
    <t>6896*10000</t>
  </si>
  <si>
    <t>9284*10000</t>
  </si>
  <si>
    <t>7028*10000</t>
  </si>
  <si>
    <t>6106*10000</t>
  </si>
  <si>
    <t>5312*10000</t>
  </si>
  <si>
    <t>8955*10000</t>
  </si>
  <si>
    <t>7507*10000</t>
  </si>
  <si>
    <t>4325*10000</t>
  </si>
  <si>
    <t>3504*10000</t>
  </si>
  <si>
    <t>1.040*100000000</t>
  </si>
  <si>
    <t>8322*10000</t>
  </si>
  <si>
    <t>6556*10000</t>
  </si>
  <si>
    <t>8437*10000</t>
  </si>
  <si>
    <t>6239*10000</t>
  </si>
  <si>
    <t>5574*10000</t>
  </si>
  <si>
    <t>4858*10000</t>
  </si>
  <si>
    <t>8085*10000</t>
  </si>
  <si>
    <t>6580*10000</t>
  </si>
  <si>
    <t>3952*10000</t>
  </si>
  <si>
    <t>2904*10000</t>
  </si>
  <si>
    <t>4428*100000000</t>
  </si>
  <si>
    <t>3373*100000000</t>
  </si>
  <si>
    <t>2268*100000000</t>
  </si>
  <si>
    <t>1020*100000000</t>
  </si>
  <si>
    <t>3186*100000000</t>
  </si>
  <si>
    <t>2273*100000000</t>
  </si>
  <si>
    <t>1470*100000000</t>
  </si>
  <si>
    <t>562.1*100000000</t>
  </si>
  <si>
    <t>2404*100000000</t>
  </si>
  <si>
    <t>1712*100000000</t>
  </si>
  <si>
    <t>488.6*100000000</t>
  </si>
  <si>
    <t>2153*100000000</t>
  </si>
  <si>
    <t>1626*100000000</t>
  </si>
  <si>
    <t>1045*100000000</t>
  </si>
  <si>
    <t>506.1*100000000</t>
  </si>
  <si>
    <t>74.30*100000000</t>
  </si>
  <si>
    <t>57.70*100000000</t>
  </si>
  <si>
    <t>40.29*100000000</t>
  </si>
  <si>
    <t>11.46*100000000</t>
  </si>
  <si>
    <t>33.19*100000000</t>
  </si>
  <si>
    <t>24.45*100000000</t>
  </si>
  <si>
    <t>11.49*100000000</t>
  </si>
  <si>
    <t>2.585*100000000</t>
  </si>
  <si>
    <t>31.98*100000000</t>
  </si>
  <si>
    <t>27.04*100000000</t>
  </si>
  <si>
    <t>17.37*100000000</t>
  </si>
  <si>
    <t>9.537*100000000</t>
  </si>
  <si>
    <t>32.66*100000000</t>
  </si>
  <si>
    <t>16.74*100000000</t>
  </si>
  <si>
    <t>9.578*100000000</t>
  </si>
  <si>
    <t>73.01*100000000</t>
  </si>
  <si>
    <t>57.06*100000000</t>
  </si>
  <si>
    <t>39.57*100000000</t>
  </si>
  <si>
    <t>33.36*100000000</t>
  </si>
  <si>
    <t>31.61*100000000</t>
  </si>
  <si>
    <t>28.17*100000000</t>
  </si>
  <si>
    <t>17.98*100000000</t>
  </si>
  <si>
    <t>9.573*100000000</t>
  </si>
  <si>
    <t>32.94*100000000</t>
  </si>
  <si>
    <t>16.86*100000000</t>
  </si>
  <si>
    <t>9.742*100000000</t>
  </si>
  <si>
    <t>59.14*100000000</t>
  </si>
  <si>
    <t>47.63*100000000</t>
  </si>
  <si>
    <t>31.80*100000000</t>
  </si>
  <si>
    <t>24.44*100000000</t>
  </si>
  <si>
    <t>7.577*100000000</t>
  </si>
  <si>
    <t>1.979*100000000</t>
  </si>
  <si>
    <t>21.78*100000000</t>
  </si>
  <si>
    <t>12.64*100000000</t>
  </si>
  <si>
    <t>7.744*100000000</t>
  </si>
  <si>
    <t>24.54*100000000</t>
  </si>
  <si>
    <t>20.71*100000000</t>
  </si>
  <si>
    <t>8.238*100000000</t>
  </si>
  <si>
    <t>37.54*100000000</t>
  </si>
  <si>
    <t>25.98*100000000</t>
  </si>
  <si>
    <t>6.776*100000000</t>
  </si>
  <si>
    <t>17.22*100000000</t>
  </si>
  <si>
    <t>9.936*100000000</t>
  </si>
  <si>
    <t>3.899*100000000</t>
  </si>
  <si>
    <t>19.48*100000000</t>
  </si>
  <si>
    <t>8.109*100000000</t>
  </si>
  <si>
    <t>3.623*100000000</t>
  </si>
  <si>
    <t>20.26*100000000</t>
  </si>
  <si>
    <t>4.381*100000000</t>
  </si>
  <si>
    <t>6.282*100000000</t>
  </si>
  <si>
    <t>4.349*100000000</t>
  </si>
  <si>
    <t>2.722*100000000</t>
  </si>
  <si>
    <t>8132*10000</t>
  </si>
  <si>
    <t>2.243*100000000</t>
  </si>
  <si>
    <t>1.632*100000000</t>
  </si>
  <si>
    <t>9172*10000</t>
  </si>
  <si>
    <t>3276*10000</t>
  </si>
  <si>
    <t>5901*10000</t>
  </si>
  <si>
    <t>6667*10000</t>
  </si>
  <si>
    <t>9309*10000</t>
  </si>
  <si>
    <t>7231*10000</t>
  </si>
  <si>
    <t>5930*10000</t>
  </si>
  <si>
    <t>2059*10000</t>
  </si>
  <si>
    <t>4.263*100000000</t>
  </si>
  <si>
    <t>2.725*100000000</t>
  </si>
  <si>
    <t>8147*10000</t>
  </si>
  <si>
    <t>2.141*100000000</t>
  </si>
  <si>
    <t>1.602*100000000</t>
  </si>
  <si>
    <t>9150*10000</t>
  </si>
  <si>
    <t>2473*10000</t>
  </si>
  <si>
    <t>5856*10000</t>
  </si>
  <si>
    <t>6656*10000</t>
  </si>
  <si>
    <t>1.373*100000000</t>
  </si>
  <si>
    <t>9667*10000</t>
  </si>
  <si>
    <t>7392*10000</t>
  </si>
  <si>
    <t>6088*10000</t>
  </si>
  <si>
    <t>2363*10000</t>
  </si>
  <si>
    <t>3.696*100000000</t>
  </si>
  <si>
    <t>2.394*100000000</t>
  </si>
  <si>
    <t>6475*10000</t>
  </si>
  <si>
    <t>1.711*100000000</t>
  </si>
  <si>
    <t>7413*10000</t>
  </si>
  <si>
    <t>2146*10000</t>
  </si>
  <si>
    <t>4445*10000</t>
  </si>
  <si>
    <t>5307*10000</t>
  </si>
  <si>
    <t>1.094*100000000</t>
  </si>
  <si>
    <t>6652*10000</t>
  </si>
  <si>
    <t>5539*10000</t>
  </si>
  <si>
    <t>2123*10000</t>
  </si>
  <si>
    <t>18.31*100000000</t>
  </si>
  <si>
    <t>9.339*100000000</t>
  </si>
  <si>
    <t>5.113*100000000</t>
  </si>
  <si>
    <t>13.13*100000000</t>
  </si>
  <si>
    <t>7.994*100000000</t>
  </si>
  <si>
    <t>3.681*100000000</t>
  </si>
  <si>
    <t>21.47*100000000</t>
  </si>
  <si>
    <t>5.156*100000000</t>
  </si>
  <si>
    <t>12.46*100000000</t>
  </si>
  <si>
    <t>8.345*100000000</t>
  </si>
  <si>
    <t>3.216*100000000</t>
  </si>
  <si>
    <t>8.040*100000000</t>
  </si>
  <si>
    <t>6.726*100000000</t>
  </si>
  <si>
    <t>4.632*100000000</t>
  </si>
  <si>
    <t>6.353*100000000</t>
  </si>
  <si>
    <t>5.442*100000000</t>
  </si>
  <si>
    <t>3473*10000</t>
  </si>
  <si>
    <t>9.746*100000000</t>
  </si>
  <si>
    <t>8.455*100000000</t>
  </si>
  <si>
    <t>7.191*100000000</t>
  </si>
  <si>
    <t>2.810*100000000</t>
  </si>
  <si>
    <t>1.826*100000000</t>
  </si>
  <si>
    <t>8.078*100000000</t>
  </si>
  <si>
    <t>6.756*100000000</t>
  </si>
  <si>
    <t>4.640*100000000</t>
  </si>
  <si>
    <t>6.428*100000000</t>
  </si>
  <si>
    <t>5.514*100000000</t>
  </si>
  <si>
    <t>3881*10000</t>
  </si>
  <si>
    <t>9.561*100000000</t>
  </si>
  <si>
    <t>8.481*100000000</t>
  </si>
  <si>
    <t>4.784*100000000</t>
  </si>
  <si>
    <t>2.824*100000000</t>
  </si>
  <si>
    <t>1.837*100000000</t>
  </si>
  <si>
    <t>5.864*100000000</t>
  </si>
  <si>
    <t>4.034*100000000</t>
  </si>
  <si>
    <t>1.879*100000000</t>
  </si>
  <si>
    <t>5.612*100000000</t>
  </si>
  <si>
    <t>4.780*100000000</t>
  </si>
  <si>
    <t>8.645*100000000</t>
  </si>
  <si>
    <t>7.466*100000000</t>
  </si>
  <si>
    <t>6.548*100000000</t>
  </si>
  <si>
    <t>4.054*100000000</t>
  </si>
  <si>
    <t>2.364*100000000</t>
  </si>
  <si>
    <t>194.8*100000000</t>
  </si>
  <si>
    <t>138.7*100000000</t>
  </si>
  <si>
    <t>91.79*100000000</t>
  </si>
  <si>
    <t>41.41*100000000</t>
  </si>
  <si>
    <t>163.0*100000000</t>
  </si>
  <si>
    <t>84.16*100000000</t>
  </si>
  <si>
    <t>220.8*100000000</t>
  </si>
  <si>
    <t>173.5*100000000</t>
  </si>
  <si>
    <t>4.706*100000000</t>
  </si>
  <si>
    <t>8.682*100000000</t>
  </si>
  <si>
    <t>2.705*100000000</t>
  </si>
  <si>
    <t>7.941*100000000</t>
  </si>
  <si>
    <t>5.263*100000000</t>
  </si>
  <si>
    <t>3.633*100000000</t>
  </si>
  <si>
    <t>1.705*100000000</t>
  </si>
  <si>
    <t>6.321*100000000</t>
  </si>
  <si>
    <t>3.376*100000000</t>
  </si>
  <si>
    <t>5828*10000</t>
  </si>
  <si>
    <t>6196*10000</t>
  </si>
  <si>
    <t>9700*10000</t>
  </si>
  <si>
    <t>8532*10000</t>
  </si>
  <si>
    <t>1905*10000</t>
  </si>
  <si>
    <t>7.906*100000000</t>
  </si>
  <si>
    <t>3.589*100000000</t>
  </si>
  <si>
    <t>1.701*100000000</t>
  </si>
  <si>
    <t>7.898*100000000</t>
  </si>
  <si>
    <t>5829*10000</t>
  </si>
  <si>
    <t>9.524*100000000</t>
  </si>
  <si>
    <t>9698*10000</t>
  </si>
  <si>
    <t>8495*10000</t>
  </si>
  <si>
    <t>5676*10000</t>
  </si>
  <si>
    <t>4.359*100000000</t>
  </si>
  <si>
    <t>3.068*100000000</t>
  </si>
  <si>
    <t>5.859*100000000</t>
  </si>
  <si>
    <t>4.262*100000000</t>
  </si>
  <si>
    <t>2.374*100000000</t>
  </si>
  <si>
    <t>2114*10000</t>
  </si>
  <si>
    <t>8.018*100000000</t>
  </si>
  <si>
    <t>6.731*100000000</t>
  </si>
  <si>
    <t>4277*10000</t>
  </si>
  <si>
    <t>1712*10000</t>
  </si>
  <si>
    <t>7227*10000</t>
  </si>
  <si>
    <t>4287*10000</t>
  </si>
  <si>
    <t>1384*10000</t>
  </si>
  <si>
    <t>98.39*100000000</t>
  </si>
  <si>
    <t>69.37*100000000</t>
  </si>
  <si>
    <t>46.16*100000000</t>
  </si>
  <si>
    <t>19.61*100000000</t>
  </si>
  <si>
    <t>87.47*100000000</t>
  </si>
  <si>
    <t>58.13*100000000</t>
  </si>
  <si>
    <t>35.77*100000000</t>
  </si>
  <si>
    <t>83.52*100000000</t>
  </si>
  <si>
    <t>51.73*100000000</t>
  </si>
  <si>
    <t>34.31*100000000</t>
  </si>
  <si>
    <t>12.63*100000000</t>
  </si>
  <si>
    <t>76.43*100000000</t>
  </si>
  <si>
    <t>46.01*100000000</t>
  </si>
  <si>
    <t>9.024*100000000</t>
  </si>
  <si>
    <t>8.817*100000000</t>
  </si>
  <si>
    <t>6.523*100000000</t>
  </si>
  <si>
    <t>4.519*100000000</t>
  </si>
  <si>
    <t>1.626*100000000</t>
  </si>
  <si>
    <t>7.314*100000000</t>
  </si>
  <si>
    <t>4.831*100000000</t>
  </si>
  <si>
    <t>3.117*100000000</t>
  </si>
  <si>
    <t>8978*10000</t>
  </si>
  <si>
    <t>3.241*100000000</t>
  </si>
  <si>
    <t>2.230*100000000</t>
  </si>
  <si>
    <t>4.742*100000000</t>
  </si>
  <si>
    <t>2.229*100000000</t>
  </si>
  <si>
    <t>8.811*100000000</t>
  </si>
  <si>
    <t>6.558*100000000</t>
  </si>
  <si>
    <t>4.542*100000000</t>
  </si>
  <si>
    <t>7.195*100000000</t>
  </si>
  <si>
    <t>3.142*100000000</t>
  </si>
  <si>
    <t>9247*10000</t>
  </si>
  <si>
    <t>6.311*100000000</t>
  </si>
  <si>
    <t>3.362*100000000</t>
  </si>
  <si>
    <t>2.231*100000000</t>
  </si>
  <si>
    <t>5.656*100000000</t>
  </si>
  <si>
    <t>3.043*100000000</t>
  </si>
  <si>
    <t>8.177*100000000</t>
  </si>
  <si>
    <t>5.951*100000000</t>
  </si>
  <si>
    <t>3.975*100000000</t>
  </si>
  <si>
    <t>6.553*100000000</t>
  </si>
  <si>
    <t>4.321*100000000</t>
  </si>
  <si>
    <t>2.750*100000000</t>
  </si>
  <si>
    <t>7667*10000</t>
  </si>
  <si>
    <t>5.786*100000000</t>
  </si>
  <si>
    <t>2.913*100000000</t>
  </si>
  <si>
    <t>1.827*100000000</t>
  </si>
  <si>
    <t>4.825*100000000</t>
  </si>
  <si>
    <t>2.587*100000000</t>
  </si>
  <si>
    <t>1.489*100000000</t>
  </si>
  <si>
    <t>53.20*100000000</t>
  </si>
  <si>
    <t>38.40*100000000</t>
  </si>
  <si>
    <t>64.28*100000000</t>
  </si>
  <si>
    <t>53.36*100000000</t>
  </si>
  <si>
    <t>34.35*100000000</t>
  </si>
  <si>
    <t>10.70*100000000</t>
  </si>
  <si>
    <t>63.83*100000000</t>
  </si>
  <si>
    <t>49.81*100000000</t>
  </si>
  <si>
    <t>38.05*100000000</t>
  </si>
  <si>
    <t>72.92*100000000</t>
  </si>
  <si>
    <t>50.36*100000000</t>
  </si>
  <si>
    <t>36.99*100000000</t>
  </si>
  <si>
    <t>14.69*100000000</t>
  </si>
  <si>
    <t>1812*10000</t>
  </si>
  <si>
    <t>632.8*10000</t>
  </si>
  <si>
    <t>2165*10000</t>
  </si>
  <si>
    <t>542.1*10000</t>
  </si>
  <si>
    <t>5299*10000</t>
  </si>
  <si>
    <t>1586*10000</t>
  </si>
  <si>
    <t>4583*10000</t>
  </si>
  <si>
    <t>4323*10000</t>
  </si>
  <si>
    <t>973.4*10000</t>
  </si>
  <si>
    <t>2481*10000</t>
  </si>
  <si>
    <t>697.0*10000</t>
  </si>
  <si>
    <t>7402*10000</t>
  </si>
  <si>
    <t>4639*10000</t>
  </si>
  <si>
    <t>1025*10000</t>
  </si>
  <si>
    <t>3831*10000</t>
  </si>
  <si>
    <t>555.5*10000</t>
  </si>
  <si>
    <t>2592*10000</t>
  </si>
  <si>
    <t>500.7*10000</t>
  </si>
  <si>
    <t>4195*10000</t>
  </si>
  <si>
    <t>785.6*10000</t>
  </si>
  <si>
    <t>76.59*100000000</t>
  </si>
  <si>
    <t>23.92*100000000</t>
  </si>
  <si>
    <t>80.32*100000000</t>
  </si>
  <si>
    <t>26.68*100000000</t>
  </si>
  <si>
    <t>9.636*100000000</t>
  </si>
  <si>
    <t>74.96*100000000</t>
  </si>
  <si>
    <t>48.35*100000000</t>
  </si>
  <si>
    <t>23.62*100000000</t>
  </si>
  <si>
    <t>99.69*100000000</t>
  </si>
  <si>
    <t>76.42*100000000</t>
  </si>
  <si>
    <t>51.42*100000000</t>
  </si>
  <si>
    <t>28.23*100000000</t>
  </si>
  <si>
    <t>54.35*100000000</t>
  </si>
  <si>
    <t>48.44*100000000</t>
  </si>
  <si>
    <t>14.91*100000000</t>
  </si>
  <si>
    <t>32.39*100000000</t>
  </si>
  <si>
    <t>24.78*100000000</t>
  </si>
  <si>
    <t>55.42*100000000</t>
  </si>
  <si>
    <t>29.95*100000000</t>
  </si>
  <si>
    <t>13.69*100000000</t>
  </si>
  <si>
    <t>56.61*100000000</t>
  </si>
  <si>
    <t>32.34*100000000</t>
  </si>
  <si>
    <t>25.17*100000000</t>
  </si>
  <si>
    <t>6.580*100000000</t>
  </si>
  <si>
    <t>55.22*100000000</t>
  </si>
  <si>
    <t>29.86*100000000</t>
  </si>
  <si>
    <t>56.53*100000000</t>
  </si>
  <si>
    <t>31.51*100000000</t>
  </si>
  <si>
    <t>13.56*100000000</t>
  </si>
  <si>
    <t>41.33*100000000</t>
  </si>
  <si>
    <t>37.91*100000000</t>
  </si>
  <si>
    <t>27.01*100000000</t>
  </si>
  <si>
    <t>25.19*100000000</t>
  </si>
  <si>
    <t>19.35*100000000</t>
  </si>
  <si>
    <t>4.841*100000000</t>
  </si>
  <si>
    <t>43.00*100000000</t>
  </si>
  <si>
    <t>23.34*100000000</t>
  </si>
  <si>
    <t>44.76*100000000</t>
  </si>
  <si>
    <t>37.34*100000000</t>
  </si>
  <si>
    <t>25.39*100000000</t>
  </si>
  <si>
    <t>5.130*100000000</t>
  </si>
  <si>
    <t>9.021*100000000</t>
  </si>
  <si>
    <t>6.125*100000000</t>
  </si>
  <si>
    <t>3.963*100000000</t>
  </si>
  <si>
    <t>6.843*100000000</t>
  </si>
  <si>
    <t>4.357*100000000</t>
  </si>
  <si>
    <t>2.020*100000000</t>
  </si>
  <si>
    <t>8.493*100000000</t>
  </si>
  <si>
    <t>3.953*100000000</t>
  </si>
  <si>
    <t>5628*10000</t>
  </si>
  <si>
    <t>3709*10000</t>
  </si>
  <si>
    <t>2261*10000</t>
  </si>
  <si>
    <t>773.3*10000</t>
  </si>
  <si>
    <t>5050*10000</t>
  </si>
  <si>
    <t>3480*10000</t>
  </si>
  <si>
    <t>1745*10000</t>
  </si>
  <si>
    <t>488.2*10000</t>
  </si>
  <si>
    <t>4798*10000</t>
  </si>
  <si>
    <t>4100*10000</t>
  </si>
  <si>
    <t>2502*10000</t>
  </si>
  <si>
    <t>554.5*10000</t>
  </si>
  <si>
    <t>4022*10000</t>
  </si>
  <si>
    <t>2444*10000</t>
  </si>
  <si>
    <t>584.4*10000</t>
  </si>
  <si>
    <t>5646*10000</t>
  </si>
  <si>
    <t>3719*10000</t>
  </si>
  <si>
    <t>2270*10000</t>
  </si>
  <si>
    <t>781.3*10000</t>
  </si>
  <si>
    <t>5060*10000</t>
  </si>
  <si>
    <t>3487*10000</t>
  </si>
  <si>
    <t>1751*10000</t>
  </si>
  <si>
    <t>487.9*10000</t>
  </si>
  <si>
    <t>4754*10000</t>
  </si>
  <si>
    <t>4115*10000</t>
  </si>
  <si>
    <t>2503*10000</t>
  </si>
  <si>
    <t>556.1*10000</t>
  </si>
  <si>
    <t>4165*10000</t>
  </si>
  <si>
    <t>3864*10000</t>
  </si>
  <si>
    <t>2471*10000</t>
  </si>
  <si>
    <t>599.0*10000</t>
  </si>
  <si>
    <t>5216*10000</t>
  </si>
  <si>
    <t>2060*10000</t>
  </si>
  <si>
    <t>668.3*10000</t>
  </si>
  <si>
    <t>4617*10000</t>
  </si>
  <si>
    <t>3061*10000</t>
  </si>
  <si>
    <t>1511*10000</t>
  </si>
  <si>
    <t>363.5*10000</t>
  </si>
  <si>
    <t>4417*10000</t>
  </si>
  <si>
    <t>3566*10000</t>
  </si>
  <si>
    <t>2248*10000</t>
  </si>
  <si>
    <t>429.7*10000</t>
  </si>
  <si>
    <t>3847*10000</t>
  </si>
  <si>
    <t>3408*10000</t>
  </si>
  <si>
    <t>2127*10000</t>
  </si>
  <si>
    <t>479.7*10000</t>
  </si>
  <si>
    <t>159.0*100000000</t>
  </si>
  <si>
    <t>101.0*100000000</t>
  </si>
  <si>
    <t>64.76*100000000</t>
  </si>
  <si>
    <t>31.87*100000000</t>
  </si>
  <si>
    <t>92.91*100000000</t>
  </si>
  <si>
    <t>62.85*100000000</t>
  </si>
  <si>
    <t>33.42*100000000</t>
  </si>
  <si>
    <t>112.0*100000000</t>
  </si>
  <si>
    <t>86.36*100000000</t>
  </si>
  <si>
    <t>30.09*100000000</t>
  </si>
  <si>
    <t>29.83*100000000</t>
  </si>
  <si>
    <t>17.14*100000000</t>
  </si>
  <si>
    <t>8.638*100000000</t>
  </si>
  <si>
    <t>18.66*100000000</t>
  </si>
  <si>
    <t>6.917*100000000</t>
  </si>
  <si>
    <t>21.87*100000000</t>
  </si>
  <si>
    <t>18.48*100000000</t>
  </si>
  <si>
    <t>6.439*100000000</t>
  </si>
  <si>
    <t>15.94*100000000</t>
  </si>
  <si>
    <t>13.84*100000000</t>
  </si>
  <si>
    <t>9.556*100000000</t>
  </si>
  <si>
    <t>4.873*100000000</t>
  </si>
  <si>
    <t>29.52*100000000</t>
  </si>
  <si>
    <t>17.13*100000000</t>
  </si>
  <si>
    <t>8.846*100000000</t>
  </si>
  <si>
    <t>29.50*100000000</t>
  </si>
  <si>
    <t>6.783*100000000</t>
  </si>
  <si>
    <t>18.36*100000000</t>
  </si>
  <si>
    <t>6.962*100000000</t>
  </si>
  <si>
    <t>17.33*100000000</t>
  </si>
  <si>
    <t>5.403*100000000</t>
  </si>
  <si>
    <t>26.13*100000000</t>
  </si>
  <si>
    <t>20.76*100000000</t>
  </si>
  <si>
    <t>7.578*100000000</t>
  </si>
  <si>
    <t>25.78*100000000</t>
  </si>
  <si>
    <t>5.743*100000000</t>
  </si>
  <si>
    <t>18.50*100000000</t>
  </si>
  <si>
    <t>10.82*100000000</t>
  </si>
  <si>
    <t>5.885*100000000</t>
  </si>
  <si>
    <t>14.60*100000000</t>
  </si>
  <si>
    <t>12.96*100000000</t>
  </si>
  <si>
    <t>4.487*100000000</t>
  </si>
  <si>
    <t>43.09*100000000</t>
  </si>
  <si>
    <t>21.27*100000000</t>
  </si>
  <si>
    <t>9.738*100000000</t>
  </si>
  <si>
    <t>45.25*100000000</t>
  </si>
  <si>
    <t>30.75*100000000</t>
  </si>
  <si>
    <t>18.34*100000000</t>
  </si>
  <si>
    <t>52.28*100000000</t>
  </si>
  <si>
    <t>37.79*100000000</t>
  </si>
  <si>
    <t>24.70*100000000</t>
  </si>
  <si>
    <t>47.94*100000000</t>
  </si>
  <si>
    <t>9640*10000</t>
  </si>
  <si>
    <t>3879*10000</t>
  </si>
  <si>
    <t>1.257*100000000</t>
  </si>
  <si>
    <t>7089*10000</t>
  </si>
  <si>
    <t>811.6*10000</t>
  </si>
  <si>
    <t>1.787*100000000</t>
  </si>
  <si>
    <t>9166*10000</t>
  </si>
  <si>
    <t>3723*10000</t>
  </si>
  <si>
    <t>1.359*100000000</t>
  </si>
  <si>
    <t>7719*10000</t>
  </si>
  <si>
    <t>2.608*100000000</t>
  </si>
  <si>
    <t>9671*10000</t>
  </si>
  <si>
    <t>1.234*100000000</t>
  </si>
  <si>
    <t>9063*10000</t>
  </si>
  <si>
    <t>3573*10000</t>
  </si>
  <si>
    <t>1.358*100000000</t>
  </si>
  <si>
    <t>7743*10000</t>
  </si>
  <si>
    <t>3113*10000</t>
  </si>
  <si>
    <t>1.337*100000000</t>
  </si>
  <si>
    <t>6780*10000</t>
  </si>
  <si>
    <t>2369*10000</t>
  </si>
  <si>
    <t>7219*10000</t>
  </si>
  <si>
    <t>2365*10000</t>
  </si>
  <si>
    <t>7714*10000</t>
  </si>
  <si>
    <t>5333*10000</t>
  </si>
  <si>
    <t>1360*10000</t>
  </si>
  <si>
    <t>1.308*100000000</t>
  </si>
  <si>
    <t>8932*10000</t>
  </si>
  <si>
    <t>5535*10000</t>
  </si>
  <si>
    <t>35.05*100000000</t>
  </si>
  <si>
    <t>22.95*100000000</t>
  </si>
  <si>
    <t>14.66*100000000</t>
  </si>
  <si>
    <t>7.046*100000000</t>
  </si>
  <si>
    <t>27.21*100000000</t>
  </si>
  <si>
    <t>9.574*100000000</t>
  </si>
  <si>
    <t>4.555*100000000</t>
  </si>
  <si>
    <t>33.84*100000000</t>
  </si>
  <si>
    <t>16.49*100000000</t>
  </si>
  <si>
    <t>11.34*100000000</t>
  </si>
  <si>
    <t>4.849*100000000</t>
  </si>
  <si>
    <t>8.907*100000000</t>
  </si>
  <si>
    <t>3.845*100000000</t>
  </si>
  <si>
    <t>5165*10000</t>
  </si>
  <si>
    <t>1486*10000</t>
  </si>
  <si>
    <t>7.223*10000</t>
  </si>
  <si>
    <t>5450*10000</t>
  </si>
  <si>
    <t>1533*10000</t>
  </si>
  <si>
    <t>4223*10000</t>
  </si>
  <si>
    <t>4649*10000</t>
  </si>
  <si>
    <t>970.0*10000</t>
  </si>
  <si>
    <t>3821*10000</t>
  </si>
  <si>
    <t>45.53*100000000</t>
  </si>
  <si>
    <t>32.19*100000000</t>
  </si>
  <si>
    <t>72.87*100000000</t>
  </si>
  <si>
    <t>51.89*100000000</t>
  </si>
  <si>
    <t>34.29*100000000</t>
  </si>
  <si>
    <t>20.23*100000000</t>
  </si>
  <si>
    <t>74.01*100000000</t>
  </si>
  <si>
    <t>53.14*100000000</t>
  </si>
  <si>
    <t>33.92*100000000</t>
  </si>
  <si>
    <t>54.06*100000000</t>
  </si>
  <si>
    <t>19.51*100000000</t>
  </si>
  <si>
    <t>4574*10000</t>
  </si>
  <si>
    <t>604.6*10000</t>
  </si>
  <si>
    <t>1.008*100000000</t>
  </si>
  <si>
    <t>2.182*100000000</t>
  </si>
  <si>
    <t>9686*10000</t>
  </si>
  <si>
    <t>4886*10000</t>
  </si>
  <si>
    <t>3629*10000</t>
  </si>
  <si>
    <t>1.013*100000000</t>
  </si>
  <si>
    <t>2.193*100000000</t>
  </si>
  <si>
    <t>1565*10000</t>
  </si>
  <si>
    <t>5481*10000</t>
  </si>
  <si>
    <t>8971*10000</t>
  </si>
  <si>
    <t>7146*10000</t>
  </si>
  <si>
    <t>79.11*100000000</t>
  </si>
  <si>
    <t>59.58*100000000</t>
  </si>
  <si>
    <t>39.36*100000000</t>
  </si>
  <si>
    <t>17.06*100000000</t>
  </si>
  <si>
    <t>68.26*100000000</t>
  </si>
  <si>
    <t>43.99*100000000</t>
  </si>
  <si>
    <t>15.65*100000000</t>
  </si>
  <si>
    <t>59.03*100000000</t>
  </si>
  <si>
    <t>45.45*100000000</t>
  </si>
  <si>
    <t>29.74*100000000</t>
  </si>
  <si>
    <t>15.70*100000000</t>
  </si>
  <si>
    <t>58.17*100000000</t>
  </si>
  <si>
    <t>38.70*100000000</t>
  </si>
  <si>
    <t>20.55*100000000</t>
  </si>
  <si>
    <t>7.345*100000000</t>
  </si>
  <si>
    <t>1.596*100000000</t>
  </si>
  <si>
    <t>9.197*100000000</t>
  </si>
  <si>
    <t>8.136*100000000</t>
  </si>
  <si>
    <t>5.359*100000000</t>
  </si>
  <si>
    <t>3.177*100000000</t>
  </si>
  <si>
    <t>13.42*100000000</t>
  </si>
  <si>
    <t>7.764*100000000</t>
  </si>
  <si>
    <t>4.106*100000000</t>
  </si>
  <si>
    <t>1.595*100000000</t>
  </si>
  <si>
    <t>2.038*100000000</t>
  </si>
  <si>
    <t>5716*10000</t>
  </si>
  <si>
    <t>1.771*100000000</t>
  </si>
  <si>
    <t>1.720*100000000</t>
  </si>
  <si>
    <t>9.290*100000000</t>
  </si>
  <si>
    <t>8.092*100000000</t>
  </si>
  <si>
    <t>5.282*100000000</t>
  </si>
  <si>
    <t>3.179*100000000</t>
  </si>
  <si>
    <t>14.15*100000000</t>
  </si>
  <si>
    <t>5.941*100000000</t>
  </si>
  <si>
    <t>2.490*100000000</t>
  </si>
  <si>
    <t>1.325*100000000</t>
  </si>
  <si>
    <t>9039*10000</t>
  </si>
  <si>
    <t>2924*10000</t>
  </si>
  <si>
    <t>959.9*10000</t>
  </si>
  <si>
    <t>1.256*100000000</t>
  </si>
  <si>
    <t>9875*10000</t>
  </si>
  <si>
    <t>1.409*100000000</t>
  </si>
  <si>
    <t>6.192*100000000</t>
  </si>
  <si>
    <t>6.796*100000000</t>
  </si>
  <si>
    <t>4.529*100000000</t>
  </si>
  <si>
    <t>2.948*100000000</t>
  </si>
  <si>
    <t>231.8*100000000</t>
  </si>
  <si>
    <t>172.6*100000000</t>
  </si>
  <si>
    <t>56.35*100000000</t>
  </si>
  <si>
    <t>177.8*100000000</t>
  </si>
  <si>
    <t>125.8*100000000</t>
  </si>
  <si>
    <t>79.82*100000000</t>
  </si>
  <si>
    <t>40.22*100000000</t>
  </si>
  <si>
    <t>205.2*100000000</t>
  </si>
  <si>
    <t>51.81*100000000</t>
  </si>
  <si>
    <t>201.7*100000000</t>
  </si>
  <si>
    <t>149.4*100000000</t>
  </si>
  <si>
    <t>99.88*100000000</t>
  </si>
  <si>
    <t>23.16*100000000</t>
  </si>
  <si>
    <t>20.32*100000000</t>
  </si>
  <si>
    <t>7.536*100000000</t>
  </si>
  <si>
    <t>8.574*100000000</t>
  </si>
  <si>
    <t>238.8*10000</t>
  </si>
  <si>
    <t>9.153*100000000</t>
  </si>
  <si>
    <t>7.368*100000000</t>
  </si>
  <si>
    <t>5.590*100000000</t>
  </si>
  <si>
    <t>2.779*100000000</t>
  </si>
  <si>
    <t>22.34*100000000</t>
  </si>
  <si>
    <t>15.35*100000000</t>
  </si>
  <si>
    <t>23.06*100000000</t>
  </si>
  <si>
    <t>20.31*100000000</t>
  </si>
  <si>
    <t>7.516*100000000</t>
  </si>
  <si>
    <t>8.855*100000000</t>
  </si>
  <si>
    <t>9.364*100000000</t>
  </si>
  <si>
    <t>7.429*100000000</t>
  </si>
  <si>
    <t>21.09*100000000</t>
  </si>
  <si>
    <t>15.31*100000000</t>
  </si>
  <si>
    <t>18.49*100000000</t>
  </si>
  <si>
    <t>16.36*100000000</t>
  </si>
  <si>
    <t>12.28*100000000</t>
  </si>
  <si>
    <t>6.114*100000000</t>
  </si>
  <si>
    <t>7.529*100000000</t>
  </si>
  <si>
    <t>3084*10000</t>
  </si>
  <si>
    <t>7.400*100000000</t>
  </si>
  <si>
    <t>6.035*100000000</t>
  </si>
  <si>
    <t>4.550*100000000</t>
  </si>
  <si>
    <t>2.219*100000000</t>
  </si>
  <si>
    <t>16.25*100000000</t>
  </si>
  <si>
    <t>12.38*100000000</t>
  </si>
  <si>
    <t>4.620*100000000</t>
  </si>
  <si>
    <t>60.34*100000000</t>
  </si>
  <si>
    <t>41.26*100000000</t>
  </si>
  <si>
    <t>20.73*100000000</t>
  </si>
  <si>
    <t>7.731*100000000</t>
  </si>
  <si>
    <t>31.55*100000000</t>
  </si>
  <si>
    <t>7.554*100000000</t>
  </si>
  <si>
    <t>30.99*100000000</t>
  </si>
  <si>
    <t>18.04*100000000</t>
  </si>
  <si>
    <t>35.94*100000000</t>
  </si>
  <si>
    <t>26.20*100000000</t>
  </si>
  <si>
    <t>8.072*100000000</t>
  </si>
  <si>
    <t>16.54*100000000</t>
  </si>
  <si>
    <t>9.955*100000000</t>
  </si>
  <si>
    <t>16.32*100000000</t>
  </si>
  <si>
    <t>8.753*100000000</t>
  </si>
  <si>
    <t>13.78*100000000</t>
  </si>
  <si>
    <t>16.09*100000000</t>
  </si>
  <si>
    <t>14.10*100000000</t>
  </si>
  <si>
    <t>8.343*100000000</t>
  </si>
  <si>
    <t>16.57*100000000</t>
  </si>
  <si>
    <t>9.930*100000000</t>
  </si>
  <si>
    <t>3.630*100000000</t>
  </si>
  <si>
    <t>16.33*100000000</t>
  </si>
  <si>
    <t>14.03*100000000</t>
  </si>
  <si>
    <t>8.761*100000000</t>
  </si>
  <si>
    <t>2.837*100000000</t>
  </si>
  <si>
    <t>13.29*100000000</t>
  </si>
  <si>
    <t>8.472*100000000</t>
  </si>
  <si>
    <t>3.750*100000000</t>
  </si>
  <si>
    <t>9.218*100000000</t>
  </si>
  <si>
    <t>7.200*100000000</t>
  </si>
  <si>
    <t>2.657*100000000</t>
  </si>
  <si>
    <t>12.49*100000000</t>
  </si>
  <si>
    <t>6.691*100000000</t>
  </si>
  <si>
    <t>2.001*100000000</t>
  </si>
  <si>
    <t>40.26*100000000</t>
  </si>
  <si>
    <t>30.10*100000000</t>
  </si>
  <si>
    <t>11.65*100000000</t>
  </si>
  <si>
    <t>46.96*100000000</t>
  </si>
  <si>
    <t>37.66*100000000</t>
  </si>
  <si>
    <t>23.07*100000000</t>
  </si>
  <si>
    <t>8.512*100000000</t>
  </si>
  <si>
    <t>52.05*100000000</t>
  </si>
  <si>
    <t>42.00*100000000</t>
  </si>
  <si>
    <t>32.28*100000000</t>
  </si>
  <si>
    <t>61.99*100000000</t>
  </si>
  <si>
    <t>45.24*100000000</t>
  </si>
  <si>
    <t>28.29*100000000</t>
  </si>
  <si>
    <t>9.736*100000000</t>
  </si>
  <si>
    <t>1.128*100000000</t>
  </si>
  <si>
    <t>7944*10000</t>
  </si>
  <si>
    <t>5632*10000</t>
  </si>
  <si>
    <t>7238*10000</t>
  </si>
  <si>
    <t>1.679*100000000</t>
  </si>
  <si>
    <t>1.431*100000000</t>
  </si>
  <si>
    <t>1.270*100000000</t>
  </si>
  <si>
    <t>9429*10000</t>
  </si>
  <si>
    <t>5608*10000</t>
  </si>
  <si>
    <t>1.088*100000000</t>
  </si>
  <si>
    <t>8057*10000</t>
  </si>
  <si>
    <t>4609*10000</t>
  </si>
  <si>
    <t>1.271*100000000</t>
  </si>
  <si>
    <t>402.1*100000000</t>
  </si>
  <si>
    <t>307.3*100000000</t>
  </si>
  <si>
    <t>223.8*100000000</t>
  </si>
  <si>
    <t>116.8*100000000</t>
  </si>
  <si>
    <t>428.3*100000000</t>
  </si>
  <si>
    <t>308.1*100000000</t>
  </si>
  <si>
    <t>196.6*100000000</t>
  </si>
  <si>
    <t>76.13*100000000</t>
  </si>
  <si>
    <t>472.9*100000000</t>
  </si>
  <si>
    <t>270.0*100000000</t>
  </si>
  <si>
    <t>146.3*100000000</t>
  </si>
  <si>
    <t>500.9*100000000</t>
  </si>
  <si>
    <t>363.3*100000000</t>
  </si>
  <si>
    <t>237.1*100000000</t>
  </si>
  <si>
    <t>128.6*100000000</t>
  </si>
  <si>
    <t>2626*10000</t>
  </si>
  <si>
    <t>1.477*100000000</t>
  </si>
  <si>
    <t>1.264*100000000</t>
  </si>
  <si>
    <t>2.310*100000000</t>
  </si>
  <si>
    <t>3.520*100000000</t>
  </si>
  <si>
    <t>5337*10000</t>
  </si>
  <si>
    <t>5019*10000</t>
  </si>
  <si>
    <t>1.583*100000000</t>
  </si>
  <si>
    <t>4579*10000</t>
  </si>
  <si>
    <t>4.316*100000000</t>
  </si>
  <si>
    <t>1.349*100000000</t>
  </si>
  <si>
    <t>1.506*100000000</t>
  </si>
  <si>
    <t>8937*10000</t>
  </si>
  <si>
    <t>1.890*100000000</t>
  </si>
  <si>
    <t>5670*10000</t>
  </si>
  <si>
    <t>5663*10000</t>
  </si>
  <si>
    <t>1.574*100000000</t>
  </si>
  <si>
    <t>1304*10000</t>
  </si>
  <si>
    <t>1.345*100000000</t>
  </si>
  <si>
    <t>4.342*100000000</t>
  </si>
  <si>
    <t>1.758*100000000</t>
  </si>
  <si>
    <t>2.495*100000000</t>
  </si>
  <si>
    <t>2.347*100000000</t>
  </si>
  <si>
    <t>1.718*100000000</t>
  </si>
  <si>
    <t>2.555*100000000</t>
  </si>
  <si>
    <t>1.591*100000000</t>
  </si>
  <si>
    <t>7662*10000</t>
  </si>
  <si>
    <t>4777*10000</t>
  </si>
  <si>
    <t>107.1*100000000</t>
  </si>
  <si>
    <t>76.32*100000000</t>
  </si>
  <si>
    <t>39.29*100000000</t>
  </si>
  <si>
    <t>125.6*100000000</t>
  </si>
  <si>
    <t>93.64*100000000</t>
  </si>
  <si>
    <t>62.12*100000000</t>
  </si>
  <si>
    <t>33.03*100000000</t>
  </si>
  <si>
    <t>90.24*100000000</t>
  </si>
  <si>
    <t>62.55*100000000</t>
  </si>
  <si>
    <t>113.2*100000000</t>
  </si>
  <si>
    <t>84.85*100000000</t>
  </si>
  <si>
    <t>8.976*100000000</t>
  </si>
  <si>
    <t>6.413*100000000</t>
  </si>
  <si>
    <t>10.24*100000000</t>
  </si>
  <si>
    <t>9.243*100000000</t>
  </si>
  <si>
    <t>4.891*100000000</t>
  </si>
  <si>
    <t>2.177*100000000</t>
  </si>
  <si>
    <t>6.080*100000000</t>
  </si>
  <si>
    <t>2.974*100000000</t>
  </si>
  <si>
    <t>6.688*100000000</t>
  </si>
  <si>
    <t>3.138*100000000</t>
  </si>
  <si>
    <t>9.182*100000000</t>
  </si>
  <si>
    <t>8.966*100000000</t>
  </si>
  <si>
    <t>6.393*100000000</t>
  </si>
  <si>
    <t>3.437*100000000</t>
  </si>
  <si>
    <t>10.41*100000000</t>
  </si>
  <si>
    <t>9.449*100000000</t>
  </si>
  <si>
    <t>5.115*100000000</t>
  </si>
  <si>
    <t>8.775*100000000</t>
  </si>
  <si>
    <t>6.308*100000000</t>
  </si>
  <si>
    <t>3.153*100000000</t>
  </si>
  <si>
    <t>9.653*100000000</t>
  </si>
  <si>
    <t>6.810*100000000</t>
  </si>
  <si>
    <t>8.211*100000000</t>
  </si>
  <si>
    <t>7.997*100000000</t>
  </si>
  <si>
    <t>5.410*100000000</t>
  </si>
  <si>
    <t>2.906*100000000</t>
  </si>
  <si>
    <t>9.000*100000000</t>
  </si>
  <si>
    <t>7.921*100000000</t>
  </si>
  <si>
    <t>4.279*100000000</t>
  </si>
  <si>
    <t>9.285*100000000</t>
  </si>
  <si>
    <t>7.875*100000000</t>
  </si>
  <si>
    <t>5.258*100000000</t>
  </si>
  <si>
    <t>2.614*100000000</t>
  </si>
  <si>
    <t>8.097*100000000</t>
  </si>
  <si>
    <t>5.753*100000000</t>
  </si>
  <si>
    <t>82.54*100000000</t>
  </si>
  <si>
    <t>60.28*100000000</t>
  </si>
  <si>
    <t>40.93*100000000</t>
  </si>
  <si>
    <t>18.95*100000000</t>
  </si>
  <si>
    <t>77.17*100000000</t>
  </si>
  <si>
    <t>54.24*100000000</t>
  </si>
  <si>
    <t>34.24*100000000</t>
  </si>
  <si>
    <t>15.67*100000000</t>
  </si>
  <si>
    <t>81.20*100000000</t>
  </si>
  <si>
    <t>57.65*100000000</t>
  </si>
  <si>
    <t>37.56*100000000</t>
  </si>
  <si>
    <t>71.02*100000000</t>
  </si>
  <si>
    <t>50.50*100000000</t>
  </si>
  <si>
    <t>33.85*100000000</t>
  </si>
  <si>
    <t>16.42*100000000</t>
  </si>
  <si>
    <t>6.340*100000000</t>
  </si>
  <si>
    <t>5.280*100000000</t>
  </si>
  <si>
    <t>4.033*100000000</t>
  </si>
  <si>
    <t>2.373*100000000</t>
  </si>
  <si>
    <t>5.408*100000000</t>
  </si>
  <si>
    <t>4.288*100000000</t>
  </si>
  <si>
    <t>2.756*100000000</t>
  </si>
  <si>
    <t>5.398*100000000</t>
  </si>
  <si>
    <t>4.498*100000000</t>
  </si>
  <si>
    <t>2.891*100000000</t>
  </si>
  <si>
    <t>1.253*100000000</t>
  </si>
  <si>
    <t>4.198*100000000</t>
  </si>
  <si>
    <t>2.271*100000000</t>
  </si>
  <si>
    <t>1.006*100000000</t>
  </si>
  <si>
    <t>6.313*100000000</t>
  </si>
  <si>
    <t>5.249*100000000</t>
  </si>
  <si>
    <t>4.020*100000000</t>
  </si>
  <si>
    <t>2.371*100000000</t>
  </si>
  <si>
    <t>5.405*100000000</t>
  </si>
  <si>
    <t>4.252*100000000</t>
  </si>
  <si>
    <t>2.714*100000000</t>
  </si>
  <si>
    <t>1.129*100000000</t>
  </si>
  <si>
    <t>5.444*100000000</t>
  </si>
  <si>
    <t>2.896*100000000</t>
  </si>
  <si>
    <t>1.260*100000000</t>
  </si>
  <si>
    <t>4.171*100000000</t>
  </si>
  <si>
    <t>3.354*100000000</t>
  </si>
  <si>
    <t>2.281*100000000</t>
  </si>
  <si>
    <t>5.132*100000000</t>
  </si>
  <si>
    <t>4.374*100000000</t>
  </si>
  <si>
    <t>1.973*100000000</t>
  </si>
  <si>
    <t>4.622*100000000</t>
  </si>
  <si>
    <t>3.523*100000000</t>
  </si>
  <si>
    <t>9393*10000</t>
  </si>
  <si>
    <t>4.678*100000000</t>
  </si>
  <si>
    <t>3.684*100000000</t>
  </si>
  <si>
    <t>2.411*100000000</t>
  </si>
  <si>
    <t>3.417*100000000</t>
  </si>
  <si>
    <t>2.712*100000000</t>
  </si>
  <si>
    <t>39.12*100000000</t>
  </si>
  <si>
    <t>31.22*100000000</t>
  </si>
  <si>
    <t>16.73*100000000</t>
  </si>
  <si>
    <t>3.662*100000000</t>
  </si>
  <si>
    <t>30.35*100000000</t>
  </si>
  <si>
    <t>22.41*100000000</t>
  </si>
  <si>
    <t>13.28*100000000</t>
  </si>
  <si>
    <t>1.672*100000000</t>
  </si>
  <si>
    <t>13.09*100000000</t>
  </si>
  <si>
    <t>9.531*100000000</t>
  </si>
  <si>
    <t>8700*10000</t>
  </si>
  <si>
    <t>5.379*100000000</t>
  </si>
  <si>
    <t>4.899*100000000</t>
  </si>
  <si>
    <t>3.304*100000000</t>
  </si>
  <si>
    <t>3.112*100000000</t>
  </si>
  <si>
    <t>5.127*100000000</t>
  </si>
  <si>
    <t>7.071*100000000</t>
  </si>
  <si>
    <t>4095*10000</t>
  </si>
  <si>
    <t>4.270*100000000</t>
  </si>
  <si>
    <t>3.811*100000000</t>
  </si>
  <si>
    <t>2.171*100000000</t>
  </si>
  <si>
    <t>3.817*100000000</t>
  </si>
  <si>
    <t>3.555*100000000</t>
  </si>
  <si>
    <t>7.478*100000000</t>
  </si>
  <si>
    <t>5263*10000</t>
  </si>
  <si>
    <t>4.037*100000000</t>
  </si>
  <si>
    <t>4362*10000</t>
  </si>
  <si>
    <t>3.120*100000000</t>
  </si>
  <si>
    <t>2.822*100000000</t>
  </si>
  <si>
    <t>2.678*100000000</t>
  </si>
  <si>
    <t>2.781*100000000</t>
  </si>
  <si>
    <t>266.4*100000000</t>
  </si>
  <si>
    <t>182.3*100000000</t>
  </si>
  <si>
    <t>116.1*100000000</t>
  </si>
  <si>
    <t>90.43*100000000</t>
  </si>
  <si>
    <t>59.93*100000000</t>
  </si>
  <si>
    <t>106.1*100000000</t>
  </si>
  <si>
    <t>70.76*100000000</t>
  </si>
  <si>
    <t>35.43*100000000</t>
  </si>
  <si>
    <t>143.6*100000000</t>
  </si>
  <si>
    <t>69.97*100000000</t>
  </si>
  <si>
    <t>34.38*100000000</t>
  </si>
  <si>
    <t>85.09*100000000</t>
  </si>
  <si>
    <t>66.03*100000000</t>
  </si>
  <si>
    <t>5.075*100000000</t>
  </si>
  <si>
    <t>28.99*100000000</t>
  </si>
  <si>
    <t>22.52*100000000</t>
  </si>
  <si>
    <t>15.42*100000000</t>
  </si>
  <si>
    <t>7.558*100000000</t>
  </si>
  <si>
    <t>35.69*100000000</t>
  </si>
  <si>
    <t>29.84*100000000</t>
  </si>
  <si>
    <t>8.659*100000000</t>
  </si>
  <si>
    <t>85.27*100000000</t>
  </si>
  <si>
    <t>44.74*100000000</t>
  </si>
  <si>
    <t>18.55*100000000</t>
  </si>
  <si>
    <t>21.23*100000000</t>
  </si>
  <si>
    <t>10.63*100000000</t>
  </si>
  <si>
    <t>28.96*100000000</t>
  </si>
  <si>
    <t>22.51*100000000</t>
  </si>
  <si>
    <t>15.41*100000000</t>
  </si>
  <si>
    <t>35.65*100000000</t>
  </si>
  <si>
    <t>8.652*100000000</t>
  </si>
  <si>
    <t>72.54*100000000</t>
  </si>
  <si>
    <t>56.11*100000000</t>
  </si>
  <si>
    <t>15.76*100000000</t>
  </si>
  <si>
    <t>12.91*100000000</t>
  </si>
  <si>
    <t>4.296*100000000</t>
  </si>
  <si>
    <t>24.53*100000000</t>
  </si>
  <si>
    <t>6.423*100000000</t>
  </si>
  <si>
    <t>25.35*100000000</t>
  </si>
  <si>
    <t>7.341*100000000</t>
  </si>
  <si>
    <t>87.53*100000000</t>
  </si>
  <si>
    <t>59.80*100000000</t>
  </si>
  <si>
    <t>35.99*100000000</t>
  </si>
  <si>
    <t>55.13*100000000</t>
  </si>
  <si>
    <t>38.30*100000000</t>
  </si>
  <si>
    <t>19.86*100000000</t>
  </si>
  <si>
    <t>82.66*100000000</t>
  </si>
  <si>
    <t>60.80*100000000</t>
  </si>
  <si>
    <t>39.86*100000000</t>
  </si>
  <si>
    <t>75.79*100000000</t>
  </si>
  <si>
    <t>55.15*100000000</t>
  </si>
  <si>
    <t>16.23*100000000</t>
  </si>
  <si>
    <t>4.526*100000000</t>
  </si>
  <si>
    <t>5.688*100000000</t>
  </si>
  <si>
    <t>2969*10000</t>
  </si>
  <si>
    <t>8425*10000</t>
  </si>
  <si>
    <t>6649*10000</t>
  </si>
  <si>
    <t>3.072*100000000</t>
  </si>
  <si>
    <t>2.354*100000000</t>
  </si>
  <si>
    <t>4689*10000</t>
  </si>
  <si>
    <t>6804*10000</t>
  </si>
  <si>
    <t>2863*10000</t>
  </si>
  <si>
    <t>4.663*100000000</t>
  </si>
  <si>
    <t>5.868*100000000</t>
  </si>
  <si>
    <t>2.116*100000000</t>
  </si>
  <si>
    <t>3229*10000</t>
  </si>
  <si>
    <t>1055*10000</t>
  </si>
  <si>
    <t>2.005*100000000</t>
  </si>
  <si>
    <t>1.889*100000000</t>
  </si>
  <si>
    <t>1.246*100000000</t>
  </si>
  <si>
    <t>4569*10000</t>
  </si>
  <si>
    <t>1.522*100000000</t>
  </si>
  <si>
    <t>7299*10000</t>
  </si>
  <si>
    <t>2913*10000</t>
  </si>
  <si>
    <t>3.066*100000000</t>
  </si>
  <si>
    <t>2495*10000</t>
  </si>
  <si>
    <t>1.348*100000000</t>
  </si>
  <si>
    <t>7157*10000</t>
  </si>
  <si>
    <t>436.9*10000</t>
  </si>
  <si>
    <t>1.465*100000000</t>
  </si>
  <si>
    <t>9913*10000</t>
  </si>
  <si>
    <t>8710*10000</t>
  </si>
  <si>
    <t>5961*10000</t>
  </si>
  <si>
    <t>73.98*100000000</t>
  </si>
  <si>
    <t>54.46*100000000</t>
  </si>
  <si>
    <t>12.48*100000000</t>
  </si>
  <si>
    <t>64.98*100000000</t>
  </si>
  <si>
    <t>46.21*100000000</t>
  </si>
  <si>
    <t>4.656*100000000</t>
  </si>
  <si>
    <t>25.95*100000000</t>
  </si>
  <si>
    <t>18.74*100000000</t>
  </si>
  <si>
    <t>12.65*100000000</t>
  </si>
  <si>
    <t>6.085*100000000</t>
  </si>
  <si>
    <t>25.50*100000000</t>
  </si>
  <si>
    <t>5.503*100000000</t>
  </si>
  <si>
    <t>3.508*100000000</t>
  </si>
  <si>
    <t>3204*10000</t>
  </si>
  <si>
    <t>4.882*100000000</t>
  </si>
  <si>
    <t>2.871*100000000</t>
  </si>
  <si>
    <t>7108*10000</t>
  </si>
  <si>
    <t>2613*10000</t>
  </si>
  <si>
    <t>1.095*100000000</t>
  </si>
  <si>
    <t>6591*10000</t>
  </si>
  <si>
    <t>1842*10000</t>
  </si>
  <si>
    <t>1.216*100000000</t>
  </si>
  <si>
    <t>5601*10000</t>
  </si>
  <si>
    <t>2578*10000</t>
  </si>
  <si>
    <t>4.683*100000000</t>
  </si>
  <si>
    <t>3.611*100000000</t>
  </si>
  <si>
    <t>8881*10000</t>
  </si>
  <si>
    <t>3236*10000</t>
  </si>
  <si>
    <t>5.061*100000000</t>
  </si>
  <si>
    <t>2.994*100000000</t>
  </si>
  <si>
    <t>7489*10000</t>
  </si>
  <si>
    <t>2817*10000</t>
  </si>
  <si>
    <t>2.021*100000000</t>
  </si>
  <si>
    <t>1.105*100000000</t>
  </si>
  <si>
    <t>6632*10000</t>
  </si>
  <si>
    <t>1.020*100000000</t>
  </si>
  <si>
    <t>5758*10000</t>
  </si>
  <si>
    <t>2618*10000</t>
  </si>
  <si>
    <t>3.968*100000000</t>
  </si>
  <si>
    <t>3.141*100000000</t>
  </si>
  <si>
    <t>7358*10000</t>
  </si>
  <si>
    <t>2710*10000</t>
  </si>
  <si>
    <t>2.672*100000000</t>
  </si>
  <si>
    <t>6203*10000</t>
  </si>
  <si>
    <t>2337*10000</t>
  </si>
  <si>
    <t>1.668*100000000</t>
  </si>
  <si>
    <t>9094*10000</t>
  </si>
  <si>
    <t>5367*10000</t>
  </si>
  <si>
    <t>1535*10000</t>
  </si>
  <si>
    <t>1.070*100000000</t>
  </si>
  <si>
    <t>8584*10000</t>
  </si>
  <si>
    <t>4869*10000</t>
  </si>
  <si>
    <t>2173*10000</t>
  </si>
  <si>
    <t>39.92*100000000</t>
  </si>
  <si>
    <t>23.83*100000000</t>
  </si>
  <si>
    <t>15.34*100000000</t>
  </si>
  <si>
    <t>30.06*100000000</t>
  </si>
  <si>
    <t>13.34*100000000</t>
  </si>
  <si>
    <t>7.031*100000000</t>
  </si>
  <si>
    <t>1.907*100000000</t>
  </si>
  <si>
    <t>22.93*100000000</t>
  </si>
  <si>
    <t>9.159*100000000</t>
  </si>
  <si>
    <t>19.99*100000000</t>
  </si>
  <si>
    <t>7.198*100000000</t>
  </si>
  <si>
    <t>4.979*100000000</t>
  </si>
  <si>
    <t>1.786*100000000</t>
  </si>
  <si>
    <t>2.363*100000000</t>
  </si>
  <si>
    <t>1.493*100000000</t>
  </si>
  <si>
    <t>744.7*10000</t>
  </si>
  <si>
    <t>4120*10000</t>
  </si>
  <si>
    <t>5083*10000</t>
  </si>
  <si>
    <t>3511*10000</t>
  </si>
  <si>
    <t>87.10*10000</t>
  </si>
  <si>
    <t>1.472*100000000</t>
  </si>
  <si>
    <t>5665*10000</t>
  </si>
  <si>
    <t>477.4*10000</t>
  </si>
  <si>
    <t>2.343*100000000</t>
  </si>
  <si>
    <t>1.517*100000000</t>
  </si>
  <si>
    <t>832.3*10000</t>
  </si>
  <si>
    <t>4493*10000</t>
  </si>
  <si>
    <t>135.9*10000</t>
  </si>
  <si>
    <t>4920*10000</t>
  </si>
  <si>
    <t>80.36*10000</t>
  </si>
  <si>
    <t>1.503*100000000</t>
  </si>
  <si>
    <t>5285*10000</t>
  </si>
  <si>
    <t>5654*10000</t>
  </si>
  <si>
    <t>521.2*10000</t>
  </si>
  <si>
    <t>2.175*100000000</t>
  </si>
  <si>
    <t>638.3*10000</t>
  </si>
  <si>
    <t>1.849*100000000</t>
  </si>
  <si>
    <t>3553*10000</t>
  </si>
  <si>
    <t>1.166*100000000</t>
  </si>
  <si>
    <t>3993*10000</t>
  </si>
  <si>
    <t>3096*10000</t>
  </si>
  <si>
    <t>20.84*10000</t>
  </si>
  <si>
    <t>1.279*100000000</t>
  </si>
  <si>
    <t>3960*10000</t>
  </si>
  <si>
    <t>4312*10000</t>
  </si>
  <si>
    <t>319.7*10000</t>
  </si>
  <si>
    <t>8.419*100000000</t>
  </si>
  <si>
    <t>4.806*100000000</t>
  </si>
  <si>
    <t>3.661*100000000</t>
  </si>
  <si>
    <t>7.008*100000000</t>
  </si>
  <si>
    <t>4.525*100000000</t>
  </si>
  <si>
    <t>1.412*100000000</t>
  </si>
  <si>
    <t>2.619*100000000</t>
  </si>
  <si>
    <t>3.745*100000000</t>
  </si>
  <si>
    <t>8523*10000</t>
  </si>
  <si>
    <t>5311*10000</t>
  </si>
  <si>
    <t>2681*10000</t>
  </si>
  <si>
    <t>829.8*10000</t>
  </si>
  <si>
    <t>4435*10000</t>
  </si>
  <si>
    <t>608.7*10000</t>
  </si>
  <si>
    <t>2810*10000</t>
  </si>
  <si>
    <t>1386*10000</t>
  </si>
  <si>
    <t>1030*10000</t>
  </si>
  <si>
    <t>3665*10000</t>
  </si>
  <si>
    <t>5359*10000</t>
  </si>
  <si>
    <t>2809*10000</t>
  </si>
  <si>
    <t>3270*10000</t>
  </si>
  <si>
    <t>870.5*10000</t>
  </si>
  <si>
    <t>5064*10000</t>
  </si>
  <si>
    <t>4370*10000</t>
  </si>
  <si>
    <t>2120*10000</t>
  </si>
  <si>
    <t>628.3*10000</t>
  </si>
  <si>
    <t>5466*10000</t>
  </si>
  <si>
    <t>2943*10000</t>
  </si>
  <si>
    <t>1519*10000</t>
  </si>
  <si>
    <t>1160*10000</t>
  </si>
  <si>
    <t>338.3*10000</t>
  </si>
  <si>
    <t>4865*10000</t>
  </si>
  <si>
    <t>2416*10000</t>
  </si>
  <si>
    <t>2692*10000</t>
  </si>
  <si>
    <t>765.6*10000</t>
  </si>
  <si>
    <t>4556*10000</t>
  </si>
  <si>
    <t>3703*10000</t>
  </si>
  <si>
    <t>1779*10000</t>
  </si>
  <si>
    <t>537.6*10000</t>
  </si>
  <si>
    <t>4856*10000</t>
  </si>
  <si>
    <t>2641*10000</t>
  </si>
  <si>
    <t>1424*10000</t>
  </si>
  <si>
    <t>1071*10000</t>
  </si>
  <si>
    <t>4720*10000</t>
  </si>
  <si>
    <t>3362*10000</t>
  </si>
  <si>
    <t>1794*10000</t>
  </si>
  <si>
    <t>57.83*100000000</t>
  </si>
  <si>
    <t>22.86*100000000</t>
  </si>
  <si>
    <t>51.10*100000000</t>
  </si>
  <si>
    <t>38.73*100000000</t>
  </si>
  <si>
    <t>3.788*100000000</t>
  </si>
  <si>
    <t>47.90*100000000</t>
  </si>
  <si>
    <t>36.31*100000000</t>
  </si>
  <si>
    <t>19.87*100000000</t>
  </si>
  <si>
    <t>4.752*100000000</t>
  </si>
  <si>
    <t>41.73*100000000</t>
  </si>
  <si>
    <t>17.51*100000000</t>
  </si>
  <si>
    <t>8.961*100000000</t>
  </si>
  <si>
    <t>4.961*100000000</t>
  </si>
  <si>
    <t>622.1*10000</t>
  </si>
  <si>
    <t>12.17*100000000</t>
  </si>
  <si>
    <t>5.299*100000000</t>
  </si>
  <si>
    <t>9.875*100000000</t>
  </si>
  <si>
    <t>7.720*100000000</t>
  </si>
  <si>
    <t>3.689*100000000</t>
  </si>
  <si>
    <t>5.697*100000000</t>
  </si>
  <si>
    <t>4.497*100000000</t>
  </si>
  <si>
    <t>8.950*100000000</t>
  </si>
  <si>
    <t>4.987*100000000</t>
  </si>
  <si>
    <t>758.6*10000</t>
  </si>
  <si>
    <t>5.411*100000000</t>
  </si>
  <si>
    <t>10.34*100000000</t>
  </si>
  <si>
    <t>8.207*100000000</t>
  </si>
  <si>
    <t>3.794*100000000</t>
  </si>
  <si>
    <t>5.686*100000000</t>
  </si>
  <si>
    <t>4.659*100000000</t>
  </si>
  <si>
    <t>1.926*100000000</t>
  </si>
  <si>
    <t>8.672*100000000</t>
  </si>
  <si>
    <t>7.459*100000000</t>
  </si>
  <si>
    <t>8.866*100000000</t>
  </si>
  <si>
    <t>8.451*100000000</t>
  </si>
  <si>
    <t>6.749*100000000</t>
  </si>
  <si>
    <t>3.105*100000000</t>
  </si>
  <si>
    <t>4.795*100000000</t>
  </si>
  <si>
    <t>3.873*100000000</t>
  </si>
  <si>
    <t>1.634*100000000</t>
  </si>
  <si>
    <t>107.6*100000000</t>
  </si>
  <si>
    <t>76.27*100000000</t>
  </si>
  <si>
    <t>37.86*100000000</t>
  </si>
  <si>
    <t>150.8*100000000</t>
  </si>
  <si>
    <t>58.61*100000000</t>
  </si>
  <si>
    <t>24.17*100000000</t>
  </si>
  <si>
    <t>79.97*100000000</t>
  </si>
  <si>
    <t>51.25*100000000</t>
  </si>
  <si>
    <t>120.0*100000000</t>
  </si>
  <si>
    <t>83.16*100000000</t>
  </si>
  <si>
    <t>25.74*100000000</t>
  </si>
  <si>
    <t>2.443*100000000</t>
  </si>
  <si>
    <t>2.715*100000000</t>
  </si>
  <si>
    <t>6900*10000</t>
  </si>
  <si>
    <t>2389*10000</t>
  </si>
  <si>
    <t>3353*10000</t>
  </si>
  <si>
    <t>2575*10000</t>
  </si>
  <si>
    <t>4254*10000</t>
  </si>
  <si>
    <t>9770*10000</t>
  </si>
  <si>
    <t>9702*10000</t>
  </si>
  <si>
    <t>3745*10000</t>
  </si>
  <si>
    <t>3.937*100000000</t>
  </si>
  <si>
    <t>2.691*100000000</t>
  </si>
  <si>
    <t>2664*10000</t>
  </si>
  <si>
    <t>4359*10000</t>
  </si>
  <si>
    <t>3223*10000</t>
  </si>
  <si>
    <t>4576*10000</t>
  </si>
  <si>
    <t>4461*10000</t>
  </si>
  <si>
    <t>1.532*100000000</t>
  </si>
  <si>
    <t>8055*10000</t>
  </si>
  <si>
    <t>3.218*100000000</t>
  </si>
  <si>
    <t>271.8*10000</t>
  </si>
  <si>
    <t>583.1*10000</t>
  </si>
  <si>
    <t>9072*10000</t>
  </si>
  <si>
    <t>8.859*10000</t>
  </si>
  <si>
    <t>2875*10000</t>
  </si>
  <si>
    <t>8151*10000</t>
  </si>
  <si>
    <t>7645*10000</t>
  </si>
  <si>
    <t>3122*10000</t>
  </si>
  <si>
    <t>71.94*100000000</t>
  </si>
  <si>
    <t>52.22*100000000</t>
  </si>
  <si>
    <t>33.08*100000000</t>
  </si>
  <si>
    <t>14.75*100000000</t>
  </si>
  <si>
    <t>6.910*100000000</t>
  </si>
  <si>
    <t>31.11*100000000</t>
  </si>
  <si>
    <t>14.40*100000000</t>
  </si>
  <si>
    <t>6.602*100000000</t>
  </si>
  <si>
    <t>30.26*100000000</t>
  </si>
  <si>
    <t>6.506*100000000</t>
  </si>
  <si>
    <t>17.35*100000000</t>
  </si>
  <si>
    <t>8.022*100000000</t>
  </si>
  <si>
    <t>4.702*100000000</t>
  </si>
  <si>
    <t>1.774*100000000</t>
  </si>
  <si>
    <t>7981*10000</t>
  </si>
  <si>
    <t>9314*10000</t>
  </si>
  <si>
    <t>6165*10000</t>
  </si>
  <si>
    <t>1573*10000</t>
  </si>
  <si>
    <t>8.030*100000000</t>
  </si>
  <si>
    <t>4.694*100000000</t>
  </si>
  <si>
    <t>7992*10000</t>
  </si>
  <si>
    <t>9337*10000</t>
  </si>
  <si>
    <t>6200*10000</t>
  </si>
  <si>
    <t>1592*10000</t>
  </si>
  <si>
    <t>7.234*100000000</t>
  </si>
  <si>
    <t>4.211*100000000</t>
  </si>
  <si>
    <t>261.0*10000</t>
  </si>
  <si>
    <t>7426*10000</t>
  </si>
  <si>
    <t>7966*10000</t>
  </si>
  <si>
    <t>5017*10000</t>
  </si>
  <si>
    <t>881.4*10000</t>
  </si>
  <si>
    <t>42.32*100000000</t>
  </si>
  <si>
    <t>48.23*100000000</t>
  </si>
  <si>
    <t>34.54*100000000</t>
  </si>
  <si>
    <t>22.70*100000000</t>
  </si>
  <si>
    <t>9.216*100000000</t>
  </si>
  <si>
    <t>32.04*100000000</t>
  </si>
  <si>
    <t>7.917*100000000</t>
  </si>
  <si>
    <t>41.65*100000000</t>
  </si>
  <si>
    <t>28.68*100000000</t>
  </si>
  <si>
    <t>17.87*100000000</t>
  </si>
  <si>
    <t>6.868*100000000</t>
  </si>
  <si>
    <t>3.439*100000000</t>
  </si>
  <si>
    <t>3.459*100000000</t>
  </si>
  <si>
    <t>1.941*100000000</t>
  </si>
  <si>
    <t>7102*10000</t>
  </si>
  <si>
    <t>2.014*100000000</t>
  </si>
  <si>
    <t>1.860*100000000</t>
  </si>
  <si>
    <t>9548*10000</t>
  </si>
  <si>
    <t>381.5*10000</t>
  </si>
  <si>
    <t>2834*10000</t>
  </si>
  <si>
    <t>3.057*100000000</t>
  </si>
  <si>
    <t>3.116*100000000</t>
  </si>
  <si>
    <t>1.949*100000000</t>
  </si>
  <si>
    <t>7181*10000</t>
  </si>
  <si>
    <t>1.563*100000000</t>
  </si>
  <si>
    <t>6066*10000</t>
  </si>
  <si>
    <t>2868*10000</t>
  </si>
  <si>
    <t>3.198*100000000</t>
  </si>
  <si>
    <t>7129*10000</t>
  </si>
  <si>
    <t>2891*10000</t>
  </si>
  <si>
    <t>22.67*100000000</t>
  </si>
  <si>
    <t>4.341*100000000</t>
  </si>
  <si>
    <t>7.384*100000000</t>
  </si>
  <si>
    <t>2.199*100000000</t>
  </si>
  <si>
    <t>17.41*100000000</t>
  </si>
  <si>
    <t>10.91*100000000</t>
  </si>
  <si>
    <t>3.515*100000000</t>
  </si>
  <si>
    <t>25.05*100000000</t>
  </si>
  <si>
    <t>3.448*100000000</t>
  </si>
  <si>
    <t>3.998*100000000</t>
  </si>
  <si>
    <t>1.594*100000000</t>
  </si>
  <si>
    <t>1343*10000</t>
  </si>
  <si>
    <t>1.355*100000000</t>
  </si>
  <si>
    <t>6881*10000</t>
  </si>
  <si>
    <t>2.958*100000000</t>
  </si>
  <si>
    <t>6670*10000</t>
  </si>
  <si>
    <t>4.076*100000000</t>
  </si>
  <si>
    <t>3692*10000</t>
  </si>
  <si>
    <t>1.665*100000000</t>
  </si>
  <si>
    <t>5681*10000</t>
  </si>
  <si>
    <t>1583*10000</t>
  </si>
  <si>
    <t>2.520*100000000</t>
  </si>
  <si>
    <t>1.531*100000000</t>
  </si>
  <si>
    <t>8665*10000</t>
  </si>
  <si>
    <t>1.882*100000000</t>
  </si>
  <si>
    <t>2772*10000</t>
  </si>
  <si>
    <t>5425*10000</t>
  </si>
  <si>
    <t>1824*10000</t>
  </si>
  <si>
    <t>7263*10000</t>
  </si>
  <si>
    <t>1100*10000</t>
  </si>
  <si>
    <t>2.562*100000000</t>
  </si>
  <si>
    <t>5684*10000</t>
  </si>
  <si>
    <t>118.4*100000000</t>
  </si>
  <si>
    <t>92.42*100000000</t>
  </si>
  <si>
    <t>66.82*100000000</t>
  </si>
  <si>
    <t>37.08*100000000</t>
  </si>
  <si>
    <t>98.31*100000000</t>
  </si>
  <si>
    <t>79.56*100000000</t>
  </si>
  <si>
    <t>59.17*100000000</t>
  </si>
  <si>
    <t>87.01*100000000</t>
  </si>
  <si>
    <t>70.62*100000000</t>
  </si>
  <si>
    <t>52.62*100000000</t>
  </si>
  <si>
    <t>27.44*100000000</t>
  </si>
  <si>
    <t>85.83*100000000</t>
  </si>
  <si>
    <t>69.86*100000000</t>
  </si>
  <si>
    <t>16.10*100000000</t>
  </si>
  <si>
    <t>9.423*100000000</t>
  </si>
  <si>
    <t>5.322*100000000</t>
  </si>
  <si>
    <t>12.27*100000000</t>
  </si>
  <si>
    <t>9.912*100000000</t>
  </si>
  <si>
    <t>5.387*100000000</t>
  </si>
  <si>
    <t>10.22*100000000</t>
  </si>
  <si>
    <t>11.69*100000000</t>
  </si>
  <si>
    <t>9.434*100000000</t>
  </si>
  <si>
    <t>5.321*100000000</t>
  </si>
  <si>
    <t>9.905*100000000</t>
  </si>
  <si>
    <t>11.90*100000000</t>
  </si>
  <si>
    <t>11.66*100000000</t>
  </si>
  <si>
    <t>6.932*100000000</t>
  </si>
  <si>
    <t>3.385*100000000</t>
  </si>
  <si>
    <t>10.17*100000000</t>
  </si>
  <si>
    <t>4.453*100000000</t>
  </si>
  <si>
    <t>8.276*100000000</t>
  </si>
  <si>
    <t>4.466*100000000</t>
  </si>
  <si>
    <t>11.73*100000000</t>
  </si>
  <si>
    <t>8.528*100000000</t>
  </si>
  <si>
    <t>4.468*100000000</t>
  </si>
  <si>
    <t>9.713*100000000</t>
  </si>
  <si>
    <t>5.901*100000000</t>
  </si>
  <si>
    <t>2.878*100000000</t>
  </si>
  <si>
    <t>37.49*100000000</t>
  </si>
  <si>
    <t>26.53*100000000</t>
  </si>
  <si>
    <t>8.467*100000000</t>
  </si>
  <si>
    <t>16.18*100000000</t>
  </si>
  <si>
    <t>8.405*100000000</t>
  </si>
  <si>
    <t>26.88*100000000</t>
  </si>
  <si>
    <t>18.53*100000000</t>
  </si>
  <si>
    <t>8.702*100000000</t>
  </si>
  <si>
    <t>24.27*100000000</t>
  </si>
  <si>
    <t>18.65*100000000</t>
  </si>
  <si>
    <t>6.277*100000000</t>
  </si>
  <si>
    <t>6312*10000</t>
  </si>
  <si>
    <t>1.324*100000000</t>
  </si>
  <si>
    <t>1.321*100000000</t>
  </si>
  <si>
    <t>2.240*100000000</t>
  </si>
  <si>
    <t>1.363*100000000</t>
  </si>
  <si>
    <t>2.221*100000000</t>
  </si>
  <si>
    <t>1.638*100000000</t>
  </si>
  <si>
    <t>4547*10000</t>
  </si>
  <si>
    <t>1.491*100000000</t>
  </si>
  <si>
    <t>6319*10000</t>
  </si>
  <si>
    <t>1.124*100000000</t>
  </si>
  <si>
    <t>1.331*100000000</t>
  </si>
  <si>
    <t>6525*10000</t>
  </si>
  <si>
    <t>2.900*100000000</t>
  </si>
  <si>
    <t>5826*10000</t>
  </si>
  <si>
    <t>9141*10000</t>
  </si>
  <si>
    <t>5134*10000</t>
  </si>
  <si>
    <t>8058*10000</t>
  </si>
  <si>
    <t>1.304*100000000</t>
  </si>
  <si>
    <t>1.091*100000000</t>
  </si>
  <si>
    <t>5653*10000</t>
  </si>
  <si>
    <t>2.137*100000000</t>
  </si>
  <si>
    <t>4924*10000</t>
  </si>
  <si>
    <t>9460*10000</t>
  </si>
  <si>
    <t>4.229*100000000</t>
  </si>
  <si>
    <t>11.40*100000000</t>
  </si>
  <si>
    <t>7.799*100000000</t>
  </si>
  <si>
    <t>4.290*100000000</t>
  </si>
  <si>
    <t>6132*10000</t>
  </si>
  <si>
    <t>9.026*100000000</t>
  </si>
  <si>
    <t>13.75*100000000</t>
  </si>
  <si>
    <t>9.117*100000000</t>
  </si>
  <si>
    <t>5.518*100000000</t>
  </si>
  <si>
    <t>1.140*100000000</t>
  </si>
  <si>
    <t>2612*10000</t>
  </si>
  <si>
    <t>3402*10000</t>
  </si>
  <si>
    <t>7008*10000</t>
  </si>
  <si>
    <t>5854*10000</t>
  </si>
  <si>
    <t>1883*10000</t>
  </si>
  <si>
    <t>879.3*10000</t>
  </si>
  <si>
    <t>5369*10000</t>
  </si>
  <si>
    <t>5649*10000</t>
  </si>
  <si>
    <t>3918*10000</t>
  </si>
  <si>
    <t>419.2*10000</t>
  </si>
  <si>
    <t>2894*10000</t>
  </si>
  <si>
    <t>3611*10000</t>
  </si>
  <si>
    <t>7363*10000</t>
  </si>
  <si>
    <t>1942*10000</t>
  </si>
  <si>
    <t>860.3*10000</t>
  </si>
  <si>
    <t>4708*10000</t>
  </si>
  <si>
    <t>3917*10000</t>
  </si>
  <si>
    <t>1081*10000</t>
  </si>
  <si>
    <t>2024*10000</t>
  </si>
  <si>
    <t>2382*10000</t>
  </si>
  <si>
    <t>6008*10000</t>
  </si>
  <si>
    <t>4687*10000</t>
  </si>
  <si>
    <t>952.5*10000</t>
  </si>
  <si>
    <t>624.8*10000</t>
  </si>
  <si>
    <t>3572*10000</t>
  </si>
  <si>
    <t>3983*10000</t>
  </si>
  <si>
    <t>2711*10000</t>
  </si>
  <si>
    <t>97.97*100000000</t>
  </si>
  <si>
    <t>69.21*100000000</t>
  </si>
  <si>
    <t>45.58*100000000</t>
  </si>
  <si>
    <t>21.12*100000000</t>
  </si>
  <si>
    <t>72.98*100000000</t>
  </si>
  <si>
    <t>49.45*100000000</t>
  </si>
  <si>
    <t>64.22*100000000</t>
  </si>
  <si>
    <t>32.40*100000000</t>
  </si>
  <si>
    <t>60.71*100000000</t>
  </si>
  <si>
    <t>14.84*100000000</t>
  </si>
  <si>
    <t>11.14*100000000</t>
  </si>
  <si>
    <t>5.598*100000000</t>
  </si>
  <si>
    <t>6878*10000</t>
  </si>
  <si>
    <t>3.568*100000000</t>
  </si>
  <si>
    <t>2.814*100000000</t>
  </si>
  <si>
    <t>1.640*100000000</t>
  </si>
  <si>
    <t>3.599*100000000</t>
  </si>
  <si>
    <t>2.165*100000000</t>
  </si>
  <si>
    <t>6.205*100000000</t>
  </si>
  <si>
    <t>3.010*100000000</t>
  </si>
  <si>
    <t>3.281*100000000</t>
  </si>
  <si>
    <t>1.830*100000000</t>
  </si>
  <si>
    <t>7138*10000</t>
  </si>
  <si>
    <t>2.805*100000000</t>
  </si>
  <si>
    <t>4.272*100000000</t>
  </si>
  <si>
    <t>3.654*100000000</t>
  </si>
  <si>
    <t>2.202*100000000</t>
  </si>
  <si>
    <t>5.954*100000000</t>
  </si>
  <si>
    <t>3.052*100000000</t>
  </si>
  <si>
    <t>1.688*100000000</t>
  </si>
  <si>
    <t>6569*10000</t>
  </si>
  <si>
    <t>2.294*100000000</t>
  </si>
  <si>
    <t>3.340*100000000</t>
  </si>
  <si>
    <t>2.647*100000000</t>
  </si>
  <si>
    <t>1.495*100000000</t>
  </si>
  <si>
    <t>3.312*100000000</t>
  </si>
  <si>
    <t>713.4*100000000</t>
  </si>
  <si>
    <t>497.2*100000000</t>
  </si>
  <si>
    <t>141.1*100000000</t>
  </si>
  <si>
    <t>569.7*100000000</t>
  </si>
  <si>
    <t>380.2*100000000</t>
  </si>
  <si>
    <t>66.36*100000000</t>
  </si>
  <si>
    <t>472.7*100000000</t>
  </si>
  <si>
    <t>293.6*100000000</t>
  </si>
  <si>
    <t>190.0*100000000</t>
  </si>
  <si>
    <t>71.81*100000000</t>
  </si>
  <si>
    <t>388.3*100000000</t>
  </si>
  <si>
    <t>256.9*100000000</t>
  </si>
  <si>
    <t>163.1*100000000</t>
  </si>
  <si>
    <t>73.83*100000000</t>
  </si>
  <si>
    <t>11.33*100000000</t>
  </si>
  <si>
    <t>8.258*100000000</t>
  </si>
  <si>
    <t>1.179*100000000</t>
  </si>
  <si>
    <t>9.252*100000000</t>
  </si>
  <si>
    <t>7.112*100000000</t>
  </si>
  <si>
    <t>6.180*100000000</t>
  </si>
  <si>
    <t>1.571*100000000</t>
  </si>
  <si>
    <t>15.11*100000000</t>
  </si>
  <si>
    <t>17.26*100000000</t>
  </si>
  <si>
    <t>8.265*100000000</t>
  </si>
  <si>
    <t>1.135*100000000</t>
  </si>
  <si>
    <t>9.232*100000000</t>
  </si>
  <si>
    <t>11.68*100000000</t>
  </si>
  <si>
    <t>6.193*100000000</t>
  </si>
  <si>
    <t>7.805*100000000</t>
  </si>
  <si>
    <t>3.618*100000000</t>
  </si>
  <si>
    <t>8.243*100000000</t>
  </si>
  <si>
    <t>6.083*100000000</t>
  </si>
  <si>
    <t>7953*10000</t>
  </si>
  <si>
    <t>7.566*100000000</t>
  </si>
  <si>
    <t>6.132*100000000</t>
  </si>
  <si>
    <t>4.488*100000000</t>
  </si>
  <si>
    <t>8.198*100000000</t>
  </si>
  <si>
    <t>4.471*100000000</t>
  </si>
  <si>
    <t>3.017*100000000</t>
  </si>
  <si>
    <t>8.158*100000000</t>
  </si>
  <si>
    <t>9.619*100000000</t>
  </si>
  <si>
    <t>7.024*100000000</t>
  </si>
  <si>
    <t>4.214*100000000</t>
  </si>
  <si>
    <t>9.484*100000000</t>
  </si>
  <si>
    <t>2.218*100000000</t>
  </si>
  <si>
    <t>9.454*100000000</t>
  </si>
  <si>
    <t>6.979*100000000</t>
  </si>
  <si>
    <t>4.383*100000000</t>
  </si>
  <si>
    <t>2.189*100000000</t>
  </si>
  <si>
    <t>5075*10000</t>
  </si>
  <si>
    <t>176.1*10000</t>
  </si>
  <si>
    <t>591.5*10000</t>
  </si>
  <si>
    <t>5115*10000</t>
  </si>
  <si>
    <t>3616*10000</t>
  </si>
  <si>
    <t>5853*10000</t>
  </si>
  <si>
    <t>571.8*10000</t>
  </si>
  <si>
    <t>978.6*10000</t>
  </si>
  <si>
    <t>5965*10000</t>
  </si>
  <si>
    <t>1108*10000</t>
  </si>
  <si>
    <t>5222*10000</t>
  </si>
  <si>
    <t>267.5*10000</t>
  </si>
  <si>
    <t>631.2*10000</t>
  </si>
  <si>
    <t>5385*10000</t>
  </si>
  <si>
    <t>3941*10000</t>
  </si>
  <si>
    <t>5898*10000</t>
  </si>
  <si>
    <t>591.6*10000</t>
  </si>
  <si>
    <t>941.2*10000</t>
  </si>
  <si>
    <t>6329*10000</t>
  </si>
  <si>
    <t>1442*10000</t>
  </si>
  <si>
    <t>797.1*10000</t>
  </si>
  <si>
    <t>4603*10000</t>
  </si>
  <si>
    <t>4346*10000</t>
  </si>
  <si>
    <t>445.1*10000</t>
  </si>
  <si>
    <t>4068*10000</t>
  </si>
  <si>
    <t>3294*10000</t>
  </si>
  <si>
    <t>4613*10000</t>
  </si>
  <si>
    <t>4936*10000</t>
  </si>
  <si>
    <t>217.6*10000</t>
  </si>
  <si>
    <t>635.5*10000</t>
  </si>
  <si>
    <t>7068*10000</t>
  </si>
  <si>
    <t>5253*10000</t>
  </si>
  <si>
    <t>971.2*10000</t>
  </si>
  <si>
    <t>529.3*10000</t>
  </si>
  <si>
    <t>216.8*100000000</t>
  </si>
  <si>
    <t>98.67*100000000</t>
  </si>
  <si>
    <t>40.42*100000000</t>
  </si>
  <si>
    <t>166.0*100000000</t>
  </si>
  <si>
    <t>73.57*100000000</t>
  </si>
  <si>
    <t>31.84*100000000</t>
  </si>
  <si>
    <t>153.9*100000000</t>
  </si>
  <si>
    <t>110.9*100000000</t>
  </si>
  <si>
    <t>82.53*100000000</t>
  </si>
  <si>
    <t>172.9*100000000</t>
  </si>
  <si>
    <t>127.8*100000000</t>
  </si>
  <si>
    <t>82.38*100000000</t>
  </si>
  <si>
    <t>38.63*100000000</t>
  </si>
  <si>
    <t>36.73*100000000</t>
  </si>
  <si>
    <t>28.93*100000000</t>
  </si>
  <si>
    <t>19.77*100000000</t>
  </si>
  <si>
    <t>7.360*100000000</t>
  </si>
  <si>
    <t>31.00*100000000</t>
  </si>
  <si>
    <t>21.95*100000000</t>
  </si>
  <si>
    <t>23.73*100000000</t>
  </si>
  <si>
    <t>6.208*100000000</t>
  </si>
  <si>
    <t>38.96*100000000</t>
  </si>
  <si>
    <t>30.94*100000000</t>
  </si>
  <si>
    <t>17.57*100000000</t>
  </si>
  <si>
    <t>7.464*100000000</t>
  </si>
  <si>
    <t>7.318*100000000</t>
  </si>
  <si>
    <t>30.73*100000000</t>
  </si>
  <si>
    <t>23.44*100000000</t>
  </si>
  <si>
    <t>13.92*100000000</t>
  </si>
  <si>
    <t>6.178*100000000</t>
  </si>
  <si>
    <t>38.45*100000000</t>
  </si>
  <si>
    <t>17.77*100000000</t>
  </si>
  <si>
    <t>7.531*100000000</t>
  </si>
  <si>
    <t>14.96*100000000</t>
  </si>
  <si>
    <t>8.241*100000000</t>
  </si>
  <si>
    <t>2.683*100000000</t>
  </si>
  <si>
    <t>29.32*100000000</t>
  </si>
  <si>
    <t>23.21*100000000</t>
  </si>
  <si>
    <t>5.614*100000000</t>
  </si>
  <si>
    <t>101.6*100000000</t>
  </si>
  <si>
    <t>70.09*100000000</t>
  </si>
  <si>
    <t>44.61*100000000</t>
  </si>
  <si>
    <t>20.07*100000000</t>
  </si>
  <si>
    <t>76.54*100000000</t>
  </si>
  <si>
    <t>54.39*100000000</t>
  </si>
  <si>
    <t>36.35*100000000</t>
  </si>
  <si>
    <t>17.48*100000000</t>
  </si>
  <si>
    <t>76.23*100000000</t>
  </si>
  <si>
    <t>36.75*100000000</t>
  </si>
  <si>
    <t>18.63*100000000</t>
  </si>
  <si>
    <t>68.49*100000000</t>
  </si>
  <si>
    <t>51.87*100000000</t>
  </si>
  <si>
    <t>5.780*100000000</t>
  </si>
  <si>
    <t>8.552*100000000</t>
  </si>
  <si>
    <t>7.931*100000000</t>
  </si>
  <si>
    <t>7.976*100000000</t>
  </si>
  <si>
    <t>6.408*100000000</t>
  </si>
  <si>
    <t>6.552*100000000</t>
  </si>
  <si>
    <t>8.213*100000000</t>
  </si>
  <si>
    <t>6.013*100000000</t>
  </si>
  <si>
    <t>5.050*100000000</t>
  </si>
  <si>
    <t>9.953*100000000</t>
  </si>
  <si>
    <t>4.463*100000000</t>
  </si>
  <si>
    <t>5.327*100000000</t>
  </si>
  <si>
    <t>5.810*100000000</t>
  </si>
  <si>
    <t>6.305*100000000</t>
  </si>
  <si>
    <t>3.144*100000000</t>
  </si>
  <si>
    <t>6.516*100000000</t>
  </si>
  <si>
    <t>8.317*100000000</t>
  </si>
  <si>
    <t>6.087*100000000</t>
  </si>
  <si>
    <t>3.187*100000000</t>
  </si>
  <si>
    <t>6.263*100000000</t>
  </si>
  <si>
    <t>9.979*100000000</t>
  </si>
  <si>
    <t>7.968*100000000</t>
  </si>
  <si>
    <t>4.093*100000000</t>
  </si>
  <si>
    <t>6.033*100000000</t>
  </si>
  <si>
    <t>4.220*100000000</t>
  </si>
  <si>
    <t>6.006*100000000</t>
  </si>
  <si>
    <t>5.591*100000000</t>
  </si>
  <si>
    <t>4.476*100000000</t>
  </si>
  <si>
    <t>2.167*100000000</t>
  </si>
  <si>
    <t>4.887*100000000</t>
  </si>
  <si>
    <t>6.220*100000000</t>
  </si>
  <si>
    <t>4.544*100000000</t>
  </si>
  <si>
    <t>2.259*100000000</t>
  </si>
  <si>
    <t>5.818*100000000</t>
  </si>
  <si>
    <t>7.274*100000000</t>
  </si>
  <si>
    <t>5.837*100000000</t>
  </si>
  <si>
    <t>464.7*100000000</t>
  </si>
  <si>
    <t>103.5*100000000</t>
  </si>
  <si>
    <t>291.1*100000000</t>
  </si>
  <si>
    <t>175.3*100000000</t>
  </si>
  <si>
    <t>82.10*100000000</t>
  </si>
  <si>
    <t>446.4*100000000</t>
  </si>
  <si>
    <t>327.1*100000000</t>
  </si>
  <si>
    <t>210.2*100000000</t>
  </si>
  <si>
    <t>387.4*100000000</t>
  </si>
  <si>
    <t>187.7*100000000</t>
  </si>
  <si>
    <t>91.30*100000000</t>
  </si>
  <si>
    <t>24.47*100000000</t>
  </si>
  <si>
    <t>18.03*100000000</t>
  </si>
  <si>
    <t>19.13*100000000</t>
  </si>
  <si>
    <t>13.90*100000000</t>
  </si>
  <si>
    <t>8.389*100000000</t>
  </si>
  <si>
    <t>3.347*100000000</t>
  </si>
  <si>
    <t>24.36*100000000</t>
  </si>
  <si>
    <t>4.116*100000000</t>
  </si>
  <si>
    <t>9.353*100000000</t>
  </si>
  <si>
    <t>3.557*100000000</t>
  </si>
  <si>
    <t>4.146*100000000</t>
  </si>
  <si>
    <t>8.411*100000000</t>
  </si>
  <si>
    <t>3.324*100000000</t>
  </si>
  <si>
    <t>16.17*100000000</t>
  </si>
  <si>
    <t>19.29*100000000</t>
  </si>
  <si>
    <t>8.327*100000000</t>
  </si>
  <si>
    <t>15.09*100000000</t>
  </si>
  <si>
    <t>18.80*100000000</t>
  </si>
  <si>
    <t>7.245*100000000</t>
  </si>
  <si>
    <t>1062*100000000</t>
  </si>
  <si>
    <t>746.4*100000000</t>
  </si>
  <si>
    <t>490.9*100000000</t>
  </si>
  <si>
    <t>272.7*100000000</t>
  </si>
  <si>
    <t>949.2*100000000</t>
  </si>
  <si>
    <t>672.1*100000000</t>
  </si>
  <si>
    <t>244.1*100000000</t>
  </si>
  <si>
    <t>854.3*100000000</t>
  </si>
  <si>
    <t>609.3*100000000</t>
  </si>
  <si>
    <t>394.9*100000000</t>
  </si>
  <si>
    <t>216.4*100000000</t>
  </si>
  <si>
    <t>736.4*100000000</t>
  </si>
  <si>
    <t>522.4*100000000</t>
  </si>
  <si>
    <t>334.0*100000000</t>
  </si>
  <si>
    <t>174.7*100000000</t>
  </si>
  <si>
    <t>747.5*100000000</t>
  </si>
  <si>
    <t>530.2*100000000</t>
  </si>
  <si>
    <t>350.7*100000000</t>
  </si>
  <si>
    <t>666.4*100000000</t>
  </si>
  <si>
    <t>479.9*100000000</t>
  </si>
  <si>
    <t>320.8*100000000</t>
  </si>
  <si>
    <t>185.6*100000000</t>
  </si>
  <si>
    <t>590.4*100000000</t>
  </si>
  <si>
    <t>433.1*100000000</t>
  </si>
  <si>
    <t>160.0*100000000</t>
  </si>
  <si>
    <t>513.4*100000000</t>
  </si>
  <si>
    <t>358.4*100000000</t>
  </si>
  <si>
    <t>228.8*100000000</t>
  </si>
  <si>
    <t>121.8*100000000</t>
  </si>
  <si>
    <t>745.3*100000000</t>
  </si>
  <si>
    <t>528.6*100000000</t>
  </si>
  <si>
    <t>350.5*100000000</t>
  </si>
  <si>
    <t>196.9*100000000</t>
  </si>
  <si>
    <t>662.0*100000000</t>
  </si>
  <si>
    <t>478.8*100000000</t>
  </si>
  <si>
    <t>319.8*100000000</t>
  </si>
  <si>
    <t>184.8*100000000</t>
  </si>
  <si>
    <t>432.1*100000000</t>
  </si>
  <si>
    <t>282.9*100000000</t>
  </si>
  <si>
    <t>158.9*100000000</t>
  </si>
  <si>
    <t>508.3*100000000</t>
  </si>
  <si>
    <t>355.8*100000000</t>
  </si>
  <si>
    <t>227.2*100000000</t>
  </si>
  <si>
    <t>121.7*100000000</t>
  </si>
  <si>
    <t>557.2*100000000</t>
  </si>
  <si>
    <t>395.7*100000000</t>
  </si>
  <si>
    <t>262.1*100000000</t>
  </si>
  <si>
    <t>147.7*100000000</t>
  </si>
  <si>
    <t>495.2*100000000</t>
  </si>
  <si>
    <t>358.5*100000000</t>
  </si>
  <si>
    <t>239.3*100000000</t>
  </si>
  <si>
    <t>138.6*100000000</t>
  </si>
  <si>
    <t>439.7*100000000</t>
  </si>
  <si>
    <t>324.1*100000000</t>
  </si>
  <si>
    <t>212.0*100000000</t>
  </si>
  <si>
    <t>378.3*100000000</t>
  </si>
  <si>
    <t>265.7*100000000</t>
  </si>
  <si>
    <t>169.2*100000000</t>
  </si>
  <si>
    <t>23.94*100000000</t>
  </si>
  <si>
    <t>17.49*100000000</t>
  </si>
  <si>
    <t>12.00*100000000</t>
  </si>
  <si>
    <t>5.667*100000000</t>
  </si>
  <si>
    <t>22.36*100000000</t>
  </si>
  <si>
    <t>9.539*100000000</t>
  </si>
  <si>
    <t>22.08*100000000</t>
  </si>
  <si>
    <t>15.79*100000000</t>
  </si>
  <si>
    <t>5.191*100000000</t>
  </si>
  <si>
    <t>6.720*100000000</t>
  </si>
  <si>
    <t>1.828*100000000</t>
  </si>
  <si>
    <t>1.089*100000000</t>
  </si>
  <si>
    <t>3985*10000</t>
  </si>
  <si>
    <t>1.896*100000000</t>
  </si>
  <si>
    <t>1.245*100000000</t>
  </si>
  <si>
    <t>6668*10000</t>
  </si>
  <si>
    <t>55.30*10000</t>
  </si>
  <si>
    <t>8209*10000</t>
  </si>
  <si>
    <t>5756*10000</t>
  </si>
  <si>
    <t>813.6*10000</t>
  </si>
  <si>
    <t>1.263*100000000</t>
  </si>
  <si>
    <t>8727*10000</t>
  </si>
  <si>
    <t>1376*10000</t>
  </si>
  <si>
    <t>1.791*100000000</t>
  </si>
  <si>
    <t>4059*10000</t>
  </si>
  <si>
    <t>6445*10000</t>
  </si>
  <si>
    <t>167.2*10000</t>
  </si>
  <si>
    <t>8598*10000</t>
  </si>
  <si>
    <t>6044*10000</t>
  </si>
  <si>
    <t>959.4*10000</t>
  </si>
  <si>
    <t>1.538*100000000</t>
  </si>
  <si>
    <t>1.262*100000000</t>
  </si>
  <si>
    <t>9027*10000</t>
  </si>
  <si>
    <t>1880*10000</t>
  </si>
  <si>
    <t>1.611*100000000</t>
  </si>
  <si>
    <t>1.344*100000000</t>
  </si>
  <si>
    <t>9005*10000</t>
  </si>
  <si>
    <t>3513*10000</t>
  </si>
  <si>
    <t>5612*10000</t>
  </si>
  <si>
    <t>8.042*10000</t>
  </si>
  <si>
    <t>7525*10000</t>
  </si>
  <si>
    <t>5364*10000</t>
  </si>
  <si>
    <t>732.2*10000</t>
  </si>
  <si>
    <t>1420*10000</t>
  </si>
  <si>
    <t>18.13*100000000</t>
  </si>
  <si>
    <t>12.34*100000000</t>
  </si>
  <si>
    <t>5.220*100000000</t>
  </si>
  <si>
    <t>13.89*100000000</t>
  </si>
  <si>
    <t>5.530*100000000</t>
  </si>
  <si>
    <t>34.16*100000000</t>
  </si>
  <si>
    <t>20.88*100000000</t>
  </si>
  <si>
    <t>7.602*100000000</t>
  </si>
  <si>
    <t>35.21*100000000</t>
  </si>
  <si>
    <t>30.78*100000000</t>
  </si>
  <si>
    <t>18.73*100000000</t>
  </si>
  <si>
    <t>8.126*100000000</t>
  </si>
  <si>
    <t>6691*10000</t>
  </si>
  <si>
    <t>6517*10000</t>
  </si>
  <si>
    <t>5430*10000</t>
  </si>
  <si>
    <t>516.9*10000</t>
  </si>
  <si>
    <t>8920*10000</t>
  </si>
  <si>
    <t>1630*10000</t>
  </si>
  <si>
    <t>1074*10000</t>
  </si>
  <si>
    <t>9486*10000</t>
  </si>
  <si>
    <t>4437*10000</t>
  </si>
  <si>
    <t>2483*10000</t>
  </si>
  <si>
    <t>2456*10000</t>
  </si>
  <si>
    <t>3936*10000</t>
  </si>
  <si>
    <t>2441*10000</t>
  </si>
  <si>
    <t>1224*10000</t>
  </si>
  <si>
    <t>6527*10000</t>
  </si>
  <si>
    <t>6747*10000</t>
  </si>
  <si>
    <t>5549*10000</t>
  </si>
  <si>
    <t>635.0*10000</t>
  </si>
  <si>
    <t>7372*10000</t>
  </si>
  <si>
    <t>1711*10000</t>
  </si>
  <si>
    <t>1037*10000</t>
  </si>
  <si>
    <t>9785*10000</t>
  </si>
  <si>
    <t>5069*10000</t>
  </si>
  <si>
    <t>3070*10000</t>
  </si>
  <si>
    <t>2505*10000</t>
  </si>
  <si>
    <t>3901*10000</t>
  </si>
  <si>
    <t>2396*10000</t>
  </si>
  <si>
    <t>1255*10000</t>
  </si>
  <si>
    <t>5046*10000</t>
  </si>
  <si>
    <t>3748*10000</t>
  </si>
  <si>
    <t>2933*10000</t>
  </si>
  <si>
    <t>458.0*10000</t>
  </si>
  <si>
    <t>4996*10000</t>
  </si>
  <si>
    <t>1163*10000</t>
  </si>
  <si>
    <t>733.1*10000</t>
  </si>
  <si>
    <t>896.4*10000</t>
  </si>
  <si>
    <t>9052*10000</t>
  </si>
  <si>
    <t>3813*10000</t>
  </si>
  <si>
    <t>2283*10000</t>
  </si>
  <si>
    <t>1943*10000</t>
  </si>
  <si>
    <t>1352*10000</t>
  </si>
  <si>
    <t>892.5*10000</t>
  </si>
  <si>
    <t>567.8*10000</t>
  </si>
  <si>
    <t>271.6*100000000</t>
  </si>
  <si>
    <t>135.1*100000000</t>
  </si>
  <si>
    <t>69.39*100000000</t>
  </si>
  <si>
    <t>242.9*100000000</t>
  </si>
  <si>
    <t>180.0*100000000</t>
  </si>
  <si>
    <t>205.8*100000000</t>
  </si>
  <si>
    <t>94.77*100000000</t>
  </si>
  <si>
    <t>48.32*100000000</t>
  </si>
  <si>
    <t>179.0*100000000</t>
  </si>
  <si>
    <t>39.87*100000000</t>
  </si>
  <si>
    <t>20.68*100000000</t>
  </si>
  <si>
    <t>5.613*100000000</t>
  </si>
  <si>
    <t>20.57*100000000</t>
  </si>
  <si>
    <t>9.790*100000000</t>
  </si>
  <si>
    <t>18.64*100000000</t>
  </si>
  <si>
    <t>9.956*100000000</t>
  </si>
  <si>
    <t>17.44*100000000</t>
  </si>
  <si>
    <t>8.366*100000000</t>
  </si>
  <si>
    <t>15.55*100000000</t>
  </si>
  <si>
    <t>9.727*100000000</t>
  </si>
  <si>
    <t>3.918*100000000</t>
  </si>
  <si>
    <t>9.966*100000000</t>
  </si>
  <si>
    <t>8.305*100000000</t>
  </si>
  <si>
    <t>3.995*100000000</t>
  </si>
  <si>
    <t>18.59*100000000</t>
  </si>
  <si>
    <t>9.628*100000000</t>
  </si>
  <si>
    <t>4.847*100000000</t>
  </si>
  <si>
    <t>18.25*100000000</t>
  </si>
  <si>
    <t>8.841*100000000</t>
  </si>
  <si>
    <t>8.694*100000000</t>
  </si>
  <si>
    <t>3.309*100000000</t>
  </si>
  <si>
    <t>268.9*100000000</t>
  </si>
  <si>
    <t>178.2*100000000</t>
  </si>
  <si>
    <t>117.9*100000000</t>
  </si>
  <si>
    <t>56.75*100000000</t>
  </si>
  <si>
    <t>202.4*100000000</t>
  </si>
  <si>
    <t>127.5*100000000</t>
  </si>
  <si>
    <t>71.79*100000000</t>
  </si>
  <si>
    <t>184.0*100000000</t>
  </si>
  <si>
    <t>83.93*100000000</t>
  </si>
  <si>
    <t>193.3*100000000</t>
  </si>
  <si>
    <t>136.6*100000000</t>
  </si>
  <si>
    <t>90.70*100000000</t>
  </si>
  <si>
    <t>4.699*100000000</t>
  </si>
  <si>
    <t>9171*10000</t>
  </si>
  <si>
    <t>3812*10000</t>
  </si>
  <si>
    <t>5757*10000</t>
  </si>
  <si>
    <t>6998*10000</t>
  </si>
  <si>
    <t>6327*10000</t>
  </si>
  <si>
    <t>2584*10000</t>
  </si>
  <si>
    <t>4.658*100000000</t>
  </si>
  <si>
    <t>3.408*100000000</t>
  </si>
  <si>
    <t>9064*10000</t>
  </si>
  <si>
    <t>3.130*100000000</t>
  </si>
  <si>
    <t>2.519*100000000</t>
  </si>
  <si>
    <t>3525*10000</t>
  </si>
  <si>
    <t>1.016*100000000</t>
  </si>
  <si>
    <t>5866*10000</t>
  </si>
  <si>
    <t>1070*10000</t>
  </si>
  <si>
    <t>5377*10000</t>
  </si>
  <si>
    <t>6251*10000</t>
  </si>
  <si>
    <t>3.988*100000000</t>
  </si>
  <si>
    <t>2.392*100000000</t>
  </si>
  <si>
    <t>7956*10000</t>
  </si>
  <si>
    <t>2.423*100000000</t>
  </si>
  <si>
    <t>2470*10000</t>
  </si>
  <si>
    <t>7883*10000</t>
  </si>
  <si>
    <t>1113*10000</t>
  </si>
  <si>
    <t>3086*10000</t>
  </si>
  <si>
    <t>6421*10000</t>
  </si>
  <si>
    <t>4405*10000</t>
  </si>
  <si>
    <t>79.52*100000000</t>
  </si>
  <si>
    <t>38.27*100000000</t>
  </si>
  <si>
    <t>135.8*100000000</t>
  </si>
  <si>
    <t>86.23*100000000</t>
  </si>
  <si>
    <t>39.53*100000000</t>
  </si>
  <si>
    <t>140.9*100000000</t>
  </si>
  <si>
    <t>94.17*100000000</t>
  </si>
  <si>
    <t>45.71*100000000</t>
  </si>
  <si>
    <t>179.9*100000000</t>
  </si>
  <si>
    <t>130.2*100000000</t>
  </si>
  <si>
    <t>84.76*100000000</t>
  </si>
  <si>
    <t>39.52*100000000</t>
  </si>
  <si>
    <t>14.72*100000000</t>
  </si>
  <si>
    <t>8.885*100000000</t>
  </si>
  <si>
    <t>3.668*100000000</t>
  </si>
  <si>
    <t>11.02*100000000</t>
  </si>
  <si>
    <t>19.45*100000000</t>
  </si>
  <si>
    <t>11.48*100000000</t>
  </si>
  <si>
    <t>27.24*100000000</t>
  </si>
  <si>
    <t>11.77*100000000</t>
  </si>
  <si>
    <t>3.773*100000000</t>
  </si>
  <si>
    <t>14.53*100000000</t>
  </si>
  <si>
    <t>8.786*100000000</t>
  </si>
  <si>
    <t>3.600*100000000</t>
  </si>
  <si>
    <t>5.500*100000000</t>
  </si>
  <si>
    <t>16.79*100000000</t>
  </si>
  <si>
    <t>4.560*100000000</t>
  </si>
  <si>
    <t>3.229*100000000</t>
  </si>
  <si>
    <t>10.90*100000000</t>
  </si>
  <si>
    <t>9.042*100000000</t>
  </si>
  <si>
    <t>15.92*100000000</t>
  </si>
  <si>
    <t>9.413*100000000</t>
  </si>
  <si>
    <t>3.765*100000000</t>
  </si>
  <si>
    <t>4.247*100000000</t>
  </si>
  <si>
    <t>3.046*100000000</t>
  </si>
  <si>
    <t>1.901*100000000</t>
  </si>
  <si>
    <t>9401*10000</t>
  </si>
  <si>
    <t>2.677*100000000</t>
  </si>
  <si>
    <t>5887*10000</t>
  </si>
  <si>
    <t>1.120*100000000</t>
  </si>
  <si>
    <t>5559*10000</t>
  </si>
  <si>
    <t>2.245*100000000</t>
  </si>
  <si>
    <t>1247*10000</t>
  </si>
  <si>
    <t>828.3*10000</t>
  </si>
  <si>
    <t>508.1*10000</t>
  </si>
  <si>
    <t>882.3*10000</t>
  </si>
  <si>
    <t>181.0*10000</t>
  </si>
  <si>
    <t>956.7*10000</t>
  </si>
  <si>
    <t>115.8*10000</t>
  </si>
  <si>
    <t>30.81*10000</t>
  </si>
  <si>
    <t>1579*10000</t>
  </si>
  <si>
    <t>1279*10000</t>
  </si>
  <si>
    <t>823.2*10000</t>
  </si>
  <si>
    <t>510.5*10000</t>
  </si>
  <si>
    <t>957.2*10000</t>
  </si>
  <si>
    <t>153.4*10000</t>
  </si>
  <si>
    <t>201.2*10000</t>
  </si>
  <si>
    <t>37.01*10000</t>
  </si>
  <si>
    <t>992.7*10000</t>
  </si>
  <si>
    <t>830.4*10000</t>
  </si>
  <si>
    <t>513.6*10000</t>
  </si>
  <si>
    <t>375.9*10000</t>
  </si>
  <si>
    <t>320.1*10000</t>
  </si>
  <si>
    <t>103.1*10000</t>
  </si>
  <si>
    <t>577.3*10000</t>
  </si>
  <si>
    <t>154.3*10000</t>
  </si>
  <si>
    <t>12.19*10000</t>
  </si>
  <si>
    <t>339.3*100000000</t>
  </si>
  <si>
    <t>72.97*100000000</t>
  </si>
  <si>
    <t>636.6*100000000</t>
  </si>
  <si>
    <t>536.6*100000000</t>
  </si>
  <si>
    <t>139.7*100000000</t>
  </si>
  <si>
    <t>626.3*100000000</t>
  </si>
  <si>
    <t>648.3*100000000</t>
  </si>
  <si>
    <t>319.3*100000000</t>
  </si>
  <si>
    <t>562.6*100000000</t>
  </si>
  <si>
    <t>470.8*100000000</t>
  </si>
  <si>
    <t>260.2*100000000</t>
  </si>
  <si>
    <t>6848*10000</t>
  </si>
  <si>
    <t>27.70*100000000</t>
  </si>
  <si>
    <t>8.665*100000000</t>
  </si>
  <si>
    <t>21.42*100000000</t>
  </si>
  <si>
    <t>9.104*100000000</t>
  </si>
  <si>
    <t>16.96*100000000</t>
  </si>
  <si>
    <t>9.688*100000000</t>
  </si>
  <si>
    <t>5.180*100000000</t>
  </si>
  <si>
    <t>2246*10000</t>
  </si>
  <si>
    <t>8.581*100000000</t>
  </si>
  <si>
    <t>9.070*100000000</t>
  </si>
  <si>
    <t>5.457*100000000</t>
  </si>
  <si>
    <t>5.167*100000000</t>
  </si>
  <si>
    <t>22.97*100000000</t>
  </si>
  <si>
    <t>6.338*100000000</t>
  </si>
  <si>
    <t>10.51*100000000</t>
  </si>
  <si>
    <t>6.638*100000000</t>
  </si>
  <si>
    <t>4.002*100000000</t>
  </si>
  <si>
    <t>10.86*100000000</t>
  </si>
  <si>
    <t>8.874*100000000</t>
  </si>
  <si>
    <t>6.526*100000000</t>
  </si>
  <si>
    <t>3.740*100000000</t>
  </si>
  <si>
    <t>318.5*100000000</t>
  </si>
  <si>
    <t>221.7*100000000</t>
  </si>
  <si>
    <t>62.97*100000000</t>
  </si>
  <si>
    <t>189.6*100000000</t>
  </si>
  <si>
    <t>128.2*100000000</t>
  </si>
  <si>
    <t>79.24*100000000</t>
  </si>
  <si>
    <t>83.84*100000000</t>
  </si>
  <si>
    <t>38.14*100000000</t>
  </si>
  <si>
    <t>195.6*100000000</t>
  </si>
  <si>
    <t>141.4*100000000</t>
  </si>
  <si>
    <t>86.64*100000000</t>
  </si>
  <si>
    <t>34.15*100000000</t>
  </si>
  <si>
    <t>19.81*100000000</t>
  </si>
  <si>
    <t>10.87*100000000</t>
  </si>
  <si>
    <t>7.572*100000000</t>
  </si>
  <si>
    <t>2.060*100000000</t>
  </si>
  <si>
    <t>3.380*100000000</t>
  </si>
  <si>
    <t>3923*10000</t>
  </si>
  <si>
    <t>9.924*100000000</t>
  </si>
  <si>
    <t>9.059*100000000</t>
  </si>
  <si>
    <t>6.159*100000000</t>
  </si>
  <si>
    <t>8325*10000</t>
  </si>
  <si>
    <t>19.38*100000000</t>
  </si>
  <si>
    <t>10.77*100000000</t>
  </si>
  <si>
    <t>5.201*100000000</t>
  </si>
  <si>
    <t>5.536*100000000</t>
  </si>
  <si>
    <t>3.300*100000000</t>
  </si>
  <si>
    <t>3760*10000</t>
  </si>
  <si>
    <t>9.873*100000000</t>
  </si>
  <si>
    <t>9.010*100000000</t>
  </si>
  <si>
    <t>16.95*100000000</t>
  </si>
  <si>
    <t>9.541*100000000</t>
  </si>
  <si>
    <t>4.548*100000000</t>
  </si>
  <si>
    <t>9.564*100000000</t>
  </si>
  <si>
    <t>6.229*100000000</t>
  </si>
  <si>
    <t>4.126*100000000</t>
  </si>
  <si>
    <t>1.562*100000000</t>
  </si>
  <si>
    <t>2558*10000</t>
  </si>
  <si>
    <t>8.017*100000000</t>
  </si>
  <si>
    <t>6.972*100000000</t>
  </si>
  <si>
    <t>4.754*100000000</t>
  </si>
  <si>
    <t>5196*10000</t>
  </si>
  <si>
    <t>24.89*100000000</t>
  </si>
  <si>
    <t>6.511*100000000</t>
  </si>
  <si>
    <t>24.71*100000000</t>
  </si>
  <si>
    <t>5.792*100000000</t>
  </si>
  <si>
    <t>35.18*100000000</t>
  </si>
  <si>
    <t>12.67*100000000</t>
  </si>
  <si>
    <t>5.506*100000000</t>
  </si>
  <si>
    <t>22.72*100000000</t>
  </si>
  <si>
    <t>15.72*100000000</t>
  </si>
  <si>
    <t>5.416*100000000</t>
  </si>
  <si>
    <t>6570*10000</t>
  </si>
  <si>
    <t>2202*10000</t>
  </si>
  <si>
    <t>1026*10000</t>
  </si>
  <si>
    <t>652.3*10000</t>
  </si>
  <si>
    <t>1476*10000</t>
  </si>
  <si>
    <t>1760*10000</t>
  </si>
  <si>
    <t>1073*10000</t>
  </si>
  <si>
    <t>176.4*10000</t>
  </si>
  <si>
    <t>6005*10000</t>
  </si>
  <si>
    <t>2285*10000</t>
  </si>
  <si>
    <t>1198*10000</t>
  </si>
  <si>
    <t>766.5*10000</t>
  </si>
  <si>
    <t>3074*10000</t>
  </si>
  <si>
    <t>1776*10000</t>
  </si>
  <si>
    <t>773.0*10000</t>
  </si>
  <si>
    <t>4189*10000</t>
  </si>
  <si>
    <t>5724*10000</t>
  </si>
  <si>
    <t>1941*10000</t>
  </si>
  <si>
    <t>1069*10000</t>
  </si>
  <si>
    <t>708.1*10000</t>
  </si>
  <si>
    <t>2500*10000</t>
  </si>
  <si>
    <t>1633*10000</t>
  </si>
  <si>
    <t>810.2*10000</t>
  </si>
  <si>
    <t>1726*10000</t>
  </si>
  <si>
    <t>63.24*100000000</t>
  </si>
  <si>
    <t>48.45*100000000</t>
  </si>
  <si>
    <t>50.68*100000000</t>
  </si>
  <si>
    <t>36.28*100000000</t>
  </si>
  <si>
    <t>19.90*100000000</t>
  </si>
  <si>
    <t>8.218*100000000</t>
  </si>
  <si>
    <t>45.18*100000000</t>
  </si>
  <si>
    <t>17.86*100000000</t>
  </si>
  <si>
    <t>7.279*100000000</t>
  </si>
  <si>
    <t>30.48*100000000</t>
  </si>
  <si>
    <t>21.43*100000000</t>
  </si>
  <si>
    <t>2.829*100000000</t>
  </si>
  <si>
    <t>2.417*100000000</t>
  </si>
  <si>
    <t>4005*10000</t>
  </si>
  <si>
    <t>2.070*100000000</t>
  </si>
  <si>
    <t>7855*10000</t>
  </si>
  <si>
    <t>1.117*100000000</t>
  </si>
  <si>
    <t>7278*10000</t>
  </si>
  <si>
    <t>2665*10000</t>
  </si>
  <si>
    <t>5907*10000</t>
  </si>
  <si>
    <t>1648*10000</t>
  </si>
  <si>
    <t>163.0*10000</t>
  </si>
  <si>
    <t>2.823*100000000</t>
  </si>
  <si>
    <t>3999*10000</t>
  </si>
  <si>
    <t>2.092*100000000</t>
  </si>
  <si>
    <t>1.416*100000000</t>
  </si>
  <si>
    <t>8013*10000</t>
  </si>
  <si>
    <t>2104*10000</t>
  </si>
  <si>
    <t>7330*10000</t>
  </si>
  <si>
    <t>2877*10000</t>
  </si>
  <si>
    <t>7079*10000</t>
  </si>
  <si>
    <t>9543*10000</t>
  </si>
  <si>
    <t>6512*10000</t>
  </si>
  <si>
    <t>1735*10000</t>
  </si>
  <si>
    <t>2.480*100000000</t>
  </si>
  <si>
    <t>1.230*100000000</t>
  </si>
  <si>
    <t>2940*10000</t>
  </si>
  <si>
    <t>1.147*100000000</t>
  </si>
  <si>
    <t>7064*10000</t>
  </si>
  <si>
    <t>1802*10000</t>
  </si>
  <si>
    <t>9655*10000</t>
  </si>
  <si>
    <t>2266*10000</t>
  </si>
  <si>
    <t>5731*10000</t>
  </si>
  <si>
    <t>8049*10000</t>
  </si>
  <si>
    <t>5366*10000</t>
  </si>
  <si>
    <t>1479*10000</t>
  </si>
  <si>
    <t>36.49*100000000</t>
  </si>
  <si>
    <t>17.69*100000000</t>
  </si>
  <si>
    <t>8.618*100000000</t>
  </si>
  <si>
    <t>30.32*100000000</t>
  </si>
  <si>
    <t>22.71*100000000</t>
  </si>
  <si>
    <t>45.66*100000000</t>
  </si>
  <si>
    <t>33.66*100000000</t>
  </si>
  <si>
    <t>22.63*100000000</t>
  </si>
  <si>
    <t>38.25*100000000</t>
  </si>
  <si>
    <t>27.55*100000000</t>
  </si>
  <si>
    <t>18.46*100000000</t>
  </si>
  <si>
    <t>8.958*100000000</t>
  </si>
  <si>
    <t>3.510*100000000</t>
  </si>
  <si>
    <t>2.675*100000000</t>
  </si>
  <si>
    <t>2.090*100000000</t>
  </si>
  <si>
    <t>3.514*100000000</t>
  </si>
  <si>
    <t>2.278*100000000</t>
  </si>
  <si>
    <t>1.478*100000000</t>
  </si>
  <si>
    <t>5.789*100000000</t>
  </si>
  <si>
    <t>4.521*100000000</t>
  </si>
  <si>
    <t>1.310*100000000</t>
  </si>
  <si>
    <t>3.692*100000000</t>
  </si>
  <si>
    <t>2.397*100000000</t>
  </si>
  <si>
    <t>2.502*100000000</t>
  </si>
  <si>
    <t>1.923*100000000</t>
  </si>
  <si>
    <t>1.012*100000000</t>
  </si>
  <si>
    <t>2.320*100000000</t>
  </si>
  <si>
    <t>9645*10000</t>
  </si>
  <si>
    <t>5.754*100000000</t>
  </si>
  <si>
    <t>4.513*100000000</t>
  </si>
  <si>
    <t>4.787*100000000</t>
  </si>
  <si>
    <t>3.708*100000000</t>
  </si>
  <si>
    <t>2.407*100000000</t>
  </si>
  <si>
    <t>3.244*100000000</t>
  </si>
  <si>
    <t>2.104*100000000</t>
  </si>
  <si>
    <t>1.616*100000000</t>
  </si>
  <si>
    <t>8550*10000</t>
  </si>
  <si>
    <t>1.940*100000000</t>
  </si>
  <si>
    <t>8133*10000</t>
  </si>
  <si>
    <t>5.165*100000000</t>
  </si>
  <si>
    <t>3.797*100000000</t>
  </si>
  <si>
    <t>4.203*100000000</t>
  </si>
  <si>
    <t>9509*10000</t>
  </si>
  <si>
    <t>30.12*100000000</t>
  </si>
  <si>
    <t>5.468*100000000</t>
  </si>
  <si>
    <t>27.88*100000000</t>
  </si>
  <si>
    <t>21.83*100000000</t>
  </si>
  <si>
    <t>14.52*100000000</t>
  </si>
  <si>
    <t>7.309*100000000</t>
  </si>
  <si>
    <t>12.50*100000000</t>
  </si>
  <si>
    <t>5.557*100000000</t>
  </si>
  <si>
    <t>1.065*100000000</t>
  </si>
  <si>
    <t>7588*10000</t>
  </si>
  <si>
    <t>4636*10000</t>
  </si>
  <si>
    <t>5391*10000</t>
  </si>
  <si>
    <t>5209*10000</t>
  </si>
  <si>
    <t>3671*10000</t>
  </si>
  <si>
    <t>1547*10000</t>
  </si>
  <si>
    <t>8541*10000</t>
  </si>
  <si>
    <t>8637*10000</t>
  </si>
  <si>
    <t>1481*10000</t>
  </si>
  <si>
    <t>7615*10000</t>
  </si>
  <si>
    <t>4815*10000</t>
  </si>
  <si>
    <t>1.502*100000000</t>
  </si>
  <si>
    <t>8641*10000</t>
  </si>
  <si>
    <t>4455*10000</t>
  </si>
  <si>
    <t>3537*10000</t>
  </si>
  <si>
    <t>8258*10000</t>
  </si>
  <si>
    <t>8535*10000</t>
  </si>
  <si>
    <t>5870*10000</t>
  </si>
  <si>
    <t>9910*10000</t>
  </si>
  <si>
    <t>6234*10000</t>
  </si>
  <si>
    <t>3874*10000</t>
  </si>
  <si>
    <t>6725*10000</t>
  </si>
  <si>
    <t>3496*10000</t>
  </si>
  <si>
    <t>8577*10000</t>
  </si>
  <si>
    <t>3940*10000</t>
  </si>
  <si>
    <t>2874*10000</t>
  </si>
  <si>
    <t>905.9*10000</t>
  </si>
  <si>
    <t>7389*10000</t>
  </si>
  <si>
    <t>7455*10000</t>
  </si>
  <si>
    <t>5249*10000</t>
  </si>
  <si>
    <t>7.068*100000000</t>
  </si>
  <si>
    <t>5.025*100000000</t>
  </si>
  <si>
    <t>3.097*100000000</t>
  </si>
  <si>
    <t>5.751*100000000</t>
  </si>
  <si>
    <t>6.601*100000000</t>
  </si>
  <si>
    <t>4.693*100000000</t>
  </si>
  <si>
    <t>1.519*100000000</t>
  </si>
  <si>
    <t>4.394*100000000</t>
  </si>
  <si>
    <t>2.604*100000000</t>
  </si>
  <si>
    <t>1.101*100000000</t>
  </si>
  <si>
    <t>5065*10000</t>
  </si>
  <si>
    <t>4332*10000</t>
  </si>
  <si>
    <t>3201*10000</t>
  </si>
  <si>
    <t>1688*10000</t>
  </si>
  <si>
    <t>3937*10000</t>
  </si>
  <si>
    <t>2278*10000</t>
  </si>
  <si>
    <t>777.3*10000</t>
  </si>
  <si>
    <t>777.7*10000</t>
  </si>
  <si>
    <t>1948*10000</t>
  </si>
  <si>
    <t>1184*10000</t>
  </si>
  <si>
    <t>668.8*10000</t>
  </si>
  <si>
    <t>5135*10000</t>
  </si>
  <si>
    <t>4160*10000</t>
  </si>
  <si>
    <t>3200*10000</t>
  </si>
  <si>
    <t>1685*10000</t>
  </si>
  <si>
    <t>4041*10000</t>
  </si>
  <si>
    <t>2234*10000</t>
  </si>
  <si>
    <t>834.8*10000</t>
  </si>
  <si>
    <t>2966*10000</t>
  </si>
  <si>
    <t>3045*10000</t>
  </si>
  <si>
    <t>2391*10000</t>
  </si>
  <si>
    <t>867.0*10000</t>
  </si>
  <si>
    <t>2696*10000</t>
  </si>
  <si>
    <t>1993*10000</t>
  </si>
  <si>
    <t>1211*10000</t>
  </si>
  <si>
    <t>649.5*10000</t>
  </si>
  <si>
    <t>4847*10000</t>
  </si>
  <si>
    <t>3637*10000</t>
  </si>
  <si>
    <t>4026*10000</t>
  </si>
  <si>
    <t>3439*10000</t>
  </si>
  <si>
    <t>745.0*10000</t>
  </si>
  <si>
    <t>2591*10000</t>
  </si>
  <si>
    <t>699.1*10000</t>
  </si>
  <si>
    <t>2332*10000</t>
  </si>
  <si>
    <t>1092*10000</t>
  </si>
  <si>
    <t>470.1*10000</t>
  </si>
  <si>
    <t>20.21*100000000</t>
  </si>
  <si>
    <t>5.806*100000000</t>
  </si>
  <si>
    <t>13.36*100000000</t>
  </si>
  <si>
    <t>8.365*100000000</t>
  </si>
  <si>
    <t>3.457*100000000</t>
  </si>
  <si>
    <t>7.939*100000000</t>
  </si>
  <si>
    <t>3.810*100000000</t>
  </si>
  <si>
    <t>17.21*100000000</t>
  </si>
  <si>
    <t>12.89*100000000</t>
  </si>
  <si>
    <t>8.380*100000000</t>
  </si>
  <si>
    <t>9.777*100000000</t>
  </si>
  <si>
    <t>4.348*100000000</t>
  </si>
  <si>
    <t>1.981*100000000</t>
  </si>
  <si>
    <t>6.551*100000000</t>
  </si>
  <si>
    <t>4.400*100000000</t>
  </si>
  <si>
    <t>1.186*100000000</t>
  </si>
  <si>
    <t>5.295*100000000</t>
  </si>
  <si>
    <t>3.890*100000000</t>
  </si>
  <si>
    <t>6.590*100000000</t>
  </si>
  <si>
    <t>4.339*100000000</t>
  </si>
  <si>
    <t>4.397*100000000</t>
  </si>
  <si>
    <t>2.765*100000000</t>
  </si>
  <si>
    <t>5.421*100000000</t>
  </si>
  <si>
    <t>5.298*100000000</t>
  </si>
  <si>
    <t>3.894*100000000</t>
  </si>
  <si>
    <t>1.149*100000000</t>
  </si>
  <si>
    <t>8.444*100000000</t>
  </si>
  <si>
    <t>5.595*100000000</t>
  </si>
  <si>
    <t>3.741*100000000</t>
  </si>
  <si>
    <t>9546*10000</t>
  </si>
  <si>
    <t>4.665*100000000</t>
  </si>
  <si>
    <t>2.200*100000000</t>
  </si>
  <si>
    <t>9778*10000</t>
  </si>
  <si>
    <t>54.97*100000000</t>
  </si>
  <si>
    <t>31.21*100000000</t>
  </si>
  <si>
    <t>7.512*100000000</t>
  </si>
  <si>
    <t>23.38*100000000</t>
  </si>
  <si>
    <t>15.24*100000000</t>
  </si>
  <si>
    <t>32.63*100000000</t>
  </si>
  <si>
    <t>19.63*100000000</t>
  </si>
  <si>
    <t>7.565*100000000</t>
  </si>
  <si>
    <t>7.526*100000000</t>
  </si>
  <si>
    <t>3.644*100000000</t>
  </si>
  <si>
    <t>8.820*100000000</t>
  </si>
  <si>
    <t>7.344*100000000</t>
  </si>
  <si>
    <t>7.011*100000000</t>
  </si>
  <si>
    <t>4.365*100000000</t>
  </si>
  <si>
    <t>7.569*100000000</t>
  </si>
  <si>
    <t>7.532*100000000</t>
  </si>
  <si>
    <t>8.827*100000000</t>
  </si>
  <si>
    <t>6.996*100000000</t>
  </si>
  <si>
    <t>4.343*100000000</t>
  </si>
  <si>
    <t>7.042*100000000</t>
  </si>
  <si>
    <t>1.773*100000000</t>
  </si>
  <si>
    <t>13.63*100000000</t>
  </si>
  <si>
    <t>7.992*100000000</t>
  </si>
  <si>
    <t>6.759*100000000</t>
  </si>
  <si>
    <t>3.889*100000000</t>
  </si>
  <si>
    <t>6.784*100000000</t>
  </si>
  <si>
    <t>3.743*100000000</t>
  </si>
  <si>
    <t>3.090*100000000</t>
  </si>
  <si>
    <t>9.690*100000000</t>
  </si>
  <si>
    <t>6.434*100000000</t>
  </si>
  <si>
    <t>2.601*100000000</t>
  </si>
  <si>
    <t>8.202*100000000</t>
  </si>
  <si>
    <t>5.134*100000000</t>
  </si>
  <si>
    <t>2.135*100000000</t>
  </si>
  <si>
    <t>8.980*100000000</t>
  </si>
  <si>
    <t>5.714*100000000</t>
  </si>
  <si>
    <t>6.116*100000000</t>
  </si>
  <si>
    <t>1.436*100000000</t>
  </si>
  <si>
    <t>3.567*100000000</t>
  </si>
  <si>
    <t>7109*10000</t>
  </si>
  <si>
    <t>2287*10000</t>
  </si>
  <si>
    <t>4999*10000</t>
  </si>
  <si>
    <t>945.4*10000</t>
  </si>
  <si>
    <t>3.122*100000000</t>
  </si>
  <si>
    <t>9320*10000</t>
  </si>
  <si>
    <t>2631*10000</t>
  </si>
  <si>
    <t>1878*10000</t>
  </si>
  <si>
    <t>2.996*100000000</t>
  </si>
  <si>
    <t>4076*10000</t>
  </si>
  <si>
    <t>227.8*100000000</t>
  </si>
  <si>
    <t>167.3*100000000</t>
  </si>
  <si>
    <t>44.68*100000000</t>
  </si>
  <si>
    <t>129.2*100000000</t>
  </si>
  <si>
    <t>83.57*100000000</t>
  </si>
  <si>
    <t>48.85*100000000</t>
  </si>
  <si>
    <t>114.9*100000000</t>
  </si>
  <si>
    <t>89.73*100000000</t>
  </si>
  <si>
    <t>28.91*100000000</t>
  </si>
  <si>
    <t>79.29*100000000</t>
  </si>
  <si>
    <t>49.40*100000000</t>
  </si>
  <si>
    <t>6.347*100000000</t>
  </si>
  <si>
    <t>4.715*100000000</t>
  </si>
  <si>
    <t>2.085*100000000</t>
  </si>
  <si>
    <t>2.970*100000000</t>
  </si>
  <si>
    <t>1415*10000</t>
  </si>
  <si>
    <t>4.619*100000000</t>
  </si>
  <si>
    <t>3.453*100000000</t>
  </si>
  <si>
    <t>1.435*100000000</t>
  </si>
  <si>
    <t>6.913*100000000</t>
  </si>
  <si>
    <t>4.926*100000000</t>
  </si>
  <si>
    <t>6.364*100000000</t>
  </si>
  <si>
    <t>4.793*100000000</t>
  </si>
  <si>
    <t>3.260*100000000</t>
  </si>
  <si>
    <t>2.113*100000000</t>
  </si>
  <si>
    <t>5.461*100000000</t>
  </si>
  <si>
    <t>5.135*100000000</t>
  </si>
  <si>
    <t>2.943*100000000</t>
  </si>
  <si>
    <t>1371*10000</t>
  </si>
  <si>
    <t>9.714*100000000</t>
  </si>
  <si>
    <t>6.203*100000000</t>
  </si>
  <si>
    <t>6.805*100000000</t>
  </si>
  <si>
    <t>4.915*100000000</t>
  </si>
  <si>
    <t>5.385*100000000</t>
  </si>
  <si>
    <t>2.990*100000000</t>
  </si>
  <si>
    <t>5.150*100000000</t>
  </si>
  <si>
    <t>4.894*100000000</t>
  </si>
  <si>
    <t>2.907*100000000</t>
  </si>
  <si>
    <t>9.323*100000000</t>
  </si>
  <si>
    <t>5.660*100000000</t>
  </si>
  <si>
    <t>4.708*100000000</t>
  </si>
  <si>
    <t>5.698*100000000</t>
  </si>
  <si>
    <t>2.508*100000000</t>
  </si>
  <si>
    <t>308.8*100000000</t>
  </si>
  <si>
    <t>238.1*100000000</t>
  </si>
  <si>
    <t>146.6*100000000</t>
  </si>
  <si>
    <t>62.26*100000000</t>
  </si>
  <si>
    <t>156.7*100000000</t>
  </si>
  <si>
    <t>98.04*100000000</t>
  </si>
  <si>
    <t>206.1*100000000</t>
  </si>
  <si>
    <t>154.9*100000000</t>
  </si>
  <si>
    <t>95.42*100000000</t>
  </si>
  <si>
    <t>82.14*100000000</t>
  </si>
  <si>
    <t>34.09*100000000</t>
  </si>
  <si>
    <t>14.76*100000000</t>
  </si>
  <si>
    <t>2.321*100000000</t>
  </si>
  <si>
    <t>4.258*100000000</t>
  </si>
  <si>
    <t>3.484*100000000</t>
  </si>
  <si>
    <t>8591*10000</t>
  </si>
  <si>
    <t>1.173*100000000</t>
  </si>
  <si>
    <t>2.593*100000000</t>
  </si>
  <si>
    <t>1.303*100000000</t>
  </si>
  <si>
    <t>8.479*100000000</t>
  </si>
  <si>
    <t>6.954*100000000</t>
  </si>
  <si>
    <t>2.151*100000000</t>
  </si>
  <si>
    <t>1.437*100000000</t>
  </si>
  <si>
    <t>2.323*100000000</t>
  </si>
  <si>
    <t>8254*10000</t>
  </si>
  <si>
    <t>1.151*100000000</t>
  </si>
  <si>
    <t>2.616*100000000</t>
  </si>
  <si>
    <t>8.432*100000000</t>
  </si>
  <si>
    <t>6.965*100000000</t>
  </si>
  <si>
    <t>2.156*100000000</t>
  </si>
  <si>
    <t>12.21*100000000</t>
  </si>
  <si>
    <t>22.29*100000000</t>
  </si>
  <si>
    <t>1.936*100000000</t>
  </si>
  <si>
    <t>6920*10000</t>
  </si>
  <si>
    <t>1.111*100000000</t>
  </si>
  <si>
    <t>1.236*100000000</t>
  </si>
  <si>
    <t>5.775*100000000</t>
  </si>
  <si>
    <t>198.0*100000000</t>
  </si>
  <si>
    <t>119.5*100000000</t>
  </si>
  <si>
    <t>74.71*100000000</t>
  </si>
  <si>
    <t>30.91*100000000</t>
  </si>
  <si>
    <t>64.87*100000000</t>
  </si>
  <si>
    <t>147.1*100000000</t>
  </si>
  <si>
    <t>80.65*100000000</t>
  </si>
  <si>
    <t>45.59*100000000</t>
  </si>
  <si>
    <t>17.94*100000000</t>
  </si>
  <si>
    <t>110.5*100000000</t>
  </si>
  <si>
    <t>66.52*100000000</t>
  </si>
  <si>
    <t>5.602*100000000</t>
  </si>
  <si>
    <t>6.832*100000000</t>
  </si>
  <si>
    <t>5.173*100000000</t>
  </si>
  <si>
    <t>4.928*100000000</t>
  </si>
  <si>
    <t>5.394*100000000</t>
  </si>
  <si>
    <t>2.087*100000000</t>
  </si>
  <si>
    <t>3.720*100000000</t>
  </si>
  <si>
    <t>5.542*100000000</t>
  </si>
  <si>
    <t>1.199*100000000</t>
  </si>
  <si>
    <t>8138*10000</t>
  </si>
  <si>
    <t>2865*10000</t>
  </si>
  <si>
    <t>7984*10000</t>
  </si>
  <si>
    <t>305.0*100000000</t>
  </si>
  <si>
    <t>219.2*100000000</t>
  </si>
  <si>
    <t>67.12*100000000</t>
  </si>
  <si>
    <t>187.6*100000000</t>
  </si>
  <si>
    <t>57.08*100000000</t>
  </si>
  <si>
    <t>91.48*100000000</t>
  </si>
  <si>
    <t>45.15*100000000</t>
  </si>
  <si>
    <t>238.6*100000000</t>
  </si>
  <si>
    <t>180.9*100000000</t>
  </si>
  <si>
    <t>113.0*100000000</t>
  </si>
  <si>
    <t>54.90*100000000</t>
  </si>
  <si>
    <t>31.70*100000000</t>
  </si>
  <si>
    <t>4.416*100000000</t>
  </si>
  <si>
    <t>14.46*100000000</t>
  </si>
  <si>
    <t>8.883*100000000</t>
  </si>
  <si>
    <t>5960*10000</t>
  </si>
  <si>
    <t>4.396*100000000</t>
  </si>
  <si>
    <t>8.733*100000000</t>
  </si>
  <si>
    <t>8037*10000</t>
  </si>
  <si>
    <t>9984*10000</t>
  </si>
  <si>
    <t>5568*10000</t>
  </si>
  <si>
    <t>1001*10000</t>
  </si>
  <si>
    <t>29.60*100000000</t>
  </si>
  <si>
    <t>13.23*100000000</t>
  </si>
  <si>
    <t>7.652*100000000</t>
  </si>
  <si>
    <t>3.669*100000000</t>
  </si>
  <si>
    <t>1.341*100000000</t>
  </si>
  <si>
    <t>9665*10000</t>
  </si>
  <si>
    <t>3186*10000</t>
  </si>
  <si>
    <t>2073*10000</t>
  </si>
  <si>
    <t>957.5*10000</t>
  </si>
  <si>
    <t>1680*100000000</t>
  </si>
  <si>
    <t>1217*100000000</t>
  </si>
  <si>
    <t>804.3*100000000</t>
  </si>
  <si>
    <t>344.4*100000000</t>
  </si>
  <si>
    <t>1763*100000000</t>
  </si>
  <si>
    <t>1241*100000000</t>
  </si>
  <si>
    <t>740.1*100000000</t>
  </si>
  <si>
    <t>232.1*100000000</t>
  </si>
  <si>
    <t>1570*100000000</t>
  </si>
  <si>
    <t>1108*100000000</t>
  </si>
  <si>
    <t>716.4*100000000</t>
  </si>
  <si>
    <t>1284*100000000</t>
  </si>
  <si>
    <t>777.9*100000000</t>
  </si>
  <si>
    <t>457.4*100000000</t>
  </si>
  <si>
    <t>431.1*100000000</t>
  </si>
  <si>
    <t>289.6*100000000</t>
  </si>
  <si>
    <t>192.8*100000000</t>
  </si>
  <si>
    <t>463.0*100000000</t>
  </si>
  <si>
    <t>325.9*100000000</t>
  </si>
  <si>
    <t>211.5*100000000</t>
  </si>
  <si>
    <t>64.81*100000000</t>
  </si>
  <si>
    <t>440.6*100000000</t>
  </si>
  <si>
    <t>311.1*100000000</t>
  </si>
  <si>
    <t>201.4*100000000</t>
  </si>
  <si>
    <t>79.30*100000000</t>
  </si>
  <si>
    <t>398.8*100000000</t>
  </si>
  <si>
    <t>270.1*100000000</t>
  </si>
  <si>
    <t>61.92*100000000</t>
  </si>
  <si>
    <t>441.2*100000000</t>
  </si>
  <si>
    <t>297.2*100000000</t>
  </si>
  <si>
    <t>198.7*100000000</t>
  </si>
  <si>
    <t>78.06*100000000</t>
  </si>
  <si>
    <t>471.4*100000000</t>
  </si>
  <si>
    <t>215.0*100000000</t>
  </si>
  <si>
    <t>66.68*100000000</t>
  </si>
  <si>
    <t>445.6*100000000</t>
  </si>
  <si>
    <t>203.4*100000000</t>
  </si>
  <si>
    <t>80.27*100000000</t>
  </si>
  <si>
    <t>396.3*100000000</t>
  </si>
  <si>
    <t>274.7*100000000</t>
  </si>
  <si>
    <t>171.9*100000000</t>
  </si>
  <si>
    <t>63.12*100000000</t>
  </si>
  <si>
    <t>341.7*100000000</t>
  </si>
  <si>
    <t>229.7*100000000</t>
  </si>
  <si>
    <t>59.47*100000000</t>
  </si>
  <si>
    <t>364.0*100000000</t>
  </si>
  <si>
    <t>256.3*100000000</t>
  </si>
  <si>
    <t>166.2*100000000</t>
  </si>
  <si>
    <t>343.5*100000000</t>
  </si>
  <si>
    <t>243.9*100000000</t>
  </si>
  <si>
    <t>156.2*100000000</t>
  </si>
  <si>
    <t>62.04*100000000</t>
  </si>
  <si>
    <t>306.4*100000000</t>
  </si>
  <si>
    <t>213.0*100000000</t>
  </si>
  <si>
    <t>133.1*100000000</t>
  </si>
  <si>
    <t>49.02*100000000</t>
  </si>
  <si>
    <t>69.22*100000000</t>
  </si>
  <si>
    <t>50.91*100000000</t>
  </si>
  <si>
    <t>33.44*100000000</t>
  </si>
  <si>
    <t>48.84*100000000</t>
  </si>
  <si>
    <t>34.21*100000000</t>
  </si>
  <si>
    <t>37.33*100000000</t>
  </si>
  <si>
    <t>24.62*100000000</t>
  </si>
  <si>
    <t>23.81*100000000</t>
  </si>
  <si>
    <t>9.626*100000000</t>
  </si>
  <si>
    <t>4.250*100000000</t>
  </si>
  <si>
    <t>4.164*100000000</t>
  </si>
  <si>
    <t>2.352*100000000</t>
  </si>
  <si>
    <t>1.410*100000000</t>
  </si>
  <si>
    <t>7705*10000</t>
  </si>
  <si>
    <t>3.490*100000000</t>
  </si>
  <si>
    <t>15.21*100000000</t>
  </si>
  <si>
    <t>9.583*100000000</t>
  </si>
  <si>
    <t>4.245*100000000</t>
  </si>
  <si>
    <t>4.118*100000000</t>
  </si>
  <si>
    <t>9716*10000</t>
  </si>
  <si>
    <t>3357*10000</t>
  </si>
  <si>
    <t>7547*10000</t>
  </si>
  <si>
    <t>2.799*100000000</t>
  </si>
  <si>
    <t>8312*10000</t>
  </si>
  <si>
    <t>3.674*100000000</t>
  </si>
  <si>
    <t>1.950*100000000</t>
  </si>
  <si>
    <t>7982*10000</t>
  </si>
  <si>
    <t>1.031*100000000</t>
  </si>
  <si>
    <t>1.390*100000000</t>
  </si>
  <si>
    <t>8410*10000</t>
  </si>
  <si>
    <t>2.075*100000000</t>
  </si>
  <si>
    <t>49.33*100000000</t>
  </si>
  <si>
    <t>85.28*100000000</t>
  </si>
  <si>
    <t>46.19*100000000</t>
  </si>
  <si>
    <t>85.10*100000000</t>
  </si>
  <si>
    <t>50.09*100000000</t>
  </si>
  <si>
    <t>33.13*100000000</t>
  </si>
  <si>
    <t>12.52*100000000</t>
  </si>
  <si>
    <t>77.03*100000000</t>
  </si>
  <si>
    <t>45.48*100000000</t>
  </si>
  <si>
    <t>7.787*100000000</t>
  </si>
  <si>
    <t>3152*10000</t>
  </si>
  <si>
    <t>2881*10000</t>
  </si>
  <si>
    <t>5.944*100000000</t>
  </si>
  <si>
    <t>1.249*100000000</t>
  </si>
  <si>
    <t>9.431*100000000</t>
  </si>
  <si>
    <t>3.825*100000000</t>
  </si>
  <si>
    <t>7.740*100000000</t>
  </si>
  <si>
    <t>3689*10000</t>
  </si>
  <si>
    <t>3194*10000</t>
  </si>
  <si>
    <t>9.503*100000000</t>
  </si>
  <si>
    <t>3.880*100000000</t>
  </si>
  <si>
    <t>3267*10000</t>
  </si>
  <si>
    <t>2197*10000</t>
  </si>
  <si>
    <t>8.102*100000000</t>
  </si>
  <si>
    <t>2.795*100000000</t>
  </si>
  <si>
    <t>2.247*100000000</t>
  </si>
  <si>
    <t>189.8*100000000</t>
  </si>
  <si>
    <t>133.2*100000000</t>
  </si>
  <si>
    <t>84.65*100000000</t>
  </si>
  <si>
    <t>37.76*100000000</t>
  </si>
  <si>
    <t>125.3*100000000</t>
  </si>
  <si>
    <t>94.37*100000000</t>
  </si>
  <si>
    <t>62.99*100000000</t>
  </si>
  <si>
    <t>120.1*100000000</t>
  </si>
  <si>
    <t>86.43*100000000</t>
  </si>
  <si>
    <t>58.22*100000000</t>
  </si>
  <si>
    <t>28.63*100000000</t>
  </si>
  <si>
    <t>110.0*100000000</t>
  </si>
  <si>
    <t>87.27*100000000</t>
  </si>
  <si>
    <t>59.70*100000000</t>
  </si>
  <si>
    <t>9.889*100000000</t>
  </si>
  <si>
    <t>3.224*100000000</t>
  </si>
  <si>
    <t>8.111*100000000</t>
  </si>
  <si>
    <t>7166*10000</t>
  </si>
  <si>
    <t>6.517*100000000</t>
  </si>
  <si>
    <t>5.758*100000000</t>
  </si>
  <si>
    <t>3.642*100000000</t>
  </si>
  <si>
    <t>1.714*100000000</t>
  </si>
  <si>
    <t>14.25*100000000</t>
  </si>
  <si>
    <t>14.17*100000000</t>
  </si>
  <si>
    <t>8.505*100000000</t>
  </si>
  <si>
    <t>31.43*100000000</t>
  </si>
  <si>
    <t>18.72*100000000</t>
  </si>
  <si>
    <t>9.795*100000000</t>
  </si>
  <si>
    <t>3.164*100000000</t>
  </si>
  <si>
    <t>7.710*100000000</t>
  </si>
  <si>
    <t>1.913*100000000</t>
  </si>
  <si>
    <t>6025*10000</t>
  </si>
  <si>
    <t>6.417*100000000</t>
  </si>
  <si>
    <t>5.724*100000000</t>
  </si>
  <si>
    <t>8.303*100000000</t>
  </si>
  <si>
    <t>2.798*100000000</t>
  </si>
  <si>
    <t>27.13*100000000</t>
  </si>
  <si>
    <t>16.47*100000000</t>
  </si>
  <si>
    <t>8.700*100000000</t>
  </si>
  <si>
    <t>2.816*100000000</t>
  </si>
  <si>
    <t>6.459*100000000</t>
  </si>
  <si>
    <t>3202*10000</t>
  </si>
  <si>
    <t>5.240*100000000</t>
  </si>
  <si>
    <t>4.724*100000000</t>
  </si>
  <si>
    <t>1.368*100000000</t>
  </si>
  <si>
    <t>12.51*100000000</t>
  </si>
  <si>
    <t>7.180*100000000</t>
  </si>
  <si>
    <t>2.618*100000000</t>
  </si>
  <si>
    <t>292.1*100000000</t>
  </si>
  <si>
    <t>220.6*100000000</t>
  </si>
  <si>
    <t>252.7*100000000</t>
  </si>
  <si>
    <t>187.4*100000000</t>
  </si>
  <si>
    <t>51.34*100000000</t>
  </si>
  <si>
    <t>225.6*100000000</t>
  </si>
  <si>
    <t>171.4*100000000</t>
  </si>
  <si>
    <t>54.52*100000000</t>
  </si>
  <si>
    <t>209.9*100000000</t>
  </si>
  <si>
    <t>158.3*100000000</t>
  </si>
  <si>
    <t>107.4*100000000</t>
  </si>
  <si>
    <t>51.68*100000000</t>
  </si>
  <si>
    <t>6.569*100000000</t>
  </si>
  <si>
    <t>6.429*100000000</t>
  </si>
  <si>
    <t>1.986*100000000</t>
  </si>
  <si>
    <t>9.168*100000000</t>
  </si>
  <si>
    <t>7.483*100000000</t>
  </si>
  <si>
    <t>3.576*100000000</t>
  </si>
  <si>
    <t>8.785*100000000</t>
  </si>
  <si>
    <t>7.271*100000000</t>
  </si>
  <si>
    <t>3.119*100000000</t>
  </si>
  <si>
    <t>6.999*100000000</t>
  </si>
  <si>
    <t>7.132*100000000</t>
  </si>
  <si>
    <t>6.157*100000000</t>
  </si>
  <si>
    <t>1.976*100000000</t>
  </si>
  <si>
    <t>8.268*100000000</t>
  </si>
  <si>
    <t>6.760*100000000</t>
  </si>
  <si>
    <t>3.208*100000000</t>
  </si>
  <si>
    <t>7.923*100000000</t>
  </si>
  <si>
    <t>6.798*100000000</t>
  </si>
  <si>
    <t>5.916*100000000</t>
  </si>
  <si>
    <t>3.016*100000000</t>
  </si>
  <si>
    <t>5.669*100000000</t>
  </si>
  <si>
    <t>3.501*100000000</t>
  </si>
  <si>
    <t>2.197*100000000</t>
  </si>
  <si>
    <t>7.854*100000000</t>
  </si>
  <si>
    <t>6.825*100000000</t>
  </si>
  <si>
    <t>6.140*100000000</t>
  </si>
  <si>
    <t>2.292*100000000</t>
  </si>
  <si>
    <t>5.266*100000000</t>
  </si>
  <si>
    <t>5.275*100000000</t>
  </si>
  <si>
    <t>2.180*100000000</t>
  </si>
  <si>
    <t>28.72*100000000</t>
  </si>
  <si>
    <t>32.41*100000000</t>
  </si>
  <si>
    <t>24.30*100000000</t>
  </si>
  <si>
    <t>32.65*100000000</t>
  </si>
  <si>
    <t>25.65*100000000</t>
  </si>
  <si>
    <t>17.62*100000000</t>
  </si>
  <si>
    <t>6.882*100000000</t>
  </si>
  <si>
    <t>10.35*100000000</t>
  </si>
  <si>
    <t>7.712*100000000</t>
  </si>
  <si>
    <t>3.716*100000000</t>
  </si>
  <si>
    <t>7.949*100000000</t>
  </si>
  <si>
    <t>3.725*100000000</t>
  </si>
  <si>
    <t>9.989*100000000</t>
  </si>
  <si>
    <t>9.859*100000000</t>
  </si>
  <si>
    <t>7.361*100000000</t>
  </si>
  <si>
    <t>7.967*100000000</t>
  </si>
  <si>
    <t>8.223*100000000</t>
  </si>
  <si>
    <t>9.584*100000000</t>
  </si>
  <si>
    <t>6.923*100000000</t>
  </si>
  <si>
    <t>2.684*100000000</t>
  </si>
  <si>
    <t>9.332*100000000</t>
  </si>
  <si>
    <t>2.874*100000000</t>
  </si>
  <si>
    <t>6.991*100000000</t>
  </si>
  <si>
    <t>7.224*100000000</t>
  </si>
  <si>
    <t>7.625*100000000</t>
  </si>
  <si>
    <t>3.718*100000000</t>
  </si>
  <si>
    <t>9.716*100000000</t>
  </si>
  <si>
    <t>7.895*100000000</t>
  </si>
  <si>
    <t>8.336*100000000</t>
  </si>
  <si>
    <t>9.638*100000000</t>
  </si>
  <si>
    <t>6.978*100000000</t>
  </si>
  <si>
    <t>9.723*100000000</t>
  </si>
  <si>
    <t>301.7*100000000</t>
  </si>
  <si>
    <t>267.7*100000000</t>
  </si>
  <si>
    <t>89.28*100000000</t>
  </si>
  <si>
    <t>277.6*100000000</t>
  </si>
  <si>
    <t>244.2*100000000</t>
  </si>
  <si>
    <t>156.8*100000000</t>
  </si>
  <si>
    <t>279.8*100000000</t>
  </si>
  <si>
    <t>249.0*100000000</t>
  </si>
  <si>
    <t>165.5*100000000</t>
  </si>
  <si>
    <t>79.51*100000000</t>
  </si>
  <si>
    <t>265.8*100000000</t>
  </si>
  <si>
    <t>236.4*100000000</t>
  </si>
  <si>
    <t>151.5*100000000</t>
  </si>
  <si>
    <t>49.13*100000000</t>
  </si>
  <si>
    <t>32.50*100000000</t>
  </si>
  <si>
    <t>41.36*100000000</t>
  </si>
  <si>
    <t>25.75*100000000</t>
  </si>
  <si>
    <t>7.658*100000000</t>
  </si>
  <si>
    <t>23.09*100000000</t>
  </si>
  <si>
    <t>23.78*100000000</t>
  </si>
  <si>
    <t>9.668*100000000</t>
  </si>
  <si>
    <t>49.35*100000000</t>
  </si>
  <si>
    <t>32.91*100000000</t>
  </si>
  <si>
    <t>41.24*100000000</t>
  </si>
  <si>
    <t>25.58*100000000</t>
  </si>
  <si>
    <t>7.439*100000000</t>
  </si>
  <si>
    <t>27.27*100000000</t>
  </si>
  <si>
    <t>36.56*100000000</t>
  </si>
  <si>
    <t>23.80*100000000</t>
  </si>
  <si>
    <t>31.10*100000000</t>
  </si>
  <si>
    <t>9.706*100000000</t>
  </si>
  <si>
    <t>32.56*100000000</t>
  </si>
  <si>
    <t>24.87*100000000</t>
  </si>
  <si>
    <t>5.541*100000000</t>
  </si>
  <si>
    <t>8.437*100000000</t>
  </si>
  <si>
    <t>7.039*100000000</t>
  </si>
  <si>
    <t>49.93*100000000</t>
  </si>
  <si>
    <t>35.38*100000000</t>
  </si>
  <si>
    <t>23.30*100000000</t>
  </si>
  <si>
    <t>45.90*100000000</t>
  </si>
  <si>
    <t>30.74*100000000</t>
  </si>
  <si>
    <t>48.89*100000000</t>
  </si>
  <si>
    <t>34.42*100000000</t>
  </si>
  <si>
    <t>10.68*100000000</t>
  </si>
  <si>
    <t>44.66*100000000</t>
  </si>
  <si>
    <t>31.16*100000000</t>
  </si>
  <si>
    <t>9.141*100000000</t>
  </si>
  <si>
    <t>2.847*100000000</t>
  </si>
  <si>
    <t>1.821*100000000</t>
  </si>
  <si>
    <t>1.268*100000000</t>
  </si>
  <si>
    <t>4216*10000</t>
  </si>
  <si>
    <t>2.998*100000000</t>
  </si>
  <si>
    <t>3002*10000</t>
  </si>
  <si>
    <t>1.510*100000000</t>
  </si>
  <si>
    <t>3.195*100000000</t>
  </si>
  <si>
    <t>2.055*100000000</t>
  </si>
  <si>
    <t>1.581*100000000</t>
  </si>
  <si>
    <t>6174*10000</t>
  </si>
  <si>
    <t>4278*10000</t>
  </si>
  <si>
    <t>3.181*100000000</t>
  </si>
  <si>
    <t>1.910*100000000</t>
  </si>
  <si>
    <t>3135*10000</t>
  </si>
  <si>
    <t>2.299*100000000</t>
  </si>
  <si>
    <t>2.158*100000000</t>
  </si>
  <si>
    <t>6879*10000</t>
  </si>
  <si>
    <t>2.922*100000000</t>
  </si>
  <si>
    <t>1.196*100000000</t>
  </si>
  <si>
    <t>3551*10000</t>
  </si>
  <si>
    <t>2.898*100000000</t>
  </si>
  <si>
    <t>9934*10000</t>
  </si>
  <si>
    <t>2.787*100000000</t>
  </si>
  <si>
    <t>2.043*100000000</t>
  </si>
  <si>
    <t>1.366*100000000</t>
  </si>
  <si>
    <t>4870*10000</t>
  </si>
  <si>
    <t>2.991*100000000</t>
  </si>
  <si>
    <t>1.505*100000000</t>
  </si>
  <si>
    <t>6142*10000</t>
  </si>
  <si>
    <t>33.17*100000000</t>
  </si>
  <si>
    <t>15.84*100000000</t>
  </si>
  <si>
    <t>7.069*100000000</t>
  </si>
  <si>
    <t>28.69*100000000</t>
  </si>
  <si>
    <t>7.693*100000000</t>
  </si>
  <si>
    <t>20.81*100000000</t>
  </si>
  <si>
    <t>7.680*100000000</t>
  </si>
  <si>
    <t>5.301*100000000</t>
  </si>
  <si>
    <t>4.327*100000000</t>
  </si>
  <si>
    <t>2.058*100000000</t>
  </si>
  <si>
    <t>11.39*100000000</t>
  </si>
  <si>
    <t>4.716*100000000</t>
  </si>
  <si>
    <t>3.941*100000000</t>
  </si>
  <si>
    <t>1.841*100000000</t>
  </si>
  <si>
    <t>3.849*100000000</t>
  </si>
  <si>
    <t>4.336*100000000</t>
  </si>
  <si>
    <t>3.836*100000000</t>
  </si>
  <si>
    <t>1.745*100000000</t>
  </si>
  <si>
    <t>3.549*100000000</t>
  </si>
  <si>
    <t>1.484*100000000</t>
  </si>
  <si>
    <t>7.392*100000000</t>
  </si>
  <si>
    <t>2.734*100000000</t>
  </si>
  <si>
    <t>3.413*100000000</t>
  </si>
  <si>
    <t>3.612*100000000</t>
  </si>
  <si>
    <t>8.144*100000000</t>
  </si>
  <si>
    <t>1.141*100000000</t>
  </si>
  <si>
    <t>5.524*100000000</t>
  </si>
  <si>
    <t>2.004*100000000</t>
  </si>
  <si>
    <t>8420*10000</t>
  </si>
  <si>
    <t>6009*10000</t>
  </si>
  <si>
    <t>3048*10000</t>
  </si>
  <si>
    <t>9259*10000</t>
  </si>
  <si>
    <t>4209*10000</t>
  </si>
  <si>
    <t>1966*10000</t>
  </si>
  <si>
    <t>9523*10000</t>
  </si>
  <si>
    <t>7162*10000</t>
  </si>
  <si>
    <t>3582*10000</t>
  </si>
  <si>
    <t>20.63*100000000</t>
  </si>
  <si>
    <t>3.949*100000000</t>
  </si>
  <si>
    <t>1276*10000</t>
  </si>
  <si>
    <t>1996*10000</t>
  </si>
  <si>
    <t>1196*10000</t>
  </si>
  <si>
    <t>1062*10000</t>
  </si>
  <si>
    <t>4953*10000</t>
  </si>
  <si>
    <t>3029*10000</t>
  </si>
  <si>
    <t>1766*10000</t>
  </si>
  <si>
    <t>1246*10000</t>
  </si>
  <si>
    <t>2415*10000</t>
  </si>
  <si>
    <t>1278*10000</t>
  </si>
  <si>
    <t>350.7*10000</t>
  </si>
  <si>
    <t>2642*10000</t>
  </si>
  <si>
    <t>2466*10000</t>
  </si>
  <si>
    <t>1120*10000</t>
  </si>
  <si>
    <t>6874*10000</t>
  </si>
  <si>
    <t>6630*10000</t>
  </si>
  <si>
    <t>4518*10000</t>
  </si>
  <si>
    <t>3258*10000</t>
  </si>
  <si>
    <t>1569*10000</t>
  </si>
  <si>
    <t>3078*10000</t>
  </si>
  <si>
    <t>1292*10000</t>
  </si>
  <si>
    <t>363.9*10000</t>
  </si>
  <si>
    <t>2545*10000</t>
  </si>
  <si>
    <t>2518*10000</t>
  </si>
  <si>
    <t>1125*10000</t>
  </si>
  <si>
    <t>5696*10000</t>
  </si>
  <si>
    <t>5148*10000</t>
  </si>
  <si>
    <t>750.9*10000</t>
  </si>
  <si>
    <t>4959*10000</t>
  </si>
  <si>
    <t>3770*10000</t>
  </si>
  <si>
    <t>2776*10000</t>
  </si>
  <si>
    <t>1218*10000</t>
  </si>
  <si>
    <t>2307*10000</t>
  </si>
  <si>
    <t>547.5*10000</t>
  </si>
  <si>
    <t>2255*10000</t>
  </si>
  <si>
    <t>2133*10000</t>
  </si>
  <si>
    <t>2204*10000</t>
  </si>
  <si>
    <t>1044*10000</t>
  </si>
  <si>
    <t>21.51*100000000</t>
  </si>
  <si>
    <t>15.90*100000000</t>
  </si>
  <si>
    <t>5.296*100000000</t>
  </si>
  <si>
    <t>24.72*100000000</t>
  </si>
  <si>
    <t>18.26*100000000</t>
  </si>
  <si>
    <t>5.265*100000000</t>
  </si>
  <si>
    <t>36.37*100000000</t>
  </si>
  <si>
    <t>6.975*100000000</t>
  </si>
  <si>
    <t>34.05*100000000</t>
  </si>
  <si>
    <t>23.42*100000000</t>
  </si>
  <si>
    <t>7.842*100000000</t>
  </si>
  <si>
    <t>3.714*100000000</t>
  </si>
  <si>
    <t>9404*10000</t>
  </si>
  <si>
    <t>4.925*100000000</t>
  </si>
  <si>
    <t>2.191*100000000</t>
  </si>
  <si>
    <t>14.42*100000000</t>
  </si>
  <si>
    <t>9.685*100000000</t>
  </si>
  <si>
    <t>7.585*100000000</t>
  </si>
  <si>
    <t>6.316*100000000</t>
  </si>
  <si>
    <t>4.142*100000000</t>
  </si>
  <si>
    <t>3.465*100000000</t>
  </si>
  <si>
    <t>9496*10000</t>
  </si>
  <si>
    <t>7.977*100000000</t>
  </si>
  <si>
    <t>4.951*100000000</t>
  </si>
  <si>
    <t>14.39*100000000</t>
  </si>
  <si>
    <t>9.672*100000000</t>
  </si>
  <si>
    <t>7.570*100000000</t>
  </si>
  <si>
    <t>6.320*100000000</t>
  </si>
  <si>
    <t>4.134*100000000</t>
  </si>
  <si>
    <t>2.307*100000000</t>
  </si>
  <si>
    <t>3.778*100000000</t>
  </si>
  <si>
    <t>2.641*100000000</t>
  </si>
  <si>
    <t>7397*10000</t>
  </si>
  <si>
    <t>5.704*100000000</t>
  </si>
  <si>
    <t>1.438*100000000</t>
  </si>
  <si>
    <t>7.473*100000000</t>
  </si>
  <si>
    <t>5.852*100000000</t>
  </si>
  <si>
    <t>9.388*100000000</t>
  </si>
  <si>
    <t>6.150*100000000</t>
  </si>
  <si>
    <t>3.024*100000000</t>
  </si>
  <si>
    <t>4.139*100000000</t>
  </si>
  <si>
    <t>2.523*100000000</t>
  </si>
  <si>
    <t>6.079*100000000</t>
  </si>
  <si>
    <t>9.441*100000000</t>
  </si>
  <si>
    <t>3.491*100000000</t>
  </si>
  <si>
    <t>2.270*100000000</t>
  </si>
  <si>
    <t>8.985*100000000</t>
  </si>
  <si>
    <t>3.972*100000000</t>
  </si>
  <si>
    <t>2.661*100000000</t>
  </si>
  <si>
    <t>401.7*10000</t>
  </si>
  <si>
    <t>812.4*10000</t>
  </si>
  <si>
    <t>4272*10000</t>
  </si>
  <si>
    <t>2423*10000</t>
  </si>
  <si>
    <t>2208*10000</t>
  </si>
  <si>
    <t>5275*10000</t>
  </si>
  <si>
    <t>3653*10000</t>
  </si>
  <si>
    <t>3619*10000</t>
  </si>
  <si>
    <t>6192*10000</t>
  </si>
  <si>
    <t>376.8*10000</t>
  </si>
  <si>
    <t>1908*10000</t>
  </si>
  <si>
    <t>312.5*10000</t>
  </si>
  <si>
    <t>4191*10000</t>
  </si>
  <si>
    <t>2188*10000</t>
  </si>
  <si>
    <t>5270*10000</t>
  </si>
  <si>
    <t>3585*10000</t>
  </si>
  <si>
    <t>6189*10000</t>
  </si>
  <si>
    <t>240.9*10000</t>
  </si>
  <si>
    <t>1737*10000</t>
  </si>
  <si>
    <t>684.3*10000</t>
  </si>
  <si>
    <t>2697*10000</t>
  </si>
  <si>
    <t>1756*10000</t>
  </si>
  <si>
    <t>1549*10000</t>
  </si>
  <si>
    <t>3924*10000</t>
  </si>
  <si>
    <t>2411*10000</t>
  </si>
  <si>
    <t>2609*10000</t>
  </si>
  <si>
    <t>4606*10000</t>
  </si>
  <si>
    <t>29.96*100000000</t>
  </si>
  <si>
    <t>64.64*100000000</t>
  </si>
  <si>
    <t>51.23*100000000</t>
  </si>
  <si>
    <t>71.71*100000000</t>
  </si>
  <si>
    <t>52.14*100000000</t>
  </si>
  <si>
    <t>20.06*100000000</t>
  </si>
  <si>
    <t>12.90*100000000</t>
  </si>
  <si>
    <t>3.920*100000000</t>
  </si>
  <si>
    <t>6.673*100000000</t>
  </si>
  <si>
    <t>8.545*100000000</t>
  </si>
  <si>
    <t>6.671*100000000</t>
  </si>
  <si>
    <t>4.729*100000000</t>
  </si>
  <si>
    <t>11.38*100000000</t>
  </si>
  <si>
    <t>7.588*100000000</t>
  </si>
  <si>
    <t>4.586*100000000</t>
  </si>
  <si>
    <t>3.921*100000000</t>
  </si>
  <si>
    <t>6.653*100000000</t>
  </si>
  <si>
    <t>8.542*100000000</t>
  </si>
  <si>
    <t>6.669*100000000</t>
  </si>
  <si>
    <t>4.727*100000000</t>
  </si>
  <si>
    <t>7.595*100000000</t>
  </si>
  <si>
    <t>4.594*100000000</t>
  </si>
  <si>
    <t>2.083*100000000</t>
  </si>
  <si>
    <t>17.56*100000000</t>
  </si>
  <si>
    <t>6.647*100000000</t>
  </si>
  <si>
    <t>6.014*100000000</t>
  </si>
  <si>
    <t>8802*10000</t>
  </si>
  <si>
    <t>8.093*100000000</t>
  </si>
  <si>
    <t>6.289*100000000</t>
  </si>
  <si>
    <t>4.587*100000000</t>
  </si>
  <si>
    <t>2.262*100000000</t>
  </si>
  <si>
    <t>10.53*100000000</t>
  </si>
  <si>
    <t>6.721*100000000</t>
  </si>
  <si>
    <t>3.702*100000000</t>
  </si>
  <si>
    <t>1.696*100000000</t>
  </si>
  <si>
    <t>4182*10000</t>
  </si>
  <si>
    <t>3198*10000</t>
  </si>
  <si>
    <t>2101*10000</t>
  </si>
  <si>
    <t>1056*10000</t>
  </si>
  <si>
    <t>973.5*10000</t>
  </si>
  <si>
    <t>4945*10000</t>
  </si>
  <si>
    <t>3586*10000</t>
  </si>
  <si>
    <t>2343*10000</t>
  </si>
  <si>
    <t>1182*10000</t>
  </si>
  <si>
    <t>4882*10000</t>
  </si>
  <si>
    <t>3742*10000</t>
  </si>
  <si>
    <t>2506*10000</t>
  </si>
  <si>
    <t>2.019*100000000</t>
  </si>
  <si>
    <t>2.112*100000000</t>
  </si>
  <si>
    <t>6763*10000</t>
  </si>
  <si>
    <t>8208*10000</t>
  </si>
  <si>
    <t>289.2*10000</t>
  </si>
  <si>
    <t>7086*10000</t>
  </si>
  <si>
    <t>5994*10000</t>
  </si>
  <si>
    <t>5986*10000</t>
  </si>
  <si>
    <t>1.421*100000000</t>
  </si>
  <si>
    <t>1.057*100000000</t>
  </si>
  <si>
    <t>7122*10000</t>
  </si>
  <si>
    <t>8465*10000</t>
  </si>
  <si>
    <t>517.4*10000</t>
  </si>
  <si>
    <t>7070*10000</t>
  </si>
  <si>
    <t>6024*10000</t>
  </si>
  <si>
    <t>1.770*100000000</t>
  </si>
  <si>
    <t>1.055*100000000</t>
  </si>
  <si>
    <t>6168*10000</t>
  </si>
  <si>
    <t>7777*10000</t>
  </si>
  <si>
    <t>8549*10000</t>
  </si>
  <si>
    <t>95.74*10000</t>
  </si>
  <si>
    <t>6504*10000</t>
  </si>
  <si>
    <t>9887*10000</t>
  </si>
  <si>
    <t>6488*10000</t>
  </si>
  <si>
    <t>3410*10000</t>
  </si>
  <si>
    <t>1.130*100000000</t>
  </si>
  <si>
    <t>7153*10000</t>
  </si>
  <si>
    <t>3256*10000</t>
  </si>
  <si>
    <t>1.469*100000000</t>
  </si>
  <si>
    <t>7167*10000</t>
  </si>
  <si>
    <t>5534*10000</t>
  </si>
  <si>
    <t>2859*10000</t>
  </si>
  <si>
    <t>6.461*100000000</t>
  </si>
  <si>
    <t>6.309*100000000</t>
  </si>
  <si>
    <t>8315*10000</t>
  </si>
  <si>
    <t>9.251*100000000</t>
  </si>
  <si>
    <t>8.621*100000000</t>
  </si>
  <si>
    <t>6.790*100000000</t>
  </si>
  <si>
    <t>6438*10000</t>
  </si>
  <si>
    <t>4791*10000</t>
  </si>
  <si>
    <t>6342*10000</t>
  </si>
  <si>
    <t>6.557*100000000</t>
  </si>
  <si>
    <t>6.469*100000000</t>
  </si>
  <si>
    <t>2.497*100000000</t>
  </si>
  <si>
    <t>1.076*100000000</t>
  </si>
  <si>
    <t>9.415*100000000</t>
  </si>
  <si>
    <t>8.714*100000000</t>
  </si>
  <si>
    <t>1.081*100000000</t>
  </si>
  <si>
    <t>3054*10000</t>
  </si>
  <si>
    <t>5255*10000</t>
  </si>
  <si>
    <t>6614*10000</t>
  </si>
  <si>
    <t>1353*10000</t>
  </si>
  <si>
    <t>1464*10000</t>
  </si>
  <si>
    <t>178.1*10000</t>
  </si>
  <si>
    <t>4.901*100000000</t>
  </si>
  <si>
    <t>1.812*100000000</t>
  </si>
  <si>
    <t>8006*10000</t>
  </si>
  <si>
    <t>6.926*100000000</t>
  </si>
  <si>
    <t>6.581*100000000</t>
  </si>
  <si>
    <t>8126*10000</t>
  </si>
  <si>
    <t>1544*10000</t>
  </si>
  <si>
    <t>4136*10000</t>
  </si>
  <si>
    <t>4721*10000</t>
  </si>
  <si>
    <t>272.3*10000</t>
  </si>
  <si>
    <t>579.3*10000</t>
  </si>
  <si>
    <t>391.6*10000</t>
  </si>
  <si>
    <t>396.9*100000000</t>
  </si>
  <si>
    <t>200.6*100000000</t>
  </si>
  <si>
    <t>86.52*100000000</t>
  </si>
  <si>
    <t>281.3*100000000</t>
  </si>
  <si>
    <t>200.9*100000000</t>
  </si>
  <si>
    <t>59.74*100000000</t>
  </si>
  <si>
    <t>375.3*100000000</t>
  </si>
  <si>
    <t>313.6*100000000</t>
  </si>
  <si>
    <t>103.0*100000000</t>
  </si>
  <si>
    <t>442.4*100000000</t>
  </si>
  <si>
    <t>337.9*100000000</t>
  </si>
  <si>
    <t>107.3*100000000</t>
  </si>
  <si>
    <t>25.22*100000000</t>
  </si>
  <si>
    <t>7.117*100000000</t>
  </si>
  <si>
    <t>2.665*100000000</t>
  </si>
  <si>
    <t>9.312*100000000</t>
  </si>
  <si>
    <t>7.892*100000000</t>
  </si>
  <si>
    <t>7.086*100000000</t>
  </si>
  <si>
    <t>4.153*100000000</t>
  </si>
  <si>
    <t>22.31*100000000</t>
  </si>
  <si>
    <t>44.50*100000000</t>
  </si>
  <si>
    <t>37.70*100000000</t>
  </si>
  <si>
    <t>25.30*100000000</t>
  </si>
  <si>
    <t>7.146*100000000</t>
  </si>
  <si>
    <t>5.563*100000000</t>
  </si>
  <si>
    <t>1.430*100000000</t>
  </si>
  <si>
    <t>4.210*100000000</t>
  </si>
  <si>
    <t>23.36*100000000</t>
  </si>
  <si>
    <t>20.51*100000000</t>
  </si>
  <si>
    <t>5.488*100000000</t>
  </si>
  <si>
    <t>35.31*100000000</t>
  </si>
  <si>
    <t>30.46*100000000</t>
  </si>
  <si>
    <t>20.70*100000000</t>
  </si>
  <si>
    <t>6.143*100000000</t>
  </si>
  <si>
    <t>3172*10000</t>
  </si>
  <si>
    <t>6.365*100000000</t>
  </si>
  <si>
    <t>5.203*100000000</t>
  </si>
  <si>
    <t>9.918*100000000</t>
  </si>
  <si>
    <t>41.04*100000000</t>
  </si>
  <si>
    <t>30.61*100000000</t>
  </si>
  <si>
    <t>47.83*100000000</t>
  </si>
  <si>
    <t>36.10*100000000</t>
  </si>
  <si>
    <t>54.60*100000000</t>
  </si>
  <si>
    <t>42.66*100000000</t>
  </si>
  <si>
    <t>29.12*100000000</t>
  </si>
  <si>
    <t>17.08*100000000</t>
  </si>
  <si>
    <t>49.42*100000000</t>
  </si>
  <si>
    <t>26.43*100000000</t>
  </si>
  <si>
    <t>15.30*100000000</t>
  </si>
  <si>
    <t>7.876*100000000</t>
  </si>
  <si>
    <t>3.383*100000000</t>
  </si>
  <si>
    <t>6.880*100000000</t>
  </si>
  <si>
    <t>3.042*100000000</t>
  </si>
  <si>
    <t>4.345*100000000</t>
  </si>
  <si>
    <t>2.102*100000000</t>
  </si>
  <si>
    <t>4.939*100000000</t>
  </si>
  <si>
    <t>3.420*100000000</t>
  </si>
  <si>
    <t>7980*10000</t>
  </si>
  <si>
    <t>7.784*100000000</t>
  </si>
  <si>
    <t>3.392*100000000</t>
  </si>
  <si>
    <t>3.387*100000000</t>
  </si>
  <si>
    <t>4.956*100000000</t>
  </si>
  <si>
    <t>4.434*100000000</t>
  </si>
  <si>
    <t>2.120*100000000</t>
  </si>
  <si>
    <t>5428*10000</t>
  </si>
  <si>
    <t>3.922*100000000</t>
  </si>
  <si>
    <t>3.202*100000000</t>
  </si>
  <si>
    <t>3.030*100000000</t>
  </si>
  <si>
    <t>9128*10000</t>
  </si>
  <si>
    <t>5.943*100000000</t>
  </si>
  <si>
    <t>3.266*100000000</t>
  </si>
  <si>
    <t>6.335*100000000</t>
  </si>
  <si>
    <t>4.448*100000000</t>
  </si>
  <si>
    <t>4.293*100000000</t>
  </si>
  <si>
    <t>1.733*100000000</t>
  </si>
  <si>
    <t>3929*10000</t>
  </si>
  <si>
    <t>253.1*100000000</t>
  </si>
  <si>
    <t>113.7*100000000</t>
  </si>
  <si>
    <t>138.3*100000000</t>
  </si>
  <si>
    <t>91.76*100000000</t>
  </si>
  <si>
    <t>53.25*100000000</t>
  </si>
  <si>
    <t>388.4*100000000</t>
  </si>
  <si>
    <t>284.2*100000000</t>
  </si>
  <si>
    <t>195.8*100000000</t>
  </si>
  <si>
    <t>362.2*100000000</t>
  </si>
  <si>
    <t>270.3*100000000</t>
  </si>
  <si>
    <t>98.51*100000000</t>
  </si>
  <si>
    <t>34.57*100000000</t>
  </si>
  <si>
    <t>6.479*100000000</t>
  </si>
  <si>
    <t>32.49*100000000</t>
  </si>
  <si>
    <t>22.80*100000000</t>
  </si>
  <si>
    <t>7.882*100000000</t>
  </si>
  <si>
    <t>5.429*100000000</t>
  </si>
  <si>
    <t>25.09*100000000</t>
  </si>
  <si>
    <t>20.19*100000000</t>
  </si>
  <si>
    <t>11.94*100000000</t>
  </si>
  <si>
    <t>34.88*100000000</t>
  </si>
  <si>
    <t>26.44*100000000</t>
  </si>
  <si>
    <t>6.500*100000000</t>
  </si>
  <si>
    <t>32.88*100000000</t>
  </si>
  <si>
    <t>7.902*100000000</t>
  </si>
  <si>
    <t>18.09*100000000</t>
  </si>
  <si>
    <t>25.62*100000000</t>
  </si>
  <si>
    <t>30.40*100000000</t>
  </si>
  <si>
    <t>14.00*100000000</t>
  </si>
  <si>
    <t>5.752*100000000</t>
  </si>
  <si>
    <t>28.26*100000000</t>
  </si>
  <si>
    <t>20.18*100000000</t>
  </si>
  <si>
    <t>15.07*100000000</t>
  </si>
  <si>
    <t>6.738*100000000</t>
  </si>
  <si>
    <t>16.13*100000000</t>
  </si>
  <si>
    <t>5.454*100000000</t>
  </si>
  <si>
    <t>8.449*100000000</t>
  </si>
  <si>
    <t>12.02*100000000</t>
  </si>
  <si>
    <t>4.307*100000000</t>
  </si>
  <si>
    <t>2.699*100000000</t>
  </si>
  <si>
    <t>1.309*100000000</t>
  </si>
  <si>
    <t>15.66*100000000</t>
  </si>
  <si>
    <t>18.88*100000000</t>
  </si>
  <si>
    <t>9.005*100000000</t>
  </si>
  <si>
    <t>19.88*100000000</t>
  </si>
  <si>
    <t>3.913*100000000</t>
  </si>
  <si>
    <t>15.40*100000000</t>
  </si>
  <si>
    <t>4.569*100000000</t>
  </si>
  <si>
    <t>18.82*100000000</t>
  </si>
  <si>
    <t>13.82*100000000</t>
  </si>
  <si>
    <t>8.951*100000000</t>
  </si>
  <si>
    <t>14.01*100000000</t>
  </si>
  <si>
    <t>8.649*100000000</t>
  </si>
  <si>
    <t>15.83*100000000</t>
  </si>
  <si>
    <t>7.624*100000000</t>
  </si>
  <si>
    <t>11.52*100000000</t>
  </si>
  <si>
    <t>8.780*100000000</t>
  </si>
  <si>
    <t>3.271*100000000</t>
  </si>
  <si>
    <t>6.297*100000000</t>
  </si>
  <si>
    <t>8.165*100000000</t>
  </si>
  <si>
    <t>5.401*100000000</t>
  </si>
  <si>
    <t>25.71*100000000</t>
  </si>
  <si>
    <t>19.00*100000000</t>
  </si>
  <si>
    <t>6.110*100000000</t>
  </si>
  <si>
    <t>16.45*100000000</t>
  </si>
  <si>
    <t>5.072*100000000</t>
  </si>
  <si>
    <t>22.23*100000000</t>
  </si>
  <si>
    <t>15.97*100000000</t>
  </si>
  <si>
    <t>10.64*100000000</t>
  </si>
  <si>
    <t>5.145*100000000</t>
  </si>
  <si>
    <t>16.06*100000000</t>
  </si>
  <si>
    <t>5.164*100000000</t>
  </si>
  <si>
    <t>1.405*100000000</t>
  </si>
  <si>
    <t>1.864*100000000</t>
  </si>
  <si>
    <t>3731*10000</t>
  </si>
  <si>
    <t>8642*10000</t>
  </si>
  <si>
    <t>2424*10000</t>
  </si>
  <si>
    <t>5855*10000</t>
  </si>
  <si>
    <t>7575*10000</t>
  </si>
  <si>
    <t>2181*10000</t>
  </si>
  <si>
    <t>1.884*100000000</t>
  </si>
  <si>
    <t>9298*10000</t>
  </si>
  <si>
    <t>3862*10000</t>
  </si>
  <si>
    <t>4443*10000</t>
  </si>
  <si>
    <t>5909*10000</t>
  </si>
  <si>
    <t>1.276*100000000</t>
  </si>
  <si>
    <t>6875*10000</t>
  </si>
  <si>
    <t>1.218*100000000</t>
  </si>
  <si>
    <t>3707*10000</t>
  </si>
  <si>
    <t>1.119*100000000</t>
  </si>
  <si>
    <t>4233*10000</t>
  </si>
  <si>
    <t>9835*10000</t>
  </si>
  <si>
    <t>1.174*100000000</t>
  </si>
  <si>
    <t>5521*10000</t>
  </si>
  <si>
    <t>8477*10000</t>
  </si>
  <si>
    <t>1976*10000</t>
  </si>
  <si>
    <t>9725*10000</t>
  </si>
  <si>
    <t>2.577*100000000</t>
  </si>
  <si>
    <t>8245*10000</t>
  </si>
  <si>
    <t>800.4*10000</t>
  </si>
  <si>
    <t>9510*10000</t>
  </si>
  <si>
    <t>28.86*10000</t>
  </si>
  <si>
    <t>1593*10000</t>
  </si>
  <si>
    <t>1542*10000</t>
  </si>
  <si>
    <t>99.01*10000</t>
  </si>
  <si>
    <t>2040*10000</t>
  </si>
  <si>
    <t>1622*10000</t>
  </si>
  <si>
    <t>574.5*10000</t>
  </si>
  <si>
    <t>478.0*10000</t>
  </si>
  <si>
    <t>990.6*10000</t>
  </si>
  <si>
    <t>385.8*10000</t>
  </si>
  <si>
    <t>1139*10000</t>
  </si>
  <si>
    <t>359.9*10000</t>
  </si>
  <si>
    <t>231.0*10000</t>
  </si>
  <si>
    <t>1848*10000</t>
  </si>
  <si>
    <t>2001*10000</t>
  </si>
  <si>
    <t>2386*10000</t>
  </si>
  <si>
    <t>925.1*10000</t>
  </si>
  <si>
    <t>586.1*10000</t>
  </si>
  <si>
    <t>234.4*10000</t>
  </si>
  <si>
    <t>2387*10000</t>
  </si>
  <si>
    <t>3159*10000</t>
  </si>
  <si>
    <t>925.5*10000</t>
  </si>
  <si>
    <t>579.7*10000</t>
  </si>
  <si>
    <t>1187*10000</t>
  </si>
  <si>
    <t>1864*10000</t>
  </si>
  <si>
    <t>2016*10000</t>
  </si>
  <si>
    <t>2399*10000</t>
  </si>
  <si>
    <t>667.8*10000</t>
  </si>
  <si>
    <t>87.44*100000000</t>
  </si>
  <si>
    <t>54.70*100000000</t>
  </si>
  <si>
    <t>62.02*100000000</t>
  </si>
  <si>
    <t>42.85*100000000</t>
  </si>
  <si>
    <t>17.27*100000000</t>
  </si>
  <si>
    <t>89.41*100000000</t>
  </si>
  <si>
    <t>49.60*100000000</t>
  </si>
  <si>
    <t>77.33*100000000</t>
  </si>
  <si>
    <t>57.39*100000000</t>
  </si>
  <si>
    <t>39.67*100000000</t>
  </si>
  <si>
    <t>7.933*100000000</t>
  </si>
  <si>
    <t>6.149*100000000</t>
  </si>
  <si>
    <t>4.088*100000000</t>
  </si>
  <si>
    <t>6.502*100000000</t>
  </si>
  <si>
    <t>9.461*100000000</t>
  </si>
  <si>
    <t>8.020*100000000</t>
  </si>
  <si>
    <t>9.115*100000000</t>
  </si>
  <si>
    <t>7.423*100000000</t>
  </si>
  <si>
    <t>13.37*100000000</t>
  </si>
  <si>
    <t>4.092*100000000</t>
  </si>
  <si>
    <t>5.439*100000000</t>
  </si>
  <si>
    <t>9.504*100000000</t>
  </si>
  <si>
    <t>4.859*100000000</t>
  </si>
  <si>
    <t>4.066*100000000</t>
  </si>
  <si>
    <t>9.210*100000000</t>
  </si>
  <si>
    <t>5.998*100000000</t>
  </si>
  <si>
    <t>8.745*100000000</t>
  </si>
  <si>
    <t>7.079*100000000</t>
  </si>
  <si>
    <t>5.593*100000000</t>
  </si>
  <si>
    <t>91.93*100000000</t>
  </si>
  <si>
    <t>29.93*100000000</t>
  </si>
  <si>
    <t>22.04*100000000</t>
  </si>
  <si>
    <t>65.65*100000000</t>
  </si>
  <si>
    <t>5460*10000</t>
  </si>
  <si>
    <t>20.99*100000000</t>
  </si>
  <si>
    <t>69.03*100000000</t>
  </si>
  <si>
    <t>53.23*100000000</t>
  </si>
  <si>
    <t>23.13*100000000</t>
  </si>
  <si>
    <t>9.352*100000000</t>
  </si>
  <si>
    <t>2.242*100000000</t>
  </si>
  <si>
    <t>10.85*100000000</t>
  </si>
  <si>
    <t>1.755*100000000</t>
  </si>
  <si>
    <t>3630*10000</t>
  </si>
  <si>
    <t>8.014*100000000</t>
  </si>
  <si>
    <t>6.383*100000000</t>
  </si>
  <si>
    <t>3.620*100000000</t>
  </si>
  <si>
    <t>15.19*100000000</t>
  </si>
  <si>
    <t>12.32*100000000</t>
  </si>
  <si>
    <t>4660*10000</t>
  </si>
  <si>
    <t>8.383*100000000</t>
  </si>
  <si>
    <t>6.649*100000000</t>
  </si>
  <si>
    <t>5.172*100000000</t>
  </si>
  <si>
    <t>6.665*100000000</t>
  </si>
  <si>
    <t>8.973*100000000</t>
  </si>
  <si>
    <t>7.462*100000000</t>
  </si>
  <si>
    <t>5.770*100000000</t>
  </si>
  <si>
    <t>7.707*100000000</t>
  </si>
  <si>
    <t>1.408*100000000</t>
  </si>
  <si>
    <t>4369*10000</t>
  </si>
  <si>
    <t>6.378*100000000</t>
  </si>
  <si>
    <t>5.247*100000000</t>
  </si>
  <si>
    <t>4.041*100000000</t>
  </si>
  <si>
    <t>11.70*100000000</t>
  </si>
  <si>
    <t>9.826*100000000</t>
  </si>
  <si>
    <t>8.130*100000000</t>
  </si>
  <si>
    <t>5.026*100000000</t>
  </si>
  <si>
    <t>27.15*100000000</t>
  </si>
  <si>
    <t>7.074*100000000</t>
  </si>
  <si>
    <t>19.72*100000000</t>
  </si>
  <si>
    <t>5.009*100000000</t>
  </si>
  <si>
    <t>5.627*100000000</t>
  </si>
  <si>
    <t>24.35*100000000</t>
  </si>
  <si>
    <t>17.73*100000000</t>
  </si>
  <si>
    <t>5.547*100000000</t>
  </si>
  <si>
    <t>1.681*100000000</t>
  </si>
  <si>
    <t>8160*10000</t>
  </si>
  <si>
    <t>3.252*100000000</t>
  </si>
  <si>
    <t>7497*10000</t>
  </si>
  <si>
    <t>6573*10000</t>
  </si>
  <si>
    <t>5384*10000</t>
  </si>
  <si>
    <t>2.084*100000000</t>
  </si>
  <si>
    <t>9905*10000</t>
  </si>
  <si>
    <t>3.378*100000000</t>
  </si>
  <si>
    <t>9894*10000</t>
  </si>
  <si>
    <t>1.198*100000000</t>
  </si>
  <si>
    <t>8221*10000</t>
  </si>
  <si>
    <t>5835*10000</t>
  </si>
  <si>
    <t>7190*10000</t>
  </si>
  <si>
    <t>5469*10000</t>
  </si>
  <si>
    <t>3.658*100000000</t>
  </si>
  <si>
    <t>2.861*100000000</t>
  </si>
  <si>
    <t>1.005*100000000</t>
  </si>
  <si>
    <t>2.796*100000000</t>
  </si>
  <si>
    <t>2.098*100000000</t>
  </si>
  <si>
    <t>7069*10000</t>
  </si>
  <si>
    <t>5343*10000</t>
  </si>
  <si>
    <t>6043*10000</t>
  </si>
  <si>
    <t>3.115*100000000</t>
  </si>
  <si>
    <t>8927*10000</t>
  </si>
  <si>
    <t>8901*10000</t>
  </si>
  <si>
    <t>70.98*100000000</t>
  </si>
  <si>
    <t>55.87*100000000</t>
  </si>
  <si>
    <t>38.84*100000000</t>
  </si>
  <si>
    <t>68.98*100000000</t>
  </si>
  <si>
    <t>30.15*100000000</t>
  </si>
  <si>
    <t>53.50*100000000</t>
  </si>
  <si>
    <t>36.66*100000000</t>
  </si>
  <si>
    <t>71.46*100000000</t>
  </si>
  <si>
    <t>51.08*100000000</t>
  </si>
  <si>
    <t>31.67*100000000</t>
  </si>
  <si>
    <t>2.170*100000000</t>
  </si>
  <si>
    <t>1.261*100000000</t>
  </si>
  <si>
    <t>8590*10000</t>
  </si>
  <si>
    <t>4655*10000</t>
  </si>
  <si>
    <t>4099*10000</t>
  </si>
  <si>
    <t>1691*10000</t>
  </si>
  <si>
    <t>2.080*100000000</t>
  </si>
  <si>
    <t>8573*10000</t>
  </si>
  <si>
    <t>4654*10000</t>
  </si>
  <si>
    <t>4618*10000</t>
  </si>
  <si>
    <t>2374*10000</t>
  </si>
  <si>
    <t>4395*10000</t>
  </si>
  <si>
    <t>6540*10000</t>
  </si>
  <si>
    <t>3.939*100000000</t>
  </si>
  <si>
    <t>4983*10000</t>
  </si>
  <si>
    <t>2903*10000</t>
  </si>
  <si>
    <t>1233*10000</t>
  </si>
  <si>
    <t>148.6*10000</t>
  </si>
  <si>
    <t>1839*10000</t>
  </si>
  <si>
    <t>4598*10000</t>
  </si>
  <si>
    <t>2439*10000</t>
  </si>
  <si>
    <t>510.6*100000000</t>
  </si>
  <si>
    <t>322.3*100000000</t>
  </si>
  <si>
    <t>108.6*100000000</t>
  </si>
  <si>
    <t>455.3*100000000</t>
  </si>
  <si>
    <t>290.7*100000000</t>
  </si>
  <si>
    <t>103.9*100000000</t>
  </si>
  <si>
    <t>439.3*100000000</t>
  </si>
  <si>
    <t>277.0*100000000</t>
  </si>
  <si>
    <t>81.06*100000000</t>
  </si>
  <si>
    <t>199.5*100000000</t>
  </si>
  <si>
    <t>49.56*100000000</t>
  </si>
  <si>
    <t>16.83*100000000</t>
  </si>
  <si>
    <t>50.07*100000000</t>
  </si>
  <si>
    <t>24.59*100000000</t>
  </si>
  <si>
    <t>53.96*100000000</t>
  </si>
  <si>
    <t>46.45*100000000</t>
  </si>
  <si>
    <t>2.527*100000000</t>
  </si>
  <si>
    <t>49.63*100000000</t>
  </si>
  <si>
    <t>54.31*100000000</t>
  </si>
  <si>
    <t>46.10*100000000</t>
  </si>
  <si>
    <t>6.095*100000000</t>
  </si>
  <si>
    <t>40.24*100000000</t>
  </si>
  <si>
    <t>4.671*100000000</t>
  </si>
  <si>
    <t>13.62*100000000</t>
  </si>
  <si>
    <t>34.34*100000000</t>
  </si>
  <si>
    <t>221.1*100000000</t>
  </si>
  <si>
    <t>81.04*100000000</t>
  </si>
  <si>
    <t>48.76*100000000</t>
  </si>
  <si>
    <t>13.64*100000000</t>
  </si>
  <si>
    <t>258.6*100000000</t>
  </si>
  <si>
    <t>122.4*100000000</t>
  </si>
  <si>
    <t>102.2*100000000</t>
  </si>
  <si>
    <t>67.95*100000000</t>
  </si>
  <si>
    <t>87.06*100000000</t>
  </si>
  <si>
    <t>54.30*100000000</t>
  </si>
  <si>
    <t>5.063*100000000</t>
  </si>
  <si>
    <t>8.959*100000000</t>
  </si>
  <si>
    <t>21.60*100000000</t>
  </si>
  <si>
    <t>18.87*100000000</t>
  </si>
  <si>
    <t>9.614*100000000</t>
  </si>
  <si>
    <t>36.05*100000000</t>
  </si>
  <si>
    <t>8.359*100000000</t>
  </si>
  <si>
    <t>8082*10000</t>
  </si>
  <si>
    <t>29.87*100000000</t>
  </si>
  <si>
    <t>9.355*100000000</t>
  </si>
  <si>
    <t>3.976*100000000</t>
  </si>
  <si>
    <t>14.67*100000000</t>
  </si>
  <si>
    <t>6.819*100000000</t>
  </si>
  <si>
    <t>36.21*100000000</t>
  </si>
  <si>
    <t>8.394*100000000</t>
  </si>
  <si>
    <t>8250*10000</t>
  </si>
  <si>
    <t>33.64*100000000</t>
  </si>
  <si>
    <t>12.76*100000000</t>
  </si>
  <si>
    <t>4.949*100000000</t>
  </si>
  <si>
    <t>4.162*100000000</t>
  </si>
  <si>
    <t>13.43*100000000</t>
  </si>
  <si>
    <t>6.370*100000000</t>
  </si>
  <si>
    <t>25.56*100000000</t>
  </si>
  <si>
    <t>5.131*100000000</t>
  </si>
  <si>
    <t>1439*10000</t>
  </si>
  <si>
    <t>9.821*100000000</t>
  </si>
  <si>
    <t>236.0*100000000</t>
  </si>
  <si>
    <t>171.5*100000000</t>
  </si>
  <si>
    <t>199.1*100000000</t>
  </si>
  <si>
    <t>81.21*100000000</t>
  </si>
  <si>
    <t>41.70*100000000</t>
  </si>
  <si>
    <t>211.0*100000000</t>
  </si>
  <si>
    <t>156.3*100000000</t>
  </si>
  <si>
    <t>102.9*100000000</t>
  </si>
  <si>
    <t>151.2*100000000</t>
  </si>
  <si>
    <t>100.9*100000000</t>
  </si>
  <si>
    <t>47.48*100000000</t>
  </si>
  <si>
    <t>37.62*100000000</t>
  </si>
  <si>
    <t>30.50*100000000</t>
  </si>
  <si>
    <t>32.67*100000000</t>
  </si>
  <si>
    <t>20.64*100000000</t>
  </si>
  <si>
    <t>6.145*100000000</t>
  </si>
  <si>
    <t>27.52*100000000</t>
  </si>
  <si>
    <t>16.87*100000000</t>
  </si>
  <si>
    <t>6.699*100000000</t>
  </si>
  <si>
    <t>49.73*100000000</t>
  </si>
  <si>
    <t>6.169*100000000</t>
  </si>
  <si>
    <t>32.31*100000000</t>
  </si>
  <si>
    <t>28.32*100000000</t>
  </si>
  <si>
    <t>17.54*100000000</t>
  </si>
  <si>
    <t>7.238*100000000</t>
  </si>
  <si>
    <t>49.62*100000000</t>
  </si>
  <si>
    <t>39.47*100000000</t>
  </si>
  <si>
    <t>6.976*100000000</t>
  </si>
  <si>
    <t>4.593*100000000</t>
  </si>
  <si>
    <t>28.98*100000000</t>
  </si>
  <si>
    <t>23.46*100000000</t>
  </si>
  <si>
    <t>15.06*100000000</t>
  </si>
  <si>
    <t>6.059*100000000</t>
  </si>
  <si>
    <t>41.07*100000000</t>
  </si>
  <si>
    <t>18.69*100000000</t>
  </si>
  <si>
    <t>79.13*100000000</t>
  </si>
  <si>
    <t>57.77*100000000</t>
  </si>
  <si>
    <t>66.27*100000000</t>
  </si>
  <si>
    <t>41.54*100000000</t>
  </si>
  <si>
    <t>81.89*100000000</t>
  </si>
  <si>
    <t>38.54*100000000</t>
  </si>
  <si>
    <t>126.4*100000000</t>
  </si>
  <si>
    <t>85.74*100000000</t>
  </si>
  <si>
    <t>66.11*100000000</t>
  </si>
  <si>
    <t>61.80*100000000</t>
  </si>
  <si>
    <t>36.89*100000000</t>
  </si>
  <si>
    <t>27.76*100000000</t>
  </si>
  <si>
    <t>66.07*100000000</t>
  </si>
  <si>
    <t>62.71*100000000</t>
  </si>
  <si>
    <t>42.42*100000000</t>
  </si>
  <si>
    <t>33.76*100000000</t>
  </si>
  <si>
    <t>13.44*100000000</t>
  </si>
  <si>
    <t>37.45*100000000</t>
  </si>
  <si>
    <t>67.80*100000000</t>
  </si>
  <si>
    <t>32.21*100000000</t>
  </si>
  <si>
    <t>14.02*100000000</t>
  </si>
  <si>
    <t>43.05*100000000</t>
  </si>
  <si>
    <t>63.41*100000000</t>
  </si>
  <si>
    <t>42.83*100000000</t>
  </si>
  <si>
    <t>34.07*100000000</t>
  </si>
  <si>
    <t>13.68*100000000</t>
  </si>
  <si>
    <t>54.59*100000000</t>
  </si>
  <si>
    <t>32.53*100000000</t>
  </si>
  <si>
    <t>50.16*100000000</t>
  </si>
  <si>
    <t>50.13*100000000</t>
  </si>
  <si>
    <t>31.85*100000000</t>
  </si>
  <si>
    <t>24.25*100000000</t>
  </si>
  <si>
    <t>49.68*100000000</t>
  </si>
  <si>
    <t>33.11*100000000</t>
  </si>
  <si>
    <t>26.31*100000000</t>
  </si>
  <si>
    <t>41.05*100000000</t>
  </si>
  <si>
    <t>27.94*100000000</t>
  </si>
  <si>
    <t>24.11*100000000</t>
  </si>
  <si>
    <t>128.0*100000000</t>
  </si>
  <si>
    <t>97.39*100000000</t>
  </si>
  <si>
    <t>64.06*100000000</t>
  </si>
  <si>
    <t>29.80*100000000</t>
  </si>
  <si>
    <t>107.9*100000000</t>
  </si>
  <si>
    <t>76.49*100000000</t>
  </si>
  <si>
    <t>48.09*100000000</t>
  </si>
  <si>
    <t>25.11*100000000</t>
  </si>
  <si>
    <t>84.64*100000000</t>
  </si>
  <si>
    <t>55.16*100000000</t>
  </si>
  <si>
    <t>26.74*100000000</t>
  </si>
  <si>
    <t>108.1*100000000</t>
  </si>
  <si>
    <t>56.34*100000000</t>
  </si>
  <si>
    <t>28.58*100000000</t>
  </si>
  <si>
    <t>7.007*100000000</t>
  </si>
  <si>
    <t>2.777*100000000</t>
  </si>
  <si>
    <t>1.615*100000000</t>
  </si>
  <si>
    <t>6058*10000</t>
  </si>
  <si>
    <t>5.274*100000000</t>
  </si>
  <si>
    <t>3.622*100000000</t>
  </si>
  <si>
    <t>4.387*100000000</t>
  </si>
  <si>
    <t>6.851*100000000</t>
  </si>
  <si>
    <t>4.490*100000000</t>
  </si>
  <si>
    <t>3.070*100000000</t>
  </si>
  <si>
    <t>6880*10000</t>
  </si>
  <si>
    <t>5.877*100000000</t>
  </si>
  <si>
    <t>4.098*100000000</t>
  </si>
  <si>
    <t>5.292*100000000</t>
  </si>
  <si>
    <t>8729*10000</t>
  </si>
  <si>
    <t>1.219*100000000</t>
  </si>
  <si>
    <t>5842*10000</t>
  </si>
  <si>
    <t>4.036*100000000</t>
  </si>
  <si>
    <t>69.42*100000000</t>
  </si>
  <si>
    <t>36.02*100000000</t>
  </si>
  <si>
    <t>27.99*100000000</t>
  </si>
  <si>
    <t>53.04*100000000</t>
  </si>
  <si>
    <t>9.579*100000000</t>
  </si>
  <si>
    <t>4.914*100000000</t>
  </si>
  <si>
    <t>55.91*100000000</t>
  </si>
  <si>
    <t>17.59*100000000</t>
  </si>
  <si>
    <t>52.67*100000000</t>
  </si>
  <si>
    <t>40.12*100000000</t>
  </si>
  <si>
    <t>4.032*100000000</t>
  </si>
  <si>
    <t>9200*10000</t>
  </si>
  <si>
    <t>7.038*100000000</t>
  </si>
  <si>
    <t>2.301*100000000</t>
  </si>
  <si>
    <t>5.891*100000000</t>
  </si>
  <si>
    <t>4.804*100000000</t>
  </si>
  <si>
    <t>1.144*100000000</t>
  </si>
  <si>
    <t>5.854*100000000</t>
  </si>
  <si>
    <t>3.474*100000000</t>
  </si>
  <si>
    <t>4.531*100000000</t>
  </si>
  <si>
    <t>1.511*100000000</t>
  </si>
  <si>
    <t>8214*10000</t>
  </si>
  <si>
    <t>4892*10000</t>
  </si>
  <si>
    <t>7.137*100000000</t>
  </si>
  <si>
    <t>3.303*100000000</t>
  </si>
  <si>
    <t>2.302*100000000</t>
  </si>
  <si>
    <t>4.186*100000000</t>
  </si>
  <si>
    <t>2.690*100000000</t>
  </si>
  <si>
    <t>3.488*100000000</t>
  </si>
  <si>
    <t>6028*10000</t>
  </si>
  <si>
    <t>2.457*100000000</t>
  </si>
  <si>
    <t>1.530*100000000</t>
  </si>
  <si>
    <t>4.007*100000000</t>
  </si>
  <si>
    <t>90.72*100000000</t>
  </si>
  <si>
    <t>58.90*100000000</t>
  </si>
  <si>
    <t>26.11*100000000</t>
  </si>
  <si>
    <t>79.00*100000000</t>
  </si>
  <si>
    <t>57.91*100000000</t>
  </si>
  <si>
    <t>35.06*100000000</t>
  </si>
  <si>
    <t>85.79*100000000</t>
  </si>
  <si>
    <t>60.56*100000000</t>
  </si>
  <si>
    <t>9.393*100000000</t>
  </si>
  <si>
    <t>7.873*100000000</t>
  </si>
  <si>
    <t>5.189*100000000</t>
  </si>
  <si>
    <t>8.249*100000000</t>
  </si>
  <si>
    <t>24.24*100000000</t>
  </si>
  <si>
    <t>9.806*100000000</t>
  </si>
  <si>
    <t>13.83*100000000</t>
  </si>
  <si>
    <t>7.210*100000000</t>
  </si>
  <si>
    <t>5043*10000</t>
  </si>
  <si>
    <t>5.046*100000000</t>
  </si>
  <si>
    <t>6.905*100000000</t>
  </si>
  <si>
    <t>8.231*100000000</t>
  </si>
  <si>
    <t>24.12*100000000</t>
  </si>
  <si>
    <t>17.17*100000000</t>
  </si>
  <si>
    <t>9.797*100000000</t>
  </si>
  <si>
    <t>17.93*100000000</t>
  </si>
  <si>
    <t>13.72*100000000</t>
  </si>
  <si>
    <t>7.148*100000000</t>
  </si>
  <si>
    <t>4955*10000</t>
  </si>
  <si>
    <t>7.991*100000000</t>
  </si>
  <si>
    <t>5.395*100000000</t>
  </si>
  <si>
    <t>14.93*100000000</t>
  </si>
  <si>
    <t>9.882*100000000</t>
  </si>
  <si>
    <t>5.781*100000000</t>
  </si>
  <si>
    <t>95.97*100000000</t>
  </si>
  <si>
    <t>81.23*100000000</t>
  </si>
  <si>
    <t>66.28*100000000</t>
  </si>
  <si>
    <t>8.034*100000000</t>
  </si>
  <si>
    <t>59.67*100000000</t>
  </si>
  <si>
    <t>49.74*100000000</t>
  </si>
  <si>
    <t>104.5*100000000</t>
  </si>
  <si>
    <t>91.41*100000000</t>
  </si>
  <si>
    <t>67.73*100000000</t>
  </si>
  <si>
    <t>192.9*100000000</t>
  </si>
  <si>
    <t>90.64*100000000</t>
  </si>
  <si>
    <t>76.67*100000000</t>
  </si>
  <si>
    <t>20.48*100000000</t>
  </si>
  <si>
    <t>20.89*100000000</t>
  </si>
  <si>
    <t>1.419*100000000</t>
  </si>
  <si>
    <t>25.87*100000000</t>
  </si>
  <si>
    <t>15.03*100000000</t>
  </si>
  <si>
    <t>39.06*100000000</t>
  </si>
  <si>
    <t>29.47*100000000</t>
  </si>
  <si>
    <t>23.19*100000000</t>
  </si>
  <si>
    <t>46.41*100000000</t>
  </si>
  <si>
    <t>15.57*100000000</t>
  </si>
  <si>
    <t>20.53*100000000</t>
  </si>
  <si>
    <t>22.82*100000000</t>
  </si>
  <si>
    <t>21.00*100000000</t>
  </si>
  <si>
    <t>26.03*100000000</t>
  </si>
  <si>
    <t>15.82*100000000</t>
  </si>
  <si>
    <t>2.017*100000000</t>
  </si>
  <si>
    <t>39.51*100000000</t>
  </si>
  <si>
    <t>33.07*100000000</t>
  </si>
  <si>
    <t>47.07*100000000</t>
  </si>
  <si>
    <t>15.39*100000000</t>
  </si>
  <si>
    <t>2621*10000</t>
  </si>
  <si>
    <t>1.028*100000000</t>
  </si>
  <si>
    <t>28.80*100000000</t>
  </si>
  <si>
    <t>32.52*100000000</t>
  </si>
  <si>
    <t>10.78*100000000</t>
  </si>
  <si>
    <t>1375*10000</t>
  </si>
  <si>
    <t>75.10*100000000</t>
  </si>
  <si>
    <t>58.56*100000000</t>
  </si>
  <si>
    <t>39.39*100000000</t>
  </si>
  <si>
    <t>20.00*100000000</t>
  </si>
  <si>
    <t>77.70*100000000</t>
  </si>
  <si>
    <t>12.78*100000000</t>
  </si>
  <si>
    <t>86.96*100000000</t>
  </si>
  <si>
    <t>62.47*100000000</t>
  </si>
  <si>
    <t>41.72*100000000</t>
  </si>
  <si>
    <t>96.69*100000000</t>
  </si>
  <si>
    <t>71.68*100000000</t>
  </si>
  <si>
    <t>3404*10000</t>
  </si>
  <si>
    <t>2368*10000</t>
  </si>
  <si>
    <t>9038*10000</t>
  </si>
  <si>
    <t>3.785*100000000</t>
  </si>
  <si>
    <t>3.083*100000000</t>
  </si>
  <si>
    <t>1.204*100000000</t>
  </si>
  <si>
    <t>4474*10000</t>
  </si>
  <si>
    <t>4027*10000</t>
  </si>
  <si>
    <t>2751*10000</t>
  </si>
  <si>
    <t>1.993*100000000</t>
  </si>
  <si>
    <t>6246*10000</t>
  </si>
  <si>
    <t>3.133*100000000</t>
  </si>
  <si>
    <t>2.772*100000000</t>
  </si>
  <si>
    <t>1.213*100000000</t>
  </si>
  <si>
    <t>233.4*10000</t>
  </si>
  <si>
    <t>444.6*10000</t>
  </si>
  <si>
    <t>1.123*100000000</t>
  </si>
  <si>
    <t>5782*10000</t>
  </si>
  <si>
    <t>2.266*100000000</t>
  </si>
  <si>
    <t>46.25*100000000</t>
  </si>
  <si>
    <t>31.31*100000000</t>
  </si>
  <si>
    <t>24.46*100000000</t>
  </si>
  <si>
    <t>48.82*100000000</t>
  </si>
  <si>
    <t>27.96*100000000</t>
  </si>
  <si>
    <t>47.53*100000000</t>
  </si>
  <si>
    <t>7.461*100000000</t>
  </si>
  <si>
    <t>6.097*100000000</t>
  </si>
  <si>
    <t>4.695*100000000</t>
  </si>
  <si>
    <t>2.728*100000000</t>
  </si>
  <si>
    <t>6.987*100000000</t>
  </si>
  <si>
    <t>5.601*100000000</t>
  </si>
  <si>
    <t>4.496*100000000</t>
  </si>
  <si>
    <t>8.661*100000000</t>
  </si>
  <si>
    <t>6.577*100000000</t>
  </si>
  <si>
    <t>4.008*100000000</t>
  </si>
  <si>
    <t>8.157*100000000</t>
  </si>
  <si>
    <t>6.090*100000000</t>
  </si>
  <si>
    <t>4.690*100000000</t>
  </si>
  <si>
    <t>6.929*100000000</t>
  </si>
  <si>
    <t>5.532*100000000</t>
  </si>
  <si>
    <t>4.427*100000000</t>
  </si>
  <si>
    <t>2.681*100000000</t>
  </si>
  <si>
    <t>9.633*100000000</t>
  </si>
  <si>
    <t>8.559*100000000</t>
  </si>
  <si>
    <t>6.584*100000000</t>
  </si>
  <si>
    <t>8.163*100000000</t>
  </si>
  <si>
    <t>5.597*100000000</t>
  </si>
  <si>
    <t>4.573*100000000</t>
  </si>
  <si>
    <t>3.572*100000000</t>
  </si>
  <si>
    <t>5.228*100000000</t>
  </si>
  <si>
    <t>1.938*100000000</t>
  </si>
  <si>
    <t>3.294*100000000</t>
  </si>
  <si>
    <t>7.237*100000000</t>
  </si>
  <si>
    <t>5.032*100000000</t>
  </si>
  <si>
    <t>67.66*100000000</t>
  </si>
  <si>
    <t>16.85*100000000</t>
  </si>
  <si>
    <t>88.64*100000000</t>
  </si>
  <si>
    <t>30.89*100000000</t>
  </si>
  <si>
    <t>9.917*100000000</t>
  </si>
  <si>
    <t>43.28*100000000</t>
  </si>
  <si>
    <t>11.75*100000000</t>
  </si>
  <si>
    <t>8.824*100000000</t>
  </si>
  <si>
    <t>79.75*100000000</t>
  </si>
  <si>
    <t>20.84*100000000</t>
  </si>
  <si>
    <t>2.464*100000000</t>
  </si>
  <si>
    <t>3.100*100000000</t>
  </si>
  <si>
    <t>2.357*100000000</t>
  </si>
  <si>
    <t>3.421*100000000</t>
  </si>
  <si>
    <t>6.763*100000000</t>
  </si>
  <si>
    <t>2.056*100000000</t>
  </si>
  <si>
    <t>3.351*100000000</t>
  </si>
  <si>
    <t>3.013*100000000</t>
  </si>
  <si>
    <t>3.139*100000000</t>
  </si>
  <si>
    <t>2.330*100000000</t>
  </si>
  <si>
    <t>6.625*100000000</t>
  </si>
  <si>
    <t>2.993*100000000</t>
  </si>
  <si>
    <t>2.303*100000000</t>
  </si>
  <si>
    <t>2.939*100000000</t>
  </si>
  <si>
    <t>6.742*100000000</t>
  </si>
  <si>
    <t>2.081*100000000</t>
  </si>
  <si>
    <t>3.151*100000000</t>
  </si>
  <si>
    <t>2.570*100000000</t>
  </si>
  <si>
    <t>1.138*100000000</t>
  </si>
  <si>
    <t>4.603*100000000</t>
  </si>
  <si>
    <t>2.812*100000000</t>
  </si>
  <si>
    <t>1.999*100000000</t>
  </si>
  <si>
    <t>9.098*100000000</t>
  </si>
  <si>
    <t>2.659*100000000</t>
  </si>
  <si>
    <t>36.07*100000000</t>
  </si>
  <si>
    <t>22.94*100000000</t>
  </si>
  <si>
    <t>24.75*100000000</t>
  </si>
  <si>
    <t>19.79*100000000</t>
  </si>
  <si>
    <t>14.59*100000000</t>
  </si>
  <si>
    <t>2.109*100000000</t>
  </si>
  <si>
    <t>26.69*100000000</t>
  </si>
  <si>
    <t>3.373*100000000</t>
  </si>
  <si>
    <t>4.382*100000000</t>
  </si>
  <si>
    <t>4.800*100000000</t>
  </si>
  <si>
    <t>6387*10000</t>
  </si>
  <si>
    <t>4.132*100000000</t>
  </si>
  <si>
    <t>1.608*100000000</t>
  </si>
  <si>
    <t>9627*10000</t>
  </si>
  <si>
    <t>4.431*100000000</t>
  </si>
  <si>
    <t>3.806*100000000</t>
  </si>
  <si>
    <t>3.064*100000000</t>
  </si>
  <si>
    <t>1.426*100000000</t>
  </si>
  <si>
    <t>3011*10000</t>
  </si>
  <si>
    <t>2637*10000</t>
  </si>
  <si>
    <t>4.426*100000000</t>
  </si>
  <si>
    <t>2547*10000</t>
  </si>
  <si>
    <t>2.119*100000000</t>
  </si>
  <si>
    <t>3.522*100000000</t>
  </si>
  <si>
    <t>2.669*100000000</t>
  </si>
  <si>
    <t>6720*10000</t>
  </si>
  <si>
    <t>2.763*100000000</t>
  </si>
  <si>
    <t>2.802*100000000</t>
  </si>
  <si>
    <t>68.44*100000000</t>
  </si>
  <si>
    <t>47.18*100000000</t>
  </si>
  <si>
    <t>18.24*100000000</t>
  </si>
  <si>
    <t>42.93*100000000</t>
  </si>
  <si>
    <t>218.3*100000000</t>
  </si>
  <si>
    <t>78.16*100000000</t>
  </si>
  <si>
    <t>120.6*100000000</t>
  </si>
  <si>
    <t>84.74*100000000</t>
  </si>
  <si>
    <t>30.79*100000000</t>
  </si>
  <si>
    <t>36.08*100000000</t>
  </si>
  <si>
    <t>29.57*100000000</t>
  </si>
  <si>
    <t>31.26*100000000</t>
  </si>
  <si>
    <t>36.52*100000000</t>
  </si>
  <si>
    <t>31.27*100000000</t>
  </si>
  <si>
    <t>9.911*100000000</t>
  </si>
  <si>
    <t>5174*10000</t>
  </si>
  <si>
    <t>1.045*100000000</t>
  </si>
  <si>
    <t>36.27*100000000</t>
  </si>
  <si>
    <t>31.42*100000000</t>
  </si>
  <si>
    <t>29.44*100000000</t>
  </si>
  <si>
    <t>3284*10000</t>
  </si>
  <si>
    <t>892.8*100000000</t>
  </si>
  <si>
    <t>618.6*100000000</t>
  </si>
  <si>
    <t>371.4*100000000</t>
  </si>
  <si>
    <t>747.1*100000000</t>
  </si>
  <si>
    <t>549.5*100000000</t>
  </si>
  <si>
    <t>356.6*100000000</t>
  </si>
  <si>
    <t>179.3*100000000</t>
  </si>
  <si>
    <t>1003*100000000</t>
  </si>
  <si>
    <t>753.7*100000000</t>
  </si>
  <si>
    <t>519.9*100000000</t>
  </si>
  <si>
    <t>251.4*100000000</t>
  </si>
  <si>
    <t>1078*100000000</t>
  </si>
  <si>
    <t>521.9*100000000</t>
  </si>
  <si>
    <t>257.6*100000000</t>
  </si>
  <si>
    <t>27.26*100000000</t>
  </si>
  <si>
    <t>25.14*100000000</t>
  </si>
  <si>
    <t>15.04*100000000</t>
  </si>
  <si>
    <t>6.367*100000000</t>
  </si>
  <si>
    <t>7.474*100000000</t>
  </si>
  <si>
    <t>67.67*100000000</t>
  </si>
  <si>
    <t>59.64*100000000</t>
  </si>
  <si>
    <t>45.06*100000000</t>
  </si>
  <si>
    <t>26.48*100000000</t>
  </si>
  <si>
    <t>24.52*100000000</t>
  </si>
  <si>
    <t>15.01*100000000</t>
  </si>
  <si>
    <t>5.738*100000000</t>
  </si>
  <si>
    <t>26.54*100000000</t>
  </si>
  <si>
    <t>13.59*100000000</t>
  </si>
  <si>
    <t>7.477*100000000</t>
  </si>
  <si>
    <t>59.44*100000000</t>
  </si>
  <si>
    <t>20.04*100000000</t>
  </si>
  <si>
    <t>6.394*100000000</t>
  </si>
  <si>
    <t>11.44*100000000</t>
  </si>
  <si>
    <t>52.77*100000000</t>
  </si>
  <si>
    <t>8.750*100000000</t>
  </si>
  <si>
    <t>5.540*100000000</t>
  </si>
  <si>
    <t>3.366*100000000</t>
  </si>
  <si>
    <t>6.510*100000000</t>
  </si>
  <si>
    <t>9.744*100000000</t>
  </si>
  <si>
    <t>6.497*100000000</t>
  </si>
  <si>
    <t>928.5*10000</t>
  </si>
  <si>
    <t>584.3*10000</t>
  </si>
  <si>
    <t>371.7*10000</t>
  </si>
  <si>
    <t>407.2*10000</t>
  </si>
  <si>
    <t>1521*10000</t>
  </si>
  <si>
    <t>1446*10000</t>
  </si>
  <si>
    <t>1436*10000</t>
  </si>
  <si>
    <t>375.0*10000</t>
  </si>
  <si>
    <t>1354*10000</t>
  </si>
  <si>
    <t>353.9*10000</t>
  </si>
  <si>
    <t>201.5*10000</t>
  </si>
  <si>
    <t>315.6*10000</t>
  </si>
  <si>
    <t>1373*10000</t>
  </si>
  <si>
    <t>988.8*10000</t>
  </si>
  <si>
    <t>771.2*10000</t>
  </si>
  <si>
    <t>1248*10000</t>
  </si>
  <si>
    <t>375.3*10000</t>
  </si>
  <si>
    <t>1363*10000</t>
  </si>
  <si>
    <t>347.8*10000</t>
  </si>
  <si>
    <t>195.5*10000</t>
  </si>
  <si>
    <t>312.2*10000</t>
  </si>
  <si>
    <t>1181*10000</t>
  </si>
  <si>
    <t>918.4*10000</t>
  </si>
  <si>
    <t>683.4*10000</t>
  </si>
  <si>
    <t>324.6*10000</t>
  </si>
  <si>
    <t>972.4*10000</t>
  </si>
  <si>
    <t>1305*10000</t>
  </si>
  <si>
    <t>1097*10000</t>
  </si>
  <si>
    <t>335.0*10000</t>
  </si>
  <si>
    <t>1116*10000</t>
  </si>
  <si>
    <t>244.1*10000</t>
  </si>
  <si>
    <t>159.6*10000</t>
  </si>
  <si>
    <t>252.5*10000</t>
  </si>
  <si>
    <t>2276*100000000</t>
  </si>
  <si>
    <t>1700*100000000</t>
  </si>
  <si>
    <t>1116*100000000</t>
  </si>
  <si>
    <t>547.7*100000000</t>
  </si>
  <si>
    <t>2097*100000000</t>
  </si>
  <si>
    <t>1544*100000000</t>
  </si>
  <si>
    <t>957.3*100000000</t>
  </si>
  <si>
    <t>2008*100000000</t>
  </si>
  <si>
    <t>1502*100000000</t>
  </si>
  <si>
    <t>1000*100000000</t>
  </si>
  <si>
    <t>485.2*100000000</t>
  </si>
  <si>
    <t>1841*100000000</t>
  </si>
  <si>
    <t>1382*100000000</t>
  </si>
  <si>
    <t>904.9*100000000</t>
  </si>
  <si>
    <t>436.1*100000000</t>
  </si>
  <si>
    <t>158.8*100000000</t>
  </si>
  <si>
    <t>84.33*100000000</t>
  </si>
  <si>
    <t>97.55*100000000</t>
  </si>
  <si>
    <t>42.60*100000000</t>
  </si>
  <si>
    <t>127.9*100000000</t>
  </si>
  <si>
    <t>70.83*100000000</t>
  </si>
  <si>
    <t>31.06*100000000</t>
  </si>
  <si>
    <t>89.13*100000000</t>
  </si>
  <si>
    <t>66.66*100000000</t>
  </si>
  <si>
    <t>159.2*100000000</t>
  </si>
  <si>
    <t>123.4*100000000</t>
  </si>
  <si>
    <t>84.61*100000000</t>
  </si>
  <si>
    <t>36.62*100000000</t>
  </si>
  <si>
    <t>135.6*100000000</t>
  </si>
  <si>
    <t>97.40*100000000</t>
  </si>
  <si>
    <t>42.73*100000000</t>
  </si>
  <si>
    <t>130.8*100000000</t>
  </si>
  <si>
    <t>72.41*100000000</t>
  </si>
  <si>
    <t>31.92*100000000</t>
  </si>
  <si>
    <t>91.47*100000000</t>
  </si>
  <si>
    <t>68.34*100000000</t>
  </si>
  <si>
    <t>29.01*100000000</t>
  </si>
  <si>
    <t>100.6*100000000</t>
  </si>
  <si>
    <t>69.38*100000000</t>
  </si>
  <si>
    <t>30.96*100000000</t>
  </si>
  <si>
    <t>113.3*100000000</t>
  </si>
  <si>
    <t>80.19*100000000</t>
  </si>
  <si>
    <t>36.12*100000000</t>
  </si>
  <si>
    <t>123.3*100000000</t>
  </si>
  <si>
    <t>111.1*100000000</t>
  </si>
  <si>
    <t>61.85*100000000</t>
  </si>
  <si>
    <t>99.00*100000000</t>
  </si>
  <si>
    <t>78.98*100000000</t>
  </si>
  <si>
    <t>58.68*100000000</t>
  </si>
  <si>
    <t>24.40*100000000</t>
  </si>
  <si>
    <t>8.924*100000000</t>
  </si>
  <si>
    <t>5.133*100000000</t>
  </si>
  <si>
    <t>1.899*100000000</t>
  </si>
  <si>
    <t>8.600*100000000</t>
  </si>
  <si>
    <t>4.059*100000000</t>
  </si>
  <si>
    <t>7.339*100000000</t>
  </si>
  <si>
    <t>5.246*100000000</t>
  </si>
  <si>
    <t>2526*10000</t>
  </si>
  <si>
    <t>772.2*10000</t>
  </si>
  <si>
    <t>9271*10000</t>
  </si>
  <si>
    <t>5136*10000</t>
  </si>
  <si>
    <t>3116*10000</t>
  </si>
  <si>
    <t>1380*10000</t>
  </si>
  <si>
    <t>7787*10000</t>
  </si>
  <si>
    <t>7720*10000</t>
  </si>
  <si>
    <t>2367*10000</t>
  </si>
  <si>
    <t>1238*10000</t>
  </si>
  <si>
    <t>598.2*10000</t>
  </si>
  <si>
    <t>9292*10000</t>
  </si>
  <si>
    <t>6345*10000</t>
  </si>
  <si>
    <t>3087*10000</t>
  </si>
  <si>
    <t>7738*10000</t>
  </si>
  <si>
    <t>7697*10000</t>
  </si>
  <si>
    <t>5694*10000</t>
  </si>
  <si>
    <t>1815*10000</t>
  </si>
  <si>
    <t>4521*10000</t>
  </si>
  <si>
    <t>1563*10000</t>
  </si>
  <si>
    <t>859.7*10000</t>
  </si>
  <si>
    <t>415.5*10000</t>
  </si>
  <si>
    <t>6537*10000</t>
  </si>
  <si>
    <t>1975*10000</t>
  </si>
  <si>
    <t>822.2*10000</t>
  </si>
  <si>
    <t>5175*10000</t>
  </si>
  <si>
    <t>4753*10000</t>
  </si>
  <si>
    <t>3237*10000</t>
  </si>
  <si>
    <t>1169*10000</t>
  </si>
  <si>
    <t>79.32*100000000</t>
  </si>
  <si>
    <t>61.41*100000000</t>
  </si>
  <si>
    <t>43.76*100000000</t>
  </si>
  <si>
    <t>24.63*100000000</t>
  </si>
  <si>
    <t>81.17*100000000</t>
  </si>
  <si>
    <t>59.84*100000000</t>
  </si>
  <si>
    <t>218.9*100000000</t>
  </si>
  <si>
    <t>167.5*100000000</t>
  </si>
  <si>
    <t>117.7*100000000</t>
  </si>
  <si>
    <t>183.7*100000000</t>
  </si>
  <si>
    <t>71.44*100000000</t>
  </si>
  <si>
    <t>9.316*100000000</t>
  </si>
  <si>
    <t>4.959*100000000</t>
  </si>
  <si>
    <t>14.85*100000000</t>
  </si>
  <si>
    <t>9.757*100000000</t>
  </si>
  <si>
    <t>5.996*100000000</t>
  </si>
  <si>
    <t>9.440*100000000</t>
  </si>
  <si>
    <t>7.261*100000000</t>
  </si>
  <si>
    <t>4.278*100000000</t>
  </si>
  <si>
    <t>8.323*100000000</t>
  </si>
  <si>
    <t>6.054*100000000</t>
  </si>
  <si>
    <t>9.506*100000000</t>
  </si>
  <si>
    <t>7.670*100000000</t>
  </si>
  <si>
    <t>7.054*100000000</t>
  </si>
  <si>
    <t>6016*10000</t>
  </si>
  <si>
    <t>9.640*100000000</t>
  </si>
  <si>
    <t>9.052*100000000</t>
  </si>
  <si>
    <t>6.859*100000000</t>
  </si>
  <si>
    <t>8.325*100000000</t>
  </si>
  <si>
    <t>6.535*100000000</t>
  </si>
  <si>
    <t>62.91*100000000</t>
  </si>
  <si>
    <t>42.57*100000000</t>
  </si>
  <si>
    <t>80.02*100000000</t>
  </si>
  <si>
    <t>56.49*100000000</t>
  </si>
  <si>
    <t>38.21*100000000</t>
  </si>
  <si>
    <t>124.5*100000000</t>
  </si>
  <si>
    <t>113.4*100000000</t>
  </si>
  <si>
    <t>76.22*100000000</t>
  </si>
  <si>
    <t>36.60*100000000</t>
  </si>
  <si>
    <t>9154*10000</t>
  </si>
  <si>
    <t>3.652*100000000</t>
  </si>
  <si>
    <t>2.925*100000000</t>
  </si>
  <si>
    <t>253.7*10000</t>
  </si>
  <si>
    <t>8.115*100000000</t>
  </si>
  <si>
    <t>8.329*100000000</t>
  </si>
  <si>
    <t>5.986*100000000</t>
  </si>
  <si>
    <t>1.690*100000000</t>
  </si>
  <si>
    <t>9380*10000</t>
  </si>
  <si>
    <t>3.475*100000000</t>
  </si>
  <si>
    <t>315.5*10000</t>
  </si>
  <si>
    <t>8.035*100000000</t>
  </si>
  <si>
    <t>4.115*100000000</t>
  </si>
  <si>
    <t>1.683*100000000</t>
  </si>
  <si>
    <t>2.009*100000000</t>
  </si>
  <si>
    <t>4.601*10000</t>
  </si>
  <si>
    <t>4.543*100000000</t>
  </si>
  <si>
    <t>3.067*100000000</t>
  </si>
  <si>
    <t>1.274*100000000</t>
  </si>
  <si>
    <t>2.863*100000000</t>
  </si>
  <si>
    <t>49.69*100000000</t>
  </si>
  <si>
    <t>23.91*100000000</t>
  </si>
  <si>
    <t>17.63*100000000</t>
  </si>
  <si>
    <t>10.18*100000000</t>
  </si>
  <si>
    <t>9.747*100000000</t>
  </si>
  <si>
    <t>7.683*100000000</t>
  </si>
  <si>
    <t>4.811*100000000</t>
  </si>
  <si>
    <t>2.431*100000000</t>
  </si>
  <si>
    <t>6157*10000</t>
  </si>
  <si>
    <t>7.120*100000000</t>
  </si>
  <si>
    <t>4.568*100000000</t>
  </si>
  <si>
    <t>2.654*100000000</t>
  </si>
  <si>
    <t>4.423*100000000</t>
  </si>
  <si>
    <t>3.594*100000000</t>
  </si>
  <si>
    <t>4.073*100000000</t>
  </si>
  <si>
    <t>8.009*100000000</t>
  </si>
  <si>
    <t>4.737*100000000</t>
  </si>
  <si>
    <t>2.349*100000000</t>
  </si>
  <si>
    <t>5171*10000</t>
  </si>
  <si>
    <t>7.070*100000000</t>
  </si>
  <si>
    <t>4.510*100000000</t>
  </si>
  <si>
    <t>1.547*100000000</t>
  </si>
  <si>
    <t>4.407*100000000</t>
  </si>
  <si>
    <t>9.903*100000000</t>
  </si>
  <si>
    <t>7.497*100000000</t>
  </si>
  <si>
    <t>6.073*100000000</t>
  </si>
  <si>
    <t>3123*10000</t>
  </si>
  <si>
    <t>5.384*100000000</t>
  </si>
  <si>
    <t>1.080*100000000</t>
  </si>
  <si>
    <t>3.729*100000000</t>
  </si>
  <si>
    <t>8638*10000</t>
  </si>
  <si>
    <t>105.6*100000000</t>
  </si>
  <si>
    <t>75.46*100000000</t>
  </si>
  <si>
    <t>47.88*100000000</t>
  </si>
  <si>
    <t>22.07*100000000</t>
  </si>
  <si>
    <t>103.3*100000000</t>
  </si>
  <si>
    <t>75.13*100000000</t>
  </si>
  <si>
    <t>104.4*100000000</t>
  </si>
  <si>
    <t>73.88*100000000</t>
  </si>
  <si>
    <t>49.16*100000000</t>
  </si>
  <si>
    <t>74.49*100000000</t>
  </si>
  <si>
    <t>14.71*100000000</t>
  </si>
  <si>
    <t>74.16*100000000</t>
  </si>
  <si>
    <t>57.60*100000000</t>
  </si>
  <si>
    <t>36.23*100000000</t>
  </si>
  <si>
    <t>68.18*100000000</t>
  </si>
  <si>
    <t>54.19*100000000</t>
  </si>
  <si>
    <t>14.98*100000000</t>
  </si>
  <si>
    <t>63.40*100000000</t>
  </si>
  <si>
    <t>47.01*100000000</t>
  </si>
  <si>
    <t>14.88*100000000</t>
  </si>
  <si>
    <t>39.09*100000000</t>
  </si>
  <si>
    <t>74.90*100000000</t>
  </si>
  <si>
    <t>58.28*100000000</t>
  </si>
  <si>
    <t>36.53*100000000</t>
  </si>
  <si>
    <t>33.62*100000000</t>
  </si>
  <si>
    <t>64.11*100000000</t>
  </si>
  <si>
    <t>47.76*100000000</t>
  </si>
  <si>
    <t>53.32*100000000</t>
  </si>
  <si>
    <t>27.22*100000000</t>
  </si>
  <si>
    <t>61.17*100000000</t>
  </si>
  <si>
    <t>43.80*100000000</t>
  </si>
  <si>
    <t>27.06*100000000</t>
  </si>
  <si>
    <t>52.70*100000000</t>
  </si>
  <si>
    <t>24.80*100000000</t>
  </si>
  <si>
    <t>47.24*100000000</t>
  </si>
  <si>
    <t>34.61*100000000</t>
  </si>
  <si>
    <t>28.78*100000000</t>
  </si>
  <si>
    <t>1242*100000000</t>
  </si>
  <si>
    <t>792.0*100000000</t>
  </si>
  <si>
    <t>330.0*100000000</t>
  </si>
  <si>
    <t>985.9*100000000</t>
  </si>
  <si>
    <t>704.5*100000000</t>
  </si>
  <si>
    <t>436.9*100000000</t>
  </si>
  <si>
    <t>161.0*100000000</t>
  </si>
  <si>
    <t>856.7*100000000</t>
  </si>
  <si>
    <t>647.6*100000000</t>
  </si>
  <si>
    <t>409.1*100000000</t>
  </si>
  <si>
    <t>187.3*100000000</t>
  </si>
  <si>
    <t>819.6*100000000</t>
  </si>
  <si>
    <t>591.4*100000000</t>
  </si>
  <si>
    <t>173.3*100000000</t>
  </si>
  <si>
    <t>31.90*100000000</t>
  </si>
  <si>
    <t>6.906*100000000</t>
  </si>
  <si>
    <t>9.086*100000000</t>
  </si>
  <si>
    <t>31.59*100000000</t>
  </si>
  <si>
    <t>24.51*100000000</t>
  </si>
  <si>
    <t>14.35*100000000</t>
  </si>
  <si>
    <t>6.561*100000000</t>
  </si>
  <si>
    <t>9.166*100000000</t>
  </si>
  <si>
    <t>8.105*100000000</t>
  </si>
  <si>
    <t>2.804*100000000</t>
  </si>
  <si>
    <t>16.76*100000000</t>
  </si>
  <si>
    <t>13.41*100000000</t>
  </si>
  <si>
    <t>7.133*100000000</t>
  </si>
  <si>
    <t>11.98*100000000</t>
  </si>
  <si>
    <t>6.519*100000000</t>
  </si>
  <si>
    <t>9.309*100000000</t>
  </si>
  <si>
    <t>451.2*100000000</t>
  </si>
  <si>
    <t>219.0*100000000</t>
  </si>
  <si>
    <t>110.8*100000000</t>
  </si>
  <si>
    <t>398.2*100000000</t>
  </si>
  <si>
    <t>87.89*100000000</t>
  </si>
  <si>
    <t>371.6*100000000</t>
  </si>
  <si>
    <t>276.9*100000000</t>
  </si>
  <si>
    <t>179.1*100000000</t>
  </si>
  <si>
    <t>87.36*100000000</t>
  </si>
  <si>
    <t>313.0*100000000</t>
  </si>
  <si>
    <t>232.5*100000000</t>
  </si>
  <si>
    <t>77.57*100000000</t>
  </si>
  <si>
    <t>8.457*100000000</t>
  </si>
  <si>
    <t>3.795*100000000</t>
  </si>
  <si>
    <t>1.621*100000000</t>
  </si>
  <si>
    <t>4.990*100000000</t>
  </si>
  <si>
    <t>1.287*100000000</t>
  </si>
  <si>
    <t>5.287*100000000</t>
  </si>
  <si>
    <t>4.235*100000000</t>
  </si>
  <si>
    <t>1.244*100000000</t>
  </si>
  <si>
    <t>3.768*100000000</t>
  </si>
  <si>
    <t>2.483*100000000</t>
  </si>
  <si>
    <t>6.778*100000000</t>
  </si>
  <si>
    <t>4.878*100000000</t>
  </si>
  <si>
    <t>3.014*100000000</t>
  </si>
  <si>
    <t>1.252*100000000</t>
  </si>
  <si>
    <t>5.889*100000000</t>
  </si>
  <si>
    <t>2.424*100000000</t>
  </si>
  <si>
    <t>6.106*100000000</t>
  </si>
  <si>
    <t>4.700*100000000</t>
  </si>
  <si>
    <t>3.464*100000000</t>
  </si>
  <si>
    <t>2.096*100000000</t>
  </si>
  <si>
    <t>8725*10000</t>
  </si>
  <si>
    <t>3.608*100000000</t>
  </si>
  <si>
    <t>2.063*100000000</t>
  </si>
  <si>
    <t>8941*10000</t>
  </si>
  <si>
    <t>3.458*100000000</t>
  </si>
  <si>
    <t>2.610*100000000</t>
  </si>
  <si>
    <t>7383*10000</t>
  </si>
  <si>
    <t>3.614*100000000</t>
  </si>
  <si>
    <t>5193*10000</t>
  </si>
  <si>
    <t>1.630*100000000</t>
  </si>
  <si>
    <t>2947*10000</t>
  </si>
  <si>
    <t>1.248*100000000</t>
  </si>
  <si>
    <t>9011*10000</t>
  </si>
  <si>
    <t>5693*10000</t>
  </si>
  <si>
    <t>1.572*100000000</t>
  </si>
  <si>
    <t>9189*10000</t>
  </si>
  <si>
    <t>5969*10000</t>
  </si>
  <si>
    <t>3010*10000</t>
  </si>
  <si>
    <t>9318*10000</t>
  </si>
  <si>
    <t>2491*10000</t>
  </si>
  <si>
    <t>393.6*10000</t>
  </si>
  <si>
    <t>167.1*10000</t>
  </si>
  <si>
    <t>23.65*10000</t>
  </si>
  <si>
    <t>189.9*10000</t>
  </si>
  <si>
    <t>265.2*10000</t>
  </si>
  <si>
    <t>2671*10000</t>
  </si>
  <si>
    <t>1911*10000</t>
  </si>
  <si>
    <t>937.2*10000</t>
  </si>
  <si>
    <t>570.0*10000</t>
  </si>
  <si>
    <t>9104*10000</t>
  </si>
  <si>
    <t>5847*10000</t>
  </si>
  <si>
    <t>394.4*10000</t>
  </si>
  <si>
    <t>445.3*10000</t>
  </si>
  <si>
    <t>76.65*10000</t>
  </si>
  <si>
    <t>266.9*10000</t>
  </si>
  <si>
    <t>298.3*10000</t>
  </si>
  <si>
    <t>2689*10000</t>
  </si>
  <si>
    <t>948.1*10000</t>
  </si>
  <si>
    <t>572.1*10000</t>
  </si>
  <si>
    <t>7736*10000</t>
  </si>
  <si>
    <t>5125*10000</t>
  </si>
  <si>
    <t>2088*10000</t>
  </si>
  <si>
    <t>283.9*10000</t>
  </si>
  <si>
    <t>358.0*10000</t>
  </si>
  <si>
    <t>37.03*10000</t>
  </si>
  <si>
    <t>132.2*10000</t>
  </si>
  <si>
    <t>183.6*10000</t>
  </si>
  <si>
    <t>2274*10000</t>
  </si>
  <si>
    <t>1558*10000</t>
  </si>
  <si>
    <t>725.2*10000</t>
  </si>
  <si>
    <t>445.0*10000</t>
  </si>
  <si>
    <t>71.07*100000000</t>
  </si>
  <si>
    <t>31.91*100000000</t>
  </si>
  <si>
    <t>138.5*100000000</t>
  </si>
  <si>
    <t>96.01*100000000</t>
  </si>
  <si>
    <t>27.07*100000000</t>
  </si>
  <si>
    <t>128.8*100000000</t>
  </si>
  <si>
    <t>59.57*100000000</t>
  </si>
  <si>
    <t>130.6*100000000</t>
  </si>
  <si>
    <t>94.26*100000000</t>
  </si>
  <si>
    <t>59.27*100000000</t>
  </si>
  <si>
    <t>27.58*100000000</t>
  </si>
  <si>
    <t>8.882*100000000</t>
  </si>
  <si>
    <t>7.297*100000000</t>
  </si>
  <si>
    <t>2.599*100000000</t>
  </si>
  <si>
    <t>7.281*100000000</t>
  </si>
  <si>
    <t>2.605*100000000</t>
  </si>
  <si>
    <t>8.974*100000000</t>
  </si>
  <si>
    <t>4.932*100000000</t>
  </si>
  <si>
    <t>8.926*100000000</t>
  </si>
  <si>
    <t>3.699*100000000</t>
  </si>
  <si>
    <t>6.957*100000000</t>
  </si>
  <si>
    <t>2.430*100000000</t>
  </si>
  <si>
    <t>12.98*100000000</t>
  </si>
  <si>
    <t>8.922*100000000</t>
  </si>
  <si>
    <t>9.676*100000000</t>
  </si>
  <si>
    <t>9.337*100000000</t>
  </si>
  <si>
    <t>5.570*100000000</t>
  </si>
  <si>
    <t>1.969*100000000</t>
  </si>
  <si>
    <t>9.900*100000000</t>
  </si>
  <si>
    <t>9.118*100000000</t>
  </si>
  <si>
    <t>5.320*100000000</t>
  </si>
  <si>
    <t>9.150*100000000</t>
  </si>
  <si>
    <t>9.870*100000000</t>
  </si>
  <si>
    <t>6.789*100000000</t>
  </si>
  <si>
    <t>76.73*100000000</t>
  </si>
  <si>
    <t>33.01*100000000</t>
  </si>
  <si>
    <t>7.779*100000000</t>
  </si>
  <si>
    <t>78.12*100000000</t>
  </si>
  <si>
    <t>60.17*100000000</t>
  </si>
  <si>
    <t>5.760*100000000</t>
  </si>
  <si>
    <t>69.31*100000000</t>
  </si>
  <si>
    <t>52.19*100000000</t>
  </si>
  <si>
    <t>29.10*100000000</t>
  </si>
  <si>
    <t>57.75*100000000</t>
  </si>
  <si>
    <t>43.17*100000000</t>
  </si>
  <si>
    <t>12.25*100000000</t>
  </si>
  <si>
    <t>5624*10000</t>
  </si>
  <si>
    <t>1778*10000</t>
  </si>
  <si>
    <t>6.124*100000000</t>
  </si>
  <si>
    <t>9.143*100000000</t>
  </si>
  <si>
    <t>6.686*100000000</t>
  </si>
  <si>
    <t>7.525*100000000</t>
  </si>
  <si>
    <t>6214*10000</t>
  </si>
  <si>
    <t>18.07*100000000</t>
  </si>
  <si>
    <t>1678*10000</t>
  </si>
  <si>
    <t>13.16*100000000</t>
  </si>
  <si>
    <t>6.464*100000000</t>
  </si>
  <si>
    <t>2825*10000</t>
  </si>
  <si>
    <t>6.765*100000000</t>
  </si>
  <si>
    <t>2.566*100000000</t>
  </si>
  <si>
    <t>4890*10000</t>
  </si>
  <si>
    <t>15.49*100000000</t>
  </si>
  <si>
    <t>7.827*100000000</t>
  </si>
  <si>
    <t>927.1*10000</t>
  </si>
  <si>
    <t>5.342*100000000</t>
  </si>
  <si>
    <t>784.2*10000</t>
  </si>
  <si>
    <t>6.888*100000000</t>
  </si>
  <si>
    <t>4726*10000</t>
  </si>
  <si>
    <t>8453*10000</t>
  </si>
  <si>
    <t>8162*10000</t>
  </si>
  <si>
    <t>9903*10000</t>
  </si>
  <si>
    <t>4664*10000</t>
  </si>
  <si>
    <t>2.023*100000000</t>
  </si>
  <si>
    <t>7045*10000</t>
  </si>
  <si>
    <t>4.192*100000000</t>
  </si>
  <si>
    <t>6354*10000</t>
  </si>
  <si>
    <t>4748*10000</t>
  </si>
  <si>
    <t>4150*10000</t>
  </si>
  <si>
    <t>156.1*10000</t>
  </si>
  <si>
    <t>102.5*10000</t>
  </si>
  <si>
    <t>2852*10000</t>
  </si>
  <si>
    <t>5983*10000</t>
  </si>
  <si>
    <t>2979*10000</t>
  </si>
  <si>
    <t>8224*10000</t>
  </si>
  <si>
    <t>6328*10000</t>
  </si>
  <si>
    <t>3632*10000</t>
  </si>
  <si>
    <t>6218*10000</t>
  </si>
  <si>
    <t>5626*10000</t>
  </si>
  <si>
    <t>5033*10000</t>
  </si>
  <si>
    <t>176.3*10000</t>
  </si>
  <si>
    <t>214.7*10000</t>
  </si>
  <si>
    <t>4207*10000</t>
  </si>
  <si>
    <t>5987*10000</t>
  </si>
  <si>
    <t>8184*10000</t>
  </si>
  <si>
    <t>6298*10000</t>
  </si>
  <si>
    <t>5493*10000</t>
  </si>
  <si>
    <t>4997*10000</t>
  </si>
  <si>
    <t>108.3*10000</t>
  </si>
  <si>
    <t>145.5*10000</t>
  </si>
  <si>
    <t>4949*10000</t>
  </si>
  <si>
    <t>3727*10000</t>
  </si>
  <si>
    <t>7002*10000</t>
  </si>
  <si>
    <t>3157*10000</t>
  </si>
  <si>
    <t>23.40*100000000</t>
  </si>
  <si>
    <t>9.120*100000000</t>
  </si>
  <si>
    <t>3.495*100000000</t>
  </si>
  <si>
    <t>31.45*100000000</t>
  </si>
  <si>
    <t>51.63*100000000</t>
  </si>
  <si>
    <t>24.18*100000000</t>
  </si>
  <si>
    <t>2.273*100000000</t>
  </si>
  <si>
    <t>6.946*100000000</t>
  </si>
  <si>
    <t>4.486*100000000</t>
  </si>
  <si>
    <t>2.761*100000000</t>
  </si>
  <si>
    <t>6266*10000</t>
  </si>
  <si>
    <t>6.489*100000000</t>
  </si>
  <si>
    <t>1.184*100000000</t>
  </si>
  <si>
    <t>6.168*100000000</t>
  </si>
  <si>
    <t>7.006*100000000</t>
  </si>
  <si>
    <t>4.512*100000000</t>
  </si>
  <si>
    <t>6223*10000</t>
  </si>
  <si>
    <t>8.391*100000000</t>
  </si>
  <si>
    <t>5.867*100000000</t>
  </si>
  <si>
    <t>4.743*100000000</t>
  </si>
  <si>
    <t>8690*10000</t>
  </si>
  <si>
    <t>3.556*100000000</t>
  </si>
  <si>
    <t>2.166*100000000</t>
  </si>
  <si>
    <t>4784*10000</t>
  </si>
  <si>
    <t>6.666*100000000</t>
  </si>
  <si>
    <t>5.226*100000000</t>
  </si>
  <si>
    <t>3.780*100000000</t>
  </si>
  <si>
    <t>1.924*100000000</t>
  </si>
  <si>
    <t>9.161*100000000</t>
  </si>
  <si>
    <t>2.985*100000000</t>
  </si>
  <si>
    <t>8281*10000</t>
  </si>
  <si>
    <t>45.31*100000000</t>
  </si>
  <si>
    <t>9.276*100000000</t>
  </si>
  <si>
    <t>22.05*100000000</t>
  </si>
  <si>
    <t>13.12*100000000</t>
  </si>
  <si>
    <t>6.687*100000000</t>
  </si>
  <si>
    <t>27.67*100000000</t>
  </si>
  <si>
    <t>20.59*100000000</t>
  </si>
  <si>
    <t>5.799*100000000</t>
  </si>
  <si>
    <t>3.032*100000000</t>
  </si>
  <si>
    <t>7.520*100000000</t>
  </si>
  <si>
    <t>5.820*100000000</t>
  </si>
  <si>
    <t>3.902*100000000</t>
  </si>
  <si>
    <t>2.842*100000000</t>
  </si>
  <si>
    <t>7939*10000</t>
  </si>
  <si>
    <t>4.067*100000000</t>
  </si>
  <si>
    <t>3.084*100000000</t>
  </si>
  <si>
    <t>5929*10000</t>
  </si>
  <si>
    <t>9101*10000</t>
  </si>
  <si>
    <t>7.563*100000000</t>
  </si>
  <si>
    <t>5.832*100000000</t>
  </si>
  <si>
    <t>3.910*100000000</t>
  </si>
  <si>
    <t>3.815*100000000</t>
  </si>
  <si>
    <t>2.849*100000000</t>
  </si>
  <si>
    <t>1.850*100000000</t>
  </si>
  <si>
    <t>7905*10000</t>
  </si>
  <si>
    <t>3.078*100000000</t>
  </si>
  <si>
    <t>9950*10000</t>
  </si>
  <si>
    <t>9070*10000</t>
  </si>
  <si>
    <t>5173*10000</t>
  </si>
  <si>
    <t>2498*10000</t>
  </si>
  <si>
    <t>6.016*100000000</t>
  </si>
  <si>
    <t>4.728*100000000</t>
  </si>
  <si>
    <t>3.147*100000000</t>
  </si>
  <si>
    <t>3.154*100000000</t>
  </si>
  <si>
    <t>6561*10000</t>
  </si>
  <si>
    <t>5437*10000</t>
  </si>
  <si>
    <t>9407*10000</t>
  </si>
  <si>
    <t>8597*10000</t>
  </si>
  <si>
    <t>39.50*100000000</t>
  </si>
  <si>
    <t>24.01*100000000</t>
  </si>
  <si>
    <t>42.86*100000000</t>
  </si>
  <si>
    <t>50.12*100000000</t>
  </si>
  <si>
    <t>16.52*100000000</t>
  </si>
  <si>
    <t>8.496*100000000</t>
  </si>
  <si>
    <t>46.80*100000000</t>
  </si>
  <si>
    <t>27.90*100000000</t>
  </si>
  <si>
    <t>2.312*100000000</t>
  </si>
  <si>
    <t>9715*10000</t>
  </si>
  <si>
    <t>7879*10000</t>
  </si>
  <si>
    <t>6798*10000</t>
  </si>
  <si>
    <t>1299*10000</t>
  </si>
  <si>
    <t>6.872*100000000</t>
  </si>
  <si>
    <t>2533*10000</t>
  </si>
  <si>
    <t>9328*10000</t>
  </si>
  <si>
    <t>7182*10000</t>
  </si>
  <si>
    <t>7.832*100000000</t>
  </si>
  <si>
    <t>6.877*100000000</t>
  </si>
  <si>
    <t>2.800*100000000</t>
  </si>
  <si>
    <t>7704*10000</t>
  </si>
  <si>
    <t>3288*10000</t>
  </si>
  <si>
    <t>8127*10000</t>
  </si>
  <si>
    <t>1326*10000</t>
  </si>
  <si>
    <t>7975*10000</t>
  </si>
  <si>
    <t>4932*10000</t>
  </si>
  <si>
    <t>255.0*10000</t>
  </si>
  <si>
    <t>5.963*100000000</t>
  </si>
  <si>
    <t>1.978*100000000</t>
  </si>
  <si>
    <t>1.102*100000000</t>
  </si>
  <si>
    <t>6728*10000</t>
  </si>
  <si>
    <t>2780*10000</t>
  </si>
  <si>
    <t>163.6*100000000</t>
  </si>
  <si>
    <t>65.11*100000000</t>
  </si>
  <si>
    <t>210.8*100000000</t>
  </si>
  <si>
    <t>105.4*100000000</t>
  </si>
  <si>
    <t>52.00*100000000</t>
  </si>
  <si>
    <t>345.4*100000000</t>
  </si>
  <si>
    <t>255.7*100000000</t>
  </si>
  <si>
    <t>182.0*100000000</t>
  </si>
  <si>
    <t>340.8*100000000</t>
  </si>
  <si>
    <t>11.18*100000000</t>
  </si>
  <si>
    <t>9.463*100000000</t>
  </si>
  <si>
    <t>8.796*100000000</t>
  </si>
  <si>
    <t>8.337*100000000</t>
  </si>
  <si>
    <t>6.166*100000000</t>
  </si>
  <si>
    <t>11.32*100000000</t>
  </si>
  <si>
    <t>9.730*100000000</t>
  </si>
  <si>
    <t>11.25*100000000</t>
  </si>
  <si>
    <t>8.881*100000000</t>
  </si>
  <si>
    <t>2.139*100000000</t>
  </si>
  <si>
    <t>8.048*100000000</t>
  </si>
  <si>
    <t>5.619*100000000</t>
  </si>
  <si>
    <t>6.171*100000000</t>
  </si>
  <si>
    <t>8.650*100000000</t>
  </si>
  <si>
    <t>6.399*100000000</t>
  </si>
  <si>
    <t>9.693*100000000</t>
  </si>
  <si>
    <t>9.269*100000000</t>
  </si>
  <si>
    <t>6.922*100000000</t>
  </si>
  <si>
    <t>4.813*100000000</t>
  </si>
  <si>
    <t>8.742*100000000</t>
  </si>
  <si>
    <t>8.082*100000000</t>
  </si>
  <si>
    <t>7.258*100000000</t>
  </si>
  <si>
    <t>8010*10000</t>
  </si>
  <si>
    <t>6175*10000</t>
  </si>
  <si>
    <t>1.030*100000000</t>
  </si>
  <si>
    <t>7429*10000</t>
  </si>
  <si>
    <t>5053*10000</t>
  </si>
  <si>
    <t>2428*10000</t>
  </si>
  <si>
    <t>9917*10000</t>
  </si>
  <si>
    <t>7834*10000</t>
  </si>
  <si>
    <t>5841*10000</t>
  </si>
  <si>
    <t>3170*10000</t>
  </si>
  <si>
    <t>1.077*100000000</t>
  </si>
  <si>
    <t>7411*10000</t>
  </si>
  <si>
    <t>5023*10000</t>
  </si>
  <si>
    <t>2932*10000</t>
  </si>
  <si>
    <t>2747*10000</t>
  </si>
  <si>
    <t>716.6*10000</t>
  </si>
  <si>
    <t>7467*10000</t>
  </si>
  <si>
    <t>3503*10000</t>
  </si>
  <si>
    <t>1458*10000</t>
  </si>
  <si>
    <t>1312*10000</t>
  </si>
  <si>
    <t>1416*10000</t>
  </si>
  <si>
    <t>346.4*10000</t>
  </si>
  <si>
    <t>1288*10000</t>
  </si>
  <si>
    <t>2527*10000</t>
  </si>
  <si>
    <t>1958*10000</t>
  </si>
  <si>
    <t>2773*10000</t>
  </si>
  <si>
    <t>786.1*10000</t>
  </si>
  <si>
    <t>2563*10000</t>
  </si>
  <si>
    <t>1004*10000</t>
  </si>
  <si>
    <t>1463*10000</t>
  </si>
  <si>
    <t>1042*10000</t>
  </si>
  <si>
    <t>1431*10000</t>
  </si>
  <si>
    <t>1289*10000</t>
  </si>
  <si>
    <t>1492*10000</t>
  </si>
  <si>
    <t>589.9*10000</t>
  </si>
  <si>
    <t>2050*10000</t>
  </si>
  <si>
    <t>473.9*10000</t>
  </si>
  <si>
    <t>1321*10000</t>
  </si>
  <si>
    <t>486.1*10000</t>
  </si>
  <si>
    <t>675.7*10000</t>
  </si>
  <si>
    <t>1695*10000</t>
  </si>
  <si>
    <t>894.2*10000</t>
  </si>
  <si>
    <t>882.4*10000</t>
  </si>
  <si>
    <t>920.8*10000</t>
  </si>
  <si>
    <t>27.02*100000000</t>
  </si>
  <si>
    <t>4.998*100000000</t>
  </si>
  <si>
    <t>10.29*100000000</t>
  </si>
  <si>
    <t>4.399*100000000</t>
  </si>
  <si>
    <t>6.275*100000000</t>
  </si>
  <si>
    <t>3.259*100000000</t>
  </si>
  <si>
    <t>7511*10000</t>
  </si>
  <si>
    <t>2.517*100000000</t>
  </si>
  <si>
    <t>1.710*100000000</t>
  </si>
  <si>
    <t>4511*10000</t>
  </si>
  <si>
    <t>4321*10000</t>
  </si>
  <si>
    <t>3706*10000</t>
  </si>
  <si>
    <t>1383*10000</t>
  </si>
  <si>
    <t>1.518*100000000</t>
  </si>
  <si>
    <t>3.648*100000000</t>
  </si>
  <si>
    <t>1.678*100000000</t>
  </si>
  <si>
    <t>8286*10000</t>
  </si>
  <si>
    <t>1.582*100000000</t>
  </si>
  <si>
    <t>1.134*100000000</t>
  </si>
  <si>
    <t>4552*10000</t>
  </si>
  <si>
    <t>4515*10000</t>
  </si>
  <si>
    <t>6147*10000</t>
  </si>
  <si>
    <t>2.183*100000000</t>
  </si>
  <si>
    <t>6625*10000</t>
  </si>
  <si>
    <t>1.107*100000000</t>
  </si>
  <si>
    <t>7470*10000</t>
  </si>
  <si>
    <t>3405*10000</t>
  </si>
  <si>
    <t>7772*10000</t>
  </si>
  <si>
    <t>2442*10000</t>
  </si>
  <si>
    <t>2523*10000</t>
  </si>
  <si>
    <t>908.1*10000</t>
  </si>
  <si>
    <t>3.035*100000000</t>
  </si>
  <si>
    <t>7.311*100000000</t>
  </si>
  <si>
    <t>4.215*100000000</t>
  </si>
  <si>
    <t>2.185*100000000</t>
  </si>
  <si>
    <t>6594*10000</t>
  </si>
  <si>
    <t>1.536*100000000</t>
  </si>
  <si>
    <t>8305*10000</t>
  </si>
  <si>
    <t>2.742*100000000</t>
  </si>
  <si>
    <t>1.109*100000000</t>
  </si>
  <si>
    <t>20.41*100000000</t>
  </si>
  <si>
    <t>8087*10000</t>
  </si>
  <si>
    <t>6524*10000</t>
  </si>
  <si>
    <t>8083*10000</t>
  </si>
  <si>
    <t>4469*10000</t>
  </si>
  <si>
    <t>3.578*100000000</t>
  </si>
  <si>
    <t>8088*10000</t>
  </si>
  <si>
    <t>1.539*100000000</t>
  </si>
  <si>
    <t>1.318*100000000</t>
  </si>
  <si>
    <t>7209*10000</t>
  </si>
  <si>
    <t>4400*10000</t>
  </si>
  <si>
    <t>8666*10000</t>
  </si>
  <si>
    <t>5560*10000</t>
  </si>
  <si>
    <t>2.462*100000000</t>
  </si>
  <si>
    <t>2.029*100000000</t>
  </si>
  <si>
    <t>8265*10000</t>
  </si>
  <si>
    <t>7136*10000</t>
  </si>
  <si>
    <t>5691*10000</t>
  </si>
  <si>
    <t>96.03*100000000</t>
  </si>
  <si>
    <t>67.62*100000000</t>
  </si>
  <si>
    <t>40.46*100000000</t>
  </si>
  <si>
    <t>22.06*100000000</t>
  </si>
  <si>
    <t>82.56*100000000</t>
  </si>
  <si>
    <t>33.32*100000000</t>
  </si>
  <si>
    <t>89.93*100000000</t>
  </si>
  <si>
    <t>59.69*100000000</t>
  </si>
  <si>
    <t>33.79*100000000</t>
  </si>
  <si>
    <t>95.90*100000000</t>
  </si>
  <si>
    <t>68.19*100000000</t>
  </si>
  <si>
    <t>43.12*100000000</t>
  </si>
  <si>
    <t>24.64*100000000</t>
  </si>
  <si>
    <t>4624*10000</t>
  </si>
  <si>
    <t>5975*10000</t>
  </si>
  <si>
    <t>159.5*10000</t>
  </si>
  <si>
    <t>3182*10000</t>
  </si>
  <si>
    <t>9118*10000</t>
  </si>
  <si>
    <t>5085*10000</t>
  </si>
  <si>
    <t>7500*10000</t>
  </si>
  <si>
    <t>3308*10000</t>
  </si>
  <si>
    <t>4307*10000</t>
  </si>
  <si>
    <t>1621*10000</t>
  </si>
  <si>
    <t>3375*10000</t>
  </si>
  <si>
    <t>2159*10000</t>
  </si>
  <si>
    <t>2465*10000</t>
  </si>
  <si>
    <t>5695*10000</t>
  </si>
  <si>
    <t>3008*10000</t>
  </si>
  <si>
    <t>80.04*100000000</t>
  </si>
  <si>
    <t>37.95*100000000</t>
  </si>
  <si>
    <t>5.905*100000000</t>
  </si>
  <si>
    <t>2.578*100000000</t>
  </si>
  <si>
    <t>1.739*100000000</t>
  </si>
  <si>
    <t>7958*10000</t>
  </si>
  <si>
    <t>2.704*100000000</t>
  </si>
  <si>
    <t>28.42*100000000</t>
  </si>
  <si>
    <t>25.18*100000000</t>
  </si>
  <si>
    <t>6.418*100000000</t>
  </si>
  <si>
    <t>6892*10000</t>
  </si>
  <si>
    <t>945.7*10000</t>
  </si>
  <si>
    <t>6413*10000</t>
  </si>
  <si>
    <t>36.03*10000</t>
  </si>
  <si>
    <t>420.5*10000</t>
  </si>
  <si>
    <t>6.419*100000000</t>
  </si>
  <si>
    <t>2.997*100000000</t>
  </si>
  <si>
    <t>7097*10000</t>
  </si>
  <si>
    <t>36.69*10000</t>
  </si>
  <si>
    <t>423.5*10000</t>
  </si>
  <si>
    <t>5.456*100000000</t>
  </si>
  <si>
    <t>5323*10000</t>
  </si>
  <si>
    <t>850.2*10000</t>
  </si>
  <si>
    <t>78.82*10000</t>
  </si>
  <si>
    <t>102.7*100000000</t>
  </si>
  <si>
    <t>74.55*100000000</t>
  </si>
  <si>
    <t>52.94*100000000</t>
  </si>
  <si>
    <t>44.93*100000000</t>
  </si>
  <si>
    <t>15.91*100000000</t>
  </si>
  <si>
    <t>87.08*100000000</t>
  </si>
  <si>
    <t>54.49*100000000</t>
  </si>
  <si>
    <t>43.50*100000000</t>
  </si>
  <si>
    <t>47.29*100000000</t>
  </si>
  <si>
    <t>15.46*100000000</t>
  </si>
  <si>
    <t>8.338*100000000</t>
  </si>
  <si>
    <t>7.226*100000000</t>
  </si>
  <si>
    <t>3.061*100000000</t>
  </si>
  <si>
    <t>7.215*100000000</t>
  </si>
  <si>
    <t>13.05*100000000</t>
  </si>
  <si>
    <t>6.455*100000000</t>
  </si>
  <si>
    <t>2.868*100000000</t>
  </si>
  <si>
    <t>6.148*100000000</t>
  </si>
  <si>
    <t>8.435*100000000</t>
  </si>
  <si>
    <t>7.222*100000000</t>
  </si>
  <si>
    <t>2.345*100000000</t>
  </si>
  <si>
    <t>3.111*100000000</t>
  </si>
  <si>
    <t>7.163*100000000</t>
  </si>
  <si>
    <t>8.445*100000000</t>
  </si>
  <si>
    <t>6.474*100000000</t>
  </si>
  <si>
    <t>2.866*100000000</t>
  </si>
  <si>
    <t>6.387*100000000</t>
  </si>
  <si>
    <t>6.155*100000000</t>
  </si>
  <si>
    <t>5.769*100000000</t>
  </si>
  <si>
    <t>5.893*100000000</t>
  </si>
  <si>
    <t>5.077*100000000</t>
  </si>
  <si>
    <t>4.722*100000000</t>
  </si>
  <si>
    <t>2.011*100000000</t>
  </si>
  <si>
    <t>8.843*100000000</t>
  </si>
  <si>
    <t>5.578*100000000</t>
  </si>
  <si>
    <t>5.254*100000000</t>
  </si>
  <si>
    <t>2.149*100000000</t>
  </si>
  <si>
    <t>4.775*100000000</t>
  </si>
  <si>
    <t>4.666*100000000</t>
  </si>
  <si>
    <t>1.652*100000000</t>
  </si>
  <si>
    <t>28.74*100000000</t>
  </si>
  <si>
    <t>6.775*100000000</t>
  </si>
  <si>
    <t>24.41*100000000</t>
  </si>
  <si>
    <t>5.253*100000000</t>
  </si>
  <si>
    <t>24.49*100000000</t>
  </si>
  <si>
    <t>5.373*100000000</t>
  </si>
  <si>
    <t>17.55*100000000</t>
  </si>
  <si>
    <t>8.952*100000000</t>
  </si>
  <si>
    <t>3.706*100000000</t>
  </si>
  <si>
    <t>5.739*100000000</t>
  </si>
  <si>
    <t>1.613*100000000</t>
  </si>
  <si>
    <t>4.675*100000000</t>
  </si>
  <si>
    <t>3.094*100000000</t>
  </si>
  <si>
    <t>5.482*100000000</t>
  </si>
  <si>
    <t>1.343*100000000</t>
  </si>
  <si>
    <t>6.231*100000000</t>
  </si>
  <si>
    <t>3.713*100000000</t>
  </si>
  <si>
    <t>1.902*100000000</t>
  </si>
  <si>
    <t>5.794*100000000</t>
  </si>
  <si>
    <t>4.875*100000000</t>
  </si>
  <si>
    <t>1.612*100000000</t>
  </si>
  <si>
    <t>4.673*100000000</t>
  </si>
  <si>
    <t>3.082*100000000</t>
  </si>
  <si>
    <t>5.479*100000000</t>
  </si>
  <si>
    <t>1.346*100000000</t>
  </si>
  <si>
    <t>5.309*100000000</t>
  </si>
  <si>
    <t>3.162*100000000</t>
  </si>
  <si>
    <t>4.903*100000000</t>
  </si>
  <si>
    <t>4.108*100000000</t>
  </si>
  <si>
    <t>4.794*100000000</t>
  </si>
  <si>
    <t>3.926*100000000</t>
  </si>
  <si>
    <t>2.591*100000000</t>
  </si>
  <si>
    <t>3.536*100000000</t>
  </si>
  <si>
    <t>2.283*100000000</t>
  </si>
  <si>
    <t>83.50*100000000</t>
  </si>
  <si>
    <t>52.63*100000000</t>
  </si>
  <si>
    <t>98.98*100000000</t>
  </si>
  <si>
    <t>70.02*100000000</t>
  </si>
  <si>
    <t>40.90*100000000</t>
  </si>
  <si>
    <t>151.0*100000000</t>
  </si>
  <si>
    <t>112.8*100000000</t>
  </si>
  <si>
    <t>71.43*100000000</t>
  </si>
  <si>
    <t>33.37*100000000</t>
  </si>
  <si>
    <t>147.0*100000000</t>
  </si>
  <si>
    <t>109.6*100000000</t>
  </si>
  <si>
    <t>5.774*100000000</t>
  </si>
  <si>
    <t>8.835*100000000</t>
  </si>
  <si>
    <t>4.333*100000000</t>
  </si>
  <si>
    <t>15.50*100000000</t>
  </si>
  <si>
    <t>7.155*100000000</t>
  </si>
  <si>
    <t>6.048*100000000</t>
  </si>
  <si>
    <t>4.328*100000000</t>
  </si>
  <si>
    <t>3.036*100000000</t>
  </si>
  <si>
    <t>3.393*100000000</t>
  </si>
  <si>
    <t>4.424*100000000</t>
  </si>
  <si>
    <t>7.369*100000000</t>
  </si>
  <si>
    <t>2.399*100000000</t>
  </si>
  <si>
    <t>1.543*100000000</t>
  </si>
  <si>
    <t>6.501*100000000</t>
  </si>
  <si>
    <t>3.249*100000000</t>
  </si>
  <si>
    <t>9.881*100000000</t>
  </si>
  <si>
    <t>2.741*100000000</t>
  </si>
  <si>
    <t>340.9*100000000</t>
  </si>
  <si>
    <t>273.2*100000000</t>
  </si>
  <si>
    <t>189.1*100000000</t>
  </si>
  <si>
    <t>115.9*100000000</t>
  </si>
  <si>
    <t>57.01*100000000</t>
  </si>
  <si>
    <t>237.6*100000000</t>
  </si>
  <si>
    <t>50.85*100000000</t>
  </si>
  <si>
    <t>201.5*100000000</t>
  </si>
  <si>
    <t>62.57*100000000</t>
  </si>
  <si>
    <t>17.46*100000000</t>
  </si>
  <si>
    <t>7.272*100000000</t>
  </si>
  <si>
    <t>5.138*100000000</t>
  </si>
  <si>
    <t>8.651*100000000</t>
  </si>
  <si>
    <t>16.59*100000000</t>
  </si>
  <si>
    <t>4.052*100000000</t>
  </si>
  <si>
    <t>7.023*100000000</t>
  </si>
  <si>
    <t>7.262*100000000</t>
  </si>
  <si>
    <t>2.370*100000000</t>
  </si>
  <si>
    <t>8.644*100000000</t>
  </si>
  <si>
    <t>9.486*100000000</t>
  </si>
  <si>
    <t>5.982*100000000</t>
  </si>
  <si>
    <t>8.806*100000000</t>
  </si>
  <si>
    <t>6.227*100000000</t>
  </si>
  <si>
    <t>1.983*100000000</t>
  </si>
  <si>
    <t>7.455*100000000</t>
  </si>
  <si>
    <t>3.148*100000000</t>
  </si>
  <si>
    <t>1.017*100000000</t>
  </si>
  <si>
    <t>154.2*100000000</t>
  </si>
  <si>
    <t>79.41*100000000</t>
  </si>
  <si>
    <t>34.72*100000000</t>
  </si>
  <si>
    <t>90.71*100000000</t>
  </si>
  <si>
    <t>54.32*100000000</t>
  </si>
  <si>
    <t>101.3*100000000</t>
  </si>
  <si>
    <t>74.84*100000000</t>
  </si>
  <si>
    <t>50.14*100000000</t>
  </si>
  <si>
    <t>24.84*100000000</t>
  </si>
  <si>
    <t>96.67*100000000</t>
  </si>
  <si>
    <t>74.61*100000000</t>
  </si>
  <si>
    <t>50.84*100000000</t>
  </si>
  <si>
    <t>22.85*100000000</t>
  </si>
  <si>
    <t>8.773*100000000</t>
  </si>
  <si>
    <t>7.156*100000000</t>
  </si>
  <si>
    <t>5.306*100000000</t>
  </si>
  <si>
    <t>2.338*100000000</t>
  </si>
  <si>
    <t>7.657*100000000</t>
  </si>
  <si>
    <t>8.815*100000000</t>
  </si>
  <si>
    <t>6.661*100000000</t>
  </si>
  <si>
    <t>4.756*100000000</t>
  </si>
  <si>
    <t>1.977*100000000</t>
  </si>
  <si>
    <t>8.311*100000000</t>
  </si>
  <si>
    <t>6.595*100000000</t>
  </si>
  <si>
    <t>9.001*100000000</t>
  </si>
  <si>
    <t>7.302*100000000</t>
  </si>
  <si>
    <t>7.752*100000000</t>
  </si>
  <si>
    <t>5.312*100000000</t>
  </si>
  <si>
    <t>1.046*100000000</t>
  </si>
  <si>
    <t>9.068*100000000</t>
  </si>
  <si>
    <t>6.675*100000000</t>
  </si>
  <si>
    <t>4.762*100000000</t>
  </si>
  <si>
    <t>1.989*100000000</t>
  </si>
  <si>
    <t>8.447*100000000</t>
  </si>
  <si>
    <t>6.607*100000000</t>
  </si>
  <si>
    <t>6.268*100000000</t>
  </si>
  <si>
    <t>4.581*100000000</t>
  </si>
  <si>
    <t>2.057*100000000</t>
  </si>
  <si>
    <t>6.693*100000000</t>
  </si>
  <si>
    <t>9097*10000</t>
  </si>
  <si>
    <t>5.696*100000000</t>
  </si>
  <si>
    <t>4.078*100000000</t>
  </si>
  <si>
    <t>7.118*100000000</t>
  </si>
  <si>
    <t>5.589*100000000</t>
  </si>
  <si>
    <t>87.90*100000000</t>
  </si>
  <si>
    <t>65.22*100000000</t>
  </si>
  <si>
    <t>44.32*100000000</t>
  </si>
  <si>
    <t>66.98*100000000</t>
  </si>
  <si>
    <t>52.45*100000000</t>
  </si>
  <si>
    <t>54.44*100000000</t>
  </si>
  <si>
    <t>25.57*100000000</t>
  </si>
  <si>
    <t>8.810*100000000</t>
  </si>
  <si>
    <t>5.169*100000000</t>
  </si>
  <si>
    <t>4.174*100000000</t>
  </si>
  <si>
    <t>2.103*100000000</t>
  </si>
  <si>
    <t>7967*10000</t>
  </si>
  <si>
    <t>4.005*100000000</t>
  </si>
  <si>
    <t>1.584*100000000</t>
  </si>
  <si>
    <t>5313*10000</t>
  </si>
  <si>
    <t>7375*10000</t>
  </si>
  <si>
    <t>3137*10000</t>
  </si>
  <si>
    <t>8.845*100000000</t>
  </si>
  <si>
    <t>4.218*100000000</t>
  </si>
  <si>
    <t>1.297*100000000</t>
  </si>
  <si>
    <t>2.046*100000000</t>
  </si>
  <si>
    <t>7839*10000</t>
  </si>
  <si>
    <t>4.080*100000000</t>
  </si>
  <si>
    <t>5346*10000</t>
  </si>
  <si>
    <t>7113*10000</t>
  </si>
  <si>
    <t>3279*10000</t>
  </si>
  <si>
    <t>9.667*100000000</t>
  </si>
  <si>
    <t>7.264*100000000</t>
  </si>
  <si>
    <t>1.566*100000000</t>
  </si>
  <si>
    <t>3.204*100000000</t>
  </si>
  <si>
    <t>3758*10000</t>
  </si>
  <si>
    <t>1.723*100000000</t>
  </si>
  <si>
    <t>2244*10000</t>
  </si>
  <si>
    <t>4.170*100000000</t>
  </si>
  <si>
    <t>3.258*100000000</t>
  </si>
  <si>
    <t>2.220*100000000</t>
  </si>
  <si>
    <t>8748*10000</t>
  </si>
  <si>
    <t>3998*10000</t>
  </si>
  <si>
    <t>3.073*100000000</t>
  </si>
  <si>
    <t>1.470*100000000</t>
  </si>
  <si>
    <t>5.546*100000000</t>
  </si>
  <si>
    <t>780.7*10000</t>
  </si>
  <si>
    <t>497.0*10000</t>
  </si>
  <si>
    <t>378.9*10000</t>
  </si>
  <si>
    <t>139.0*10000</t>
  </si>
  <si>
    <t>734.7*10000</t>
  </si>
  <si>
    <t>1137*10000</t>
  </si>
  <si>
    <t>918.9*10000</t>
  </si>
  <si>
    <t>1.370*100000000</t>
  </si>
  <si>
    <t>842.2*10000</t>
  </si>
  <si>
    <t>566.0*10000</t>
  </si>
  <si>
    <t>393.3*10000</t>
  </si>
  <si>
    <t>155.1*10000</t>
  </si>
  <si>
    <t>733.8*10000</t>
  </si>
  <si>
    <t>919.8*10000</t>
  </si>
  <si>
    <t>1.281*100000000</t>
  </si>
  <si>
    <t>284.5*10000</t>
  </si>
  <si>
    <t>144.8*10000</t>
  </si>
  <si>
    <t>645.1*10000</t>
  </si>
  <si>
    <t>1.217*100000000</t>
  </si>
  <si>
    <t>7.383*100000000</t>
  </si>
  <si>
    <t>8963*10000</t>
  </si>
  <si>
    <t>3712*10000</t>
  </si>
  <si>
    <t>7.993*100000000</t>
  </si>
  <si>
    <t>5.463*100000000</t>
  </si>
  <si>
    <t>2.967*100000000</t>
  </si>
  <si>
    <t>9508*10000</t>
  </si>
  <si>
    <t>6889*10000</t>
  </si>
  <si>
    <t>2811*10000</t>
  </si>
  <si>
    <t>2661*10000</t>
  </si>
  <si>
    <t>2223*10000</t>
  </si>
  <si>
    <t>1795*10000</t>
  </si>
  <si>
    <t>1075*10000</t>
  </si>
  <si>
    <t>933.8*10000</t>
  </si>
  <si>
    <t>1467*10000</t>
  </si>
  <si>
    <t>1370*10000</t>
  </si>
  <si>
    <t>957.7*10000</t>
  </si>
  <si>
    <t>9969*10000</t>
  </si>
  <si>
    <t>7143*10000</t>
  </si>
  <si>
    <t>5195*10000</t>
  </si>
  <si>
    <t>4712*10000</t>
  </si>
  <si>
    <t>4743*10000</t>
  </si>
  <si>
    <t>4549*10000</t>
  </si>
  <si>
    <t>2249*10000</t>
  </si>
  <si>
    <t>14.02*10000</t>
  </si>
  <si>
    <t>3423*10000</t>
  </si>
  <si>
    <t>1349*10000</t>
  </si>
  <si>
    <t>955.0*10000</t>
  </si>
  <si>
    <t>8048*10000</t>
  </si>
  <si>
    <t>5712*10000</t>
  </si>
  <si>
    <t>4241*10000</t>
  </si>
  <si>
    <t>4367*10000</t>
  </si>
  <si>
    <t>3564*10000</t>
  </si>
  <si>
    <t>1323*10000</t>
  </si>
  <si>
    <t>2700*10000</t>
  </si>
  <si>
    <t>1047*10000</t>
  </si>
  <si>
    <t>971.6*10000</t>
  </si>
  <si>
    <t>595.2*10000</t>
  </si>
  <si>
    <t>9.919*100000000</t>
  </si>
  <si>
    <t>27.65*100000000</t>
  </si>
  <si>
    <t>7.109*100000000</t>
  </si>
  <si>
    <t>46.60*100000000</t>
  </si>
  <si>
    <t>32.03*100000000</t>
  </si>
  <si>
    <t>21.29*100000000</t>
  </si>
  <si>
    <t>45.01*100000000</t>
  </si>
  <si>
    <t>30.90*100000000</t>
  </si>
  <si>
    <t>19.94*100000000</t>
  </si>
  <si>
    <t>5575*10000</t>
  </si>
  <si>
    <t>5266*10000</t>
  </si>
  <si>
    <t>1.400*100000000</t>
  </si>
  <si>
    <t>7054*10000</t>
  </si>
  <si>
    <t>4167*10000</t>
  </si>
  <si>
    <t>1.208*100000000</t>
  </si>
  <si>
    <t>8838*10000</t>
  </si>
  <si>
    <t>3398*10000</t>
  </si>
  <si>
    <t>8787*10000</t>
  </si>
  <si>
    <t>4028*10000</t>
  </si>
  <si>
    <t>5656*10000</t>
  </si>
  <si>
    <t>5342*10000</t>
  </si>
  <si>
    <t>440.2*10000</t>
  </si>
  <si>
    <t>7785*10000</t>
  </si>
  <si>
    <t>4819*10000</t>
  </si>
  <si>
    <t>1.474*100000000</t>
  </si>
  <si>
    <t>1.254*100000000</t>
  </si>
  <si>
    <t>9068*10000</t>
  </si>
  <si>
    <t>2.510*100000000</t>
  </si>
  <si>
    <t>9021*10000</t>
  </si>
  <si>
    <t>4213*10000</t>
  </si>
  <si>
    <t>3322*10000</t>
  </si>
  <si>
    <t>3854*10000</t>
  </si>
  <si>
    <t>5290*10000</t>
  </si>
  <si>
    <t>9405*10000</t>
  </si>
  <si>
    <t>2486*10000</t>
  </si>
  <si>
    <t>7604*10000</t>
  </si>
  <si>
    <t>3422*10000</t>
  </si>
  <si>
    <t>25.40*100000000</t>
  </si>
  <si>
    <t>22.62*100000000</t>
  </si>
  <si>
    <t>7.421*100000000</t>
  </si>
  <si>
    <t>3.593*100000000</t>
  </si>
  <si>
    <t>2.626*100000000</t>
  </si>
  <si>
    <t>7295*10000</t>
  </si>
  <si>
    <t>2796*10000</t>
  </si>
  <si>
    <t>4595*10000</t>
  </si>
  <si>
    <t>1454*10000</t>
  </si>
  <si>
    <t>2042*10000</t>
  </si>
  <si>
    <t>743.3*10000</t>
  </si>
  <si>
    <t>1.044*100000000</t>
  </si>
  <si>
    <t>9952*10000</t>
  </si>
  <si>
    <t>2.573*100000000</t>
  </si>
  <si>
    <t>7343*10000</t>
  </si>
  <si>
    <t>2867*10000</t>
  </si>
  <si>
    <t>5362*10000</t>
  </si>
  <si>
    <t>1171*10000</t>
  </si>
  <si>
    <t>765.8*10000</t>
  </si>
  <si>
    <t>9983*10000</t>
  </si>
  <si>
    <t>1.000*100000000</t>
  </si>
  <si>
    <t>2.341*100000000</t>
  </si>
  <si>
    <t>6337*10000</t>
  </si>
  <si>
    <t>2295*10000</t>
  </si>
  <si>
    <t>5350*10000</t>
  </si>
  <si>
    <t>260.2*10000</t>
  </si>
  <si>
    <t>727.5*10000</t>
  </si>
  <si>
    <t>6465*10000</t>
  </si>
  <si>
    <t>7257*10000</t>
  </si>
  <si>
    <t>7765*10000</t>
  </si>
  <si>
    <t>57.05*100000000</t>
  </si>
  <si>
    <t>44.14*100000000</t>
  </si>
  <si>
    <t>30.39*100000000</t>
  </si>
  <si>
    <t>29.35*100000000</t>
  </si>
  <si>
    <t>16.41*100000000</t>
  </si>
  <si>
    <t>76.68*100000000</t>
  </si>
  <si>
    <t>57.03*100000000</t>
  </si>
  <si>
    <t>22.43*100000000</t>
  </si>
  <si>
    <t>76.26*100000000</t>
  </si>
  <si>
    <t>57.12*100000000</t>
  </si>
  <si>
    <t>6831*10000</t>
  </si>
  <si>
    <t>3851*10000</t>
  </si>
  <si>
    <t>5722*10000</t>
  </si>
  <si>
    <t>2257*10000</t>
  </si>
  <si>
    <t>4925*10000</t>
  </si>
  <si>
    <t>5661*10000</t>
  </si>
  <si>
    <t>1.801*100000000</t>
  </si>
  <si>
    <t>5843*10000</t>
  </si>
  <si>
    <t>2338*10000</t>
  </si>
  <si>
    <t>4345*10000</t>
  </si>
  <si>
    <t>5896*10000</t>
  </si>
  <si>
    <t>4354*10000</t>
  </si>
  <si>
    <t>3059*10000</t>
  </si>
  <si>
    <t>5095*10000</t>
  </si>
  <si>
    <t>5725*10000</t>
  </si>
  <si>
    <t>2336*10000</t>
  </si>
  <si>
    <t>456.2*10000</t>
  </si>
  <si>
    <t>4365*10000</t>
  </si>
  <si>
    <t>1947*10000</t>
  </si>
  <si>
    <t>1645*10000</t>
  </si>
  <si>
    <t>4761*10000</t>
  </si>
  <si>
    <t>1.524*100000000</t>
  </si>
  <si>
    <t>1.457*100000000</t>
  </si>
  <si>
    <t>9083*10000</t>
  </si>
  <si>
    <t>752.3*100000000</t>
  </si>
  <si>
    <t>534.2*100000000</t>
  </si>
  <si>
    <t>331.3*100000000</t>
  </si>
  <si>
    <t>488.2*100000000</t>
  </si>
  <si>
    <t>332.6*100000000</t>
  </si>
  <si>
    <t>403.6*100000000</t>
  </si>
  <si>
    <t>332.4*100000000</t>
  </si>
  <si>
    <t>213.5*100000000</t>
  </si>
  <si>
    <t>99.27*100000000</t>
  </si>
  <si>
    <t>340.2*100000000</t>
  </si>
  <si>
    <t>274.1*100000000</t>
  </si>
  <si>
    <t>174.8*100000000</t>
  </si>
  <si>
    <t>8.971*100000000</t>
  </si>
  <si>
    <t>7531*10000</t>
  </si>
  <si>
    <t>8.490*100000000</t>
  </si>
  <si>
    <t>5.332*100000000</t>
  </si>
  <si>
    <t>3.506*100000000</t>
  </si>
  <si>
    <t>1963*10000</t>
  </si>
  <si>
    <t>5.458*100000000</t>
  </si>
  <si>
    <t>1.240*100000000</t>
  </si>
  <si>
    <t>1023*10000</t>
  </si>
  <si>
    <t>7.312*100000000</t>
  </si>
  <si>
    <t>7606*10000</t>
  </si>
  <si>
    <t>7.610*100000000</t>
  </si>
  <si>
    <t>3.339*100000000</t>
  </si>
  <si>
    <t>1.295*100000000</t>
  </si>
  <si>
    <t>3.284*100000000</t>
  </si>
  <si>
    <t>6.221*100000000</t>
  </si>
  <si>
    <t>1.093*100000000</t>
  </si>
  <si>
    <t>8.057*100000000</t>
  </si>
  <si>
    <t>5.428*100000000</t>
  </si>
  <si>
    <t>5525*10000</t>
  </si>
  <si>
    <t>5.465*100000000</t>
  </si>
  <si>
    <t>2.625*100000000</t>
  </si>
  <si>
    <t>2.309*100000000</t>
  </si>
  <si>
    <t>2.258*100000000</t>
  </si>
  <si>
    <t>2251*10000</t>
  </si>
  <si>
    <t>4.589*100000000</t>
  </si>
  <si>
    <t>6721*10000</t>
  </si>
  <si>
    <t>8218*10000</t>
  </si>
  <si>
    <t>61.01*100000000</t>
  </si>
  <si>
    <t>27.36*100000000</t>
  </si>
  <si>
    <t>47.20*100000000</t>
  </si>
  <si>
    <t>34.06*100000000</t>
  </si>
  <si>
    <t>57.26*100000000</t>
  </si>
  <si>
    <t>27.57*100000000</t>
  </si>
  <si>
    <t>13.91*100000000</t>
  </si>
  <si>
    <t>38.28*100000000</t>
  </si>
  <si>
    <t>24.66*100000000</t>
  </si>
  <si>
    <t>9153*10000</t>
  </si>
  <si>
    <t>405.8*10000</t>
  </si>
  <si>
    <t>2.383*100000000</t>
  </si>
  <si>
    <t>2394*10000</t>
  </si>
  <si>
    <t>2.244*100000000</t>
  </si>
  <si>
    <t>1337*10000</t>
  </si>
  <si>
    <t>687.7*10000</t>
  </si>
  <si>
    <t>512.9*10000</t>
  </si>
  <si>
    <t>9178*10000</t>
  </si>
  <si>
    <t>2531*10000</t>
  </si>
  <si>
    <t>402.7*10000</t>
  </si>
  <si>
    <t>2361*10000</t>
  </si>
  <si>
    <t>9489*10000</t>
  </si>
  <si>
    <t>676.9*10000</t>
  </si>
  <si>
    <t>5262*10000</t>
  </si>
  <si>
    <t>286.7*10000</t>
  </si>
  <si>
    <t>1.043*100000000</t>
  </si>
  <si>
    <t>2052*10000</t>
  </si>
  <si>
    <t>1.970*100000000</t>
  </si>
  <si>
    <t>8592*10000</t>
  </si>
  <si>
    <t>435.9*10000</t>
  </si>
  <si>
    <t>631.6*10000</t>
  </si>
  <si>
    <t>6.898*100000000</t>
  </si>
  <si>
    <t>7.259*100000000</t>
  </si>
  <si>
    <t>1.870*100000000</t>
  </si>
  <si>
    <t>18.77*100000000</t>
  </si>
  <si>
    <t>2.432*100000000</t>
  </si>
  <si>
    <t>9.093*100000000</t>
  </si>
  <si>
    <t>7251*10000</t>
  </si>
  <si>
    <t>3.034*100000000</t>
  </si>
  <si>
    <t>2.628*100000000</t>
  </si>
  <si>
    <t>1.546*100000000</t>
  </si>
  <si>
    <t>4843*10000</t>
  </si>
  <si>
    <t>4723*10000</t>
  </si>
  <si>
    <t>4000*10000</t>
  </si>
  <si>
    <t>2785*10000</t>
  </si>
  <si>
    <t>1827*10000</t>
  </si>
  <si>
    <t>7234*10000</t>
  </si>
  <si>
    <t>2.606*100000000</t>
  </si>
  <si>
    <t>4361*10000</t>
  </si>
  <si>
    <t>2.386*100000000</t>
  </si>
  <si>
    <t>4826*10000</t>
  </si>
  <si>
    <t>6208*10000</t>
  </si>
  <si>
    <t>5591*10000</t>
  </si>
  <si>
    <t>4456*10000</t>
  </si>
  <si>
    <t>3483*10000</t>
  </si>
  <si>
    <t>9556*10000</t>
  </si>
  <si>
    <t>5494*10000</t>
  </si>
  <si>
    <t>1.229*100000000</t>
  </si>
  <si>
    <t>3493*10000</t>
  </si>
  <si>
    <t>1.715*100000000</t>
  </si>
  <si>
    <t>3754*10000</t>
  </si>
  <si>
    <t>3659*10000</t>
  </si>
  <si>
    <t>3221*10000</t>
  </si>
  <si>
    <t>3185*10000</t>
  </si>
  <si>
    <t>42.47*100000000</t>
  </si>
  <si>
    <t>30.93*100000000</t>
  </si>
  <si>
    <t>18.75*100000000</t>
  </si>
  <si>
    <t>9.169*100000000</t>
  </si>
  <si>
    <t>7.759*100000000</t>
  </si>
  <si>
    <t>1283*10000</t>
  </si>
  <si>
    <t>29.72*100000000</t>
  </si>
  <si>
    <t>7803*10000</t>
  </si>
  <si>
    <t>3431*10000</t>
  </si>
  <si>
    <t>9260*10000</t>
  </si>
  <si>
    <t>1.379*100000000</t>
  </si>
  <si>
    <t>100.5*10000</t>
  </si>
  <si>
    <t>2.325*100000000</t>
  </si>
  <si>
    <t>1.298*100000000</t>
  </si>
  <si>
    <t>2.066*100000000</t>
  </si>
  <si>
    <t>37.08*10000</t>
  </si>
  <si>
    <t>7177*10000</t>
  </si>
  <si>
    <t>8715*10000</t>
  </si>
  <si>
    <t>6581*10000</t>
  </si>
  <si>
    <t>1.855*100000000</t>
  </si>
  <si>
    <t>3735*10000</t>
  </si>
  <si>
    <t>324.6*100000000</t>
  </si>
  <si>
    <t>224.5*100000000</t>
  </si>
  <si>
    <t>147.4*100000000</t>
  </si>
  <si>
    <t>61.89*100000000</t>
  </si>
  <si>
    <t>204.1*100000000</t>
  </si>
  <si>
    <t>38.49*100000000</t>
  </si>
  <si>
    <t>314.4*100000000</t>
  </si>
  <si>
    <t>143.9*100000000</t>
  </si>
  <si>
    <t>59.76*100000000</t>
  </si>
  <si>
    <t>190.4*100000000</t>
  </si>
  <si>
    <t>45.09*100000000</t>
  </si>
  <si>
    <t>49.66*100000000</t>
  </si>
  <si>
    <t>76.99*100000000</t>
  </si>
  <si>
    <t>55.25*100000000</t>
  </si>
  <si>
    <t>66.57*100000000</t>
  </si>
  <si>
    <t>43.06*100000000</t>
  </si>
  <si>
    <t>13.51*100000000</t>
  </si>
  <si>
    <t>71.70*100000000</t>
  </si>
  <si>
    <t>46.73*100000000</t>
  </si>
  <si>
    <t>28.03*100000000</t>
  </si>
  <si>
    <t>7.280*100000000</t>
  </si>
  <si>
    <t>73.73*100000000</t>
  </si>
  <si>
    <t>33.77*100000000</t>
  </si>
  <si>
    <t>76.64*100000000</t>
  </si>
  <si>
    <t>54.86*100000000</t>
  </si>
  <si>
    <t>30.83*100000000</t>
  </si>
  <si>
    <t>87.16*100000000</t>
  </si>
  <si>
    <t>66.53*100000000</t>
  </si>
  <si>
    <t>43.07*100000000</t>
  </si>
  <si>
    <t>13.54*100000000</t>
  </si>
  <si>
    <t>71.31*100000000</t>
  </si>
  <si>
    <t>46.67*100000000</t>
  </si>
  <si>
    <t>7.257*100000000</t>
  </si>
  <si>
    <t>58.05*100000000</t>
  </si>
  <si>
    <t>38.94*100000000</t>
  </si>
  <si>
    <t>26.66*100000000</t>
  </si>
  <si>
    <t>8.045*100000000</t>
  </si>
  <si>
    <t>61.74*100000000</t>
  </si>
  <si>
    <t>44.31*100000000</t>
  </si>
  <si>
    <t>70.21*100000000</t>
  </si>
  <si>
    <t>53.71*100000000</t>
  </si>
  <si>
    <t>34.93*100000000</t>
  </si>
  <si>
    <t>1159*100000000</t>
  </si>
  <si>
    <t>796.4*100000000</t>
  </si>
  <si>
    <t>518.4*100000000</t>
  </si>
  <si>
    <t>258.5*100000000</t>
  </si>
  <si>
    <t>881.0*100000000</t>
  </si>
  <si>
    <t>595.4*100000000</t>
  </si>
  <si>
    <t>384.5*100000000</t>
  </si>
  <si>
    <t>886.5*100000000</t>
  </si>
  <si>
    <t>663.0*100000000</t>
  </si>
  <si>
    <t>451.7*100000000</t>
  </si>
  <si>
    <t>31.40*100000000</t>
  </si>
  <si>
    <t>136.3*100000000</t>
  </si>
  <si>
    <t>66.45*100000000</t>
  </si>
  <si>
    <t>135.3*100000000</t>
  </si>
  <si>
    <t>103.2*100000000</t>
  </si>
  <si>
    <t>70.36*100000000</t>
  </si>
  <si>
    <t>25.08*100000000</t>
  </si>
  <si>
    <t>105.8*100000000</t>
  </si>
  <si>
    <t>73.12*100000000</t>
  </si>
  <si>
    <t>43.83*100000000</t>
  </si>
  <si>
    <t>77.94*100000000</t>
  </si>
  <si>
    <t>60.59*100000000</t>
  </si>
  <si>
    <t>4.056*100000000</t>
  </si>
  <si>
    <t>4.351*100000000</t>
  </si>
  <si>
    <t>134.7*100000000</t>
  </si>
  <si>
    <t>70.31*100000000</t>
  </si>
  <si>
    <t>25.28*100000000</t>
  </si>
  <si>
    <t>104.3*100000000</t>
  </si>
  <si>
    <t>73.16*100000000</t>
  </si>
  <si>
    <t>79.78*100000000</t>
  </si>
  <si>
    <t>62.27*100000000</t>
  </si>
  <si>
    <t>4.097*100000000</t>
  </si>
  <si>
    <t>4.422*100000000</t>
  </si>
  <si>
    <t>80.17*100000000</t>
  </si>
  <si>
    <t>54.79*100000000</t>
  </si>
  <si>
    <t>18.35*100000000</t>
  </si>
  <si>
    <t>78.33*100000000</t>
  </si>
  <si>
    <t>54.80*100000000</t>
  </si>
  <si>
    <t>33.00*100000000</t>
  </si>
  <si>
    <t>83.54*100000000</t>
  </si>
  <si>
    <t>3.602*100000000</t>
  </si>
  <si>
    <t>3.733*100000000</t>
  </si>
  <si>
    <t>1139*100000000</t>
  </si>
  <si>
    <t>858.2*100000000</t>
  </si>
  <si>
    <t>568.6*100000000</t>
  </si>
  <si>
    <t>238.9*100000000</t>
  </si>
  <si>
    <t>816.1*100000000</t>
  </si>
  <si>
    <t>582.1*100000000</t>
  </si>
  <si>
    <t>374.3*100000000</t>
  </si>
  <si>
    <t>162.1*100000000</t>
  </si>
  <si>
    <t>782.6*100000000</t>
  </si>
  <si>
    <t>575.8*100000000</t>
  </si>
  <si>
    <t>370.3*100000000</t>
  </si>
  <si>
    <t>819.5*100000000</t>
  </si>
  <si>
    <t>631.2*100000000</t>
  </si>
  <si>
    <t>400.6*100000000</t>
  </si>
  <si>
    <t>183.1*100000000</t>
  </si>
  <si>
    <t>73.68*100000000</t>
  </si>
  <si>
    <t>86.65*100000000</t>
  </si>
  <si>
    <t>19.55*100000000</t>
  </si>
  <si>
    <t>5.034*100000000</t>
  </si>
  <si>
    <t>19.96*100000000</t>
  </si>
  <si>
    <t>13.85*100000000</t>
  </si>
  <si>
    <t>80.85*100000000</t>
  </si>
  <si>
    <t>69.40*100000000</t>
  </si>
  <si>
    <t>41.09*100000000</t>
  </si>
  <si>
    <t>17.81*100000000</t>
  </si>
  <si>
    <t>70.16*100000000</t>
  </si>
  <si>
    <t>86.95*100000000</t>
  </si>
  <si>
    <t>62.84*100000000</t>
  </si>
  <si>
    <t>30.81*100000000</t>
  </si>
  <si>
    <t>5.058*100000000</t>
  </si>
  <si>
    <t>22.98*100000000</t>
  </si>
  <si>
    <t>22.69*100000000</t>
  </si>
  <si>
    <t>70.34*100000000</t>
  </si>
  <si>
    <t>42.02*100000000</t>
  </si>
  <si>
    <t>17.80*100000000</t>
  </si>
  <si>
    <t>59.94*100000000</t>
  </si>
  <si>
    <t>50.38*100000000</t>
  </si>
  <si>
    <t>9.976*100000000</t>
  </si>
  <si>
    <t>14.18*100000000</t>
  </si>
  <si>
    <t>70.58*100000000</t>
  </si>
  <si>
    <t>63.90*100000000</t>
  </si>
  <si>
    <t>99.17*100000000</t>
  </si>
  <si>
    <t>62.89*100000000</t>
  </si>
  <si>
    <t>29.97*100000000</t>
  </si>
  <si>
    <t>89.12*100000000</t>
  </si>
  <si>
    <t>78.65*100000000</t>
  </si>
  <si>
    <t>106.7*100000000</t>
  </si>
  <si>
    <t>64.99*100000000</t>
  </si>
  <si>
    <t>34.79*100000000</t>
  </si>
  <si>
    <t>112.5*100000000</t>
  </si>
  <si>
    <t>87.26*100000000</t>
  </si>
  <si>
    <t>57.46*100000000</t>
  </si>
  <si>
    <t>24.74*100000000</t>
  </si>
  <si>
    <t>19.30*100000000</t>
  </si>
  <si>
    <t>4.006*100000000</t>
  </si>
  <si>
    <t>4.478*100000000</t>
  </si>
  <si>
    <t>7527*10000</t>
  </si>
  <si>
    <t>7801*10000</t>
  </si>
  <si>
    <t>7.399*100000000</t>
  </si>
  <si>
    <t>5.936*100000000</t>
  </si>
  <si>
    <t>24.60*100000000</t>
  </si>
  <si>
    <t>19.26*100000000</t>
  </si>
  <si>
    <t>4.004*100000000</t>
  </si>
  <si>
    <t>4.325*100000000</t>
  </si>
  <si>
    <t>6871*10000</t>
  </si>
  <si>
    <t>7831*10000</t>
  </si>
  <si>
    <t>7.688*100000000</t>
  </si>
  <si>
    <t>3.994*100000000</t>
  </si>
  <si>
    <t>9.079*100000000</t>
  </si>
  <si>
    <t>5.911*100000000</t>
  </si>
  <si>
    <t>3.698*100000000</t>
  </si>
  <si>
    <t>6287*10000</t>
  </si>
  <si>
    <t>5948*10000</t>
  </si>
  <si>
    <t>6.508*100000000</t>
  </si>
  <si>
    <t>5.855*100000000</t>
  </si>
  <si>
    <t>2.435*100000000</t>
  </si>
  <si>
    <t>9.664*100000000</t>
  </si>
  <si>
    <t>1.606*100000000</t>
  </si>
  <si>
    <t>11.19*100000000</t>
  </si>
  <si>
    <t>6.019*100000000</t>
  </si>
  <si>
    <t>17.90*100000000</t>
  </si>
  <si>
    <t>64.00*100000000</t>
  </si>
  <si>
    <t>45.17*100000000</t>
  </si>
  <si>
    <t>30.49*100000000</t>
  </si>
  <si>
    <t>16.14*100000000</t>
  </si>
  <si>
    <t>59.09*100000000</t>
  </si>
  <si>
    <t>42.06*100000000</t>
  </si>
  <si>
    <t>29.37*100000000</t>
  </si>
  <si>
    <t>8.085*100000000</t>
  </si>
  <si>
    <t>6.471*100000000</t>
  </si>
  <si>
    <t>5.042*100000000</t>
  </si>
  <si>
    <t>6.542*100000000</t>
  </si>
  <si>
    <t>4.798*100000000</t>
  </si>
  <si>
    <t>2.621*100000000</t>
  </si>
  <si>
    <t>3559*10000</t>
  </si>
  <si>
    <t>6.793*100000000</t>
  </si>
  <si>
    <t>3.891*100000000</t>
  </si>
  <si>
    <t>1.590*100000000</t>
  </si>
  <si>
    <t>4.802*100000000</t>
  </si>
  <si>
    <t>1.455*100000000</t>
  </si>
  <si>
    <t>5.126*100000000</t>
  </si>
  <si>
    <t>4.437*100000000</t>
  </si>
  <si>
    <t>3.570*100000000</t>
  </si>
  <si>
    <t>2.706*100000000</t>
  </si>
  <si>
    <t>4.704*100000000</t>
  </si>
  <si>
    <t>2.272*100000000</t>
  </si>
  <si>
    <t>3.055*100000000</t>
  </si>
  <si>
    <t>46.49*100000000</t>
  </si>
  <si>
    <t>33.86*100000000</t>
  </si>
  <si>
    <t>6.503*100000000</t>
  </si>
  <si>
    <t>45.11*100000000</t>
  </si>
  <si>
    <t>21.37*100000000</t>
  </si>
  <si>
    <t>38.57*100000000</t>
  </si>
  <si>
    <t>1721*10000</t>
  </si>
  <si>
    <t>2.372*100000000</t>
  </si>
  <si>
    <t>9376*10000</t>
  </si>
  <si>
    <t>1.113*100000000</t>
  </si>
  <si>
    <t>8887*10000</t>
  </si>
  <si>
    <t>5918*10000</t>
  </si>
  <si>
    <t>1998*10000</t>
  </si>
  <si>
    <t>9592*10000</t>
  </si>
  <si>
    <t>4046*10000</t>
  </si>
  <si>
    <t>1.195*100000000</t>
  </si>
  <si>
    <t>1.284*100000000</t>
  </si>
  <si>
    <t>3759*10000</t>
  </si>
  <si>
    <t>5086*10000</t>
  </si>
  <si>
    <t>9602*10000</t>
  </si>
  <si>
    <t>2.222*100000000</t>
  </si>
  <si>
    <t>1.414*100000000</t>
  </si>
  <si>
    <t>8589*10000</t>
  </si>
  <si>
    <t>3589*10000</t>
  </si>
  <si>
    <t>1.068*100000000</t>
  </si>
  <si>
    <t>8166*10000</t>
  </si>
  <si>
    <t>3529*10000</t>
  </si>
  <si>
    <t>8.630*100000000</t>
  </si>
  <si>
    <t>6.637*100000000</t>
  </si>
  <si>
    <t>4.962*100000000</t>
  </si>
  <si>
    <t>4709*10000</t>
  </si>
  <si>
    <t>2983*10000</t>
  </si>
  <si>
    <t>8993*10000</t>
  </si>
  <si>
    <t>4.444*100000000</t>
  </si>
  <si>
    <t>3.767*100000000</t>
  </si>
  <si>
    <t>8105*10000</t>
  </si>
  <si>
    <t>2.300*100000000</t>
  </si>
  <si>
    <t>4193*10000</t>
  </si>
  <si>
    <t>3.925*100000000</t>
  </si>
  <si>
    <t>2.561*100000000</t>
  </si>
  <si>
    <t>8110*10000</t>
  </si>
  <si>
    <t>4201*10000</t>
  </si>
  <si>
    <t>7250*10000</t>
  </si>
  <si>
    <t>3628*10000</t>
  </si>
  <si>
    <t>12.84*100000000</t>
  </si>
  <si>
    <t>8.777*100000000</t>
  </si>
  <si>
    <t>6.812*100000000</t>
  </si>
  <si>
    <t>5.217*100000000</t>
  </si>
  <si>
    <t>9.145*100000000</t>
  </si>
  <si>
    <t>6.082*100000000</t>
  </si>
  <si>
    <t>2.478*100000000</t>
  </si>
  <si>
    <t>6.117*100000000</t>
  </si>
  <si>
    <t>3081*10000</t>
  </si>
  <si>
    <t>2728*10000</t>
  </si>
  <si>
    <t>1520*10000</t>
  </si>
  <si>
    <t>894.9*10000</t>
  </si>
  <si>
    <t>3032*10000</t>
  </si>
  <si>
    <t>577.4*10000</t>
  </si>
  <si>
    <t>3075*10000</t>
  </si>
  <si>
    <t>2655*10000</t>
  </si>
  <si>
    <t>2771*10000</t>
  </si>
  <si>
    <t>875.7*10000</t>
  </si>
  <si>
    <t>3412*10000</t>
  </si>
  <si>
    <t>2670*10000</t>
  </si>
  <si>
    <t>1643*10000</t>
  </si>
  <si>
    <t>946.2*10000</t>
  </si>
  <si>
    <t>3239*10000</t>
  </si>
  <si>
    <t>2291*10000</t>
  </si>
  <si>
    <t>2027*10000</t>
  </si>
  <si>
    <t>578.3*10000</t>
  </si>
  <si>
    <t>3437*10000</t>
  </si>
  <si>
    <t>2907*10000</t>
  </si>
  <si>
    <t>891.7*10000</t>
  </si>
  <si>
    <t>2323*10000</t>
  </si>
  <si>
    <t>883.7*10000</t>
  </si>
  <si>
    <t>2020*10000</t>
  </si>
  <si>
    <t>2292*10000</t>
  </si>
  <si>
    <t>1764*10000</t>
  </si>
  <si>
    <t>575.7*10000</t>
  </si>
  <si>
    <t>780.0*10000</t>
  </si>
  <si>
    <t>9.249*100000000</t>
  </si>
  <si>
    <t>5.975*100000000</t>
  </si>
  <si>
    <t>3.446*100000000</t>
  </si>
  <si>
    <t>6386*10000</t>
  </si>
  <si>
    <t>23.49*100000000</t>
  </si>
  <si>
    <t>53.75*100000000</t>
  </si>
  <si>
    <t>15.71*100000000</t>
  </si>
  <si>
    <t>7.785*100000000</t>
  </si>
  <si>
    <t>33.06*100000000</t>
  </si>
  <si>
    <t>23.45*100000000</t>
  </si>
  <si>
    <t>15.44*100000000</t>
  </si>
  <si>
    <t>7.911*100000000</t>
  </si>
  <si>
    <t>1.415*100000000</t>
  </si>
  <si>
    <t>9625*10000</t>
  </si>
  <si>
    <t>1.871*100000000</t>
  </si>
  <si>
    <t>7864*10000</t>
  </si>
  <si>
    <t>4.175*100000000</t>
  </si>
  <si>
    <t>2.105*100000000</t>
  </si>
  <si>
    <t>2.962*100000000</t>
  </si>
  <si>
    <t>853.1*10000</t>
  </si>
  <si>
    <t>1.411*100000000</t>
  </si>
  <si>
    <t>9633*10000</t>
  </si>
  <si>
    <t>7477*10000</t>
  </si>
  <si>
    <t>7828*10000</t>
  </si>
  <si>
    <t>3.054*100000000</t>
  </si>
  <si>
    <t>3.113*100000000</t>
  </si>
  <si>
    <t>974.6*10000</t>
  </si>
  <si>
    <t>3252*10000</t>
  </si>
  <si>
    <t>8267*10000</t>
  </si>
  <si>
    <t>1.446*100000000</t>
  </si>
  <si>
    <t>3.313*100000000</t>
  </si>
  <si>
    <t>1.706*100000000</t>
  </si>
  <si>
    <t>1.698*100000000</t>
  </si>
  <si>
    <t>2072*10000</t>
  </si>
  <si>
    <t>2722*10000</t>
  </si>
  <si>
    <t>41.68*100000000</t>
  </si>
  <si>
    <t>22.14*100000000</t>
  </si>
  <si>
    <t>86.62*100000000</t>
  </si>
  <si>
    <t>33.93*100000000</t>
  </si>
  <si>
    <t>64.35*100000000</t>
  </si>
  <si>
    <t>35.70*100000000</t>
  </si>
  <si>
    <t>6.139*100000000</t>
  </si>
  <si>
    <t>4.384*100000000</t>
  </si>
  <si>
    <t>4.155*100000000</t>
  </si>
  <si>
    <t>4.639*100000000</t>
  </si>
  <si>
    <t>3.435*100000000</t>
  </si>
  <si>
    <t>18.01*100000000</t>
  </si>
  <si>
    <t>8.788*100000000</t>
  </si>
  <si>
    <t>4.824*100000000</t>
  </si>
  <si>
    <t>11.20*100000000</t>
  </si>
  <si>
    <t>4.395*100000000</t>
  </si>
  <si>
    <t>5.863*100000000</t>
  </si>
  <si>
    <t>4.582*100000000</t>
  </si>
  <si>
    <t>1.053*100000000</t>
  </si>
  <si>
    <t>8.654*100000000</t>
  </si>
  <si>
    <t>4.763*100000000</t>
  </si>
  <si>
    <t>8.116*100000000</t>
  </si>
  <si>
    <t>4.385*100000000</t>
  </si>
  <si>
    <t>2.204*100000000</t>
  </si>
  <si>
    <t>2.140*100000000</t>
  </si>
  <si>
    <t>9.412*100000000</t>
  </si>
  <si>
    <t>6.902*100000000</t>
  </si>
  <si>
    <t>3.686*100000000</t>
  </si>
  <si>
    <t>8.277*100000000</t>
  </si>
  <si>
    <t>6.091*100000000</t>
  </si>
  <si>
    <t>93.15*100000000</t>
  </si>
  <si>
    <t>72.36*100000000</t>
  </si>
  <si>
    <t>46.64*100000000</t>
  </si>
  <si>
    <t>80.05*100000000</t>
  </si>
  <si>
    <t>35.03*100000000</t>
  </si>
  <si>
    <t>61.78*100000000</t>
  </si>
  <si>
    <t>39.37*100000000</t>
  </si>
  <si>
    <t>70.55*100000000</t>
  </si>
  <si>
    <t>53.46*100000000</t>
  </si>
  <si>
    <t>3.606*100000000</t>
  </si>
  <si>
    <t>3.060*100000000</t>
  </si>
  <si>
    <t>1.792*100000000</t>
  </si>
  <si>
    <t>5499*10000</t>
  </si>
  <si>
    <t>2.201*100000000</t>
  </si>
  <si>
    <t>1.911*100000000</t>
  </si>
  <si>
    <t>6473*10000</t>
  </si>
  <si>
    <t>2.803*100000000</t>
  </si>
  <si>
    <t>1.895*100000000</t>
  </si>
  <si>
    <t>9804*10000</t>
  </si>
  <si>
    <t>9591*10000</t>
  </si>
  <si>
    <t>1.789*100000000</t>
  </si>
  <si>
    <t>3.613*100000000</t>
  </si>
  <si>
    <t>9803*10000</t>
  </si>
  <si>
    <t>9465*10000</t>
  </si>
  <si>
    <t>1.361*100000000</t>
  </si>
  <si>
    <t>8065*10000</t>
  </si>
  <si>
    <t>4829*10000</t>
  </si>
  <si>
    <t>2.673*100000000</t>
  </si>
  <si>
    <t>2.094*100000000</t>
  </si>
  <si>
    <t>2.579*100000000</t>
  </si>
  <si>
    <t>6950*10000</t>
  </si>
  <si>
    <t>1.209*100000000</t>
  </si>
  <si>
    <t>8115*10000</t>
  </si>
  <si>
    <t>3327*10000</t>
  </si>
  <si>
    <t>8563*10000</t>
  </si>
  <si>
    <t>6250*10000</t>
  </si>
  <si>
    <t>3714*10000</t>
  </si>
  <si>
    <t>2064*10000</t>
  </si>
  <si>
    <t>2.932*100000000</t>
  </si>
  <si>
    <t>8929*10000</t>
  </si>
  <si>
    <t>7.013*100000000</t>
  </si>
  <si>
    <t>6.136*100000000</t>
  </si>
  <si>
    <t>4.402*100000000</t>
  </si>
  <si>
    <t>2.037*100000000</t>
  </si>
  <si>
    <t>8389*10000</t>
  </si>
  <si>
    <t>8070*10000</t>
  </si>
  <si>
    <t>4176*10000</t>
  </si>
  <si>
    <t>4235*10000</t>
  </si>
  <si>
    <t>2298*10000</t>
  </si>
  <si>
    <t>1753*10000</t>
  </si>
  <si>
    <t>3542*10000</t>
  </si>
  <si>
    <t>1483*10000</t>
  </si>
  <si>
    <t>1453*10000</t>
  </si>
  <si>
    <t>4172*10000</t>
  </si>
  <si>
    <t>4680*10000</t>
  </si>
  <si>
    <t>988.1*10000</t>
  </si>
  <si>
    <t>2906*10000</t>
  </si>
  <si>
    <t>7145*10000</t>
  </si>
  <si>
    <t>6897*10000</t>
  </si>
  <si>
    <t>4143*10000</t>
  </si>
  <si>
    <t>2487*10000</t>
  </si>
  <si>
    <t>1787*10000</t>
  </si>
  <si>
    <t>7338*10000</t>
  </si>
  <si>
    <t>4990*10000</t>
  </si>
  <si>
    <t>967.0*10000</t>
  </si>
  <si>
    <t>1527*10000</t>
  </si>
  <si>
    <t>5289*10000</t>
  </si>
  <si>
    <t>1471*10000</t>
  </si>
  <si>
    <t>2926*10000</t>
  </si>
  <si>
    <t>3233*10000</t>
  </si>
  <si>
    <t>4877*10000</t>
  </si>
  <si>
    <t>1222*10000</t>
  </si>
  <si>
    <t>1106*10000</t>
  </si>
  <si>
    <t>4584*10000</t>
  </si>
  <si>
    <t>3235*10000</t>
  </si>
  <si>
    <t>634.5*10000</t>
  </si>
  <si>
    <t>3556*10000</t>
  </si>
  <si>
    <t>19.33*10000</t>
  </si>
  <si>
    <t>6.319*100000000</t>
  </si>
  <si>
    <t>8.580*100000000</t>
  </si>
  <si>
    <t>5.021*100000000</t>
  </si>
  <si>
    <t>6.173*100000000</t>
  </si>
  <si>
    <t>8.587*100000000</t>
  </si>
  <si>
    <t>2472*10000</t>
  </si>
  <si>
    <t>1472*10000</t>
  </si>
  <si>
    <t>7150*10000</t>
  </si>
  <si>
    <t>2458*10000</t>
  </si>
  <si>
    <t>4161*10000</t>
  </si>
  <si>
    <t>2950*10000</t>
  </si>
  <si>
    <t>1860*10000</t>
  </si>
  <si>
    <t>3733*10000</t>
  </si>
  <si>
    <t>1513*10000</t>
  </si>
  <si>
    <t>4757*10000</t>
  </si>
  <si>
    <t>1475*10000</t>
  </si>
  <si>
    <t>7598*10000</t>
  </si>
  <si>
    <t>6863*10000</t>
  </si>
  <si>
    <t>3823*10000</t>
  </si>
  <si>
    <t>3738*10000</t>
  </si>
  <si>
    <t>2636*10000</t>
  </si>
  <si>
    <t>1514*10000</t>
  </si>
  <si>
    <t>4942*10000</t>
  </si>
  <si>
    <t>3597*10000</t>
  </si>
  <si>
    <t>2595*10000</t>
  </si>
  <si>
    <t>6854*10000</t>
  </si>
  <si>
    <t>5768*10000</t>
  </si>
  <si>
    <t>5309*10000</t>
  </si>
  <si>
    <t>3019*10000</t>
  </si>
  <si>
    <t>1412*10000</t>
  </si>
  <si>
    <t>4719*10000</t>
  </si>
  <si>
    <t>2921*10000</t>
  </si>
  <si>
    <t>1151*10000</t>
  </si>
  <si>
    <t>247.2*100000000</t>
  </si>
  <si>
    <t>114.3*100000000</t>
  </si>
  <si>
    <t>233.9*100000000</t>
  </si>
  <si>
    <t>171.2*100000000</t>
  </si>
  <si>
    <t>109.8*100000000</t>
  </si>
  <si>
    <t>222.9*100000000</t>
  </si>
  <si>
    <t>42.67*100000000</t>
  </si>
  <si>
    <t>159.1*100000000</t>
  </si>
  <si>
    <t>103.1*100000000</t>
  </si>
  <si>
    <t>39.82*100000000</t>
  </si>
  <si>
    <t>4.362*100000000</t>
  </si>
  <si>
    <t>19.42*100000000</t>
  </si>
  <si>
    <t>4.103*100000000</t>
  </si>
  <si>
    <t>23.53*100000000</t>
  </si>
  <si>
    <t>12.30*100000000</t>
  </si>
  <si>
    <t>12.85*100000000</t>
  </si>
  <si>
    <t>4.378*100000000</t>
  </si>
  <si>
    <t>1.874*100000000</t>
  </si>
  <si>
    <t>4.112*100000000</t>
  </si>
  <si>
    <t>24.26*100000000</t>
  </si>
  <si>
    <t>12.18*100000000</t>
  </si>
  <si>
    <t>14.81*100000000</t>
  </si>
  <si>
    <t>9.802*100000000</t>
  </si>
  <si>
    <t>3.843*100000000</t>
  </si>
  <si>
    <t>9.762*100000000</t>
  </si>
  <si>
    <t>3.950*100000000</t>
  </si>
  <si>
    <t>8.331*100000000</t>
  </si>
  <si>
    <t>4.335*100000000</t>
  </si>
  <si>
    <t>2.544*100000000</t>
  </si>
  <si>
    <t>21.93*100000000</t>
  </si>
  <si>
    <t>19.02*100000000</t>
  </si>
  <si>
    <t>8.038*100000000</t>
  </si>
  <si>
    <t>2.710*100000000</t>
  </si>
  <si>
    <t>10.27*100000000</t>
  </si>
  <si>
    <t>4.129*100000000</t>
  </si>
  <si>
    <t>2.789*100000000</t>
  </si>
  <si>
    <t>2.771*100000000</t>
  </si>
  <si>
    <t>446.8*10000</t>
  </si>
  <si>
    <t>1457*10000</t>
  </si>
  <si>
    <t>2.418*100000000</t>
  </si>
  <si>
    <t>2.864*100000000</t>
  </si>
  <si>
    <t>2.830*100000000</t>
  </si>
  <si>
    <t>3.000*100000000</t>
  </si>
  <si>
    <t>1606*10000</t>
  </si>
  <si>
    <t>1.292*100000000</t>
  </si>
  <si>
    <t>755.9*10000</t>
  </si>
  <si>
    <t>2.653*100000000</t>
  </si>
  <si>
    <t>2.560*100000000</t>
  </si>
  <si>
    <t>2.513*100000000</t>
  </si>
  <si>
    <t>2.580*100000000</t>
  </si>
  <si>
    <t>18.74*10000</t>
  </si>
  <si>
    <t>789.6*10000</t>
  </si>
  <si>
    <t>604.0*10000</t>
  </si>
  <si>
    <t>348.4*100000000</t>
  </si>
  <si>
    <t>234.7*100000000</t>
  </si>
  <si>
    <t>382.2*100000000</t>
  </si>
  <si>
    <t>282.5*100000000</t>
  </si>
  <si>
    <t>177.9*100000000</t>
  </si>
  <si>
    <t>348.6*100000000</t>
  </si>
  <si>
    <t>255.4*100000000</t>
  </si>
  <si>
    <t>180.7*100000000</t>
  </si>
  <si>
    <t>102.6*100000000</t>
  </si>
  <si>
    <t>237.7*100000000</t>
  </si>
  <si>
    <t>161.8*100000000</t>
  </si>
  <si>
    <t>184.5*100000000</t>
  </si>
  <si>
    <t>168.6*100000000</t>
  </si>
  <si>
    <t>158.6*100000000</t>
  </si>
  <si>
    <t>78.23*100000000</t>
  </si>
  <si>
    <t>31.69*100000000</t>
  </si>
  <si>
    <t>138.1*100000000</t>
  </si>
  <si>
    <t>106.2*100000000</t>
  </si>
  <si>
    <t>79.88*100000000</t>
  </si>
  <si>
    <t>53.16*100000000</t>
  </si>
  <si>
    <t>71.10*100000000</t>
  </si>
  <si>
    <t>40.65*100000000</t>
  </si>
  <si>
    <t>23.04*100000000</t>
  </si>
  <si>
    <t>185.4*100000000</t>
  </si>
  <si>
    <t>116.6*100000000</t>
  </si>
  <si>
    <t>157.6*100000000</t>
  </si>
  <si>
    <t>122.7*100000000</t>
  </si>
  <si>
    <t>78.19*100000000</t>
  </si>
  <si>
    <t>31.53*100000000</t>
  </si>
  <si>
    <t>75.70*100000000</t>
  </si>
  <si>
    <t>137.5*100000000</t>
  </si>
  <si>
    <t>127.6*100000000</t>
  </si>
  <si>
    <t>88.89*100000000</t>
  </si>
  <si>
    <t>39.28*100000000</t>
  </si>
  <si>
    <t>92.53*100000000</t>
  </si>
  <si>
    <t>80.75*100000000</t>
  </si>
  <si>
    <t>60.68*100000000</t>
  </si>
  <si>
    <t>40.99*100000000</t>
  </si>
  <si>
    <t>57.71*100000000</t>
  </si>
  <si>
    <t>40.92*100000000</t>
  </si>
  <si>
    <t>34.59*100000000</t>
  </si>
  <si>
    <t>19.92*100000000</t>
  </si>
  <si>
    <t>9864*10000</t>
  </si>
  <si>
    <t>5374*10000</t>
  </si>
  <si>
    <t>9335*10000</t>
  </si>
  <si>
    <t>5915*10000</t>
  </si>
  <si>
    <t>3980*10000</t>
  </si>
  <si>
    <t>7423*10000</t>
  </si>
  <si>
    <t>4735*10000</t>
  </si>
  <si>
    <t>3458*10000</t>
  </si>
  <si>
    <t>1835*10000</t>
  </si>
  <si>
    <t>7083*10000</t>
  </si>
  <si>
    <t>5062*10000</t>
  </si>
  <si>
    <t>3590*10000</t>
  </si>
  <si>
    <t>1974*10000</t>
  </si>
  <si>
    <t>4226*10000</t>
  </si>
  <si>
    <t>1763*10000</t>
  </si>
  <si>
    <t>5464*10000</t>
  </si>
  <si>
    <t>4146*10000</t>
  </si>
  <si>
    <t>869.3*10000</t>
  </si>
  <si>
    <t>9951*10000</t>
  </si>
  <si>
    <t>7318*10000</t>
  </si>
  <si>
    <t>5063*10000</t>
  </si>
  <si>
    <t>2385*10000</t>
  </si>
  <si>
    <t>9786*10000</t>
  </si>
  <si>
    <t>7165*10000</t>
  </si>
  <si>
    <t>2187*10000</t>
  </si>
  <si>
    <t>1.025*100000000</t>
  </si>
  <si>
    <t>8418*10000</t>
  </si>
  <si>
    <t>5338*10000</t>
  </si>
  <si>
    <t>4060*10000</t>
  </si>
  <si>
    <t>877.1*10000</t>
  </si>
  <si>
    <t>9899*10000</t>
  </si>
  <si>
    <t>5039*10000</t>
  </si>
  <si>
    <t>2356*10000</t>
  </si>
  <si>
    <t>9867*10000</t>
  </si>
  <si>
    <t>7168*10000</t>
  </si>
  <si>
    <t>4971*10000</t>
  </si>
  <si>
    <t>2186*10000</t>
  </si>
  <si>
    <t>9859*10000</t>
  </si>
  <si>
    <t>244.0*100000000</t>
  </si>
  <si>
    <t>210.1*100000000</t>
  </si>
  <si>
    <t>39.44*100000000</t>
  </si>
  <si>
    <t>19.11*100000000</t>
  </si>
  <si>
    <t>219.6*100000000</t>
  </si>
  <si>
    <t>194.2*100000000</t>
  </si>
  <si>
    <t>9.645*100000000</t>
  </si>
  <si>
    <t>40.33*100000000</t>
  </si>
  <si>
    <t>28.43*100000000</t>
  </si>
  <si>
    <t>19.27*100000000</t>
  </si>
  <si>
    <t>9.383*100000000</t>
  </si>
  <si>
    <t>41.21*100000000</t>
  </si>
  <si>
    <t>32.64*100000000</t>
  </si>
  <si>
    <t>7.866*100000000</t>
  </si>
  <si>
    <t>6.170*100000000</t>
  </si>
  <si>
    <t>6229*10000</t>
  </si>
  <si>
    <t>6.034*100000000</t>
  </si>
  <si>
    <t>1389*10000</t>
  </si>
  <si>
    <t>7901*10000</t>
  </si>
  <si>
    <t>4234*10000</t>
  </si>
  <si>
    <t>8.196*100000000</t>
  </si>
  <si>
    <t>6.436*100000000</t>
  </si>
  <si>
    <t>6393*10000</t>
  </si>
  <si>
    <t>4.185*100000000</t>
  </si>
  <si>
    <t>6.099*100000000</t>
  </si>
  <si>
    <t>1409*10000</t>
  </si>
  <si>
    <t>7874*10000</t>
  </si>
  <si>
    <t>6178*10000</t>
  </si>
  <si>
    <t>7938*10000</t>
  </si>
  <si>
    <t>4264*10000</t>
  </si>
  <si>
    <t>5.957*100000000</t>
  </si>
  <si>
    <t>6408*10000</t>
  </si>
  <si>
    <t>5.194*100000000</t>
  </si>
  <si>
    <t>1844*10000</t>
  </si>
  <si>
    <t>1.159*100000000</t>
  </si>
  <si>
    <t>9095*10000</t>
  </si>
  <si>
    <t>6904*10000</t>
  </si>
  <si>
    <t>2581*10000</t>
  </si>
  <si>
    <t>8123*10000</t>
  </si>
  <si>
    <t>4412*10000</t>
  </si>
  <si>
    <t>117.6*100000000</t>
  </si>
  <si>
    <t>74.05*100000000</t>
  </si>
  <si>
    <t>45.98*100000000</t>
  </si>
  <si>
    <t>18.62*100000000</t>
  </si>
  <si>
    <t>59.90*100000000</t>
  </si>
  <si>
    <t>45.19*100000000</t>
  </si>
  <si>
    <t>28.16*100000000</t>
  </si>
  <si>
    <t>58.19*100000000</t>
  </si>
  <si>
    <t>40.35*100000000</t>
  </si>
  <si>
    <t>24.13*100000000</t>
  </si>
  <si>
    <t>15.85*100000000</t>
  </si>
  <si>
    <t>4.442*100000000</t>
  </si>
  <si>
    <t>7.540*100000000</t>
  </si>
  <si>
    <t>7.194*100000000</t>
  </si>
  <si>
    <t>4.689*100000000</t>
  </si>
  <si>
    <t>2.184*100000000</t>
  </si>
  <si>
    <t>5.519*100000000</t>
  </si>
  <si>
    <t>5.733*100000000</t>
  </si>
  <si>
    <t>3.422*100000000</t>
  </si>
  <si>
    <t>1.599*100000000</t>
  </si>
  <si>
    <t>15.95*100000000</t>
  </si>
  <si>
    <t>4.501*100000000</t>
  </si>
  <si>
    <t>7.543*100000000</t>
  </si>
  <si>
    <t>7.197*100000000</t>
  </si>
  <si>
    <t>5.357*100000000</t>
  </si>
  <si>
    <t>5.776*100000000</t>
  </si>
  <si>
    <t>1.620*100000000</t>
  </si>
  <si>
    <t>19.09*100000000</t>
  </si>
  <si>
    <t>14.64*100000000</t>
  </si>
  <si>
    <t>9.432*100000000</t>
  </si>
  <si>
    <t>6.780*100000000</t>
  </si>
  <si>
    <t>6.376*100000000</t>
  </si>
  <si>
    <t>4.127*100000000</t>
  </si>
  <si>
    <t>4.791*100000000</t>
  </si>
  <si>
    <t>61.32*100000000</t>
  </si>
  <si>
    <t>45.07*100000000</t>
  </si>
  <si>
    <t>8.857*100000000</t>
  </si>
  <si>
    <t>63.03*100000000</t>
  </si>
  <si>
    <t>44.97*100000000</t>
  </si>
  <si>
    <t>34.95*100000000</t>
  </si>
  <si>
    <t>9.040*100000000</t>
  </si>
  <si>
    <t>63.51*100000000</t>
  </si>
  <si>
    <t>41.37*100000000</t>
  </si>
  <si>
    <t>32.84*100000000</t>
  </si>
  <si>
    <t>7.545*100000000</t>
  </si>
  <si>
    <t>4.912*100000000</t>
  </si>
  <si>
    <t>9065*10000</t>
  </si>
  <si>
    <t>8.690*100000000</t>
  </si>
  <si>
    <t>7.330*100000000</t>
  </si>
  <si>
    <t>7.047*100000000</t>
  </si>
  <si>
    <t>2.209*100000000</t>
  </si>
  <si>
    <t>8320*10000</t>
  </si>
  <si>
    <t>1.769*100000000</t>
  </si>
  <si>
    <t>5.074*100000000</t>
  </si>
  <si>
    <t>9229*10000</t>
  </si>
  <si>
    <t>8.894*100000000</t>
  </si>
  <si>
    <t>7.508*100000000</t>
  </si>
  <si>
    <t>1.575*100000000</t>
  </si>
  <si>
    <t>7.239*100000000</t>
  </si>
  <si>
    <t>8332*10000</t>
  </si>
  <si>
    <t>2.395*100000000</t>
  </si>
  <si>
    <t>7599*10000</t>
  </si>
  <si>
    <t>8.710*100000000</t>
  </si>
  <si>
    <t>6.711*100000000</t>
  </si>
  <si>
    <t>5.663*100000000</t>
  </si>
  <si>
    <t>9.587*100000000</t>
  </si>
  <si>
    <t>5.242*100000000</t>
  </si>
  <si>
    <t>6681*10000</t>
  </si>
  <si>
    <t>3.777*100000000</t>
  </si>
  <si>
    <t>9040*10000</t>
  </si>
  <si>
    <t>152.0*100000000</t>
  </si>
  <si>
    <t>51.53*100000000</t>
  </si>
  <si>
    <t>80.25*100000000</t>
  </si>
  <si>
    <t>31.49*100000000</t>
  </si>
  <si>
    <t>65.09*100000000</t>
  </si>
  <si>
    <t>105.1*100000000</t>
  </si>
  <si>
    <t>5.875*100000000</t>
  </si>
  <si>
    <t>3.770*100000000</t>
  </si>
  <si>
    <t>323.2*10000</t>
  </si>
  <si>
    <t>2.828*100000000</t>
  </si>
  <si>
    <t>1.783*100000000</t>
  </si>
  <si>
    <t>5330*10000</t>
  </si>
  <si>
    <t>1.376*100000000</t>
  </si>
  <si>
    <t>4587*10000</t>
  </si>
  <si>
    <t>4245*10000</t>
  </si>
  <si>
    <t>7408*10000</t>
  </si>
  <si>
    <t>349.6*10000</t>
  </si>
  <si>
    <t>2.808*100000000</t>
  </si>
  <si>
    <t>5357*10000</t>
  </si>
  <si>
    <t>4589*10000</t>
  </si>
  <si>
    <t>4225*10000</t>
  </si>
  <si>
    <t>4628*10000</t>
  </si>
  <si>
    <t>72.89*10000</t>
  </si>
  <si>
    <t>2611*10000</t>
  </si>
  <si>
    <t>2.261*100000000</t>
  </si>
  <si>
    <t>2379*10000</t>
  </si>
  <si>
    <t>8427*10000</t>
  </si>
  <si>
    <t>1932*10000</t>
  </si>
  <si>
    <t>27.85*100000000</t>
  </si>
  <si>
    <t>9.766*100000000</t>
  </si>
  <si>
    <t>27.63*100000000</t>
  </si>
  <si>
    <t>14.47*100000000</t>
  </si>
  <si>
    <t>8.300*100000000</t>
  </si>
  <si>
    <t>25.92*100000000</t>
  </si>
  <si>
    <t>13.95*100000000</t>
  </si>
  <si>
    <t>3.192*100000000</t>
  </si>
  <si>
    <t>23.57*100000000</t>
  </si>
  <si>
    <t>9.012*100000000</t>
  </si>
  <si>
    <t>5.314*100000000</t>
  </si>
  <si>
    <t>1.610*100000000</t>
  </si>
  <si>
    <t>8798*10000</t>
  </si>
  <si>
    <t>1.212*100000000</t>
  </si>
  <si>
    <t>9299*10000</t>
  </si>
  <si>
    <t>1.049*100000000</t>
  </si>
  <si>
    <t>7120*10000</t>
  </si>
  <si>
    <t>156.2*10000</t>
  </si>
  <si>
    <t>1.906*100000000</t>
  </si>
  <si>
    <t>3257*10000</t>
  </si>
  <si>
    <t>145.1*10000</t>
  </si>
  <si>
    <t>8975*10000</t>
  </si>
  <si>
    <t>7188*10000</t>
  </si>
  <si>
    <t>130.3*10000</t>
  </si>
  <si>
    <t>3329*10000</t>
  </si>
  <si>
    <t>144.0*10000</t>
  </si>
  <si>
    <t>8069*10000</t>
  </si>
  <si>
    <t>7282*10000</t>
  </si>
  <si>
    <t>7186*10000</t>
  </si>
  <si>
    <t>8925*10000</t>
  </si>
  <si>
    <t>5610*10000</t>
  </si>
  <si>
    <t>2561*10000</t>
  </si>
  <si>
    <t>4.509*100000000</t>
  </si>
  <si>
    <t>2.251*100000000</t>
  </si>
  <si>
    <t>7.367*100000000</t>
  </si>
  <si>
    <t>2.656*100000000</t>
  </si>
  <si>
    <t>9.984*100000000</t>
  </si>
  <si>
    <t>4629*10000</t>
  </si>
  <si>
    <t>3670*10000</t>
  </si>
  <si>
    <t>3242*10000</t>
  </si>
  <si>
    <t>1082*10000</t>
  </si>
  <si>
    <t>4055*10000</t>
  </si>
  <si>
    <t>251.3*10000</t>
  </si>
  <si>
    <t>5022*10000</t>
  </si>
  <si>
    <t>3978*10000</t>
  </si>
  <si>
    <t>4756*10000</t>
  </si>
  <si>
    <t>3922*10000</t>
  </si>
  <si>
    <t>4452*10000</t>
  </si>
  <si>
    <t>3682*10000</t>
  </si>
  <si>
    <t>3248*10000</t>
  </si>
  <si>
    <t>1950*10000</t>
  </si>
  <si>
    <t>1667*10000</t>
  </si>
  <si>
    <t>4795*10000</t>
  </si>
  <si>
    <t>3183*10000</t>
  </si>
  <si>
    <t>3088*10000</t>
  </si>
  <si>
    <t>2779*10000</t>
  </si>
  <si>
    <t>773.4*10000</t>
  </si>
  <si>
    <t>2250*10000</t>
  </si>
  <si>
    <t>4123*10000</t>
  </si>
  <si>
    <t>4174*10000</t>
  </si>
  <si>
    <t>3366*10000</t>
  </si>
  <si>
    <t>1205*10000</t>
  </si>
  <si>
    <t>3663*10000</t>
  </si>
  <si>
    <t>3104*10000</t>
  </si>
  <si>
    <t>2549*10000</t>
  </si>
  <si>
    <t>1122*10000</t>
  </si>
  <si>
    <t>56.71*100000000</t>
  </si>
  <si>
    <t>44.30*100000000</t>
  </si>
  <si>
    <t>30.03*100000000</t>
  </si>
  <si>
    <t>54.12*100000000</t>
  </si>
  <si>
    <t>38.64*100000000</t>
  </si>
  <si>
    <t>92.12*100000000</t>
  </si>
  <si>
    <t>64.03*100000000</t>
  </si>
  <si>
    <t>96.46*100000000</t>
  </si>
  <si>
    <t>38.16*100000000</t>
  </si>
  <si>
    <t>4496*10000</t>
  </si>
  <si>
    <t>1.521*100000000</t>
  </si>
  <si>
    <t>9478*10000</t>
  </si>
  <si>
    <t>7407*10000</t>
  </si>
  <si>
    <t>9195*10000</t>
  </si>
  <si>
    <t>1.243*100000000</t>
  </si>
  <si>
    <t>1.122*100000000</t>
  </si>
  <si>
    <t>7858*10000</t>
  </si>
  <si>
    <t>9639*10000</t>
  </si>
  <si>
    <t>1147*10000</t>
  </si>
  <si>
    <t>3839*10000</t>
  </si>
  <si>
    <t>5087*10000</t>
  </si>
  <si>
    <t>2604*10000</t>
  </si>
  <si>
    <t>3127*10000</t>
  </si>
  <si>
    <t>6388*10000</t>
  </si>
  <si>
    <t>1604*10000</t>
  </si>
  <si>
    <t>5732*10000</t>
  </si>
  <si>
    <t>5837*10000</t>
  </si>
  <si>
    <t>8.525*100000000</t>
  </si>
  <si>
    <t>2.472*100000000</t>
  </si>
  <si>
    <t>11.96*100000000</t>
  </si>
  <si>
    <t>8.873*100000000</t>
  </si>
  <si>
    <t>5.952*100000000</t>
  </si>
  <si>
    <t>2.511*100000000</t>
  </si>
  <si>
    <t>4.750*100000000</t>
  </si>
  <si>
    <t>81.06*10000</t>
  </si>
  <si>
    <t>123.0*10000</t>
  </si>
  <si>
    <t>1.194*100000000</t>
  </si>
  <si>
    <t>6.973*100000000</t>
  </si>
  <si>
    <t>7.040*100000000</t>
  </si>
  <si>
    <t>1.782*100000000</t>
  </si>
  <si>
    <t>10.12*100000000</t>
  </si>
  <si>
    <t>19.19*100000000</t>
  </si>
  <si>
    <t>9.698*100000000</t>
  </si>
  <si>
    <t>5.495*100000000</t>
  </si>
  <si>
    <t>3773*10000</t>
  </si>
  <si>
    <t>2699*10000</t>
  </si>
  <si>
    <t>2586*10000</t>
  </si>
  <si>
    <t>5677*10000</t>
  </si>
  <si>
    <t>4288*10000</t>
  </si>
  <si>
    <t>3640*10000</t>
  </si>
  <si>
    <t>3395*10000</t>
  </si>
  <si>
    <t>2686*10000</t>
  </si>
  <si>
    <t>4319*10000</t>
  </si>
  <si>
    <t>2651*10000</t>
  </si>
  <si>
    <t>1348*10000</t>
  </si>
  <si>
    <t>1605*10000</t>
  </si>
  <si>
    <t>1146*10000</t>
  </si>
  <si>
    <t>4450*10000</t>
  </si>
  <si>
    <t>28.50*100000000</t>
  </si>
  <si>
    <t>19.34*100000000</t>
  </si>
  <si>
    <t>9.906*100000000</t>
  </si>
  <si>
    <t>7.706*100000000</t>
  </si>
  <si>
    <t>24.73*100000000</t>
  </si>
  <si>
    <t>6.833*100000000</t>
  </si>
  <si>
    <t>20.17*100000000</t>
  </si>
  <si>
    <t>7.051*100000000</t>
  </si>
  <si>
    <t>6.723*100000000</t>
  </si>
  <si>
    <t>4.517*100000000</t>
  </si>
  <si>
    <t>4.462*100000000</t>
  </si>
  <si>
    <t>3.368*100000000</t>
  </si>
  <si>
    <t>4.782*100000000</t>
  </si>
  <si>
    <t>5761*10000</t>
  </si>
  <si>
    <t>7.058*100000000</t>
  </si>
  <si>
    <t>4.592*100000000</t>
  </si>
  <si>
    <t>4.669*100000000</t>
  </si>
  <si>
    <t>3.764*100000000</t>
  </si>
  <si>
    <t>4.563*100000000</t>
  </si>
  <si>
    <t>3.452*100000000</t>
  </si>
  <si>
    <t>6686*10000</t>
  </si>
  <si>
    <t>5.913*100000000</t>
  </si>
  <si>
    <t>5.687*100000000</t>
  </si>
  <si>
    <t>3.840*100000000</t>
  </si>
  <si>
    <t>4.298*100000000</t>
  </si>
  <si>
    <t>1.856*100000000</t>
  </si>
  <si>
    <t>5.645*100000000</t>
  </si>
  <si>
    <t>1.224*100000000</t>
  </si>
  <si>
    <t>1.573*100000000</t>
  </si>
  <si>
    <t>12.35*100000000</t>
  </si>
  <si>
    <t>8.060*100000000</t>
  </si>
  <si>
    <t>5.539*100000000</t>
  </si>
  <si>
    <t>2.981*100000000</t>
  </si>
  <si>
    <t>8.591*100000000</t>
  </si>
  <si>
    <t>4.436*100000000</t>
  </si>
  <si>
    <t>8739*10000</t>
  </si>
  <si>
    <t>8357*10000</t>
  </si>
  <si>
    <t>3612*10000</t>
  </si>
  <si>
    <t>1.576*100000000</t>
  </si>
  <si>
    <t>8757*10000</t>
  </si>
  <si>
    <t>8053*10000</t>
  </si>
  <si>
    <t>3884*10000</t>
  </si>
  <si>
    <t>4347*10000</t>
  </si>
  <si>
    <t>1655*10000</t>
  </si>
  <si>
    <t>794.4*10000</t>
  </si>
  <si>
    <t>7976*10000</t>
  </si>
  <si>
    <t>8753*10000</t>
  </si>
  <si>
    <t>8054*10000</t>
  </si>
  <si>
    <t>3888*10000</t>
  </si>
  <si>
    <t>4228*10000</t>
  </si>
  <si>
    <t>3197*10000</t>
  </si>
  <si>
    <t>1656*10000</t>
  </si>
  <si>
    <t>793.4*10000</t>
  </si>
  <si>
    <t>7960*10000</t>
  </si>
  <si>
    <t>7603*10000</t>
  </si>
  <si>
    <t>3461*10000</t>
  </si>
  <si>
    <t>1.487*100000000</t>
  </si>
  <si>
    <t>8365*10000</t>
  </si>
  <si>
    <t>7711*10000</t>
  </si>
  <si>
    <t>228.4*100000000</t>
  </si>
  <si>
    <t>162.8*100000000</t>
  </si>
  <si>
    <t>81.37*100000000</t>
  </si>
  <si>
    <t>39.75*100000000</t>
  </si>
  <si>
    <t>145.5*100000000</t>
  </si>
  <si>
    <t>108.0*100000000</t>
  </si>
  <si>
    <t>69.80*100000000</t>
  </si>
  <si>
    <t>33.38*100000000</t>
  </si>
  <si>
    <t>93.00*100000000</t>
  </si>
  <si>
    <t>62.88*100000000</t>
  </si>
  <si>
    <t>32.07*100000000</t>
  </si>
  <si>
    <t>4.972*100000000</t>
  </si>
  <si>
    <t>9.940*100000000</t>
  </si>
  <si>
    <t>7.748*100000000</t>
  </si>
  <si>
    <t>11.74*100000000</t>
  </si>
  <si>
    <t>8.096*100000000</t>
  </si>
  <si>
    <t>5.773*100000000</t>
  </si>
  <si>
    <t>3.015*100000000</t>
  </si>
  <si>
    <t>9.893*100000000</t>
  </si>
  <si>
    <t>7.669*100000000</t>
  </si>
  <si>
    <t>7.987*100000000</t>
  </si>
  <si>
    <t>5.762*100000000</t>
  </si>
  <si>
    <t>23.76*100000000</t>
  </si>
  <si>
    <t>8.352*100000000</t>
  </si>
  <si>
    <t>6.465*100000000</t>
  </si>
  <si>
    <t>2.486*100000000</t>
  </si>
  <si>
    <t>8.678*100000000</t>
  </si>
  <si>
    <t>6.713*100000000</t>
  </si>
  <si>
    <t>7.437*100000000</t>
  </si>
  <si>
    <t>4.814*100000000</t>
  </si>
  <si>
    <t>2.534*100000000</t>
  </si>
  <si>
    <t>45.36*100000000</t>
  </si>
  <si>
    <t>28.51*100000000</t>
  </si>
  <si>
    <t>19.41*100000000</t>
  </si>
  <si>
    <t>5.926*100000000</t>
  </si>
  <si>
    <t>17.30*100000000</t>
  </si>
  <si>
    <t>11.08*100000000</t>
  </si>
  <si>
    <t>8.970*100000000</t>
  </si>
  <si>
    <t>7.231*100000000</t>
  </si>
  <si>
    <t>5.934*100000000</t>
  </si>
  <si>
    <t>1.680*100000000</t>
  </si>
  <si>
    <t>6.317*100000000</t>
  </si>
  <si>
    <t>5.000*100000000</t>
  </si>
  <si>
    <t>6.920*100000000</t>
  </si>
  <si>
    <t>5.692*100000000</t>
  </si>
  <si>
    <t>3.906*100000000</t>
  </si>
  <si>
    <t>2.082*100000000</t>
  </si>
  <si>
    <t>7.182*100000000</t>
  </si>
  <si>
    <t>1.657*100000000</t>
  </si>
  <si>
    <t>6.295*100000000</t>
  </si>
  <si>
    <t>5.750*100000000</t>
  </si>
  <si>
    <t>1.490*100000000</t>
  </si>
  <si>
    <t>7.190*100000000</t>
  </si>
  <si>
    <t>5.828*100000000</t>
  </si>
  <si>
    <t>3.367*100000000</t>
  </si>
  <si>
    <t>6.061*100000000</t>
  </si>
  <si>
    <t>2.770*100000000</t>
  </si>
  <si>
    <t>1.350*100000000</t>
  </si>
  <si>
    <t>5.290*100000000</t>
  </si>
  <si>
    <t>9745*10000</t>
  </si>
  <si>
    <t>4.410*100000000</t>
  </si>
  <si>
    <t>467.6*100000000</t>
  </si>
  <si>
    <t>326.4*100000000</t>
  </si>
  <si>
    <t>222.1*100000000</t>
  </si>
  <si>
    <t>362.4*100000000</t>
  </si>
  <si>
    <t>263.0*100000000</t>
  </si>
  <si>
    <t>172.2*100000000</t>
  </si>
  <si>
    <t>79.16*100000000</t>
  </si>
  <si>
    <t>317.8*100000000</t>
  </si>
  <si>
    <t>221.8*100000000</t>
  </si>
  <si>
    <t>153.1*100000000</t>
  </si>
  <si>
    <t>297.3*100000000</t>
  </si>
  <si>
    <t>214.9*100000000</t>
  </si>
  <si>
    <t>161.3*100000000</t>
  </si>
  <si>
    <t>26.58*100000000</t>
  </si>
  <si>
    <t>22.47*100000000</t>
  </si>
  <si>
    <t>16.35*100000000</t>
  </si>
  <si>
    <t>7.217*100000000</t>
  </si>
  <si>
    <t>16.22*100000000</t>
  </si>
  <si>
    <t>13.02*100000000</t>
  </si>
  <si>
    <t>4.255*100000000</t>
  </si>
  <si>
    <t>6.654*100000000</t>
  </si>
  <si>
    <t>2.918*100000000</t>
  </si>
  <si>
    <t>26.67*100000000</t>
  </si>
  <si>
    <t>16.29*100000000</t>
  </si>
  <si>
    <t>20.67*100000000</t>
  </si>
  <si>
    <t>4.595*100000000</t>
  </si>
  <si>
    <t>9.180*100000000</t>
  </si>
  <si>
    <t>4.286*100000000</t>
  </si>
  <si>
    <t>6.326*100000000</t>
  </si>
  <si>
    <t>2.995*100000000</t>
  </si>
  <si>
    <t>24.29*100000000</t>
  </si>
  <si>
    <t>6.847*100000000</t>
  </si>
  <si>
    <t>19.16*100000000</t>
  </si>
  <si>
    <t>4.230*100000000</t>
  </si>
  <si>
    <t>5.543*100000000</t>
  </si>
  <si>
    <t>36.06*100000000</t>
  </si>
  <si>
    <t>28.08*100000000</t>
  </si>
  <si>
    <t>7.943*100000000</t>
  </si>
  <si>
    <t>18.47*100000000</t>
  </si>
  <si>
    <t>9.577*100000000</t>
  </si>
  <si>
    <t>8.594*100000000</t>
  </si>
  <si>
    <t>3.206*100000000</t>
  </si>
  <si>
    <t>3.626*100000000</t>
  </si>
  <si>
    <t>2.632*100000000</t>
  </si>
  <si>
    <t>1.883*100000000</t>
  </si>
  <si>
    <t>4016*10000</t>
  </si>
  <si>
    <t>1944*10000</t>
  </si>
  <si>
    <t>7039*10000</t>
  </si>
  <si>
    <t>4974*10000</t>
  </si>
  <si>
    <t>2353*10000</t>
  </si>
  <si>
    <t>5.483*10000</t>
  </si>
  <si>
    <t>2546*10000</t>
  </si>
  <si>
    <t>996.8*10000</t>
  </si>
  <si>
    <t>2.627*100000000</t>
  </si>
  <si>
    <t>5.424*100000000</t>
  </si>
  <si>
    <t>4267*10000</t>
  </si>
  <si>
    <t>8681*10000</t>
  </si>
  <si>
    <t>6761*10000</t>
  </si>
  <si>
    <t>2315*10000</t>
  </si>
  <si>
    <t>433.9*10000</t>
  </si>
  <si>
    <t>3215*10000</t>
  </si>
  <si>
    <t>1728*10000</t>
  </si>
  <si>
    <t>3938*10000</t>
  </si>
  <si>
    <t>1674*10000</t>
  </si>
  <si>
    <t>3.973*100000000</t>
  </si>
  <si>
    <t>2.190*100000000</t>
  </si>
  <si>
    <t>4.723*100000000</t>
  </si>
  <si>
    <t>3275*10000</t>
  </si>
  <si>
    <t>1294*10000</t>
  </si>
  <si>
    <t>6860*10000</t>
  </si>
  <si>
    <t>5415*10000</t>
  </si>
  <si>
    <t>243.9*10000</t>
  </si>
  <si>
    <t>2319*10000</t>
  </si>
  <si>
    <t>836.1*10000</t>
  </si>
  <si>
    <t>2824*10000</t>
  </si>
  <si>
    <t>110.1*100000000</t>
  </si>
  <si>
    <t>68.54*100000000</t>
  </si>
  <si>
    <t>140.1*100000000</t>
  </si>
  <si>
    <t>55.75*100000000</t>
  </si>
  <si>
    <t>137.1*100000000</t>
  </si>
  <si>
    <t>92.81*100000000</t>
  </si>
  <si>
    <t>61.55*100000000</t>
  </si>
  <si>
    <t>26.94*100000000</t>
  </si>
  <si>
    <t>90.82*100000000</t>
  </si>
  <si>
    <t>26.76*100000000</t>
  </si>
  <si>
    <t>6.349*100000000</t>
  </si>
  <si>
    <t>4.167*100000000</t>
  </si>
  <si>
    <t>5234*10000</t>
  </si>
  <si>
    <t>5.767*100000000</t>
  </si>
  <si>
    <t>4.425*100000000</t>
  </si>
  <si>
    <t>5.923*100000000</t>
  </si>
  <si>
    <t>1.294*100000000</t>
  </si>
  <si>
    <t>6.401*100000000</t>
  </si>
  <si>
    <t>4.885*100000000</t>
  </si>
  <si>
    <t>3.650*100000000</t>
  </si>
  <si>
    <t>6.420*100000000</t>
  </si>
  <si>
    <t>5985*10000</t>
  </si>
  <si>
    <t>1.315*100000000</t>
  </si>
  <si>
    <t>3.624*100000000</t>
  </si>
  <si>
    <t>4181*10000</t>
  </si>
  <si>
    <t>5.013*100000000</t>
  </si>
  <si>
    <t>3.774*100000000</t>
  </si>
  <si>
    <t>2.542*100000000</t>
  </si>
  <si>
    <t>9526*10000</t>
  </si>
  <si>
    <t>44.78*100000000</t>
  </si>
  <si>
    <t>9.509*100000000</t>
  </si>
  <si>
    <t>18.76*100000000</t>
  </si>
  <si>
    <t>7.140*100000000</t>
  </si>
  <si>
    <t>7.686*100000000</t>
  </si>
  <si>
    <t>4.642*100000000</t>
  </si>
  <si>
    <t>1.756*100000000</t>
  </si>
  <si>
    <t>4690*10000</t>
  </si>
  <si>
    <t>6678*10000</t>
  </si>
  <si>
    <t>4419*10000</t>
  </si>
  <si>
    <t>934.7*10000</t>
  </si>
  <si>
    <t>318.7*10000</t>
  </si>
  <si>
    <t>4762*10000</t>
  </si>
  <si>
    <t>9528*10000</t>
  </si>
  <si>
    <t>4237*10000</t>
  </si>
  <si>
    <t>933.7*10000</t>
  </si>
  <si>
    <t>2254*10000</t>
  </si>
  <si>
    <t>1199*10000</t>
  </si>
  <si>
    <t>338.0*10000</t>
  </si>
  <si>
    <t>7398*10000</t>
  </si>
  <si>
    <t>1015*10000</t>
  </si>
  <si>
    <t>1923*10000</t>
  </si>
  <si>
    <t>1178*10000</t>
  </si>
  <si>
    <t>389.2*10000</t>
  </si>
  <si>
    <t>1064*10000</t>
  </si>
  <si>
    <t>82.26*100000000</t>
  </si>
  <si>
    <t>39.93*100000000</t>
  </si>
  <si>
    <t>57.17*100000000</t>
  </si>
  <si>
    <t>38.93*100000000</t>
  </si>
  <si>
    <t>23.47*100000000</t>
  </si>
  <si>
    <t>34.80*100000000</t>
  </si>
  <si>
    <t>22.53*100000000</t>
  </si>
  <si>
    <t>34.87*100000000</t>
  </si>
  <si>
    <t>9.008*100000000</t>
  </si>
  <si>
    <t>6.004*100000000</t>
  </si>
  <si>
    <t>1.280*100000000</t>
  </si>
  <si>
    <t>8617*10000</t>
  </si>
  <si>
    <t>4498*10000</t>
  </si>
  <si>
    <t>1.953*100000000</t>
  </si>
  <si>
    <t>4776*10000</t>
  </si>
  <si>
    <t>8.674*100000000</t>
  </si>
  <si>
    <t>5.979*100000000</t>
  </si>
  <si>
    <t>3.274*100000000</t>
  </si>
  <si>
    <t>1.473*100000000</t>
  </si>
  <si>
    <t>2.438*100000000</t>
  </si>
  <si>
    <t>6612*10000</t>
  </si>
  <si>
    <t>9026*10000</t>
  </si>
  <si>
    <t>4802*10000</t>
  </si>
  <si>
    <t>1.454*100000000</t>
  </si>
  <si>
    <t>3.513*100000000</t>
  </si>
  <si>
    <t>9111*10000</t>
  </si>
  <si>
    <t>4555*10000</t>
  </si>
  <si>
    <t>4.696*100000000</t>
  </si>
  <si>
    <t>3.505*100000000</t>
  </si>
  <si>
    <t>3.660*100000000</t>
  </si>
  <si>
    <t>4.049*100000000</t>
  </si>
  <si>
    <t>7.300*100000000</t>
  </si>
  <si>
    <t>5.528*100000000</t>
  </si>
  <si>
    <t>7232*10000</t>
  </si>
  <si>
    <t>1.118*100000000</t>
  </si>
  <si>
    <t>1.168*100000000</t>
  </si>
  <si>
    <t>7621*10000</t>
  </si>
  <si>
    <t>84.82*10000</t>
  </si>
  <si>
    <t>1269*10000</t>
  </si>
  <si>
    <t>142.8*10000</t>
  </si>
  <si>
    <t>655.9*10000</t>
  </si>
  <si>
    <t>183.4*100000000</t>
  </si>
  <si>
    <t>37.42*100000000</t>
  </si>
  <si>
    <t>286.3*100000000</t>
  </si>
  <si>
    <t>34.52*100000000</t>
  </si>
  <si>
    <t>252.1*100000000</t>
  </si>
  <si>
    <t>88.24*100000000</t>
  </si>
  <si>
    <t>33.40*100000000</t>
  </si>
  <si>
    <t>231.0*100000000</t>
  </si>
  <si>
    <t>8.860*100000000</t>
  </si>
  <si>
    <t>5.636*100000000</t>
  </si>
  <si>
    <t>7.806*100000000</t>
  </si>
  <si>
    <t>5.095*100000000</t>
  </si>
  <si>
    <t>5.441*100000000</t>
  </si>
  <si>
    <t>9.148*100000000</t>
  </si>
  <si>
    <t>5.706*100000000</t>
  </si>
  <si>
    <t>5645*10000</t>
  </si>
  <si>
    <t>5.059*100000000</t>
  </si>
  <si>
    <t>13.46*100000000</t>
  </si>
  <si>
    <t>5.343*100000000</t>
  </si>
  <si>
    <t>2117*10000</t>
  </si>
  <si>
    <t>7.606*100000000</t>
  </si>
  <si>
    <t>4.848*100000000</t>
  </si>
  <si>
    <t>4.243*100000000</t>
  </si>
  <si>
    <t>9608*10000</t>
  </si>
  <si>
    <t>4.534*100000000</t>
  </si>
  <si>
    <t>3.398*100000000</t>
  </si>
  <si>
    <t>958.7*10000</t>
  </si>
  <si>
    <t>3.721*100000000</t>
  </si>
  <si>
    <t>77.67*100000000</t>
  </si>
  <si>
    <t>36.09*100000000</t>
  </si>
  <si>
    <t>49.37*100000000</t>
  </si>
  <si>
    <t>61.22*100000000</t>
  </si>
  <si>
    <t>54.63*100000000</t>
  </si>
  <si>
    <t>7.404*100000000</t>
  </si>
  <si>
    <t>3.257*100000000</t>
  </si>
  <si>
    <t>4029*10000</t>
  </si>
  <si>
    <t>3.779*100000000</t>
  </si>
  <si>
    <t>1.300*100000000</t>
  </si>
  <si>
    <t>2.533*100000000</t>
  </si>
  <si>
    <t>1806*10000</t>
  </si>
  <si>
    <t>6.499*100000000</t>
  </si>
  <si>
    <t>5.579*100000000</t>
  </si>
  <si>
    <t>3293*10000</t>
  </si>
  <si>
    <t>5.535*100000000</t>
  </si>
  <si>
    <t>3.251*100000000</t>
  </si>
  <si>
    <t>4031*10000</t>
  </si>
  <si>
    <t>3.772*100000000</t>
  </si>
  <si>
    <t>2.960*100000000</t>
  </si>
  <si>
    <t>2.760*100000000</t>
  </si>
  <si>
    <t>6.409*100000000</t>
  </si>
  <si>
    <t>3.228*100000000</t>
  </si>
  <si>
    <t>2958*10000</t>
  </si>
  <si>
    <t>7.124*100000000</t>
  </si>
  <si>
    <t>3774*10000</t>
  </si>
  <si>
    <t>4.222*100000000</t>
  </si>
  <si>
    <t>1.378*100000000</t>
  </si>
  <si>
    <t>1808*10000</t>
  </si>
  <si>
    <t>8845*10000</t>
  </si>
  <si>
    <t>9.397*100000000</t>
  </si>
  <si>
    <t>6.707*100000000</t>
  </si>
  <si>
    <t>2.792*100000000</t>
  </si>
  <si>
    <t>7.212*100000000</t>
  </si>
  <si>
    <t>6.844*100000000</t>
  </si>
  <si>
    <t>6.213*100000000</t>
  </si>
  <si>
    <t>26.38*100000000</t>
  </si>
  <si>
    <t>19.82*100000000</t>
  </si>
  <si>
    <t>14.80*100000000</t>
  </si>
  <si>
    <t>8.278*100000000</t>
  </si>
  <si>
    <t>33.57*100000000</t>
  </si>
  <si>
    <t>8.237*100000000</t>
  </si>
  <si>
    <t>32.32*100000000</t>
  </si>
  <si>
    <t>9.878*100000000</t>
  </si>
  <si>
    <t>17.61*100000000</t>
  </si>
  <si>
    <t>8.664*100000000</t>
  </si>
  <si>
    <t>7.134*100000000</t>
  </si>
  <si>
    <t>5.845*100000000</t>
  </si>
  <si>
    <t>1.987*100000000</t>
  </si>
  <si>
    <t>8.021*100000000</t>
  </si>
  <si>
    <t>2.263*100000000</t>
  </si>
  <si>
    <t>7.144*100000000</t>
  </si>
  <si>
    <t>5.853*100000000</t>
  </si>
  <si>
    <t>6.697*100000000</t>
  </si>
  <si>
    <t>1.992*100000000</t>
  </si>
  <si>
    <t>9.259*100000000</t>
  </si>
  <si>
    <t>5.830*100000000</t>
  </si>
  <si>
    <t>6.496*100000000</t>
  </si>
  <si>
    <t>3.237*100000000</t>
  </si>
  <si>
    <t>9.199*100000000</t>
  </si>
  <si>
    <t>5.796*100000000</t>
  </si>
  <si>
    <t>5.778*100000000</t>
  </si>
  <si>
    <t>2.455*100000000</t>
  </si>
  <si>
    <t>637.7*100000000</t>
  </si>
  <si>
    <t>467.9*100000000</t>
  </si>
  <si>
    <t>307.4*100000000</t>
  </si>
  <si>
    <t>520.3*100000000</t>
  </si>
  <si>
    <t>250.6*100000000</t>
  </si>
  <si>
    <t>131.0*100000000</t>
  </si>
  <si>
    <t>449.7*100000000</t>
  </si>
  <si>
    <t>332.2*100000000</t>
  </si>
  <si>
    <t>352.2*100000000</t>
  </si>
  <si>
    <t>260.7*100000000</t>
  </si>
  <si>
    <t>86.12*100000000</t>
  </si>
  <si>
    <t>264.1*100000000</t>
  </si>
  <si>
    <t>133.4*100000000</t>
  </si>
  <si>
    <t>65.91*100000000</t>
  </si>
  <si>
    <t>167.6*100000000</t>
  </si>
  <si>
    <t>133.6*100000000</t>
  </si>
  <si>
    <t>89.68*100000000</t>
  </si>
  <si>
    <t>47.16*100000000</t>
  </si>
  <si>
    <t>87.60*100000000</t>
  </si>
  <si>
    <t>41.74*100000000</t>
  </si>
  <si>
    <t>114.5*100000000</t>
  </si>
  <si>
    <t>79.05*100000000</t>
  </si>
  <si>
    <t>264.8*100000000</t>
  </si>
  <si>
    <t>65.54*100000000</t>
  </si>
  <si>
    <t>133.3*100000000</t>
  </si>
  <si>
    <t>89.53*100000000</t>
  </si>
  <si>
    <t>47.04*100000000</t>
  </si>
  <si>
    <t>87.52*100000000</t>
  </si>
  <si>
    <t>41.75*100000000</t>
  </si>
  <si>
    <t>142.7*100000000</t>
  </si>
  <si>
    <t>78.31*100000000</t>
  </si>
  <si>
    <t>38.95*100000000</t>
  </si>
  <si>
    <t>161.2*100000000</t>
  </si>
  <si>
    <t>53.94*100000000</t>
  </si>
  <si>
    <t>84.30*100000000</t>
  </si>
  <si>
    <t>43.78*100000000</t>
  </si>
  <si>
    <t>149.6*100000000</t>
  </si>
  <si>
    <t>132.6*100000000</t>
  </si>
  <si>
    <t>69.18*100000000</t>
  </si>
  <si>
    <t>23.52*100000000</t>
  </si>
  <si>
    <t>25.91*100000000</t>
  </si>
  <si>
    <t>17.43*100000000</t>
  </si>
  <si>
    <t>6.109*100000000</t>
  </si>
  <si>
    <t>26.27*100000000</t>
  </si>
  <si>
    <t>3.404*100000000</t>
  </si>
  <si>
    <t>3.050*100000000</t>
  </si>
  <si>
    <t>4.746*100000000</t>
  </si>
  <si>
    <t>4.648*100000000</t>
  </si>
  <si>
    <t>3.489*100000000</t>
  </si>
  <si>
    <t>4.904*100000000</t>
  </si>
  <si>
    <t>3.467*100000000</t>
  </si>
  <si>
    <t>5.587*100000000</t>
  </si>
  <si>
    <t>3.901*100000000</t>
  </si>
  <si>
    <t>2.702*100000000</t>
  </si>
  <si>
    <t>6.039*100000000</t>
  </si>
  <si>
    <t>4.908*100000000</t>
  </si>
  <si>
    <t>9908*10000</t>
  </si>
  <si>
    <t>3.018*100000000</t>
  </si>
  <si>
    <t>9565*10000</t>
  </si>
  <si>
    <t>4.747*100000000</t>
  </si>
  <si>
    <t>3.710*100000000</t>
  </si>
  <si>
    <t>243.7*100000000</t>
  </si>
  <si>
    <t>188.4*100000000</t>
  </si>
  <si>
    <t>51.93*100000000</t>
  </si>
  <si>
    <t>160.5*100000000</t>
  </si>
  <si>
    <t>96.25*100000000</t>
  </si>
  <si>
    <t>190.5*100000000</t>
  </si>
  <si>
    <t>80.79*100000000</t>
  </si>
  <si>
    <t>65.66*100000000</t>
  </si>
  <si>
    <t>42.77*100000000</t>
  </si>
  <si>
    <t>49.09*100000000</t>
  </si>
  <si>
    <t>27.51*100000000</t>
  </si>
  <si>
    <t>12.58*100000000</t>
  </si>
  <si>
    <t>7.123*100000000</t>
  </si>
  <si>
    <t>63.07*100000000</t>
  </si>
  <si>
    <t>50.01*100000000</t>
  </si>
  <si>
    <t>31.29*100000000</t>
  </si>
  <si>
    <t>27.86*100000000</t>
  </si>
  <si>
    <t>35.39*100000000</t>
  </si>
  <si>
    <t>15.73*100000000</t>
  </si>
  <si>
    <t>9.964*100000000</t>
  </si>
  <si>
    <t>4.827*100000000</t>
  </si>
  <si>
    <t>53.73*100000000</t>
  </si>
  <si>
    <t>43.19*100000000</t>
  </si>
  <si>
    <t>8.081*100000000</t>
  </si>
  <si>
    <t>24.79*100000000</t>
  </si>
  <si>
    <t>4.527*100000000</t>
  </si>
  <si>
    <t>6.706*100000000</t>
  </si>
  <si>
    <t>3.093*100000000</t>
  </si>
  <si>
    <t>6.621*100000000</t>
  </si>
  <si>
    <t>9.632*100000000</t>
  </si>
  <si>
    <t>5.897*100000000</t>
  </si>
  <si>
    <t>191.3*10000</t>
  </si>
  <si>
    <t>216.4*10000</t>
  </si>
  <si>
    <t>181.7*10000</t>
  </si>
  <si>
    <t>151.6*10000</t>
  </si>
  <si>
    <t>869.0*10000</t>
  </si>
  <si>
    <t>400.5*10000</t>
  </si>
  <si>
    <t>84.40*10000</t>
  </si>
  <si>
    <t>1429*10000</t>
  </si>
  <si>
    <t>915.1*10000</t>
  </si>
  <si>
    <t>610.1*10000</t>
  </si>
  <si>
    <t>364.7*10000</t>
  </si>
  <si>
    <t>242.8*10000</t>
  </si>
  <si>
    <t>560.5*10000</t>
  </si>
  <si>
    <t>151.2*10000</t>
  </si>
  <si>
    <t>598.5*10000</t>
  </si>
  <si>
    <t>520.0*10000</t>
  </si>
  <si>
    <t>250.4*10000</t>
  </si>
  <si>
    <t>1273*10000</t>
  </si>
  <si>
    <t>621.5*10000</t>
  </si>
  <si>
    <t>237.8*10000</t>
  </si>
  <si>
    <t>1529*10000</t>
  </si>
  <si>
    <t>1130*10000</t>
  </si>
  <si>
    <t>812.7*10000</t>
  </si>
  <si>
    <t>366.4*10000</t>
  </si>
  <si>
    <t>618.8*10000</t>
  </si>
  <si>
    <t>929.5*10000</t>
  </si>
  <si>
    <t>166.2*10000</t>
  </si>
  <si>
    <t>594.8*10000</t>
  </si>
  <si>
    <t>460.3*10000</t>
  </si>
  <si>
    <t>263.5*10000</t>
  </si>
  <si>
    <t>1541*10000</t>
  </si>
  <si>
    <t>801.4*10000</t>
  </si>
  <si>
    <t>52.62*10000</t>
  </si>
  <si>
    <t>1019*10000</t>
  </si>
  <si>
    <t>978.1*10000</t>
  </si>
  <si>
    <t>786.6*10000</t>
  </si>
  <si>
    <t>78.38*100000000</t>
  </si>
  <si>
    <t>57.76*100000000</t>
  </si>
  <si>
    <t>39.10*100000000</t>
  </si>
  <si>
    <t>71.16*100000000</t>
  </si>
  <si>
    <t>48.87*100000000</t>
  </si>
  <si>
    <t>71.06*100000000</t>
  </si>
  <si>
    <t>49.07*100000000</t>
  </si>
  <si>
    <t>70.13*100000000</t>
  </si>
  <si>
    <t>50.02*100000000</t>
  </si>
  <si>
    <t>33.98*100000000</t>
  </si>
  <si>
    <t>4.183*100000000</t>
  </si>
  <si>
    <t>3.657*100000000</t>
  </si>
  <si>
    <t>1.898*100000000</t>
  </si>
  <si>
    <t>3.166*100000000</t>
  </si>
  <si>
    <t>9398*10000</t>
  </si>
  <si>
    <t>4.172*100000000</t>
  </si>
  <si>
    <t>3.592*100000000</t>
  </si>
  <si>
    <t>1.866*100000000</t>
  </si>
  <si>
    <t>3.485*100000000</t>
  </si>
  <si>
    <t>4.337*100000000</t>
  </si>
  <si>
    <t>3.752*100000000</t>
  </si>
  <si>
    <t>1.995*100000000</t>
  </si>
  <si>
    <t>1.784*100000000</t>
  </si>
  <si>
    <t>3.842*100000000</t>
  </si>
  <si>
    <t>4732*10000</t>
  </si>
  <si>
    <t>4.196*100000000</t>
  </si>
  <si>
    <t>3.601*100000000</t>
  </si>
  <si>
    <t>3.021*100000000</t>
  </si>
  <si>
    <t>3.126*100000000</t>
  </si>
  <si>
    <t>1.675*100000000</t>
  </si>
  <si>
    <t>4.143*100000000</t>
  </si>
  <si>
    <t>2.679*100000000</t>
  </si>
  <si>
    <t>8730*10000</t>
  </si>
  <si>
    <t>3.410*100000000</t>
  </si>
  <si>
    <t>2.955*100000000</t>
  </si>
  <si>
    <t>250.0*100000000</t>
  </si>
  <si>
    <t>119.0*100000000</t>
  </si>
  <si>
    <t>54.10*100000000</t>
  </si>
  <si>
    <t>305.4*100000000</t>
  </si>
  <si>
    <t>215.4*100000000</t>
  </si>
  <si>
    <t>92.73*100000000</t>
  </si>
  <si>
    <t>38.29*100000000</t>
  </si>
  <si>
    <t>169.0*100000000</t>
  </si>
  <si>
    <t>50.37*100000000</t>
  </si>
  <si>
    <t>44.95*100000000</t>
  </si>
  <si>
    <t>8.247*100000000</t>
  </si>
  <si>
    <t>20.58*100000000</t>
  </si>
  <si>
    <t>18.56*100000000</t>
  </si>
  <si>
    <t>6.384*100000000</t>
  </si>
  <si>
    <t>8.720*100000000</t>
  </si>
  <si>
    <t>7.907*100000000</t>
  </si>
  <si>
    <t>24.09*100000000</t>
  </si>
  <si>
    <t>8.351*100000000</t>
  </si>
  <si>
    <t>8.871*100000000</t>
  </si>
  <si>
    <t>20.33*100000000</t>
  </si>
  <si>
    <t>7.088*100000000</t>
  </si>
  <si>
    <t>1.550*100000000</t>
  </si>
  <si>
    <t>6.571*100000000</t>
  </si>
  <si>
    <t>428.8*100000000</t>
  </si>
  <si>
    <t>316.2*100000000</t>
  </si>
  <si>
    <t>205.9*100000000</t>
  </si>
  <si>
    <t>342.8*100000000</t>
  </si>
  <si>
    <t>251.6*100000000</t>
  </si>
  <si>
    <t>159.4*100000000</t>
  </si>
  <si>
    <t>64.40*100000000</t>
  </si>
  <si>
    <t>332.8*100000000</t>
  </si>
  <si>
    <t>239.4*100000000</t>
  </si>
  <si>
    <t>70.39*100000000</t>
  </si>
  <si>
    <t>321.8*100000000</t>
  </si>
  <si>
    <t>240.6*100000000</t>
  </si>
  <si>
    <t>152.8*100000000</t>
  </si>
  <si>
    <t>65.80*100000000</t>
  </si>
  <si>
    <t>4.493*100000000</t>
  </si>
  <si>
    <t>3.012*100000000</t>
  </si>
  <si>
    <t>5976*10000</t>
  </si>
  <si>
    <t>6380*10000</t>
  </si>
  <si>
    <t>1.048*100000000</t>
  </si>
  <si>
    <t>4497*10000</t>
  </si>
  <si>
    <t>2.917*100000000</t>
  </si>
  <si>
    <t>6065*10000</t>
  </si>
  <si>
    <t>6437*10000</t>
  </si>
  <si>
    <t>4468*10000</t>
  </si>
  <si>
    <t>3.502*100000000</t>
  </si>
  <si>
    <t>1.177*100000000</t>
  </si>
  <si>
    <t>2.645*100000000</t>
  </si>
  <si>
    <t>1.432*100000000</t>
  </si>
  <si>
    <t>4987*10000</t>
  </si>
  <si>
    <t>4849*10000</t>
  </si>
  <si>
    <t>1.180*100000000</t>
  </si>
  <si>
    <t>8023*10000</t>
  </si>
  <si>
    <t>32.78*100000000</t>
  </si>
  <si>
    <t>8.414*100000000</t>
  </si>
  <si>
    <t>4.404*100000000</t>
  </si>
  <si>
    <t>22.39*100000000</t>
  </si>
  <si>
    <t>11.12*100000000</t>
  </si>
  <si>
    <t>2.855*100000000</t>
  </si>
  <si>
    <t>7823*10000</t>
  </si>
  <si>
    <t>6225*10000</t>
  </si>
  <si>
    <t>2289*10000</t>
  </si>
  <si>
    <t>7859*10000</t>
  </si>
  <si>
    <t>6010*10000</t>
  </si>
  <si>
    <t>9390*10000</t>
  </si>
  <si>
    <t>7965*10000</t>
  </si>
  <si>
    <t>6300*10000</t>
  </si>
  <si>
    <t>1.865*100000000</t>
  </si>
  <si>
    <t>7810*10000</t>
  </si>
  <si>
    <t>2209*10000</t>
  </si>
  <si>
    <t>9979*10000</t>
  </si>
  <si>
    <t>7673*10000</t>
  </si>
  <si>
    <t>5917*10000</t>
  </si>
  <si>
    <t>8066*10000</t>
  </si>
  <si>
    <t>6395*10000</t>
  </si>
  <si>
    <t>3.254*100000000</t>
  </si>
  <si>
    <t>5747*10000</t>
  </si>
  <si>
    <t>1900*10000</t>
  </si>
  <si>
    <t>7436*10000</t>
  </si>
  <si>
    <t>2727*10000</t>
  </si>
  <si>
    <t>8130*10000</t>
  </si>
  <si>
    <t>7259*10000</t>
  </si>
  <si>
    <t>5790*10000</t>
  </si>
  <si>
    <t>2915*10000</t>
  </si>
  <si>
    <t>7.049*100000000</t>
  </si>
  <si>
    <t>5.460*100000000</t>
  </si>
  <si>
    <t>4.016*100000000</t>
  </si>
  <si>
    <t>2.540*100000000</t>
  </si>
  <si>
    <t>1.247*100000000</t>
  </si>
  <si>
    <t>1.235*100000000</t>
  </si>
  <si>
    <t>8593*10000</t>
  </si>
  <si>
    <t>9471*10000</t>
  </si>
  <si>
    <t>6760*10000</t>
  </si>
  <si>
    <t>3968*10000</t>
  </si>
  <si>
    <t>1768*10000</t>
  </si>
  <si>
    <t>4084*10000</t>
  </si>
  <si>
    <t>2462*10000</t>
  </si>
  <si>
    <t>1200*10000</t>
  </si>
  <si>
    <t>5407*10000</t>
  </si>
  <si>
    <t>4069*10000</t>
  </si>
  <si>
    <t>2917*10000</t>
  </si>
  <si>
    <t>2352*10000</t>
  </si>
  <si>
    <t>487.8*10000</t>
  </si>
  <si>
    <t>9218*10000</t>
  </si>
  <si>
    <t>6753*10000</t>
  </si>
  <si>
    <t>5643*10000</t>
  </si>
  <si>
    <t>4066*10000</t>
  </si>
  <si>
    <t>5298*10000</t>
  </si>
  <si>
    <t>4048*10000</t>
  </si>
  <si>
    <t>1212*10000</t>
  </si>
  <si>
    <t>4627*10000</t>
  </si>
  <si>
    <t>4044*10000</t>
  </si>
  <si>
    <t>2370*10000</t>
  </si>
  <si>
    <t>491.1*10000</t>
  </si>
  <si>
    <t>5532*10000</t>
  </si>
  <si>
    <t>3259*10000</t>
  </si>
  <si>
    <t>889.1*10000</t>
  </si>
  <si>
    <t>4542*10000</t>
  </si>
  <si>
    <t>3106*10000</t>
  </si>
  <si>
    <t>2213*10000</t>
  </si>
  <si>
    <t>1006*10000</t>
  </si>
  <si>
    <t>3387*10000</t>
  </si>
  <si>
    <t>1833*10000</t>
  </si>
  <si>
    <t>385.6*10000</t>
  </si>
  <si>
    <t>649.6*100000000</t>
  </si>
  <si>
    <t>522.8*100000000</t>
  </si>
  <si>
    <t>383.5*100000000</t>
  </si>
  <si>
    <t>111.7*100000000</t>
  </si>
  <si>
    <t>600.9*100000000</t>
  </si>
  <si>
    <t>462.5*100000000</t>
  </si>
  <si>
    <t>305.1*100000000</t>
  </si>
  <si>
    <t>577.8*100000000</t>
  </si>
  <si>
    <t>486.3*100000000</t>
  </si>
  <si>
    <t>345.7*100000000</t>
  </si>
  <si>
    <t>62.14*100000000</t>
  </si>
  <si>
    <t>46.34*100000000</t>
  </si>
  <si>
    <t>32.22*100000000</t>
  </si>
  <si>
    <t>43.31*100000000</t>
  </si>
  <si>
    <t>33.54*100000000</t>
  </si>
  <si>
    <t>9.847*100000000</t>
  </si>
  <si>
    <t>48.04*100000000</t>
  </si>
  <si>
    <t>21.50*100000000</t>
  </si>
  <si>
    <t>60.43*100000000</t>
  </si>
  <si>
    <t>42.90*100000000</t>
  </si>
  <si>
    <t>33.23*100000000</t>
  </si>
  <si>
    <t>20.47*100000000</t>
  </si>
  <si>
    <t>23.11*100000000</t>
  </si>
  <si>
    <t>32.16*100000000</t>
  </si>
  <si>
    <t>51.99*100000000</t>
  </si>
  <si>
    <t>27.25*100000000</t>
  </si>
  <si>
    <t>36.70*100000000</t>
  </si>
  <si>
    <t>17.34*100000000</t>
  </si>
  <si>
    <t>8.348*100000000</t>
  </si>
  <si>
    <t>37.29*100000000</t>
  </si>
  <si>
    <t>9.631*100000000</t>
  </si>
  <si>
    <t>39.59*100000000</t>
  </si>
  <si>
    <t>19.01*100000000</t>
  </si>
  <si>
    <t>142.9*100000000</t>
  </si>
  <si>
    <t>67.82*100000000</t>
  </si>
  <si>
    <t>28.15*100000000</t>
  </si>
  <si>
    <t>92.61*100000000</t>
  </si>
  <si>
    <t>68.93*100000000</t>
  </si>
  <si>
    <t>45.39*100000000</t>
  </si>
  <si>
    <t>188.8*100000000</t>
  </si>
  <si>
    <t>85.84*100000000</t>
  </si>
  <si>
    <t>69.12*100000000</t>
  </si>
  <si>
    <t>2.569*100000000</t>
  </si>
  <si>
    <t>1.654*100000000</t>
  </si>
  <si>
    <t>6369*10000</t>
  </si>
  <si>
    <t>8079*10000</t>
  </si>
  <si>
    <t>3191*10000</t>
  </si>
  <si>
    <t>4486*10000</t>
  </si>
  <si>
    <t>4.392*100000000</t>
  </si>
  <si>
    <t>5.094*100000000</t>
  </si>
  <si>
    <t>2.611*100000000</t>
  </si>
  <si>
    <t>8041*10000</t>
  </si>
  <si>
    <t>3140*10000</t>
  </si>
  <si>
    <t>1.946*100000000</t>
  </si>
  <si>
    <t>4.297*100000000</t>
  </si>
  <si>
    <t>5.843*100000000</t>
  </si>
  <si>
    <t>4909*10000</t>
  </si>
  <si>
    <t>1762*10000</t>
  </si>
  <si>
    <t>9047*10000</t>
  </si>
  <si>
    <t>4.608*100000000</t>
  </si>
  <si>
    <t>3.940*100000000</t>
  </si>
  <si>
    <t>9022*10000</t>
  </si>
  <si>
    <t>25.29*100000000</t>
  </si>
  <si>
    <t>9.436*100000000</t>
  </si>
  <si>
    <t>21.88*100000000</t>
  </si>
  <si>
    <t>5.710*100000000</t>
  </si>
  <si>
    <t>9.842*100000000</t>
  </si>
  <si>
    <t>3605*10000</t>
  </si>
  <si>
    <t>2634*10000</t>
  </si>
  <si>
    <t>1671*10000</t>
  </si>
  <si>
    <t>506.4*10000</t>
  </si>
  <si>
    <t>3471*10000</t>
  </si>
  <si>
    <t>2429*10000</t>
  </si>
  <si>
    <t>1496*10000</t>
  </si>
  <si>
    <t>659.1*10000</t>
  </si>
  <si>
    <t>2988*10000</t>
  </si>
  <si>
    <t>1994*10000</t>
  </si>
  <si>
    <t>1388*10000</t>
  </si>
  <si>
    <t>601.6*10000</t>
  </si>
  <si>
    <t>3600*10000</t>
  </si>
  <si>
    <t>2629*10000</t>
  </si>
  <si>
    <t>1665*10000</t>
  </si>
  <si>
    <t>505.9*10000</t>
  </si>
  <si>
    <t>3470*10000</t>
  </si>
  <si>
    <t>3358*10000</t>
  </si>
  <si>
    <t>2260*10000</t>
  </si>
  <si>
    <t>2982*10000</t>
  </si>
  <si>
    <t>1387*10000</t>
  </si>
  <si>
    <t>601.1*10000</t>
  </si>
  <si>
    <t>3103*10000</t>
  </si>
  <si>
    <t>1413*10000</t>
  </si>
  <si>
    <t>430.0*10000</t>
  </si>
  <si>
    <t>1263*10000</t>
  </si>
  <si>
    <t>2920*10000</t>
  </si>
  <si>
    <t>1938*10000</t>
  </si>
  <si>
    <t>642.9*10000</t>
  </si>
  <si>
    <t>1703*10000</t>
  </si>
  <si>
    <t>1165*10000</t>
  </si>
  <si>
    <t>523.6*10000</t>
  </si>
  <si>
    <t>8.610*100000000</t>
  </si>
  <si>
    <t>9.811*100000000</t>
  </si>
  <si>
    <t>19.23*100000000</t>
  </si>
  <si>
    <t>6.100*100000000</t>
  </si>
  <si>
    <t>4.965*100000000</t>
  </si>
  <si>
    <t>4.309*100000000</t>
  </si>
  <si>
    <t>5.005*100000000</t>
  </si>
  <si>
    <t>3.876*100000000</t>
  </si>
  <si>
    <t>4.246*100000000</t>
  </si>
  <si>
    <t>3.427*100000000</t>
  </si>
  <si>
    <t>1.932*100000000</t>
  </si>
  <si>
    <t>1.155*100000000</t>
  </si>
  <si>
    <t>7464*10000</t>
  </si>
  <si>
    <t>4.977*100000000</t>
  </si>
  <si>
    <t>3.861*100000000</t>
  </si>
  <si>
    <t>4.224*100000000</t>
  </si>
  <si>
    <t>3.418*100000000</t>
  </si>
  <si>
    <t>1.917*100000000</t>
  </si>
  <si>
    <t>1.311*100000000</t>
  </si>
  <si>
    <t>7446*10000</t>
  </si>
  <si>
    <t>4.741*100000000</t>
  </si>
  <si>
    <t>3.758*100000000</t>
  </si>
  <si>
    <t>2.893*100000000</t>
  </si>
  <si>
    <t>2.138*100000000</t>
  </si>
  <si>
    <t>1.133*100000000</t>
  </si>
  <si>
    <t>9812*10000</t>
  </si>
  <si>
    <t>21.64*100000000</t>
  </si>
  <si>
    <t>18.81*100000000</t>
  </si>
  <si>
    <t>9.534*100000000</t>
  </si>
  <si>
    <t>5.577*100000000</t>
  </si>
  <si>
    <t>3846*10000</t>
  </si>
  <si>
    <t>4.429*100000000</t>
  </si>
  <si>
    <t>3.507*100000000</t>
  </si>
  <si>
    <t>1.427*100000000</t>
  </si>
  <si>
    <t>1.112*100000000</t>
  </si>
  <si>
    <t>2.928*100000000</t>
  </si>
  <si>
    <t>4.441*100000000</t>
  </si>
  <si>
    <t>3.509*100000000</t>
  </si>
  <si>
    <t>1.227*100000000</t>
  </si>
  <si>
    <t>9768*10000</t>
  </si>
  <si>
    <t>9399*10000</t>
  </si>
  <si>
    <t>3.321*100000000</t>
  </si>
  <si>
    <t>3.019*100000000</t>
  </si>
  <si>
    <t>2.961*100000000</t>
  </si>
  <si>
    <t>3.286*100000000</t>
  </si>
  <si>
    <t>1.873*100000000</t>
  </si>
  <si>
    <t>217.8*100000000</t>
  </si>
  <si>
    <t>143.4*100000000</t>
  </si>
  <si>
    <t>59.62*100000000</t>
  </si>
  <si>
    <t>242.8*100000000</t>
  </si>
  <si>
    <t>48.86*100000000</t>
  </si>
  <si>
    <t>187.1*100000000</t>
  </si>
  <si>
    <t>129.0*100000000</t>
  </si>
  <si>
    <t>85.40*100000000</t>
  </si>
  <si>
    <t>46.46*100000000</t>
  </si>
  <si>
    <t>77.92*100000000</t>
  </si>
  <si>
    <t>26.22*100000000</t>
  </si>
  <si>
    <t>68.28*100000000</t>
  </si>
  <si>
    <t>88.57*100000000</t>
  </si>
  <si>
    <t>53.09*100000000</t>
  </si>
  <si>
    <t>87.94*100000000</t>
  </si>
  <si>
    <t>59.06*100000000</t>
  </si>
  <si>
    <t>26.86*100000000</t>
  </si>
  <si>
    <t>54.41*100000000</t>
  </si>
  <si>
    <t>13.40*100000000</t>
  </si>
  <si>
    <t>137.0*100000000</t>
  </si>
  <si>
    <t>101.7*100000000</t>
  </si>
  <si>
    <t>68.13*100000000</t>
  </si>
  <si>
    <t>113.1*100000000</t>
  </si>
  <si>
    <t>23.05*100000000</t>
  </si>
  <si>
    <t>87.74*100000000</t>
  </si>
  <si>
    <t>43.27*100000000</t>
  </si>
  <si>
    <t>26.87*100000000</t>
  </si>
  <si>
    <t>54.47*100000000</t>
  </si>
  <si>
    <t>22.16*100000000</t>
  </si>
  <si>
    <t>85.12*100000000</t>
  </si>
  <si>
    <t>57.52*100000000</t>
  </si>
  <si>
    <t>26.16*100000000</t>
  </si>
  <si>
    <t>95.04*100000000</t>
  </si>
  <si>
    <t>72.82*100000000</t>
  </si>
  <si>
    <t>43.40*100000000</t>
  </si>
  <si>
    <t>73.13*100000000</t>
  </si>
  <si>
    <t>35.14*100000000</t>
  </si>
  <si>
    <t>44.46*100000000</t>
  </si>
  <si>
    <t>30.69*100000000</t>
  </si>
  <si>
    <t>60.75*100000000</t>
  </si>
  <si>
    <t>45.57*100000000</t>
  </si>
  <si>
    <t>32.08*100000000</t>
  </si>
  <si>
    <t>17.82*100000000</t>
  </si>
  <si>
    <t>78.37*100000000</t>
  </si>
  <si>
    <t>62.00*100000000</t>
  </si>
  <si>
    <t>85.30*100000000</t>
  </si>
  <si>
    <t>30.31*100000000</t>
  </si>
  <si>
    <t>101.4*100000000</t>
  </si>
  <si>
    <t>44.59*100000000</t>
  </si>
  <si>
    <t>5.364*100000000</t>
  </si>
  <si>
    <t>5.487*100000000</t>
  </si>
  <si>
    <t>18.84*100000000</t>
  </si>
  <si>
    <t>9.648*100000000</t>
  </si>
  <si>
    <t>4.676*100000000</t>
  </si>
  <si>
    <t>21.45*100000000</t>
  </si>
  <si>
    <t>9.748*100000000</t>
  </si>
  <si>
    <t>21.53*100000000</t>
  </si>
  <si>
    <t>9.920*100000000</t>
  </si>
  <si>
    <t>4.421*100000000</t>
  </si>
  <si>
    <t>8.930*100000000</t>
  </si>
  <si>
    <t>4.467*100000000</t>
  </si>
  <si>
    <t>7.735*100000000</t>
  </si>
  <si>
    <t>3.792*100000000</t>
  </si>
  <si>
    <t>398.5*100000000</t>
  </si>
  <si>
    <t>317.6*100000000</t>
  </si>
  <si>
    <t>226.7*100000000</t>
  </si>
  <si>
    <t>99.78*100000000</t>
  </si>
  <si>
    <t>244.9*100000000</t>
  </si>
  <si>
    <t>109.3*100000000</t>
  </si>
  <si>
    <t>51.78*100000000</t>
  </si>
  <si>
    <t>234.8*100000000</t>
  </si>
  <si>
    <t>172.8*100000000</t>
  </si>
  <si>
    <t>114.8*100000000</t>
  </si>
  <si>
    <t>226.4*100000000</t>
  </si>
  <si>
    <t>174.4*100000000</t>
  </si>
  <si>
    <t>28.64*100000000</t>
  </si>
  <si>
    <t>6.811*100000000</t>
  </si>
  <si>
    <t>3.697*100000000</t>
  </si>
  <si>
    <t>444.4*10000</t>
  </si>
  <si>
    <t>8.605*100000000</t>
  </si>
  <si>
    <t>7.087*100000000</t>
  </si>
  <si>
    <t>6.047*100000000</t>
  </si>
  <si>
    <t>7.837*100000000</t>
  </si>
  <si>
    <t>28.79*100000000</t>
  </si>
  <si>
    <t>6.244*100000000</t>
  </si>
  <si>
    <t>433.0*10000</t>
  </si>
  <si>
    <t>8.905*100000000</t>
  </si>
  <si>
    <t>7.630*100000000</t>
  </si>
  <si>
    <t>22.74*100000000</t>
  </si>
  <si>
    <t>417.3*10000</t>
  </si>
  <si>
    <t>9.257*100000000</t>
  </si>
  <si>
    <t>7.199*100000000</t>
  </si>
  <si>
    <t>17.88*100000000</t>
  </si>
  <si>
    <t>7.621*100000000</t>
  </si>
  <si>
    <t>9.485*100000000</t>
  </si>
  <si>
    <t>4.839*100000000</t>
  </si>
  <si>
    <t>7.189*100000000</t>
  </si>
  <si>
    <t>6.684*100000000</t>
  </si>
  <si>
    <t>3.397*100000000</t>
  </si>
  <si>
    <t>13.26*100000000</t>
  </si>
  <si>
    <t>9.728*100000000</t>
  </si>
  <si>
    <t>6923*10000</t>
  </si>
  <si>
    <t>4522*10000</t>
  </si>
  <si>
    <t>1863*10000</t>
  </si>
  <si>
    <t>5318*10000</t>
  </si>
  <si>
    <t>4471*10000</t>
  </si>
  <si>
    <t>2765*10000</t>
  </si>
  <si>
    <t>3428*10000</t>
  </si>
  <si>
    <t>4037*10000</t>
  </si>
  <si>
    <t>1641*10000</t>
  </si>
  <si>
    <t>763.7*10000</t>
  </si>
  <si>
    <t>1.695*100000000</t>
  </si>
  <si>
    <t>3930*10000</t>
  </si>
  <si>
    <t>7350*10000</t>
  </si>
  <si>
    <t>4775*10000</t>
  </si>
  <si>
    <t>1346*10000</t>
  </si>
  <si>
    <t>1771*10000</t>
  </si>
  <si>
    <t>814.8*10000</t>
  </si>
  <si>
    <t>9431*10000</t>
  </si>
  <si>
    <t>4828*10000</t>
  </si>
  <si>
    <t>3034*10000</t>
  </si>
  <si>
    <t>1368*10000</t>
  </si>
  <si>
    <t>3314*10000</t>
  </si>
  <si>
    <t>2935*10000</t>
  </si>
  <si>
    <t>1928*10000</t>
  </si>
  <si>
    <t>869.8*10000</t>
  </si>
  <si>
    <t>1855*10000</t>
  </si>
  <si>
    <t>1465*10000</t>
  </si>
  <si>
    <t>629.5*10000</t>
  </si>
  <si>
    <t>189.0*100000000</t>
  </si>
  <si>
    <t>141.2*100000000</t>
  </si>
  <si>
    <t>91.27*100000000</t>
  </si>
  <si>
    <t>44.90*100000000</t>
  </si>
  <si>
    <t>95.88*100000000</t>
  </si>
  <si>
    <t>58.20*100000000</t>
  </si>
  <si>
    <t>93.88*100000000</t>
  </si>
  <si>
    <t>71.56*100000000</t>
  </si>
  <si>
    <t>49.61*100000000</t>
  </si>
  <si>
    <t>104.7*100000000</t>
  </si>
  <si>
    <t>73.25*100000000</t>
  </si>
  <si>
    <t>45.43*100000000</t>
  </si>
  <si>
    <t>22.10*100000000</t>
  </si>
  <si>
    <t>20.92*100000000</t>
  </si>
  <si>
    <t>7.913*100000000</t>
  </si>
  <si>
    <t>8943*10000</t>
  </si>
  <si>
    <t>6949*10000</t>
  </si>
  <si>
    <t>4755*10000</t>
  </si>
  <si>
    <t>4.401*100000000</t>
  </si>
  <si>
    <t>3995*10000</t>
  </si>
  <si>
    <t>8832*10000</t>
  </si>
  <si>
    <t>6947*10000</t>
  </si>
  <si>
    <t>5.297*100000000</t>
  </si>
  <si>
    <t>18.93*100000000</t>
  </si>
  <si>
    <t>7.073*100000000</t>
  </si>
  <si>
    <t>3.653*100000000</t>
  </si>
  <si>
    <t>3761*10000</t>
  </si>
  <si>
    <t>4.547*100000000</t>
  </si>
  <si>
    <t>8.850*100000000</t>
  </si>
  <si>
    <t>5.515*100000000</t>
  </si>
  <si>
    <t>9.147*100000000</t>
  </si>
  <si>
    <t>9.067*100000000</t>
  </si>
  <si>
    <t>7.308*100000000</t>
  </si>
  <si>
    <t>3.818*100000000</t>
  </si>
  <si>
    <t>7.778*100000000</t>
  </si>
  <si>
    <t>6.634*100000000</t>
  </si>
  <si>
    <t>6.845*100000000</t>
  </si>
  <si>
    <t>4.464*100000000</t>
  </si>
  <si>
    <t>9.043*100000000</t>
  </si>
  <si>
    <t>9.066*100000000</t>
  </si>
  <si>
    <t>7.352*100000000</t>
  </si>
  <si>
    <t>7.721*100000000</t>
  </si>
  <si>
    <t>6.575*100000000</t>
  </si>
  <si>
    <t>4.705*100000000</t>
  </si>
  <si>
    <t>7.095*100000000</t>
  </si>
  <si>
    <t>6.296*100000000</t>
  </si>
  <si>
    <t>8.037*100000000</t>
  </si>
  <si>
    <t>4.029*100000000</t>
  </si>
  <si>
    <t>3.494*100000000</t>
  </si>
  <si>
    <t>5.971*100000000</t>
  </si>
  <si>
    <t>5.354*100000000</t>
  </si>
  <si>
    <t>49.36*100000000</t>
  </si>
  <si>
    <t>139.1*100000000</t>
  </si>
  <si>
    <t>88.97*100000000</t>
  </si>
  <si>
    <t>41.14*100000000</t>
  </si>
  <si>
    <t>253.2*100000000</t>
  </si>
  <si>
    <t>54.56*100000000</t>
  </si>
  <si>
    <t>219.5*100000000</t>
  </si>
  <si>
    <t>164.7*100000000</t>
  </si>
  <si>
    <t>109.0*100000000</t>
  </si>
  <si>
    <t>50.87*100000000</t>
  </si>
  <si>
    <t>59.71*100000000</t>
  </si>
  <si>
    <t>47.92*100000000</t>
  </si>
  <si>
    <t>14.19*100000000</t>
  </si>
  <si>
    <t>47.33*100000000</t>
  </si>
  <si>
    <t>21.55*100000000</t>
  </si>
  <si>
    <t>8.042*100000000</t>
  </si>
  <si>
    <t>46.48*100000000</t>
  </si>
  <si>
    <t>41.01*100000000</t>
  </si>
  <si>
    <t>32.96*100000000</t>
  </si>
  <si>
    <t>21.44*100000000</t>
  </si>
  <si>
    <t>48.14*100000000</t>
  </si>
  <si>
    <t>31.73*100000000</t>
  </si>
  <si>
    <t>48.34*100000000</t>
  </si>
  <si>
    <t>41.13*100000000</t>
  </si>
  <si>
    <t>8.180*100000000</t>
  </si>
  <si>
    <t>47.39*100000000</t>
  </si>
  <si>
    <t>42.20*100000000</t>
  </si>
  <si>
    <t>29.61*100000000</t>
  </si>
  <si>
    <t>47.80*100000000</t>
  </si>
  <si>
    <t>37.90*100000000</t>
  </si>
  <si>
    <t>24.86*100000000</t>
  </si>
  <si>
    <t>33.49*100000000</t>
  </si>
  <si>
    <t>6.023*100000000</t>
  </si>
  <si>
    <t>37.37*100000000</t>
  </si>
  <si>
    <t>8.821*100000000</t>
  </si>
  <si>
    <t>26.79*100000000</t>
  </si>
  <si>
    <t>8.233*100000000</t>
  </si>
  <si>
    <t>108.9*100000000</t>
  </si>
  <si>
    <t>69.33*100000000</t>
  </si>
  <si>
    <t>18.45*100000000</t>
  </si>
  <si>
    <t>97.50*100000000</t>
  </si>
  <si>
    <t>57.47*100000000</t>
  </si>
  <si>
    <t>38.13*100000000</t>
  </si>
  <si>
    <t>97.67*100000000</t>
  </si>
  <si>
    <t>41.86*100000000</t>
  </si>
  <si>
    <t>93.51*100000000</t>
  </si>
  <si>
    <t>65.33*100000000</t>
  </si>
  <si>
    <t>44.02*100000000</t>
  </si>
  <si>
    <t>4.253*100000000</t>
  </si>
  <si>
    <t>14.78*100000000</t>
  </si>
  <si>
    <t>7.584*100000000</t>
  </si>
  <si>
    <t>7.490*100000000</t>
  </si>
  <si>
    <t>8.107*100000000</t>
  </si>
  <si>
    <t>1.676*100000000</t>
  </si>
  <si>
    <t>7.433*100000000</t>
  </si>
  <si>
    <t>7.632*100000000</t>
  </si>
  <si>
    <t>2.174*100000000</t>
  </si>
  <si>
    <t>2.053*100000000</t>
  </si>
  <si>
    <t>1.362*100000000</t>
  </si>
  <si>
    <t>7.447*100000000</t>
  </si>
  <si>
    <t>92.09*100000000</t>
  </si>
  <si>
    <t>81.41*100000000</t>
  </si>
  <si>
    <t>63.95*100000000</t>
  </si>
  <si>
    <t>40.74*100000000</t>
  </si>
  <si>
    <t>51.24*100000000</t>
  </si>
  <si>
    <t>55.41*100000000</t>
  </si>
  <si>
    <t>4.269*100000000</t>
  </si>
  <si>
    <t>5.252*100000000</t>
  </si>
  <si>
    <t>2.927*100000000</t>
  </si>
  <si>
    <t>4.941*100000000</t>
  </si>
  <si>
    <t>3.333*100000000</t>
  </si>
  <si>
    <t>8176*10000</t>
  </si>
  <si>
    <t>2131*10000</t>
  </si>
  <si>
    <t>3269*10000</t>
  </si>
  <si>
    <t>3180*10000</t>
  </si>
  <si>
    <t>7.159*100000000</t>
  </si>
  <si>
    <t>3.867*100000000</t>
  </si>
  <si>
    <t>4.946*100000000</t>
  </si>
  <si>
    <t>1.650*100000000</t>
  </si>
  <si>
    <t>3592*10000</t>
  </si>
  <si>
    <t>4504*10000</t>
  </si>
  <si>
    <t>3791*10000</t>
  </si>
  <si>
    <t>6.712*100000000</t>
  </si>
  <si>
    <t>5.139*100000000</t>
  </si>
  <si>
    <t>3.900*100000000</t>
  </si>
  <si>
    <t>4.803*100000000</t>
  </si>
  <si>
    <t>981.7*10000</t>
  </si>
  <si>
    <t>3028*10000</t>
  </si>
  <si>
    <t>41.49*100000000</t>
  </si>
  <si>
    <t>154.0*100000000</t>
  </si>
  <si>
    <t>67.98*100000000</t>
  </si>
  <si>
    <t>70.92*100000000</t>
  </si>
  <si>
    <t>136.8*100000000</t>
  </si>
  <si>
    <t>102.8*100000000</t>
  </si>
  <si>
    <t>7.581*100000000</t>
  </si>
  <si>
    <t>4.326*100000000</t>
  </si>
  <si>
    <t>7.275*100000000</t>
  </si>
  <si>
    <t>5.749*100000000</t>
  </si>
  <si>
    <t>6.272*100000000</t>
  </si>
  <si>
    <t>4.332*100000000</t>
  </si>
  <si>
    <t>13.10*100000000</t>
  </si>
  <si>
    <t>13.22*100000000</t>
  </si>
  <si>
    <t>5.759*100000000</t>
  </si>
  <si>
    <t>2.173*100000000</t>
  </si>
  <si>
    <t>6.323*100000000</t>
  </si>
  <si>
    <t>1.382*100000000</t>
  </si>
  <si>
    <t>4.031*100000000</t>
  </si>
  <si>
    <t>6.331*100000000</t>
  </si>
  <si>
    <t>9.480*100000000</t>
  </si>
  <si>
    <t>1.842*100000000</t>
  </si>
  <si>
    <t>298.7*100000000</t>
  </si>
  <si>
    <t>233.5*100000000</t>
  </si>
  <si>
    <t>43.82*100000000</t>
  </si>
  <si>
    <t>96.97*100000000</t>
  </si>
  <si>
    <t>31.08*100000000</t>
  </si>
  <si>
    <t>78.11*100000000</t>
  </si>
  <si>
    <t>130.4*100000000</t>
  </si>
  <si>
    <t>91.80*100000000</t>
  </si>
  <si>
    <t>56.57*100000000</t>
  </si>
  <si>
    <t>58.97*100000000</t>
  </si>
  <si>
    <t>25.01*100000000</t>
  </si>
  <si>
    <t>71.65*100000000</t>
  </si>
  <si>
    <t>50.58*100000000</t>
  </si>
  <si>
    <t>30.57*100000000</t>
  </si>
  <si>
    <t>40.41*100000000</t>
  </si>
  <si>
    <t>29.19*100000000</t>
  </si>
  <si>
    <t>22.32*100000000</t>
  </si>
  <si>
    <t>91.64*100000000</t>
  </si>
  <si>
    <t>56.60*100000000</t>
  </si>
  <si>
    <t>121.3*100000000</t>
  </si>
  <si>
    <t>95.59*100000000</t>
  </si>
  <si>
    <t>58.69*100000000</t>
  </si>
  <si>
    <t>24.94*100000000</t>
  </si>
  <si>
    <t>71.54*100000000</t>
  </si>
  <si>
    <t>50.54*100000000</t>
  </si>
  <si>
    <t>30.65*100000000</t>
  </si>
  <si>
    <t>29.27*100000000</t>
  </si>
  <si>
    <t>102.4*100000000</t>
  </si>
  <si>
    <t>72.24*100000000</t>
  </si>
  <si>
    <t>95.37*100000000</t>
  </si>
  <si>
    <t>75.11*100000000</t>
  </si>
  <si>
    <t>45.88*100000000</t>
  </si>
  <si>
    <t>19.58*100000000</t>
  </si>
  <si>
    <t>55.30*100000000</t>
  </si>
  <si>
    <t>31.03*100000000</t>
  </si>
  <si>
    <t>51.32*100000000</t>
  </si>
  <si>
    <t>230.3*100000000</t>
  </si>
  <si>
    <t>99.47*100000000</t>
  </si>
  <si>
    <t>40.64*100000000</t>
  </si>
  <si>
    <t>209.7*100000000</t>
  </si>
  <si>
    <t>61.50*100000000</t>
  </si>
  <si>
    <t>336.3*100000000</t>
  </si>
  <si>
    <t>210.7*100000000</t>
  </si>
  <si>
    <t>3.272*100000000</t>
  </si>
  <si>
    <t>7.172*100000000</t>
  </si>
  <si>
    <t>23.63*10000</t>
  </si>
  <si>
    <t>4.360*100000000</t>
  </si>
  <si>
    <t>8698*10000</t>
  </si>
  <si>
    <t>5124*10000</t>
  </si>
  <si>
    <t>7614*10000</t>
  </si>
  <si>
    <t>9505*10000</t>
  </si>
  <si>
    <t>9646*10000</t>
  </si>
  <si>
    <t>3.934*100000000</t>
  </si>
  <si>
    <t>3.320*100000000</t>
  </si>
  <si>
    <t>41.58*100000000</t>
  </si>
  <si>
    <t>34.62*100000000</t>
  </si>
  <si>
    <t>55.55*100000000</t>
  </si>
  <si>
    <t>24.82*100000000</t>
  </si>
  <si>
    <t>6.802*100000000</t>
  </si>
  <si>
    <t>2.400*100000000</t>
  </si>
  <si>
    <t>6680*10000</t>
  </si>
  <si>
    <t>1.086*100000000</t>
  </si>
  <si>
    <t>4963*10000</t>
  </si>
  <si>
    <t>1610*10000</t>
  </si>
  <si>
    <t>5443*10000</t>
  </si>
  <si>
    <t>124.9*10000</t>
  </si>
  <si>
    <t>1959*10000</t>
  </si>
  <si>
    <t>8825*10000</t>
  </si>
  <si>
    <t>4758*10000</t>
  </si>
  <si>
    <t>1437*10000</t>
  </si>
  <si>
    <t>5246*10000</t>
  </si>
  <si>
    <t>193.9*10000</t>
  </si>
  <si>
    <t>1999*10000</t>
  </si>
  <si>
    <t>7349*10000</t>
  </si>
  <si>
    <t>7749*10000</t>
  </si>
  <si>
    <t>703.4*10000</t>
  </si>
  <si>
    <t>4107*10000</t>
  </si>
  <si>
    <t>13.72*10000</t>
  </si>
  <si>
    <t>972.0*10000</t>
  </si>
  <si>
    <t>3352*100000000</t>
  </si>
  <si>
    <t>2329*100000000</t>
  </si>
  <si>
    <t>1440*100000000</t>
  </si>
  <si>
    <t>676.1*100000000</t>
  </si>
  <si>
    <t>2333*100000000</t>
  </si>
  <si>
    <t>1661*100000000</t>
  </si>
  <si>
    <t>510.8*100000000</t>
  </si>
  <si>
    <t>2419*100000000</t>
  </si>
  <si>
    <t>1778*100000000</t>
  </si>
  <si>
    <t>1164*100000000</t>
  </si>
  <si>
    <t>570.1*100000000</t>
  </si>
  <si>
    <t>2641*100000000</t>
  </si>
  <si>
    <t>1941*100000000</t>
  </si>
  <si>
    <t>1274*100000000</t>
  </si>
  <si>
    <t>629.8*100000000</t>
  </si>
  <si>
    <t>782.4*100000000</t>
  </si>
  <si>
    <t>590.3*100000000</t>
  </si>
  <si>
    <t>374.7*100000000</t>
  </si>
  <si>
    <t>634.9*100000000</t>
  </si>
  <si>
    <t>499.3*100000000</t>
  </si>
  <si>
    <t>312.7*100000000</t>
  </si>
  <si>
    <t>666.3*100000000</t>
  </si>
  <si>
    <t>549.0*100000000</t>
  </si>
  <si>
    <t>182.2*100000000</t>
  </si>
  <si>
    <t>564.5*100000000</t>
  </si>
  <si>
    <t>773.8*100000000</t>
  </si>
  <si>
    <t>587.0*100000000</t>
  </si>
  <si>
    <t>374.0*100000000</t>
  </si>
  <si>
    <t>176.7*100000000</t>
  </si>
  <si>
    <t>626.6*100000000</t>
  </si>
  <si>
    <t>500.0*100000000</t>
  </si>
  <si>
    <t>147.2*100000000</t>
  </si>
  <si>
    <t>667.2*100000000</t>
  </si>
  <si>
    <t>550.5*100000000</t>
  </si>
  <si>
    <t>368.6*100000000</t>
  </si>
  <si>
    <t>700.7*100000000</t>
  </si>
  <si>
    <t>559.5*100000000</t>
  </si>
  <si>
    <t>366.6*100000000</t>
  </si>
  <si>
    <t>593.6*100000000</t>
  </si>
  <si>
    <t>479.0*100000000</t>
  </si>
  <si>
    <t>310.2*100000000</t>
  </si>
  <si>
    <t>140.7*100000000</t>
  </si>
  <si>
    <t>401.3*100000000</t>
  </si>
  <si>
    <t>248.1*100000000</t>
  </si>
  <si>
    <t>117.5*100000000</t>
  </si>
  <si>
    <t>515.4*100000000</t>
  </si>
  <si>
    <t>438.9*100000000</t>
  </si>
  <si>
    <t>288.7*100000000</t>
  </si>
  <si>
    <t>148.3*100000000</t>
  </si>
  <si>
    <t>540.4*100000000</t>
  </si>
  <si>
    <t>432.2*100000000</t>
  </si>
  <si>
    <t>280.2*100000000</t>
  </si>
  <si>
    <t>90.95*100000000</t>
  </si>
  <si>
    <t>32.99*100000000</t>
  </si>
  <si>
    <t>6.285*100000000</t>
  </si>
  <si>
    <t>64.08*100000000</t>
  </si>
  <si>
    <t>46.79*100000000</t>
  </si>
  <si>
    <t>43.23*100000000</t>
  </si>
  <si>
    <t>22.73*100000000</t>
  </si>
  <si>
    <t>4.147*100000000</t>
  </si>
  <si>
    <t>9.697*100000000</t>
  </si>
  <si>
    <t>4.459*100000000</t>
  </si>
  <si>
    <t>5.356*100000000</t>
  </si>
  <si>
    <t>11.63*100000000</t>
  </si>
  <si>
    <t>8.543*100000000</t>
  </si>
  <si>
    <t>5.007*100000000</t>
  </si>
  <si>
    <t>22.83*100000000</t>
  </si>
  <si>
    <t>9.074*100000000</t>
  </si>
  <si>
    <t>9.886*100000000</t>
  </si>
  <si>
    <t>8.658*100000000</t>
  </si>
  <si>
    <t>5.051*100000000</t>
  </si>
  <si>
    <t>3.381*100000000</t>
  </si>
  <si>
    <t>3.161*100000000</t>
  </si>
  <si>
    <t>8.698*100000000</t>
  </si>
  <si>
    <t>9.568*100000000</t>
  </si>
  <si>
    <t>574.6*100000000</t>
  </si>
  <si>
    <t>376.6*100000000</t>
  </si>
  <si>
    <t>695.0*100000000</t>
  </si>
  <si>
    <t>484.5*100000000</t>
  </si>
  <si>
    <t>296.5*100000000</t>
  </si>
  <si>
    <t>1362*100000000</t>
  </si>
  <si>
    <t>1031*100000000</t>
  </si>
  <si>
    <t>653.1*100000000</t>
  </si>
  <si>
    <t>325.5*100000000</t>
  </si>
  <si>
    <t>1368*100000000</t>
  </si>
  <si>
    <t>1029*100000000</t>
  </si>
  <si>
    <t>642.4*100000000</t>
  </si>
  <si>
    <t>316.1*100000000</t>
  </si>
  <si>
    <t>91.78*100000000</t>
  </si>
  <si>
    <t>92.41*100000000</t>
  </si>
  <si>
    <t>39.80*100000000</t>
  </si>
  <si>
    <t>98.26*100000000</t>
  </si>
  <si>
    <t>95.93*100000000</t>
  </si>
  <si>
    <t>40.17*100000000</t>
  </si>
  <si>
    <t>91.05*100000000</t>
  </si>
  <si>
    <t>93.37*100000000</t>
  </si>
  <si>
    <t>44.99*100000000</t>
  </si>
  <si>
    <t>99.58*100000000</t>
  </si>
  <si>
    <t>95.73*100000000</t>
  </si>
  <si>
    <t>49.96*100000000</t>
  </si>
  <si>
    <t>72.52*100000000</t>
  </si>
  <si>
    <t>76.03*100000000</t>
  </si>
  <si>
    <t>34.96*100000000</t>
  </si>
  <si>
    <t>32.37*100000000</t>
  </si>
  <si>
    <t>82.01*100000000</t>
  </si>
  <si>
    <t>38.97*100000000</t>
  </si>
  <si>
    <t>29.76*100000000</t>
  </si>
  <si>
    <t>33.74*100000000</t>
  </si>
  <si>
    <t>39.79*100000000</t>
  </si>
  <si>
    <t>20.95*100000000</t>
  </si>
  <si>
    <t>11.15*100000000</t>
  </si>
  <si>
    <t>8980*10000</t>
  </si>
  <si>
    <t>1.647*100000000</t>
  </si>
  <si>
    <t>2.091*100000000</t>
  </si>
  <si>
    <t>1.736*100000000</t>
  </si>
  <si>
    <t>7366*10000</t>
  </si>
  <si>
    <t>7899*10000</t>
  </si>
  <si>
    <t>5213*10000</t>
  </si>
  <si>
    <t>8912*10000</t>
  </si>
  <si>
    <t>5954*10000</t>
  </si>
  <si>
    <t>1.738*100000000</t>
  </si>
  <si>
    <t>7336*10000</t>
  </si>
  <si>
    <t>1.104*100000000</t>
  </si>
  <si>
    <t>5178*10000</t>
  </si>
  <si>
    <t>8829*10000</t>
  </si>
  <si>
    <t>6516*10000</t>
  </si>
  <si>
    <t>2691*10000</t>
  </si>
  <si>
    <t>8451*10000</t>
  </si>
  <si>
    <t>7544*10000</t>
  </si>
  <si>
    <t>5382*10000</t>
  </si>
  <si>
    <t>7994*10000</t>
  </si>
  <si>
    <t>3841*10000</t>
  </si>
  <si>
    <t>153.3*100000000</t>
  </si>
  <si>
    <t>103.4*100000000</t>
  </si>
  <si>
    <t>157.4*100000000</t>
  </si>
  <si>
    <t>99.97*100000000</t>
  </si>
  <si>
    <t>138.0*100000000</t>
  </si>
  <si>
    <t>90.29*100000000</t>
  </si>
  <si>
    <t>59.36*100000000</t>
  </si>
  <si>
    <t>131.9*100000000</t>
  </si>
  <si>
    <t>52.43*100000000</t>
  </si>
  <si>
    <t>2720*10000</t>
  </si>
  <si>
    <t>367.9*10000</t>
  </si>
  <si>
    <t>9369*10000</t>
  </si>
  <si>
    <t>1.540*100000000</t>
  </si>
  <si>
    <t>9516*10000</t>
  </si>
  <si>
    <t>4102*10000</t>
  </si>
  <si>
    <t>6600*10000</t>
  </si>
  <si>
    <t>7506*10000</t>
  </si>
  <si>
    <t>1421*10000</t>
  </si>
  <si>
    <t>42.98*100000000</t>
  </si>
  <si>
    <t>8.067*100000000</t>
  </si>
  <si>
    <t>36.81*100000000</t>
  </si>
  <si>
    <t>35.29*100000000</t>
  </si>
  <si>
    <t>13.11*100000000</t>
  </si>
  <si>
    <t>5.047*100000000</t>
  </si>
  <si>
    <t>5.090*100000000</t>
  </si>
  <si>
    <t>4.520*100000000</t>
  </si>
  <si>
    <t>3.059*100000000</t>
  </si>
  <si>
    <t>3.841*100000000</t>
  </si>
  <si>
    <t>1.397*100000000</t>
  </si>
  <si>
    <t>4771*10000</t>
  </si>
  <si>
    <t>2.391*100000000</t>
  </si>
  <si>
    <t>5.336*100000000</t>
  </si>
  <si>
    <t>3.182*100000000</t>
  </si>
  <si>
    <t>4.113*100000000</t>
  </si>
  <si>
    <t>7149*10000</t>
  </si>
  <si>
    <t>5630*10000</t>
  </si>
  <si>
    <t>1.752*100000000</t>
  </si>
  <si>
    <t>4269*10000</t>
  </si>
  <si>
    <t>9310*10000</t>
  </si>
  <si>
    <t>5037*10000</t>
  </si>
  <si>
    <t>3317*10000</t>
  </si>
  <si>
    <t>2.008*100000000</t>
  </si>
  <si>
    <t>3107*10000</t>
  </si>
  <si>
    <t>76.55*100000000</t>
  </si>
  <si>
    <t>56.33*100000000</t>
  </si>
  <si>
    <t>36.80*100000000</t>
  </si>
  <si>
    <t>65.82*100000000</t>
  </si>
  <si>
    <t>34.17*100000000</t>
  </si>
  <si>
    <t>16.97*100000000</t>
  </si>
  <si>
    <t>64.45*100000000</t>
  </si>
  <si>
    <t>58.24*100000000</t>
  </si>
  <si>
    <t>42.80*100000000</t>
  </si>
  <si>
    <t>7.065*100000000</t>
  </si>
  <si>
    <t>11.03*100000000</t>
  </si>
  <si>
    <t>18.16*100000000</t>
  </si>
  <si>
    <t>9.580*100000000</t>
  </si>
  <si>
    <t>5.147*100000000</t>
  </si>
  <si>
    <t>26.96*100000000</t>
  </si>
  <si>
    <t>9.536*100000000</t>
  </si>
  <si>
    <t>5.155*100000000</t>
  </si>
  <si>
    <t>23.41*100000000</t>
  </si>
  <si>
    <t>9.456*100000000</t>
  </si>
  <si>
    <t>5.562*100000000</t>
  </si>
  <si>
    <t>4396*100000000</t>
  </si>
  <si>
    <t>3054*100000000</t>
  </si>
  <si>
    <t>1960*100000000</t>
  </si>
  <si>
    <t>983.8*100000000</t>
  </si>
  <si>
    <t>4318*100000000</t>
  </si>
  <si>
    <t>2826*100000000</t>
  </si>
  <si>
    <t>1767*100000000</t>
  </si>
  <si>
    <t>800.5*100000000</t>
  </si>
  <si>
    <t>4087*100000000</t>
  </si>
  <si>
    <t>2799*100000000</t>
  </si>
  <si>
    <t>1705*100000000</t>
  </si>
  <si>
    <t>801.2*100000000</t>
  </si>
  <si>
    <t>4154*100000000</t>
  </si>
  <si>
    <t>2839*100000000</t>
  </si>
  <si>
    <t>1590*100000000</t>
  </si>
  <si>
    <t>776.9*100000000</t>
  </si>
  <si>
    <t>224.0*100000000</t>
  </si>
  <si>
    <t>75.19*100000000</t>
  </si>
  <si>
    <t>197.2*100000000</t>
  </si>
  <si>
    <t>99.68*100000000</t>
  </si>
  <si>
    <t>56.77*100000000</t>
  </si>
  <si>
    <t>211.1*100000000</t>
  </si>
  <si>
    <t>223.2*100000000</t>
  </si>
  <si>
    <t>124.2*100000000</t>
  </si>
  <si>
    <t>75.39*100000000</t>
  </si>
  <si>
    <t>99.94*100000000</t>
  </si>
  <si>
    <t>56.89*100000000</t>
  </si>
  <si>
    <t>211.3*100000000</t>
  </si>
  <si>
    <t>59.00*100000000</t>
  </si>
  <si>
    <t>34.11*100000000</t>
  </si>
  <si>
    <t>200.7*100000000</t>
  </si>
  <si>
    <t>66.15*100000000</t>
  </si>
  <si>
    <t>200.2*100000000</t>
  </si>
  <si>
    <t>67.26*100000000</t>
  </si>
  <si>
    <t>174.3*100000000</t>
  </si>
  <si>
    <t>88.02*100000000</t>
  </si>
  <si>
    <t>50.40*100000000</t>
  </si>
  <si>
    <t>101.8*100000000</t>
  </si>
  <si>
    <t>54.77*100000000</t>
  </si>
  <si>
    <t>28.73*100000000</t>
  </si>
  <si>
    <t>97.58*100000000</t>
  </si>
  <si>
    <t>1682*100000000</t>
  </si>
  <si>
    <t>1091*100000000</t>
  </si>
  <si>
    <t>791.1*100000000</t>
  </si>
  <si>
    <t>700.9*100000000</t>
  </si>
  <si>
    <t>377.4*100000000</t>
  </si>
  <si>
    <t>70.91*100000000</t>
  </si>
  <si>
    <t>858.5*100000000</t>
  </si>
  <si>
    <t>295.6*100000000</t>
  </si>
  <si>
    <t>170.6*100000000</t>
  </si>
  <si>
    <t>43.30*100000000</t>
  </si>
  <si>
    <t>541.3*100000000</t>
  </si>
  <si>
    <t>247.9*100000000</t>
  </si>
  <si>
    <t>51.79*100000000</t>
  </si>
  <si>
    <t>94.99*100000000</t>
  </si>
  <si>
    <t>220.2*100000000</t>
  </si>
  <si>
    <t>74.10*100000000</t>
  </si>
  <si>
    <t>49.29*100000000</t>
  </si>
  <si>
    <t>176.5*100000000</t>
  </si>
  <si>
    <t>53.61*100000000</t>
  </si>
  <si>
    <t>53.27*100000000</t>
  </si>
  <si>
    <t>34.74*100000000</t>
  </si>
  <si>
    <t>4.815*100000000</t>
  </si>
  <si>
    <t>95.80*100000000</t>
  </si>
  <si>
    <t>68.77*100000000</t>
  </si>
  <si>
    <t>7.934*100000000</t>
  </si>
  <si>
    <t>222.4*100000000</t>
  </si>
  <si>
    <t>75.18*100000000</t>
  </si>
  <si>
    <t>54.16*100000000</t>
  </si>
  <si>
    <t>38.22*100000000</t>
  </si>
  <si>
    <t>157.7*100000000</t>
  </si>
  <si>
    <t>53.33*100000000</t>
  </si>
  <si>
    <t>4.837*100000000</t>
  </si>
  <si>
    <t>137.6*100000000</t>
  </si>
  <si>
    <t>67.59*100000000</t>
  </si>
  <si>
    <t>47.93*100000000</t>
  </si>
  <si>
    <t>56.05*100000000</t>
  </si>
  <si>
    <t>41.79*100000000</t>
  </si>
  <si>
    <t>2.186*100000000</t>
  </si>
  <si>
    <t>122.1*100000000</t>
  </si>
  <si>
    <t>25.97*100000000</t>
  </si>
  <si>
    <t>53.13*100000000</t>
  </si>
  <si>
    <t>63.50*100000000</t>
  </si>
  <si>
    <t>44.34*100000000</t>
  </si>
  <si>
    <t>56.39*100000000</t>
  </si>
  <si>
    <t>22.92*100000000</t>
  </si>
  <si>
    <t>9.799*100000000</t>
  </si>
  <si>
    <t>23.29*100000000</t>
  </si>
  <si>
    <t>6.380*100000000</t>
  </si>
  <si>
    <t>17.10*100000000</t>
  </si>
  <si>
    <t>7.971*100000000</t>
  </si>
  <si>
    <t>8.740*100000000</t>
  </si>
  <si>
    <t>3.106*100000000</t>
  </si>
  <si>
    <t>24.69*100000000</t>
  </si>
  <si>
    <t>23.79*100000000</t>
  </si>
  <si>
    <t>6.579*100000000</t>
  </si>
  <si>
    <t>2.778*100000000</t>
  </si>
  <si>
    <t>17.79*100000000</t>
  </si>
  <si>
    <t>9.025*100000000</t>
  </si>
  <si>
    <t>8.516*100000000</t>
  </si>
  <si>
    <t>3.384*100000000</t>
  </si>
  <si>
    <t>19.95*100000000</t>
  </si>
  <si>
    <t>5.690*100000000</t>
  </si>
  <si>
    <t>14.87*100000000</t>
  </si>
  <si>
    <t>7.782*100000000</t>
  </si>
  <si>
    <t>8.430*100000000</t>
  </si>
  <si>
    <t>2212*100000000</t>
  </si>
  <si>
    <t>1640*100000000</t>
  </si>
  <si>
    <t>1090*100000000</t>
  </si>
  <si>
    <t>556.6*100000000</t>
  </si>
  <si>
    <t>2031*100000000</t>
  </si>
  <si>
    <t>1518*100000000</t>
  </si>
  <si>
    <t>502.6*100000000</t>
  </si>
  <si>
    <t>1813*100000000</t>
  </si>
  <si>
    <t>1366*100000000</t>
  </si>
  <si>
    <t>899.1*100000000</t>
  </si>
  <si>
    <t>476.2*100000000</t>
  </si>
  <si>
    <t>1583*100000000</t>
  </si>
  <si>
    <t>1146*100000000</t>
  </si>
  <si>
    <t>733.9*100000000</t>
  </si>
  <si>
    <t>353.3*100000000</t>
  </si>
  <si>
    <t>952.0*100000000</t>
  </si>
  <si>
    <t>736.9*100000000</t>
  </si>
  <si>
    <t>463.3*100000000</t>
  </si>
  <si>
    <t>279.0*100000000</t>
  </si>
  <si>
    <t>765.5*100000000</t>
  </si>
  <si>
    <t>580.2*100000000</t>
  </si>
  <si>
    <t>363.8*100000000</t>
  </si>
  <si>
    <t>241.5*100000000</t>
  </si>
  <si>
    <t>742.7*100000000</t>
  </si>
  <si>
    <t>398.3*100000000</t>
  </si>
  <si>
    <t>225.8*100000000</t>
  </si>
  <si>
    <t>679.1*100000000</t>
  </si>
  <si>
    <t>569.9*100000000</t>
  </si>
  <si>
    <t>381.0*100000000</t>
  </si>
  <si>
    <t>202.0*100000000</t>
  </si>
  <si>
    <t>953.1*100000000</t>
  </si>
  <si>
    <t>737.5*100000000</t>
  </si>
  <si>
    <t>464.0*100000000</t>
  </si>
  <si>
    <t>279.3*100000000</t>
  </si>
  <si>
    <t>766.4*100000000</t>
  </si>
  <si>
    <t>580.4*100000000</t>
  </si>
  <si>
    <t>364.1*100000000</t>
  </si>
  <si>
    <t>745.0*100000000</t>
  </si>
  <si>
    <t>618.2*100000000</t>
  </si>
  <si>
    <t>399.5*100000000</t>
  </si>
  <si>
    <t>226.2*100000000</t>
  </si>
  <si>
    <t>680.8*100000000</t>
  </si>
  <si>
    <t>570.7*100000000</t>
  </si>
  <si>
    <t>381.4*100000000</t>
  </si>
  <si>
    <t>202.3*100000000</t>
  </si>
  <si>
    <t>838.2*100000000</t>
  </si>
  <si>
    <t>646.7*100000000</t>
  </si>
  <si>
    <t>406.4*100000000</t>
  </si>
  <si>
    <t>240.8*100000000</t>
  </si>
  <si>
    <t>676.8*100000000</t>
  </si>
  <si>
    <t>525.5*100000000</t>
  </si>
  <si>
    <t>329.7*100000000</t>
  </si>
  <si>
    <t>667.0*100000000</t>
  </si>
  <si>
    <t>553.7*100000000</t>
  </si>
  <si>
    <t>612.5*100000000</t>
  </si>
  <si>
    <t>509.7*100000000</t>
  </si>
  <si>
    <t>338.4*100000000</t>
  </si>
  <si>
    <t>1.020*1000000000000</t>
  </si>
  <si>
    <t>7355*100000000</t>
  </si>
  <si>
    <t>4885*100000000</t>
  </si>
  <si>
    <t>2340*100000000</t>
  </si>
  <si>
    <t>9103*100000000</t>
  </si>
  <si>
    <t>6240*100000000</t>
  </si>
  <si>
    <t>3708*100000000</t>
  </si>
  <si>
    <t>1451*100000000</t>
  </si>
  <si>
    <t>8305*100000000</t>
  </si>
  <si>
    <t>5614*100000000</t>
  </si>
  <si>
    <t>3529*100000000</t>
  </si>
  <si>
    <t>1571*100000000</t>
  </si>
  <si>
    <t>7301*100000000</t>
  </si>
  <si>
    <t>4899*100000000</t>
  </si>
  <si>
    <t>3090*100000000</t>
  </si>
  <si>
    <t>1316*100000000</t>
  </si>
  <si>
    <t>348.1*100000000</t>
  </si>
  <si>
    <t>242.0*100000000</t>
  </si>
  <si>
    <t>166.7*100000000</t>
  </si>
  <si>
    <t>68.99*100000000</t>
  </si>
  <si>
    <t>44.26*100000000</t>
  </si>
  <si>
    <t>276.3*100000000</t>
  </si>
  <si>
    <t>173.4*100000000</t>
  </si>
  <si>
    <t>351.5*100000000</t>
  </si>
  <si>
    <t>244.8*100000000</t>
  </si>
  <si>
    <t>70.14*100000000</t>
  </si>
  <si>
    <t>217.6*100000000</t>
  </si>
  <si>
    <t>134.3*100000000</t>
  </si>
  <si>
    <t>45.02*100000000</t>
  </si>
  <si>
    <t>280.3*100000000</t>
  </si>
  <si>
    <t>204.2*100000000</t>
  </si>
  <si>
    <t>55.96*100000000</t>
  </si>
  <si>
    <t>251.1*100000000</t>
  </si>
  <si>
    <t>177.1*100000000</t>
  </si>
  <si>
    <t>113.8*100000000</t>
  </si>
  <si>
    <t>46.74*100000000</t>
  </si>
  <si>
    <t>293.2*100000000</t>
  </si>
  <si>
    <t>141.0*100000000</t>
  </si>
  <si>
    <t>56.41*100000000</t>
  </si>
  <si>
    <t>257.1*100000000</t>
  </si>
  <si>
    <t>173.9*100000000</t>
  </si>
  <si>
    <t>35.35*100000000</t>
  </si>
  <si>
    <t>43.67*100000000</t>
  </si>
  <si>
    <t>141.5*100000000</t>
  </si>
  <si>
    <t>88.94*100000000</t>
  </si>
  <si>
    <t>36.18*100000000</t>
  </si>
  <si>
    <t>38.34*100000000</t>
  </si>
  <si>
    <t>45.12*100000000</t>
  </si>
  <si>
    <t>8.898*100000000</t>
  </si>
  <si>
    <t>36.47*100000000</t>
  </si>
  <si>
    <t>25.83*100000000</t>
  </si>
  <si>
    <t>8.791*100000000</t>
  </si>
  <si>
    <t>8.620*100000000</t>
  </si>
  <si>
    <t>7.451*100000000</t>
  </si>
  <si>
    <t>2.025*100000000</t>
  </si>
  <si>
    <t>6.057*100000000</t>
  </si>
  <si>
    <t>7.944*100000000</t>
  </si>
  <si>
    <t>9.643*100000000</t>
  </si>
  <si>
    <t>6.071*100000000</t>
  </si>
  <si>
    <t>3.091*100000000</t>
  </si>
  <si>
    <t>4.567*100000000</t>
  </si>
  <si>
    <t>6.094*100000000</t>
  </si>
  <si>
    <t>4.089*100000000</t>
  </si>
  <si>
    <t>8.062*100000000</t>
  </si>
  <si>
    <t>6.937*100000000</t>
  </si>
  <si>
    <t>3.834*100000000</t>
  </si>
  <si>
    <t>7.762*100000000</t>
  </si>
  <si>
    <t>5.304*100000000</t>
  </si>
  <si>
    <t>7.460*100000000</t>
  </si>
  <si>
    <t>6.356*100000000</t>
  </si>
  <si>
    <t>3.955*100000000</t>
  </si>
  <si>
    <t>5.186*100000000</t>
  </si>
  <si>
    <t>5.744*100000000</t>
  </si>
  <si>
    <t>7.465*100000000</t>
  </si>
  <si>
    <t>8.749*100000000</t>
  </si>
  <si>
    <t>3.864*100000000</t>
  </si>
  <si>
    <t>3.854*100000000</t>
  </si>
  <si>
    <t>3.088*100000000</t>
  </si>
  <si>
    <t>2.012*100000000</t>
  </si>
  <si>
    <t>8004*10000</t>
  </si>
  <si>
    <t>2822*10000</t>
  </si>
  <si>
    <t>212.7*10000</t>
  </si>
  <si>
    <t>3596*10000</t>
  </si>
  <si>
    <t>2737*10000</t>
  </si>
  <si>
    <t>707.7*10000</t>
  </si>
  <si>
    <t>693.0*10000</t>
  </si>
  <si>
    <t>3.802*100000000</t>
  </si>
  <si>
    <t>2.040*100000000</t>
  </si>
  <si>
    <t>1.996*100000000</t>
  </si>
  <si>
    <t>2635*10000</t>
  </si>
  <si>
    <t>7656*10000</t>
  </si>
  <si>
    <t>4238*10000</t>
  </si>
  <si>
    <t>171.5*10000</t>
  </si>
  <si>
    <t>3332*10000</t>
  </si>
  <si>
    <t>706.3*10000</t>
  </si>
  <si>
    <t>733.4*10000</t>
  </si>
  <si>
    <t>8527*10000</t>
  </si>
  <si>
    <t>7285*10000</t>
  </si>
  <si>
    <t>7193*10000</t>
  </si>
  <si>
    <t>2707*10000</t>
  </si>
  <si>
    <t>244.4*10000</t>
  </si>
  <si>
    <t>3273*10000</t>
  </si>
  <si>
    <t>938.8*10000</t>
  </si>
  <si>
    <t>662.9*10000</t>
  </si>
  <si>
    <t>428.2*100000000</t>
  </si>
  <si>
    <t>319.1*100000000</t>
  </si>
  <si>
    <t>352.0*100000000</t>
  </si>
  <si>
    <t>257.4*100000000</t>
  </si>
  <si>
    <t>61.45*100000000</t>
  </si>
  <si>
    <t>299.5*100000000</t>
  </si>
  <si>
    <t>66.95*100000000</t>
  </si>
  <si>
    <t>167.9*100000000</t>
  </si>
  <si>
    <t>114.6*100000000</t>
  </si>
  <si>
    <t>62.45*100000000</t>
  </si>
  <si>
    <t>149.3*100000000</t>
  </si>
  <si>
    <t>102.5*100000000</t>
  </si>
  <si>
    <t>55.04*100000000</t>
  </si>
  <si>
    <t>149.5*100000000</t>
  </si>
  <si>
    <t>74.12*100000000</t>
  </si>
  <si>
    <t>24.81*100000000</t>
  </si>
  <si>
    <t>68.89*100000000</t>
  </si>
  <si>
    <t>54.38*100000000</t>
  </si>
  <si>
    <t>191.1*100000000</t>
  </si>
  <si>
    <t>148.9*100000000</t>
  </si>
  <si>
    <t>148.7*100000000</t>
  </si>
  <si>
    <t>73.55*100000000</t>
  </si>
  <si>
    <t>114.4*100000000</t>
  </si>
  <si>
    <t>68.67*100000000</t>
  </si>
  <si>
    <t>41.83*100000000</t>
  </si>
  <si>
    <t>92.68*100000000</t>
  </si>
  <si>
    <t>73.79*100000000</t>
  </si>
  <si>
    <t>153.0*100000000</t>
  </si>
  <si>
    <t>119.4*100000000</t>
  </si>
  <si>
    <t>82.46*100000000</t>
  </si>
  <si>
    <t>45.87*100000000</t>
  </si>
  <si>
    <t>117.4*100000000</t>
  </si>
  <si>
    <t>57.32*100000000</t>
  </si>
  <si>
    <t>18.21*100000000</t>
  </si>
  <si>
    <t>90.51*100000000</t>
  </si>
  <si>
    <t>69.30*100000000</t>
  </si>
  <si>
    <t>53.37*100000000</t>
  </si>
  <si>
    <t>70.70*100000000</t>
  </si>
  <si>
    <t>42.17*100000000</t>
  </si>
  <si>
    <t>7.980*100000000</t>
  </si>
  <si>
    <t>5.509*100000000</t>
  </si>
  <si>
    <t>9.359*100000000</t>
  </si>
  <si>
    <t>5871*10000</t>
  </si>
  <si>
    <t>2706*10000</t>
  </si>
  <si>
    <t>1.238*100000000</t>
  </si>
  <si>
    <t>6846*10000</t>
  </si>
  <si>
    <t>2643*10000</t>
  </si>
  <si>
    <t>979.4*10000</t>
  </si>
  <si>
    <t>8073*10000</t>
  </si>
  <si>
    <t>2739*10000</t>
  </si>
  <si>
    <t>6423*10000</t>
  </si>
  <si>
    <t>2899*10000</t>
  </si>
  <si>
    <t>935.2*10000</t>
  </si>
  <si>
    <t>1.316*100000000</t>
  </si>
  <si>
    <t>8211*10000</t>
  </si>
  <si>
    <t>2602*10000</t>
  </si>
  <si>
    <t>2102*10000</t>
  </si>
  <si>
    <t>6489*10000</t>
  </si>
  <si>
    <t>3396*10000</t>
  </si>
  <si>
    <t>2588*10000</t>
  </si>
  <si>
    <t>716.4*10000</t>
  </si>
  <si>
    <t>60.06*100000000</t>
  </si>
  <si>
    <t>53.45*100000000</t>
  </si>
  <si>
    <t>77.23*100000000</t>
  </si>
  <si>
    <t>50.31*100000000</t>
  </si>
  <si>
    <t>23.82*100000000</t>
  </si>
  <si>
    <t>67.44*100000000</t>
  </si>
  <si>
    <t>44.37*100000000</t>
  </si>
  <si>
    <t>21.90*100000000</t>
  </si>
  <si>
    <t>3.896*100000000</t>
  </si>
  <si>
    <t>7.518*100000000</t>
  </si>
  <si>
    <t>7.253*100000000</t>
  </si>
  <si>
    <t>3.783*100000000</t>
  </si>
  <si>
    <t>8.242*100000000</t>
  </si>
  <si>
    <t>3.927*100000000</t>
  </si>
  <si>
    <t>7.546*100000000</t>
  </si>
  <si>
    <t>7.498*100000000</t>
  </si>
  <si>
    <t>12.80*100000000</t>
  </si>
  <si>
    <t>9.654*100000000</t>
  </si>
  <si>
    <t>6.337*100000000</t>
  </si>
  <si>
    <t>9.128*100000000</t>
  </si>
  <si>
    <t>8.919*100000000</t>
  </si>
  <si>
    <t>6.243*100000000</t>
  </si>
  <si>
    <t>3.124*100000000</t>
  </si>
  <si>
    <t>8.943*100000000</t>
  </si>
  <si>
    <t>8.462*100000000</t>
  </si>
  <si>
    <t>2.975*100000000</t>
  </si>
  <si>
    <t>553.0*100000000</t>
  </si>
  <si>
    <t>365.2*100000000</t>
  </si>
  <si>
    <t>222.7*100000000</t>
  </si>
  <si>
    <t>477.0*100000000</t>
  </si>
  <si>
    <t>372.0*100000000</t>
  </si>
  <si>
    <t>259.7*100000000</t>
  </si>
  <si>
    <t>76.75*100000000</t>
  </si>
  <si>
    <t>335.5*100000000</t>
  </si>
  <si>
    <t>221.5*100000000</t>
  </si>
  <si>
    <t>19.62*100000000</t>
  </si>
  <si>
    <t>2.598*100000000</t>
  </si>
  <si>
    <t>2.238*100000000</t>
  </si>
  <si>
    <t>6.351*100000000</t>
  </si>
  <si>
    <t>19.74*100000000</t>
  </si>
  <si>
    <t>5.689*100000000</t>
  </si>
  <si>
    <t>14.33*100000000</t>
  </si>
  <si>
    <t>9.649*100000000</t>
  </si>
  <si>
    <t>2.609*100000000</t>
  </si>
  <si>
    <t>9.177*100000000</t>
  </si>
  <si>
    <t>5.511*100000000</t>
  </si>
  <si>
    <t>9.951*100000000</t>
  </si>
  <si>
    <t>1.888*100000000</t>
  </si>
  <si>
    <t>8.607*100000000</t>
  </si>
  <si>
    <t>7.774*100000000</t>
  </si>
  <si>
    <t>1.872*100000000</t>
  </si>
  <si>
    <t>751.1*100000000</t>
  </si>
  <si>
    <t>551.2*100000000</t>
  </si>
  <si>
    <t>343.2*100000000</t>
  </si>
  <si>
    <t>627.2*100000000</t>
  </si>
  <si>
    <t>428.5*100000000</t>
  </si>
  <si>
    <t>254.4*100000000</t>
  </si>
  <si>
    <t>107.7*100000000</t>
  </si>
  <si>
    <t>592.3*100000000</t>
  </si>
  <si>
    <t>426.8*100000000</t>
  </si>
  <si>
    <t>281.2*100000000</t>
  </si>
  <si>
    <t>715.1*100000000</t>
  </si>
  <si>
    <t>528.2*100000000</t>
  </si>
  <si>
    <t>192.0*100000000</t>
  </si>
  <si>
    <t>71.45*100000000</t>
  </si>
  <si>
    <t>51.94*100000000</t>
  </si>
  <si>
    <t>42.16*100000000</t>
  </si>
  <si>
    <t>22.79*100000000</t>
  </si>
  <si>
    <t>56.38*100000000</t>
  </si>
  <si>
    <t>49.59*100000000</t>
  </si>
  <si>
    <t>56.82*100000000</t>
  </si>
  <si>
    <t>58.84*100000000</t>
  </si>
  <si>
    <t>74.91*100000000</t>
  </si>
  <si>
    <t>72.37*100000000</t>
  </si>
  <si>
    <t>52.02*100000000</t>
  </si>
  <si>
    <t>42.22*100000000</t>
  </si>
  <si>
    <t>56.95*100000000</t>
  </si>
  <si>
    <t>951.3*10000</t>
  </si>
  <si>
    <t>62.94*100000000</t>
  </si>
  <si>
    <t>49.76*100000000</t>
  </si>
  <si>
    <t>43.20*100000000</t>
  </si>
  <si>
    <t>73.91*100000000</t>
  </si>
  <si>
    <t>52.89*100000000</t>
  </si>
  <si>
    <t>43.53*100000000</t>
  </si>
  <si>
    <t>60.51*100000000</t>
  </si>
  <si>
    <t>67.11*100000000</t>
  </si>
  <si>
    <t>64.21*100000000</t>
  </si>
  <si>
    <t>109.5*100000000</t>
  </si>
  <si>
    <t>98.94*100000000</t>
  </si>
  <si>
    <t>69.45*100000000</t>
  </si>
  <si>
    <t>38.99*100000000</t>
  </si>
  <si>
    <t>7199*100000000</t>
  </si>
  <si>
    <t>5449*100000000</t>
  </si>
  <si>
    <t>3655*100000000</t>
  </si>
  <si>
    <t>1945*100000000</t>
  </si>
  <si>
    <t>6580*100000000</t>
  </si>
  <si>
    <t>4982*100000000</t>
  </si>
  <si>
    <t>3392*100000000</t>
  </si>
  <si>
    <t>1867*100000000</t>
  </si>
  <si>
    <t>6273*100000000</t>
  </si>
  <si>
    <t>4750*100000000</t>
  </si>
  <si>
    <t>3232*100000000</t>
  </si>
  <si>
    <t>1730*100000000</t>
  </si>
  <si>
    <t>5986*100000000</t>
  </si>
  <si>
    <t>4574*100000000</t>
  </si>
  <si>
    <t>3063*100000000</t>
  </si>
  <si>
    <t>1559*100000000</t>
  </si>
  <si>
    <t>2958*100000000</t>
  </si>
  <si>
    <t>2309*100000000</t>
  </si>
  <si>
    <t>1532*100000000</t>
  </si>
  <si>
    <t>808.4*100000000</t>
  </si>
  <si>
    <t>2660*100000000</t>
  </si>
  <si>
    <t>2002*100000000</t>
  </si>
  <si>
    <t>1327*100000000</t>
  </si>
  <si>
    <t>814.3*100000000</t>
  </si>
  <si>
    <t>2663*100000000</t>
  </si>
  <si>
    <t>2167*100000000</t>
  </si>
  <si>
    <t>742.6*100000000</t>
  </si>
  <si>
    <t>2502*100000000</t>
  </si>
  <si>
    <t>2087*100000000</t>
  </si>
  <si>
    <t>1409*100000000</t>
  </si>
  <si>
    <t>701.8*100000000</t>
  </si>
  <si>
    <t>2959*100000000</t>
  </si>
  <si>
    <t>2313*100000000</t>
  </si>
  <si>
    <t>1535*100000000</t>
  </si>
  <si>
    <t>808.3*100000000</t>
  </si>
  <si>
    <t>2651*100000000</t>
  </si>
  <si>
    <t>1998*100000000</t>
  </si>
  <si>
    <t>1326*100000000</t>
  </si>
  <si>
    <t>813.9*100000000</t>
  </si>
  <si>
    <t>2666*100000000</t>
  </si>
  <si>
    <t>2173*100000000</t>
  </si>
  <si>
    <t>1459*100000000</t>
  </si>
  <si>
    <t>746.6*100000000</t>
  </si>
  <si>
    <t>2517*100000000</t>
  </si>
  <si>
    <t>2101*100000000</t>
  </si>
  <si>
    <t>1416*100000000</t>
  </si>
  <si>
    <t>713.5*100000000</t>
  </si>
  <si>
    <t>1874*100000000</t>
  </si>
  <si>
    <t>1228*100000000</t>
  </si>
  <si>
    <t>661.9*100000000</t>
  </si>
  <si>
    <t>2164*100000000</t>
  </si>
  <si>
    <t>1659*100000000</t>
  </si>
  <si>
    <t>1092*100000000</t>
  </si>
  <si>
    <t>643.7*100000000</t>
  </si>
  <si>
    <t>2129*100000000</t>
  </si>
  <si>
    <t>1818*100000000</t>
  </si>
  <si>
    <t>621.2*100000000</t>
  </si>
  <si>
    <t>2026*100000000</t>
  </si>
  <si>
    <t>1718*100000000</t>
  </si>
  <si>
    <t>1160*100000000</t>
  </si>
  <si>
    <t>1.180*1000000000000</t>
  </si>
  <si>
    <t>9046*100000000</t>
  </si>
  <si>
    <t>6356*100000000</t>
  </si>
  <si>
    <t>3403*100000000</t>
  </si>
  <si>
    <t>1.218*1000000000000</t>
  </si>
  <si>
    <t>9171*100000000</t>
  </si>
  <si>
    <t>6300*100000000</t>
  </si>
  <si>
    <t>3282*100000000</t>
  </si>
  <si>
    <t>1.169*1000000000000</t>
  </si>
  <si>
    <t>8928*100000000</t>
  </si>
  <si>
    <t>6392*100000000</t>
  </si>
  <si>
    <t>3782*100000000</t>
  </si>
  <si>
    <t>9768*100000000</t>
  </si>
  <si>
    <t>7525*100000000</t>
  </si>
  <si>
    <t>5363*100000000</t>
  </si>
  <si>
    <t>3112*100000000</t>
  </si>
  <si>
    <t>1397*100000000</t>
  </si>
  <si>
    <t>1138*100000000</t>
  </si>
  <si>
    <t>788.9*100000000</t>
  </si>
  <si>
    <t>1883*100000000</t>
  </si>
  <si>
    <t>1377*100000000</t>
  </si>
  <si>
    <t>910.3*100000000</t>
  </si>
  <si>
    <t>1611*100000000</t>
  </si>
  <si>
    <t>633.0*100000000</t>
  </si>
  <si>
    <t>1633*100000000</t>
  </si>
  <si>
    <t>867.2*100000000</t>
  </si>
  <si>
    <t>395.8*100000000</t>
  </si>
  <si>
    <t>1396*100000000</t>
  </si>
  <si>
    <t>1137*100000000</t>
  </si>
  <si>
    <t>788.2*100000000</t>
  </si>
  <si>
    <t>386.5*100000000</t>
  </si>
  <si>
    <t>1878*100000000</t>
  </si>
  <si>
    <t>1374*100000000</t>
  </si>
  <si>
    <t>907.6*100000000</t>
  </si>
  <si>
    <t>373.5*100000000</t>
  </si>
  <si>
    <t>1847*100000000</t>
  </si>
  <si>
    <t>1609*100000000</t>
  </si>
  <si>
    <t>1162*100000000</t>
  </si>
  <si>
    <t>632.6*100000000</t>
  </si>
  <si>
    <t>1632*100000000</t>
  </si>
  <si>
    <t>867.6*100000000</t>
  </si>
  <si>
    <t>1218*100000000</t>
  </si>
  <si>
    <t>975.5*100000000</t>
  </si>
  <si>
    <t>679.6*100000000</t>
  </si>
  <si>
    <t>330.1*100000000</t>
  </si>
  <si>
    <t>1594*100000000</t>
  </si>
  <si>
    <t>759.7*100000000</t>
  </si>
  <si>
    <t>303.3*100000000</t>
  </si>
  <si>
    <t>1644*100000000</t>
  </si>
  <si>
    <t>1417*100000000</t>
  </si>
  <si>
    <t>1057*100000000</t>
  </si>
  <si>
    <t>493.2*100000000</t>
  </si>
  <si>
    <t>1205*100000000</t>
  </si>
  <si>
    <t>894.9*100000000</t>
  </si>
  <si>
    <t>647.7*100000000</t>
  </si>
  <si>
    <t>289.5*100000000</t>
  </si>
  <si>
    <t>65.95*100000000</t>
  </si>
  <si>
    <t>47.96*100000000</t>
  </si>
  <si>
    <t>32.48*100000000</t>
  </si>
  <si>
    <t>64.56*100000000</t>
  </si>
  <si>
    <t>67.23*100000000</t>
  </si>
  <si>
    <t>50.26*100000000</t>
  </si>
  <si>
    <t>33.91*100000000</t>
  </si>
  <si>
    <t>52.26*100000000</t>
  </si>
  <si>
    <t>35.12*100000000</t>
  </si>
  <si>
    <t>8.460*100000000</t>
  </si>
  <si>
    <t>4.099*100000000</t>
  </si>
  <si>
    <t>7.015*100000000</t>
  </si>
  <si>
    <t>9.224*100000000</t>
  </si>
  <si>
    <t>8.506*100000000</t>
  </si>
  <si>
    <t>2.732*100000000</t>
  </si>
  <si>
    <t>9.971*100000000</t>
  </si>
  <si>
    <t>8.996*100000000</t>
  </si>
  <si>
    <t>8.897*100000000</t>
  </si>
  <si>
    <t>8.285*100000000</t>
  </si>
  <si>
    <t>2694*100000000</t>
  </si>
  <si>
    <t>2000*100000000</t>
  </si>
  <si>
    <t>1339*100000000</t>
  </si>
  <si>
    <t>683.4*100000000</t>
  </si>
  <si>
    <t>2462*100000000</t>
  </si>
  <si>
    <t>1854*100000000</t>
  </si>
  <si>
    <t>1268*100000000</t>
  </si>
  <si>
    <t>650.0*100000000</t>
  </si>
  <si>
    <t>2325*100000000</t>
  </si>
  <si>
    <t>1182*100000000</t>
  </si>
  <si>
    <t>621.0*100000000</t>
  </si>
  <si>
    <t>2127*100000000</t>
  </si>
  <si>
    <t>1578*100000000</t>
  </si>
  <si>
    <t>1019*100000000</t>
  </si>
  <si>
    <t>937.5*100000000</t>
  </si>
  <si>
    <t>691.7*100000000</t>
  </si>
  <si>
    <t>465.1*100000000</t>
  </si>
  <si>
    <t>248.7*100000000</t>
  </si>
  <si>
    <t>862.1*100000000</t>
  </si>
  <si>
    <t>574.2*100000000</t>
  </si>
  <si>
    <t>881.5*100000000</t>
  </si>
  <si>
    <t>690.6*100000000</t>
  </si>
  <si>
    <t>491.5*100000000</t>
  </si>
  <si>
    <t>865.2*100000000</t>
  </si>
  <si>
    <t>665.0*100000000</t>
  </si>
  <si>
    <t>474.5*100000000</t>
  </si>
  <si>
    <t>233.0*100000000</t>
  </si>
  <si>
    <t>939.6*100000000</t>
  </si>
  <si>
    <t>694.2*100000000</t>
  </si>
  <si>
    <t>465.9*100000000</t>
  </si>
  <si>
    <t>249.7*100000000</t>
  </si>
  <si>
    <t>864.3*100000000</t>
  </si>
  <si>
    <t>575.2*100000000</t>
  </si>
  <si>
    <t>399.6*100000000</t>
  </si>
  <si>
    <t>243.5*100000000</t>
  </si>
  <si>
    <t>882.0*100000000</t>
  </si>
  <si>
    <t>689.9*100000000</t>
  </si>
  <si>
    <t>489.6*100000000</t>
  </si>
  <si>
    <t>860.7*100000000</t>
  </si>
  <si>
    <t>665.3*100000000</t>
  </si>
  <si>
    <t>474.7*100000000</t>
  </si>
  <si>
    <t>889.4*100000000</t>
  </si>
  <si>
    <t>654.9*100000000</t>
  </si>
  <si>
    <t>428.7*100000000</t>
  </si>
  <si>
    <t>223.1*100000000</t>
  </si>
  <si>
    <t>795.7*100000000</t>
  </si>
  <si>
    <t>534.7*100000000</t>
  </si>
  <si>
    <t>370.0*100000000</t>
  </si>
  <si>
    <t>780.6*100000000</t>
  </si>
  <si>
    <t>607.3*100000000</t>
  </si>
  <si>
    <t>431.5*100000000</t>
  </si>
  <si>
    <t>741.7*100000000</t>
  </si>
  <si>
    <t>576.7*100000000</t>
  </si>
  <si>
    <t>409.9*100000000</t>
  </si>
  <si>
    <t>50.57*100000000</t>
  </si>
  <si>
    <t>22.78*100000000</t>
  </si>
  <si>
    <t>4.329*100000000</t>
  </si>
  <si>
    <t>7.953*100000000</t>
  </si>
  <si>
    <t>8.227*100000000</t>
  </si>
  <si>
    <t>5.162*100000000</t>
  </si>
  <si>
    <t>2.526*100000000</t>
  </si>
  <si>
    <t>8.849*100000000</t>
  </si>
  <si>
    <t>2.205*100000000</t>
  </si>
  <si>
    <t>6.270*100000000</t>
  </si>
  <si>
    <t>3.037*100000000</t>
  </si>
  <si>
    <t>3.855*100000000</t>
  </si>
  <si>
    <t>9045*10000</t>
  </si>
  <si>
    <t>8.901*100000000</t>
  </si>
  <si>
    <t>2.212*100000000</t>
  </si>
  <si>
    <t>6.279*100000000</t>
  </si>
  <si>
    <t>3.039*100000000</t>
  </si>
  <si>
    <t>4.739*100000000</t>
  </si>
  <si>
    <t>7.418*100000000</t>
  </si>
  <si>
    <t>9503*10000</t>
  </si>
  <si>
    <t>4.169*100000000</t>
  </si>
  <si>
    <t>3.245*100000000</t>
  </si>
  <si>
    <t>9541*10000</t>
  </si>
  <si>
    <t>2.700*100000000</t>
  </si>
  <si>
    <t>1.805*100000000</t>
  </si>
  <si>
    <t>8042*10000</t>
  </si>
  <si>
    <t>202.1*100000000</t>
  </si>
  <si>
    <t>96.68*100000000</t>
  </si>
  <si>
    <t>163.5*100000000</t>
  </si>
  <si>
    <t>74.57*100000000</t>
  </si>
  <si>
    <t>37.68*100000000</t>
  </si>
  <si>
    <t>211.8*100000000</t>
  </si>
  <si>
    <t>156.1*100000000</t>
  </si>
  <si>
    <t>51.16*100000000</t>
  </si>
  <si>
    <t>95.28*100000000</t>
  </si>
  <si>
    <t>4279*10000</t>
  </si>
  <si>
    <t>5.227*100000000</t>
  </si>
  <si>
    <t>9.027*100000000</t>
  </si>
  <si>
    <t>5.927*100000000</t>
  </si>
  <si>
    <t>11.76*100000000</t>
  </si>
  <si>
    <t>5.251*100000000</t>
  </si>
  <si>
    <t>8.732*100000000</t>
  </si>
  <si>
    <t>433.5*10000</t>
  </si>
  <si>
    <t>7.480*100000000</t>
  </si>
  <si>
    <t>8.747*100000000</t>
  </si>
  <si>
    <t>7.601*100000000</t>
  </si>
  <si>
    <t>7.790*100000000</t>
  </si>
  <si>
    <t>9.600*100000000</t>
  </si>
  <si>
    <t>4.446*100000000</t>
  </si>
  <si>
    <t>2224*100000000</t>
  </si>
  <si>
    <t>1840*100000000</t>
  </si>
  <si>
    <t>1321*100000000</t>
  </si>
  <si>
    <t>813.7*100000000</t>
  </si>
  <si>
    <t>2065*100000000</t>
  </si>
  <si>
    <t>1698*100000000</t>
  </si>
  <si>
    <t>1187*100000000</t>
  </si>
  <si>
    <t>681.5*100000000</t>
  </si>
  <si>
    <t>1746*100000000</t>
  </si>
  <si>
    <t>1328*100000000</t>
  </si>
  <si>
    <t>902.3*100000000</t>
  </si>
  <si>
    <t>495.7*100000000</t>
  </si>
  <si>
    <t>1542*100000000</t>
  </si>
  <si>
    <t>1235*100000000</t>
  </si>
  <si>
    <t>836.7*100000000</t>
  </si>
  <si>
    <t>461.6*100000000</t>
  </si>
  <si>
    <t>75.52*100000000</t>
  </si>
  <si>
    <t>120.9*100000000</t>
  </si>
  <si>
    <t>92.95*100000000</t>
  </si>
  <si>
    <t>55.81*100000000</t>
  </si>
  <si>
    <t>123.5*100000000</t>
  </si>
  <si>
    <t>98.87*100000000</t>
  </si>
  <si>
    <t>77.88*100000000</t>
  </si>
  <si>
    <t>75.44*100000000</t>
  </si>
  <si>
    <t>55.69*100000000</t>
  </si>
  <si>
    <t>123.2*100000000</t>
  </si>
  <si>
    <t>98.92*100000000</t>
  </si>
  <si>
    <t>77.48*100000000</t>
  </si>
  <si>
    <t>36.04*100000000</t>
  </si>
  <si>
    <t>119.6*100000000</t>
  </si>
  <si>
    <t>63.06*100000000</t>
  </si>
  <si>
    <t>82.19*100000000</t>
  </si>
  <si>
    <t>46.36*100000000</t>
  </si>
  <si>
    <t>145.6*100000000</t>
  </si>
  <si>
    <t>79.23*100000000</t>
  </si>
  <si>
    <t>58.00*100000000</t>
  </si>
  <si>
    <t>44.21*100000000</t>
  </si>
  <si>
    <t>4.367*100000000</t>
  </si>
  <si>
    <t>19.85*100000000</t>
  </si>
  <si>
    <t>12.87*100000000</t>
  </si>
  <si>
    <t>6.582*100000000</t>
  </si>
  <si>
    <t>16.50*100000000</t>
  </si>
  <si>
    <t>4.505*100000000</t>
  </si>
  <si>
    <t>6.563*100000000</t>
  </si>
  <si>
    <t>6439*10000</t>
  </si>
  <si>
    <t>3.531*100000000</t>
  </si>
  <si>
    <t>2.667*100000000</t>
  </si>
  <si>
    <t>3.071*100000000</t>
  </si>
  <si>
    <t>4.177*100000000</t>
  </si>
  <si>
    <t>3.542*100000000</t>
  </si>
  <si>
    <t>5.510*100000000</t>
  </si>
  <si>
    <t>5.041*100000000</t>
  </si>
  <si>
    <t>9763*10000</t>
  </si>
  <si>
    <t>3368*10000</t>
  </si>
  <si>
    <t>2.809*100000000</t>
  </si>
  <si>
    <t>9586*10000</t>
  </si>
  <si>
    <t>1.808*100000000</t>
  </si>
  <si>
    <t>189.7*100000000</t>
  </si>
  <si>
    <t>55.05*100000000</t>
  </si>
  <si>
    <t>175.8*100000000</t>
  </si>
  <si>
    <t>135.0*100000000</t>
  </si>
  <si>
    <t>82.90*100000000</t>
  </si>
  <si>
    <t>142.5*100000000</t>
  </si>
  <si>
    <t>70.41*100000000</t>
  </si>
  <si>
    <t>45.77*100000000</t>
  </si>
  <si>
    <t>33.09*100000000</t>
  </si>
  <si>
    <t>77.08*100000000</t>
  </si>
  <si>
    <t>58.29*100000000</t>
  </si>
  <si>
    <t>41.06*100000000</t>
  </si>
  <si>
    <t>46.91*100000000</t>
  </si>
  <si>
    <t>27.28*100000000</t>
  </si>
  <si>
    <t>16.12*100000000</t>
  </si>
  <si>
    <t>76.63*100000000</t>
  </si>
  <si>
    <t>61.56*100000000</t>
  </si>
  <si>
    <t>46.83*100000000</t>
  </si>
  <si>
    <t>26.30*100000000</t>
  </si>
  <si>
    <t>27.18*100000000</t>
  </si>
  <si>
    <t>6.533*100000000</t>
  </si>
  <si>
    <t>44.53*100000000</t>
  </si>
  <si>
    <t>31.35*100000000</t>
  </si>
  <si>
    <t>45.84*100000000</t>
  </si>
  <si>
    <t>35.37*100000000</t>
  </si>
  <si>
    <t>19.15*100000000</t>
  </si>
  <si>
    <t>9.899*100000000</t>
  </si>
  <si>
    <t>1.070*1000000000000</t>
  </si>
  <si>
    <t>7679*100000000</t>
  </si>
  <si>
    <t>4966*100000000</t>
  </si>
  <si>
    <t>2362*100000000</t>
  </si>
  <si>
    <t>9714*100000000</t>
  </si>
  <si>
    <t>6865*100000000</t>
  </si>
  <si>
    <t>4149*100000000</t>
  </si>
  <si>
    <t>1563*100000000</t>
  </si>
  <si>
    <t>8484*100000000</t>
  </si>
  <si>
    <t>5702*100000000</t>
  </si>
  <si>
    <t>3608*100000000</t>
  </si>
  <si>
    <t>1597*100000000</t>
  </si>
  <si>
    <t>7377*100000000</t>
  </si>
  <si>
    <t>4934*100000000</t>
  </si>
  <si>
    <t>3145*100000000</t>
  </si>
  <si>
    <t>1476*100000000</t>
  </si>
  <si>
    <t>387.8*100000000</t>
  </si>
  <si>
    <t>274.6*100000000</t>
  </si>
  <si>
    <t>88.28*100000000</t>
  </si>
  <si>
    <t>335.8*100000000</t>
  </si>
  <si>
    <t>239.5*100000000</t>
  </si>
  <si>
    <t>152.7*100000000</t>
  </si>
  <si>
    <t>49.17*100000000</t>
  </si>
  <si>
    <t>318.8*100000000</t>
  </si>
  <si>
    <t>208.4*100000000</t>
  </si>
  <si>
    <t>139.8*100000000</t>
  </si>
  <si>
    <t>227.0*100000000</t>
  </si>
  <si>
    <t>175.4*100000000</t>
  </si>
  <si>
    <t>375.9*100000000</t>
  </si>
  <si>
    <t>271.4*100000000</t>
  </si>
  <si>
    <t>87.37*100000000</t>
  </si>
  <si>
    <t>333.8*100000000</t>
  </si>
  <si>
    <t>239.8*100000000</t>
  </si>
  <si>
    <t>48.96*100000000</t>
  </si>
  <si>
    <t>313.3*100000000</t>
  </si>
  <si>
    <t>209.5*100000000</t>
  </si>
  <si>
    <t>54.50*100000000</t>
  </si>
  <si>
    <t>174.6*100000000</t>
  </si>
  <si>
    <t>46.09*100000000</t>
  </si>
  <si>
    <t>222.8*100000000</t>
  </si>
  <si>
    <t>143.5*100000000</t>
  </si>
  <si>
    <t>272.5*100000000</t>
  </si>
  <si>
    <t>194.0*100000000</t>
  </si>
  <si>
    <t>124.0*100000000</t>
  </si>
  <si>
    <t>253.8*100000000</t>
  </si>
  <si>
    <t>167.2*100000000</t>
  </si>
  <si>
    <t>41.88*100000000</t>
  </si>
  <si>
    <t>132.0*100000000</t>
  </si>
  <si>
    <t>94.12*100000000</t>
  </si>
  <si>
    <t>9428*100000000</t>
  </si>
  <si>
    <t>7121*100000000</t>
  </si>
  <si>
    <t>4678*100000000</t>
  </si>
  <si>
    <t>2342*100000000</t>
  </si>
  <si>
    <t>8827*100000000</t>
  </si>
  <si>
    <t>6657*100000000</t>
  </si>
  <si>
    <t>4485*100000000</t>
  </si>
  <si>
    <t>2270*100000000</t>
  </si>
  <si>
    <t>8554*100000000</t>
  </si>
  <si>
    <t>6469*100000000</t>
  </si>
  <si>
    <t>4429*100000000</t>
  </si>
  <si>
    <t>2355*100000000</t>
  </si>
  <si>
    <t>7738*100000000</t>
  </si>
  <si>
    <t>5771*100000000</t>
  </si>
  <si>
    <t>3875*100000000</t>
  </si>
  <si>
    <t>1972*100000000</t>
  </si>
  <si>
    <t>4236*100000000</t>
  </si>
  <si>
    <t>3159*100000000</t>
  </si>
  <si>
    <t>2076*100000000</t>
  </si>
  <si>
    <t>1082*100000000</t>
  </si>
  <si>
    <t>3914*100000000</t>
  </si>
  <si>
    <t>2837*100000000</t>
  </si>
  <si>
    <t>1892*100000000</t>
  </si>
  <si>
    <t>1068*100000000</t>
  </si>
  <si>
    <t>3906*100000000</t>
  </si>
  <si>
    <t>3121*100000000</t>
  </si>
  <si>
    <t>2089*100000000</t>
  </si>
  <si>
    <t>3712*100000000</t>
  </si>
  <si>
    <t>2944*100000000</t>
  </si>
  <si>
    <t>1952*100000000</t>
  </si>
  <si>
    <t>4249*100000000</t>
  </si>
  <si>
    <t>3165*100000000</t>
  </si>
  <si>
    <t>2081*100000000</t>
  </si>
  <si>
    <t>1084*100000000</t>
  </si>
  <si>
    <t>3921*100000000</t>
  </si>
  <si>
    <t>2841*100000000</t>
  </si>
  <si>
    <t>1894*100000000</t>
  </si>
  <si>
    <t>1071*100000000</t>
  </si>
  <si>
    <t>3918*100000000</t>
  </si>
  <si>
    <t>3132*100000000</t>
  </si>
  <si>
    <t>2092*100000000</t>
  </si>
  <si>
    <t>1036*100000000</t>
  </si>
  <si>
    <t>3724*100000000</t>
  </si>
  <si>
    <t>2965*100000000</t>
  </si>
  <si>
    <t>3502*100000000</t>
  </si>
  <si>
    <t>2533*100000000</t>
  </si>
  <si>
    <t>1645*100000000</t>
  </si>
  <si>
    <t>863.0*100000000</t>
  </si>
  <si>
    <t>3177*100000000</t>
  </si>
  <si>
    <t>2302*100000000</t>
  </si>
  <si>
    <t>1498*100000000</t>
  </si>
  <si>
    <t>850.1*100000000</t>
  </si>
  <si>
    <t>3134*100000000</t>
  </si>
  <si>
    <t>2527*100000000</t>
  </si>
  <si>
    <t>2987*100000000</t>
  </si>
  <si>
    <t>2401*100000000</t>
  </si>
  <si>
    <t>1607*100000000</t>
  </si>
  <si>
    <t>790.7*100000000</t>
  </si>
  <si>
    <t>63.91*100000000</t>
  </si>
  <si>
    <t>40.71*100000000</t>
  </si>
  <si>
    <t>26.75*100000000</t>
  </si>
  <si>
    <t>14.94*100000000</t>
  </si>
  <si>
    <t>41.62*100000000</t>
  </si>
  <si>
    <t>32.42*100000000</t>
  </si>
  <si>
    <t>23.01*100000000</t>
  </si>
  <si>
    <t>19.66*100000000</t>
  </si>
  <si>
    <t>8.073*100000000</t>
  </si>
  <si>
    <t>3.826*100000000</t>
  </si>
  <si>
    <t>4537*10000</t>
  </si>
  <si>
    <t>8582*10000</t>
  </si>
  <si>
    <t>24.97*100000000</t>
  </si>
  <si>
    <t>8.086*100000000</t>
  </si>
  <si>
    <t>3.761*100000000</t>
  </si>
  <si>
    <t>8538*10000</t>
  </si>
  <si>
    <t>4.271*100000000</t>
  </si>
  <si>
    <t>9.792*100000000</t>
  </si>
  <si>
    <t>9.270*100000000</t>
  </si>
  <si>
    <t>7.538*100000000</t>
  </si>
  <si>
    <t>6314*10000</t>
  </si>
  <si>
    <t>220.9*100000000</t>
  </si>
  <si>
    <t>48.25*100000000</t>
  </si>
  <si>
    <t>201.2*100000000</t>
  </si>
  <si>
    <t>85.49*100000000</t>
  </si>
  <si>
    <t>50.43*100000000</t>
  </si>
  <si>
    <t>5.615*100000000</t>
  </si>
  <si>
    <t>6.228*100000000</t>
  </si>
  <si>
    <t>4.539*100000000</t>
  </si>
  <si>
    <t>2.911*100000000</t>
  </si>
  <si>
    <t>27.46*100000000</t>
  </si>
  <si>
    <t>19.50*100000000</t>
  </si>
  <si>
    <t>28.06*100000000</t>
  </si>
  <si>
    <t>5.652*100000000</t>
  </si>
  <si>
    <t>5.502*100000000</t>
  </si>
  <si>
    <t>2.964*100000000</t>
  </si>
  <si>
    <t>3.292*100000000</t>
  </si>
  <si>
    <t>20.44*100000000</t>
  </si>
  <si>
    <t>12.20*100000000</t>
  </si>
  <si>
    <t>28.00*100000000</t>
  </si>
  <si>
    <t>11.24*100000000</t>
  </si>
  <si>
    <t>2.470*100000000</t>
  </si>
  <si>
    <t>9916*10000</t>
  </si>
  <si>
    <t>1.894*100000000</t>
  </si>
  <si>
    <t>19.93*100000000</t>
  </si>
  <si>
    <t>8.523*100000000</t>
  </si>
  <si>
    <t>1949*100000000</t>
  </si>
  <si>
    <t>1207*100000000</t>
  </si>
  <si>
    <t>526.1*100000000</t>
  </si>
  <si>
    <t>1860*100000000</t>
  </si>
  <si>
    <t>1332*100000000</t>
  </si>
  <si>
    <t>841.1*100000000</t>
  </si>
  <si>
    <t>397.0*100000000</t>
  </si>
  <si>
    <t>1902*100000000</t>
  </si>
  <si>
    <t>1458*100000000</t>
  </si>
  <si>
    <t>950.2*100000000</t>
  </si>
  <si>
    <t>1802*100000000</t>
  </si>
  <si>
    <t>1257*100000000</t>
  </si>
  <si>
    <t>823.9*100000000</t>
  </si>
  <si>
    <t>367.4*100000000</t>
  </si>
  <si>
    <t>67.18*100000000</t>
  </si>
  <si>
    <t>21.97*100000000</t>
  </si>
  <si>
    <t>29.75*100000000</t>
  </si>
  <si>
    <t>5.624*100000000</t>
  </si>
  <si>
    <t>60.31*100000000</t>
  </si>
  <si>
    <t>20.03*100000000</t>
  </si>
  <si>
    <t>3.923*100000000</t>
  </si>
  <si>
    <t>7.043*100000000</t>
  </si>
  <si>
    <t>19.06*100000000</t>
  </si>
  <si>
    <t>77.89*100000000</t>
  </si>
  <si>
    <t>80.89*100000000</t>
  </si>
  <si>
    <t>1.340*100000000</t>
  </si>
  <si>
    <t>11.72*100000000</t>
  </si>
  <si>
    <t>5.409*100000000</t>
  </si>
  <si>
    <t>23.03*100000000</t>
  </si>
  <si>
    <t>4.867*100000000</t>
  </si>
  <si>
    <t>4406*100000000</t>
  </si>
  <si>
    <t>3509*100000000</t>
  </si>
  <si>
    <t>2525*100000000</t>
  </si>
  <si>
    <t>1513*100000000</t>
  </si>
  <si>
    <t>4222*100000000</t>
  </si>
  <si>
    <t>3419*100000000</t>
  </si>
  <si>
    <t>3855*100000000</t>
  </si>
  <si>
    <t>2204*100000000</t>
  </si>
  <si>
    <t>3544*100000000</t>
  </si>
  <si>
    <t>2898*100000000</t>
  </si>
  <si>
    <t>2047*100000000</t>
  </si>
  <si>
    <t>1244*100000000</t>
  </si>
  <si>
    <t>307.9*100000000</t>
  </si>
  <si>
    <t>293.8*100000000</t>
  </si>
  <si>
    <t>241.6*100000000</t>
  </si>
  <si>
    <t>280.7*100000000</t>
  </si>
  <si>
    <t>229.9*100000000</t>
  </si>
  <si>
    <t>77.80*100000000</t>
  </si>
  <si>
    <t>282.6*100000000</t>
  </si>
  <si>
    <t>62.08*100000000</t>
  </si>
  <si>
    <t>308.0*100000000</t>
  </si>
  <si>
    <t>214.0*100000000</t>
  </si>
  <si>
    <t>292.4*100000000</t>
  </si>
  <si>
    <t>108.2*100000000</t>
  </si>
  <si>
    <t>279.7*100000000</t>
  </si>
  <si>
    <t>144.9*100000000</t>
  </si>
  <si>
    <t>77.64*100000000</t>
  </si>
  <si>
    <t>280.1*100000000</t>
  </si>
  <si>
    <t>276.2*100000000</t>
  </si>
  <si>
    <t>178.0*100000000</t>
  </si>
  <si>
    <t>253.5*100000000</t>
  </si>
  <si>
    <t>201.8*100000000</t>
  </si>
  <si>
    <t>145.9*100000000</t>
  </si>
  <si>
    <t>85.90*100000000</t>
  </si>
  <si>
    <t>283.5*100000000</t>
  </si>
  <si>
    <t>165.3*100000000</t>
  </si>
  <si>
    <t>55.99*100000000</t>
  </si>
  <si>
    <t>184.3*100000000</t>
  </si>
  <si>
    <t>130.1*100000000</t>
  </si>
  <si>
    <t>84.49*100000000</t>
  </si>
  <si>
    <t>38.32*100000000</t>
  </si>
  <si>
    <t>5.438*100000000</t>
  </si>
  <si>
    <t>9.217*100000000</t>
  </si>
  <si>
    <t>1.267*100000000</t>
  </si>
  <si>
    <t>478.4*10000</t>
  </si>
  <si>
    <t>631.7*10000</t>
  </si>
  <si>
    <t>1244*10000</t>
  </si>
  <si>
    <t>1.148*100000000</t>
  </si>
  <si>
    <t>2639*10000</t>
  </si>
  <si>
    <t>421.6*10000</t>
  </si>
  <si>
    <t>779.7*10000</t>
  </si>
  <si>
    <t>4436*10000</t>
  </si>
  <si>
    <t>1.182*100000000</t>
  </si>
  <si>
    <t>121.9*10000</t>
  </si>
  <si>
    <t>362.9*10000</t>
  </si>
  <si>
    <t>9754*10000</t>
  </si>
  <si>
    <t>1510*10000</t>
  </si>
  <si>
    <t>2158*100000000</t>
  </si>
  <si>
    <t>1610*100000000</t>
  </si>
  <si>
    <t>1052*100000000</t>
  </si>
  <si>
    <t>516.0*100000000</t>
  </si>
  <si>
    <t>1919*100000000</t>
  </si>
  <si>
    <t>1403*100000000</t>
  </si>
  <si>
    <t>871.7*100000000</t>
  </si>
  <si>
    <t>404.5*100000000</t>
  </si>
  <si>
    <t>1866*100000000</t>
  </si>
  <si>
    <t>1406*100000000</t>
  </si>
  <si>
    <t>925.8*100000000</t>
  </si>
  <si>
    <t>460.1*100000000</t>
  </si>
  <si>
    <t>1591*100000000</t>
  </si>
  <si>
    <t>1176*100000000</t>
  </si>
  <si>
    <t>758.8*100000000</t>
  </si>
  <si>
    <t>363.9*100000000</t>
  </si>
  <si>
    <t>82.05*100000000</t>
  </si>
  <si>
    <t>68.01*100000000</t>
  </si>
  <si>
    <t>52.30*100000000</t>
  </si>
  <si>
    <t>29.92*100000000</t>
  </si>
  <si>
    <t>71.84*100000000</t>
  </si>
  <si>
    <t>54.78*100000000</t>
  </si>
  <si>
    <t>36.34*100000000</t>
  </si>
  <si>
    <t>35.02*100000000</t>
  </si>
  <si>
    <t>52.08*100000000</t>
  </si>
  <si>
    <t>30.86*100000000</t>
  </si>
  <si>
    <t>81.44*100000000</t>
  </si>
  <si>
    <t>67.97*100000000</t>
  </si>
  <si>
    <t>71.75*100000000</t>
  </si>
  <si>
    <t>54.75*100000000</t>
  </si>
  <si>
    <t>62.62*100000000</t>
  </si>
  <si>
    <t>47.56*100000000</t>
  </si>
  <si>
    <t>31.05*100000000</t>
  </si>
  <si>
    <t>15.22*100000000</t>
  </si>
  <si>
    <t>62.75*100000000</t>
  </si>
  <si>
    <t>53.64*100000000</t>
  </si>
  <si>
    <t>43.58*100000000</t>
  </si>
  <si>
    <t>28.81*100000000</t>
  </si>
  <si>
    <t>48.31*100000000</t>
  </si>
  <si>
    <t>13.76*100000000</t>
  </si>
  <si>
    <t>24.55*100000000</t>
  </si>
  <si>
    <t>75.50*100000000</t>
  </si>
  <si>
    <t>54.87*100000000</t>
  </si>
  <si>
    <t>37.67*100000000</t>
  </si>
  <si>
    <t>63.18*100000000</t>
  </si>
  <si>
    <t>43.10*100000000</t>
  </si>
  <si>
    <t>52.40*100000000</t>
  </si>
  <si>
    <t>36.59*100000000</t>
  </si>
  <si>
    <t>52.01*100000000</t>
  </si>
  <si>
    <t>1.674*100000000</t>
  </si>
  <si>
    <t>6959*10000</t>
  </si>
  <si>
    <t>2.132*100000000</t>
  </si>
  <si>
    <t>2053*10000</t>
  </si>
  <si>
    <t>1727*10000</t>
  </si>
  <si>
    <t>1.853*100000000</t>
  </si>
  <si>
    <t>7443*10000</t>
  </si>
  <si>
    <t>2.114*100000000</t>
  </si>
  <si>
    <t>2.296*100000000</t>
  </si>
  <si>
    <t>1.840*100000000</t>
  </si>
  <si>
    <t>2242*10000</t>
  </si>
  <si>
    <t>1.447*100000000</t>
  </si>
  <si>
    <t>2000*10000</t>
  </si>
  <si>
    <t>2.226*100000000</t>
  </si>
  <si>
    <t>6770*10000</t>
  </si>
  <si>
    <t>1.082*100000000</t>
  </si>
  <si>
    <t>1538*10000</t>
  </si>
  <si>
    <t>9048*10000</t>
  </si>
  <si>
    <t>5006*100000000</t>
  </si>
  <si>
    <t>3495*100000000</t>
  </si>
  <si>
    <t>2510*100000000</t>
  </si>
  <si>
    <t>944.2*100000000</t>
  </si>
  <si>
    <t>4001*100000000</t>
  </si>
  <si>
    <t>2680*100000000</t>
  </si>
  <si>
    <t>1806*100000000</t>
  </si>
  <si>
    <t>727.2*100000000</t>
  </si>
  <si>
    <t>3386*100000000</t>
  </si>
  <si>
    <t>2281*100000000</t>
  </si>
  <si>
    <t>631.1*100000000</t>
  </si>
  <si>
    <t>2895*100000000</t>
  </si>
  <si>
    <t>1812*100000000</t>
  </si>
  <si>
    <t>552.0*100000000</t>
  </si>
  <si>
    <t>78.89*100000000</t>
  </si>
  <si>
    <t>39.73*100000000</t>
  </si>
  <si>
    <t>118.1*100000000</t>
  </si>
  <si>
    <t>31.25*100000000</t>
  </si>
  <si>
    <t>93.42*100000000</t>
  </si>
  <si>
    <t>63.79*100000000</t>
  </si>
  <si>
    <t>48.24*100000000</t>
  </si>
  <si>
    <t>60.63*100000000</t>
  </si>
  <si>
    <t>80.31*100000000</t>
  </si>
  <si>
    <t>40.54*100000000</t>
  </si>
  <si>
    <t>55.03*100000000</t>
  </si>
  <si>
    <t>97.82*100000000</t>
  </si>
  <si>
    <t>64.89*100000000</t>
  </si>
  <si>
    <t>95.24*100000000</t>
  </si>
  <si>
    <t>30.38*100000000</t>
  </si>
  <si>
    <t>93.82*100000000</t>
  </si>
  <si>
    <t>58.95*100000000</t>
  </si>
  <si>
    <t>75.77*100000000</t>
  </si>
  <si>
    <t>37.78*100000000</t>
  </si>
  <si>
    <t>75.71*100000000</t>
  </si>
  <si>
    <t>34.99*100000000</t>
  </si>
  <si>
    <t>19.59*100000000</t>
  </si>
  <si>
    <t>8585*100000000</t>
  </si>
  <si>
    <t>7277*100000000</t>
  </si>
  <si>
    <t>5526*100000000</t>
  </si>
  <si>
    <t>3735*100000000</t>
  </si>
  <si>
    <t>8250*100000000</t>
  </si>
  <si>
    <t>6916*100000000</t>
  </si>
  <si>
    <t>5137*100000000</t>
  </si>
  <si>
    <t>3378*100000000</t>
  </si>
  <si>
    <t>7452*100000000</t>
  </si>
  <si>
    <t>4572*100000000</t>
  </si>
  <si>
    <t>3122*100000000</t>
  </si>
  <si>
    <t>6431*100000000</t>
  </si>
  <si>
    <t>5410*100000000</t>
  </si>
  <si>
    <t>4072*100000000</t>
  </si>
  <si>
    <t>2649*100000000</t>
  </si>
  <si>
    <t>509.8*100000000</t>
  </si>
  <si>
    <t>352.5*100000000</t>
  </si>
  <si>
    <t>356.5*100000000</t>
  </si>
  <si>
    <t>599.9*100000000</t>
  </si>
  <si>
    <t>620.7*100000000</t>
  </si>
  <si>
    <t>253.6*100000000</t>
  </si>
  <si>
    <t>216.1*100000000</t>
  </si>
  <si>
    <t>505.0*100000000</t>
  </si>
  <si>
    <t>507.8*100000000</t>
  </si>
  <si>
    <t>461.0*100000000</t>
  </si>
  <si>
    <t>544.8*100000000</t>
  </si>
  <si>
    <t>538.2*100000000</t>
  </si>
  <si>
    <t>355.6*100000000</t>
  </si>
  <si>
    <t>598.0*100000000</t>
  </si>
  <si>
    <t>619.6*100000000</t>
  </si>
  <si>
    <t>388.9*100000000</t>
  </si>
  <si>
    <t>333.1*100000000</t>
  </si>
  <si>
    <t>139.2*100000000</t>
  </si>
  <si>
    <t>250.9*100000000</t>
  </si>
  <si>
    <t>214.5*100000000</t>
  </si>
  <si>
    <t>178.7*100000000</t>
  </si>
  <si>
    <t>524.1*100000000</t>
  </si>
  <si>
    <t>495.9*100000000</t>
  </si>
  <si>
    <t>417.3*100000000</t>
  </si>
  <si>
    <t>289.9*100000000</t>
  </si>
  <si>
    <t>513.7*100000000</t>
  </si>
  <si>
    <t>479.2*100000000</t>
  </si>
  <si>
    <t>173.2*100000000</t>
  </si>
  <si>
    <t>590.1*100000000</t>
  </si>
  <si>
    <t>582.6*100000000</t>
  </si>
  <si>
    <t>379.3*100000000</t>
  </si>
  <si>
    <t>262.0*100000000</t>
  </si>
  <si>
    <t>203.1*100000000</t>
  </si>
  <si>
    <t>167.0*100000000</t>
  </si>
  <si>
    <t>1364*100000000</t>
  </si>
  <si>
    <t>908.0*100000000</t>
  </si>
  <si>
    <t>619.3*100000000</t>
  </si>
  <si>
    <t>311.2*100000000</t>
  </si>
  <si>
    <t>621.4*100000000</t>
  </si>
  <si>
    <t>359.3*100000000</t>
  </si>
  <si>
    <t>951.1*100000000</t>
  </si>
  <si>
    <t>615.0*100000000</t>
  </si>
  <si>
    <t>403.2*100000000</t>
  </si>
  <si>
    <t>978.0*100000000</t>
  </si>
  <si>
    <t>655.1*100000000</t>
  </si>
  <si>
    <t>479.6*100000000</t>
  </si>
  <si>
    <t>262.3*100000000</t>
  </si>
  <si>
    <t>52.78*100000000</t>
  </si>
  <si>
    <t>9.366*100000000</t>
  </si>
  <si>
    <t>62.32*100000000</t>
  </si>
  <si>
    <t>45.64*100000000</t>
  </si>
  <si>
    <t>43.55*100000000</t>
  </si>
  <si>
    <t>74.82*100000000</t>
  </si>
  <si>
    <t>31.60*100000000</t>
  </si>
  <si>
    <t>51.01*100000000</t>
  </si>
  <si>
    <t>9.768*100000000</t>
  </si>
  <si>
    <t>64.77*100000000</t>
  </si>
  <si>
    <t>67.25*100000000</t>
  </si>
  <si>
    <t>7.930*100000000</t>
  </si>
  <si>
    <t>52.48*100000000</t>
  </si>
  <si>
    <t>145.7*100000000</t>
  </si>
  <si>
    <t>29.22*100000000</t>
  </si>
  <si>
    <t>96.43*100000000</t>
  </si>
  <si>
    <t>65.55*100000000</t>
  </si>
  <si>
    <t>93.06*100000000</t>
  </si>
  <si>
    <t>65.32*100000000</t>
  </si>
  <si>
    <t>83.78*100000000</t>
  </si>
  <si>
    <t>60.62*100000000</t>
  </si>
  <si>
    <t>41.77*100000000</t>
  </si>
  <si>
    <t>1.817*100000000</t>
  </si>
  <si>
    <t>6.098*100000000</t>
  </si>
  <si>
    <t>7.359*100000000</t>
  </si>
  <si>
    <t>3.739*100000000</t>
  </si>
  <si>
    <t>49.12*100000000</t>
  </si>
  <si>
    <t>6.115*100000000</t>
  </si>
  <si>
    <t>42.21*100000000</t>
  </si>
  <si>
    <t>36.50*100000000</t>
  </si>
  <si>
    <t>5.053*100000000</t>
  </si>
  <si>
    <t>9.592*100000000</t>
  </si>
  <si>
    <t>6.554*100000000</t>
  </si>
  <si>
    <t>297.0*100000000</t>
  </si>
  <si>
    <t>195.7*100000000</t>
  </si>
  <si>
    <t>168.4*100000000</t>
  </si>
  <si>
    <t>236.5*100000000</t>
  </si>
  <si>
    <t>178.8*100000000</t>
  </si>
  <si>
    <t>60.09*100000000</t>
  </si>
  <si>
    <t>208.3*100000000</t>
  </si>
  <si>
    <t>97.53*100000000</t>
  </si>
  <si>
    <t>45.99*100000000</t>
  </si>
  <si>
    <t>43.24*100000000</t>
  </si>
  <si>
    <t>15.88*100000000</t>
  </si>
  <si>
    <t>8.526*100000000</t>
  </si>
  <si>
    <t>8.601*100000000</t>
  </si>
  <si>
    <t>4.720*100000000</t>
  </si>
  <si>
    <t>8.103*100000000</t>
  </si>
  <si>
    <t>5.117*100000000</t>
  </si>
  <si>
    <t>1.663*100000000</t>
  </si>
  <si>
    <t>42.82*100000000</t>
  </si>
  <si>
    <t>26.62*100000000</t>
  </si>
  <si>
    <t>8.555*100000000</t>
  </si>
  <si>
    <t>5.037*100000000</t>
  </si>
  <si>
    <t>17.16*100000000</t>
  </si>
  <si>
    <t>5.141*100000000</t>
  </si>
  <si>
    <t>32.71*100000000</t>
  </si>
  <si>
    <t>8.373*100000000</t>
  </si>
  <si>
    <t>3.747*100000000</t>
  </si>
  <si>
    <t>8.837*100000000</t>
  </si>
  <si>
    <t>6.138*100000000</t>
  </si>
  <si>
    <t>3.646*100000000</t>
  </si>
  <si>
    <t>115.2*100000000</t>
  </si>
  <si>
    <t>71.53*100000000</t>
  </si>
  <si>
    <t>68.84*100000000</t>
  </si>
  <si>
    <t>98.20*100000000</t>
  </si>
  <si>
    <t>21.73*100000000</t>
  </si>
  <si>
    <t>9.462*100000000</t>
  </si>
  <si>
    <t>4.785*100000000</t>
  </si>
  <si>
    <t>9.817*100000000</t>
  </si>
  <si>
    <t>6.484*100000000</t>
  </si>
  <si>
    <t>9.424*100000000</t>
  </si>
  <si>
    <t>4.761*100000000</t>
  </si>
  <si>
    <t>9.803*100000000</t>
  </si>
  <si>
    <t>1.918*100000000</t>
  </si>
  <si>
    <t>18.90*100000000</t>
  </si>
  <si>
    <t>14.26*100000000</t>
  </si>
  <si>
    <t>8.612*100000000</t>
  </si>
  <si>
    <t>3.676*100000000</t>
  </si>
  <si>
    <t>9.837*100000000</t>
  </si>
  <si>
    <t>4.206*100000000</t>
  </si>
  <si>
    <t>269.1*100000000</t>
  </si>
  <si>
    <t>243.4*100000000</t>
  </si>
  <si>
    <t>68.65*100000000</t>
  </si>
  <si>
    <t>248.6*100000000</t>
  </si>
  <si>
    <t>177.5*100000000</t>
  </si>
  <si>
    <t>62.48*100000000</t>
  </si>
  <si>
    <t>82.16*100000000</t>
  </si>
  <si>
    <t>144.1*100000000</t>
  </si>
  <si>
    <t>100.4*100000000</t>
  </si>
  <si>
    <t>83.24*100000000</t>
  </si>
  <si>
    <t>37.98*100000000</t>
  </si>
  <si>
    <t>54.15*100000000</t>
  </si>
  <si>
    <t>64.75*100000000</t>
  </si>
  <si>
    <t>40.20*100000000</t>
  </si>
  <si>
    <t>162.7*100000000</t>
  </si>
  <si>
    <t>143.8*100000000</t>
  </si>
  <si>
    <t>42.04*100000000</t>
  </si>
  <si>
    <t>83.06*100000000</t>
  </si>
  <si>
    <t>37.73*100000000</t>
  </si>
  <si>
    <t>84.48*100000000</t>
  </si>
  <si>
    <t>64.49*100000000</t>
  </si>
  <si>
    <t>58.04*100000000</t>
  </si>
  <si>
    <t>24.04*100000000</t>
  </si>
  <si>
    <t>136.0*100000000</t>
  </si>
  <si>
    <t>78.87*100000000</t>
  </si>
  <si>
    <t>89.42*100000000</t>
  </si>
  <si>
    <t>90.57*100000000</t>
  </si>
  <si>
    <t>64.88*100000000</t>
  </si>
  <si>
    <t>41.00*100000000</t>
  </si>
  <si>
    <t>28.05*100000000</t>
  </si>
  <si>
    <t>51.61*100000000</t>
  </si>
  <si>
    <t>45.93*100000000</t>
  </si>
  <si>
    <t>219.8*100000000</t>
  </si>
  <si>
    <t>150.7*100000000</t>
  </si>
  <si>
    <t>265.1*100000000</t>
  </si>
  <si>
    <t>192.5*100000000</t>
  </si>
  <si>
    <t>59.41*100000000</t>
  </si>
  <si>
    <t>257.2*100000000</t>
  </si>
  <si>
    <t>63.54*100000000</t>
  </si>
  <si>
    <t>260.1*100000000</t>
  </si>
  <si>
    <t>191.4*100000000</t>
  </si>
  <si>
    <t>16.81*100000000</t>
  </si>
  <si>
    <t>8.313*100000000</t>
  </si>
  <si>
    <t>5.648*100000000</t>
  </si>
  <si>
    <t>7.048*100000000</t>
  </si>
  <si>
    <t>2.232*100000000</t>
  </si>
  <si>
    <t>19.40*100000000</t>
  </si>
  <si>
    <t>5.668*100000000</t>
  </si>
  <si>
    <t>14.08*100000000</t>
  </si>
  <si>
    <t>9.954*100000000</t>
  </si>
  <si>
    <t>7.870*100000000</t>
  </si>
  <si>
    <t>4.079*100000000</t>
  </si>
  <si>
    <t>9.389*100000000</t>
  </si>
  <si>
    <t>7.885*100000000</t>
  </si>
  <si>
    <t>5.219*100000000</t>
  </si>
  <si>
    <t>1.788*100000000</t>
  </si>
  <si>
    <t>2257*100000000</t>
  </si>
  <si>
    <t>1445*100000000</t>
  </si>
  <si>
    <t>954.6*100000000</t>
  </si>
  <si>
    <t>415.5*100000000</t>
  </si>
  <si>
    <t>2277*100000000</t>
  </si>
  <si>
    <t>894.0*100000000</t>
  </si>
  <si>
    <t>2290*100000000</t>
  </si>
  <si>
    <t>1545*100000000</t>
  </si>
  <si>
    <t>961.5*100000000</t>
  </si>
  <si>
    <t>396.7*100000000</t>
  </si>
  <si>
    <t>2191*100000000</t>
  </si>
  <si>
    <t>1354*100000000</t>
  </si>
  <si>
    <t>862.9*100000000</t>
  </si>
  <si>
    <t>329.2*100000000</t>
  </si>
  <si>
    <t>56.47*100000000</t>
  </si>
  <si>
    <t>19.07*100000000</t>
  </si>
  <si>
    <t>153.2*100000000</t>
  </si>
  <si>
    <t>98.16*100000000</t>
  </si>
  <si>
    <t>53.86*100000000</t>
  </si>
  <si>
    <t>158.2*100000000</t>
  </si>
  <si>
    <t>66.54*100000000</t>
  </si>
  <si>
    <t>147.3*100000000</t>
  </si>
  <si>
    <t>91.06*100000000</t>
  </si>
  <si>
    <t>59.07*100000000</t>
  </si>
  <si>
    <t>55.52*100000000</t>
  </si>
  <si>
    <t>166.1*100000000</t>
  </si>
  <si>
    <t>25.20*100000000</t>
  </si>
  <si>
    <t>104.2*100000000</t>
  </si>
  <si>
    <t>77.82*100000000</t>
  </si>
  <si>
    <t>48.58*100000000</t>
  </si>
  <si>
    <t>83.07*100000000</t>
  </si>
  <si>
    <t>9.720*100000000</t>
  </si>
  <si>
    <t>96.66*100000000</t>
  </si>
  <si>
    <t>55.65*100000000</t>
  </si>
  <si>
    <t>86.81*100000000</t>
  </si>
  <si>
    <t>167.1*100000000</t>
  </si>
  <si>
    <t>79.99*100000000</t>
  </si>
  <si>
    <t>158.7*100000000</t>
  </si>
  <si>
    <t>63.15*100000000</t>
  </si>
  <si>
    <t>84.53*100000000</t>
  </si>
  <si>
    <t>77.12*100000000</t>
  </si>
  <si>
    <t>58.49*100000000</t>
  </si>
  <si>
    <t>=</t>
  </si>
  <si>
    <t>54.07*100000000</t>
  </si>
  <si>
    <t>42.41*100000000</t>
  </si>
  <si>
    <t>9.343*100000000</t>
  </si>
  <si>
    <t>45.86*100000000</t>
  </si>
  <si>
    <t>29.99*100000000</t>
  </si>
  <si>
    <t>28.46*100000000</t>
  </si>
  <si>
    <t>46.68*100000000</t>
  </si>
  <si>
    <t>29.81*100000000</t>
  </si>
  <si>
    <t>9.363*100000000</t>
  </si>
  <si>
    <t>39.99*100000000</t>
  </si>
  <si>
    <t>18.15*100000000</t>
  </si>
  <si>
    <t>16.66*100000000</t>
  </si>
  <si>
    <t>35.63*100000000</t>
  </si>
  <si>
    <t>7.188*100000000</t>
  </si>
  <si>
    <t>34.18*100000000</t>
  </si>
  <si>
    <t>22.22*100000000</t>
  </si>
  <si>
    <t>16.82*100000000</t>
  </si>
  <si>
    <t>79.09*100000000</t>
  </si>
  <si>
    <t>56.58*100000000</t>
  </si>
  <si>
    <t>73.23*100000000</t>
  </si>
  <si>
    <t>60.92*100000000</t>
  </si>
  <si>
    <t>50.74*100000000</t>
  </si>
  <si>
    <t>37.24*100000000</t>
  </si>
  <si>
    <t>24.50*100000000</t>
  </si>
  <si>
    <t>6.486*100000000</t>
  </si>
  <si>
    <t>3.289*100000000</t>
  </si>
  <si>
    <t>8.513*100000000</t>
  </si>
  <si>
    <t>4.651*100000000</t>
  </si>
  <si>
    <t>6.164*100000000</t>
  </si>
  <si>
    <t>5.157*100000000</t>
  </si>
  <si>
    <t>8.428*100000000</t>
  </si>
  <si>
    <t>4.652*100000000</t>
  </si>
  <si>
    <t>9.483*100000000</t>
  </si>
  <si>
    <t>6.160*100000000</t>
  </si>
  <si>
    <t>3.958*100000000</t>
  </si>
  <si>
    <t>5.152*100000000</t>
  </si>
  <si>
    <t>3.471*100000000</t>
  </si>
  <si>
    <t>9.494*100000000</t>
  </si>
  <si>
    <t>7.385*100000000</t>
  </si>
  <si>
    <t>2.856*100000000</t>
  </si>
  <si>
    <t>3.911*100000000</t>
  </si>
  <si>
    <t>5.310*100000000</t>
  </si>
  <si>
    <t>2.999*100000000</t>
  </si>
  <si>
    <t>6856*100000000</t>
  </si>
  <si>
    <t>5162*100000000</t>
  </si>
  <si>
    <t>3406*100000000</t>
  </si>
  <si>
    <t>1519*100000000</t>
  </si>
  <si>
    <t>6276*100000000</t>
  </si>
  <si>
    <t>4097*100000000</t>
  </si>
  <si>
    <t>2464*100000000</t>
  </si>
  <si>
    <t>955.5*100000000</t>
  </si>
  <si>
    <t>5554*100000000</t>
  </si>
  <si>
    <t>3755*100000000</t>
  </si>
  <si>
    <t>2407*100000000</t>
  </si>
  <si>
    <t>1022*100000000</t>
  </si>
  <si>
    <t>4909*100000000</t>
  </si>
  <si>
    <t>3285*100000000</t>
  </si>
  <si>
    <t>2084*100000000</t>
  </si>
  <si>
    <t>932.5*100000000</t>
  </si>
  <si>
    <t>284.9*100000000</t>
  </si>
  <si>
    <t>150.0*100000000</t>
  </si>
  <si>
    <t>153.6*100000000</t>
  </si>
  <si>
    <t>30.58*100000000</t>
  </si>
  <si>
    <t>172.7*100000000</t>
  </si>
  <si>
    <t>251.8*100000000</t>
  </si>
  <si>
    <t>287.4*100000000</t>
  </si>
  <si>
    <t>230.7*100000000</t>
  </si>
  <si>
    <t>151.4*100000000</t>
  </si>
  <si>
    <t>69.52*100000000</t>
  </si>
  <si>
    <t>154.6*100000000</t>
  </si>
  <si>
    <t>86.78*100000000</t>
  </si>
  <si>
    <t>30.88*100000000</t>
  </si>
  <si>
    <t>266.0*100000000</t>
  </si>
  <si>
    <t>116.9*100000000</t>
  </si>
  <si>
    <t>47.55*100000000</t>
  </si>
  <si>
    <t>43.81*100000000</t>
  </si>
  <si>
    <t>235.0*100000000</t>
  </si>
  <si>
    <t>186.3*100000000</t>
  </si>
  <si>
    <t>56.74*100000000</t>
  </si>
  <si>
    <t>193.5*100000000</t>
  </si>
  <si>
    <t>25.04*100000000</t>
  </si>
  <si>
    <t>215.3*100000000</t>
  </si>
  <si>
    <t>38.71*100000000</t>
  </si>
  <si>
    <t>202.9*100000000</t>
  </si>
  <si>
    <t>133.7*100000000</t>
  </si>
  <si>
    <t>86.22*100000000</t>
  </si>
  <si>
    <t>292.0*100000000</t>
  </si>
  <si>
    <t>127.4*100000000</t>
  </si>
  <si>
    <t>81.68*100000000</t>
  </si>
  <si>
    <t>311.4*100000000</t>
  </si>
  <si>
    <t>213.3*100000000</t>
  </si>
  <si>
    <t>59.08*100000000</t>
  </si>
  <si>
    <t>137.2*100000000</t>
  </si>
  <si>
    <t>81.40*100000000</t>
  </si>
  <si>
    <t>34.28*100000000</t>
  </si>
  <si>
    <t>8.797*100000000</t>
  </si>
  <si>
    <t>20.08*100000000</t>
  </si>
  <si>
    <t>19.97*100000000</t>
  </si>
  <si>
    <t>34.47*100000000</t>
  </si>
  <si>
    <t>28.53*100000000</t>
  </si>
  <si>
    <t>3.099*100000000</t>
  </si>
  <si>
    <t>26.45*100000000</t>
  </si>
  <si>
    <t>20.91*100000000</t>
  </si>
  <si>
    <t>7.063*100000000</t>
  </si>
  <si>
    <t>2235*10000</t>
  </si>
  <si>
    <t>3.220*100000000</t>
  </si>
  <si>
    <t>9.864*100000000</t>
  </si>
  <si>
    <t>8867*10000</t>
  </si>
  <si>
    <t>104.6*100000000</t>
  </si>
  <si>
    <t>46.62*100000000</t>
  </si>
  <si>
    <t>19.53*100000000</t>
  </si>
  <si>
    <t>90.08*100000000</t>
  </si>
  <si>
    <t>57.29*100000000</t>
  </si>
  <si>
    <t>88.42*100000000</t>
  </si>
  <si>
    <t>17.09*100000000</t>
  </si>
  <si>
    <t>81.87*100000000</t>
  </si>
  <si>
    <t>35.78*100000000</t>
  </si>
  <si>
    <t>7.084*100000000</t>
  </si>
  <si>
    <t>1.494*100000000</t>
  </si>
  <si>
    <t>7.765*100000000</t>
  </si>
  <si>
    <t>9.308*100000000</t>
  </si>
  <si>
    <t>4.363*100000000</t>
  </si>
  <si>
    <t>6.876*100000000</t>
  </si>
  <si>
    <t>5.902*100000000</t>
  </si>
  <si>
    <t>5.898*100000000</t>
  </si>
  <si>
    <t>7.575*100000000</t>
  </si>
  <si>
    <t>7.391*100000000</t>
  </si>
  <si>
    <t>9.267*100000000</t>
  </si>
  <si>
    <t>4.358*100000000</t>
  </si>
  <si>
    <t>1528*100000000</t>
  </si>
  <si>
    <t>1168*100000000</t>
  </si>
  <si>
    <t>770.4*100000000</t>
  </si>
  <si>
    <t>386.9*100000000</t>
  </si>
  <si>
    <t>1426*100000000</t>
  </si>
  <si>
    <t>1069*100000000</t>
  </si>
  <si>
    <t>721.1*100000000</t>
  </si>
  <si>
    <t>373.1*100000000</t>
  </si>
  <si>
    <t>1002*100000000</t>
  </si>
  <si>
    <t>661.4*100000000</t>
  </si>
  <si>
    <t>1102*100000000</t>
  </si>
  <si>
    <t>813.6*100000000</t>
  </si>
  <si>
    <t>522.3*100000000</t>
  </si>
  <si>
    <t>253.4*100000000</t>
  </si>
  <si>
    <t>526.4*100000000</t>
  </si>
  <si>
    <t>426.4*100000000</t>
  </si>
  <si>
    <t>457.2*100000000</t>
  </si>
  <si>
    <t>353.9*100000000</t>
  </si>
  <si>
    <t>453.0*100000000</t>
  </si>
  <si>
    <t>373.0*100000000</t>
  </si>
  <si>
    <t>244.4*100000000</t>
  </si>
  <si>
    <t>328.5*100000000</t>
  </si>
  <si>
    <t>529.4*100000000</t>
  </si>
  <si>
    <t>271.9*100000000</t>
  </si>
  <si>
    <t>353.8*100000000</t>
  </si>
  <si>
    <t>220.4*100000000</t>
  </si>
  <si>
    <t>451.6*100000000</t>
  </si>
  <si>
    <t>373.4*100000000</t>
  </si>
  <si>
    <t>408.5*100000000</t>
  </si>
  <si>
    <t>328.8*100000000</t>
  </si>
  <si>
    <t>216.6*100000000</t>
  </si>
  <si>
    <t>111.0*100000000</t>
  </si>
  <si>
    <t>436.4*100000000</t>
  </si>
  <si>
    <t>225.1*100000000</t>
  </si>
  <si>
    <t>115.6*100000000</t>
  </si>
  <si>
    <t>184.2*100000000</t>
  </si>
  <si>
    <t>374.4*100000000</t>
  </si>
  <si>
    <t>314.7*100000000</t>
  </si>
  <si>
    <t>204.8*100000000</t>
  </si>
  <si>
    <t>337.2*100000000</t>
  </si>
  <si>
    <t>278.0*100000000</t>
  </si>
  <si>
    <t>181.0*100000000</t>
  </si>
  <si>
    <t>155.1*100000000</t>
  </si>
  <si>
    <t>142.4*100000000</t>
  </si>
  <si>
    <t>95.27*100000000</t>
  </si>
  <si>
    <t>60.24*100000000</t>
  </si>
  <si>
    <t>99.91*100000000</t>
  </si>
  <si>
    <t>28.89*100000000</t>
  </si>
  <si>
    <t>9.929*100000000</t>
  </si>
  <si>
    <t>5.782*100000000</t>
  </si>
  <si>
    <t>61.97*100000000</t>
  </si>
  <si>
    <t>50.59*100000000</t>
  </si>
  <si>
    <t>61.31*100000000</t>
  </si>
  <si>
    <t>28.02*100000000</t>
  </si>
  <si>
    <t>5.533*100000000</t>
  </si>
  <si>
    <t>62.03*100000000</t>
  </si>
  <si>
    <t>50.65*100000000</t>
  </si>
  <si>
    <t>35.75*100000000</t>
  </si>
  <si>
    <t>60.19*100000000</t>
  </si>
  <si>
    <t>52.90*100000000</t>
  </si>
  <si>
    <t>7.244*100000000</t>
  </si>
  <si>
    <t>46.86*100000000</t>
  </si>
  <si>
    <t>47.05*100000000</t>
  </si>
  <si>
    <t>43.92*100000000</t>
  </si>
  <si>
    <t>32.14*100000000</t>
  </si>
  <si>
    <t>2.614*1000000000000</t>
  </si>
  <si>
    <t>1.880*1000000000000</t>
  </si>
  <si>
    <t>1.197*1000000000000</t>
  </si>
  <si>
    <t>5519*100000000</t>
  </si>
  <si>
    <t>1.934*1000000000000</t>
  </si>
  <si>
    <t>1.426*1000000000000</t>
  </si>
  <si>
    <t>9290*100000000</t>
  </si>
  <si>
    <t>5091*100000000</t>
  </si>
  <si>
    <t>2.517*1000000000000</t>
  </si>
  <si>
    <t>1.814*1000000000000</t>
  </si>
  <si>
    <t>1.196*1000000000000</t>
  </si>
  <si>
    <t>5948*100000000</t>
  </si>
  <si>
    <t>2.375*1000000000000</t>
  </si>
  <si>
    <t>1.727*1000000000000</t>
  </si>
  <si>
    <t>1.120*1000000000000</t>
  </si>
  <si>
    <t>5427*100000000</t>
  </si>
  <si>
    <t>1822*100000000</t>
  </si>
  <si>
    <t>889.8*100000000</t>
  </si>
  <si>
    <t>441.5*100000000</t>
  </si>
  <si>
    <t>647.8*100000000</t>
  </si>
  <si>
    <t>423.7*100000000</t>
  </si>
  <si>
    <t>883.8*100000000</t>
  </si>
  <si>
    <t>650.9*100000000</t>
  </si>
  <si>
    <t>658.5*100000000</t>
  </si>
  <si>
    <t>272.3*100000000</t>
  </si>
  <si>
    <t>1582*100000000</t>
  </si>
  <si>
    <t>1232*100000000</t>
  </si>
  <si>
    <t>870.2*100000000</t>
  </si>
  <si>
    <t>434.6*100000000</t>
  </si>
  <si>
    <t>560.7*100000000</t>
  </si>
  <si>
    <t>429.5*100000000</t>
  </si>
  <si>
    <t>1032*100000000</t>
  </si>
  <si>
    <t>827.6*100000000</t>
  </si>
  <si>
    <t>617.7*100000000</t>
  </si>
  <si>
    <t>245.7*100000000</t>
  </si>
  <si>
    <t>1035*100000000</t>
  </si>
  <si>
    <t>616.8*100000000</t>
  </si>
  <si>
    <t>1147*100000000</t>
  </si>
  <si>
    <t>930.6*100000000</t>
  </si>
  <si>
    <t>678.2*100000000</t>
  </si>
  <si>
    <t>316.4*100000000</t>
  </si>
  <si>
    <t>334.8*100000000</t>
  </si>
  <si>
    <t>206.8*100000000</t>
  </si>
  <si>
    <t>670.1*100000000</t>
  </si>
  <si>
    <t>391.4*100000000</t>
  </si>
  <si>
    <t>160.3*100000000</t>
  </si>
  <si>
    <t>739.7*100000000</t>
  </si>
  <si>
    <t>652.6*100000000</t>
  </si>
  <si>
    <t>386.2*100000000</t>
  </si>
  <si>
    <t>152.1*100000000</t>
  </si>
  <si>
    <t>371.2*100000000</t>
  </si>
  <si>
    <t>249.8*100000000</t>
  </si>
  <si>
    <t>127.1*100000000</t>
  </si>
  <si>
    <t>78.17*100000000</t>
  </si>
  <si>
    <t>34.44*100000000</t>
  </si>
  <si>
    <t>32.01*100000000</t>
  </si>
  <si>
    <t>82.40*100000000</t>
  </si>
  <si>
    <t>36.41*100000000</t>
  </si>
  <si>
    <t>80.30*100000000</t>
  </si>
  <si>
    <t>48.68*100000000</t>
  </si>
  <si>
    <t>9.616*100000000</t>
  </si>
  <si>
    <t>24.33*100000000</t>
  </si>
  <si>
    <t>9.612*100000000</t>
  </si>
  <si>
    <t>6.613*100000000</t>
  </si>
  <si>
    <t>9.318*100000000</t>
  </si>
  <si>
    <t>9.523*100000000</t>
  </si>
  <si>
    <t>19.43*100000000</t>
  </si>
  <si>
    <t>9.863*100000000</t>
  </si>
  <si>
    <t>6.574*100000000</t>
  </si>
  <si>
    <t>4.094*100000000</t>
  </si>
  <si>
    <t>60.91*100000000</t>
  </si>
  <si>
    <t>39.88*100000000</t>
  </si>
  <si>
    <t>24.21*100000000</t>
  </si>
  <si>
    <t>8.275*100000000</t>
  </si>
  <si>
    <t>9.035*100000000</t>
  </si>
  <si>
    <t>8.576*100000000</t>
  </si>
  <si>
    <t>3.790*100000000</t>
  </si>
  <si>
    <t>95.36*100000000</t>
  </si>
  <si>
    <t>43.52*100000000</t>
  </si>
  <si>
    <t>82.22*100000000</t>
  </si>
  <si>
    <t>54.42*100000000</t>
  </si>
  <si>
    <t>77.69*100000000</t>
  </si>
  <si>
    <t>52.16*100000000</t>
  </si>
  <si>
    <t>113.6*100000000</t>
  </si>
  <si>
    <t>85.24*100000000</t>
  </si>
  <si>
    <t>56.32*100000000</t>
  </si>
  <si>
    <t>7.183*100000000</t>
  </si>
  <si>
    <t>4.890*100000000</t>
  </si>
  <si>
    <t>9117*10000</t>
  </si>
  <si>
    <t>5.807*100000000</t>
  </si>
  <si>
    <t>4.347*100000000</t>
  </si>
  <si>
    <t>2.745*100000000</t>
  </si>
  <si>
    <t>8.778*100000000</t>
  </si>
  <si>
    <t>9.279*100000000</t>
  </si>
  <si>
    <t>8990*10000</t>
  </si>
  <si>
    <t>4.361*100000000</t>
  </si>
  <si>
    <t>2.744*100000000</t>
  </si>
  <si>
    <t>9.286*100000000</t>
  </si>
  <si>
    <t>8709*10000</t>
  </si>
  <si>
    <t>6.375*100000000</t>
  </si>
  <si>
    <t>4.251*100000000</t>
  </si>
  <si>
    <t>8.142*100000000</t>
  </si>
  <si>
    <t>80.81*100000000</t>
  </si>
  <si>
    <t>35.96*100000000</t>
  </si>
  <si>
    <t>75.61*100000000</t>
  </si>
  <si>
    <t>73.19*100000000</t>
  </si>
  <si>
    <t>46.17*100000000</t>
  </si>
  <si>
    <t>43.90*100000000</t>
  </si>
  <si>
    <t>32.85*100000000</t>
  </si>
  <si>
    <t>6.651*100000000</t>
  </si>
  <si>
    <t>4.096*100000000</t>
  </si>
  <si>
    <t>43.43*100000000</t>
  </si>
  <si>
    <t>32.59*100000000</t>
  </si>
  <si>
    <t>6.701*100000000</t>
  </si>
  <si>
    <t>9.774*100000000</t>
  </si>
  <si>
    <t>30.54*100000000</t>
  </si>
  <si>
    <t>30.45*100000000</t>
  </si>
  <si>
    <t>3.480*100000000</t>
  </si>
  <si>
    <t>3.590*100000000</t>
  </si>
  <si>
    <t>164.2*100000000</t>
  </si>
  <si>
    <t>71.29*100000000</t>
  </si>
  <si>
    <t>32.61*100000000</t>
  </si>
  <si>
    <t>56.59*100000000</t>
  </si>
  <si>
    <t>36.95*100000000</t>
  </si>
  <si>
    <t>8.108*100000000</t>
  </si>
  <si>
    <t>9.501*100000000</t>
  </si>
  <si>
    <t>6.368*100000000</t>
  </si>
  <si>
    <t>7.424*100000000</t>
  </si>
  <si>
    <t>5.363*100000000</t>
  </si>
  <si>
    <t>29.16*100000000</t>
  </si>
  <si>
    <t>21.16*100000000</t>
  </si>
  <si>
    <t>5.623*100000000</t>
  </si>
  <si>
    <t>8.763*100000000</t>
  </si>
  <si>
    <t>9.493*100000000</t>
  </si>
  <si>
    <t>8.782*100000000</t>
  </si>
  <si>
    <t>6.546*100000000</t>
  </si>
  <si>
    <t>7.089*100000000</t>
  </si>
  <si>
    <t>7.370*100000000</t>
  </si>
  <si>
    <t>4.011*100000000</t>
  </si>
  <si>
    <t>2.000*100000000</t>
  </si>
  <si>
    <t>86.88*100000000</t>
  </si>
  <si>
    <t>121.2*100000000</t>
  </si>
  <si>
    <t>84.98*100000000</t>
  </si>
  <si>
    <t>55.95*100000000</t>
  </si>
  <si>
    <t>26.52*100000000</t>
  </si>
  <si>
    <t>66.46*100000000</t>
  </si>
  <si>
    <t>49.04*100000000</t>
  </si>
  <si>
    <t>67.54*100000000</t>
  </si>
  <si>
    <t>36.51*100000000</t>
  </si>
  <si>
    <t>28.65*100000000</t>
  </si>
  <si>
    <t>7.496*100000000</t>
  </si>
  <si>
    <t>28.57*100000000</t>
  </si>
  <si>
    <t>7.241*100000000</t>
  </si>
  <si>
    <t>28.36*100000000</t>
  </si>
  <si>
    <t>21.99*100000000</t>
  </si>
  <si>
    <t>1.383*100000000</t>
  </si>
  <si>
    <t>8.755*100000000</t>
  </si>
  <si>
    <t>5.039*100000000</t>
  </si>
  <si>
    <t>8.949*100000000</t>
  </si>
  <si>
    <t>3.538*100000000</t>
  </si>
  <si>
    <t>6.820*100000000</t>
  </si>
  <si>
    <t>2.484*100000000</t>
  </si>
  <si>
    <t>359.8*100000000</t>
  </si>
  <si>
    <t>261.0*100000000</t>
  </si>
  <si>
    <t>75.80*100000000</t>
  </si>
  <si>
    <t>237.5*100000000</t>
  </si>
  <si>
    <t>55.88*100000000</t>
  </si>
  <si>
    <t>170.4*100000000</t>
  </si>
  <si>
    <t>37.01*100000000</t>
  </si>
  <si>
    <t>99.25*100000000</t>
  </si>
  <si>
    <t>63.28*100000000</t>
  </si>
  <si>
    <t>93.34*100000000</t>
  </si>
  <si>
    <t>54.25*100000000</t>
  </si>
  <si>
    <t>72.88*100000000</t>
  </si>
  <si>
    <t>46.37*100000000</t>
  </si>
  <si>
    <t>51.43*100000000</t>
  </si>
  <si>
    <t>33.97*100000000</t>
  </si>
  <si>
    <t>53.49*100000000</t>
  </si>
  <si>
    <t>24.93*100000000</t>
  </si>
  <si>
    <t>91.57*100000000</t>
  </si>
  <si>
    <t>72.10*100000000</t>
  </si>
  <si>
    <t>45.81*100000000</t>
  </si>
  <si>
    <t>68.30*100000000</t>
  </si>
  <si>
    <t>51.20*100000000</t>
  </si>
  <si>
    <t>17.20*100000000</t>
  </si>
  <si>
    <t>74.69*100000000</t>
  </si>
  <si>
    <t>52.50*100000000</t>
  </si>
  <si>
    <t>26.05*100000000</t>
  </si>
  <si>
    <t>27.30*100000000</t>
  </si>
  <si>
    <t>5.391*100000000</t>
  </si>
  <si>
    <t>11.07*100000000</t>
  </si>
  <si>
    <t>6.757*100000000</t>
  </si>
  <si>
    <t>2.703*100000000</t>
  </si>
  <si>
    <t>8.225*100000000</t>
  </si>
  <si>
    <t>2.500*100000000</t>
  </si>
  <si>
    <t>6712*10000</t>
  </si>
  <si>
    <t>7127*10000</t>
  </si>
  <si>
    <t>1301*10000</t>
  </si>
  <si>
    <t>9644*10000</t>
  </si>
  <si>
    <t>5214*10000</t>
  </si>
  <si>
    <t>1917*10000</t>
  </si>
  <si>
    <t>4.121*100000000</t>
  </si>
  <si>
    <t>2.956*100000000</t>
  </si>
  <si>
    <t>6818*10000</t>
  </si>
  <si>
    <t>9968*10000</t>
  </si>
  <si>
    <t>6096*10000</t>
  </si>
  <si>
    <t>1359*10000</t>
  </si>
  <si>
    <t>6170*10000</t>
  </si>
  <si>
    <t>4304*10000</t>
  </si>
  <si>
    <t>9692*10000</t>
  </si>
  <si>
    <t>6215*10000</t>
  </si>
  <si>
    <t>1801*10000</t>
  </si>
  <si>
    <t>3.711*100000000</t>
  </si>
  <si>
    <t>6212*10000</t>
  </si>
  <si>
    <t>8957*10000</t>
  </si>
  <si>
    <t>5356*10000</t>
  </si>
  <si>
    <t>7672*10000</t>
  </si>
  <si>
    <t>5157*10000</t>
  </si>
  <si>
    <t>3522*10000</t>
  </si>
  <si>
    <t>1080*10000</t>
  </si>
  <si>
    <t>8261*10000</t>
  </si>
  <si>
    <t>5322*10000</t>
  </si>
  <si>
    <t>207.9*100000000</t>
  </si>
  <si>
    <t>142.0*100000000</t>
  </si>
  <si>
    <t>67.34*100000000</t>
  </si>
  <si>
    <t>23.20*100000000</t>
  </si>
  <si>
    <t>188.1*100000000</t>
  </si>
  <si>
    <t>30.53*100000000</t>
  </si>
  <si>
    <t>160.4*100000000</t>
  </si>
  <si>
    <t>72.15*100000000</t>
  </si>
  <si>
    <t>30.28*100000000</t>
  </si>
  <si>
    <t>2.468*100000000</t>
  </si>
  <si>
    <t>3740*10000</t>
  </si>
  <si>
    <t>6.585*100000000</t>
  </si>
  <si>
    <t>7.142*100000000</t>
  </si>
  <si>
    <t>1.335*100000000</t>
  </si>
  <si>
    <t>4.698*100000000</t>
  </si>
  <si>
    <t>5.940*100000000</t>
  </si>
  <si>
    <t>6.568*100000000</t>
  </si>
  <si>
    <t>4.506*100000000</t>
  </si>
  <si>
    <t>3580*10000</t>
  </si>
  <si>
    <t>5.666*100000000</t>
  </si>
  <si>
    <t>3.712*100000000</t>
  </si>
  <si>
    <t>7.386*100000000</t>
  </si>
  <si>
    <t>3.663*100000000</t>
  </si>
  <si>
    <t>2311*100000000</t>
  </si>
  <si>
    <t>1617*100000000</t>
  </si>
  <si>
    <t>987.2*100000000</t>
  </si>
  <si>
    <t>444.4*100000000</t>
  </si>
  <si>
    <t>1410*100000000</t>
  </si>
  <si>
    <t>613.9*100000000</t>
  </si>
  <si>
    <t>275.2*100000000</t>
  </si>
  <si>
    <t>1293*100000000</t>
  </si>
  <si>
    <t>942.6*100000000</t>
  </si>
  <si>
    <t>610.4*100000000</t>
  </si>
  <si>
    <t>295.5*100000000</t>
  </si>
  <si>
    <t>1041*100000000</t>
  </si>
  <si>
    <t>771.4*100000000</t>
  </si>
  <si>
    <t>503.2*100000000</t>
  </si>
  <si>
    <t>259.6*100000000</t>
  </si>
  <si>
    <t>255.1*100000000</t>
  </si>
  <si>
    <t>208.8*100000000</t>
  </si>
  <si>
    <t>54.64*100000000</t>
  </si>
  <si>
    <t>88.22*100000000</t>
  </si>
  <si>
    <t>208.1*100000000</t>
  </si>
  <si>
    <t>88.99*100000000</t>
  </si>
  <si>
    <t>79.48*100000000</t>
  </si>
  <si>
    <t>87.10*100000000</t>
  </si>
  <si>
    <t>28.97*100000000</t>
  </si>
  <si>
    <t>65.28*100000000</t>
  </si>
  <si>
    <t>85.97*100000000</t>
  </si>
  <si>
    <t>87.64*100000000</t>
  </si>
  <si>
    <t>25.90*100000000</t>
  </si>
  <si>
    <t>21.91*100000000</t>
  </si>
  <si>
    <t>2251*100000000</t>
  </si>
  <si>
    <t>1690*100000000</t>
  </si>
  <si>
    <t>1099*100000000</t>
  </si>
  <si>
    <t>475.0*100000000</t>
  </si>
  <si>
    <t>1715*100000000</t>
  </si>
  <si>
    <t>1304*100000000</t>
  </si>
  <si>
    <t>831.4*100000000</t>
  </si>
  <si>
    <t>361.6*100000000</t>
  </si>
  <si>
    <t>1361*100000000</t>
  </si>
  <si>
    <t>672.0*100000000</t>
  </si>
  <si>
    <t>290.4*100000000</t>
  </si>
  <si>
    <t>761.7*100000000</t>
  </si>
  <si>
    <t>498.1*100000000</t>
  </si>
  <si>
    <t>228.6*100000000</t>
  </si>
  <si>
    <t>186.4*100000000</t>
  </si>
  <si>
    <t>78.29*100000000</t>
  </si>
  <si>
    <t>43.60*100000000</t>
  </si>
  <si>
    <t>18.79*100000000</t>
  </si>
  <si>
    <t>72.42*100000000</t>
  </si>
  <si>
    <t>50.70*100000000</t>
  </si>
  <si>
    <t>61.81*100000000</t>
  </si>
  <si>
    <t>49.51*100000000</t>
  </si>
  <si>
    <t>37.77*100000000</t>
  </si>
  <si>
    <t>184.4*100000000</t>
  </si>
  <si>
    <t>73.96*100000000</t>
  </si>
  <si>
    <t>18.10*100000000</t>
  </si>
  <si>
    <t>69.74*100000000</t>
  </si>
  <si>
    <t>48.62*100000000</t>
  </si>
  <si>
    <t>61.30*100000000</t>
  </si>
  <si>
    <t>37.81*100000000</t>
  </si>
  <si>
    <t>145.3*100000000</t>
  </si>
  <si>
    <t>89.11*100000000</t>
  </si>
  <si>
    <t>84.58*100000000</t>
  </si>
  <si>
    <t>57.97*100000000</t>
  </si>
  <si>
    <t>50.61*100000000</t>
  </si>
  <si>
    <t>39.08*100000000</t>
  </si>
  <si>
    <t>86.21*100000000</t>
  </si>
  <si>
    <t>64.59*100000000</t>
  </si>
  <si>
    <t>75.42*100000000</t>
  </si>
  <si>
    <t>57.25*100000000</t>
  </si>
  <si>
    <t>49.67*100000000</t>
  </si>
  <si>
    <t>57.23*100000000</t>
  </si>
  <si>
    <t>23.12*100000000</t>
  </si>
  <si>
    <t>9.327*100000000</t>
  </si>
  <si>
    <t>9.317*100000000</t>
  </si>
  <si>
    <t>8.756*100000000</t>
  </si>
  <si>
    <t>6.440*100000000</t>
  </si>
  <si>
    <t>4.190*100000000</t>
  </si>
  <si>
    <t>19.14*100000000</t>
  </si>
  <si>
    <t>8.867*100000000</t>
  </si>
  <si>
    <t>4.772*100000000</t>
  </si>
  <si>
    <t>7.553*100000000</t>
  </si>
  <si>
    <t>7.537*100000000</t>
  </si>
  <si>
    <t>4.148*100000000</t>
  </si>
  <si>
    <t>8.944*100000000</t>
  </si>
  <si>
    <t>6.532*100000000</t>
  </si>
  <si>
    <t>9.829*100000000</t>
  </si>
  <si>
    <t>5.822*100000000</t>
  </si>
  <si>
    <t>6.803*100000000</t>
  </si>
  <si>
    <t>4.745*100000000</t>
  </si>
  <si>
    <t>55.26*100000000</t>
  </si>
  <si>
    <t>37.82*100000000</t>
  </si>
  <si>
    <t>23.51*100000000</t>
  </si>
  <si>
    <t>8.208*100000000</t>
  </si>
  <si>
    <t>20.34*100000000</t>
  </si>
  <si>
    <t>4.991*100000000</t>
  </si>
  <si>
    <t>8444*10000</t>
  </si>
  <si>
    <t>4.482*100000000</t>
  </si>
  <si>
    <t>4.836*100000000</t>
  </si>
  <si>
    <t>4.995*100000000</t>
  </si>
  <si>
    <t>4.684*100000000</t>
  </si>
  <si>
    <t>2.558*100000000</t>
  </si>
  <si>
    <t>8868*10000</t>
  </si>
  <si>
    <t>4.515*100000000</t>
  </si>
  <si>
    <t>5.120*100000000</t>
  </si>
  <si>
    <t>4.828*100000000</t>
  </si>
  <si>
    <t>2.107*100000000</t>
  </si>
  <si>
    <t>4.475*100000000</t>
  </si>
  <si>
    <t>2.235*100000000</t>
  </si>
  <si>
    <t>8858*10000</t>
  </si>
  <si>
    <t>4.355*100000000</t>
  </si>
  <si>
    <t>3.287*100000000</t>
  </si>
  <si>
    <t>1.535*100000000</t>
  </si>
  <si>
    <t>3337*100000000</t>
  </si>
  <si>
    <t>2315*100000000</t>
  </si>
  <si>
    <t>1393*100000000</t>
  </si>
  <si>
    <t>1713*100000000</t>
  </si>
  <si>
    <t>1177*100000000</t>
  </si>
  <si>
    <t>740.5*100000000</t>
  </si>
  <si>
    <t>1511*100000000</t>
  </si>
  <si>
    <t>721.0*100000000</t>
  </si>
  <si>
    <t>350.8*100000000</t>
  </si>
  <si>
    <t>821.3*100000000</t>
  </si>
  <si>
    <t>450.8*100000000</t>
  </si>
  <si>
    <t>1282*100000000</t>
  </si>
  <si>
    <t>930.4*100000000</t>
  </si>
  <si>
    <t>478.0*100000000</t>
  </si>
  <si>
    <t>139.3*100000000</t>
  </si>
  <si>
    <t>41.25*100000000</t>
  </si>
  <si>
    <t>25.59*100000000</t>
  </si>
  <si>
    <t>1279*100000000</t>
  </si>
  <si>
    <t>930.3*100000000</t>
  </si>
  <si>
    <t>477.7*100000000</t>
  </si>
  <si>
    <t>189.2*100000000</t>
  </si>
  <si>
    <t>139.5*100000000</t>
  </si>
  <si>
    <t>8.335*100000000</t>
  </si>
  <si>
    <t>26.34*100000000</t>
  </si>
  <si>
    <t>1039*100000000</t>
  </si>
  <si>
    <t>780.2*100000000</t>
  </si>
  <si>
    <t>35.24*100000000</t>
  </si>
  <si>
    <t>7.691*100000000</t>
  </si>
  <si>
    <t>4.957*100000000</t>
  </si>
  <si>
    <t>8242*100000000</t>
  </si>
  <si>
    <t>6244*100000000</t>
  </si>
  <si>
    <t>4163*100000000</t>
  </si>
  <si>
    <t>2165*100000000</t>
  </si>
  <si>
    <t>7559*100000000</t>
  </si>
  <si>
    <t>5714*100000000</t>
  </si>
  <si>
    <t>3891*100000000</t>
  </si>
  <si>
    <t>2094*100000000</t>
  </si>
  <si>
    <t>7056*100000000</t>
  </si>
  <si>
    <t>5396*100000000</t>
  </si>
  <si>
    <t>3615*100000000</t>
  </si>
  <si>
    <t>1871*100000000</t>
  </si>
  <si>
    <t>6589*100000000</t>
  </si>
  <si>
    <t>5012*100000000</t>
  </si>
  <si>
    <t>3408*100000000</t>
  </si>
  <si>
    <t>1811*100000000</t>
  </si>
  <si>
    <t>3788*100000000</t>
  </si>
  <si>
    <t>2928*100000000</t>
  </si>
  <si>
    <t>1843*100000000</t>
  </si>
  <si>
    <t>3372*100000000</t>
  </si>
  <si>
    <t>2499*100000000</t>
  </si>
  <si>
    <t>983.4*100000000</t>
  </si>
  <si>
    <t>3270*100000000</t>
  </si>
  <si>
    <t>2781*100000000</t>
  </si>
  <si>
    <t>1911*100000000</t>
  </si>
  <si>
    <t>957.7*100000000</t>
  </si>
  <si>
    <t>3085*100000000</t>
  </si>
  <si>
    <t>2639*100000000</t>
  </si>
  <si>
    <t>904.6*100000000</t>
  </si>
  <si>
    <t>3784*100000000</t>
  </si>
  <si>
    <t>1845*100000000</t>
  </si>
  <si>
    <t>3366*100000000</t>
  </si>
  <si>
    <t>983.7*100000000</t>
  </si>
  <si>
    <t>3266*100000000</t>
  </si>
  <si>
    <t>1912*100000000</t>
  </si>
  <si>
    <t>958.4*100000000</t>
  </si>
  <si>
    <t>3082*100000000</t>
  </si>
  <si>
    <t>2638*100000000</t>
  </si>
  <si>
    <t>1814*100000000</t>
  </si>
  <si>
    <t>3039*100000000</t>
  </si>
  <si>
    <t>2332*100000000</t>
  </si>
  <si>
    <t>1541*100000000</t>
  </si>
  <si>
    <t>830.2*100000000</t>
  </si>
  <si>
    <t>2736*100000000</t>
  </si>
  <si>
    <t>1389*100000000</t>
  </si>
  <si>
    <t>809.8*100000000</t>
  </si>
  <si>
    <t>2692*100000000</t>
  </si>
  <si>
    <t>2274*100000000</t>
  </si>
  <si>
    <t>1557*100000000</t>
  </si>
  <si>
    <t>779.3*100000000</t>
  </si>
  <si>
    <t>2556*100000000</t>
  </si>
  <si>
    <t>2149*100000000</t>
  </si>
  <si>
    <t>1475*100000000</t>
  </si>
  <si>
    <t>740.8*100000000</t>
  </si>
  <si>
    <t>7.847*100000000</t>
  </si>
  <si>
    <t>30.52*100000000</t>
  </si>
  <si>
    <t>25.15*100000000</t>
  </si>
  <si>
    <t>5.029*100000000</t>
  </si>
  <si>
    <t>1.334*100000000</t>
  </si>
  <si>
    <t>3515*10000</t>
  </si>
  <si>
    <t>3299*10000</t>
  </si>
  <si>
    <t>7580*10000</t>
  </si>
  <si>
    <t>7870*10000</t>
  </si>
  <si>
    <t>2712*10000</t>
  </si>
  <si>
    <t>3468*10000</t>
  </si>
  <si>
    <t>7557*10000</t>
  </si>
  <si>
    <t>7868*10000</t>
  </si>
  <si>
    <t>2676*10000</t>
  </si>
  <si>
    <t>6.280*100000000</t>
  </si>
  <si>
    <t>895.8*10000</t>
  </si>
  <si>
    <t>5658*10000</t>
  </si>
  <si>
    <t>6056*100000000</t>
  </si>
  <si>
    <t>4561*100000000</t>
  </si>
  <si>
    <t>3030*100000000</t>
  </si>
  <si>
    <t>1579*100000000</t>
  </si>
  <si>
    <t>5655*100000000</t>
  </si>
  <si>
    <t>4290*100000000</t>
  </si>
  <si>
    <t>2857*100000000</t>
  </si>
  <si>
    <t>1481*100000000</t>
  </si>
  <si>
    <t>5492*100000000</t>
  </si>
  <si>
    <t>2767*100000000</t>
  </si>
  <si>
    <t>5041*100000000</t>
  </si>
  <si>
    <t>3761*100000000</t>
  </si>
  <si>
    <t>2761*100000000</t>
  </si>
  <si>
    <t>2116*100000000</t>
  </si>
  <si>
    <t>1479*100000000</t>
  </si>
  <si>
    <t>718.3*100000000</t>
  </si>
  <si>
    <t>2451*100000000</t>
  </si>
  <si>
    <t>1875*100000000</t>
  </si>
  <si>
    <t>1286*100000000</t>
  </si>
  <si>
    <t>684.5*100000000</t>
  </si>
  <si>
    <t>2495*100000000</t>
  </si>
  <si>
    <t>2133*100000000</t>
  </si>
  <si>
    <t>1521*100000000</t>
  </si>
  <si>
    <t>661.3*100000000</t>
  </si>
  <si>
    <t>2285*100000000</t>
  </si>
  <si>
    <t>1947*100000000</t>
  </si>
  <si>
    <t>1413*100000000</t>
  </si>
  <si>
    <t>671.9*100000000</t>
  </si>
  <si>
    <t>2766*100000000</t>
  </si>
  <si>
    <t>2120*100000000</t>
  </si>
  <si>
    <t>1483*100000000</t>
  </si>
  <si>
    <t>720.6*100000000</t>
  </si>
  <si>
    <t>1888*100000000</t>
  </si>
  <si>
    <t>1296*100000000</t>
  </si>
  <si>
    <t>686.0*100000000</t>
  </si>
  <si>
    <t>2506*100000000</t>
  </si>
  <si>
    <t>2144*100000000</t>
  </si>
  <si>
    <t>1526*100000000</t>
  </si>
  <si>
    <t>663.5*100000000</t>
  </si>
  <si>
    <t>2296*100000000</t>
  </si>
  <si>
    <t>1956*100000000</t>
  </si>
  <si>
    <t>1420*100000000</t>
  </si>
  <si>
    <t>1724*100000000</t>
  </si>
  <si>
    <t>1185*100000000</t>
  </si>
  <si>
    <t>573.1*100000000</t>
  </si>
  <si>
    <t>2051*100000000</t>
  </si>
  <si>
    <t>1560*100000000</t>
  </si>
  <si>
    <t>563.2*100000000</t>
  </si>
  <si>
    <t>2019*100000000</t>
  </si>
  <si>
    <t>1214*100000000</t>
  </si>
  <si>
    <t>547.9*100000000</t>
  </si>
  <si>
    <t>1924*100000000</t>
  </si>
  <si>
    <t>1627*100000000</t>
  </si>
  <si>
    <t>1156*100000000</t>
  </si>
  <si>
    <t>521.8*100000000</t>
  </si>
  <si>
    <t>1034*100000000</t>
  </si>
  <si>
    <t>751.5*100000000</t>
  </si>
  <si>
    <t>503.9*100000000</t>
  </si>
  <si>
    <t>956.1*100000000</t>
  </si>
  <si>
    <t>689.4*100000000</t>
  </si>
  <si>
    <t>444.8*100000000</t>
  </si>
  <si>
    <t>221.4*100000000</t>
  </si>
  <si>
    <t>954.5*100000000</t>
  </si>
  <si>
    <t>690.4*100000000</t>
  </si>
  <si>
    <t>450.4*100000000</t>
  </si>
  <si>
    <t>933.9*100000000</t>
  </si>
  <si>
    <t>691.0*100000000</t>
  </si>
  <si>
    <t>455.4*100000000</t>
  </si>
  <si>
    <t>229.0*100000000</t>
  </si>
  <si>
    <t>4.974*100000000</t>
  </si>
  <si>
    <t>70.84*100000000</t>
  </si>
  <si>
    <t>57.73*100000000</t>
  </si>
  <si>
    <t>34.70*100000000</t>
  </si>
  <si>
    <t>51.51*100000000</t>
  </si>
  <si>
    <t>45.78*100000000</t>
  </si>
  <si>
    <t>40.86*100000000</t>
  </si>
  <si>
    <t>9.709*100000000</t>
  </si>
  <si>
    <t>72.05*100000000</t>
  </si>
  <si>
    <t>25.89*100000000</t>
  </si>
  <si>
    <t>26.49*100000000</t>
  </si>
  <si>
    <t>8.960*100000000</t>
  </si>
  <si>
    <t>29.36*100000000</t>
  </si>
  <si>
    <t>22.45*100000000</t>
  </si>
  <si>
    <t>1236*100000000</t>
  </si>
  <si>
    <t>874.1*100000000</t>
  </si>
  <si>
    <t>577.1*100000000</t>
  </si>
  <si>
    <t>229.4*100000000</t>
  </si>
  <si>
    <t>1080*100000000</t>
  </si>
  <si>
    <t>718.4*100000000</t>
  </si>
  <si>
    <t>409.3*100000000</t>
  </si>
  <si>
    <t>918.3*100000000</t>
  </si>
  <si>
    <t>446.1*100000000</t>
  </si>
  <si>
    <t>160.1*100000000</t>
  </si>
  <si>
    <t>831.2*100000000</t>
  </si>
  <si>
    <t>560.6*100000000</t>
  </si>
  <si>
    <t>353.7*100000000</t>
  </si>
  <si>
    <t>99.39*100000000</t>
  </si>
  <si>
    <t>71.59*100000000</t>
  </si>
  <si>
    <t>5.861*100000000</t>
  </si>
  <si>
    <t>74.27*100000000</t>
  </si>
  <si>
    <t>32.26*100000000</t>
  </si>
  <si>
    <t>79.45*100000000</t>
  </si>
  <si>
    <t>75.22*100000000</t>
  </si>
  <si>
    <t>65.69*100000000</t>
  </si>
  <si>
    <t>59.26*100000000</t>
  </si>
  <si>
    <t>78.81*100000000</t>
  </si>
  <si>
    <t>79.34*100000000</t>
  </si>
  <si>
    <t>71.69*100000000</t>
  </si>
  <si>
    <t>52.65*100000000</t>
  </si>
  <si>
    <t>6.663*100000000</t>
  </si>
  <si>
    <t>52.13*100000000</t>
  </si>
  <si>
    <t>32.20*100000000</t>
  </si>
  <si>
    <t>51.56*100000000</t>
  </si>
  <si>
    <t>44.25*100000000</t>
  </si>
  <si>
    <t>39.65*100000000</t>
  </si>
  <si>
    <t>29.28*100000000</t>
  </si>
  <si>
    <t>9.022*100000000</t>
  </si>
  <si>
    <t>3.907*100000000</t>
  </si>
  <si>
    <t>17.40*100000000</t>
  </si>
  <si>
    <t>6.008*100000000</t>
  </si>
  <si>
    <t>8.863*100000000</t>
  </si>
  <si>
    <t>1.660*100000000</t>
  </si>
  <si>
    <t>6937*10000</t>
  </si>
  <si>
    <t>2774*10000</t>
  </si>
  <si>
    <t>8773*10000</t>
  </si>
  <si>
    <t>2892*10000</t>
  </si>
  <si>
    <t>2555*10000</t>
  </si>
  <si>
    <t>9988*10000</t>
  </si>
  <si>
    <t>1707*10000</t>
  </si>
  <si>
    <t>2850*10000</t>
  </si>
  <si>
    <t>8908*10000</t>
  </si>
  <si>
    <t>2944*10000</t>
  </si>
  <si>
    <t>1.441*100000000</t>
  </si>
  <si>
    <t>7214*10000</t>
  </si>
  <si>
    <t>3012*10000</t>
  </si>
  <si>
    <t>7022*10000</t>
  </si>
  <si>
    <t>1749*10000</t>
  </si>
  <si>
    <t>8906*10000</t>
  </si>
  <si>
    <t>2985*10000</t>
  </si>
  <si>
    <t>6961*10000</t>
  </si>
  <si>
    <t>1552*100000000</t>
  </si>
  <si>
    <t>1056*100000000</t>
  </si>
  <si>
    <t>1492*100000000</t>
  </si>
  <si>
    <t>515.1*100000000</t>
  </si>
  <si>
    <t>1876*100000000</t>
  </si>
  <si>
    <t>1424*100000000</t>
  </si>
  <si>
    <t>931.5*100000000</t>
  </si>
  <si>
    <t>474.1*100000000</t>
  </si>
  <si>
    <t>1649*100000000</t>
  </si>
  <si>
    <t>810.5*100000000</t>
  </si>
  <si>
    <t>396.4*100000000</t>
  </si>
  <si>
    <t>655.7*100000000</t>
  </si>
  <si>
    <t>497.3*100000000</t>
  </si>
  <si>
    <t>349.1*100000000</t>
  </si>
  <si>
    <t>578.2*100000000</t>
  </si>
  <si>
    <t>307.5*100000000</t>
  </si>
  <si>
    <t>170.0*100000000</t>
  </si>
  <si>
    <t>565.1*100000000</t>
  </si>
  <si>
    <t>492.8*100000000</t>
  </si>
  <si>
    <t>344.3*100000000</t>
  </si>
  <si>
    <t>545.3*100000000</t>
  </si>
  <si>
    <t>459.5*100000000</t>
  </si>
  <si>
    <t>655.2*100000000</t>
  </si>
  <si>
    <t>497.6*100000000</t>
  </si>
  <si>
    <t>349.2*100000000</t>
  </si>
  <si>
    <t>578.6*100000000</t>
  </si>
  <si>
    <t>565.5*100000000</t>
  </si>
  <si>
    <t>492.9*100000000</t>
  </si>
  <si>
    <t>543.3*100000000</t>
  </si>
  <si>
    <t>460.2*100000000</t>
  </si>
  <si>
    <t>324.4*100000000</t>
  </si>
  <si>
    <t>157.5*100000000</t>
  </si>
  <si>
    <t>563.8*100000000</t>
  </si>
  <si>
    <t>423.6*100000000</t>
  </si>
  <si>
    <t>495.3*100000000</t>
  </si>
  <si>
    <t>373.6*100000000</t>
  </si>
  <si>
    <t>489.9*100000000</t>
  </si>
  <si>
    <t>288.4*100000000</t>
  </si>
  <si>
    <t>453.8*100000000</t>
  </si>
  <si>
    <t>261.8*100000000</t>
  </si>
  <si>
    <t>124.3*100000000</t>
  </si>
  <si>
    <t>6.944*100000000</t>
  </si>
  <si>
    <t>7.642*100000000</t>
  </si>
  <si>
    <t>8513*10000</t>
  </si>
  <si>
    <t>5.662*100000000</t>
  </si>
  <si>
    <t>4.254*100000000</t>
  </si>
  <si>
    <t>6.391*100000000</t>
  </si>
  <si>
    <t>385.7*10000</t>
  </si>
  <si>
    <t>8780*10000</t>
  </si>
  <si>
    <t>3393*10000</t>
  </si>
  <si>
    <t>2688*10000</t>
  </si>
  <si>
    <t>6.388*100000000</t>
  </si>
  <si>
    <t>1.757*100000000</t>
  </si>
  <si>
    <t>6908*10000</t>
  </si>
  <si>
    <t>6173*10000</t>
  </si>
  <si>
    <t>7999*10000</t>
  </si>
  <si>
    <t>2685*10000</t>
  </si>
  <si>
    <t>5.787*100000000</t>
  </si>
  <si>
    <t>4.160*100000000</t>
  </si>
  <si>
    <t>3.816*100000000</t>
  </si>
  <si>
    <t>1.561*100000000</t>
  </si>
  <si>
    <t>6211*10000</t>
  </si>
  <si>
    <t>5192*10000</t>
  </si>
  <si>
    <t>2156*10000</t>
  </si>
  <si>
    <t>335.1*10000</t>
  </si>
  <si>
    <t>7112*10000</t>
  </si>
  <si>
    <t>3040*10000</t>
  </si>
  <si>
    <t>2422*10000</t>
  </si>
  <si>
    <t>1046*10000</t>
  </si>
  <si>
    <t>8.844*100000000</t>
  </si>
  <si>
    <t>2.442*100000000</t>
  </si>
  <si>
    <t>9.046*100000000</t>
  </si>
  <si>
    <t>6.050*100000000</t>
  </si>
  <si>
    <t>6047*10000</t>
  </si>
  <si>
    <t>5396*10000</t>
  </si>
  <si>
    <t>4294*10000</t>
  </si>
  <si>
    <t>34.32*10000</t>
  </si>
  <si>
    <t>845.9*10000</t>
  </si>
  <si>
    <t>5820*10000</t>
  </si>
  <si>
    <t>5744*10000</t>
  </si>
  <si>
    <t>5995*10000</t>
  </si>
  <si>
    <t>4308*10000</t>
  </si>
  <si>
    <t>1652*10000</t>
  </si>
  <si>
    <t>356.6*10000</t>
  </si>
  <si>
    <t>310.1*10000</t>
  </si>
  <si>
    <t>5848*10000</t>
  </si>
  <si>
    <t>5821*10000</t>
  </si>
  <si>
    <t>4938*10000</t>
  </si>
  <si>
    <t>2723*10000</t>
  </si>
  <si>
    <t>5800*10000</t>
  </si>
  <si>
    <t>3739*10000</t>
  </si>
  <si>
    <t>523.2*10000</t>
  </si>
  <si>
    <t>379.9*10000</t>
  </si>
  <si>
    <t>80.57*100000000</t>
  </si>
  <si>
    <t>58.65*100000000</t>
  </si>
  <si>
    <t>39.83*100000000</t>
  </si>
  <si>
    <t>88.59*100000000</t>
  </si>
  <si>
    <t>61.66*100000000</t>
  </si>
  <si>
    <t>91.38*100000000</t>
  </si>
  <si>
    <t>61.70*100000000</t>
  </si>
  <si>
    <t>78.49*100000000</t>
  </si>
  <si>
    <t>56.25*100000000</t>
  </si>
  <si>
    <t>5.827*100000000</t>
  </si>
  <si>
    <t>5.388*100000000</t>
  </si>
  <si>
    <t>3.724*100000000</t>
  </si>
  <si>
    <t>6.314*100000000</t>
  </si>
  <si>
    <t>5.271*100000000</t>
  </si>
  <si>
    <t>7569*10000</t>
  </si>
  <si>
    <t>2.902*100000000</t>
  </si>
  <si>
    <t>2.289*100000000</t>
  </si>
  <si>
    <t>9078*10000</t>
  </si>
  <si>
    <t>6.086*100000000</t>
  </si>
  <si>
    <t>9515*10000</t>
  </si>
  <si>
    <t>7584*10000</t>
  </si>
  <si>
    <t>5.369*100000000</t>
  </si>
  <si>
    <t>3.256*100000000</t>
  </si>
  <si>
    <t>5.407*100000000</t>
  </si>
  <si>
    <t>4.276*100000000</t>
  </si>
  <si>
    <t>4.181*100000000</t>
  </si>
  <si>
    <t>7890*10000</t>
  </si>
  <si>
    <t>53.54*100000000</t>
  </si>
  <si>
    <t>30.51*100000000</t>
  </si>
  <si>
    <t>5.728*100000000</t>
  </si>
  <si>
    <t>27.45*100000000</t>
  </si>
  <si>
    <t>41.98*100000000</t>
  </si>
  <si>
    <t>9865*10000</t>
  </si>
  <si>
    <t>6.986*100000000</t>
  </si>
  <si>
    <t>7320*10000</t>
  </si>
  <si>
    <t>9157*10000</t>
  </si>
  <si>
    <t>2.881*100000000</t>
  </si>
  <si>
    <t>7380*10000</t>
  </si>
  <si>
    <t>7.374*100000000</t>
  </si>
  <si>
    <t>7312*10000</t>
  </si>
  <si>
    <t>2.429*100000000</t>
  </si>
  <si>
    <t>9144*10000</t>
  </si>
  <si>
    <t>3.156*100000000</t>
  </si>
  <si>
    <t>6019*10000</t>
  </si>
  <si>
    <t>7761*10000</t>
  </si>
  <si>
    <t>6145*10000</t>
  </si>
  <si>
    <t>3.717*100000000</t>
  </si>
  <si>
    <t>5.605*100000000</t>
  </si>
  <si>
    <t>9.729*100000000</t>
  </si>
  <si>
    <t>8.706*100000000</t>
  </si>
  <si>
    <t>3.461*100000000</t>
  </si>
  <si>
    <t>2.356*100000000</t>
  </si>
  <si>
    <t>9352*10000</t>
  </si>
  <si>
    <t>7478*10000</t>
  </si>
  <si>
    <t>3658*10000</t>
  </si>
  <si>
    <t>2.873*100000000</t>
  </si>
  <si>
    <t>6960*10000</t>
  </si>
  <si>
    <t>4.110*100000000</t>
  </si>
  <si>
    <t>2.860*100000000</t>
  </si>
  <si>
    <t>3.498*100000000</t>
  </si>
  <si>
    <t>9397*10000</t>
  </si>
  <si>
    <t>8196*10000</t>
  </si>
  <si>
    <t>1.934*100000000</t>
  </si>
  <si>
    <t>7774*10000</t>
  </si>
  <si>
    <t>4.256*100000000</t>
  </si>
  <si>
    <t>3.776*100000000</t>
  </si>
  <si>
    <t>3.023*100000000</t>
  </si>
  <si>
    <t>7993*10000</t>
  </si>
  <si>
    <t>7048*10000</t>
  </si>
  <si>
    <t>3593*10000</t>
  </si>
  <si>
    <t>2.554*100000000</t>
  </si>
  <si>
    <t>6676*10000</t>
  </si>
  <si>
    <t>3.705*100000000</t>
  </si>
  <si>
    <t>3.264*100000000</t>
  </si>
  <si>
    <t>9759*10000</t>
  </si>
  <si>
    <t>70.56*100000000</t>
  </si>
  <si>
    <t>50.55*100000000</t>
  </si>
  <si>
    <t>36.46*100000000</t>
  </si>
  <si>
    <t>44.75*100000000</t>
  </si>
  <si>
    <t>46.43*100000000</t>
  </si>
  <si>
    <t>35.44*100000000</t>
  </si>
  <si>
    <t>27.38*100000000</t>
  </si>
  <si>
    <t>9.411*100000000</t>
  </si>
  <si>
    <t>2.894*100000000</t>
  </si>
  <si>
    <t>3.579*100000000</t>
  </si>
  <si>
    <t>2.557*100000000</t>
  </si>
  <si>
    <t>7.419*100000000</t>
  </si>
  <si>
    <t>3.146*100000000</t>
  </si>
  <si>
    <t>8785*10000</t>
  </si>
  <si>
    <t>3.564*100000000</t>
  </si>
  <si>
    <t>2.073*100000000</t>
  </si>
  <si>
    <t>8.059*100000000</t>
  </si>
  <si>
    <t>2.437*100000000</t>
  </si>
  <si>
    <t>6190*10000</t>
  </si>
  <si>
    <t>3.235*100000000</t>
  </si>
  <si>
    <t>2.389*100000000</t>
  </si>
  <si>
    <t>2.036*100000000</t>
  </si>
  <si>
    <t>8017*10000</t>
  </si>
  <si>
    <t>4.480*100000000</t>
  </si>
  <si>
    <t>7571*10000</t>
  </si>
  <si>
    <t>3.323*100000000</t>
  </si>
  <si>
    <t>143.4*10000</t>
  </si>
  <si>
    <t>166.5*10000</t>
  </si>
  <si>
    <t>21.17*10000</t>
  </si>
  <si>
    <t>307.1*10000</t>
  </si>
  <si>
    <t>409.4*10000</t>
  </si>
  <si>
    <t>298.1*10000</t>
  </si>
  <si>
    <t>2829*10000</t>
  </si>
  <si>
    <t>110.8*10000</t>
  </si>
  <si>
    <t>3614*10000</t>
  </si>
  <si>
    <t>556.2*10000</t>
  </si>
  <si>
    <t>541.1*10000</t>
  </si>
  <si>
    <t>2316*10000</t>
  </si>
  <si>
    <t>2482*10000</t>
  </si>
  <si>
    <t>91.97*10000</t>
  </si>
  <si>
    <t>17.66*100000000</t>
  </si>
  <si>
    <t>8.514*100000000</t>
  </si>
  <si>
    <t>4.807*100000000</t>
  </si>
  <si>
    <t>9.307*100000000</t>
  </si>
  <si>
    <t>13.74*100000000</t>
  </si>
  <si>
    <t>9.142*100000000</t>
  </si>
  <si>
    <t>5.324*100000000</t>
  </si>
  <si>
    <t>286.6*10000</t>
  </si>
  <si>
    <t>635.9*10000</t>
  </si>
  <si>
    <t>1228*10000</t>
  </si>
  <si>
    <t>1650*10000</t>
  </si>
  <si>
    <t>2304*10000</t>
  </si>
  <si>
    <t>771.8*10000</t>
  </si>
  <si>
    <t>907.8*10000</t>
  </si>
  <si>
    <t>1531*10000</t>
  </si>
  <si>
    <t>754.7*10000</t>
  </si>
  <si>
    <t>304.6*10000</t>
  </si>
  <si>
    <t>199.0*10000</t>
  </si>
  <si>
    <t>667.5*10000</t>
  </si>
  <si>
    <t>772.1*10000</t>
  </si>
  <si>
    <t>978.2*10000</t>
  </si>
  <si>
    <t>114.7*10000</t>
  </si>
  <si>
    <t>382.9*10000</t>
  </si>
  <si>
    <t>886.6*10000</t>
  </si>
  <si>
    <t>1528*10000</t>
  </si>
  <si>
    <t>1098*10000</t>
  </si>
  <si>
    <t>1142*10000</t>
  </si>
  <si>
    <t>589.5*10000</t>
  </si>
  <si>
    <t>585.8*10000</t>
  </si>
  <si>
    <t>899.9*10000</t>
  </si>
  <si>
    <t>559.2*10000</t>
  </si>
  <si>
    <t>38.90*100000000</t>
  </si>
  <si>
    <t>6.702*100000000</t>
  </si>
  <si>
    <t>32.87*100000000</t>
  </si>
  <si>
    <t>5.206*100000000</t>
  </si>
  <si>
    <t>30.29*100000000</t>
  </si>
  <si>
    <t>9.513*100000000</t>
  </si>
  <si>
    <t>5.326*100000000</t>
  </si>
  <si>
    <t>5861*10000</t>
  </si>
  <si>
    <t>1988*10000</t>
  </si>
  <si>
    <t>8417*10000</t>
  </si>
  <si>
    <t>5780*10000</t>
  </si>
  <si>
    <t>4.596*100000000</t>
  </si>
  <si>
    <t>3.558*100000000</t>
  </si>
  <si>
    <t>7107*10000</t>
  </si>
  <si>
    <t>6.828*100000000</t>
  </si>
  <si>
    <t>5875*10000</t>
  </si>
  <si>
    <t>5.657*100000000</t>
  </si>
  <si>
    <t>1209*10000</t>
  </si>
  <si>
    <t>4.670*100000000</t>
  </si>
  <si>
    <t>5789*10000</t>
  </si>
  <si>
    <t>4.644*100000000</t>
  </si>
  <si>
    <t>7433*10000</t>
  </si>
  <si>
    <t>4998*10000</t>
  </si>
  <si>
    <t>5.649*100000000</t>
  </si>
  <si>
    <t>3622*10000</t>
  </si>
  <si>
    <t>1095*10000</t>
  </si>
  <si>
    <t>1180*10000</t>
  </si>
  <si>
    <t>3.240*100000000</t>
  </si>
  <si>
    <t>6331*10000</t>
  </si>
  <si>
    <t>4502*10000</t>
  </si>
  <si>
    <t>2.983*100000000</t>
  </si>
  <si>
    <t>5912*10000</t>
  </si>
  <si>
    <t>3914*10000</t>
  </si>
  <si>
    <t>6.734*100000000</t>
  </si>
  <si>
    <t>9.473*100000000</t>
  </si>
  <si>
    <t>6.187*100000000</t>
  </si>
  <si>
    <t>5925*10000</t>
  </si>
  <si>
    <t>3672*10000</t>
  </si>
  <si>
    <t>574.6*10000</t>
  </si>
  <si>
    <t>4210*10000</t>
  </si>
  <si>
    <t>2203*10000</t>
  </si>
  <si>
    <t>118.5*10000</t>
  </si>
  <si>
    <t>6858*10000</t>
  </si>
  <si>
    <t>4465*10000</t>
  </si>
  <si>
    <t>632.9*10000</t>
  </si>
  <si>
    <t>5707*10000</t>
  </si>
  <si>
    <t>609.7*10000</t>
  </si>
  <si>
    <t>5880*10000</t>
  </si>
  <si>
    <t>3430*10000</t>
  </si>
  <si>
    <t>581.8*10000</t>
  </si>
  <si>
    <t>2627*10000</t>
  </si>
  <si>
    <t>167.0*10000</t>
  </si>
  <si>
    <t>8001*10000</t>
  </si>
  <si>
    <t>3771*10000</t>
  </si>
  <si>
    <t>1629*10000</t>
  </si>
  <si>
    <t>2775*10000</t>
  </si>
  <si>
    <t>610.5*10000</t>
  </si>
  <si>
    <t>5709*10000</t>
  </si>
  <si>
    <t>4199*10000</t>
  </si>
  <si>
    <t>735.1*10000</t>
  </si>
  <si>
    <t>4420*10000</t>
  </si>
  <si>
    <t>2849*10000</t>
  </si>
  <si>
    <t>426.8*10000</t>
  </si>
  <si>
    <t>5070*10000</t>
  </si>
  <si>
    <t>3420*10000</t>
  </si>
  <si>
    <t>5783*10000</t>
  </si>
  <si>
    <t>2543*10000</t>
  </si>
  <si>
    <t>544.5*10000</t>
  </si>
  <si>
    <t>21.04*100000000</t>
  </si>
  <si>
    <t>7.979*100000000</t>
  </si>
  <si>
    <t>3.379*100000000</t>
  </si>
  <si>
    <t>8.893*100000000</t>
  </si>
  <si>
    <t>6.938*100000000</t>
  </si>
  <si>
    <t>2.908*100000000</t>
  </si>
  <si>
    <t>7125*10000</t>
  </si>
  <si>
    <t>2.791*100000000</t>
  </si>
  <si>
    <t>2.694*100000000</t>
  </si>
  <si>
    <t>9302*10000</t>
  </si>
  <si>
    <t>3155*10000</t>
  </si>
  <si>
    <t>4833*10000</t>
  </si>
  <si>
    <t>4240*10000</t>
  </si>
  <si>
    <t>3702*10000</t>
  </si>
  <si>
    <t>9531*10000</t>
  </si>
  <si>
    <t>5621*10000</t>
  </si>
  <si>
    <t>3168*10000</t>
  </si>
  <si>
    <t>6567*10000</t>
  </si>
  <si>
    <t>6210*10000</t>
  </si>
  <si>
    <t>3304*10000</t>
  </si>
  <si>
    <t>4338*10000</t>
  </si>
  <si>
    <t>3946*10000</t>
  </si>
  <si>
    <t>7.321*100000000</t>
  </si>
  <si>
    <t>5.731*100000000</t>
  </si>
  <si>
    <t>6.292*100000000</t>
  </si>
  <si>
    <t>9961*10000</t>
  </si>
  <si>
    <t>8.028*100000000</t>
  </si>
  <si>
    <t>8.230*100000000</t>
  </si>
  <si>
    <t>5.680*100000000</t>
  </si>
  <si>
    <t>7674*10000</t>
  </si>
  <si>
    <t>4448*10000</t>
  </si>
  <si>
    <t>3498*10000</t>
  </si>
  <si>
    <t>8840*10000</t>
  </si>
  <si>
    <t>4357*10000</t>
  </si>
  <si>
    <t>2258*10000</t>
  </si>
  <si>
    <t>7574*10000</t>
  </si>
  <si>
    <t>3679*10000</t>
  </si>
  <si>
    <t>2230*10000</t>
  </si>
  <si>
    <t>6618*10000</t>
  </si>
  <si>
    <t>4386*10000</t>
  </si>
  <si>
    <t>3287*10000</t>
  </si>
  <si>
    <t>2715*10000</t>
  </si>
  <si>
    <t>1524*10000</t>
  </si>
  <si>
    <t>6035*10000</t>
  </si>
  <si>
    <t>1572*10000</t>
  </si>
  <si>
    <t>70.68*100000000</t>
  </si>
  <si>
    <t>39.13*100000000</t>
  </si>
  <si>
    <t>52.61*100000000</t>
  </si>
  <si>
    <t>24.43*100000000</t>
  </si>
  <si>
    <t>11.51*100000000</t>
  </si>
  <si>
    <t>23.95*100000000</t>
  </si>
  <si>
    <t>2.929*100000000</t>
  </si>
  <si>
    <t>4.405*100000000</t>
  </si>
  <si>
    <t>3167*10000</t>
  </si>
  <si>
    <t>5611*10000</t>
  </si>
  <si>
    <t>35.83*100000000</t>
  </si>
  <si>
    <t>1581*10000</t>
  </si>
  <si>
    <t>2970*10000</t>
  </si>
  <si>
    <t>4.157*100000000</t>
  </si>
  <si>
    <t>5.012*100000000</t>
  </si>
  <si>
    <t>3.031*100000000</t>
  </si>
  <si>
    <t>9.108*100000000</t>
  </si>
  <si>
    <t>2.416*100000000</t>
  </si>
  <si>
    <t>291.0*10000</t>
  </si>
  <si>
    <t>1714*10000</t>
  </si>
  <si>
    <t>5.066*100000000</t>
  </si>
  <si>
    <t>4.491*100000000</t>
  </si>
  <si>
    <t>1.096*100000000</t>
  </si>
  <si>
    <t>2.982*100000000</t>
  </si>
  <si>
    <t>5.638*100000000</t>
  </si>
  <si>
    <t>4.083*100000000</t>
  </si>
  <si>
    <t>2.567*100000000</t>
  </si>
  <si>
    <t>2.260*100000000</t>
  </si>
  <si>
    <t>9783*10000</t>
  </si>
  <si>
    <t>8334*10000</t>
  </si>
  <si>
    <t>2951*10000</t>
  </si>
  <si>
    <t>6765*10000</t>
  </si>
  <si>
    <t>4951*10000</t>
  </si>
  <si>
    <t>2590*10000</t>
  </si>
  <si>
    <t>982.0*10000</t>
  </si>
  <si>
    <t>3604*10000</t>
  </si>
  <si>
    <t>1706*10000</t>
  </si>
  <si>
    <t>496.5*10000</t>
  </si>
  <si>
    <t>4440*10000</t>
  </si>
  <si>
    <t>3350*10000</t>
  </si>
  <si>
    <t>2216*10000</t>
  </si>
  <si>
    <t>945.3*10000</t>
  </si>
  <si>
    <t>6158*10000</t>
  </si>
  <si>
    <t>2845*10000</t>
  </si>
  <si>
    <t>1468*10000</t>
  </si>
  <si>
    <t>989.6*10000</t>
  </si>
  <si>
    <t>4960*10000</t>
  </si>
  <si>
    <t>2569*10000</t>
  </si>
  <si>
    <t>959.7*10000</t>
  </si>
  <si>
    <t>1704*10000</t>
  </si>
  <si>
    <t>494.4*10000</t>
  </si>
  <si>
    <t>3343*10000</t>
  </si>
  <si>
    <t>992.8*10000</t>
  </si>
  <si>
    <t>5596*10000</t>
  </si>
  <si>
    <t>2741*10000</t>
  </si>
  <si>
    <t>1501*10000</t>
  </si>
  <si>
    <t>919.0*10000</t>
  </si>
  <si>
    <t>5743*10000</t>
  </si>
  <si>
    <t>2193*10000</t>
  </si>
  <si>
    <t>3187*10000</t>
  </si>
  <si>
    <t>1512*10000</t>
  </si>
  <si>
    <t>455.4*10000</t>
  </si>
  <si>
    <t>3965*10000</t>
  </si>
  <si>
    <t>1922*10000</t>
  </si>
  <si>
    <t>860.8*10000</t>
  </si>
  <si>
    <t>3.924*100000000</t>
  </si>
  <si>
    <t>6935*10000</t>
  </si>
  <si>
    <t>8329*10000</t>
  </si>
  <si>
    <t>9989*10000</t>
  </si>
  <si>
    <t>1232*10000</t>
  </si>
  <si>
    <t>755.0*10000</t>
  </si>
  <si>
    <t>294.3*10000</t>
  </si>
  <si>
    <t>1566*10000</t>
  </si>
  <si>
    <t>337.7*10000</t>
  </si>
  <si>
    <t>3641*10000</t>
  </si>
  <si>
    <t>1921*10000</t>
  </si>
  <si>
    <t>492.1*10000</t>
  </si>
  <si>
    <t>1781*10000</t>
  </si>
  <si>
    <t>498.5*10000</t>
  </si>
  <si>
    <t>1282*10000</t>
  </si>
  <si>
    <t>760.8*10000</t>
  </si>
  <si>
    <t>300.1*10000</t>
  </si>
  <si>
    <t>969.5*10000</t>
  </si>
  <si>
    <t>327.4*10000</t>
  </si>
  <si>
    <t>2929*10000</t>
  </si>
  <si>
    <t>1910*10000</t>
  </si>
  <si>
    <t>482.2*10000</t>
  </si>
  <si>
    <t>2999*10000</t>
  </si>
  <si>
    <t>1773*10000</t>
  </si>
  <si>
    <t>491.3*10000</t>
  </si>
  <si>
    <t>1470*10000</t>
  </si>
  <si>
    <t>1537*10000</t>
  </si>
  <si>
    <t>762.6*10000</t>
  </si>
  <si>
    <t>300.2*10000</t>
  </si>
  <si>
    <t>799.0*10000</t>
  </si>
  <si>
    <t>1339*10000</t>
  </si>
  <si>
    <t>275.0*10000</t>
  </si>
  <si>
    <t>2672*10000</t>
  </si>
  <si>
    <t>397.0*10000</t>
  </si>
  <si>
    <t>3418*10000</t>
  </si>
  <si>
    <t>430.1*10000</t>
  </si>
  <si>
    <t>1031*10000</t>
  </si>
  <si>
    <t>9850*10000</t>
  </si>
  <si>
    <t>4928*10000</t>
  </si>
  <si>
    <t>4301*10000</t>
  </si>
  <si>
    <t>9149*10000</t>
  </si>
  <si>
    <t>1.035*100000000</t>
  </si>
  <si>
    <t>7526*10000</t>
  </si>
  <si>
    <t>7706*10000</t>
  </si>
  <si>
    <t>8.381*100000000</t>
  </si>
  <si>
    <t>9.897*100000000</t>
  </si>
  <si>
    <t>4.266*100000000</t>
  </si>
  <si>
    <t>9707*10000</t>
  </si>
  <si>
    <t>8.735*100000000</t>
  </si>
  <si>
    <t>9.310*100000000</t>
  </si>
  <si>
    <t>7949*10000</t>
  </si>
  <si>
    <t>1.694*100000000</t>
  </si>
  <si>
    <t>3.628*100000000</t>
  </si>
  <si>
    <t>3.210*100000000</t>
  </si>
  <si>
    <t>2.024*100000000</t>
  </si>
  <si>
    <t>2955*10000</t>
  </si>
  <si>
    <t>4.051*100000000</t>
  </si>
  <si>
    <t>4.231*100000000</t>
  </si>
  <si>
    <t>4.234*100000000</t>
  </si>
  <si>
    <t>1367*10000</t>
  </si>
  <si>
    <t>6494*10000</t>
  </si>
  <si>
    <t>1.712*100000000</t>
  </si>
  <si>
    <t>3.207*100000000</t>
  </si>
  <si>
    <t>3.231*100000000</t>
  </si>
  <si>
    <t>1.887*100000000</t>
  </si>
  <si>
    <t>8.001*100000000</t>
  </si>
  <si>
    <t>4006*10000</t>
  </si>
  <si>
    <t>7925*10000</t>
  </si>
  <si>
    <t>6679*10000</t>
  </si>
  <si>
    <t>513.7*10000</t>
  </si>
  <si>
    <t>6572*10000</t>
  </si>
  <si>
    <t>1235*10000</t>
  </si>
  <si>
    <t>4004*10000</t>
  </si>
  <si>
    <t>7684*10000</t>
  </si>
  <si>
    <t>2341*10000</t>
  </si>
  <si>
    <t>9241*10000</t>
  </si>
  <si>
    <t>6615*10000</t>
  </si>
  <si>
    <t>476.3*10000</t>
  </si>
  <si>
    <t>6519*10000</t>
  </si>
  <si>
    <t>1239*10000</t>
  </si>
  <si>
    <t>9606*10000</t>
  </si>
  <si>
    <t>5899*10000</t>
  </si>
  <si>
    <t>1.417*100000000</t>
  </si>
  <si>
    <t>7898*10000</t>
  </si>
  <si>
    <t>5473*10000</t>
  </si>
  <si>
    <t>7.616*10000</t>
  </si>
  <si>
    <t>9780*10000</t>
  </si>
  <si>
    <t>5355*10000</t>
  </si>
  <si>
    <t>910.8*10000</t>
  </si>
  <si>
    <t>8.568*100000000</t>
  </si>
  <si>
    <t>5.346*100000000</t>
  </si>
  <si>
    <t>6.315*100000000</t>
  </si>
  <si>
    <t>7442*10000</t>
  </si>
  <si>
    <t>5163*10000</t>
  </si>
  <si>
    <t>2.815*100000000</t>
  </si>
  <si>
    <t>2.157*100000000</t>
  </si>
  <si>
    <t>9232*10000</t>
  </si>
  <si>
    <t>6830*10000</t>
  </si>
  <si>
    <t>2732*10000</t>
  </si>
  <si>
    <t>9238*10000</t>
  </si>
  <si>
    <t>6882*10000</t>
  </si>
  <si>
    <t>2786*10000</t>
  </si>
  <si>
    <t>1088*10000</t>
  </si>
  <si>
    <t>5.564*100000000</t>
  </si>
  <si>
    <t>8982*10000</t>
  </si>
  <si>
    <t>7670*10000</t>
  </si>
  <si>
    <t>4018*10000</t>
  </si>
  <si>
    <t>1190*10000</t>
  </si>
  <si>
    <t>5720*10000</t>
  </si>
  <si>
    <t>877.0*10000</t>
  </si>
  <si>
    <t>4.301*100000000</t>
  </si>
  <si>
    <t>1.578*100000000</t>
  </si>
  <si>
    <t>76.66*100000000</t>
  </si>
  <si>
    <t>57.57*100000000</t>
  </si>
  <si>
    <t>23.72*100000000</t>
  </si>
  <si>
    <t>62.01*100000000</t>
  </si>
  <si>
    <t>43.79*100000000</t>
  </si>
  <si>
    <t>25.48*100000000</t>
  </si>
  <si>
    <t>147.1*10000</t>
  </si>
  <si>
    <t>3.232*100000000</t>
  </si>
  <si>
    <t>2.415*100000000</t>
  </si>
  <si>
    <t>87.00*10000</t>
  </si>
  <si>
    <t>2.362*100000000</t>
  </si>
  <si>
    <t>24.15*100000000</t>
  </si>
  <si>
    <t>8.013*100000000</t>
  </si>
  <si>
    <t>9.061*100000000</t>
  </si>
  <si>
    <t>4.274*100000000</t>
  </si>
  <si>
    <t>2.767*100000000</t>
  </si>
  <si>
    <t>1.931*100000000</t>
  </si>
  <si>
    <t>7902*10000</t>
  </si>
  <si>
    <t>2.501*100000000</t>
  </si>
  <si>
    <t>2.713*100000000</t>
  </si>
  <si>
    <t>7535*10000</t>
  </si>
  <si>
    <t>6628*10000</t>
  </si>
  <si>
    <t>2.507*100000000</t>
  </si>
  <si>
    <t>1.869*100000000</t>
  </si>
  <si>
    <t>5727*10000</t>
  </si>
  <si>
    <t>2.738*100000000</t>
  </si>
  <si>
    <t>7537*10000</t>
  </si>
  <si>
    <t>7233*10000</t>
  </si>
  <si>
    <t>5201*10000</t>
  </si>
  <si>
    <t>2.492*100000000</t>
  </si>
  <si>
    <t>1.228*100000000</t>
  </si>
  <si>
    <t>6003*10000</t>
  </si>
  <si>
    <t>15.15*100000000</t>
  </si>
  <si>
    <t>7.551*100000000</t>
  </si>
  <si>
    <t>3.833*100000000</t>
  </si>
  <si>
    <t>7.812*100000000</t>
  </si>
  <si>
    <t>2.015*100000000</t>
  </si>
  <si>
    <t>7371*10000</t>
  </si>
  <si>
    <t>1.628*100000000</t>
  </si>
  <si>
    <t>3370*10000</t>
  </si>
  <si>
    <t>9330*10000</t>
  </si>
  <si>
    <t>7644*10000</t>
  </si>
  <si>
    <t>5226*10000</t>
  </si>
  <si>
    <t>8819*10000</t>
  </si>
  <si>
    <t>7449*10000</t>
  </si>
  <si>
    <t>4257*10000</t>
  </si>
  <si>
    <t>1.793*100000000</t>
  </si>
  <si>
    <t>1.598*100000000</t>
  </si>
  <si>
    <t>3333*10000</t>
  </si>
  <si>
    <t>9333*10000</t>
  </si>
  <si>
    <t>7650*10000</t>
  </si>
  <si>
    <t>8765*10000</t>
  </si>
  <si>
    <t>7379*10000</t>
  </si>
  <si>
    <t>4260*10000</t>
  </si>
  <si>
    <t>8853*10000</t>
  </si>
  <si>
    <t>8217*10000</t>
  </si>
  <si>
    <t>6810*10000</t>
  </si>
  <si>
    <t>4622*10000</t>
  </si>
  <si>
    <t>6723*10000</t>
  </si>
  <si>
    <t>6.871*100000000</t>
  </si>
  <si>
    <t>16.63*100000000</t>
  </si>
  <si>
    <t>8.129*100000000</t>
  </si>
  <si>
    <t>7.825*100000000</t>
  </si>
  <si>
    <t>3020*10000</t>
  </si>
  <si>
    <t>4.789*100000000</t>
  </si>
  <si>
    <t>3.671*100000000</t>
  </si>
  <si>
    <t>4.537*100000000</t>
  </si>
  <si>
    <t>3.424*100000000</t>
  </si>
  <si>
    <t>2.365*100000000</t>
  </si>
  <si>
    <t>5857*10000</t>
  </si>
  <si>
    <t>5.525*100000000</t>
  </si>
  <si>
    <t>3.426*100000000</t>
  </si>
  <si>
    <t>4082*10000</t>
  </si>
  <si>
    <t>9895*10000</t>
  </si>
  <si>
    <t>841.2*10000</t>
  </si>
  <si>
    <t>2.826*100000000</t>
  </si>
  <si>
    <t>2.687*100000000</t>
  </si>
  <si>
    <t>1.673*100000000</t>
  </si>
  <si>
    <t>6.298*100000000</t>
  </si>
  <si>
    <t>4.731*100000000</t>
  </si>
  <si>
    <t>6789*10000</t>
  </si>
  <si>
    <t>5.160*100000000</t>
  </si>
  <si>
    <t>1774*10000</t>
  </si>
  <si>
    <t>6296*10000</t>
  </si>
  <si>
    <t>4887*10000</t>
  </si>
  <si>
    <t>157.2*10000</t>
  </si>
  <si>
    <t>4848*10000</t>
  </si>
  <si>
    <t>9536*10000</t>
  </si>
  <si>
    <t>6219*10000</t>
  </si>
  <si>
    <t>1049*10000</t>
  </si>
  <si>
    <t>41.70*10000</t>
  </si>
  <si>
    <t>785.7*10000</t>
  </si>
  <si>
    <t>2570*10000</t>
  </si>
  <si>
    <t>7792*10000</t>
  </si>
  <si>
    <t>5088*10000</t>
  </si>
  <si>
    <t>4085*10000</t>
  </si>
  <si>
    <t>40.37*100000000</t>
  </si>
  <si>
    <t>8.628*100000000</t>
  </si>
  <si>
    <t>6.322*100000000</t>
  </si>
  <si>
    <t>9849*10000</t>
  </si>
  <si>
    <t>2682*10000</t>
  </si>
  <si>
    <t>9258*10000</t>
  </si>
  <si>
    <t>2485*10000</t>
  </si>
  <si>
    <t>1.231*100000000</t>
  </si>
  <si>
    <t>7310*10000</t>
  </si>
  <si>
    <t>2694*10000</t>
  </si>
  <si>
    <t>9713*10000</t>
  </si>
  <si>
    <t>7456*10000</t>
  </si>
  <si>
    <t>4966*10000</t>
  </si>
  <si>
    <t>2509*10000</t>
  </si>
  <si>
    <t>2668*10000</t>
  </si>
  <si>
    <t>7218*10000</t>
  </si>
  <si>
    <t>4673*10000</t>
  </si>
  <si>
    <t>2431*10000</t>
  </si>
  <si>
    <t>46.13*100000000</t>
  </si>
  <si>
    <t>26.36*100000000</t>
  </si>
  <si>
    <t>9.724*100000000</t>
  </si>
  <si>
    <t>3.114*100000000</t>
  </si>
  <si>
    <t>1.880*100000000</t>
  </si>
  <si>
    <t>3657*10000</t>
  </si>
  <si>
    <t>3.267*100000000</t>
  </si>
  <si>
    <t>1.796*100000000</t>
  </si>
  <si>
    <t>9268*10000</t>
  </si>
  <si>
    <t>3678*10000</t>
  </si>
  <si>
    <t>6082*10000</t>
  </si>
  <si>
    <t>3.265*100000000</t>
  </si>
  <si>
    <t>2.827*100000000</t>
  </si>
  <si>
    <t>9557*10000</t>
  </si>
  <si>
    <t>9652*10000</t>
  </si>
  <si>
    <t>3230*10000</t>
  </si>
  <si>
    <t>5447*10000</t>
  </si>
  <si>
    <t>2.820*100000000</t>
  </si>
  <si>
    <t>7631*10000</t>
  </si>
  <si>
    <t>34.48*100000000</t>
  </si>
  <si>
    <t>22.20*100000000</t>
  </si>
  <si>
    <t>4.851*100000000</t>
  </si>
  <si>
    <t>26.40*100000000</t>
  </si>
  <si>
    <t>8.287*100000000</t>
  </si>
  <si>
    <t>21.25*100000000</t>
  </si>
  <si>
    <t>9451*10000</t>
  </si>
  <si>
    <t>1.662*100000000</t>
  </si>
  <si>
    <t>630.5*10000</t>
  </si>
  <si>
    <t>7912*10000</t>
  </si>
  <si>
    <t>2100*10000</t>
  </si>
  <si>
    <t>2.379*100000000</t>
  </si>
  <si>
    <t>7144*10000</t>
  </si>
  <si>
    <t>2132*10000</t>
  </si>
  <si>
    <t>4722*10000</t>
  </si>
  <si>
    <t>7032*10000</t>
  </si>
  <si>
    <t>704.0*10000</t>
  </si>
  <si>
    <t>2134*10000</t>
  </si>
  <si>
    <t>1.306*100000000</t>
  </si>
  <si>
    <t>7171*10000</t>
  </si>
  <si>
    <t>8553*10000</t>
  </si>
  <si>
    <t>2.914*100000000</t>
  </si>
  <si>
    <t>6102*10000</t>
  </si>
  <si>
    <t>619.1*10000</t>
  </si>
  <si>
    <t>2.420*100000000</t>
  </si>
  <si>
    <t>6965*10000</t>
  </si>
  <si>
    <t>1901*10000</t>
  </si>
  <si>
    <t>2.101*100000000</t>
  </si>
  <si>
    <t>6130*10000</t>
  </si>
  <si>
    <t>1859*10000</t>
  </si>
  <si>
    <t>9.034*100000000</t>
  </si>
  <si>
    <t>7.859*100000000</t>
  </si>
  <si>
    <t>2.859*100000000</t>
  </si>
  <si>
    <t>3.967*100000000</t>
  </si>
  <si>
    <t>2.648*100000000</t>
  </si>
  <si>
    <t>9402*10000</t>
  </si>
  <si>
    <t>7921*10000</t>
  </si>
  <si>
    <t>5376*10000</t>
  </si>
  <si>
    <t>1059*10000</t>
  </si>
  <si>
    <t>6742*10000</t>
  </si>
  <si>
    <t>343.0*10000</t>
  </si>
  <si>
    <t>9532*10000</t>
  </si>
  <si>
    <t>4406*10000</t>
  </si>
  <si>
    <t>3608*10000</t>
  </si>
  <si>
    <t>507.9*10000</t>
  </si>
  <si>
    <t>3822*10000</t>
  </si>
  <si>
    <t>731.2*10000</t>
  </si>
  <si>
    <t>7895*10000</t>
  </si>
  <si>
    <t>1052*10000</t>
  </si>
  <si>
    <t>6687*10000</t>
  </si>
  <si>
    <t>330.2*10000</t>
  </si>
  <si>
    <t>9534*10000</t>
  </si>
  <si>
    <t>4424*10000</t>
  </si>
  <si>
    <t>505.6*10000</t>
  </si>
  <si>
    <t>7788*10000</t>
  </si>
  <si>
    <t>3885*10000</t>
  </si>
  <si>
    <t>3432*10000</t>
  </si>
  <si>
    <t>798.8*10000</t>
  </si>
  <si>
    <t>6647*10000</t>
  </si>
  <si>
    <t>5542*10000</t>
  </si>
  <si>
    <t>3318*10000</t>
  </si>
  <si>
    <t>461.3*10000</t>
  </si>
  <si>
    <t>8346*10000</t>
  </si>
  <si>
    <t>3737*10000</t>
  </si>
  <si>
    <t>2902*10000</t>
  </si>
  <si>
    <t>509.3*10000</t>
  </si>
  <si>
    <t>6324*10000</t>
  </si>
  <si>
    <t>805.5*10000</t>
  </si>
  <si>
    <t>7.696*100000000</t>
  </si>
  <si>
    <t>9.467*100000000</t>
  </si>
  <si>
    <t>4.420*100000000</t>
  </si>
  <si>
    <t>7.689*100000000</t>
  </si>
  <si>
    <t>2.436*100000000</t>
  </si>
  <si>
    <t>7185*10000</t>
  </si>
  <si>
    <t>1.386*100000000</t>
  </si>
  <si>
    <t>8192*10000</t>
  </si>
  <si>
    <t>4763*10000</t>
  </si>
  <si>
    <t>1504*10000</t>
  </si>
  <si>
    <t>6539*10000</t>
  </si>
  <si>
    <t>6060*10000</t>
  </si>
  <si>
    <t>3478*10000</t>
  </si>
  <si>
    <t>1250*10000</t>
  </si>
  <si>
    <t>2.422*100000000</t>
  </si>
  <si>
    <t>7174*10000</t>
  </si>
  <si>
    <t>6267*10000</t>
  </si>
  <si>
    <t>1729*10000</t>
  </si>
  <si>
    <t>8114*10000</t>
  </si>
  <si>
    <t>1480*10000</t>
  </si>
  <si>
    <t>7164*10000</t>
  </si>
  <si>
    <t>6364*10000</t>
  </si>
  <si>
    <t>9409*10000</t>
  </si>
  <si>
    <t>5902*10000</t>
  </si>
  <si>
    <t>1786*10000</t>
  </si>
  <si>
    <t>7860*10000</t>
  </si>
  <si>
    <t>4551*10000</t>
  </si>
  <si>
    <t>7274*10000</t>
  </si>
  <si>
    <t>3125*10000</t>
  </si>
  <si>
    <t>4.257*100000000</t>
  </si>
  <si>
    <t>2.481*100000000</t>
  </si>
  <si>
    <t>7693*10000</t>
  </si>
  <si>
    <t>2145*10000</t>
  </si>
  <si>
    <t>3.629*100000000</t>
  </si>
  <si>
    <t>8229*10000</t>
  </si>
  <si>
    <t>7276*10000</t>
  </si>
  <si>
    <t>2451*10000</t>
  </si>
  <si>
    <t>1894*10000</t>
  </si>
  <si>
    <t>5218*10000</t>
  </si>
  <si>
    <t>8094*10000</t>
  </si>
  <si>
    <t>4086*10000</t>
  </si>
  <si>
    <t>8177*10000</t>
  </si>
  <si>
    <t>7018*10000</t>
  </si>
  <si>
    <t>7245*10000</t>
  </si>
  <si>
    <t>2435*10000</t>
  </si>
  <si>
    <t>7394*10000</t>
  </si>
  <si>
    <t>8100*10000</t>
  </si>
  <si>
    <t>4091*10000</t>
  </si>
  <si>
    <t>5040*10000</t>
  </si>
  <si>
    <t>1754*10000</t>
  </si>
  <si>
    <t>1.072*100000000</t>
  </si>
  <si>
    <t>8060*10000</t>
  </si>
  <si>
    <t>8025*10000</t>
  </si>
  <si>
    <t>2.538*100000000</t>
  </si>
  <si>
    <t>6.051*100000000</t>
  </si>
  <si>
    <t>3.432*100000000</t>
  </si>
  <si>
    <t>7.713*100000000</t>
  </si>
  <si>
    <t>1.929*100000000</t>
  </si>
  <si>
    <t>3.492*100000000</t>
  </si>
  <si>
    <t>4927*10000</t>
  </si>
  <si>
    <t>3149*10000</t>
  </si>
  <si>
    <t>5890*10000</t>
  </si>
  <si>
    <t>6118*10000</t>
  </si>
  <si>
    <t>3690*10000</t>
  </si>
  <si>
    <t>1810*10000</t>
  </si>
  <si>
    <t>5511*10000</t>
  </si>
  <si>
    <t>6355*10000</t>
  </si>
  <si>
    <t>4742*10000</t>
  </si>
  <si>
    <t>1676*10000</t>
  </si>
  <si>
    <t>549.7*10000</t>
  </si>
  <si>
    <t>6280*10000</t>
  </si>
  <si>
    <t>3867*10000</t>
  </si>
  <si>
    <t>1804*10000</t>
  </si>
  <si>
    <t>5284*10000</t>
  </si>
  <si>
    <t>6235*10000</t>
  </si>
  <si>
    <t>4659*10000</t>
  </si>
  <si>
    <t>1634*10000</t>
  </si>
  <si>
    <t>2784*10000</t>
  </si>
  <si>
    <t>7344*10000</t>
  </si>
  <si>
    <t>4884*10000</t>
  </si>
  <si>
    <t>3465*10000</t>
  </si>
  <si>
    <t>1179*10000</t>
  </si>
  <si>
    <t>5.341*100000000</t>
  </si>
  <si>
    <t>6.771*100000000</t>
  </si>
  <si>
    <t>21.35*100000000</t>
  </si>
  <si>
    <t>8.904*100000000</t>
  </si>
  <si>
    <t>3.149*100000000</t>
  </si>
  <si>
    <t>8.464*100000000</t>
  </si>
  <si>
    <t>1.982*100000000</t>
  </si>
  <si>
    <t>4096*10000</t>
  </si>
  <si>
    <t>2099*10000</t>
  </si>
  <si>
    <t>4117*10000</t>
  </si>
  <si>
    <t>1.952*100000000</t>
  </si>
  <si>
    <t>9933*10000</t>
  </si>
  <si>
    <t>2761*10000</t>
  </si>
  <si>
    <t>2830*10000</t>
  </si>
  <si>
    <t>1.767*100000000</t>
  </si>
  <si>
    <t>1.433*100000000</t>
  </si>
  <si>
    <t>2084*10000</t>
  </si>
  <si>
    <t>3973*10000</t>
  </si>
  <si>
    <t>8027*10000</t>
  </si>
  <si>
    <t>1302*10000</t>
  </si>
  <si>
    <t>1157*10000</t>
  </si>
  <si>
    <t>2096*10000</t>
  </si>
  <si>
    <t>6.179*100000000</t>
  </si>
  <si>
    <t>2.984*100000000</t>
  </si>
  <si>
    <t>7.045*100000000</t>
  </si>
  <si>
    <t>5.358*100000000</t>
  </si>
  <si>
    <t>3.844*100000000</t>
  </si>
  <si>
    <t>5763*10000</t>
  </si>
  <si>
    <t>5859*10000</t>
  </si>
  <si>
    <t>3588*10000</t>
  </si>
  <si>
    <t>7229*10000</t>
  </si>
  <si>
    <t>5150*10000</t>
  </si>
  <si>
    <t>2733*10000</t>
  </si>
  <si>
    <t>4594*10000</t>
  </si>
  <si>
    <t>1.205*100000000</t>
  </si>
  <si>
    <t>9479*10000</t>
  </si>
  <si>
    <t>5764*10000</t>
  </si>
  <si>
    <t>8003*10000</t>
  </si>
  <si>
    <t>7204*10000</t>
  </si>
  <si>
    <t>5176*10000</t>
  </si>
  <si>
    <t>3179*10000</t>
  </si>
  <si>
    <t>4580*10000</t>
  </si>
  <si>
    <t>1.418*100000000</t>
  </si>
  <si>
    <t>8284*10000</t>
  </si>
  <si>
    <t>1.066*100000000</t>
  </si>
  <si>
    <t>7065*10000</t>
  </si>
  <si>
    <t>5156*10000</t>
  </si>
  <si>
    <t>3174*10000</t>
  </si>
  <si>
    <t>9739*10000</t>
  </si>
  <si>
    <t>6216*10000</t>
  </si>
  <si>
    <t>8903*10000</t>
  </si>
  <si>
    <t>9.963*100000000</t>
  </si>
  <si>
    <t>7.653*100000000</t>
  </si>
  <si>
    <t>5.082*100000000</t>
  </si>
  <si>
    <t>7.366*100000000</t>
  </si>
  <si>
    <t>4.748*100000000</t>
  </si>
  <si>
    <t>2.938*100000000</t>
  </si>
  <si>
    <t>3.197*100000000</t>
  </si>
  <si>
    <t>3.521*100000000</t>
  </si>
  <si>
    <t>2.473*100000000</t>
  </si>
  <si>
    <t>1.273*100000000</t>
  </si>
  <si>
    <t>2.529*100000000</t>
  </si>
  <si>
    <t>1.191*100000000</t>
  </si>
  <si>
    <t>4898*10000</t>
  </si>
  <si>
    <t>9211*10000</t>
  </si>
  <si>
    <t>5546*10000</t>
  </si>
  <si>
    <t>2656*10000</t>
  </si>
  <si>
    <t>3.481*100000000</t>
  </si>
  <si>
    <t>2.449*100000000</t>
  </si>
  <si>
    <t>3.645*100000000</t>
  </si>
  <si>
    <t>9214*10000</t>
  </si>
  <si>
    <t>5545*10000</t>
  </si>
  <si>
    <t>2657*10000</t>
  </si>
  <si>
    <t>4.119*100000000</t>
  </si>
  <si>
    <t>2.160*100000000</t>
  </si>
  <si>
    <t>2.286*100000000</t>
  </si>
  <si>
    <t>8424*10000</t>
  </si>
  <si>
    <t>4008*10000</t>
  </si>
  <si>
    <t>8304*10000</t>
  </si>
  <si>
    <t>2154*10000</t>
  </si>
  <si>
    <t>165.2*100000000</t>
  </si>
  <si>
    <t>49.50*100000000</t>
  </si>
  <si>
    <t>165.4*100000000</t>
  </si>
  <si>
    <t>72.31*100000000</t>
  </si>
  <si>
    <t>92.79*100000000</t>
  </si>
  <si>
    <t>58.94*100000000</t>
  </si>
  <si>
    <t>96.14*100000000</t>
  </si>
  <si>
    <t>44.09*100000000</t>
  </si>
  <si>
    <t>33.89*100000000</t>
  </si>
  <si>
    <t>19.31*100000000</t>
  </si>
  <si>
    <t>4.202*100000000</t>
  </si>
  <si>
    <t>25.85*100000000</t>
  </si>
  <si>
    <t>60.16*100000000</t>
  </si>
  <si>
    <t>33.69*100000000</t>
  </si>
  <si>
    <t>27.08*100000000</t>
  </si>
  <si>
    <t>4.158*100000000</t>
  </si>
  <si>
    <t>21.46*100000000</t>
  </si>
  <si>
    <t>5.033*100000000</t>
  </si>
  <si>
    <t>21.79*100000000</t>
  </si>
  <si>
    <t>3.051*100000000</t>
  </si>
  <si>
    <t>4.135*100000000</t>
  </si>
  <si>
    <t>9265*10000</t>
  </si>
  <si>
    <t>5.804*100000000</t>
  </si>
  <si>
    <t>1.364*100000000</t>
  </si>
  <si>
    <t>2.668*100000000</t>
  </si>
  <si>
    <t>2364*10000</t>
  </si>
  <si>
    <t>2585*10000</t>
  </si>
  <si>
    <t>1448*10000</t>
  </si>
  <si>
    <t>144.2*10000</t>
  </si>
  <si>
    <t>4854*10000</t>
  </si>
  <si>
    <t>2746*10000</t>
  </si>
  <si>
    <t>1823*10000</t>
  </si>
  <si>
    <t>5952*10000</t>
  </si>
  <si>
    <t>3724*10000</t>
  </si>
  <si>
    <t>2654*10000</t>
  </si>
  <si>
    <t>1507*10000</t>
  </si>
  <si>
    <t>195.7*10000</t>
  </si>
  <si>
    <t>4806*10000</t>
  </si>
  <si>
    <t>1816*10000</t>
  </si>
  <si>
    <t>5832*10000</t>
  </si>
  <si>
    <t>5599*10000</t>
  </si>
  <si>
    <t>2066*10000</t>
  </si>
  <si>
    <t>2623*10000</t>
  </si>
  <si>
    <t>2562*10000</t>
  </si>
  <si>
    <t>151.4*10000</t>
  </si>
  <si>
    <t>4751*10000</t>
  </si>
  <si>
    <t>4265*10000</t>
  </si>
  <si>
    <t>2200*10000</t>
  </si>
  <si>
    <t>5506*10000</t>
  </si>
  <si>
    <t>5027*10000</t>
  </si>
  <si>
    <t>3240*10000</t>
  </si>
  <si>
    <t>1891*10000</t>
  </si>
  <si>
    <t>71.58*100000000</t>
  </si>
  <si>
    <t>227.9*100000000</t>
  </si>
  <si>
    <t>170.9*100000000</t>
  </si>
  <si>
    <t>148.2*100000000</t>
  </si>
  <si>
    <t>170.3*100000000</t>
  </si>
  <si>
    <t>46.94*100000000</t>
  </si>
  <si>
    <t>78.20*100000000</t>
  </si>
  <si>
    <t>55.35*100000000</t>
  </si>
  <si>
    <t>39.31*100000000</t>
  </si>
  <si>
    <t>45.50*100000000</t>
  </si>
  <si>
    <t>52.41*100000000</t>
  </si>
  <si>
    <t>78.21*100000000</t>
  </si>
  <si>
    <t>55.39*100000000</t>
  </si>
  <si>
    <t>39.45*100000000</t>
  </si>
  <si>
    <t>63.77*100000000</t>
  </si>
  <si>
    <t>52.23*100000000</t>
  </si>
  <si>
    <t>66.71*100000000</t>
  </si>
  <si>
    <t>47.10*100000000</t>
  </si>
  <si>
    <t>33.55*100000000</t>
  </si>
  <si>
    <t>64.09*100000000</t>
  </si>
  <si>
    <t>53.56*100000000</t>
  </si>
  <si>
    <t>31.33*100000000</t>
  </si>
  <si>
    <t>5.618*100000000</t>
  </si>
  <si>
    <t>1.785*100000000</t>
  </si>
  <si>
    <t>9688*10000</t>
  </si>
  <si>
    <t>9995*10000</t>
  </si>
  <si>
    <t>7996*10000</t>
  </si>
  <si>
    <t>4222*10000</t>
  </si>
  <si>
    <t>8436*10000</t>
  </si>
  <si>
    <t>9626*10000</t>
  </si>
  <si>
    <t>4503*10000</t>
  </si>
  <si>
    <t>9798*10000</t>
  </si>
  <si>
    <t>7846*10000</t>
  </si>
  <si>
    <t>4116*10000</t>
  </si>
  <si>
    <t>7244*10000</t>
  </si>
  <si>
    <t>8116*10000</t>
  </si>
  <si>
    <t>5066*10000</t>
  </si>
  <si>
    <t>1.422*100000000</t>
  </si>
  <si>
    <t>8615*10000</t>
  </si>
  <si>
    <t>3921*10000</t>
  </si>
  <si>
    <t>6759*10000</t>
  </si>
  <si>
    <t>3569*10000</t>
  </si>
  <si>
    <t>1391*10000</t>
  </si>
  <si>
    <t>8952*10000</t>
  </si>
  <si>
    <t>6198*10000</t>
  </si>
  <si>
    <t>7042*10000</t>
  </si>
  <si>
    <t>2034*10000</t>
  </si>
  <si>
    <t>73.67*100000000</t>
  </si>
  <si>
    <t>82.08*100000000</t>
  </si>
  <si>
    <t>88.54*100000000</t>
  </si>
  <si>
    <t>67.50*100000000</t>
  </si>
  <si>
    <t>46.14*100000000</t>
  </si>
  <si>
    <t>22.15*100000000</t>
  </si>
  <si>
    <t>84.43*100000000</t>
  </si>
  <si>
    <t>8.914*100000000</t>
  </si>
  <si>
    <t>6.278*100000000</t>
  </si>
  <si>
    <t>7.871*100000000</t>
  </si>
  <si>
    <t>5.142*100000000</t>
  </si>
  <si>
    <t>4.591*100000000</t>
  </si>
  <si>
    <t>8.906*100000000</t>
  </si>
  <si>
    <t>8.228*100000000</t>
  </si>
  <si>
    <t>5.702*100000000</t>
  </si>
  <si>
    <t>1.486*100000000</t>
  </si>
  <si>
    <t>7.959*100000000</t>
  </si>
  <si>
    <t>2.308*100000000</t>
  </si>
  <si>
    <t>9.278*100000000</t>
  </si>
  <si>
    <t>6.873*100000000</t>
  </si>
  <si>
    <t>26.07*100000000</t>
  </si>
  <si>
    <t>9.995*100000000</t>
  </si>
  <si>
    <t>4.767*100000000</t>
  </si>
  <si>
    <t>8.876*100000000</t>
  </si>
  <si>
    <t>6.614*100000000</t>
  </si>
  <si>
    <t>1.729*100000000</t>
  </si>
  <si>
    <t>6.998*100000000</t>
  </si>
  <si>
    <t>2.869*100000000</t>
  </si>
  <si>
    <t>4296*10000</t>
  </si>
  <si>
    <t>4.740*100000000</t>
  </si>
  <si>
    <t>2.217*100000000</t>
  </si>
  <si>
    <t>4557*10000</t>
  </si>
  <si>
    <t>4.830*100000000</t>
  </si>
  <si>
    <t>4.718*100000000</t>
  </si>
  <si>
    <t>2.194*100000000</t>
  </si>
  <si>
    <t>4873*10000</t>
  </si>
  <si>
    <t>5.992*100000000</t>
  </si>
  <si>
    <t>8967*10000</t>
  </si>
  <si>
    <t>3.989*100000000</t>
  </si>
  <si>
    <t>3491*10000</t>
  </si>
  <si>
    <t>2.131*100000000</t>
  </si>
  <si>
    <t>1.039*100000000</t>
  </si>
  <si>
    <t>50.92*100000000</t>
  </si>
  <si>
    <t>104.0*100000000</t>
  </si>
  <si>
    <t>38.20*100000000</t>
  </si>
  <si>
    <t>18.68*100000000</t>
  </si>
  <si>
    <t>8.220*100000000</t>
  </si>
  <si>
    <t>29.00*100000000</t>
  </si>
  <si>
    <t>7305*10000</t>
  </si>
  <si>
    <t>6284*10000</t>
  </si>
  <si>
    <t>2404*10000</t>
  </si>
  <si>
    <t>8.199*100000000</t>
  </si>
  <si>
    <t>7292*10000</t>
  </si>
  <si>
    <t>3528*10000</t>
  </si>
  <si>
    <t>7.209*100000000</t>
  </si>
  <si>
    <t>5.856*100000000</t>
  </si>
  <si>
    <t>4.530*100000000</t>
  </si>
  <si>
    <t>3.103*100000000</t>
  </si>
  <si>
    <t>8656*10000</t>
  </si>
  <si>
    <t>3115*10000</t>
  </si>
  <si>
    <t>1.299*100000000</t>
  </si>
  <si>
    <t>8531*10000</t>
  </si>
  <si>
    <t>1972*10000</t>
  </si>
  <si>
    <t>52.73*100000000</t>
  </si>
  <si>
    <t>37.07*100000000</t>
  </si>
  <si>
    <t>45.08*100000000</t>
  </si>
  <si>
    <t>42.44*100000000</t>
  </si>
  <si>
    <t>39.95*100000000</t>
  </si>
  <si>
    <t>8.967*100000000</t>
  </si>
  <si>
    <t>2.952*100000000</t>
  </si>
  <si>
    <t>9605*10000</t>
  </si>
  <si>
    <t>3.199*100000000</t>
  </si>
  <si>
    <t>1.875*100000000</t>
  </si>
  <si>
    <t>2.427*100000000</t>
  </si>
  <si>
    <t>1.202*100000000</t>
  </si>
  <si>
    <t>3.651*100000000</t>
  </si>
  <si>
    <t>3.253*100000000</t>
  </si>
  <si>
    <t>2.067*100000000</t>
  </si>
  <si>
    <t>3.857*100000000</t>
  </si>
  <si>
    <t>8103*10000</t>
  </si>
  <si>
    <t>2.439*100000000</t>
  </si>
  <si>
    <t>3.279*100000000</t>
  </si>
  <si>
    <t>2.897*100000000</t>
  </si>
  <si>
    <t>1.721*100000000</t>
  </si>
  <si>
    <t>6984*10000</t>
  </si>
  <si>
    <t>4256*10000</t>
  </si>
  <si>
    <t>30.23*100000000</t>
  </si>
  <si>
    <t>6.644*100000000</t>
  </si>
  <si>
    <t>2.516*100000000</t>
  </si>
  <si>
    <t>8.246*100000000</t>
  </si>
  <si>
    <t>2.146*100000000</t>
  </si>
  <si>
    <t>4.668*100000000</t>
  </si>
  <si>
    <t>3.759*100000000</t>
  </si>
  <si>
    <t>2.723*100000000</t>
  </si>
  <si>
    <t>5993*10000</t>
  </si>
  <si>
    <t>1.555*100000000</t>
  </si>
  <si>
    <t>2.398*100000000</t>
  </si>
  <si>
    <t>4385*10000</t>
  </si>
  <si>
    <t>3.416*100000000</t>
  </si>
  <si>
    <t>2.708*100000000</t>
  </si>
  <si>
    <t>6416*10000</t>
  </si>
  <si>
    <t>2.106*100000000</t>
  </si>
  <si>
    <t>8961*10000</t>
  </si>
  <si>
    <t>5078*10000</t>
  </si>
  <si>
    <t>3786*10000</t>
  </si>
  <si>
    <t>5465*10000</t>
  </si>
  <si>
    <t>9.598*100000000</t>
  </si>
  <si>
    <t>5.757*100000000</t>
  </si>
  <si>
    <t>6.867*100000000</t>
  </si>
  <si>
    <t>2.545*100000000</t>
  </si>
  <si>
    <t>9.044*100000000</t>
  </si>
  <si>
    <t>6.604*100000000</t>
  </si>
  <si>
    <t>6344*10000</t>
  </si>
  <si>
    <t>3145*10000</t>
  </si>
  <si>
    <t>4860*10000</t>
  </si>
  <si>
    <t>8679*10000</t>
  </si>
  <si>
    <t>6343*10000</t>
  </si>
  <si>
    <t>3627*10000</t>
  </si>
  <si>
    <t>8544*10000</t>
  </si>
  <si>
    <t>6372*10000</t>
  </si>
  <si>
    <t>3129*10000</t>
  </si>
  <si>
    <t>1.283*100000000</t>
  </si>
  <si>
    <t>9142*10000</t>
  </si>
  <si>
    <t>4328*10000</t>
  </si>
  <si>
    <t>1.687*100000000</t>
  </si>
  <si>
    <t>8741*10000</t>
  </si>
  <si>
    <t>7751*10000</t>
  </si>
  <si>
    <t>3291*10000</t>
  </si>
  <si>
    <t>9708*10000</t>
  </si>
  <si>
    <t>7339*10000</t>
  </si>
  <si>
    <t>5588*10000</t>
  </si>
  <si>
    <t>2750*10000</t>
  </si>
  <si>
    <t>5.607*100000000</t>
  </si>
  <si>
    <t>7.286*100000000</t>
  </si>
  <si>
    <t>6.916*100000000</t>
  </si>
  <si>
    <t>4.865*100000000</t>
  </si>
  <si>
    <t>9087*10000</t>
  </si>
  <si>
    <t>7563*10000</t>
  </si>
  <si>
    <t>5895*10000</t>
  </si>
  <si>
    <t>2111*10000</t>
  </si>
  <si>
    <t>3798*10000</t>
  </si>
  <si>
    <t>2708*10000</t>
  </si>
  <si>
    <t>1722*10000</t>
  </si>
  <si>
    <t>4738*10000</t>
  </si>
  <si>
    <t>3920*10000</t>
  </si>
  <si>
    <t>2514*10000</t>
  </si>
  <si>
    <t>1399*10000</t>
  </si>
  <si>
    <t>5009*10000</t>
  </si>
  <si>
    <t>2804*10000</t>
  </si>
  <si>
    <t>9082*10000</t>
  </si>
  <si>
    <t>7558*10000</t>
  </si>
  <si>
    <t>4954*10000</t>
  </si>
  <si>
    <t>3906*10000</t>
  </si>
  <si>
    <t>5011*10000</t>
  </si>
  <si>
    <t>4281*10000</t>
  </si>
  <si>
    <t>2806*10000</t>
  </si>
  <si>
    <t>1234*10000</t>
  </si>
  <si>
    <t>7872*10000</t>
  </si>
  <si>
    <t>6365*10000</t>
  </si>
  <si>
    <t>1797*10000</t>
  </si>
  <si>
    <t>4184*10000</t>
  </si>
  <si>
    <t>2268*10000</t>
  </si>
  <si>
    <t>3389*10000</t>
  </si>
  <si>
    <t>2207*10000</t>
  </si>
  <si>
    <t>1172*10000</t>
  </si>
  <si>
    <t>4283*10000</t>
  </si>
  <si>
    <t>29.08*100000000</t>
  </si>
  <si>
    <t>5.995*100000000</t>
  </si>
  <si>
    <t>33.29*100000000</t>
  </si>
  <si>
    <t>8973*10000</t>
  </si>
  <si>
    <t>2.381*100000000</t>
  </si>
  <si>
    <t>3.163*100000000</t>
  </si>
  <si>
    <t>7.761*100000000</t>
  </si>
  <si>
    <t>3.075*100000000</t>
  </si>
  <si>
    <t>3686*10000</t>
  </si>
  <si>
    <t>2.600*100000000</t>
  </si>
  <si>
    <t>6.104*100000000</t>
  </si>
  <si>
    <t>5.239*100000000</t>
  </si>
  <si>
    <t>5.679*100000000</t>
  </si>
  <si>
    <t>7457*10000</t>
  </si>
  <si>
    <t>3093*10000</t>
  </si>
  <si>
    <t>8701*10000</t>
  </si>
  <si>
    <t>5.185*100000000</t>
  </si>
  <si>
    <t>6.540*100000000</t>
  </si>
  <si>
    <t>4.786*100000000</t>
  </si>
  <si>
    <t>8586*10000</t>
  </si>
  <si>
    <t>9002*10000</t>
  </si>
  <si>
    <t>1826*10000</t>
  </si>
  <si>
    <t>934.0*10000</t>
  </si>
  <si>
    <t>1770*10000</t>
  </si>
  <si>
    <t>556.0*10000</t>
  </si>
  <si>
    <t>3803*10000</t>
  </si>
  <si>
    <t>2183*10000</t>
  </si>
  <si>
    <t>731.6*10000</t>
  </si>
  <si>
    <t>8926*10000</t>
  </si>
  <si>
    <t>6788*10000</t>
  </si>
  <si>
    <t>4416*10000</t>
  </si>
  <si>
    <t>1784*10000</t>
  </si>
  <si>
    <t>903.3*10000</t>
  </si>
  <si>
    <t>2321*10000</t>
  </si>
  <si>
    <t>561.9*10000</t>
  </si>
  <si>
    <t>4428*10000</t>
  </si>
  <si>
    <t>762.9*10000</t>
  </si>
  <si>
    <t>8380*10000</t>
  </si>
  <si>
    <t>674.8*10000</t>
  </si>
  <si>
    <t>1651*10000</t>
  </si>
  <si>
    <t>1201*10000</t>
  </si>
  <si>
    <t>613.1*10000</t>
  </si>
  <si>
    <t>6.052*100000000</t>
  </si>
  <si>
    <t>6.357*100000000</t>
  </si>
  <si>
    <t>7.745*100000000</t>
  </si>
  <si>
    <t>4.027*100000000</t>
  </si>
  <si>
    <t>8600*10000</t>
  </si>
  <si>
    <t>3538*10000</t>
  </si>
  <si>
    <t>9960*10000</t>
  </si>
  <si>
    <t>2521*10000</t>
  </si>
  <si>
    <t>1422*10000</t>
  </si>
  <si>
    <t>8950*10000</t>
  </si>
  <si>
    <t>7733*10000</t>
  </si>
  <si>
    <t>2942*10000</t>
  </si>
  <si>
    <t>8738*10000</t>
  </si>
  <si>
    <t>7148*10000</t>
  </si>
  <si>
    <t>2355*10000</t>
  </si>
  <si>
    <t>6672*10000</t>
  </si>
  <si>
    <t>9869*10000</t>
  </si>
  <si>
    <t>2433*10000</t>
  </si>
  <si>
    <t>1335*10000</t>
  </si>
  <si>
    <t>8909*10000</t>
  </si>
  <si>
    <t>4989*10000</t>
  </si>
  <si>
    <t>2354*10000</t>
  </si>
  <si>
    <t>7133*10000</t>
  </si>
  <si>
    <t>2893*10000</t>
  </si>
  <si>
    <t>8098*10000</t>
  </si>
  <si>
    <t>2008*10000</t>
  </si>
  <si>
    <t>1054*10000</t>
  </si>
  <si>
    <t>7403*10000</t>
  </si>
  <si>
    <t>6272*10000</t>
  </si>
  <si>
    <t>2398*10000</t>
  </si>
  <si>
    <t>7080*10000</t>
  </si>
  <si>
    <t>5834*10000</t>
  </si>
  <si>
    <t>1955*10000</t>
  </si>
  <si>
    <t>3.607*100000000</t>
  </si>
  <si>
    <t>20.30*100000000</t>
  </si>
  <si>
    <t>9.272*100000000</t>
  </si>
  <si>
    <t>2.059*100000000</t>
  </si>
  <si>
    <t>9.085*100000000</t>
  </si>
  <si>
    <t>15.75*100000000</t>
  </si>
  <si>
    <t>6.678*100000000</t>
  </si>
  <si>
    <t>2269*10000</t>
  </si>
  <si>
    <t>1585*10000</t>
  </si>
  <si>
    <t>23.55*10000</t>
  </si>
  <si>
    <t>2076*10000</t>
  </si>
  <si>
    <t>4956*10000</t>
  </si>
  <si>
    <t>9225*10000</t>
  </si>
  <si>
    <t>6091*10000</t>
  </si>
  <si>
    <t>5762*10000</t>
  </si>
  <si>
    <t>5303*10000</t>
  </si>
  <si>
    <t>1683*10000</t>
  </si>
  <si>
    <t>208.1*10000</t>
  </si>
  <si>
    <t>1670*10000</t>
  </si>
  <si>
    <t>1649*10000</t>
  </si>
  <si>
    <t>9251*10000</t>
  </si>
  <si>
    <t>1517*10000</t>
  </si>
  <si>
    <t>1344*10000</t>
  </si>
  <si>
    <t>167.6*10000</t>
  </si>
  <si>
    <t>4488*10000</t>
  </si>
  <si>
    <t>1840*10000</t>
  </si>
  <si>
    <t>1919*10000</t>
  </si>
  <si>
    <t>5798*10000</t>
  </si>
  <si>
    <t>9.124*100000000</t>
  </si>
  <si>
    <t>9.759*100000000</t>
  </si>
  <si>
    <t>7.535*100000000</t>
  </si>
  <si>
    <t>8.169*100000000</t>
  </si>
  <si>
    <t>6.287*100000000</t>
  </si>
  <si>
    <t>7.958*100000000</t>
  </si>
  <si>
    <t>2.052*100000000</t>
  </si>
  <si>
    <t>9782*10000</t>
  </si>
  <si>
    <t>8551*10000</t>
  </si>
  <si>
    <t>2738*10000</t>
  </si>
  <si>
    <t>6238*10000</t>
  </si>
  <si>
    <t>3469*10000</t>
  </si>
  <si>
    <t>2310*10000</t>
  </si>
  <si>
    <t>1821*10000</t>
  </si>
  <si>
    <t>630.9*10000</t>
  </si>
  <si>
    <t>1868*10000</t>
  </si>
  <si>
    <t>2989*10000</t>
  </si>
  <si>
    <t>2112*10000</t>
  </si>
  <si>
    <t>637.6*10000</t>
  </si>
  <si>
    <t>8818*10000</t>
  </si>
  <si>
    <t>6861*10000</t>
  </si>
  <si>
    <t>9823*10000</t>
  </si>
  <si>
    <t>8931*10000</t>
  </si>
  <si>
    <t>6321*10000</t>
  </si>
  <si>
    <t>631.1*10000</t>
  </si>
  <si>
    <t>1914*10000</t>
  </si>
  <si>
    <t>2116*10000</t>
  </si>
  <si>
    <t>693.3*10000</t>
  </si>
  <si>
    <t>5988*10000</t>
  </si>
  <si>
    <t>4841*10000</t>
  </si>
  <si>
    <t>2219*10000</t>
  </si>
  <si>
    <t>7126*10000</t>
  </si>
  <si>
    <t>2793*10000</t>
  </si>
  <si>
    <t>1663*10000</t>
  </si>
  <si>
    <t>471.4*10000</t>
  </si>
  <si>
    <t>1698*10000</t>
  </si>
  <si>
    <t>2417*10000</t>
  </si>
  <si>
    <t>1618*10000</t>
  </si>
  <si>
    <t>408.9*10000</t>
  </si>
  <si>
    <t>9.957*100000000</t>
  </si>
  <si>
    <t>2.045*100000000</t>
  </si>
  <si>
    <t>6.103*100000000</t>
  </si>
  <si>
    <t>6.787*100000000</t>
  </si>
  <si>
    <t>5894*10000</t>
  </si>
  <si>
    <t>922.2*10000</t>
  </si>
  <si>
    <t>8509*10000</t>
  </si>
  <si>
    <t>5158*10000</t>
  </si>
  <si>
    <t>1591*10000</t>
  </si>
  <si>
    <t>6837*10000</t>
  </si>
  <si>
    <t>5652*10000</t>
  </si>
  <si>
    <t>3323*10000</t>
  </si>
  <si>
    <t>256.8*10000</t>
  </si>
  <si>
    <t>916.7*10000</t>
  </si>
  <si>
    <t>5161*10000</t>
  </si>
  <si>
    <t>7637*10000</t>
  </si>
  <si>
    <t>6468*10000</t>
  </si>
  <si>
    <t>191.4*10000</t>
  </si>
  <si>
    <t>8938*10000</t>
  </si>
  <si>
    <t>596.1*10000</t>
  </si>
  <si>
    <t>6786*10000</t>
  </si>
  <si>
    <t>4080*10000</t>
  </si>
  <si>
    <t>1231*10000</t>
  </si>
  <si>
    <t>3207*10000</t>
  </si>
  <si>
    <t>7.823*100000000</t>
  </si>
  <si>
    <t>7.356*100000000</t>
  </si>
  <si>
    <t>4.025*100000000</t>
  </si>
  <si>
    <t>4.518*100000000</t>
  </si>
  <si>
    <t>4.287*100000000</t>
  </si>
  <si>
    <t>1.206*100000000</t>
  </si>
  <si>
    <t>3.793*100000000</t>
  </si>
  <si>
    <t>4.199*100000000</t>
  </si>
  <si>
    <t>4.516*100000000</t>
  </si>
  <si>
    <t>2.350*100000000</t>
  </si>
  <si>
    <t>1.150*100000000</t>
  </si>
  <si>
    <t>9890*10000</t>
  </si>
  <si>
    <t>9603*10000</t>
  </si>
  <si>
    <t>3.250*100000000</t>
  </si>
  <si>
    <t>2.460*100000000</t>
  </si>
  <si>
    <t>171.3*100000000</t>
  </si>
  <si>
    <t>83.23*100000000</t>
  </si>
  <si>
    <t>75.73*100000000</t>
  </si>
  <si>
    <t>36.16*100000000</t>
  </si>
  <si>
    <t>148.6*100000000</t>
  </si>
  <si>
    <t>71.97*100000000</t>
  </si>
  <si>
    <t>27.12*100000000</t>
  </si>
  <si>
    <t>6.416*100000000</t>
  </si>
  <si>
    <t>2.635*100000000</t>
  </si>
  <si>
    <t>7.576*100000000</t>
  </si>
  <si>
    <t>7.093*100000000</t>
  </si>
  <si>
    <t>4.610*100000000</t>
  </si>
  <si>
    <t>4.855*100000000</t>
  </si>
  <si>
    <t>3.169*100000000</t>
  </si>
  <si>
    <t>7.547*100000000</t>
  </si>
  <si>
    <t>2.655*100000000</t>
  </si>
  <si>
    <t>9.176*100000000</t>
  </si>
  <si>
    <t>7.634*100000000</t>
  </si>
  <si>
    <t>5.001*100000000</t>
  </si>
  <si>
    <t>7.164*100000000</t>
  </si>
  <si>
    <t>4.852*100000000</t>
  </si>
  <si>
    <t>6.411*100000000</t>
  </si>
  <si>
    <t>5.476*100000000</t>
  </si>
  <si>
    <t>4.244*100000000</t>
  </si>
  <si>
    <t>7.649*100000000</t>
  </si>
  <si>
    <t>3.936*100000000</t>
  </si>
  <si>
    <t>7.609*100000000</t>
  </si>
  <si>
    <t>9.349*100000000</t>
  </si>
  <si>
    <t>9.512*100000000</t>
  </si>
  <si>
    <t>6.884*100000000</t>
  </si>
  <si>
    <t>2136*10000</t>
  </si>
  <si>
    <t>9281*10000</t>
  </si>
  <si>
    <t>8485*10000</t>
  </si>
  <si>
    <t>6006*10000</t>
  </si>
  <si>
    <t>2539*10000</t>
  </si>
  <si>
    <t>5097*10000</t>
  </si>
  <si>
    <t>1.891*100000000</t>
  </si>
  <si>
    <t>1933*10000</t>
  </si>
  <si>
    <t>2559*10000</t>
  </si>
  <si>
    <t>4393*10000</t>
  </si>
  <si>
    <t>7317*10000</t>
  </si>
  <si>
    <t>1.277*100000000</t>
  </si>
  <si>
    <t>1536*10000</t>
  </si>
  <si>
    <t>7300*10000</t>
  </si>
  <si>
    <t>5182*10000</t>
  </si>
  <si>
    <t>2143*10000</t>
  </si>
  <si>
    <t>1.964*100000000</t>
  </si>
  <si>
    <t>3.500*100000000</t>
  </si>
  <si>
    <t>4528*10000</t>
  </si>
  <si>
    <t>3.399*100000000</t>
  </si>
  <si>
    <t>4704*10000</t>
  </si>
  <si>
    <t>4642*10000</t>
  </si>
  <si>
    <t>6531*10000</t>
  </si>
  <si>
    <t>448.8*10000</t>
  </si>
  <si>
    <t>5640*10000</t>
  </si>
  <si>
    <t>3721*10000</t>
  </si>
  <si>
    <t>200.7*10000</t>
  </si>
  <si>
    <t>7968*10000</t>
  </si>
  <si>
    <t>4630*10000</t>
  </si>
  <si>
    <t>6498*10000</t>
  </si>
  <si>
    <t>3508*10000</t>
  </si>
  <si>
    <t>3945*10000</t>
  </si>
  <si>
    <t>428.8*10000</t>
  </si>
  <si>
    <t>3743*10000</t>
  </si>
  <si>
    <t>219.4*10000</t>
  </si>
  <si>
    <t>149.1*10000</t>
  </si>
  <si>
    <t>6119*10000</t>
  </si>
  <si>
    <t>3361*10000</t>
  </si>
  <si>
    <t>95.40*10000</t>
  </si>
  <si>
    <t>3652*10000</t>
  </si>
  <si>
    <t>466.6*10000</t>
  </si>
  <si>
    <t>1.171*100000000</t>
  </si>
  <si>
    <t>5394*10000</t>
  </si>
  <si>
    <t>232.6*10000</t>
  </si>
  <si>
    <t>16.99*100000000</t>
  </si>
  <si>
    <t>6.578*100000000</t>
  </si>
  <si>
    <t>22.96*100000000</t>
  </si>
  <si>
    <t>8.646*100000000</t>
  </si>
  <si>
    <t>3.293*100000000</t>
  </si>
  <si>
    <t>8.098*100000000</t>
  </si>
  <si>
    <t>8.483*100000000</t>
  </si>
  <si>
    <t>4.331*100000000</t>
  </si>
  <si>
    <t>7.476*100000000</t>
  </si>
  <si>
    <t>2.285*100000000</t>
  </si>
  <si>
    <t>1.255*100000000</t>
  </si>
  <si>
    <t>8625*10000</t>
  </si>
  <si>
    <t>18.12*100000000</t>
  </si>
  <si>
    <t>8.642*100000000</t>
  </si>
  <si>
    <t>7.481*100000000</t>
  </si>
  <si>
    <t>8620*10000</t>
  </si>
  <si>
    <t>7.395*100000000</t>
  </si>
  <si>
    <t>6.021*100000000</t>
  </si>
  <si>
    <t>4.152*100000000</t>
  </si>
  <si>
    <t>7.807*100000000</t>
  </si>
  <si>
    <t>5.422*100000000</t>
  </si>
  <si>
    <t>7370*10000</t>
  </si>
  <si>
    <t>34.85*100000000</t>
  </si>
  <si>
    <t>27.42*100000000</t>
  </si>
  <si>
    <t>7.398*100000000</t>
  </si>
  <si>
    <t>5.057*100000000</t>
  </si>
  <si>
    <t>7.776*100000000</t>
  </si>
  <si>
    <t>3.800*100000000</t>
  </si>
  <si>
    <t>5.427*100000000</t>
  </si>
  <si>
    <t>8.527*100000000</t>
  </si>
  <si>
    <t>4.975*100000000</t>
  </si>
  <si>
    <t>7.850*100000000</t>
  </si>
  <si>
    <t>5.202*100000000</t>
  </si>
  <si>
    <t>8.485*100000000</t>
  </si>
  <si>
    <t>4.933*100000000</t>
  </si>
  <si>
    <t>7.849*100000000</t>
  </si>
  <si>
    <t>4.193*100000000</t>
  </si>
  <si>
    <t>8.619*100000000</t>
  </si>
  <si>
    <t>9.184*100000000</t>
  </si>
  <si>
    <t>22.00*100000000</t>
  </si>
  <si>
    <t>9.749*100000000</t>
  </si>
  <si>
    <t>21.52*100000000</t>
  </si>
  <si>
    <t>9.972*100000000</t>
  </si>
  <si>
    <t>3.496*100000000</t>
  </si>
  <si>
    <t>9227*10000</t>
  </si>
  <si>
    <t>6.078*100000000</t>
  </si>
  <si>
    <t>3.479*100000000</t>
  </si>
  <si>
    <t>8170*10000</t>
  </si>
  <si>
    <t>5.086*100000000</t>
  </si>
  <si>
    <t>4.168*100000000</t>
  </si>
  <si>
    <t>7040*10000</t>
  </si>
  <si>
    <t>6.069*100000000</t>
  </si>
  <si>
    <t>8489*10000</t>
  </si>
  <si>
    <t>2.088*100000000</t>
  </si>
  <si>
    <t>7757*10000</t>
  </si>
  <si>
    <t>5.166*100000000</t>
  </si>
  <si>
    <t>2.890*100000000</t>
  </si>
  <si>
    <t>2.434*100000000</t>
  </si>
  <si>
    <t>6913*10000</t>
  </si>
  <si>
    <t>5679*10000</t>
  </si>
  <si>
    <t>14.54*100000000</t>
  </si>
  <si>
    <t>7.202*100000000</t>
  </si>
  <si>
    <t>8.114*100000000</t>
  </si>
  <si>
    <t>5668*10000</t>
  </si>
  <si>
    <t>3251*10000</t>
  </si>
  <si>
    <t>48.56*10000</t>
  </si>
  <si>
    <t>4320*10000</t>
  </si>
  <si>
    <t>2812*10000</t>
  </si>
  <si>
    <t>1328*10000</t>
  </si>
  <si>
    <t>7130*10000</t>
  </si>
  <si>
    <t>3371*10000</t>
  </si>
  <si>
    <t>1261*10000</t>
  </si>
  <si>
    <t>2.666*100000000</t>
  </si>
  <si>
    <t>2.966*100000000</t>
  </si>
  <si>
    <t>2.368*100000000</t>
  </si>
  <si>
    <t>3967*10000</t>
  </si>
  <si>
    <t>3705*10000</t>
  </si>
  <si>
    <t>2410*10000</t>
  </si>
  <si>
    <t>1115*10000</t>
  </si>
  <si>
    <t>5997*10000</t>
  </si>
  <si>
    <t>4905*10000</t>
  </si>
  <si>
    <t>2820*10000</t>
  </si>
  <si>
    <t>1066*10000</t>
  </si>
  <si>
    <t>8.793*100000000</t>
  </si>
  <si>
    <t>3.238*100000000</t>
  </si>
  <si>
    <t>1.210*100000000</t>
  </si>
  <si>
    <t>8.088*100000000</t>
  </si>
  <si>
    <t>2.198*100000000</t>
  </si>
  <si>
    <t>2.128*100000000</t>
  </si>
  <si>
    <t>5245*10000</t>
  </si>
  <si>
    <t>4481*10000</t>
  </si>
  <si>
    <t>5698*10000</t>
  </si>
  <si>
    <t>1.904*100000000</t>
  </si>
  <si>
    <t>9807*10000</t>
  </si>
  <si>
    <t>5949*10000</t>
  </si>
  <si>
    <t>2886*10000</t>
  </si>
  <si>
    <t>5045*10000</t>
  </si>
  <si>
    <t>2.079*100000000</t>
  </si>
  <si>
    <t>4442*10000</t>
  </si>
  <si>
    <t>5690*10000</t>
  </si>
  <si>
    <t>9635*10000</t>
  </si>
  <si>
    <t>5876*10000</t>
  </si>
  <si>
    <t>1.024*100000000</t>
  </si>
  <si>
    <t>1.735*100000000</t>
  </si>
  <si>
    <t>9354*10000</t>
  </si>
  <si>
    <t>3454*10000</t>
  </si>
  <si>
    <t>4173*10000</t>
  </si>
  <si>
    <t>4224*10000</t>
  </si>
  <si>
    <t>2031*10000</t>
  </si>
  <si>
    <t>48.65*100000000</t>
  </si>
  <si>
    <t>32.24*100000000</t>
  </si>
  <si>
    <t>23.88*100000000</t>
  </si>
  <si>
    <t>32.09*100000000</t>
  </si>
  <si>
    <t>7.604*100000000</t>
  </si>
  <si>
    <t>7098*10000</t>
  </si>
  <si>
    <t>7412*10000</t>
  </si>
  <si>
    <t>5897*10000</t>
  </si>
  <si>
    <t>3474*10000</t>
  </si>
  <si>
    <t>7555*10000</t>
  </si>
  <si>
    <t>1313*10000</t>
  </si>
  <si>
    <t>7382*10000</t>
  </si>
  <si>
    <t>6056*10000</t>
  </si>
  <si>
    <t>3583*10000</t>
  </si>
  <si>
    <t>2420*10000</t>
  </si>
  <si>
    <t>5317*10000</t>
  </si>
  <si>
    <t>8793*10000</t>
  </si>
  <si>
    <t>5336*10000</t>
  </si>
  <si>
    <t>5998*10000</t>
  </si>
  <si>
    <t>6237*10000</t>
  </si>
  <si>
    <t>3027*10000</t>
  </si>
  <si>
    <t>1912*10000</t>
  </si>
  <si>
    <t>9277*10000</t>
  </si>
  <si>
    <t>6801*10000</t>
  </si>
  <si>
    <t>1330*10000</t>
  </si>
  <si>
    <t>9356*10000</t>
  </si>
  <si>
    <t>7124*10000</t>
  </si>
  <si>
    <t>4311*10000</t>
  </si>
  <si>
    <t>2149*10000</t>
  </si>
  <si>
    <t>9.263*100000000</t>
  </si>
  <si>
    <t>4.982*100000000</t>
  </si>
  <si>
    <t>8.561*100000000</t>
  </si>
  <si>
    <t>1.164*100000000</t>
  </si>
  <si>
    <t>4554*10000</t>
  </si>
  <si>
    <t>1.933*100000000</t>
  </si>
  <si>
    <t>7819*10000</t>
  </si>
  <si>
    <t>7445*10000</t>
  </si>
  <si>
    <t>1.909*100000000</t>
  </si>
  <si>
    <t>1.207*100000000</t>
  </si>
  <si>
    <t>4340*10000</t>
  </si>
  <si>
    <t>7770*10000</t>
  </si>
  <si>
    <t>3340*10000</t>
  </si>
  <si>
    <t>3908*10000</t>
  </si>
  <si>
    <t>8175*10000</t>
  </si>
  <si>
    <t>3066*10000</t>
  </si>
  <si>
    <t>2709*10000</t>
  </si>
  <si>
    <t>8.470*100000000</t>
  </si>
  <si>
    <t>5.218*100000000</t>
  </si>
  <si>
    <t>28.12*100000000</t>
  </si>
  <si>
    <t>8.334*100000000</t>
  </si>
  <si>
    <t>4.107*100000000</t>
  </si>
  <si>
    <t>3.961*100000000</t>
  </si>
  <si>
    <t>6259*10000</t>
  </si>
  <si>
    <t>4.085*100000000</t>
  </si>
  <si>
    <t>1887*10000</t>
  </si>
  <si>
    <t>2478*10000</t>
  </si>
  <si>
    <t>6197*10000</t>
  </si>
  <si>
    <t>1374*10000</t>
  </si>
  <si>
    <t>4409*10000</t>
  </si>
  <si>
    <t>24.98*100000000</t>
  </si>
  <si>
    <t>4.687*100000000</t>
  </si>
  <si>
    <t>7.030*100000000</t>
  </si>
  <si>
    <t>6538*10000</t>
  </si>
  <si>
    <t>6700*10000</t>
  </si>
  <si>
    <t>3134*10000</t>
  </si>
  <si>
    <t>2797*10000</t>
  </si>
  <si>
    <t>6476*10000</t>
  </si>
  <si>
    <t>7460*10000</t>
  </si>
  <si>
    <t>1.156*100000000</t>
  </si>
  <si>
    <t>1.032*100000000</t>
  </si>
  <si>
    <t>6467*10000</t>
  </si>
  <si>
    <t>6390*10000</t>
  </si>
  <si>
    <t>4934*10000</t>
  </si>
  <si>
    <t>3228*10000</t>
  </si>
  <si>
    <t>3324*10000</t>
  </si>
  <si>
    <t>1039*10000</t>
  </si>
  <si>
    <t>6684*10000</t>
  </si>
  <si>
    <t>7270*10000</t>
  </si>
  <si>
    <t>5230*10000</t>
  </si>
  <si>
    <t>1.060*100000000</t>
  </si>
  <si>
    <t>9319*10000</t>
  </si>
  <si>
    <t>5882*10000</t>
  </si>
  <si>
    <t>2340*10000</t>
  </si>
  <si>
    <t>5984*10000</t>
  </si>
  <si>
    <t>2960*10000</t>
  </si>
  <si>
    <t>2359*10000</t>
  </si>
  <si>
    <t>867.8*10000</t>
  </si>
  <si>
    <t>8.259*100000000</t>
  </si>
  <si>
    <t>5.755*100000000</t>
  </si>
  <si>
    <t>4.239*100000000</t>
  </si>
  <si>
    <t>8458*10000</t>
  </si>
  <si>
    <t>9682*10000</t>
  </si>
  <si>
    <t>1.948*100000000</t>
  </si>
  <si>
    <t>8580*10000</t>
  </si>
  <si>
    <t>9255*10000</t>
  </si>
  <si>
    <t>7301*10000</t>
  </si>
  <si>
    <t>2752*10000</t>
  </si>
  <si>
    <t>9109*10000</t>
  </si>
  <si>
    <t>7538*10000</t>
  </si>
  <si>
    <t>5029*10000</t>
  </si>
  <si>
    <t>2009*10000</t>
  </si>
  <si>
    <t>1775*10000</t>
  </si>
  <si>
    <t>6695*10000</t>
  </si>
  <si>
    <t>5577*10000</t>
  </si>
  <si>
    <t>3997*10000</t>
  </si>
  <si>
    <t>1937*10000</t>
  </si>
  <si>
    <t>7420*10000</t>
  </si>
  <si>
    <t>6768*10000</t>
  </si>
  <si>
    <t>5179*10000</t>
  </si>
  <si>
    <t>6688*10000</t>
  </si>
  <si>
    <t>5604*10000</t>
  </si>
  <si>
    <t>4024*10000</t>
  </si>
  <si>
    <t>8225*10000</t>
  </si>
  <si>
    <t>6549*10000</t>
  </si>
  <si>
    <t>7914*10000</t>
  </si>
  <si>
    <t>6555*10000</t>
  </si>
  <si>
    <t>1817*10000</t>
  </si>
  <si>
    <t>6160*10000</t>
  </si>
  <si>
    <t>4699*10000</t>
  </si>
  <si>
    <t>3618*10000</t>
  </si>
  <si>
    <t>1.542*100000000</t>
  </si>
  <si>
    <t>8412*10000</t>
  </si>
  <si>
    <t>8835*10000</t>
  </si>
  <si>
    <t>3984*10000</t>
  </si>
  <si>
    <t>3734*10000</t>
  </si>
  <si>
    <t>3578*10000</t>
  </si>
  <si>
    <t>2252*10000</t>
  </si>
  <si>
    <t>492.6*10000</t>
  </si>
  <si>
    <t>3584*10000</t>
  </si>
  <si>
    <t>3076*10000</t>
  </si>
  <si>
    <t>1898*10000</t>
  </si>
  <si>
    <t>409.6*10000</t>
  </si>
  <si>
    <t>3896*10000</t>
  </si>
  <si>
    <t>1867*10000</t>
  </si>
  <si>
    <t>558.5*10000</t>
  </si>
  <si>
    <t>3858*10000</t>
  </si>
  <si>
    <t>2166*10000</t>
  </si>
  <si>
    <t>579.8*10000</t>
  </si>
  <si>
    <t>3725*10000</t>
  </si>
  <si>
    <t>3558*10000</t>
  </si>
  <si>
    <t>492.3*10000</t>
  </si>
  <si>
    <t>2964*10000</t>
  </si>
  <si>
    <t>388.4*10000</t>
  </si>
  <si>
    <t>4339*10000</t>
  </si>
  <si>
    <t>3865*10000</t>
  </si>
  <si>
    <t>1902*10000</t>
  </si>
  <si>
    <t>419.5*10000</t>
  </si>
  <si>
    <t>3042*10000</t>
  </si>
  <si>
    <t>342.6*10000</t>
  </si>
  <si>
    <t>3544*10000</t>
  </si>
  <si>
    <t>1564*10000</t>
  </si>
  <si>
    <t>467.5*10000</t>
  </si>
  <si>
    <t>3677*10000</t>
  </si>
  <si>
    <t>1831*10000</t>
  </si>
  <si>
    <t>468.4*10000</t>
  </si>
  <si>
    <t>6.664*100000000</t>
  </si>
  <si>
    <t>16.46*100000000</t>
  </si>
  <si>
    <t>3.804*100000000</t>
  </si>
  <si>
    <t>3.282*100000000</t>
  </si>
  <si>
    <t>5775*10000</t>
  </si>
  <si>
    <t>5.083*100000000</t>
  </si>
  <si>
    <t>3.820*100000000</t>
  </si>
  <si>
    <t>5803*10000</t>
  </si>
  <si>
    <t>2.584*100000000</t>
  </si>
  <si>
    <t>6236*10000</t>
  </si>
  <si>
    <t>4.176*100000000</t>
  </si>
  <si>
    <t>3.824*100000000</t>
  </si>
  <si>
    <t>2.817*100000000</t>
  </si>
  <si>
    <t>4425*10000</t>
  </si>
  <si>
    <t>8280*10000</t>
  </si>
  <si>
    <t>13.39*100000000</t>
  </si>
  <si>
    <t>9.183*100000000</t>
  </si>
  <si>
    <t>9.281*100000000</t>
  </si>
  <si>
    <t>5.592*100000000</t>
  </si>
  <si>
    <t>6.608*100000000</t>
  </si>
  <si>
    <t>8511*10000</t>
  </si>
  <si>
    <t>8.724*100000000</t>
  </si>
  <si>
    <t>7.151*100000000</t>
  </si>
  <si>
    <t>1213*10000</t>
  </si>
  <si>
    <t>1258*10000</t>
  </si>
  <si>
    <t>5505*10000</t>
  </si>
  <si>
    <t>3820*10000</t>
  </si>
  <si>
    <t>3285*10000</t>
  </si>
  <si>
    <t>2227*10000</t>
  </si>
  <si>
    <t>1286*10000</t>
  </si>
  <si>
    <t>5204*10000</t>
  </si>
  <si>
    <t>2345*10000</t>
  </si>
  <si>
    <t>3341*10000</t>
  </si>
  <si>
    <t>2736*10000</t>
  </si>
  <si>
    <t>1508*10000</t>
  </si>
  <si>
    <t>4783*10000</t>
  </si>
  <si>
    <t>3654*10000</t>
  </si>
  <si>
    <t>2937*10000</t>
  </si>
  <si>
    <t>34.92*100000000</t>
  </si>
  <si>
    <t>7.860*100000000</t>
  </si>
  <si>
    <t>5.746*100000000</t>
  </si>
  <si>
    <t>4.432*100000000</t>
  </si>
  <si>
    <t>5.646*100000000</t>
  </si>
  <si>
    <t>3.945*100000000</t>
  </si>
  <si>
    <t>5.293*100000000</t>
  </si>
  <si>
    <t>2.064*100000000</t>
  </si>
  <si>
    <t>3.946*100000000</t>
  </si>
  <si>
    <t>4.924*100000000</t>
  </si>
  <si>
    <t>1.903*100000000</t>
  </si>
  <si>
    <t>4.559*100000000</t>
  </si>
  <si>
    <t>7.890*100000000</t>
  </si>
  <si>
    <t>4.522*100000000</t>
  </si>
  <si>
    <t>3.212*100000000</t>
  </si>
  <si>
    <t>8.637*100000000</t>
  </si>
  <si>
    <t>2.959*100000000</t>
  </si>
  <si>
    <t>8128*10000</t>
  </si>
  <si>
    <t>5491*10000</t>
  </si>
  <si>
    <t>1.839*100000000</t>
  </si>
  <si>
    <t>3701*10000</t>
  </si>
  <si>
    <t>4.707*100000000</t>
  </si>
  <si>
    <t>5462*10000</t>
  </si>
  <si>
    <t>6734*10000</t>
  </si>
  <si>
    <t>1.689*100000000</t>
  </si>
  <si>
    <t>9939*10000</t>
  </si>
  <si>
    <t>4831*10000</t>
  </si>
  <si>
    <t>7521*10000</t>
  </si>
  <si>
    <t>33.87*100000000</t>
  </si>
  <si>
    <t>50.52*100000000</t>
  </si>
  <si>
    <t>35.22*100000000</t>
  </si>
  <si>
    <t>6.714*100000000</t>
  </si>
  <si>
    <t>36.90*100000000</t>
  </si>
  <si>
    <t>25.68*100000000</t>
  </si>
  <si>
    <t>30.24*100000000</t>
  </si>
  <si>
    <t>3.248*100000000</t>
  </si>
  <si>
    <t>4.294*100000000</t>
  </si>
  <si>
    <t>9774*10000</t>
  </si>
  <si>
    <t>5.224*100000000</t>
  </si>
  <si>
    <t>6073*10000</t>
  </si>
  <si>
    <t>1.336*100000000</t>
  </si>
  <si>
    <t>2437*10000</t>
  </si>
  <si>
    <t>7.382*100000000</t>
  </si>
  <si>
    <t>7.115*100000000</t>
  </si>
  <si>
    <t>9343*10000</t>
  </si>
  <si>
    <t>5.177*100000000</t>
  </si>
  <si>
    <t>2.095*100000000</t>
  </si>
  <si>
    <t>6297*10000</t>
  </si>
  <si>
    <t>2342*10000</t>
  </si>
  <si>
    <t>6.134*100000000</t>
  </si>
  <si>
    <t>8051*10000</t>
  </si>
  <si>
    <t>4943*10000</t>
  </si>
  <si>
    <t>5627*10000</t>
  </si>
  <si>
    <t>2028*10000</t>
  </si>
  <si>
    <t>58.87*100000000</t>
  </si>
  <si>
    <t>42.65*100000000</t>
  </si>
  <si>
    <t>40.77*100000000</t>
  </si>
  <si>
    <t>29.03*100000000</t>
  </si>
  <si>
    <t>30.87*100000000</t>
  </si>
  <si>
    <t>20.69*100000000</t>
  </si>
  <si>
    <t>25.53*100000000</t>
  </si>
  <si>
    <t>5.367*100000000</t>
  </si>
  <si>
    <t>2.832*100000000</t>
  </si>
  <si>
    <t>2.785*100000000</t>
  </si>
  <si>
    <t>2.264*100000000</t>
  </si>
  <si>
    <t>4788*10000</t>
  </si>
  <si>
    <t>3.395*100000000</t>
  </si>
  <si>
    <t>2.834*100000000</t>
  </si>
  <si>
    <t>8459*10000</t>
  </si>
  <si>
    <t>8104*10000</t>
  </si>
  <si>
    <t>2.390*100000000</t>
  </si>
  <si>
    <t>4772*10000</t>
  </si>
  <si>
    <t>6463*10000</t>
  </si>
  <si>
    <t>9901*10000</t>
  </si>
  <si>
    <t>4002*10000</t>
  </si>
  <si>
    <t>3.965*100000000</t>
  </si>
  <si>
    <t>6.899*100000000</t>
  </si>
  <si>
    <t>7.867*100000000</t>
  </si>
  <si>
    <t>3.723*100000000</t>
  </si>
  <si>
    <t>7.626*100000000</t>
  </si>
  <si>
    <t>3.673*100000000</t>
  </si>
  <si>
    <t>170.0*10000</t>
  </si>
  <si>
    <t>956.4*10000</t>
  </si>
  <si>
    <t>1087*10000</t>
  </si>
  <si>
    <t>5784*10000</t>
  </si>
  <si>
    <t>3845*10000</t>
  </si>
  <si>
    <t>2494*10000</t>
  </si>
  <si>
    <t>928.4*10000</t>
  </si>
  <si>
    <t>9272*10000</t>
  </si>
  <si>
    <t>7804*10000</t>
  </si>
  <si>
    <t>4669*10000</t>
  </si>
  <si>
    <t>7528*10000</t>
  </si>
  <si>
    <t>5092*10000</t>
  </si>
  <si>
    <t>92.41*10000</t>
  </si>
  <si>
    <t>909.8*10000</t>
  </si>
  <si>
    <t>5666*10000</t>
  </si>
  <si>
    <t>3834*10000</t>
  </si>
  <si>
    <t>2488*10000</t>
  </si>
  <si>
    <t>923.6*10000</t>
  </si>
  <si>
    <t>7786*10000</t>
  </si>
  <si>
    <t>4676*10000</t>
  </si>
  <si>
    <t>2714*10000</t>
  </si>
  <si>
    <t>7700*10000</t>
  </si>
  <si>
    <t>5185*10000</t>
  </si>
  <si>
    <t>3013*10000</t>
  </si>
  <si>
    <t>66.63*10000</t>
  </si>
  <si>
    <t>705.4*10000</t>
  </si>
  <si>
    <t>782.1*10000</t>
  </si>
  <si>
    <t>694.7*10000</t>
  </si>
  <si>
    <t>6884*10000</t>
  </si>
  <si>
    <t>5936*10000</t>
  </si>
  <si>
    <t>2019*10000</t>
  </si>
  <si>
    <t>6838*10000</t>
  </si>
  <si>
    <t>5759*10000</t>
  </si>
  <si>
    <t>3877*10000</t>
  </si>
  <si>
    <t>2224*10000</t>
  </si>
  <si>
    <t>3.532*100000000</t>
  </si>
  <si>
    <t>8595*10000</t>
  </si>
  <si>
    <t>6826*10000</t>
  </si>
  <si>
    <t>3.852*100000000</t>
  </si>
  <si>
    <t>2.782*100000000</t>
  </si>
  <si>
    <t>6969*10000</t>
  </si>
  <si>
    <t>477.9*10000</t>
  </si>
  <si>
    <t>1897*10000</t>
  </si>
  <si>
    <t>4979*10000</t>
  </si>
  <si>
    <t>1953*10000</t>
  </si>
  <si>
    <t>535.3*10000</t>
  </si>
  <si>
    <t>7576*10000</t>
  </si>
  <si>
    <t>4063*10000</t>
  </si>
  <si>
    <t>1540*10000</t>
  </si>
  <si>
    <t>4025*10000</t>
  </si>
  <si>
    <t>2256*10000</t>
  </si>
  <si>
    <t>600.8*10000</t>
  </si>
  <si>
    <t>6754*10000</t>
  </si>
  <si>
    <t>6020*10000</t>
  </si>
  <si>
    <t>605.3*10000</t>
  </si>
  <si>
    <t>9099*10000</t>
  </si>
  <si>
    <t>7816*10000</t>
  </si>
  <si>
    <t>3534*10000</t>
  </si>
  <si>
    <t>1158*10000</t>
  </si>
  <si>
    <t>19.09*10000</t>
  </si>
  <si>
    <t>4057*10000</t>
  </si>
  <si>
    <t>1705*10000</t>
  </si>
  <si>
    <t>296.5*10000</t>
  </si>
  <si>
    <t>6063*10000</t>
  </si>
  <si>
    <t>5026*10000</t>
  </si>
  <si>
    <t>338.1*10000</t>
  </si>
  <si>
    <t>8039*10000</t>
  </si>
  <si>
    <t>6557*10000</t>
  </si>
  <si>
    <t>5.606*100000000</t>
  </si>
  <si>
    <t>8.540*100000000</t>
  </si>
  <si>
    <t>5.629*100000000</t>
  </si>
  <si>
    <t>8585*10000</t>
  </si>
  <si>
    <t>5409*10000</t>
  </si>
  <si>
    <t>8043*10000</t>
  </si>
  <si>
    <t>4665*10000</t>
  </si>
  <si>
    <t>1265*10000</t>
  </si>
  <si>
    <t>9978*10000</t>
  </si>
  <si>
    <t>8877*10000</t>
  </si>
  <si>
    <t>1741*10000</t>
  </si>
  <si>
    <t>8755*10000</t>
  </si>
  <si>
    <t>8784*10000</t>
  </si>
  <si>
    <t>6373*10000</t>
  </si>
  <si>
    <t>9388*10000</t>
  </si>
  <si>
    <t>4878*10000</t>
  </si>
  <si>
    <t>4559*10000</t>
  </si>
  <si>
    <t>1502*10000</t>
  </si>
  <si>
    <t>7491*10000</t>
  </si>
  <si>
    <t>1083*10000</t>
  </si>
  <si>
    <t>89.96*100000000</t>
  </si>
  <si>
    <t>62.95*100000000</t>
  </si>
  <si>
    <t>17.39*100000000</t>
  </si>
  <si>
    <t>52.81*100000000</t>
  </si>
  <si>
    <t>8.187*100000000</t>
  </si>
  <si>
    <t>35.01*100000000</t>
  </si>
  <si>
    <t>9.233*100000000</t>
  </si>
  <si>
    <t>8.260*100000000</t>
  </si>
  <si>
    <t>7.647*100000000</t>
  </si>
  <si>
    <t>20.29*100000000</t>
  </si>
  <si>
    <t>3.944*100000000</t>
  </si>
  <si>
    <t>8.155*100000000</t>
  </si>
  <si>
    <t>5.119*100000000</t>
  </si>
  <si>
    <t>3.047*100000000</t>
  </si>
  <si>
    <t>7.269*100000000</t>
  </si>
  <si>
    <t>6.791*100000000</t>
  </si>
  <si>
    <t>6.007*100000000</t>
  </si>
  <si>
    <t>40.00*100000000</t>
  </si>
  <si>
    <t>9.491*100000000</t>
  </si>
  <si>
    <t>24.28*100000000</t>
  </si>
  <si>
    <t>8.557*100000000</t>
  </si>
  <si>
    <t>3.551*100000000</t>
  </si>
  <si>
    <t>8599*10000</t>
  </si>
  <si>
    <t>8558*10000</t>
  </si>
  <si>
    <t>8970*10000</t>
  </si>
  <si>
    <t>8212*10000</t>
  </si>
  <si>
    <t>5939*10000</t>
  </si>
  <si>
    <t>1.266*100000000</t>
  </si>
  <si>
    <t>9617*10000</t>
  </si>
  <si>
    <t>8991*10000</t>
  </si>
  <si>
    <t>8257*10000</t>
  </si>
  <si>
    <t>5980*10000</t>
  </si>
  <si>
    <t>8806*10000</t>
  </si>
  <si>
    <t>3479*10000</t>
  </si>
  <si>
    <t>6749*10000</t>
  </si>
  <si>
    <t>7587*10000</t>
  </si>
  <si>
    <t>1362*10000</t>
  </si>
  <si>
    <t>7730*10000</t>
  </si>
  <si>
    <t>7180*10000</t>
  </si>
  <si>
    <t>1732*10000</t>
  </si>
  <si>
    <t>4.897*100000000</t>
  </si>
  <si>
    <t>7.797*100000000</t>
  </si>
  <si>
    <t>2.920*100000000</t>
  </si>
  <si>
    <t>9831*10000</t>
  </si>
  <si>
    <t>8179*10000</t>
  </si>
  <si>
    <t>5404*10000</t>
  </si>
  <si>
    <t>2212*10000</t>
  </si>
  <si>
    <t>6288*10000</t>
  </si>
  <si>
    <t>5799*10000</t>
  </si>
  <si>
    <t>3507*10000</t>
  </si>
  <si>
    <t>9155*10000</t>
  </si>
  <si>
    <t>4644*10000</t>
  </si>
  <si>
    <t>9802*10000</t>
  </si>
  <si>
    <t>6334*10000</t>
  </si>
  <si>
    <t>4811*10000</t>
  </si>
  <si>
    <t>9624*10000</t>
  </si>
  <si>
    <t>2135*10000</t>
  </si>
  <si>
    <t>6150*10000</t>
  </si>
  <si>
    <t>5774*10000</t>
  </si>
  <si>
    <t>3505*10000</t>
  </si>
  <si>
    <t>9035*10000</t>
  </si>
  <si>
    <t>6823*10000</t>
  </si>
  <si>
    <t>4548*10000</t>
  </si>
  <si>
    <t>9737*10000</t>
  </si>
  <si>
    <t>6279*10000</t>
  </si>
  <si>
    <t>8891*10000</t>
  </si>
  <si>
    <t>7554*10000</t>
  </si>
  <si>
    <t>4981*10000</t>
  </si>
  <si>
    <t>2037*10000</t>
  </si>
  <si>
    <t>5103*10000</t>
  </si>
  <si>
    <t>3069*10000</t>
  </si>
  <si>
    <t>1112*10000</t>
  </si>
  <si>
    <t>7632*10000</t>
  </si>
  <si>
    <t>3669*10000</t>
  </si>
  <si>
    <t>1876*10000</t>
  </si>
  <si>
    <t>7769*10000</t>
  </si>
  <si>
    <t>5210*10000</t>
  </si>
  <si>
    <t>3789*10000</t>
  </si>
  <si>
    <t>47.34*100000000</t>
  </si>
  <si>
    <t>35.97*100000000</t>
  </si>
  <si>
    <t>6.049*100000000</t>
  </si>
  <si>
    <t>25.69*100000000</t>
  </si>
  <si>
    <t>4.643*100000000</t>
  </si>
  <si>
    <t>9.788*100000000</t>
  </si>
  <si>
    <t>6.786*100000000</t>
  </si>
  <si>
    <t>7.644*100000000</t>
  </si>
  <si>
    <t>8473*10000</t>
  </si>
  <si>
    <t>2.630*100000000</t>
  </si>
  <si>
    <t>6724*10000</t>
  </si>
  <si>
    <t>9.623*100000000</t>
  </si>
  <si>
    <t>3.157*100000000</t>
  </si>
  <si>
    <t>7.638*100000000</t>
  </si>
  <si>
    <t>8480*10000</t>
  </si>
  <si>
    <t>2.629*100000000</t>
  </si>
  <si>
    <t>8981*10000</t>
  </si>
  <si>
    <t>6705*10000</t>
  </si>
  <si>
    <t>9.767*100000000</t>
  </si>
  <si>
    <t>4.377*100000000</t>
  </si>
  <si>
    <t>6899*10000</t>
  </si>
  <si>
    <t>3.357*100000000</t>
  </si>
  <si>
    <t>2.528*100000000</t>
  </si>
  <si>
    <t>5388*10000</t>
  </si>
  <si>
    <t>6.985*100000000</t>
  </si>
  <si>
    <t>9.314*100000000</t>
  </si>
  <si>
    <t>4.304*100000000</t>
  </si>
  <si>
    <t>8.809*100000000</t>
  </si>
  <si>
    <t>3.951*100000000</t>
  </si>
  <si>
    <t>3969*10000</t>
  </si>
  <si>
    <t>974.0*10000</t>
  </si>
  <si>
    <t>139.2*10000</t>
  </si>
  <si>
    <t>2400*10000</t>
  </si>
  <si>
    <t>1788*10000</t>
  </si>
  <si>
    <t>1568*10000</t>
  </si>
  <si>
    <t>529.5*10000</t>
  </si>
  <si>
    <t>3871*10000</t>
  </si>
  <si>
    <t>3052*10000</t>
  </si>
  <si>
    <t>957.6*10000</t>
  </si>
  <si>
    <t>109.2*10000</t>
  </si>
  <si>
    <t>2107*10000</t>
  </si>
  <si>
    <t>1946*10000</t>
  </si>
  <si>
    <t>569.7*10000</t>
  </si>
  <si>
    <t>3253*10000</t>
  </si>
  <si>
    <t>341.6*10000</t>
  </si>
  <si>
    <t>322.7*10000</t>
  </si>
  <si>
    <t>443.4*10000</t>
  </si>
  <si>
    <t>81.11*10000</t>
  </si>
  <si>
    <t>2536*10000</t>
  </si>
  <si>
    <t>1952*10000</t>
  </si>
  <si>
    <t>1828*10000</t>
  </si>
  <si>
    <t>497.8*10000</t>
  </si>
  <si>
    <t>57.02*100000000</t>
  </si>
  <si>
    <t>42.27*100000000</t>
  </si>
  <si>
    <t>54.43*100000000</t>
  </si>
  <si>
    <t>42.28*100000000</t>
  </si>
  <si>
    <t>4.546*100000000</t>
  </si>
  <si>
    <t>6834*10000</t>
  </si>
  <si>
    <t>5.049*100000000</t>
  </si>
  <si>
    <t>2.631*100000000</t>
  </si>
  <si>
    <t>6800*10000</t>
  </si>
  <si>
    <t>1.749*100000000</t>
  </si>
  <si>
    <t>9661*10000</t>
  </si>
  <si>
    <t>3.888*100000000</t>
  </si>
  <si>
    <t>4.069*100000000</t>
  </si>
  <si>
    <t>2.163*100000000</t>
  </si>
  <si>
    <t>5830*10000</t>
  </si>
  <si>
    <t>8228*10000</t>
  </si>
  <si>
    <t>47.64*100000000</t>
  </si>
  <si>
    <t>29.79*100000000</t>
  </si>
  <si>
    <t>41.71*100000000</t>
  </si>
  <si>
    <t>8.070*100000000</t>
  </si>
  <si>
    <t>8946*10000</t>
  </si>
  <si>
    <t>2.022*100000000</t>
  </si>
  <si>
    <t>6606*10000</t>
  </si>
  <si>
    <t>8397*10000</t>
  </si>
  <si>
    <t>5641*10000</t>
  </si>
  <si>
    <t>2.747*100000000</t>
  </si>
  <si>
    <t>2.223*100000000</t>
  </si>
  <si>
    <t>8939*10000</t>
  </si>
  <si>
    <t>6420*10000</t>
  </si>
  <si>
    <t>8398*10000</t>
  </si>
  <si>
    <t>2.326*100000000</t>
  </si>
  <si>
    <t>6520*10000</t>
  </si>
  <si>
    <t>9853*10000</t>
  </si>
  <si>
    <t>2.211*100000000</t>
  </si>
  <si>
    <t>3872*10000</t>
  </si>
  <si>
    <t>8.632*100000000</t>
  </si>
  <si>
    <t>4.390*100000000</t>
  </si>
  <si>
    <t>7.403*100000000</t>
  </si>
  <si>
    <t>14.73*100000000</t>
  </si>
  <si>
    <t>4.590*100000000</t>
  </si>
  <si>
    <t>5.389*100000000</t>
  </si>
  <si>
    <t>4.091*100000000</t>
  </si>
  <si>
    <t>2.227*100000000</t>
  </si>
  <si>
    <t>3.898*100000000</t>
  </si>
  <si>
    <t>7678*10000</t>
  </si>
  <si>
    <t>3.487*100000000</t>
  </si>
  <si>
    <t>4.545*100000000</t>
  </si>
  <si>
    <t>2.624*100000000</t>
  </si>
  <si>
    <t>7716*10000</t>
  </si>
  <si>
    <t>6781*10000</t>
  </si>
  <si>
    <t>3.227*100000000</t>
  </si>
  <si>
    <t>59.50*100000000</t>
  </si>
  <si>
    <t>23.86*100000000</t>
  </si>
  <si>
    <t>5.067*100000000</t>
  </si>
  <si>
    <t>7.555*100000000</t>
  </si>
  <si>
    <t>2.153*100000000</t>
  </si>
  <si>
    <t>6813*10000</t>
  </si>
  <si>
    <t>5771*10000</t>
  </si>
  <si>
    <t>8966*10000</t>
  </si>
  <si>
    <t>9749*10000</t>
  </si>
  <si>
    <t>7007*10000</t>
  </si>
  <si>
    <t>5674*10000</t>
  </si>
  <si>
    <t>9316*10000</t>
  </si>
  <si>
    <t>4572*10000</t>
  </si>
  <si>
    <t>7741*10000</t>
  </si>
  <si>
    <t>2.108*100000000</t>
  </si>
  <si>
    <t>4214*10000</t>
  </si>
  <si>
    <t>3307*10000</t>
  </si>
  <si>
    <t>8.802*100000000</t>
  </si>
  <si>
    <t>6.397*100000000</t>
  </si>
  <si>
    <t>3.472*100000000</t>
  </si>
  <si>
    <t>3.847*100000000</t>
  </si>
  <si>
    <t>9282*10000</t>
  </si>
  <si>
    <t>2949*10000</t>
  </si>
  <si>
    <t>843.2*10000</t>
  </si>
  <si>
    <t>3850*10000</t>
  </si>
  <si>
    <t>2673*10000</t>
  </si>
  <si>
    <t>1003*10000</t>
  </si>
  <si>
    <t>7715*10000</t>
  </si>
  <si>
    <t>3425*10000</t>
  </si>
  <si>
    <t>2890*10000</t>
  </si>
  <si>
    <t>4408*10000</t>
  </si>
  <si>
    <t>3824*10000</t>
  </si>
  <si>
    <t>3730*10000</t>
  </si>
  <si>
    <t>6840*10000</t>
  </si>
  <si>
    <t>5081*10000</t>
  </si>
  <si>
    <t>2118*10000</t>
  </si>
  <si>
    <t>3912*10000</t>
  </si>
  <si>
    <t>1800*10000</t>
  </si>
  <si>
    <t>735.7*10000</t>
  </si>
  <si>
    <t>3342*10000</t>
  </si>
  <si>
    <t>852.1*10000</t>
  </si>
  <si>
    <t>40.81*100000000</t>
  </si>
  <si>
    <t>29.21*100000000</t>
  </si>
  <si>
    <t>3.966*100000000</t>
  </si>
  <si>
    <t>1.848*100000000</t>
  </si>
  <si>
    <t>2553*10000</t>
  </si>
  <si>
    <t>5736*10000</t>
  </si>
  <si>
    <t>8356*10000</t>
  </si>
  <si>
    <t>1099*10000</t>
  </si>
  <si>
    <t>2667*10000</t>
  </si>
  <si>
    <t>271.7*10000</t>
  </si>
  <si>
    <t>1159*10000</t>
  </si>
  <si>
    <t>1.580*100000000</t>
  </si>
  <si>
    <t>8442*10000</t>
  </si>
  <si>
    <t>4480*10000</t>
  </si>
  <si>
    <t>2839*10000</t>
  </si>
  <si>
    <t>1903*10000</t>
  </si>
  <si>
    <t>1193*10000</t>
  </si>
  <si>
    <t>318.3*10000</t>
  </si>
  <si>
    <t>1215*10000</t>
  </si>
  <si>
    <t>5233*10000</t>
  </si>
  <si>
    <t>374.8*10000</t>
  </si>
  <si>
    <t>715.3*10000</t>
  </si>
  <si>
    <t>6.715*100000000</t>
  </si>
  <si>
    <t>5.076*100000000</t>
  </si>
  <si>
    <t>8.515*100000000</t>
  </si>
  <si>
    <t>5.434*100000000</t>
  </si>
  <si>
    <t>2.453*100000000</t>
  </si>
  <si>
    <t>1.558*100000000</t>
  </si>
  <si>
    <t>3049*10000</t>
  </si>
  <si>
    <t>4001*10000</t>
  </si>
  <si>
    <t>8494*10000</t>
  </si>
  <si>
    <t>4300*10000</t>
  </si>
  <si>
    <t>7340*10000</t>
  </si>
  <si>
    <t>3509*10000</t>
  </si>
  <si>
    <t>2.134*100000000</t>
  </si>
  <si>
    <t>7432*10000</t>
  </si>
  <si>
    <t>8743*10000</t>
  </si>
  <si>
    <t>6.593*100000000</t>
  </si>
  <si>
    <t>9.144*100000000</t>
  </si>
  <si>
    <t>5.505*100000000</t>
  </si>
  <si>
    <t>9165*10000</t>
  </si>
  <si>
    <t>5.362*100000000</t>
  </si>
  <si>
    <t>2.027*100000000</t>
  </si>
  <si>
    <t>3056*10000</t>
  </si>
  <si>
    <t>409.1*10000</t>
  </si>
  <si>
    <t>3.460*100000000</t>
  </si>
  <si>
    <t>421.5*10000</t>
  </si>
  <si>
    <t>9058*10000</t>
  </si>
  <si>
    <t>2608*10000</t>
  </si>
  <si>
    <t>231.5*10000</t>
  </si>
  <si>
    <t>2.376*100000000</t>
  </si>
  <si>
    <t>7.530*100000000</t>
  </si>
  <si>
    <t>4.472*100000000</t>
  </si>
  <si>
    <t>2.318*100000000</t>
  </si>
  <si>
    <t>8.840*100000000</t>
  </si>
  <si>
    <t>6833*10000</t>
  </si>
  <si>
    <t>3354*10000</t>
  </si>
  <si>
    <t>815.2*10000</t>
  </si>
  <si>
    <t>6029*10000</t>
  </si>
  <si>
    <t>5554*10000</t>
  </si>
  <si>
    <t>504.9*10000</t>
  </si>
  <si>
    <t>8367*10000</t>
  </si>
  <si>
    <t>1443*10000</t>
  </si>
  <si>
    <t>6258*10000</t>
  </si>
  <si>
    <t>3664*10000</t>
  </si>
  <si>
    <t>2043*10000</t>
  </si>
  <si>
    <t>3355*10000</t>
  </si>
  <si>
    <t>839.7*10000</t>
  </si>
  <si>
    <t>5548*10000</t>
  </si>
  <si>
    <t>2813*10000</t>
  </si>
  <si>
    <t>8282*10000</t>
  </si>
  <si>
    <t>6083*10000</t>
  </si>
  <si>
    <t>3777*10000</t>
  </si>
  <si>
    <t>1689*10000</t>
  </si>
  <si>
    <t>5339*10000</t>
  </si>
  <si>
    <t>3633*10000</t>
  </si>
  <si>
    <t>2014*10000</t>
  </si>
  <si>
    <t>6366*10000</t>
  </si>
  <si>
    <t>5016*10000</t>
  </si>
  <si>
    <t>790.8*10000</t>
  </si>
  <si>
    <t>5007*10000</t>
  </si>
  <si>
    <t>7483*10000</t>
  </si>
  <si>
    <t>5421*10000</t>
  </si>
  <si>
    <t>5605*10000</t>
  </si>
  <si>
    <t>4910*10000</t>
  </si>
  <si>
    <t>3205*10000</t>
  </si>
  <si>
    <t>6.781*100000000</t>
  </si>
  <si>
    <t>4.018*100000000</t>
  </si>
  <si>
    <t>6.042*100000000</t>
  </si>
  <si>
    <t>5.243*100000000</t>
  </si>
  <si>
    <t>9775*10000</t>
  </si>
  <si>
    <t>5.207*100000000</t>
  </si>
  <si>
    <t>179.8*10000</t>
  </si>
  <si>
    <t>662.0*10000</t>
  </si>
  <si>
    <t>2153*10000</t>
  </si>
  <si>
    <t>1350*10000</t>
  </si>
  <si>
    <t>6454*10000</t>
  </si>
  <si>
    <t>5031*10000</t>
  </si>
  <si>
    <t>80.67*10000</t>
  </si>
  <si>
    <t>605.0*10000</t>
  </si>
  <si>
    <t>2049*10000</t>
  </si>
  <si>
    <t>1240*10000</t>
  </si>
  <si>
    <t>6424*10000</t>
  </si>
  <si>
    <t>6184*10000</t>
  </si>
  <si>
    <t>6799*10000</t>
  </si>
  <si>
    <t>290.5*10000</t>
  </si>
  <si>
    <t>1091*10000</t>
  </si>
  <si>
    <t>1411*10000</t>
  </si>
  <si>
    <t>1490*10000</t>
  </si>
  <si>
    <t>901.7*10000</t>
  </si>
  <si>
    <t>5090*10000</t>
  </si>
  <si>
    <t>4832*10000</t>
  </si>
  <si>
    <t>3925*10000</t>
  </si>
  <si>
    <t>1045*10000</t>
  </si>
  <si>
    <t>5557*10000</t>
  </si>
  <si>
    <t>8.730*100000000</t>
  </si>
  <si>
    <t>4.070*100000000</t>
  </si>
  <si>
    <t>6.512*100000000</t>
  </si>
  <si>
    <t>6075*10000</t>
  </si>
  <si>
    <t>9521*10000</t>
  </si>
  <si>
    <t>3.884*100000000</t>
  </si>
  <si>
    <t>3382*10000</t>
  </si>
  <si>
    <t>6.576*100000000</t>
  </si>
  <si>
    <t>8247*10000</t>
  </si>
  <si>
    <t>3650*10000</t>
  </si>
  <si>
    <t>9447*10000</t>
  </si>
  <si>
    <t>3320*10000</t>
  </si>
  <si>
    <t>3377*10000</t>
  </si>
  <si>
    <t>6.567*100000000</t>
  </si>
  <si>
    <t>8648*10000</t>
  </si>
  <si>
    <t>3662*10000</t>
  </si>
  <si>
    <t>8135*10000</t>
  </si>
  <si>
    <t>2887*10000</t>
  </si>
  <si>
    <t>7090*10000</t>
  </si>
  <si>
    <t>2808*10000</t>
  </si>
  <si>
    <t>6658*10000</t>
  </si>
  <si>
    <t>2789*10000</t>
  </si>
  <si>
    <t>54.69*100000000</t>
  </si>
  <si>
    <t>45.91*100000000</t>
  </si>
  <si>
    <t>48.10*100000000</t>
  </si>
  <si>
    <t>5.681*100000000</t>
  </si>
  <si>
    <t>8.584*100000000</t>
  </si>
  <si>
    <t>2.640*100000000</t>
  </si>
  <si>
    <t>1.809*100000000</t>
  </si>
  <si>
    <t>6.921*100000000</t>
  </si>
  <si>
    <t>4.654*100000000</t>
  </si>
  <si>
    <t>4.046*100000000</t>
  </si>
  <si>
    <t>8.716*100000000</t>
  </si>
  <si>
    <t>4.558*100000000</t>
  </si>
  <si>
    <t>3.971*100000000</t>
  </si>
  <si>
    <t>4.857*100000000</t>
  </si>
  <si>
    <t>9.277*100000000</t>
  </si>
  <si>
    <t>9.302*100000000</t>
  </si>
  <si>
    <t>6.794*100000000</t>
  </si>
  <si>
    <t>2.248*100000000</t>
  </si>
  <si>
    <t>9450*10000</t>
  </si>
  <si>
    <t>5802*10000</t>
  </si>
  <si>
    <t>8328*10000</t>
  </si>
  <si>
    <t>7480*10000</t>
  </si>
  <si>
    <t>1.509*100000000</t>
  </si>
  <si>
    <t>7088*10000</t>
  </si>
  <si>
    <t>1.463*100000000</t>
  </si>
  <si>
    <t>8396*10000</t>
  </si>
  <si>
    <t>4208*10000</t>
  </si>
  <si>
    <t>8788*10000</t>
  </si>
  <si>
    <t>9013*10000</t>
  </si>
  <si>
    <t>4940*10000</t>
  </si>
  <si>
    <t>3.316*100000000</t>
  </si>
  <si>
    <t>7.840*100000000</t>
  </si>
  <si>
    <t>4.562*100000000</t>
  </si>
  <si>
    <t>8.141*100000000</t>
  </si>
  <si>
    <t>5.848*100000000</t>
  </si>
  <si>
    <t>4250*10000</t>
  </si>
  <si>
    <t>1378*10000</t>
  </si>
  <si>
    <t>504.0*10000</t>
  </si>
  <si>
    <t>441.8*10000</t>
  </si>
  <si>
    <t>94.97*10000</t>
  </si>
  <si>
    <t>8172*10000</t>
  </si>
  <si>
    <t>3889*10000</t>
  </si>
  <si>
    <t>1660*10000</t>
  </si>
  <si>
    <t>1141*10000</t>
  </si>
  <si>
    <t>512.8*10000</t>
  </si>
  <si>
    <t>2152*10000</t>
  </si>
  <si>
    <t>472.6*10000</t>
  </si>
  <si>
    <t>121.1*10000</t>
  </si>
  <si>
    <t>3856*10000</t>
  </si>
  <si>
    <t>3114*10000</t>
  </si>
  <si>
    <t>1140*10000</t>
  </si>
  <si>
    <t>3092*10000</t>
  </si>
  <si>
    <t>1329*10000</t>
  </si>
  <si>
    <t>1051*10000</t>
  </si>
  <si>
    <t>352.0*10000</t>
  </si>
  <si>
    <t>48.53*10000</t>
  </si>
  <si>
    <t>6922*10000</t>
  </si>
  <si>
    <t>3280*10000</t>
  </si>
  <si>
    <t>1345*10000</t>
  </si>
  <si>
    <t>5518*10000</t>
  </si>
  <si>
    <t>4137*10000</t>
  </si>
  <si>
    <t>7.229*100000000</t>
  </si>
  <si>
    <t>7.725*100000000</t>
  </si>
  <si>
    <t>2333*10000</t>
  </si>
  <si>
    <t>4131*10000</t>
  </si>
  <si>
    <t>1915*10000</t>
  </si>
  <si>
    <t>417.6*10000</t>
  </si>
  <si>
    <t>5123*10000</t>
  </si>
  <si>
    <t>448.9*10000</t>
  </si>
  <si>
    <t>5515*10000</t>
  </si>
  <si>
    <t>4231*10000</t>
  </si>
  <si>
    <t>3038*10000</t>
  </si>
  <si>
    <t>7928*10000</t>
  </si>
  <si>
    <t>5077*10000</t>
  </si>
  <si>
    <t>2350*10000</t>
  </si>
  <si>
    <t>3334*10000</t>
  </si>
  <si>
    <t>408.3*10000</t>
  </si>
  <si>
    <t>6845*10000</t>
  </si>
  <si>
    <t>3656*10000</t>
  </si>
  <si>
    <t>475.3*10000</t>
  </si>
  <si>
    <t>5571*10000</t>
  </si>
  <si>
    <t>4249*10000</t>
  </si>
  <si>
    <t>3060*10000</t>
  </si>
  <si>
    <t>872.5*10000</t>
  </si>
  <si>
    <t>7272*10000</t>
  </si>
  <si>
    <t>4439*10000</t>
  </si>
  <si>
    <t>2113*10000</t>
  </si>
  <si>
    <t>722.0*10000</t>
  </si>
  <si>
    <t>4730*10000</t>
  </si>
  <si>
    <t>562.2*10000</t>
  </si>
  <si>
    <t>5625*10000</t>
  </si>
  <si>
    <t>2898*10000</t>
  </si>
  <si>
    <t>865.7*10000</t>
  </si>
  <si>
    <t>8.931*100000000</t>
  </si>
  <si>
    <t>3.327*100000000</t>
  </si>
  <si>
    <t>4142*10000</t>
  </si>
  <si>
    <t>9555*10000</t>
  </si>
  <si>
    <t>4078*10000</t>
  </si>
  <si>
    <t>7808*10000</t>
  </si>
  <si>
    <t>4122*10000</t>
  </si>
  <si>
    <t>4058*10000</t>
  </si>
  <si>
    <t>4571*10000</t>
  </si>
  <si>
    <t>6803*10000</t>
  </si>
  <si>
    <t>3595*10000</t>
  </si>
  <si>
    <t>8227*10000</t>
  </si>
  <si>
    <t>3674*10000</t>
  </si>
  <si>
    <t>2.986*100000000</t>
  </si>
  <si>
    <t>2.692*100000000</t>
  </si>
  <si>
    <t>1.641*100000000</t>
  </si>
  <si>
    <t>6503*10000</t>
  </si>
  <si>
    <t>4540*10000</t>
  </si>
  <si>
    <t>7115*10000</t>
  </si>
  <si>
    <t>5833*10000</t>
  </si>
  <si>
    <t>1089*10000</t>
  </si>
  <si>
    <t>1.824*100000000</t>
  </si>
  <si>
    <t>6989*10000</t>
  </si>
  <si>
    <t>3262*10000</t>
  </si>
  <si>
    <t>9576*10000</t>
  </si>
  <si>
    <t>4040*10000</t>
  </si>
  <si>
    <t>1078*10000</t>
  </si>
  <si>
    <t>6434*10000</t>
  </si>
  <si>
    <t>1789*10000</t>
  </si>
  <si>
    <t>912.3*10000</t>
  </si>
  <si>
    <t>2541*10000</t>
  </si>
  <si>
    <t>8014*10000</t>
  </si>
  <si>
    <t>3747*10000</t>
  </si>
  <si>
    <t>6078*10000</t>
  </si>
  <si>
    <t>837.6*10000</t>
  </si>
  <si>
    <t>1793*10000</t>
  </si>
  <si>
    <t>821.7*10000</t>
  </si>
  <si>
    <t>2.033*100000000</t>
  </si>
  <si>
    <t>5238*10000</t>
  </si>
  <si>
    <t>2288*10000</t>
  </si>
  <si>
    <t>8378*10000</t>
  </si>
  <si>
    <t>4074*10000</t>
  </si>
  <si>
    <t>7342*10000</t>
  </si>
  <si>
    <t>3313*10000</t>
  </si>
  <si>
    <t>7545*10000</t>
  </si>
  <si>
    <t>2443*10000</t>
  </si>
  <si>
    <t>6491*10000</t>
  </si>
  <si>
    <t>853.7*10000</t>
  </si>
  <si>
    <t>289.7*10000</t>
  </si>
  <si>
    <t>1659*10000</t>
  </si>
  <si>
    <t>781.4*10000</t>
  </si>
  <si>
    <t>235.1*10000</t>
  </si>
  <si>
    <t>3996*10000</t>
  </si>
  <si>
    <t>853.8*10000</t>
  </si>
  <si>
    <t>5547*10000</t>
  </si>
  <si>
    <t>1777*10000</t>
  </si>
  <si>
    <t>3452*10000</t>
  </si>
  <si>
    <t>5586*10000</t>
  </si>
  <si>
    <t>719.4*10000</t>
  </si>
  <si>
    <t>246.3*10000</t>
  </si>
  <si>
    <t>684.6*10000</t>
  </si>
  <si>
    <t>185.2*10000</t>
  </si>
  <si>
    <t>63.35*100000000</t>
  </si>
  <si>
    <t>29.39*100000000</t>
  </si>
  <si>
    <t>59.63*100000000</t>
  </si>
  <si>
    <t>43.72*100000000</t>
  </si>
  <si>
    <t>27.39*100000000</t>
  </si>
  <si>
    <t>56.44*100000000</t>
  </si>
  <si>
    <t>41.22*100000000</t>
  </si>
  <si>
    <t>48.33*100000000</t>
  </si>
  <si>
    <t>9.696*100000000</t>
  </si>
  <si>
    <t>2.489*100000000</t>
  </si>
  <si>
    <t>3.830*100000000</t>
  </si>
  <si>
    <t>7.298*100000000</t>
  </si>
  <si>
    <t>5.366*100000000</t>
  </si>
  <si>
    <t>8.737*100000000</t>
  </si>
  <si>
    <t>6.453*100000000</t>
  </si>
  <si>
    <t>3.881*100000000</t>
  </si>
  <si>
    <t>8.244*100000000</t>
  </si>
  <si>
    <t>5.961*100000000</t>
  </si>
  <si>
    <t>5.683*100000000</t>
  </si>
  <si>
    <t>3.693*100000000</t>
  </si>
  <si>
    <t>8.828*100000000</t>
  </si>
  <si>
    <t>1.944*100000000</t>
  </si>
  <si>
    <t>6.834*100000000</t>
  </si>
  <si>
    <t>6.422*100000000</t>
  </si>
  <si>
    <t>4.628*100000000</t>
  </si>
  <si>
    <t>109.2*100000000</t>
  </si>
  <si>
    <t>74.09*100000000</t>
  </si>
  <si>
    <t>50.15*100000000</t>
  </si>
  <si>
    <t>93.87*100000000</t>
  </si>
  <si>
    <t>55.21*100000000</t>
  </si>
  <si>
    <t>79.28*100000000</t>
  </si>
  <si>
    <t>31.20*100000000</t>
  </si>
  <si>
    <t>9.877*100000000</t>
  </si>
  <si>
    <t>7.929*100000000</t>
  </si>
  <si>
    <t>9.256*100000000</t>
  </si>
  <si>
    <t>1980*10000</t>
  </si>
  <si>
    <t>7.107*100000000</t>
  </si>
  <si>
    <t>7.495*100000000</t>
  </si>
  <si>
    <t>2.348*100000000</t>
  </si>
  <si>
    <t>5.600*100000000</t>
  </si>
  <si>
    <t>9.064*100000000</t>
  </si>
  <si>
    <t>6.767*100000000</t>
  </si>
  <si>
    <t>2.031*100000000</t>
  </si>
  <si>
    <t>7.067*100000000</t>
  </si>
  <si>
    <t>733.2*10000</t>
  </si>
  <si>
    <t>5.431*100000000</t>
  </si>
  <si>
    <t>8409*10000</t>
  </si>
  <si>
    <t>5.603*100000000</t>
  </si>
  <si>
    <t>1.922*100000000</t>
  </si>
  <si>
    <t>8.549*100000000</t>
  </si>
  <si>
    <t>5.499*100000000</t>
  </si>
  <si>
    <t>2.633*100000000</t>
  </si>
  <si>
    <t>9.097*100000000</t>
  </si>
  <si>
    <t>7.266*100000000</t>
  </si>
  <si>
    <t>3.226*100000000</t>
  </si>
  <si>
    <t>6990*10000</t>
  </si>
  <si>
    <t>3836*10000</t>
  </si>
  <si>
    <t>7332*10000</t>
  </si>
  <si>
    <t>4303*10000</t>
  </si>
  <si>
    <t>8047*10000</t>
  </si>
  <si>
    <t>4003*10000</t>
  </si>
  <si>
    <t>7078*10000</t>
  </si>
  <si>
    <t>1.636*100000000</t>
  </si>
  <si>
    <t>7354*10000</t>
  </si>
  <si>
    <t>8164*10000</t>
  </si>
  <si>
    <t>8062*10000</t>
  </si>
  <si>
    <t>5631*10000</t>
  </si>
  <si>
    <t>3044*10000</t>
  </si>
  <si>
    <t>6050*10000</t>
  </si>
  <si>
    <t>2930*10000</t>
  </si>
  <si>
    <t>9346*10000</t>
  </si>
  <si>
    <t>6912*10000</t>
  </si>
  <si>
    <t>3599*10000</t>
  </si>
  <si>
    <t>9578*10000</t>
  </si>
  <si>
    <t>6563*10000</t>
  </si>
  <si>
    <t>3367*10000</t>
  </si>
  <si>
    <t>8.350*100000000</t>
  </si>
  <si>
    <t>3.407*100000000</t>
  </si>
  <si>
    <t>19.73*100000000</t>
  </si>
  <si>
    <t>7.227*100000000</t>
  </si>
  <si>
    <t>2.754*100000000</t>
  </si>
  <si>
    <t>4.308*100000000</t>
  </si>
  <si>
    <t>8917*10000</t>
  </si>
  <si>
    <t>4368*10000</t>
  </si>
  <si>
    <t>3.311*100000000</t>
  </si>
  <si>
    <t>4.145*100000000</t>
  </si>
  <si>
    <t>3.150*100000000</t>
  </si>
  <si>
    <t>3.382*100000000</t>
  </si>
  <si>
    <t>5672*10000</t>
  </si>
  <si>
    <t>3.086*100000000</t>
  </si>
  <si>
    <t>3.200*100000000</t>
  </si>
  <si>
    <t>133.3*10000</t>
  </si>
  <si>
    <t>2.930*100000000</t>
  </si>
  <si>
    <t>7.671*100000000</t>
  </si>
  <si>
    <t>6.361*100000000</t>
  </si>
  <si>
    <t>1.655*100000000</t>
  </si>
  <si>
    <t>4135*10000</t>
  </si>
  <si>
    <t>3385*10000</t>
  </si>
  <si>
    <t>4344*10000</t>
  </si>
  <si>
    <t>6221*10000</t>
  </si>
  <si>
    <t>5402*10000</t>
  </si>
  <si>
    <t>3606*10000</t>
  </si>
  <si>
    <t>8745*10000</t>
  </si>
  <si>
    <t>5461*10000</t>
  </si>
  <si>
    <t>6739*10000</t>
  </si>
  <si>
    <t>3266*10000</t>
  </si>
  <si>
    <t>5715*10000</t>
  </si>
  <si>
    <t>4349*10000</t>
  </si>
  <si>
    <t>6007*10000</t>
  </si>
  <si>
    <t>5406*10000</t>
  </si>
  <si>
    <t>3617*10000</t>
  </si>
  <si>
    <t>8667*10000</t>
  </si>
  <si>
    <t>5500*10000</t>
  </si>
  <si>
    <t>3281*10000</t>
  </si>
  <si>
    <t>5701*10000</t>
  </si>
  <si>
    <t>4678*10000</t>
  </si>
  <si>
    <t>4331*10000</t>
  </si>
  <si>
    <t>6000*10000</t>
  </si>
  <si>
    <t>80.12*100000000</t>
  </si>
  <si>
    <t>62.73*100000000</t>
  </si>
  <si>
    <t>49.71*100000000</t>
  </si>
  <si>
    <t>49.79*100000000</t>
  </si>
  <si>
    <t>24.76*100000000</t>
  </si>
  <si>
    <t>3.363*100000000</t>
  </si>
  <si>
    <t>2.110*100000000</t>
  </si>
  <si>
    <t>8639*10000</t>
  </si>
  <si>
    <t>3.956*100000000</t>
  </si>
  <si>
    <t>3.358*100000000</t>
  </si>
  <si>
    <t>5292*10000</t>
  </si>
  <si>
    <t>3.411*100000000</t>
  </si>
  <si>
    <t>3947*10000</t>
  </si>
  <si>
    <t>3626*10000</t>
  </si>
  <si>
    <t>8556*10000</t>
  </si>
  <si>
    <t>4178*10000</t>
  </si>
  <si>
    <t>176.1*100000000</t>
  </si>
  <si>
    <t>76.86*100000000</t>
  </si>
  <si>
    <t>85.38*100000000</t>
  </si>
  <si>
    <t>47.61*100000000</t>
  </si>
  <si>
    <t>79.47*100000000</t>
  </si>
  <si>
    <t>85.35*100000000</t>
  </si>
  <si>
    <t>61.24*100000000</t>
  </si>
  <si>
    <t>37.87*100000000</t>
  </si>
  <si>
    <t>18.40*100000000</t>
  </si>
  <si>
    <t>7.908*100000000</t>
  </si>
  <si>
    <t>10.06*100000000</t>
  </si>
  <si>
    <t>9.596*100000000</t>
  </si>
  <si>
    <t>9.347*100000000</t>
  </si>
  <si>
    <t>4.195*100000000</t>
  </si>
  <si>
    <t>8.125*100000000</t>
  </si>
  <si>
    <t>4.086*100000000</t>
  </si>
  <si>
    <t>2.701*100000000</t>
  </si>
  <si>
    <t>9.851*100000000</t>
  </si>
  <si>
    <t>5.747*100000000</t>
  </si>
  <si>
    <t>9.602*100000000</t>
  </si>
  <si>
    <t>4.433*100000000</t>
  </si>
  <si>
    <t>6.643*100000000</t>
  </si>
  <si>
    <t>8.941*100000000</t>
  </si>
  <si>
    <t>4.489*100000000</t>
  </si>
  <si>
    <t>20.20*100000000</t>
  </si>
  <si>
    <t>7.723*100000000</t>
  </si>
  <si>
    <t>5735*10000</t>
  </si>
  <si>
    <t>1906*10000</t>
  </si>
  <si>
    <t>6866*10000</t>
  </si>
  <si>
    <t>2262*10000</t>
  </si>
  <si>
    <t>8402*10000</t>
  </si>
  <si>
    <t>8337*10000</t>
  </si>
  <si>
    <t>5368*10000</t>
  </si>
  <si>
    <t>2.522*100000000</t>
  </si>
  <si>
    <t>5738*10000</t>
  </si>
  <si>
    <t>1790*10000</t>
  </si>
  <si>
    <t>8347*10000</t>
  </si>
  <si>
    <t>8569*10000</t>
  </si>
  <si>
    <t>1668*10000</t>
  </si>
  <si>
    <t>1646*10000</t>
  </si>
  <si>
    <t>6696*10000</t>
  </si>
  <si>
    <t>4268*10000</t>
  </si>
  <si>
    <t>1336*10000</t>
  </si>
  <si>
    <t>23.15*100000000</t>
  </si>
  <si>
    <t>8.195*100000000</t>
  </si>
  <si>
    <t>8.252*100000000</t>
  </si>
  <si>
    <t>4.369*100000000</t>
  </si>
  <si>
    <t>6.814*100000000</t>
  </si>
  <si>
    <t>3.455*100000000</t>
  </si>
  <si>
    <t>5.064*100000000</t>
  </si>
  <si>
    <t>2.721*100000000</t>
  </si>
  <si>
    <t>3510*10000</t>
  </si>
  <si>
    <t>8844*10000</t>
  </si>
  <si>
    <t>5159*10000</t>
  </si>
  <si>
    <t>5145*10000</t>
  </si>
  <si>
    <t>3346*10000</t>
  </si>
  <si>
    <t>3518*10000</t>
  </si>
  <si>
    <t>6996*10000</t>
  </si>
  <si>
    <t>5401*10000</t>
  </si>
  <si>
    <t>3450*10000</t>
  </si>
  <si>
    <t>6991*10000</t>
  </si>
  <si>
    <t>7391*10000</t>
  </si>
  <si>
    <t>4487*10000</t>
  </si>
  <si>
    <t>2856*10000</t>
  </si>
  <si>
    <t>5.376*100000000</t>
  </si>
  <si>
    <t>3.738*100000000</t>
  </si>
  <si>
    <t>5.294*100000000</t>
  </si>
  <si>
    <t>5.513*100000000</t>
  </si>
  <si>
    <t>4.599*100000000</t>
  </si>
  <si>
    <t>9329*10000</t>
  </si>
  <si>
    <t>8688*10000</t>
  </si>
  <si>
    <t>7110*10000</t>
  </si>
  <si>
    <t>2837*10000</t>
  </si>
  <si>
    <t>6353*10000</t>
  </si>
  <si>
    <t>4895*10000</t>
  </si>
  <si>
    <t>5282*10000</t>
  </si>
  <si>
    <t>5582*10000</t>
  </si>
  <si>
    <t>2646*10000</t>
  </si>
  <si>
    <t>9339*10000</t>
  </si>
  <si>
    <t>6389*10000</t>
  </si>
  <si>
    <t>4903*10000</t>
  </si>
  <si>
    <t>4908*10000</t>
  </si>
  <si>
    <t>2121*10000</t>
  </si>
  <si>
    <t>4597*10000</t>
  </si>
  <si>
    <t>3768*10000</t>
  </si>
  <si>
    <t>4079*10000</t>
  </si>
  <si>
    <t>4247*10000</t>
  </si>
  <si>
    <t>3720*10000</t>
  </si>
  <si>
    <t>1267*10000</t>
  </si>
  <si>
    <t>4119*10000</t>
  </si>
  <si>
    <t>4255*10000</t>
  </si>
  <si>
    <t>1981*10000</t>
  </si>
  <si>
    <t>5.143*100000000</t>
  </si>
  <si>
    <t>4.682*100000000</t>
  </si>
  <si>
    <t>6.302*100000000</t>
  </si>
  <si>
    <t>2663*10000</t>
  </si>
  <si>
    <t>6039*10000</t>
  </si>
  <si>
    <t>413.1*10000</t>
  </si>
  <si>
    <t>1865*10000</t>
  </si>
  <si>
    <t>896.1*10000</t>
  </si>
  <si>
    <t>377.9*10000</t>
  </si>
  <si>
    <t>2393*10000</t>
  </si>
  <si>
    <t>1551*10000</t>
  </si>
  <si>
    <t>5911*10000</t>
  </si>
  <si>
    <t>1845*10000</t>
  </si>
  <si>
    <t>373.7*10000</t>
  </si>
  <si>
    <t>5113*10000</t>
  </si>
  <si>
    <t>1841*10000</t>
  </si>
  <si>
    <t>899.1*10000</t>
  </si>
  <si>
    <t>8668*10000</t>
  </si>
  <si>
    <t>1197*10000</t>
  </si>
  <si>
    <t>371.8*10000</t>
  </si>
  <si>
    <t>1285*10000</t>
  </si>
  <si>
    <t>3744*10000</t>
  </si>
  <si>
    <t>262.5*10000</t>
  </si>
  <si>
    <t>7601*10000</t>
  </si>
  <si>
    <t>1561*10000</t>
  </si>
  <si>
    <t>712.3*10000</t>
  </si>
  <si>
    <t>3434*10000</t>
  </si>
  <si>
    <t>547.0*10000</t>
  </si>
  <si>
    <t>236.3*10000</t>
  </si>
  <si>
    <t>6.670*100000000</t>
  </si>
  <si>
    <t>5.192*100000000</t>
  </si>
  <si>
    <t>6.253*100000000</t>
  </si>
  <si>
    <t>7891*10000</t>
  </si>
  <si>
    <t>5.028*100000000</t>
  </si>
  <si>
    <t>5.347*100000000</t>
  </si>
  <si>
    <t>3.796*100000000</t>
  </si>
  <si>
    <t>9898*10000</t>
  </si>
  <si>
    <t>8718*10000</t>
  </si>
  <si>
    <t>6361*10000</t>
  </si>
  <si>
    <t>2467*10000</t>
  </si>
  <si>
    <t>9297*10000</t>
  </si>
  <si>
    <t>4342*10000</t>
  </si>
  <si>
    <t>348.7*10000</t>
  </si>
  <si>
    <t>9730*10000</t>
  </si>
  <si>
    <t>5809*10000</t>
  </si>
  <si>
    <t>9244*10000</t>
  </si>
  <si>
    <t>9962*10000</t>
  </si>
  <si>
    <t>6350*10000</t>
  </si>
  <si>
    <t>9196*10000</t>
  </si>
  <si>
    <t>247.7*10000</t>
  </si>
  <si>
    <t>9724*10000</t>
  </si>
  <si>
    <t>8609*10000</t>
  </si>
  <si>
    <t>1.232*100000000</t>
  </si>
  <si>
    <t>9295*10000</t>
  </si>
  <si>
    <t>5958*10000</t>
  </si>
  <si>
    <t>8515*10000</t>
  </si>
  <si>
    <t>7333*10000</t>
  </si>
  <si>
    <t>5305*10000</t>
  </si>
  <si>
    <t>2214*10000</t>
  </si>
  <si>
    <t>294.4*10000</t>
  </si>
  <si>
    <t>8457*10000</t>
  </si>
  <si>
    <t>5149*10000</t>
  </si>
  <si>
    <t>7896*10000</t>
  </si>
  <si>
    <t>6.209*100000000</t>
  </si>
  <si>
    <t>7277*10000</t>
  </si>
  <si>
    <t>9.446*100000000</t>
  </si>
  <si>
    <t>5.377*100000000</t>
  </si>
  <si>
    <t>3.359*100000000</t>
  </si>
  <si>
    <t>8604*10000</t>
  </si>
  <si>
    <t>5390*10000</t>
  </si>
  <si>
    <t>2900*10000</t>
  </si>
  <si>
    <t>422.6*10000</t>
  </si>
  <si>
    <t>9919*10000</t>
  </si>
  <si>
    <t>4171*10000</t>
  </si>
  <si>
    <t>3222*10000</t>
  </si>
  <si>
    <t>2033*10000</t>
  </si>
  <si>
    <t>218.7*10000</t>
  </si>
  <si>
    <t>58.41*10000</t>
  </si>
  <si>
    <t>9915*10000</t>
  </si>
  <si>
    <t>7059*10000</t>
  </si>
  <si>
    <t>8762*10000</t>
  </si>
  <si>
    <t>356.5*10000</t>
  </si>
  <si>
    <t>8854*10000</t>
  </si>
  <si>
    <t>3815*10000</t>
  </si>
  <si>
    <t>1012*10000</t>
  </si>
  <si>
    <t>2981*10000</t>
  </si>
  <si>
    <t>211.8*10000</t>
  </si>
  <si>
    <t>2690*10000</t>
  </si>
  <si>
    <t>30.33*10000</t>
  </si>
  <si>
    <t>9.719*100000000</t>
  </si>
  <si>
    <t>16.34*100000000</t>
  </si>
  <si>
    <t>8.148*100000000</t>
  </si>
  <si>
    <t>5.140*100000000</t>
  </si>
  <si>
    <t>14.62*100000000</t>
  </si>
  <si>
    <t>9.651*100000000</t>
  </si>
  <si>
    <t>2.403*100000000</t>
  </si>
  <si>
    <t>7669*10000</t>
  </si>
  <si>
    <t>3.096*100000000</t>
  </si>
  <si>
    <t>7393*10000</t>
  </si>
  <si>
    <t>3.356*100000000</t>
  </si>
  <si>
    <t>3.247*100000000</t>
  </si>
  <si>
    <t>9.800*100000000</t>
  </si>
  <si>
    <t>2.977*100000000</t>
  </si>
  <si>
    <t>4.662*100000000</t>
  </si>
  <si>
    <t>6.092*100000000</t>
  </si>
  <si>
    <t>22.56*100000000</t>
  </si>
  <si>
    <t>2346*10000</t>
  </si>
  <si>
    <t>234.5*10000</t>
  </si>
  <si>
    <t>6685*10000</t>
  </si>
  <si>
    <t>4390*10000</t>
  </si>
  <si>
    <t>1.900*100000000</t>
  </si>
  <si>
    <t>171.6*10000</t>
  </si>
  <si>
    <t>480.8*10000</t>
  </si>
  <si>
    <t>4434*10000</t>
  </si>
  <si>
    <t>2564*10000</t>
  </si>
  <si>
    <t>470.9*10000</t>
  </si>
  <si>
    <t>281.5*10000</t>
  </si>
  <si>
    <t>8643*10000</t>
  </si>
  <si>
    <t>5816*10000</t>
  </si>
  <si>
    <t>1.401*100000000</t>
  </si>
  <si>
    <t>3991*10000</t>
  </si>
  <si>
    <t>20.85*100000000</t>
  </si>
  <si>
    <t>4.818*100000000</t>
  </si>
  <si>
    <t>7.622*100000000</t>
  </si>
  <si>
    <t>9419*10000</t>
  </si>
  <si>
    <t>9773*10000</t>
  </si>
  <si>
    <t>76.45*10000</t>
  </si>
  <si>
    <t>3303*10000</t>
  </si>
  <si>
    <t>3017*10000</t>
  </si>
  <si>
    <t>9466*10000</t>
  </si>
  <si>
    <t>9245*10000</t>
  </si>
  <si>
    <t>1303*10000</t>
  </si>
  <si>
    <t>3023*10000</t>
  </si>
  <si>
    <t>9435*10000</t>
  </si>
  <si>
    <t>4683*10000</t>
  </si>
  <si>
    <t>8056*10000</t>
  </si>
  <si>
    <t>5619*10000</t>
  </si>
  <si>
    <t>2726*10000</t>
  </si>
  <si>
    <t>2384*10000</t>
  </si>
  <si>
    <t>1598*10000</t>
  </si>
  <si>
    <t>53.57*10000</t>
  </si>
  <si>
    <t>7893*10000</t>
  </si>
  <si>
    <t>3886*10000</t>
  </si>
  <si>
    <t>7.405*100000000</t>
  </si>
  <si>
    <t>4.850*100000000</t>
  </si>
  <si>
    <t>6.003*100000000</t>
  </si>
  <si>
    <t>2.973*100000000</t>
  </si>
  <si>
    <t>8.296*100000000</t>
  </si>
  <si>
    <t>5.791*100000000</t>
  </si>
  <si>
    <t>6207*10000</t>
  </si>
  <si>
    <t>7734*10000</t>
  </si>
  <si>
    <t>4158*10000</t>
  </si>
  <si>
    <t>7918*10000</t>
  </si>
  <si>
    <t>7206*10000</t>
  </si>
  <si>
    <t>5777*10000</t>
  </si>
  <si>
    <t>9670*10000</t>
  </si>
  <si>
    <t>6640*10000</t>
  </si>
  <si>
    <t>8712*10000</t>
  </si>
  <si>
    <t>8714*10000</t>
  </si>
  <si>
    <t>7374*10000</t>
  </si>
  <si>
    <t>8.135*100000000</t>
  </si>
  <si>
    <t>6.865*100000000</t>
  </si>
  <si>
    <t>2.267*100000000</t>
  </si>
  <si>
    <t>6.230*100000000</t>
  </si>
  <si>
    <t>8.683*100000000</t>
  </si>
  <si>
    <t>3.160*100000000</t>
  </si>
  <si>
    <t>7539*10000</t>
  </si>
  <si>
    <t>1131*10000</t>
  </si>
  <si>
    <t>6492*10000</t>
  </si>
  <si>
    <t>1297*10000</t>
  </si>
  <si>
    <t>3954*10000</t>
  </si>
  <si>
    <t>1.719*100000000</t>
  </si>
  <si>
    <t>7543*10000</t>
  </si>
  <si>
    <t>8694*10000</t>
  </si>
  <si>
    <t>1293*10000</t>
  </si>
  <si>
    <t>3492*10000</t>
  </si>
  <si>
    <t>9264*10000</t>
  </si>
  <si>
    <t>989.7*10000</t>
  </si>
  <si>
    <t>908.8*10000</t>
  </si>
  <si>
    <t>5495*10000</t>
  </si>
  <si>
    <t>3697*10000</t>
  </si>
  <si>
    <t>1126*10000</t>
  </si>
  <si>
    <t>4.264*100000000</t>
  </si>
  <si>
    <t>5964*10000</t>
  </si>
  <si>
    <t>5.694*100000000</t>
  </si>
  <si>
    <t>4.455*100000000</t>
  </si>
  <si>
    <t>7368*10000</t>
  </si>
  <si>
    <t>6797*10000</t>
  </si>
  <si>
    <t>4.900*100000000</t>
  </si>
  <si>
    <t>5160*10000</t>
  </si>
  <si>
    <t>1739*100000000</t>
  </si>
  <si>
    <t>1266*100000000</t>
  </si>
  <si>
    <t>848.2*100000000</t>
  </si>
  <si>
    <t>399.2*100000000</t>
  </si>
  <si>
    <t>1130*100000000</t>
  </si>
  <si>
    <t>803.1*100000000</t>
  </si>
  <si>
    <t>467.4*100000000</t>
  </si>
  <si>
    <t>686.8*100000000</t>
  </si>
  <si>
    <t>334.1*100000000</t>
  </si>
  <si>
    <t>99.79*100000000</t>
  </si>
  <si>
    <t>140.6*100000000</t>
  </si>
  <si>
    <t>74.32*100000000</t>
  </si>
  <si>
    <t>8.279*100000000</t>
  </si>
  <si>
    <t>60.10*100000000</t>
  </si>
  <si>
    <t>46.71*100000000</t>
  </si>
  <si>
    <t>25.86*100000000</t>
  </si>
  <si>
    <t>87.55*100000000</t>
  </si>
  <si>
    <t>63.75*100000000</t>
  </si>
  <si>
    <t>28.76*100000000</t>
  </si>
  <si>
    <t>23.58*100000000</t>
  </si>
  <si>
    <t>8.239*100000000</t>
  </si>
  <si>
    <t>69.90*100000000</t>
  </si>
  <si>
    <t>46.24*100000000</t>
  </si>
  <si>
    <t>54.28*100000000</t>
  </si>
  <si>
    <t>28.33*100000000</t>
  </si>
  <si>
    <t>51.50*100000000</t>
  </si>
  <si>
    <t>36.01*100000000</t>
  </si>
  <si>
    <t>80.42*10000</t>
  </si>
  <si>
    <t>21.02*10000</t>
  </si>
  <si>
    <t>12.00*10000</t>
  </si>
  <si>
    <t>22.80*10000</t>
  </si>
  <si>
    <t>3681*10000</t>
  </si>
  <si>
    <t>4.968*100000000</t>
  </si>
  <si>
    <t>4.845*100000000</t>
  </si>
  <si>
    <t>67.31*100000000</t>
  </si>
  <si>
    <t>57.00*100000000</t>
  </si>
  <si>
    <t>3475*10000</t>
  </si>
  <si>
    <t>1814*10000</t>
  </si>
  <si>
    <t>8930*10000</t>
  </si>
  <si>
    <t>168.3*100000000</t>
  </si>
  <si>
    <t>87.24*100000000</t>
  </si>
  <si>
    <t>45.33*100000000</t>
  </si>
  <si>
    <t>157.3*100000000</t>
  </si>
  <si>
    <t>109.9*100000000</t>
  </si>
  <si>
    <t>90.99*100000000</t>
  </si>
  <si>
    <t>46.22*100000000</t>
  </si>
  <si>
    <t>5.091*100000000</t>
  </si>
  <si>
    <t>1.708*100000000</t>
  </si>
  <si>
    <t>5.204*100000000</t>
  </si>
  <si>
    <t>3.409*100000000</t>
  </si>
  <si>
    <t>9877*10000</t>
  </si>
  <si>
    <t>2.327*100000000</t>
  </si>
  <si>
    <t>5.368*100000000</t>
  </si>
  <si>
    <t>9886*10000</t>
  </si>
  <si>
    <t>3.617*100000000</t>
  </si>
  <si>
    <t>2.676*100000000</t>
  </si>
  <si>
    <t>7401*10000</t>
  </si>
  <si>
    <t>2.450*100000000</t>
  </si>
  <si>
    <t>7989*10000</t>
  </si>
  <si>
    <t>2020.09增长率</t>
    <phoneticPr fontId="4" type="noConversion"/>
  </si>
  <si>
    <t>2019.12增长率</t>
    <phoneticPr fontId="4" type="noConversion"/>
  </si>
  <si>
    <t>公司名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</si>
</sst>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#,##0.00_ "/>
  </numFmts>
  <fonts count="5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20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1" xfId="0" applyFill="1" applyBorder="1"/>
    <xf numFmtId="0" fontId="2" fillId="0" borderId="1" xfId="0" applyFont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10" fontId="0" fillId="0" borderId="0" xfId="1" applyNumberFormat="1" applyAlignment="1"/>
    <xf numFmtId="0" fontId="0" fillId="5" borderId="0" xfId="0" applyFill="1"/>
    <xf numFmtId="178" fontId="0" fillId="0" borderId="0" xfId="1" applyNumberFormat="1" applyAlignment="1"/>
    <xf numFmtId="0" fontId="1" fillId="2" borderId="0" xfId="0" applyFont="1" applyFill="1"/>
    <xf numFmtId="0" fontId="2" fillId="2" borderId="1" xfId="0" applyFont="1" applyFill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10" fontId="0" fillId="0" borderId="1" xfId="1" applyNumberFormat="1" applyFill="1" applyBorder="1" applyAlignment="1"/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37"/>
  <sheetViews>
    <sheetView tabSelected="1" workbookViewId="0">
      <selection activeCell="A2" sqref="A2:A5"/>
    </sheetView>
  </sheetViews>
  <sheetFormatPr defaultColWidth="9" defaultRowHeight="14.4"/>
  <cols>
    <col min="3" max="3" width="12.5546875" customWidth="1"/>
    <col min="4" max="5" width="11.88671875" hidden="1" customWidth="1"/>
    <col min="6" max="6" width="17.77734375" style="1" customWidth="1"/>
    <col min="7" max="7" width="24" customWidth="1"/>
    <col min="8" max="9" width="11.88671875" hidden="1" customWidth="1"/>
    <col min="10" max="10" width="21.6640625" style="1" customWidth="1"/>
    <col min="11" max="11" width="19.109375" customWidth="1"/>
    <col min="12" max="13" width="11.88671875" hidden="1" customWidth="1"/>
    <col min="14" max="14" width="19.6640625" customWidth="1"/>
    <col min="15" max="15" width="19.109375" customWidth="1"/>
    <col min="16" max="17" width="11.88671875" hidden="1" customWidth="1"/>
    <col min="18" max="18" width="13.77734375" style="2" customWidth="1"/>
    <col min="19" max="19" width="22.6640625" customWidth="1"/>
    <col min="20" max="21" width="11.88671875" hidden="1" customWidth="1"/>
    <col min="22" max="22" width="14.6640625" customWidth="1"/>
    <col min="23" max="23" width="21.6640625" customWidth="1"/>
    <col min="24" max="25" width="11.88671875" hidden="1" customWidth="1"/>
    <col min="26" max="26" width="11.88671875" customWidth="1"/>
    <col min="27" max="27" width="19.77734375" customWidth="1"/>
    <col min="28" max="29" width="11.88671875" hidden="1" customWidth="1"/>
    <col min="30" max="30" width="11.88671875" customWidth="1"/>
    <col min="31" max="31" width="26.33203125" customWidth="1"/>
    <col min="32" max="33" width="11.88671875" hidden="1" customWidth="1"/>
    <col min="34" max="34" width="11.88671875" customWidth="1"/>
    <col min="35" max="35" width="18.77734375" customWidth="1"/>
    <col min="36" max="37" width="11.88671875" hidden="1" customWidth="1"/>
    <col min="38" max="38" width="11.88671875" customWidth="1"/>
    <col min="39" max="39" width="20.21875" customWidth="1"/>
    <col min="40" max="41" width="11.88671875" hidden="1" customWidth="1"/>
    <col min="42" max="42" width="11.88671875" customWidth="1"/>
    <col min="43" max="43" width="18.21875" customWidth="1"/>
    <col min="44" max="45" width="11.88671875" hidden="1" customWidth="1"/>
    <col min="46" max="46" width="11.88671875" customWidth="1"/>
    <col min="47" max="47" width="18.21875" customWidth="1"/>
    <col min="48" max="49" width="11.88671875" hidden="1" customWidth="1"/>
    <col min="50" max="50" width="11.88671875" customWidth="1"/>
    <col min="51" max="51" width="19" customWidth="1"/>
    <col min="52" max="53" width="11.88671875" hidden="1" customWidth="1"/>
    <col min="54" max="54" width="11.88671875" customWidth="1"/>
    <col min="55" max="55" width="19.77734375" customWidth="1"/>
    <col min="56" max="57" width="11.88671875" hidden="1" customWidth="1"/>
    <col min="58" max="58" width="11.88671875" customWidth="1"/>
    <col min="59" max="59" width="18.109375" customWidth="1"/>
    <col min="60" max="61" width="11.88671875" hidden="1" customWidth="1"/>
    <col min="62" max="62" width="17.109375" style="1" customWidth="1"/>
    <col min="63" max="64" width="11.88671875" hidden="1" customWidth="1"/>
    <col min="65" max="65" width="16.88671875" style="3" customWidth="1"/>
    <col min="66" max="66" width="11.88671875" style="1" customWidth="1"/>
  </cols>
  <sheetData>
    <row r="1" spans="1:66">
      <c r="A1" t="s">
        <v>17801</v>
      </c>
      <c r="B1" s="4" t="s">
        <v>0</v>
      </c>
      <c r="C1" s="4" t="s">
        <v>1</v>
      </c>
      <c r="D1" s="4" t="s">
        <v>2</v>
      </c>
      <c r="E1" s="4"/>
      <c r="F1" s="5">
        <v>44561</v>
      </c>
      <c r="G1" s="4" t="s">
        <v>3</v>
      </c>
      <c r="H1" s="4" t="s">
        <v>4</v>
      </c>
      <c r="I1" s="4"/>
      <c r="J1" s="5">
        <v>44440</v>
      </c>
      <c r="K1" s="4" t="s">
        <v>5</v>
      </c>
      <c r="L1" s="4" t="s">
        <v>6</v>
      </c>
      <c r="M1" s="4"/>
      <c r="N1" s="5">
        <v>44348</v>
      </c>
      <c r="O1" s="4" t="s">
        <v>7</v>
      </c>
      <c r="P1" s="4" t="s">
        <v>8</v>
      </c>
      <c r="Q1" s="4"/>
      <c r="R1" s="4" t="s">
        <v>8</v>
      </c>
      <c r="S1" s="4" t="s">
        <v>9</v>
      </c>
      <c r="T1" s="4" t="s">
        <v>10</v>
      </c>
      <c r="U1" s="4"/>
      <c r="V1" s="4" t="s">
        <v>10</v>
      </c>
      <c r="W1" s="4" t="s">
        <v>11</v>
      </c>
      <c r="X1" s="4" t="s">
        <v>12</v>
      </c>
      <c r="Y1" s="4"/>
      <c r="Z1" s="4" t="s">
        <v>12</v>
      </c>
      <c r="AA1" s="4" t="s">
        <v>17799</v>
      </c>
      <c r="AB1" s="4" t="s">
        <v>14</v>
      </c>
      <c r="AC1" s="4"/>
      <c r="AD1" s="4" t="s">
        <v>14</v>
      </c>
      <c r="AE1" s="4" t="s">
        <v>13</v>
      </c>
      <c r="AF1" s="4" t="s">
        <v>15</v>
      </c>
      <c r="AG1" s="4"/>
      <c r="AH1" s="4" t="s">
        <v>15</v>
      </c>
      <c r="AI1" s="4" t="s">
        <v>16</v>
      </c>
      <c r="AJ1" s="4" t="s">
        <v>17</v>
      </c>
      <c r="AK1" s="4"/>
      <c r="AL1" s="4" t="s">
        <v>17</v>
      </c>
      <c r="AM1" s="4" t="s">
        <v>17800</v>
      </c>
      <c r="AN1" s="4" t="s">
        <v>18</v>
      </c>
      <c r="AO1" s="4"/>
      <c r="AP1" s="4" t="s">
        <v>18</v>
      </c>
      <c r="AQ1" s="4" t="s">
        <v>19</v>
      </c>
      <c r="AR1" s="4" t="s">
        <v>20</v>
      </c>
      <c r="AS1" s="4"/>
      <c r="AT1" s="4" t="s">
        <v>20</v>
      </c>
      <c r="AU1" s="4" t="s">
        <v>21</v>
      </c>
      <c r="AV1" s="4" t="s">
        <v>22</v>
      </c>
      <c r="AW1" s="4"/>
      <c r="AX1" s="4" t="s">
        <v>22</v>
      </c>
      <c r="AY1" s="4" t="s">
        <v>23</v>
      </c>
      <c r="AZ1" s="4" t="s">
        <v>24</v>
      </c>
      <c r="BA1" s="4"/>
      <c r="BB1" s="4" t="s">
        <v>24</v>
      </c>
      <c r="BC1" s="4" t="s">
        <v>25</v>
      </c>
      <c r="BD1" s="4" t="s">
        <v>26</v>
      </c>
      <c r="BE1" s="4"/>
      <c r="BF1" s="4" t="s">
        <v>26</v>
      </c>
      <c r="BG1" s="4" t="s">
        <v>27</v>
      </c>
      <c r="BH1" s="4" t="s">
        <v>28</v>
      </c>
      <c r="BI1" s="4"/>
      <c r="BJ1" s="12" t="s">
        <v>28</v>
      </c>
      <c r="BK1" s="4" t="s">
        <v>29</v>
      </c>
      <c r="BL1" s="13"/>
      <c r="BM1" s="14" t="s">
        <v>30</v>
      </c>
      <c r="BN1" s="15" t="s">
        <v>29</v>
      </c>
    </row>
    <row r="2" spans="1:66">
      <c r="A2" s="17">
        <v>1</v>
      </c>
      <c r="B2">
        <v>600004</v>
      </c>
      <c r="C2" t="s">
        <v>31</v>
      </c>
      <c r="D2" s="6" t="s">
        <v>32</v>
      </c>
      <c r="E2" s="7" t="str">
        <f t="shared" ref="E2:E65" si="0">"="&amp;D2</f>
        <v>=51.80*100000000</v>
      </c>
      <c r="F2" s="1">
        <f>51.8*100000000</f>
        <v>5180000000</v>
      </c>
      <c r="G2" s="8">
        <f>(F2-J2)/J2</f>
        <v>0.42739046569302841</v>
      </c>
      <c r="H2" s="6" t="s">
        <v>33</v>
      </c>
      <c r="I2" s="6" t="str">
        <f>"="&amp;H2</f>
        <v>=36.29*100000000</v>
      </c>
      <c r="J2" s="1">
        <f>36.29*100000000</f>
        <v>3629000000</v>
      </c>
      <c r="K2" s="10">
        <f>(J2-N2)/N2</f>
        <v>0.51460767946577635</v>
      </c>
      <c r="L2" s="6" t="s">
        <v>34</v>
      </c>
      <c r="M2" s="6" t="str">
        <f>"="&amp;L2</f>
        <v>=23.96*100000000</v>
      </c>
      <c r="N2" s="1">
        <f>23.96*100000000</f>
        <v>2396000000</v>
      </c>
      <c r="O2" s="8">
        <f>(N2-R2)/R2</f>
        <v>1.0219409282700422</v>
      </c>
      <c r="P2" s="6" t="s">
        <v>35</v>
      </c>
      <c r="Q2" s="6" t="str">
        <f>"="&amp;P2</f>
        <v>=11.85*100000000</v>
      </c>
      <c r="R2" s="11">
        <f>11.85*100000000</f>
        <v>1185000000</v>
      </c>
      <c r="S2" s="8">
        <f>(R2-V2)/V2</f>
        <v>-0.77320574162679423</v>
      </c>
      <c r="T2" s="6" t="s">
        <v>36</v>
      </c>
      <c r="U2" s="6" t="str">
        <f>"="&amp;T2</f>
        <v>=52.25*100000000</v>
      </c>
      <c r="V2" s="1">
        <f>52.25*100000000</f>
        <v>5225000000</v>
      </c>
      <c r="W2" s="8">
        <f>(V2-Z2)/Z2</f>
        <v>0.38925817601701673</v>
      </c>
      <c r="X2" s="6" t="s">
        <v>37</v>
      </c>
      <c r="Y2" s="6" t="str">
        <f>"="&amp;X2</f>
        <v>=37.61*100000000</v>
      </c>
      <c r="Z2" s="1">
        <f>37.61*100000000</f>
        <v>3761000000</v>
      </c>
      <c r="AA2" s="8">
        <f>(Z2-AD2)/AD2</f>
        <v>0.59770603228547159</v>
      </c>
      <c r="AB2" s="6" t="s">
        <v>38</v>
      </c>
      <c r="AC2" s="6" t="str">
        <f>"="&amp;AB2</f>
        <v>=23.54*100000000</v>
      </c>
      <c r="AD2" s="1">
        <f>23.54*100000000</f>
        <v>2354000000</v>
      </c>
      <c r="AE2" s="8">
        <f>(AD2-AH2)/AH2</f>
        <v>0.79147640791476404</v>
      </c>
      <c r="AF2" s="6" t="s">
        <v>39</v>
      </c>
      <c r="AG2" s="6" t="str">
        <f>"="&amp;AF2</f>
        <v>=13.14*100000000</v>
      </c>
      <c r="AH2" s="1">
        <f>13.14*100000000</f>
        <v>1314000000</v>
      </c>
      <c r="AI2" s="8">
        <f>(AH2-AL2)/AL2</f>
        <v>-0.84051462556135448</v>
      </c>
      <c r="AJ2" s="6" t="s">
        <v>40</v>
      </c>
      <c r="AK2" s="6" t="str">
        <f>"="&amp;AJ2</f>
        <v>=82.39*100000000</v>
      </c>
      <c r="AL2" s="1">
        <f>82.39*100000000</f>
        <v>8239000000</v>
      </c>
      <c r="AM2" s="8">
        <f>(AL2-AP2)/AP2</f>
        <v>0.34712230215827339</v>
      </c>
      <c r="AN2" s="6" t="s">
        <v>41</v>
      </c>
      <c r="AO2" s="6" t="str">
        <f>"="&amp;AN2</f>
        <v>=61.16*100000000</v>
      </c>
      <c r="AP2" s="1">
        <f>61.16*100000000</f>
        <v>6116000000</v>
      </c>
      <c r="AQ2" s="8">
        <f>(AP2-AT2)/AT2</f>
        <v>0.51273806579272818</v>
      </c>
      <c r="AR2" s="6" t="s">
        <v>42</v>
      </c>
      <c r="AS2" s="6" t="str">
        <f>"="&amp;AR2</f>
        <v>=40.43*100000000</v>
      </c>
      <c r="AT2" s="1">
        <f>40.43*100000000</f>
        <v>4043000000</v>
      </c>
      <c r="AU2" s="8">
        <f>(AT2-AX2)/AX2</f>
        <v>1.0124440019910403</v>
      </c>
      <c r="AV2" s="6" t="s">
        <v>43</v>
      </c>
      <c r="AW2" s="6" t="str">
        <f>"="&amp;AV2</f>
        <v>=20.09*100000000</v>
      </c>
      <c r="AX2" s="1">
        <f>20.09*100000000</f>
        <v>2009000000</v>
      </c>
      <c r="AY2" s="10">
        <f>(AX2-BB2)/BB2</f>
        <v>-0.74067380921647086</v>
      </c>
      <c r="AZ2" s="6" t="s">
        <v>44</v>
      </c>
      <c r="BA2" s="6" t="str">
        <f>"="&amp;AZ2</f>
        <v>=77.47*100000000</v>
      </c>
      <c r="BB2" s="1">
        <f>77.47*100000000</f>
        <v>7747000000</v>
      </c>
      <c r="BC2" s="8">
        <f>(BB2-BF2)/BF2</f>
        <v>0.3349991383767017</v>
      </c>
      <c r="BD2" s="6" t="s">
        <v>45</v>
      </c>
      <c r="BE2" s="6" t="str">
        <f>"="&amp;BD2</f>
        <v>=58.03*100000000</v>
      </c>
      <c r="BF2" s="1">
        <f>58.03*100000000</f>
        <v>5803000000</v>
      </c>
      <c r="BG2" s="8">
        <f>(BF2-BJ2)/BJ2</f>
        <v>0.55952700886858375</v>
      </c>
      <c r="BH2" s="6" t="s">
        <v>46</v>
      </c>
      <c r="BI2" s="6" t="str">
        <f>"="&amp;BH2</f>
        <v>=37.21*100000000</v>
      </c>
      <c r="BJ2" s="1">
        <f>37.21*100000000</f>
        <v>3721000000</v>
      </c>
      <c r="BK2" s="6" t="s">
        <v>47</v>
      </c>
      <c r="BL2" s="1" t="str">
        <f t="shared" ref="BL2:BL65" si="1">"="&amp;BK2</f>
        <v>=17.24*100000000</v>
      </c>
      <c r="BM2" s="16">
        <f>(BJ2-BN2)/BN2</f>
        <v>1.1583526682134573</v>
      </c>
      <c r="BN2" s="1">
        <f>17.24*100000000</f>
        <v>1723999999.9999998</v>
      </c>
    </row>
    <row r="3" spans="1:66">
      <c r="A3" s="18"/>
      <c r="B3">
        <v>600004</v>
      </c>
      <c r="C3" t="s">
        <v>48</v>
      </c>
      <c r="D3" s="6">
        <f>-5.415*100000000</f>
        <v>-541500000</v>
      </c>
      <c r="E3" s="7" t="str">
        <f t="shared" si="0"/>
        <v>=-541500000</v>
      </c>
      <c r="F3" s="1">
        <f>-541500000</f>
        <v>-541500000</v>
      </c>
      <c r="G3" s="8">
        <f t="shared" ref="G3:G66" si="2">(F3-J3)/J3</f>
        <v>-4.1932059447983012E-2</v>
      </c>
      <c r="H3" s="6">
        <f>-5.652*100000000</f>
        <v>-565200000</v>
      </c>
      <c r="I3" s="6" t="str">
        <f>"="&amp;H3</f>
        <v>=-565200000</v>
      </c>
      <c r="J3" s="1">
        <f>-565200000</f>
        <v>-565200000</v>
      </c>
      <c r="K3" s="10">
        <f t="shared" ref="K3:K66" si="3">(J3-N3)/N3</f>
        <v>0.18689626207475851</v>
      </c>
      <c r="L3" s="6">
        <f>-4.762*100000000</f>
        <v>-476199999.99999994</v>
      </c>
      <c r="M3" s="6" t="str">
        <f t="shared" ref="M3:M66" si="4">"="&amp;L3</f>
        <v>=-476200000</v>
      </c>
      <c r="N3" s="1">
        <f>-476200000</f>
        <v>-476200000</v>
      </c>
      <c r="O3" s="8">
        <f t="shared" ref="O3:O66" si="5">(N3-R3)/R3</f>
        <v>1.579631635969664</v>
      </c>
      <c r="P3" s="6">
        <f>-1.846*100000000</f>
        <v>-184600000</v>
      </c>
      <c r="Q3" s="6" t="str">
        <f t="shared" ref="Q3:Q66" si="6">"="&amp;P3</f>
        <v>=-184600000</v>
      </c>
      <c r="R3" s="11">
        <f>-184600000</f>
        <v>-184600000</v>
      </c>
      <c r="S3" s="8">
        <f t="shared" ref="S3:S66" si="7">(R3-V3)/V3</f>
        <v>5.6064073226544622E-2</v>
      </c>
      <c r="T3" s="6">
        <f>-1.748*100000000</f>
        <v>-174800000</v>
      </c>
      <c r="U3" s="6" t="str">
        <f t="shared" ref="U3:U66" si="8">"="&amp;T3</f>
        <v>=-174800000</v>
      </c>
      <c r="V3" s="1">
        <f>-174800000</f>
        <v>-174800000</v>
      </c>
      <c r="W3" s="8">
        <f t="shared" ref="W3:W66" si="9">(V3-Z3)/Z3</f>
        <v>-0.22791519434628976</v>
      </c>
      <c r="X3" s="6">
        <f>-2.264*100000000</f>
        <v>-226399999.99999997</v>
      </c>
      <c r="Y3" s="6" t="str">
        <f t="shared" ref="Y3:Y66" si="10">"="&amp;X3</f>
        <v>=-226400000</v>
      </c>
      <c r="Z3" s="1">
        <f>-226400000</f>
        <v>-226400000</v>
      </c>
      <c r="AA3" s="8">
        <f t="shared" ref="AA3:AA66" si="11">(Z3-AD3)/AD3</f>
        <v>1.4049288294030169</v>
      </c>
      <c r="AB3" s="7">
        <f>-9414*10000</f>
        <v>-94140000</v>
      </c>
      <c r="AC3" s="6" t="str">
        <f t="shared" ref="AC3:AC66" si="12">"="&amp;AB3</f>
        <v>=-94140000</v>
      </c>
      <c r="AD3" s="1">
        <f>-94140000</f>
        <v>-94140000</v>
      </c>
      <c r="AE3" s="8">
        <f t="shared" ref="AE3:AE66" si="13">(AD3-AH3)/AH3</f>
        <v>-1.538558352402746</v>
      </c>
      <c r="AF3" s="6" t="s">
        <v>49</v>
      </c>
      <c r="AG3" s="6" t="str">
        <f t="shared" ref="AG3:AG66" si="14">"="&amp;AF3</f>
        <v>=1.748*100000000</v>
      </c>
      <c r="AH3" s="1">
        <f>1.748*100000000</f>
        <v>174800000</v>
      </c>
      <c r="AI3" s="8">
        <f t="shared" ref="AI3:AI66" si="15">(AH3-AL3)/AL3</f>
        <v>-0.87690140845070419</v>
      </c>
      <c r="AJ3" s="6" t="s">
        <v>50</v>
      </c>
      <c r="AK3" s="6" t="str">
        <f t="shared" ref="AK3:AK66" si="16">"="&amp;AJ3</f>
        <v>=14.20*100000000</v>
      </c>
      <c r="AL3" s="1">
        <f>14.2*100000000</f>
        <v>1420000000</v>
      </c>
      <c r="AM3" s="8">
        <f t="shared" ref="AM3:AM66" si="17">(AL3-AP3)/AP3</f>
        <v>0.60379489496272898</v>
      </c>
      <c r="AN3" s="6" t="s">
        <v>51</v>
      </c>
      <c r="AO3" s="6" t="str">
        <f t="shared" ref="AO3:AO66" si="18">"="&amp;AN3</f>
        <v>=8.854*100000000</v>
      </c>
      <c r="AP3" s="1">
        <f>8.854*100000000</f>
        <v>885399999.99999988</v>
      </c>
      <c r="AQ3" s="8">
        <f t="shared" ref="AQ3:AQ66" si="19">(AP3-AT3)/AT3</f>
        <v>0.39785285759393729</v>
      </c>
      <c r="AR3" s="6" t="s">
        <v>52</v>
      </c>
      <c r="AS3" s="6" t="str">
        <f t="shared" ref="AS3:AS66" si="20">"="&amp;AR3</f>
        <v>=6.334*100000000</v>
      </c>
      <c r="AT3" s="1">
        <f>6.334*100000000</f>
        <v>633400000</v>
      </c>
      <c r="AU3" s="8">
        <f t="shared" ref="AU3:AU66" si="21">(AT3-AX3)/AX3</f>
        <v>0.800966733011089</v>
      </c>
      <c r="AV3" s="6" t="s">
        <v>53</v>
      </c>
      <c r="AW3" s="6" t="str">
        <f t="shared" ref="AW3:AW66" si="22">"="&amp;AV3</f>
        <v>=3.517*100000000</v>
      </c>
      <c r="AX3" s="1">
        <f>3.517*100000000</f>
        <v>351700000</v>
      </c>
      <c r="AY3" s="10">
        <f t="shared" ref="AY3:AY66" si="23">(AX3-BB3)/BB3</f>
        <v>-0.76982984293193712</v>
      </c>
      <c r="AZ3" s="6" t="s">
        <v>54</v>
      </c>
      <c r="BA3" s="6" t="str">
        <f t="shared" ref="BA3:BA66" si="24">"="&amp;AZ3</f>
        <v>=15.28*100000000</v>
      </c>
      <c r="BB3" s="1">
        <f>15.28*100000000</f>
        <v>1528000000</v>
      </c>
      <c r="BC3" s="8">
        <f t="shared" ref="BC3:BC66" si="25">(BB3-BF3)/BF3</f>
        <v>0.22534081796311148</v>
      </c>
      <c r="BD3" s="6" t="s">
        <v>55</v>
      </c>
      <c r="BE3" s="6" t="str">
        <f t="shared" ref="BE3:BE66" si="26">"="&amp;BD3</f>
        <v>=12.47*100000000</v>
      </c>
      <c r="BF3" s="1">
        <f>12.47*100000000</f>
        <v>1247000000</v>
      </c>
      <c r="BG3" s="8">
        <f t="shared" ref="BG3:BG66" si="27">(BF3-BJ3)/BJ3</f>
        <v>0.31001155583569701</v>
      </c>
      <c r="BH3" s="6" t="s">
        <v>56</v>
      </c>
      <c r="BI3" s="6" t="str">
        <f t="shared" ref="BI3:BI66" si="28">"="&amp;BH3</f>
        <v>=9.519*100000000</v>
      </c>
      <c r="BJ3" s="1">
        <f>9.519*100000000</f>
        <v>951900000</v>
      </c>
      <c r="BK3" s="6" t="s">
        <v>57</v>
      </c>
      <c r="BL3" s="1" t="str">
        <f t="shared" si="1"/>
        <v>=5.949*100000000</v>
      </c>
      <c r="BM3" s="16">
        <f t="shared" ref="BM3:BM66" si="29">(BJ3-BN3)/BN3</f>
        <v>0.60010085728693896</v>
      </c>
      <c r="BN3" s="1">
        <f>5.949*100000000</f>
        <v>594900000</v>
      </c>
    </row>
    <row r="4" spans="1:66">
      <c r="A4" s="18"/>
      <c r="B4">
        <v>600004</v>
      </c>
      <c r="C4" t="s">
        <v>58</v>
      </c>
      <c r="D4" s="6">
        <f>-5.3*100000000</f>
        <v>-530000000</v>
      </c>
      <c r="E4" s="7" t="str">
        <f t="shared" si="0"/>
        <v>=-530000000</v>
      </c>
      <c r="F4" s="1">
        <f>-530000000</f>
        <v>-530000000</v>
      </c>
      <c r="G4" s="8">
        <f t="shared" si="2"/>
        <v>-5.0519527051236114E-2</v>
      </c>
      <c r="H4" s="6">
        <f>-5.582*100000000</f>
        <v>-558200000</v>
      </c>
      <c r="I4" s="6" t="str">
        <f t="shared" ref="I4:I66" si="30">"="&amp;H4</f>
        <v>=-558200000</v>
      </c>
      <c r="J4" s="1">
        <f>-558200000</f>
        <v>-558200000</v>
      </c>
      <c r="K4" s="10">
        <f t="shared" si="3"/>
        <v>0.18187592631801822</v>
      </c>
      <c r="L4" s="6">
        <f>-4.723*100000000</f>
        <v>-472300000</v>
      </c>
      <c r="M4" s="6" t="str">
        <f t="shared" si="4"/>
        <v>=-472300000</v>
      </c>
      <c r="N4" s="1">
        <f>-472300000</f>
        <v>-472300000</v>
      </c>
      <c r="O4" s="8">
        <f t="shared" si="5"/>
        <v>1.5682436106579662</v>
      </c>
      <c r="P4" s="6">
        <f>-1.839*100000000</f>
        <v>-183900000</v>
      </c>
      <c r="Q4" s="6" t="str">
        <f t="shared" si="6"/>
        <v>=-183900000</v>
      </c>
      <c r="R4" s="11">
        <f>-183900000</f>
        <v>-183900000</v>
      </c>
      <c r="S4" s="8">
        <f t="shared" si="7"/>
        <v>0.23921832884097036</v>
      </c>
      <c r="T4" s="6">
        <f>-1.484*100000000</f>
        <v>-148400000</v>
      </c>
      <c r="U4" s="6" t="str">
        <f t="shared" si="8"/>
        <v>=-148400000</v>
      </c>
      <c r="V4" s="1">
        <f>-148400000</f>
        <v>-148400000</v>
      </c>
      <c r="W4" s="8">
        <f t="shared" si="9"/>
        <v>-0.29867674858223064</v>
      </c>
      <c r="X4" s="6">
        <f>-2.116*100000000</f>
        <v>-211600000</v>
      </c>
      <c r="Y4" s="6" t="str">
        <f t="shared" si="10"/>
        <v>=-211600000</v>
      </c>
      <c r="Z4" s="1">
        <f>-211600000</f>
        <v>-211600000</v>
      </c>
      <c r="AA4" s="8">
        <f t="shared" si="11"/>
        <v>1.5893294175232502</v>
      </c>
      <c r="AB4" s="7">
        <f>-8172*10000</f>
        <v>-81720000</v>
      </c>
      <c r="AC4" s="6" t="str">
        <f t="shared" si="12"/>
        <v>=-81720000</v>
      </c>
      <c r="AD4" s="1">
        <f>-81720000</f>
        <v>-81720000</v>
      </c>
      <c r="AE4" s="8">
        <f t="shared" si="13"/>
        <v>-1.460394366197183</v>
      </c>
      <c r="AF4" s="6" t="s">
        <v>59</v>
      </c>
      <c r="AG4" s="6" t="str">
        <f t="shared" si="14"/>
        <v>=1.775*100000000</v>
      </c>
      <c r="AH4" s="1">
        <f>1.775*100000000</f>
        <v>177500000</v>
      </c>
      <c r="AI4" s="8">
        <f t="shared" si="15"/>
        <v>-0.87570028011204482</v>
      </c>
      <c r="AJ4" s="6" t="s">
        <v>60</v>
      </c>
      <c r="AK4" s="6" t="str">
        <f t="shared" si="16"/>
        <v>=14.28*100000000</v>
      </c>
      <c r="AL4" s="1">
        <f>14.28*100000000</f>
        <v>1428000000</v>
      </c>
      <c r="AM4" s="8">
        <f t="shared" si="17"/>
        <v>0.58349966733200243</v>
      </c>
      <c r="AN4" s="6" t="s">
        <v>61</v>
      </c>
      <c r="AO4" s="6" t="str">
        <f t="shared" si="18"/>
        <v>=9.018*100000000</v>
      </c>
      <c r="AP4" s="1">
        <f>9.018*100000000</f>
        <v>901800000.00000012</v>
      </c>
      <c r="AQ4" s="8">
        <f t="shared" si="19"/>
        <v>0.38909426987061019</v>
      </c>
      <c r="AR4" s="6" t="s">
        <v>62</v>
      </c>
      <c r="AS4" s="6" t="str">
        <f t="shared" si="20"/>
        <v>=6.492*100000000</v>
      </c>
      <c r="AT4" s="1">
        <f>6.492*100000000</f>
        <v>649200000</v>
      </c>
      <c r="AU4" s="8">
        <f t="shared" si="21"/>
        <v>0.83131170662905496</v>
      </c>
      <c r="AV4" s="6" t="s">
        <v>63</v>
      </c>
      <c r="AW4" s="6" t="str">
        <f t="shared" si="22"/>
        <v>=3.545*100000000</v>
      </c>
      <c r="AX4" s="1">
        <f>3.545*100000000</f>
        <v>354500000</v>
      </c>
      <c r="AY4" s="10">
        <f t="shared" si="23"/>
        <v>-0.76950585175552666</v>
      </c>
      <c r="AZ4" s="6" t="s">
        <v>64</v>
      </c>
      <c r="BA4" s="6" t="str">
        <f t="shared" si="24"/>
        <v>=15.38*100000000</v>
      </c>
      <c r="BB4" s="1">
        <f>15.38*100000000</f>
        <v>1538000000</v>
      </c>
      <c r="BC4" s="8">
        <f t="shared" si="25"/>
        <v>0.22745411013567438</v>
      </c>
      <c r="BD4" s="6" t="s">
        <v>65</v>
      </c>
      <c r="BE4" s="6" t="str">
        <f t="shared" si="26"/>
        <v>=12.53*100000000</v>
      </c>
      <c r="BF4" s="1">
        <f>12.53*100000000</f>
        <v>1253000000</v>
      </c>
      <c r="BG4" s="8">
        <f t="shared" si="27"/>
        <v>0.31204188481675377</v>
      </c>
      <c r="BH4" s="6" t="s">
        <v>66</v>
      </c>
      <c r="BI4" s="6" t="str">
        <f t="shared" si="28"/>
        <v>=9.550*100000000</v>
      </c>
      <c r="BJ4" s="1">
        <f>9.55*100000000</f>
        <v>955000000.00000012</v>
      </c>
      <c r="BK4" s="6" t="s">
        <v>67</v>
      </c>
      <c r="BL4" s="1" t="str">
        <f t="shared" si="1"/>
        <v>=5.964*100000000</v>
      </c>
      <c r="BM4" s="16">
        <f t="shared" si="29"/>
        <v>0.60127431254191832</v>
      </c>
      <c r="BN4" s="1">
        <f>5.964*100000000</f>
        <v>596400000</v>
      </c>
    </row>
    <row r="5" spans="1:66">
      <c r="A5" s="19"/>
      <c r="B5">
        <v>600004</v>
      </c>
      <c r="C5" t="s">
        <v>68</v>
      </c>
      <c r="D5" s="6">
        <f>-3.854*100000000</f>
        <v>-385400000</v>
      </c>
      <c r="E5" s="7" t="str">
        <f t="shared" si="0"/>
        <v>=-385400000</v>
      </c>
      <c r="F5" s="1">
        <f>-385400000</f>
        <v>-385400000</v>
      </c>
      <c r="G5" s="8">
        <f t="shared" si="2"/>
        <v>-0.20074657818332642</v>
      </c>
      <c r="H5" s="6">
        <f>-4.822*100000000</f>
        <v>-482200000</v>
      </c>
      <c r="I5" s="6" t="str">
        <f t="shared" si="30"/>
        <v>=-482200000</v>
      </c>
      <c r="J5" s="1">
        <f>-482200000</f>
        <v>-482200000</v>
      </c>
      <c r="K5" s="10">
        <f t="shared" si="3"/>
        <v>0.20852130325814536</v>
      </c>
      <c r="L5" s="6">
        <f>-3.99*100000000</f>
        <v>-399000000</v>
      </c>
      <c r="M5" s="6" t="str">
        <f t="shared" si="4"/>
        <v>=-399000000</v>
      </c>
      <c r="N5" s="1">
        <f>-399000000</f>
        <v>-399000000</v>
      </c>
      <c r="O5" s="8">
        <f t="shared" si="5"/>
        <v>1.6146788990825689</v>
      </c>
      <c r="P5" s="6">
        <f>-1.526*100000000</f>
        <v>-152600000</v>
      </c>
      <c r="Q5" s="6" t="str">
        <f t="shared" si="6"/>
        <v>=-152600000</v>
      </c>
      <c r="R5" s="11">
        <f>-152600000</f>
        <v>-152600000</v>
      </c>
      <c r="S5" s="8">
        <f t="shared" si="7"/>
        <v>-0.34195774040534715</v>
      </c>
      <c r="T5" s="6">
        <f>-2.319*100000000</f>
        <v>-231900000</v>
      </c>
      <c r="U5" s="6" t="str">
        <f t="shared" si="8"/>
        <v>=-231900000</v>
      </c>
      <c r="V5" s="1">
        <f>-231900000</f>
        <v>-231900000</v>
      </c>
      <c r="W5" s="8">
        <f t="shared" si="9"/>
        <v>-0.18774080560420314</v>
      </c>
      <c r="X5" s="6">
        <f>-2.855*100000000</f>
        <v>-285500000</v>
      </c>
      <c r="Y5" s="6" t="str">
        <f t="shared" si="10"/>
        <v>=-285500000</v>
      </c>
      <c r="Z5" s="1">
        <f>-285500000</f>
        <v>-285500000</v>
      </c>
      <c r="AA5" s="8">
        <f t="shared" si="11"/>
        <v>0.69135071090047395</v>
      </c>
      <c r="AB5" s="6">
        <f>-1.688*100000000</f>
        <v>-168800000</v>
      </c>
      <c r="AC5" s="6" t="str">
        <f t="shared" si="12"/>
        <v>=-168800000</v>
      </c>
      <c r="AD5" s="1">
        <f>-168800000</f>
        <v>-168800000</v>
      </c>
      <c r="AE5" s="8">
        <f t="shared" si="13"/>
        <v>1.6582677165354331</v>
      </c>
      <c r="AF5" s="7">
        <f>-6350*10000</f>
        <v>-63500000</v>
      </c>
      <c r="AG5" s="6" t="str">
        <f t="shared" si="14"/>
        <v>=-63500000</v>
      </c>
      <c r="AH5" s="1">
        <f>-63500000</f>
        <v>-63500000</v>
      </c>
      <c r="AI5" s="8">
        <f t="shared" si="15"/>
        <v>-1.0561450044208665</v>
      </c>
      <c r="AJ5" s="6" t="s">
        <v>69</v>
      </c>
      <c r="AK5" s="6" t="str">
        <f t="shared" si="16"/>
        <v>=11.31*100000000</v>
      </c>
      <c r="AL5" s="1">
        <f>11.31*100000000</f>
        <v>1131000000</v>
      </c>
      <c r="AM5" s="8">
        <f t="shared" si="17"/>
        <v>0.64413432184910602</v>
      </c>
      <c r="AN5" s="6" t="s">
        <v>70</v>
      </c>
      <c r="AO5" s="6" t="str">
        <f t="shared" si="18"/>
        <v>=6.879*100000000</v>
      </c>
      <c r="AP5" s="1">
        <f>6.879*100000000</f>
        <v>687900000</v>
      </c>
      <c r="AQ5" s="8">
        <f t="shared" si="19"/>
        <v>0.39025869037995131</v>
      </c>
      <c r="AR5" s="6" t="s">
        <v>71</v>
      </c>
      <c r="AS5" s="6" t="str">
        <f t="shared" si="20"/>
        <v>=4.948*100000000</v>
      </c>
      <c r="AT5" s="1">
        <f>4.948*100000000</f>
        <v>494800000.00000006</v>
      </c>
      <c r="AU5" s="8">
        <f t="shared" si="21"/>
        <v>0.86646548472274654</v>
      </c>
      <c r="AV5" s="6" t="s">
        <v>72</v>
      </c>
      <c r="AW5" s="6" t="str">
        <f t="shared" si="22"/>
        <v>=2.651*100000000</v>
      </c>
      <c r="AX5" s="1">
        <f>2.651*100000000</f>
        <v>265099999.99999997</v>
      </c>
      <c r="AY5" s="10">
        <f t="shared" si="23"/>
        <v>-0.77185886402753867</v>
      </c>
      <c r="AZ5" s="6" t="s">
        <v>73</v>
      </c>
      <c r="BA5" s="6" t="str">
        <f t="shared" si="24"/>
        <v>=11.62*100000000</v>
      </c>
      <c r="BB5" s="1">
        <f>11.62*100000000</f>
        <v>1162000000</v>
      </c>
      <c r="BC5" s="8">
        <f t="shared" si="25"/>
        <v>0.23669646658152391</v>
      </c>
      <c r="BD5" s="6" t="s">
        <v>74</v>
      </c>
      <c r="BE5" s="6" t="str">
        <f t="shared" si="26"/>
        <v>=9.396*100000000</v>
      </c>
      <c r="BF5" s="1">
        <f>9.396*100000000</f>
        <v>939600000.00000012</v>
      </c>
      <c r="BG5" s="8">
        <f t="shared" si="27"/>
        <v>0.31265716680637068</v>
      </c>
      <c r="BH5" s="6" t="s">
        <v>75</v>
      </c>
      <c r="BI5" s="6" t="str">
        <f t="shared" si="28"/>
        <v>=7.158*100000000</v>
      </c>
      <c r="BJ5" s="1">
        <f>7.158*100000000</f>
        <v>715800000</v>
      </c>
      <c r="BK5" s="6" t="s">
        <v>76</v>
      </c>
      <c r="BL5" s="1" t="str">
        <f t="shared" si="1"/>
        <v>=4.364*100000000</v>
      </c>
      <c r="BM5" s="16">
        <f t="shared" si="29"/>
        <v>0.64023831347387716</v>
      </c>
      <c r="BN5" s="1">
        <f>4.364*100000000</f>
        <v>436400000</v>
      </c>
    </row>
    <row r="6" spans="1:66">
      <c r="A6" s="17">
        <v>2</v>
      </c>
      <c r="B6">
        <v>600006</v>
      </c>
      <c r="C6" t="s">
        <v>31</v>
      </c>
      <c r="D6" s="6" t="s">
        <v>77</v>
      </c>
      <c r="E6" s="7" t="str">
        <f t="shared" si="0"/>
        <v>=155.5*100000000</v>
      </c>
      <c r="F6" s="1">
        <f>155.5*100000000</f>
        <v>15550000000</v>
      </c>
      <c r="G6" s="8">
        <f t="shared" si="2"/>
        <v>0.27459016393442626</v>
      </c>
      <c r="H6" s="6" t="s">
        <v>78</v>
      </c>
      <c r="I6" s="6" t="str">
        <f t="shared" si="30"/>
        <v>=122.0*100000000</v>
      </c>
      <c r="J6" s="1">
        <f>122*100000000</f>
        <v>12200000000</v>
      </c>
      <c r="K6" s="10">
        <f t="shared" si="3"/>
        <v>0.37962230012439219</v>
      </c>
      <c r="L6" s="6" t="s">
        <v>79</v>
      </c>
      <c r="M6" s="6" t="str">
        <f t="shared" si="4"/>
        <v>=88.43*100000000</v>
      </c>
      <c r="N6" s="1">
        <f>88.43*100000000</f>
        <v>8843000000</v>
      </c>
      <c r="O6" s="8">
        <f t="shared" si="5"/>
        <v>1.2308274470232088</v>
      </c>
      <c r="P6" s="6" t="s">
        <v>80</v>
      </c>
      <c r="Q6" s="6" t="str">
        <f t="shared" si="6"/>
        <v>=39.64*100000000</v>
      </c>
      <c r="R6" s="11">
        <f>39.64*100000000</f>
        <v>3964000000</v>
      </c>
      <c r="S6" s="8">
        <f t="shared" si="7"/>
        <v>-0.71128914785142028</v>
      </c>
      <c r="T6" s="6" t="s">
        <v>81</v>
      </c>
      <c r="U6" s="6" t="str">
        <f t="shared" si="8"/>
        <v>=137.3*100000000</v>
      </c>
      <c r="V6" s="1">
        <f>137.3*100000000</f>
        <v>13730000000.000002</v>
      </c>
      <c r="W6" s="8">
        <f t="shared" si="9"/>
        <v>0.35806132542037605</v>
      </c>
      <c r="X6" s="6" t="s">
        <v>82</v>
      </c>
      <c r="Y6" s="6" t="str">
        <f t="shared" si="10"/>
        <v>=101.1*100000000</v>
      </c>
      <c r="Z6" s="1">
        <f>101.1*100000000</f>
        <v>10110000000</v>
      </c>
      <c r="AA6" s="8">
        <f t="shared" si="11"/>
        <v>0.56477325491410002</v>
      </c>
      <c r="AB6" s="6" t="s">
        <v>83</v>
      </c>
      <c r="AC6" s="6" t="str">
        <f t="shared" si="12"/>
        <v>=64.61*100000000</v>
      </c>
      <c r="AD6" s="1">
        <f>64.61*100000000</f>
        <v>6461000000</v>
      </c>
      <c r="AE6" s="8">
        <f t="shared" si="13"/>
        <v>2.12729912875121</v>
      </c>
      <c r="AF6" s="6" t="s">
        <v>84</v>
      </c>
      <c r="AG6" s="6" t="str">
        <f t="shared" si="14"/>
        <v>=20.66*100000000</v>
      </c>
      <c r="AH6" s="1">
        <f>20.66*100000000</f>
        <v>2066000000</v>
      </c>
      <c r="AI6" s="8">
        <f t="shared" si="15"/>
        <v>-0.84718934911242605</v>
      </c>
      <c r="AJ6" s="6" t="s">
        <v>85</v>
      </c>
      <c r="AK6" s="6" t="str">
        <f t="shared" si="16"/>
        <v>=135.2*100000000</v>
      </c>
      <c r="AL6" s="1">
        <f>135.2*100000000</f>
        <v>13519999999.999998</v>
      </c>
      <c r="AM6" s="8">
        <f t="shared" si="17"/>
        <v>0.35988734661033978</v>
      </c>
      <c r="AN6" s="6" t="s">
        <v>86</v>
      </c>
      <c r="AO6" s="6" t="str">
        <f t="shared" si="18"/>
        <v>=99.42*100000000</v>
      </c>
      <c r="AP6" s="1">
        <f>99.42*100000000</f>
        <v>9942000000</v>
      </c>
      <c r="AQ6" s="8">
        <f t="shared" si="19"/>
        <v>0.47049253069072622</v>
      </c>
      <c r="AR6" s="6" t="s">
        <v>87</v>
      </c>
      <c r="AS6" s="6" t="str">
        <f t="shared" si="20"/>
        <v>=67.61*100000000</v>
      </c>
      <c r="AT6" s="1">
        <f>67.61*100000000</f>
        <v>6761000000</v>
      </c>
      <c r="AU6" s="8">
        <f t="shared" si="21"/>
        <v>1.1690728264356753</v>
      </c>
      <c r="AV6" s="6" t="s">
        <v>88</v>
      </c>
      <c r="AW6" s="6" t="str">
        <f t="shared" si="22"/>
        <v>=31.17*100000000</v>
      </c>
      <c r="AX6" s="1">
        <f>31.17*100000000</f>
        <v>3117000000</v>
      </c>
      <c r="AY6" s="10">
        <f t="shared" si="23"/>
        <v>-0.7838418862690707</v>
      </c>
      <c r="AZ6" s="6" t="s">
        <v>89</v>
      </c>
      <c r="BA6" s="6" t="str">
        <f t="shared" si="24"/>
        <v>=144.2*100000000</v>
      </c>
      <c r="BB6" s="1">
        <f>144.2*100000000</f>
        <v>14419999999.999998</v>
      </c>
      <c r="BC6" s="8">
        <f t="shared" si="25"/>
        <v>0.56009953478307883</v>
      </c>
      <c r="BD6" s="6" t="s">
        <v>90</v>
      </c>
      <c r="BE6" s="6" t="str">
        <f t="shared" si="26"/>
        <v>=92.43*100000000</v>
      </c>
      <c r="BF6" s="1">
        <f>92.43*100000000</f>
        <v>9243000000</v>
      </c>
      <c r="BG6" s="8">
        <f t="shared" si="27"/>
        <v>0.59664881672136816</v>
      </c>
      <c r="BH6" s="6" t="s">
        <v>91</v>
      </c>
      <c r="BI6" s="6" t="str">
        <f t="shared" si="28"/>
        <v>=57.89*100000000</v>
      </c>
      <c r="BJ6" s="1">
        <f>57.89*100000000</f>
        <v>5789000000</v>
      </c>
      <c r="BK6" s="6" t="s">
        <v>92</v>
      </c>
      <c r="BL6" s="1" t="str">
        <f t="shared" si="1"/>
        <v>=24.58*100000000</v>
      </c>
      <c r="BM6" s="16">
        <f t="shared" si="29"/>
        <v>1.355166802278275</v>
      </c>
      <c r="BN6" s="1">
        <f>24.58*100000000</f>
        <v>2458000000</v>
      </c>
    </row>
    <row r="7" spans="1:66">
      <c r="A7" s="18"/>
      <c r="B7">
        <v>600006</v>
      </c>
      <c r="C7" t="s">
        <v>48</v>
      </c>
      <c r="D7" s="6" t="s">
        <v>93</v>
      </c>
      <c r="E7" s="7" t="str">
        <f t="shared" si="0"/>
        <v>=3.838*100000000</v>
      </c>
      <c r="F7" s="1">
        <f>3.838*100000000</f>
        <v>383800000</v>
      </c>
      <c r="G7" s="8">
        <f t="shared" si="2"/>
        <v>-0.26657748901203893</v>
      </c>
      <c r="H7" s="6" t="s">
        <v>94</v>
      </c>
      <c r="I7" s="6" t="str">
        <f t="shared" si="30"/>
        <v>=5.233*100000000</v>
      </c>
      <c r="J7" s="1">
        <f>5.233*100000000</f>
        <v>523299999.99999994</v>
      </c>
      <c r="K7" s="10">
        <f t="shared" si="3"/>
        <v>7.7635914332784065E-2</v>
      </c>
      <c r="L7" s="6" t="s">
        <v>95</v>
      </c>
      <c r="M7" s="6" t="str">
        <f t="shared" si="4"/>
        <v>=4.856*100000000</v>
      </c>
      <c r="N7" s="1">
        <f>4.856*100000000</f>
        <v>485600000</v>
      </c>
      <c r="O7" s="8">
        <f t="shared" si="5"/>
        <v>0.87490347490347486</v>
      </c>
      <c r="P7" s="6" t="s">
        <v>96</v>
      </c>
      <c r="Q7" s="6" t="str">
        <f t="shared" si="6"/>
        <v>=2.590*100000000</v>
      </c>
      <c r="R7" s="11">
        <f>2.59*100000000</f>
        <v>259000000</v>
      </c>
      <c r="S7" s="8">
        <f t="shared" si="7"/>
        <v>-0.56840526578903516</v>
      </c>
      <c r="T7" s="6" t="s">
        <v>97</v>
      </c>
      <c r="U7" s="6" t="str">
        <f t="shared" si="8"/>
        <v>=6.001*100000000</v>
      </c>
      <c r="V7" s="1">
        <f>6.001*100000000</f>
        <v>600100000</v>
      </c>
      <c r="W7" s="8">
        <f t="shared" si="9"/>
        <v>0.20890410958904096</v>
      </c>
      <c r="X7" s="6" t="s">
        <v>98</v>
      </c>
      <c r="Y7" s="6" t="str">
        <f t="shared" si="10"/>
        <v>=4.964*100000000</v>
      </c>
      <c r="Z7" s="1">
        <f>4.964*100000000</f>
        <v>496400000.00000006</v>
      </c>
      <c r="AA7" s="8">
        <f t="shared" si="11"/>
        <v>0.50060459492140286</v>
      </c>
      <c r="AB7" s="6" t="s">
        <v>99</v>
      </c>
      <c r="AC7" s="6" t="str">
        <f t="shared" si="12"/>
        <v>=3.308*100000000</v>
      </c>
      <c r="AD7" s="1">
        <f>3.308*100000000</f>
        <v>330800000</v>
      </c>
      <c r="AE7" s="8">
        <f t="shared" si="13"/>
        <v>4.1334574798261947</v>
      </c>
      <c r="AF7" s="7" t="s">
        <v>100</v>
      </c>
      <c r="AG7" s="6" t="str">
        <f t="shared" si="14"/>
        <v>=6444*10000</v>
      </c>
      <c r="AH7" s="1">
        <f>6444*10000</f>
        <v>64440000</v>
      </c>
      <c r="AI7" s="8">
        <f t="shared" si="15"/>
        <v>-0.84041604754829125</v>
      </c>
      <c r="AJ7" s="6" t="s">
        <v>101</v>
      </c>
      <c r="AK7" s="6" t="str">
        <f t="shared" si="16"/>
        <v>=4.038*100000000</v>
      </c>
      <c r="AL7" s="1">
        <f>4.038*100000000</f>
        <v>403800000</v>
      </c>
      <c r="AM7" s="8">
        <f t="shared" si="17"/>
        <v>0.34331337325349304</v>
      </c>
      <c r="AN7" s="6" t="s">
        <v>102</v>
      </c>
      <c r="AO7" s="6" t="str">
        <f t="shared" si="18"/>
        <v>=3.006*100000000</v>
      </c>
      <c r="AP7" s="1">
        <f>3.006*100000000</f>
        <v>300600000</v>
      </c>
      <c r="AQ7" s="8">
        <f t="shared" si="19"/>
        <v>0.34256364448414472</v>
      </c>
      <c r="AR7" s="6" t="s">
        <v>103</v>
      </c>
      <c r="AS7" s="6" t="str">
        <f t="shared" si="20"/>
        <v>=2.239*100000000</v>
      </c>
      <c r="AT7" s="1">
        <f>2.239*100000000</f>
        <v>223900000</v>
      </c>
      <c r="AU7" s="8">
        <f t="shared" si="21"/>
        <v>1.1082862523540489</v>
      </c>
      <c r="AV7" s="6" t="s">
        <v>104</v>
      </c>
      <c r="AW7" s="6" t="str">
        <f t="shared" si="22"/>
        <v>=1.062*100000000</v>
      </c>
      <c r="AX7" s="1">
        <f>1.062*100000000</f>
        <v>106200000</v>
      </c>
      <c r="AY7" s="10">
        <f t="shared" si="23"/>
        <v>-0.79098602637276128</v>
      </c>
      <c r="AZ7" s="6" t="s">
        <v>105</v>
      </c>
      <c r="BA7" s="6" t="str">
        <f t="shared" si="24"/>
        <v>=5.081*100000000</v>
      </c>
      <c r="BB7" s="1">
        <f>5.081*100000000</f>
        <v>508100000.00000006</v>
      </c>
      <c r="BC7" s="8">
        <f t="shared" si="25"/>
        <v>0.3204261954261956</v>
      </c>
      <c r="BD7" s="6" t="s">
        <v>106</v>
      </c>
      <c r="BE7" s="6" t="str">
        <f t="shared" si="26"/>
        <v>=3.848*100000000</v>
      </c>
      <c r="BF7" s="1">
        <f>3.848*100000000</f>
        <v>384800000</v>
      </c>
      <c r="BG7" s="8">
        <f t="shared" si="27"/>
        <v>0.32233676975945019</v>
      </c>
      <c r="BH7" s="6" t="s">
        <v>107</v>
      </c>
      <c r="BI7" s="6" t="str">
        <f t="shared" si="28"/>
        <v>=2.910*100000000</v>
      </c>
      <c r="BJ7" s="1">
        <f>2.91*100000000</f>
        <v>291000000</v>
      </c>
      <c r="BK7" s="6" t="s">
        <v>108</v>
      </c>
      <c r="BL7" s="1" t="str">
        <f t="shared" si="1"/>
        <v>=1.398*100000000</v>
      </c>
      <c r="BM7" s="16">
        <f t="shared" si="29"/>
        <v>1.0815450643776825</v>
      </c>
      <c r="BN7" s="1">
        <f>1.398*100000000</f>
        <v>139800000</v>
      </c>
    </row>
    <row r="8" spans="1:66">
      <c r="A8" s="18"/>
      <c r="B8">
        <v>600006</v>
      </c>
      <c r="C8" t="s">
        <v>58</v>
      </c>
      <c r="D8" s="6" t="s">
        <v>109</v>
      </c>
      <c r="E8" s="7" t="str">
        <f t="shared" si="0"/>
        <v>=3.544*100000000</v>
      </c>
      <c r="F8" s="1">
        <f>3.544*100000000</f>
        <v>354400000</v>
      </c>
      <c r="G8" s="8">
        <f t="shared" si="2"/>
        <v>-0.30537044296354376</v>
      </c>
      <c r="H8" s="6" t="s">
        <v>110</v>
      </c>
      <c r="I8" s="6" t="str">
        <f t="shared" si="30"/>
        <v>=5.102*100000000</v>
      </c>
      <c r="J8" s="1">
        <f>5.102*100000000</f>
        <v>510200000.00000006</v>
      </c>
      <c r="K8" s="10">
        <f t="shared" si="3"/>
        <v>7.7735530207013223E-2</v>
      </c>
      <c r="L8" s="6" t="s">
        <v>111</v>
      </c>
      <c r="M8" s="6" t="str">
        <f t="shared" si="4"/>
        <v>=4.734*100000000</v>
      </c>
      <c r="N8" s="1">
        <f>4.734*100000000</f>
        <v>473400000</v>
      </c>
      <c r="O8" s="8">
        <f t="shared" si="5"/>
        <v>0.810325047801147</v>
      </c>
      <c r="P8" s="6" t="s">
        <v>112</v>
      </c>
      <c r="Q8" s="6" t="str">
        <f t="shared" si="6"/>
        <v>=2.615*100000000</v>
      </c>
      <c r="R8" s="11">
        <f>2.615*100000000</f>
        <v>261500000.00000003</v>
      </c>
      <c r="S8" s="8">
        <f t="shared" si="7"/>
        <v>-0.4850334777471445</v>
      </c>
      <c r="T8" s="6" t="s">
        <v>113</v>
      </c>
      <c r="U8" s="6" t="str">
        <f t="shared" si="8"/>
        <v>=5.078*100000000</v>
      </c>
      <c r="V8" s="1">
        <f>5.078*100000000</f>
        <v>507800000</v>
      </c>
      <c r="W8" s="8">
        <f t="shared" si="9"/>
        <v>0.24950787401574803</v>
      </c>
      <c r="X8" s="6" t="s">
        <v>114</v>
      </c>
      <c r="Y8" s="6" t="str">
        <f t="shared" si="10"/>
        <v>=4.064*100000000</v>
      </c>
      <c r="Z8" s="1">
        <f>4.064*100000000</f>
        <v>406400000</v>
      </c>
      <c r="AA8" s="8">
        <f t="shared" si="11"/>
        <v>0.68770764119601324</v>
      </c>
      <c r="AB8" s="6" t="s">
        <v>115</v>
      </c>
      <c r="AC8" s="6" t="str">
        <f t="shared" si="12"/>
        <v>=2.408*100000000</v>
      </c>
      <c r="AD8" s="1">
        <f>2.408*100000000</f>
        <v>240800000</v>
      </c>
      <c r="AE8" s="8">
        <f t="shared" si="13"/>
        <v>-10.290123456790123</v>
      </c>
      <c r="AF8" s="7">
        <f>-2592*10000</f>
        <v>-25920000</v>
      </c>
      <c r="AG8" s="6" t="str">
        <f t="shared" si="14"/>
        <v>=-25920000</v>
      </c>
      <c r="AH8" s="1">
        <f>-25920000</f>
        <v>-25920000</v>
      </c>
      <c r="AI8" s="8">
        <f t="shared" si="15"/>
        <v>-1.0646061814556331</v>
      </c>
      <c r="AJ8" s="6" t="s">
        <v>116</v>
      </c>
      <c r="AK8" s="6" t="str">
        <f t="shared" si="16"/>
        <v>=4.012*100000000</v>
      </c>
      <c r="AL8" s="1">
        <f>4.012*100000000</f>
        <v>401199999.99999994</v>
      </c>
      <c r="AM8" s="8">
        <f t="shared" si="17"/>
        <v>0.35038707505890254</v>
      </c>
      <c r="AN8" s="6" t="s">
        <v>117</v>
      </c>
      <c r="AO8" s="6" t="str">
        <f t="shared" si="18"/>
        <v>=2.971*100000000</v>
      </c>
      <c r="AP8" s="1">
        <f>2.971*100000000</f>
        <v>297100000</v>
      </c>
      <c r="AQ8" s="8">
        <f t="shared" si="19"/>
        <v>0.34191508581752483</v>
      </c>
      <c r="AR8" s="6" t="s">
        <v>118</v>
      </c>
      <c r="AS8" s="6" t="str">
        <f t="shared" si="20"/>
        <v>=2.214*100000000</v>
      </c>
      <c r="AT8" s="1">
        <f>2.214*100000000</f>
        <v>221400000</v>
      </c>
      <c r="AU8" s="8">
        <f t="shared" si="21"/>
        <v>1.0926275992438563</v>
      </c>
      <c r="AV8" s="6" t="s">
        <v>119</v>
      </c>
      <c r="AW8" s="6" t="str">
        <f t="shared" si="22"/>
        <v>=1.058*100000000</v>
      </c>
      <c r="AX8" s="1">
        <f>1.058*100000000</f>
        <v>105800000</v>
      </c>
      <c r="AY8" s="10">
        <f t="shared" si="23"/>
        <v>-0.78495934959349589</v>
      </c>
      <c r="AZ8" s="6" t="s">
        <v>120</v>
      </c>
      <c r="BA8" s="6" t="str">
        <f t="shared" si="24"/>
        <v>=4.920*100000000</v>
      </c>
      <c r="BB8" s="1">
        <f>4.92*100000000</f>
        <v>492000000</v>
      </c>
      <c r="BC8" s="8">
        <f t="shared" si="25"/>
        <v>0.31480491715660075</v>
      </c>
      <c r="BD8" s="6" t="s">
        <v>121</v>
      </c>
      <c r="BE8" s="6" t="str">
        <f t="shared" si="26"/>
        <v>=3.742*100000000</v>
      </c>
      <c r="BF8" s="1">
        <f>3.742*100000000</f>
        <v>374200000</v>
      </c>
      <c r="BG8" s="8">
        <f t="shared" si="27"/>
        <v>0.28901136755080953</v>
      </c>
      <c r="BH8" s="6" t="s">
        <v>122</v>
      </c>
      <c r="BI8" s="6" t="str">
        <f t="shared" si="28"/>
        <v>=2.903*100000000</v>
      </c>
      <c r="BJ8" s="1">
        <f>2.903*100000000</f>
        <v>290300000</v>
      </c>
      <c r="BK8" s="6" t="s">
        <v>123</v>
      </c>
      <c r="BL8" s="1" t="str">
        <f t="shared" si="1"/>
        <v>=1.391*100000000</v>
      </c>
      <c r="BM8" s="16">
        <f t="shared" si="29"/>
        <v>1.0869877785765636</v>
      </c>
      <c r="BN8" s="1">
        <f>1.391*100000000</f>
        <v>139100000</v>
      </c>
    </row>
    <row r="9" spans="1:66">
      <c r="A9" s="19"/>
      <c r="B9">
        <v>600006</v>
      </c>
      <c r="C9" t="s">
        <v>68</v>
      </c>
      <c r="D9" s="6" t="s">
        <v>124</v>
      </c>
      <c r="E9" s="7" t="str">
        <f t="shared" si="0"/>
        <v>=3.822*100000000</v>
      </c>
      <c r="F9" s="1">
        <f>3.822*100000000</f>
        <v>382200000</v>
      </c>
      <c r="G9" s="8">
        <f t="shared" si="2"/>
        <v>-0.26429258902791147</v>
      </c>
      <c r="H9" s="6" t="s">
        <v>125</v>
      </c>
      <c r="I9" s="6" t="str">
        <f t="shared" si="30"/>
        <v>=5.195*100000000</v>
      </c>
      <c r="J9" s="1">
        <f>5.195*100000000</f>
        <v>519500000</v>
      </c>
      <c r="K9" s="10">
        <f t="shared" si="3"/>
        <v>1.7829153605015673E-2</v>
      </c>
      <c r="L9" s="6" t="s">
        <v>126</v>
      </c>
      <c r="M9" s="6" t="str">
        <f t="shared" si="4"/>
        <v>=5.104*100000000</v>
      </c>
      <c r="N9" s="1">
        <f>5.104*100000000</f>
        <v>510400000</v>
      </c>
      <c r="O9" s="8">
        <f t="shared" si="5"/>
        <v>0.87785136129506991</v>
      </c>
      <c r="P9" s="6" t="s">
        <v>127</v>
      </c>
      <c r="Q9" s="6" t="str">
        <f t="shared" si="6"/>
        <v>=2.718*100000000</v>
      </c>
      <c r="R9" s="11">
        <f>2.718*100000000</f>
        <v>271800000</v>
      </c>
      <c r="S9" s="8">
        <f t="shared" si="7"/>
        <v>-0.50841020075963106</v>
      </c>
      <c r="T9" s="6" t="s">
        <v>128</v>
      </c>
      <c r="U9" s="6" t="str">
        <f t="shared" si="8"/>
        <v>=5.529*100000000</v>
      </c>
      <c r="V9" s="1">
        <f>5.529*100000000</f>
        <v>552900000</v>
      </c>
      <c r="W9" s="8">
        <f t="shared" si="9"/>
        <v>0.11651857835218093</v>
      </c>
      <c r="X9" s="6" t="s">
        <v>129</v>
      </c>
      <c r="Y9" s="6" t="str">
        <f t="shared" si="10"/>
        <v>=4.952*100000000</v>
      </c>
      <c r="Z9" s="1">
        <f>4.952*100000000</f>
        <v>495200000</v>
      </c>
      <c r="AA9" s="8">
        <f t="shared" si="11"/>
        <v>0.67921329264157337</v>
      </c>
      <c r="AB9" s="6" t="s">
        <v>130</v>
      </c>
      <c r="AC9" s="6" t="str">
        <f t="shared" si="12"/>
        <v>=2.949*100000000</v>
      </c>
      <c r="AD9" s="1">
        <f>2.949*100000000</f>
        <v>294900000</v>
      </c>
      <c r="AE9" s="8">
        <f t="shared" si="13"/>
        <v>-9.0794520547945208</v>
      </c>
      <c r="AF9" s="7">
        <f>-3650*10000</f>
        <v>-36500000</v>
      </c>
      <c r="AG9" s="6" t="str">
        <f t="shared" si="14"/>
        <v>=-36500000</v>
      </c>
      <c r="AH9" s="1">
        <f>-36500000</f>
        <v>-36500000</v>
      </c>
      <c r="AI9" s="8">
        <f t="shared" si="15"/>
        <v>-1.0882495164410058</v>
      </c>
      <c r="AJ9" s="6" t="s">
        <v>131</v>
      </c>
      <c r="AK9" s="6" t="str">
        <f t="shared" si="16"/>
        <v>=4.136*100000000</v>
      </c>
      <c r="AL9" s="1">
        <f>4.136*100000000</f>
        <v>413600000</v>
      </c>
      <c r="AM9" s="8">
        <f t="shared" si="17"/>
        <v>0.3264913406029506</v>
      </c>
      <c r="AN9" s="6" t="s">
        <v>132</v>
      </c>
      <c r="AO9" s="6" t="str">
        <f t="shared" si="18"/>
        <v>=3.118*100000000</v>
      </c>
      <c r="AP9" s="1">
        <f>3.118*100000000</f>
        <v>311800000</v>
      </c>
      <c r="AQ9" s="8">
        <f t="shared" si="19"/>
        <v>0.34165232358003461</v>
      </c>
      <c r="AR9" s="6" t="s">
        <v>133</v>
      </c>
      <c r="AS9" s="6" t="str">
        <f t="shared" si="20"/>
        <v>=2.324*100000000</v>
      </c>
      <c r="AT9" s="1">
        <f>2.324*100000000</f>
        <v>232399999.99999997</v>
      </c>
      <c r="AU9" s="8">
        <f t="shared" si="21"/>
        <v>1.097472924187725</v>
      </c>
      <c r="AV9" s="6" t="s">
        <v>134</v>
      </c>
      <c r="AW9" s="6" t="str">
        <f t="shared" si="22"/>
        <v>=1.108*100000000</v>
      </c>
      <c r="AX9" s="1">
        <f>1.108*100000000</f>
        <v>110800000.00000001</v>
      </c>
      <c r="AY9" s="10">
        <f t="shared" si="23"/>
        <v>-0.79814173802149757</v>
      </c>
      <c r="AZ9" s="6" t="s">
        <v>135</v>
      </c>
      <c r="BA9" s="6" t="str">
        <f t="shared" si="24"/>
        <v>=5.489*100000000</v>
      </c>
      <c r="BB9" s="1">
        <f>5.489*100000000</f>
        <v>548900000</v>
      </c>
      <c r="BC9" s="8">
        <f t="shared" si="25"/>
        <v>0.35698393077873919</v>
      </c>
      <c r="BD9" s="6" t="s">
        <v>136</v>
      </c>
      <c r="BE9" s="6" t="str">
        <f t="shared" si="26"/>
        <v>=4.045*100000000</v>
      </c>
      <c r="BF9" s="1">
        <f>4.045*100000000</f>
        <v>404500000</v>
      </c>
      <c r="BG9" s="8">
        <f t="shared" si="27"/>
        <v>0.40695652173913044</v>
      </c>
      <c r="BH9" s="6" t="s">
        <v>137</v>
      </c>
      <c r="BI9" s="6" t="str">
        <f t="shared" si="28"/>
        <v>=2.875*100000000</v>
      </c>
      <c r="BJ9" s="1">
        <f>2.875*100000000</f>
        <v>287500000</v>
      </c>
      <c r="BK9" s="6" t="s">
        <v>138</v>
      </c>
      <c r="BL9" s="1" t="str">
        <f t="shared" si="1"/>
        <v>=1.282*100000000</v>
      </c>
      <c r="BM9" s="16">
        <f t="shared" si="29"/>
        <v>1.2425897035881435</v>
      </c>
      <c r="BN9" s="1">
        <f>1.282*100000000</f>
        <v>128200000</v>
      </c>
    </row>
    <row r="10" spans="1:66">
      <c r="A10" s="17">
        <v>3</v>
      </c>
      <c r="B10">
        <v>600007</v>
      </c>
      <c r="C10" t="s">
        <v>31</v>
      </c>
      <c r="D10" s="6" t="s">
        <v>139</v>
      </c>
      <c r="E10" s="7" t="str">
        <f t="shared" si="0"/>
        <v>=35.86*100000000</v>
      </c>
      <c r="F10" s="1">
        <f>35.86*100000000</f>
        <v>3586000000</v>
      </c>
      <c r="G10" s="8">
        <f t="shared" si="2"/>
        <v>0.3460960960960961</v>
      </c>
      <c r="H10" s="6" t="s">
        <v>140</v>
      </c>
      <c r="I10" s="6" t="str">
        <f t="shared" si="30"/>
        <v>=26.64*100000000</v>
      </c>
      <c r="J10" s="1">
        <f>26.64*100000000</f>
        <v>2664000000</v>
      </c>
      <c r="K10" s="10">
        <f t="shared" si="3"/>
        <v>0.52228571428571424</v>
      </c>
      <c r="L10" s="6" t="s">
        <v>141</v>
      </c>
      <c r="M10" s="6" t="str">
        <f t="shared" si="4"/>
        <v>=17.50*100000000</v>
      </c>
      <c r="N10" s="1">
        <f>17.5*100000000</f>
        <v>1750000000</v>
      </c>
      <c r="O10" s="8">
        <f t="shared" si="5"/>
        <v>1.0850708924103416</v>
      </c>
      <c r="P10" s="6" t="s">
        <v>142</v>
      </c>
      <c r="Q10" s="6" t="str">
        <f t="shared" si="6"/>
        <v>=8.393*100000000</v>
      </c>
      <c r="R10" s="11">
        <f>8.393*100000000</f>
        <v>839300000.00000012</v>
      </c>
      <c r="S10" s="8">
        <f t="shared" si="7"/>
        <v>-0.72908327953518404</v>
      </c>
      <c r="T10" s="6" t="s">
        <v>143</v>
      </c>
      <c r="U10" s="6" t="str">
        <f t="shared" si="8"/>
        <v>=30.98*100000000</v>
      </c>
      <c r="V10" s="1">
        <f>30.98*100000000</f>
        <v>3098000000</v>
      </c>
      <c r="W10" s="8">
        <f t="shared" si="9"/>
        <v>0.38612975391498883</v>
      </c>
      <c r="X10" s="6" t="s">
        <v>144</v>
      </c>
      <c r="Y10" s="6" t="str">
        <f t="shared" si="10"/>
        <v>=22.35*100000000</v>
      </c>
      <c r="Z10" s="1">
        <f>22.35*100000000</f>
        <v>2235000000</v>
      </c>
      <c r="AA10" s="8">
        <f t="shared" si="11"/>
        <v>0.55857740585774063</v>
      </c>
      <c r="AB10" s="6" t="s">
        <v>145</v>
      </c>
      <c r="AC10" s="6" t="str">
        <f t="shared" si="12"/>
        <v>=14.34*100000000</v>
      </c>
      <c r="AD10" s="1">
        <f>14.34*100000000</f>
        <v>1434000000</v>
      </c>
      <c r="AE10" s="8">
        <f t="shared" si="13"/>
        <v>0.96411450486234762</v>
      </c>
      <c r="AF10" s="6" t="s">
        <v>146</v>
      </c>
      <c r="AG10" s="6" t="str">
        <f t="shared" si="14"/>
        <v>=7.301*100000000</v>
      </c>
      <c r="AH10" s="1">
        <f>7.301*100000000</f>
        <v>730100000</v>
      </c>
      <c r="AI10" s="8">
        <f t="shared" si="15"/>
        <v>-0.79317280453257788</v>
      </c>
      <c r="AJ10" s="6" t="s">
        <v>147</v>
      </c>
      <c r="AK10" s="6" t="str">
        <f t="shared" si="16"/>
        <v>=35.30*100000000</v>
      </c>
      <c r="AL10" s="1">
        <f>35.3*100000000</f>
        <v>3529999999.9999995</v>
      </c>
      <c r="AM10" s="8">
        <f t="shared" si="17"/>
        <v>0.35664873174481149</v>
      </c>
      <c r="AN10" s="6" t="s">
        <v>148</v>
      </c>
      <c r="AO10" s="6" t="str">
        <f t="shared" si="18"/>
        <v>=26.02*100000000</v>
      </c>
      <c r="AP10" s="1">
        <f>26.02*100000000</f>
        <v>2602000000</v>
      </c>
      <c r="AQ10" s="8">
        <f t="shared" si="19"/>
        <v>0.51015670342426001</v>
      </c>
      <c r="AR10" s="6" t="s">
        <v>149</v>
      </c>
      <c r="AS10" s="6" t="str">
        <f t="shared" si="20"/>
        <v>=17.23*100000000</v>
      </c>
      <c r="AT10" s="1">
        <f>17.23*100000000</f>
        <v>1723000000</v>
      </c>
      <c r="AU10" s="8">
        <f t="shared" si="21"/>
        <v>1.0133208693620004</v>
      </c>
      <c r="AV10" s="6" t="s">
        <v>150</v>
      </c>
      <c r="AW10" s="6" t="str">
        <f t="shared" si="22"/>
        <v>=8.558*100000000</v>
      </c>
      <c r="AX10" s="1">
        <f>8.558*100000000</f>
        <v>855800000</v>
      </c>
      <c r="AY10" s="10">
        <f t="shared" si="23"/>
        <v>-0.73011668243456318</v>
      </c>
      <c r="AZ10" s="6" t="s">
        <v>151</v>
      </c>
      <c r="BA10" s="6" t="str">
        <f t="shared" si="24"/>
        <v>=31.71*100000000</v>
      </c>
      <c r="BB10" s="1">
        <f>31.71*100000000</f>
        <v>3171000000</v>
      </c>
      <c r="BC10" s="8">
        <f t="shared" si="25"/>
        <v>0.35686777920410784</v>
      </c>
      <c r="BD10" s="6" t="s">
        <v>152</v>
      </c>
      <c r="BE10" s="6" t="str">
        <f t="shared" si="26"/>
        <v>=23.37*100000000</v>
      </c>
      <c r="BF10" s="1">
        <f>23.37*100000000</f>
        <v>2337000000</v>
      </c>
      <c r="BG10" s="8">
        <f t="shared" si="27"/>
        <v>0.50579896907216493</v>
      </c>
      <c r="BH10" s="6" t="s">
        <v>153</v>
      </c>
      <c r="BI10" s="6" t="str">
        <f t="shared" si="28"/>
        <v>=15.52*100000000</v>
      </c>
      <c r="BJ10" s="1">
        <f>15.52*100000000</f>
        <v>1552000000</v>
      </c>
      <c r="BK10" s="6" t="s">
        <v>154</v>
      </c>
      <c r="BL10" s="1" t="str">
        <f t="shared" si="1"/>
        <v>=7.775*100000000</v>
      </c>
      <c r="BM10" s="16">
        <f t="shared" si="29"/>
        <v>0.99614147909967843</v>
      </c>
      <c r="BN10" s="1">
        <f>7.775*100000000</f>
        <v>777500000</v>
      </c>
    </row>
    <row r="11" spans="1:66">
      <c r="A11" s="18"/>
      <c r="B11">
        <v>600007</v>
      </c>
      <c r="C11" t="s">
        <v>48</v>
      </c>
      <c r="D11" s="6" t="s">
        <v>155</v>
      </c>
      <c r="E11" s="7" t="str">
        <f t="shared" si="0"/>
        <v>=13.65*100000000</v>
      </c>
      <c r="F11" s="1">
        <f>13.65*100000000</f>
        <v>1365000000</v>
      </c>
      <c r="G11" s="8">
        <f t="shared" si="2"/>
        <v>0.31756756756756754</v>
      </c>
      <c r="H11" s="6" t="s">
        <v>156</v>
      </c>
      <c r="I11" s="6" t="str">
        <f t="shared" si="30"/>
        <v>=10.36*100000000</v>
      </c>
      <c r="J11" s="1">
        <f>10.36*100000000</f>
        <v>1036000000</v>
      </c>
      <c r="K11" s="10">
        <f t="shared" si="3"/>
        <v>0.52062233964479676</v>
      </c>
      <c r="L11" s="6" t="s">
        <v>157</v>
      </c>
      <c r="M11" s="6" t="str">
        <f t="shared" si="4"/>
        <v>=6.813*100000000</v>
      </c>
      <c r="N11" s="1">
        <f>6.813*100000000</f>
        <v>681300000</v>
      </c>
      <c r="O11" s="8">
        <f t="shared" si="5"/>
        <v>1.1485335856196783</v>
      </c>
      <c r="P11" s="6" t="s">
        <v>158</v>
      </c>
      <c r="Q11" s="6" t="str">
        <f t="shared" si="6"/>
        <v>=3.171*100000000</v>
      </c>
      <c r="R11" s="11">
        <f>3.171*100000000</f>
        <v>317100000</v>
      </c>
      <c r="S11" s="8">
        <f t="shared" si="7"/>
        <v>-0.7101462522851919</v>
      </c>
      <c r="T11" s="6" t="s">
        <v>159</v>
      </c>
      <c r="U11" s="6" t="str">
        <f t="shared" si="8"/>
        <v>=10.94*100000000</v>
      </c>
      <c r="V11" s="1">
        <f>10.94*100000000</f>
        <v>1094000000</v>
      </c>
      <c r="W11" s="8">
        <f t="shared" si="9"/>
        <v>0.35883741150167681</v>
      </c>
      <c r="X11" s="6" t="s">
        <v>160</v>
      </c>
      <c r="Y11" s="6" t="str">
        <f t="shared" si="10"/>
        <v>=8.051*100000000</v>
      </c>
      <c r="Z11" s="1">
        <f>8.051*100000000</f>
        <v>805100000</v>
      </c>
      <c r="AA11" s="8">
        <f t="shared" si="11"/>
        <v>0.51533973273103706</v>
      </c>
      <c r="AB11" s="6" t="s">
        <v>161</v>
      </c>
      <c r="AC11" s="6" t="str">
        <f t="shared" si="12"/>
        <v>=5.313*100000000</v>
      </c>
      <c r="AD11" s="1">
        <f>5.313*100000000</f>
        <v>531300000</v>
      </c>
      <c r="AE11" s="8">
        <f t="shared" si="13"/>
        <v>0.95474613686534215</v>
      </c>
      <c r="AF11" s="6" t="s">
        <v>127</v>
      </c>
      <c r="AG11" s="6" t="str">
        <f t="shared" si="14"/>
        <v>=2.718*100000000</v>
      </c>
      <c r="AH11" s="1">
        <f>2.718*100000000</f>
        <v>271800000</v>
      </c>
      <c r="AI11" s="8">
        <f t="shared" si="15"/>
        <v>-0.78815276695245517</v>
      </c>
      <c r="AJ11" s="6" t="s">
        <v>162</v>
      </c>
      <c r="AK11" s="6" t="str">
        <f t="shared" si="16"/>
        <v>=12.83*100000000</v>
      </c>
      <c r="AL11" s="1">
        <f>12.83*100000000</f>
        <v>1283000000</v>
      </c>
      <c r="AM11" s="8">
        <f t="shared" si="17"/>
        <v>0.32418206213231499</v>
      </c>
      <c r="AN11" s="6" t="s">
        <v>163</v>
      </c>
      <c r="AO11" s="6" t="str">
        <f t="shared" si="18"/>
        <v>=9.689*100000000</v>
      </c>
      <c r="AP11" s="1">
        <f>9.689*100000000</f>
        <v>968900000</v>
      </c>
      <c r="AQ11" s="8">
        <f t="shared" si="19"/>
        <v>0.50754628909288935</v>
      </c>
      <c r="AR11" s="6" t="s">
        <v>164</v>
      </c>
      <c r="AS11" s="6" t="str">
        <f t="shared" si="20"/>
        <v>=6.427*100000000</v>
      </c>
      <c r="AT11" s="1">
        <f>6.427*100000000</f>
        <v>642700000</v>
      </c>
      <c r="AU11" s="8">
        <f t="shared" si="21"/>
        <v>0.98978328173374608</v>
      </c>
      <c r="AV11" s="6" t="s">
        <v>165</v>
      </c>
      <c r="AW11" s="6" t="str">
        <f t="shared" si="22"/>
        <v>=3.230*100000000</v>
      </c>
      <c r="AX11" s="1">
        <f>3.23*100000000</f>
        <v>323000000</v>
      </c>
      <c r="AY11" s="10">
        <f t="shared" si="23"/>
        <v>-0.69557021677662578</v>
      </c>
      <c r="AZ11" s="6" t="s">
        <v>166</v>
      </c>
      <c r="BA11" s="6" t="str">
        <f t="shared" si="24"/>
        <v>=10.61*100000000</v>
      </c>
      <c r="BB11" s="1">
        <f>10.61*100000000</f>
        <v>1061000000</v>
      </c>
      <c r="BC11" s="8">
        <f t="shared" si="25"/>
        <v>0.29138266796494661</v>
      </c>
      <c r="BD11" s="6" t="s">
        <v>167</v>
      </c>
      <c r="BE11" s="6" t="str">
        <f t="shared" si="26"/>
        <v>=8.216*100000000</v>
      </c>
      <c r="BF11" s="1">
        <f>8.216*100000000</f>
        <v>821599999.99999988</v>
      </c>
      <c r="BG11" s="8">
        <f t="shared" si="27"/>
        <v>0.49191937534047553</v>
      </c>
      <c r="BH11" s="6" t="s">
        <v>168</v>
      </c>
      <c r="BI11" s="6" t="str">
        <f t="shared" si="28"/>
        <v>=5.507*100000000</v>
      </c>
      <c r="BJ11" s="1">
        <f>5.507*100000000</f>
        <v>550700000</v>
      </c>
      <c r="BK11" s="6" t="s">
        <v>169</v>
      </c>
      <c r="BL11" s="1" t="str">
        <f t="shared" si="1"/>
        <v>=2.689*100000000</v>
      </c>
      <c r="BM11" s="16">
        <f t="shared" si="29"/>
        <v>1.047973224246932</v>
      </c>
      <c r="BN11" s="1">
        <f>2.689*100000000</f>
        <v>268900000</v>
      </c>
    </row>
    <row r="12" spans="1:66">
      <c r="A12" s="18"/>
      <c r="B12">
        <v>600007</v>
      </c>
      <c r="C12" t="s">
        <v>58</v>
      </c>
      <c r="D12" s="6" t="s">
        <v>170</v>
      </c>
      <c r="E12" s="7" t="str">
        <f t="shared" si="0"/>
        <v>=13.67*100000000</v>
      </c>
      <c r="F12" s="1">
        <f>13.67*100000000</f>
        <v>1367000000</v>
      </c>
      <c r="G12" s="8">
        <f t="shared" si="2"/>
        <v>0.31949806949806953</v>
      </c>
      <c r="H12" s="6" t="s">
        <v>156</v>
      </c>
      <c r="I12" s="6" t="str">
        <f t="shared" si="30"/>
        <v>=10.36*100000000</v>
      </c>
      <c r="J12" s="1">
        <f>10.36*100000000</f>
        <v>1036000000</v>
      </c>
      <c r="K12" s="10">
        <f t="shared" si="3"/>
        <v>0.51973008654833508</v>
      </c>
      <c r="L12" s="6" t="s">
        <v>171</v>
      </c>
      <c r="M12" s="6" t="str">
        <f t="shared" si="4"/>
        <v>=6.817*100000000</v>
      </c>
      <c r="N12" s="1">
        <f>6.817*100000000</f>
        <v>681700000</v>
      </c>
      <c r="O12" s="8">
        <f t="shared" si="5"/>
        <v>1.1477630749842469</v>
      </c>
      <c r="P12" s="6" t="s">
        <v>172</v>
      </c>
      <c r="Q12" s="6" t="str">
        <f t="shared" si="6"/>
        <v>=3.174*100000000</v>
      </c>
      <c r="R12" s="11">
        <f>3.174*100000000</f>
        <v>317400000</v>
      </c>
      <c r="S12" s="8">
        <f t="shared" si="7"/>
        <v>-0.71276018099547511</v>
      </c>
      <c r="T12" s="6" t="s">
        <v>173</v>
      </c>
      <c r="U12" s="6" t="str">
        <f t="shared" si="8"/>
        <v>=11.05*100000000</v>
      </c>
      <c r="V12" s="1">
        <f>11.05*100000000</f>
        <v>1105000000</v>
      </c>
      <c r="W12" s="8">
        <f t="shared" si="9"/>
        <v>0.34986562423650136</v>
      </c>
      <c r="X12" s="6" t="s">
        <v>174</v>
      </c>
      <c r="Y12" s="6" t="str">
        <f t="shared" si="10"/>
        <v>=8.186*100000000</v>
      </c>
      <c r="Z12" s="1">
        <f>8.186*100000000</f>
        <v>818600000</v>
      </c>
      <c r="AA12" s="8">
        <f t="shared" si="11"/>
        <v>0.50560971123781495</v>
      </c>
      <c r="AB12" s="6" t="s">
        <v>175</v>
      </c>
      <c r="AC12" s="6" t="str">
        <f t="shared" si="12"/>
        <v>=5.437*100000000</v>
      </c>
      <c r="AD12" s="1">
        <f>5.437*100000000</f>
        <v>543700000</v>
      </c>
      <c r="AE12" s="8">
        <f t="shared" si="13"/>
        <v>0.99157509157509161</v>
      </c>
      <c r="AF12" s="6" t="s">
        <v>176</v>
      </c>
      <c r="AG12" s="6" t="str">
        <f t="shared" si="14"/>
        <v>=2.730*100000000</v>
      </c>
      <c r="AH12" s="1">
        <f>2.73*100000000</f>
        <v>273000000</v>
      </c>
      <c r="AI12" s="8">
        <f t="shared" si="15"/>
        <v>-0.79016141429669484</v>
      </c>
      <c r="AJ12" s="6" t="s">
        <v>177</v>
      </c>
      <c r="AK12" s="6" t="str">
        <f t="shared" si="16"/>
        <v>=13.01*100000000</v>
      </c>
      <c r="AL12" s="1">
        <f>13.01*100000000</f>
        <v>1301000000</v>
      </c>
      <c r="AM12" s="8">
        <f t="shared" si="17"/>
        <v>0.32014205986808725</v>
      </c>
      <c r="AN12" s="6" t="s">
        <v>178</v>
      </c>
      <c r="AO12" s="6" t="str">
        <f t="shared" si="18"/>
        <v>=9.855*100000000</v>
      </c>
      <c r="AP12" s="1">
        <f>9.855*100000000</f>
        <v>985500000</v>
      </c>
      <c r="AQ12" s="8">
        <f t="shared" si="19"/>
        <v>0.51452282157676343</v>
      </c>
      <c r="AR12" s="6" t="s">
        <v>179</v>
      </c>
      <c r="AS12" s="6" t="str">
        <f t="shared" si="20"/>
        <v>=6.507*100000000</v>
      </c>
      <c r="AT12" s="1">
        <f>6.507*100000000</f>
        <v>650700000</v>
      </c>
      <c r="AU12" s="8">
        <f t="shared" si="21"/>
        <v>0.99112607099143202</v>
      </c>
      <c r="AV12" s="6" t="s">
        <v>180</v>
      </c>
      <c r="AW12" s="6" t="str">
        <f t="shared" si="22"/>
        <v>=3.268*100000000</v>
      </c>
      <c r="AX12" s="1">
        <f>3.268*100000000</f>
        <v>326800000</v>
      </c>
      <c r="AY12" s="10">
        <f t="shared" si="23"/>
        <v>-0.68455598455598454</v>
      </c>
      <c r="AZ12" s="6" t="s">
        <v>156</v>
      </c>
      <c r="BA12" s="6" t="str">
        <f t="shared" si="24"/>
        <v>=10.36*100000000</v>
      </c>
      <c r="BB12" s="1">
        <f>10.36*100000000</f>
        <v>1036000000</v>
      </c>
      <c r="BC12" s="8">
        <f t="shared" si="25"/>
        <v>0.31672597864768681</v>
      </c>
      <c r="BD12" s="6" t="s">
        <v>181</v>
      </c>
      <c r="BE12" s="6" t="str">
        <f t="shared" si="26"/>
        <v>=7.868*100000000</v>
      </c>
      <c r="BF12" s="1">
        <f>7.868*100000000</f>
        <v>786800000</v>
      </c>
      <c r="BG12" s="8">
        <f t="shared" si="27"/>
        <v>0.46082435945042705</v>
      </c>
      <c r="BH12" s="6" t="s">
        <v>182</v>
      </c>
      <c r="BI12" s="6" t="str">
        <f t="shared" si="28"/>
        <v>=5.386*100000000</v>
      </c>
      <c r="BJ12" s="1">
        <f>5.386*100000000</f>
        <v>538600000</v>
      </c>
      <c r="BK12" s="6" t="s">
        <v>169</v>
      </c>
      <c r="BL12" s="1" t="str">
        <f t="shared" si="1"/>
        <v>=2.689*100000000</v>
      </c>
      <c r="BM12" s="16">
        <f t="shared" si="29"/>
        <v>1.0029750836742284</v>
      </c>
      <c r="BN12" s="1">
        <f>2.689*100000000</f>
        <v>268900000</v>
      </c>
    </row>
    <row r="13" spans="1:66">
      <c r="A13" s="19"/>
      <c r="B13">
        <v>600007</v>
      </c>
      <c r="C13" t="s">
        <v>68</v>
      </c>
      <c r="D13" s="6" t="s">
        <v>183</v>
      </c>
      <c r="E13" s="7" t="str">
        <f t="shared" si="0"/>
        <v>=10.25*100000000</v>
      </c>
      <c r="F13" s="1">
        <f>10.25*100000000</f>
        <v>1025000000</v>
      </c>
      <c r="G13" s="8">
        <f t="shared" si="2"/>
        <v>0.32036583794924645</v>
      </c>
      <c r="H13" s="6" t="s">
        <v>184</v>
      </c>
      <c r="I13" s="6" t="str">
        <f t="shared" si="30"/>
        <v>=7.763*100000000</v>
      </c>
      <c r="J13" s="1">
        <f>7.763*100000000</f>
        <v>776300000</v>
      </c>
      <c r="K13" s="10">
        <f t="shared" si="3"/>
        <v>0.51858372456964008</v>
      </c>
      <c r="L13" s="6" t="s">
        <v>185</v>
      </c>
      <c r="M13" s="6" t="str">
        <f t="shared" si="4"/>
        <v>=5.112*100000000</v>
      </c>
      <c r="N13" s="1">
        <f>5.112*100000000</f>
        <v>511200000</v>
      </c>
      <c r="O13" s="8">
        <f t="shared" si="5"/>
        <v>1.1506100126209509</v>
      </c>
      <c r="P13" s="6" t="s">
        <v>186</v>
      </c>
      <c r="Q13" s="6" t="str">
        <f t="shared" si="6"/>
        <v>=2.377*100000000</v>
      </c>
      <c r="R13" s="11">
        <f>2.377*100000000</f>
        <v>237699999.99999997</v>
      </c>
      <c r="S13" s="8">
        <f t="shared" si="7"/>
        <v>-0.71226243796150579</v>
      </c>
      <c r="T13" s="6" t="s">
        <v>187</v>
      </c>
      <c r="U13" s="6" t="str">
        <f t="shared" si="8"/>
        <v>=8.261*100000000</v>
      </c>
      <c r="V13" s="1">
        <f>8.261*100000000</f>
        <v>826099999.99999988</v>
      </c>
      <c r="W13" s="8">
        <f t="shared" si="9"/>
        <v>0.34785446239190715</v>
      </c>
      <c r="X13" s="6" t="s">
        <v>188</v>
      </c>
      <c r="Y13" s="6" t="str">
        <f t="shared" si="10"/>
        <v>=6.129*100000000</v>
      </c>
      <c r="Z13" s="1">
        <f>6.129*100000000</f>
        <v>612900000</v>
      </c>
      <c r="AA13" s="8">
        <f t="shared" si="11"/>
        <v>0.50552689756816505</v>
      </c>
      <c r="AB13" s="6" t="s">
        <v>189</v>
      </c>
      <c r="AC13" s="6" t="str">
        <f t="shared" si="12"/>
        <v>=4.071*100000000</v>
      </c>
      <c r="AD13" s="1">
        <f>4.071*100000000</f>
        <v>407100000</v>
      </c>
      <c r="AE13" s="8">
        <f t="shared" si="13"/>
        <v>0.99656694458067685</v>
      </c>
      <c r="AF13" s="6" t="s">
        <v>190</v>
      </c>
      <c r="AG13" s="6" t="str">
        <f t="shared" si="14"/>
        <v>=2.039*100000000</v>
      </c>
      <c r="AH13" s="1">
        <f>2.039*100000000</f>
        <v>203900000</v>
      </c>
      <c r="AI13" s="8">
        <f t="shared" si="15"/>
        <v>-0.79046346726955097</v>
      </c>
      <c r="AJ13" s="6" t="s">
        <v>191</v>
      </c>
      <c r="AK13" s="6" t="str">
        <f t="shared" si="16"/>
        <v>=9.731*100000000</v>
      </c>
      <c r="AL13" s="1">
        <f>9.731*100000000</f>
        <v>973100000</v>
      </c>
      <c r="AM13" s="8">
        <f t="shared" si="17"/>
        <v>0.31571119524067065</v>
      </c>
      <c r="AN13" s="6" t="s">
        <v>192</v>
      </c>
      <c r="AO13" s="6" t="str">
        <f t="shared" si="18"/>
        <v>=7.396*100000000</v>
      </c>
      <c r="AP13" s="1">
        <f>7.396*100000000</f>
        <v>739600000</v>
      </c>
      <c r="AQ13" s="8">
        <f t="shared" si="19"/>
        <v>0.51433251433251415</v>
      </c>
      <c r="AR13" s="6" t="s">
        <v>193</v>
      </c>
      <c r="AS13" s="6" t="str">
        <f t="shared" si="20"/>
        <v>=4.884*100000000</v>
      </c>
      <c r="AT13" s="1">
        <f>4.884*100000000</f>
        <v>488400000.00000006</v>
      </c>
      <c r="AU13" s="8">
        <f t="shared" si="21"/>
        <v>0.99184339314845049</v>
      </c>
      <c r="AV13" s="6" t="s">
        <v>194</v>
      </c>
      <c r="AW13" s="6" t="str">
        <f t="shared" si="22"/>
        <v>=2.452*100000000</v>
      </c>
      <c r="AX13" s="1">
        <f>2.452*100000000</f>
        <v>245200000</v>
      </c>
      <c r="AY13" s="10">
        <f t="shared" si="23"/>
        <v>-0.68381689232753062</v>
      </c>
      <c r="AZ13" s="6" t="s">
        <v>195</v>
      </c>
      <c r="BA13" s="6" t="str">
        <f t="shared" si="24"/>
        <v>=7.755*100000000</v>
      </c>
      <c r="BB13" s="1">
        <f>7.755*100000000</f>
        <v>775500000</v>
      </c>
      <c r="BC13" s="8">
        <f t="shared" si="25"/>
        <v>0.31351626016260165</v>
      </c>
      <c r="BD13" s="6" t="s">
        <v>196</v>
      </c>
      <c r="BE13" s="6" t="str">
        <f t="shared" si="26"/>
        <v>=5.904*100000000</v>
      </c>
      <c r="BF13" s="1">
        <f>5.904*100000000</f>
        <v>590400000</v>
      </c>
      <c r="BG13" s="8">
        <f t="shared" si="27"/>
        <v>0.46066303809995052</v>
      </c>
      <c r="BH13" s="6" t="s">
        <v>197</v>
      </c>
      <c r="BI13" s="6" t="str">
        <f t="shared" si="28"/>
        <v>=4.042*100000000</v>
      </c>
      <c r="BJ13" s="1">
        <f>4.042*100000000</f>
        <v>404200000</v>
      </c>
      <c r="BK13" s="6" t="s">
        <v>198</v>
      </c>
      <c r="BL13" s="1" t="str">
        <f t="shared" si="1"/>
        <v>=2.018*100000000</v>
      </c>
      <c r="BM13" s="16">
        <f t="shared" si="29"/>
        <v>1.0029732408325078</v>
      </c>
      <c r="BN13" s="1">
        <f>2.018*100000000</f>
        <v>201799999.99999997</v>
      </c>
    </row>
    <row r="14" spans="1:66">
      <c r="A14" s="17">
        <v>4</v>
      </c>
      <c r="B14">
        <v>600008</v>
      </c>
      <c r="C14" t="s">
        <v>31</v>
      </c>
      <c r="D14" s="6" t="s">
        <v>199</v>
      </c>
      <c r="E14" s="7" t="str">
        <f t="shared" si="0"/>
        <v>=222.3*100000000</v>
      </c>
      <c r="F14" s="1">
        <f>222.3*100000000</f>
        <v>22230000000</v>
      </c>
      <c r="G14" s="8">
        <f t="shared" si="2"/>
        <v>0.45961917268548896</v>
      </c>
      <c r="H14" s="6" t="s">
        <v>200</v>
      </c>
      <c r="I14" s="6" t="str">
        <f t="shared" si="30"/>
        <v>=152.3*100000000</v>
      </c>
      <c r="J14" s="1">
        <f>152.3*100000000</f>
        <v>15230000000.000002</v>
      </c>
      <c r="K14" s="10">
        <f t="shared" si="3"/>
        <v>0.76559239508462806</v>
      </c>
      <c r="L14" s="6" t="s">
        <v>201</v>
      </c>
      <c r="M14" s="6" t="str">
        <f t="shared" si="4"/>
        <v>=86.26*100000000</v>
      </c>
      <c r="N14" s="1">
        <f>86.26*100000000</f>
        <v>8626000000</v>
      </c>
      <c r="O14" s="8">
        <f t="shared" si="5"/>
        <v>1.0363550519357885</v>
      </c>
      <c r="P14" s="6" t="s">
        <v>202</v>
      </c>
      <c r="Q14" s="6" t="str">
        <f t="shared" si="6"/>
        <v>=42.36*100000000</v>
      </c>
      <c r="R14" s="11">
        <f>42.36*100000000</f>
        <v>4236000000</v>
      </c>
      <c r="S14" s="8">
        <f t="shared" si="7"/>
        <v>-0.77960457856399579</v>
      </c>
      <c r="T14" s="6" t="s">
        <v>203</v>
      </c>
      <c r="U14" s="6" t="str">
        <f t="shared" si="8"/>
        <v>=192.2*100000000</v>
      </c>
      <c r="V14" s="1">
        <f>192.2*100000000</f>
        <v>19220000000</v>
      </c>
      <c r="W14" s="8">
        <f t="shared" si="9"/>
        <v>0.65975820379965455</v>
      </c>
      <c r="X14" s="6" t="s">
        <v>204</v>
      </c>
      <c r="Y14" s="6" t="str">
        <f t="shared" si="10"/>
        <v>=115.8*100000000</v>
      </c>
      <c r="Z14" s="1">
        <f>115.8*100000000</f>
        <v>11580000000</v>
      </c>
      <c r="AA14" s="8">
        <f t="shared" si="11"/>
        <v>0.6647498562392179</v>
      </c>
      <c r="AB14" s="6" t="s">
        <v>205</v>
      </c>
      <c r="AC14" s="6" t="str">
        <f t="shared" si="12"/>
        <v>=69.56*100000000</v>
      </c>
      <c r="AD14" s="1">
        <f>69.56*100000000</f>
        <v>6956000000</v>
      </c>
      <c r="AE14" s="8">
        <f t="shared" si="13"/>
        <v>1.377306903622693</v>
      </c>
      <c r="AF14" s="6" t="s">
        <v>206</v>
      </c>
      <c r="AG14" s="6" t="str">
        <f t="shared" si="14"/>
        <v>=29.26*100000000</v>
      </c>
      <c r="AH14" s="1">
        <f>29.26*100000000</f>
        <v>2926000000</v>
      </c>
      <c r="AI14" s="8">
        <f t="shared" si="15"/>
        <v>-0.8037558685446009</v>
      </c>
      <c r="AJ14" s="6" t="s">
        <v>207</v>
      </c>
      <c r="AK14" s="6" t="str">
        <f t="shared" si="16"/>
        <v>=149.1*100000000</v>
      </c>
      <c r="AL14" s="1">
        <f>149.1*100000000</f>
        <v>14910000000</v>
      </c>
      <c r="AM14" s="8">
        <f t="shared" si="17"/>
        <v>0.62879615468647587</v>
      </c>
      <c r="AN14" s="6" t="s">
        <v>208</v>
      </c>
      <c r="AO14" s="6" t="str">
        <f t="shared" si="18"/>
        <v>=91.54*100000000</v>
      </c>
      <c r="AP14" s="1">
        <f>91.54*100000000</f>
        <v>9154000000</v>
      </c>
      <c r="AQ14" s="8">
        <f t="shared" si="19"/>
        <v>0.59255393180236604</v>
      </c>
      <c r="AR14" s="6" t="s">
        <v>209</v>
      </c>
      <c r="AS14" s="6" t="str">
        <f t="shared" si="20"/>
        <v>=57.48*100000000</v>
      </c>
      <c r="AT14" s="1">
        <f>57.48*100000000</f>
        <v>5748000000</v>
      </c>
      <c r="AU14" s="8">
        <f t="shared" si="21"/>
        <v>1.3480392156862746</v>
      </c>
      <c r="AV14" s="6" t="s">
        <v>210</v>
      </c>
      <c r="AW14" s="6" t="str">
        <f t="shared" si="22"/>
        <v>=24.48*100000000</v>
      </c>
      <c r="AX14" s="1">
        <f>24.48*100000000</f>
        <v>2448000000</v>
      </c>
      <c r="AY14" s="10">
        <f t="shared" si="23"/>
        <v>-0.80353130016051366</v>
      </c>
      <c r="AZ14" s="6" t="s">
        <v>211</v>
      </c>
      <c r="BA14" s="6" t="str">
        <f t="shared" si="24"/>
        <v>=124.6*100000000</v>
      </c>
      <c r="BB14" s="1">
        <f>124.6*100000000</f>
        <v>12460000000</v>
      </c>
      <c r="BC14" s="8">
        <f t="shared" si="25"/>
        <v>0.63688912243825535</v>
      </c>
      <c r="BD14" s="6" t="s">
        <v>212</v>
      </c>
      <c r="BE14" s="6" t="str">
        <f t="shared" si="26"/>
        <v>=76.12*100000000</v>
      </c>
      <c r="BF14" s="1">
        <f>76.12*100000000</f>
        <v>7612000000</v>
      </c>
      <c r="BG14" s="8">
        <f t="shared" si="27"/>
        <v>0.66237169687704744</v>
      </c>
      <c r="BH14" s="6" t="s">
        <v>213</v>
      </c>
      <c r="BI14" s="6" t="str">
        <f t="shared" si="28"/>
        <v>=45.79*100000000</v>
      </c>
      <c r="BJ14" s="1">
        <f>45.79*100000000</f>
        <v>4579000000</v>
      </c>
      <c r="BK14" s="6" t="s">
        <v>214</v>
      </c>
      <c r="BL14" s="1" t="str">
        <f t="shared" si="1"/>
        <v>=21.17*100000000</v>
      </c>
      <c r="BM14" s="16">
        <f t="shared" si="29"/>
        <v>1.1629664619744922</v>
      </c>
      <c r="BN14" s="1">
        <f>21.17*100000000</f>
        <v>2117000000.0000002</v>
      </c>
    </row>
    <row r="15" spans="1:66">
      <c r="A15" s="18"/>
      <c r="B15">
        <v>600008</v>
      </c>
      <c r="C15" t="s">
        <v>48</v>
      </c>
      <c r="D15" s="6" t="s">
        <v>215</v>
      </c>
      <c r="E15" s="7" t="str">
        <f t="shared" si="0"/>
        <v>=33.16*100000000</v>
      </c>
      <c r="F15" s="1">
        <f>33.16*100000000</f>
        <v>3315999999.9999995</v>
      </c>
      <c r="G15" s="8">
        <f t="shared" si="2"/>
        <v>0.31274742676167838</v>
      </c>
      <c r="H15" s="6" t="s">
        <v>216</v>
      </c>
      <c r="I15" s="6" t="str">
        <f t="shared" si="30"/>
        <v>=25.26*100000000</v>
      </c>
      <c r="J15" s="1">
        <f>25.26*100000000</f>
        <v>2526000000</v>
      </c>
      <c r="K15" s="10">
        <f t="shared" si="3"/>
        <v>0.37357259380097879</v>
      </c>
      <c r="L15" s="6" t="s">
        <v>217</v>
      </c>
      <c r="M15" s="6" t="str">
        <f t="shared" si="4"/>
        <v>=18.39*100000000</v>
      </c>
      <c r="N15" s="1">
        <f>18.39*100000000</f>
        <v>1839000000</v>
      </c>
      <c r="O15" s="8">
        <f t="shared" si="5"/>
        <v>2.9119336311423103</v>
      </c>
      <c r="P15" s="6" t="s">
        <v>218</v>
      </c>
      <c r="Q15" s="6" t="str">
        <f t="shared" si="6"/>
        <v>=4.701*100000000</v>
      </c>
      <c r="R15" s="11">
        <f>4.701*100000000</f>
        <v>470099999.99999994</v>
      </c>
      <c r="S15" s="8">
        <f t="shared" si="7"/>
        <v>-0.78994638069705092</v>
      </c>
      <c r="T15" s="6" t="s">
        <v>219</v>
      </c>
      <c r="U15" s="6" t="str">
        <f t="shared" si="8"/>
        <v>=22.38*100000000</v>
      </c>
      <c r="V15" s="1">
        <f>22.38*100000000</f>
        <v>2238000000</v>
      </c>
      <c r="W15" s="8">
        <f t="shared" si="9"/>
        <v>0.5584958217270195</v>
      </c>
      <c r="X15" s="6" t="s">
        <v>220</v>
      </c>
      <c r="Y15" s="6" t="str">
        <f t="shared" si="10"/>
        <v>=14.36*100000000</v>
      </c>
      <c r="Z15" s="1">
        <f>14.36*100000000</f>
        <v>1436000000</v>
      </c>
      <c r="AA15" s="8">
        <f t="shared" si="11"/>
        <v>0.91084497671324016</v>
      </c>
      <c r="AB15" s="6" t="s">
        <v>221</v>
      </c>
      <c r="AC15" s="6" t="str">
        <f t="shared" si="12"/>
        <v>=7.515*100000000</v>
      </c>
      <c r="AD15" s="1">
        <f>7.515*100000000</f>
        <v>751500000</v>
      </c>
      <c r="AE15" s="8">
        <f t="shared" si="13"/>
        <v>2.6766144814090018</v>
      </c>
      <c r="AF15" s="6" t="s">
        <v>222</v>
      </c>
      <c r="AG15" s="6" t="str">
        <f t="shared" si="14"/>
        <v>=2.044*100000000</v>
      </c>
      <c r="AH15" s="1">
        <f>2.044*100000000</f>
        <v>204400000</v>
      </c>
      <c r="AI15" s="8">
        <f t="shared" si="15"/>
        <v>-0.87120352867044737</v>
      </c>
      <c r="AJ15" s="6" t="s">
        <v>223</v>
      </c>
      <c r="AK15" s="6" t="str">
        <f t="shared" si="16"/>
        <v>=15.87*100000000</v>
      </c>
      <c r="AL15" s="1">
        <f>15.87*100000000</f>
        <v>1587000000</v>
      </c>
      <c r="AM15" s="8">
        <f t="shared" si="17"/>
        <v>0.66195413132265157</v>
      </c>
      <c r="AN15" s="6" t="s">
        <v>224</v>
      </c>
      <c r="AO15" s="6" t="str">
        <f t="shared" si="18"/>
        <v>=9.549*100000000</v>
      </c>
      <c r="AP15" s="1">
        <f>9.549*100000000</f>
        <v>954900000</v>
      </c>
      <c r="AQ15" s="8">
        <f t="shared" si="19"/>
        <v>0.56643700787401574</v>
      </c>
      <c r="AR15" s="6" t="s">
        <v>225</v>
      </c>
      <c r="AS15" s="6" t="str">
        <f t="shared" si="20"/>
        <v>=6.096*100000000</v>
      </c>
      <c r="AT15" s="1">
        <f>6.096*100000000</f>
        <v>609600000</v>
      </c>
      <c r="AU15" s="8">
        <f t="shared" si="21"/>
        <v>2.4834285714285715</v>
      </c>
      <c r="AV15" s="6" t="s">
        <v>226</v>
      </c>
      <c r="AW15" s="6" t="str">
        <f t="shared" si="22"/>
        <v>=1.750*100000000</v>
      </c>
      <c r="AX15" s="1">
        <f>1.75*100000000</f>
        <v>175000000</v>
      </c>
      <c r="AY15" s="10">
        <f t="shared" si="23"/>
        <v>-0.86891385767790263</v>
      </c>
      <c r="AZ15" s="6" t="s">
        <v>227</v>
      </c>
      <c r="BA15" s="6" t="str">
        <f t="shared" si="24"/>
        <v>=13.35*100000000</v>
      </c>
      <c r="BB15" s="1">
        <f>13.35*100000000</f>
        <v>1335000000</v>
      </c>
      <c r="BC15" s="8">
        <f t="shared" si="25"/>
        <v>0.75288865546218486</v>
      </c>
      <c r="BD15" s="6" t="s">
        <v>228</v>
      </c>
      <c r="BE15" s="6" t="str">
        <f t="shared" si="26"/>
        <v>=7.616*100000000</v>
      </c>
      <c r="BF15" s="1">
        <f>7.616*100000000</f>
        <v>761600000</v>
      </c>
      <c r="BG15" s="8">
        <f t="shared" si="27"/>
        <v>0.80602323926962316</v>
      </c>
      <c r="BH15" s="6" t="s">
        <v>229</v>
      </c>
      <c r="BI15" s="6" t="str">
        <f t="shared" si="28"/>
        <v>=4.217*100000000</v>
      </c>
      <c r="BJ15" s="1">
        <f>4.217*100000000</f>
        <v>421699999.99999994</v>
      </c>
      <c r="BK15" s="6" t="s">
        <v>230</v>
      </c>
      <c r="BL15" s="1" t="str">
        <f t="shared" si="1"/>
        <v>=1.732*100000000</v>
      </c>
      <c r="BM15" s="16">
        <f t="shared" si="29"/>
        <v>1.4347575057736717</v>
      </c>
      <c r="BN15" s="1">
        <f>1.732*100000000</f>
        <v>173200000</v>
      </c>
    </row>
    <row r="16" spans="1:66">
      <c r="A16" s="18"/>
      <c r="B16">
        <v>600008</v>
      </c>
      <c r="C16" t="s">
        <v>58</v>
      </c>
      <c r="D16" s="6" t="s">
        <v>231</v>
      </c>
      <c r="E16" s="7" t="str">
        <f t="shared" si="0"/>
        <v>=32.54*100000000</v>
      </c>
      <c r="F16" s="1">
        <f>32.54*100000000</f>
        <v>3254000000</v>
      </c>
      <c r="G16" s="8">
        <f t="shared" si="2"/>
        <v>0.28464271614686143</v>
      </c>
      <c r="H16" s="6" t="s">
        <v>232</v>
      </c>
      <c r="I16" s="6" t="str">
        <f t="shared" si="30"/>
        <v>=25.33*100000000</v>
      </c>
      <c r="J16" s="1">
        <f>25.33*100000000</f>
        <v>2533000000</v>
      </c>
      <c r="K16" s="10">
        <f t="shared" si="3"/>
        <v>0.37364425162689785</v>
      </c>
      <c r="L16" s="6" t="s">
        <v>233</v>
      </c>
      <c r="M16" s="6" t="str">
        <f t="shared" si="4"/>
        <v>=18.44*100000000</v>
      </c>
      <c r="N16" s="1">
        <f>18.44*100000000</f>
        <v>1844000000.0000002</v>
      </c>
      <c r="O16" s="8">
        <f t="shared" si="5"/>
        <v>2.8935810810810816</v>
      </c>
      <c r="P16" s="6" t="s">
        <v>234</v>
      </c>
      <c r="Q16" s="6" t="str">
        <f t="shared" si="6"/>
        <v>=4.736*100000000</v>
      </c>
      <c r="R16" s="11">
        <f>4.736*100000000</f>
        <v>473600000</v>
      </c>
      <c r="S16" s="8">
        <f t="shared" si="7"/>
        <v>-0.78857142857142859</v>
      </c>
      <c r="T16" s="6" t="s">
        <v>235</v>
      </c>
      <c r="U16" s="6" t="str">
        <f t="shared" si="8"/>
        <v>=22.40*100000000</v>
      </c>
      <c r="V16" s="1">
        <f>22.4*100000000</f>
        <v>2240000000</v>
      </c>
      <c r="W16" s="8">
        <f t="shared" si="9"/>
        <v>0.53846153846153844</v>
      </c>
      <c r="X16" s="6" t="s">
        <v>236</v>
      </c>
      <c r="Y16" s="6" t="str">
        <f t="shared" si="10"/>
        <v>=14.56*100000000</v>
      </c>
      <c r="Z16" s="1">
        <f>14.56*100000000</f>
        <v>1456000000</v>
      </c>
      <c r="AA16" s="8">
        <f t="shared" si="11"/>
        <v>0.91076115485564302</v>
      </c>
      <c r="AB16" s="6" t="s">
        <v>237</v>
      </c>
      <c r="AC16" s="6" t="str">
        <f t="shared" si="12"/>
        <v>=7.620*100000000</v>
      </c>
      <c r="AD16" s="1">
        <f>7.62*100000000</f>
        <v>762000000</v>
      </c>
      <c r="AE16" s="8">
        <f t="shared" si="13"/>
        <v>2.8837920489296636</v>
      </c>
      <c r="AF16" s="6" t="s">
        <v>238</v>
      </c>
      <c r="AG16" s="6" t="str">
        <f t="shared" si="14"/>
        <v>=1.962*100000000</v>
      </c>
      <c r="AH16" s="1">
        <f>1.962*100000000</f>
        <v>196200000</v>
      </c>
      <c r="AI16" s="8">
        <f t="shared" si="15"/>
        <v>-0.87729831144465287</v>
      </c>
      <c r="AJ16" s="6" t="s">
        <v>239</v>
      </c>
      <c r="AK16" s="6" t="str">
        <f t="shared" si="16"/>
        <v>=15.99*100000000</v>
      </c>
      <c r="AL16" s="1">
        <f>15.99*100000000</f>
        <v>1599000000</v>
      </c>
      <c r="AM16" s="8">
        <f t="shared" si="17"/>
        <v>0.61907654921020661</v>
      </c>
      <c r="AN16" s="6" t="s">
        <v>240</v>
      </c>
      <c r="AO16" s="6" t="str">
        <f t="shared" si="18"/>
        <v>=9.876*100000000</v>
      </c>
      <c r="AP16" s="1">
        <f>9.876*100000000</f>
        <v>987600000</v>
      </c>
      <c r="AQ16" s="8">
        <f t="shared" si="19"/>
        <v>0.61372549019607847</v>
      </c>
      <c r="AR16" s="6" t="s">
        <v>241</v>
      </c>
      <c r="AS16" s="6" t="str">
        <f t="shared" si="20"/>
        <v>=6.120*100000000</v>
      </c>
      <c r="AT16" s="1">
        <f>6.12*100000000</f>
        <v>612000000</v>
      </c>
      <c r="AU16" s="8">
        <f t="shared" si="21"/>
        <v>2.4615384615384617</v>
      </c>
      <c r="AV16" s="6" t="s">
        <v>242</v>
      </c>
      <c r="AW16" s="6" t="str">
        <f t="shared" si="22"/>
        <v>=1.768*100000000</v>
      </c>
      <c r="AX16" s="1">
        <f>1.768*100000000</f>
        <v>176800000</v>
      </c>
      <c r="AY16" s="10">
        <f t="shared" si="23"/>
        <v>-0.86176700547302576</v>
      </c>
      <c r="AZ16" s="6" t="s">
        <v>243</v>
      </c>
      <c r="BA16" s="6" t="str">
        <f t="shared" si="24"/>
        <v>=12.79*100000000</v>
      </c>
      <c r="BB16" s="1">
        <f>12.79*100000000</f>
        <v>1279000000</v>
      </c>
      <c r="BC16" s="8">
        <f t="shared" si="25"/>
        <v>0.68046248850348179</v>
      </c>
      <c r="BD16" s="6" t="s">
        <v>244</v>
      </c>
      <c r="BE16" s="6" t="str">
        <f t="shared" si="26"/>
        <v>=7.611*100000000</v>
      </c>
      <c r="BF16" s="1">
        <f>7.611*100000000</f>
        <v>761100000</v>
      </c>
      <c r="BG16" s="8">
        <f t="shared" si="27"/>
        <v>0.80655115119867082</v>
      </c>
      <c r="BH16" s="6" t="s">
        <v>245</v>
      </c>
      <c r="BI16" s="6" t="str">
        <f t="shared" si="28"/>
        <v>=4.213*100000000</v>
      </c>
      <c r="BJ16" s="1">
        <f>4.213*100000000</f>
        <v>421300000</v>
      </c>
      <c r="BK16" s="6" t="s">
        <v>246</v>
      </c>
      <c r="BL16" s="1" t="str">
        <f t="shared" si="1"/>
        <v>=1.742*100000000</v>
      </c>
      <c r="BM16" s="16">
        <f t="shared" si="29"/>
        <v>1.4184845005740527</v>
      </c>
      <c r="BN16" s="1">
        <f>1.742*100000000</f>
        <v>174200000</v>
      </c>
    </row>
    <row r="17" spans="1:66">
      <c r="A17" s="19"/>
      <c r="B17">
        <v>600008</v>
      </c>
      <c r="C17" t="s">
        <v>68</v>
      </c>
      <c r="D17" s="6" t="s">
        <v>148</v>
      </c>
      <c r="E17" s="7" t="str">
        <f t="shared" si="0"/>
        <v>=26.02*100000000</v>
      </c>
      <c r="F17" s="1">
        <f>26.02*100000000</f>
        <v>2602000000</v>
      </c>
      <c r="G17" s="8">
        <f t="shared" si="2"/>
        <v>0.20018450184501846</v>
      </c>
      <c r="H17" s="6" t="s">
        <v>247</v>
      </c>
      <c r="I17" s="6" t="str">
        <f t="shared" si="30"/>
        <v>=21.68*100000000</v>
      </c>
      <c r="J17" s="1">
        <f>21.68*100000000</f>
        <v>2168000000</v>
      </c>
      <c r="K17" s="10">
        <f t="shared" si="3"/>
        <v>0.37128399746995572</v>
      </c>
      <c r="L17" s="6" t="s">
        <v>248</v>
      </c>
      <c r="M17" s="6" t="str">
        <f t="shared" si="4"/>
        <v>=15.81*100000000</v>
      </c>
      <c r="N17" s="1">
        <f>15.81*100000000</f>
        <v>1581000000</v>
      </c>
      <c r="O17" s="8">
        <f t="shared" si="5"/>
        <v>3.5483314154200229</v>
      </c>
      <c r="P17" s="6" t="s">
        <v>249</v>
      </c>
      <c r="Q17" s="6" t="str">
        <f t="shared" si="6"/>
        <v>=3.476*100000000</v>
      </c>
      <c r="R17" s="11">
        <f>3.476*100000000</f>
        <v>347600000</v>
      </c>
      <c r="S17" s="8">
        <f t="shared" si="7"/>
        <v>-0.78302122347066172</v>
      </c>
      <c r="T17" s="6" t="s">
        <v>250</v>
      </c>
      <c r="U17" s="6" t="str">
        <f t="shared" si="8"/>
        <v>=16.02*100000000</v>
      </c>
      <c r="V17" s="1">
        <f>16.02*100000000</f>
        <v>1602000000</v>
      </c>
      <c r="W17" s="8">
        <f t="shared" si="9"/>
        <v>0.53595397890699903</v>
      </c>
      <c r="X17" s="6" t="s">
        <v>251</v>
      </c>
      <c r="Y17" s="6" t="str">
        <f t="shared" si="10"/>
        <v>=10.43*100000000</v>
      </c>
      <c r="Z17" s="1">
        <f>10.43*100000000</f>
        <v>1043000000</v>
      </c>
      <c r="AA17" s="8">
        <f t="shared" si="11"/>
        <v>1.18475073313783</v>
      </c>
      <c r="AB17" s="6" t="s">
        <v>252</v>
      </c>
      <c r="AC17" s="6" t="str">
        <f t="shared" si="12"/>
        <v>=4.774*100000000</v>
      </c>
      <c r="AD17" s="1">
        <f>4.774*100000000</f>
        <v>477400000</v>
      </c>
      <c r="AE17" s="8">
        <f t="shared" si="13"/>
        <v>3.4081255771006465</v>
      </c>
      <c r="AF17" s="6" t="s">
        <v>253</v>
      </c>
      <c r="AG17" s="6" t="str">
        <f t="shared" si="14"/>
        <v>=1.083*100000000</v>
      </c>
      <c r="AH17" s="1">
        <f>1.083*100000000</f>
        <v>108300000</v>
      </c>
      <c r="AI17" s="8">
        <f t="shared" si="15"/>
        <v>-0.90082417582417584</v>
      </c>
      <c r="AJ17" s="6" t="s">
        <v>254</v>
      </c>
      <c r="AK17" s="6" t="str">
        <f t="shared" si="16"/>
        <v>=10.92*100000000</v>
      </c>
      <c r="AL17" s="1">
        <f>10.92*100000000</f>
        <v>1092000000</v>
      </c>
      <c r="AM17" s="8">
        <f t="shared" si="17"/>
        <v>0.63082437275985659</v>
      </c>
      <c r="AN17" s="6" t="s">
        <v>255</v>
      </c>
      <c r="AO17" s="6" t="str">
        <f t="shared" si="18"/>
        <v>=6.696*100000000</v>
      </c>
      <c r="AP17" s="1">
        <f>6.696*100000000</f>
        <v>669600000</v>
      </c>
      <c r="AQ17" s="8">
        <f t="shared" si="19"/>
        <v>0.66857712434587591</v>
      </c>
      <c r="AR17" s="6" t="s">
        <v>256</v>
      </c>
      <c r="AS17" s="6" t="str">
        <f t="shared" si="20"/>
        <v>=4.013*100000000</v>
      </c>
      <c r="AT17" s="1">
        <f>4.013*100000000</f>
        <v>401300000</v>
      </c>
      <c r="AU17" s="8">
        <f t="shared" si="21"/>
        <v>2.5325704225352115</v>
      </c>
      <c r="AV17" s="6" t="s">
        <v>257</v>
      </c>
      <c r="AW17" s="6" t="str">
        <f t="shared" si="22"/>
        <v>=1.136*100000000</v>
      </c>
      <c r="AX17" s="1">
        <f>1.136*100000000</f>
        <v>113599999.99999999</v>
      </c>
      <c r="AY17" s="10">
        <f t="shared" si="23"/>
        <v>-0.86071603727317314</v>
      </c>
      <c r="AZ17" s="6" t="s">
        <v>258</v>
      </c>
      <c r="BA17" s="6" t="str">
        <f t="shared" si="24"/>
        <v>=8.156*100000000</v>
      </c>
      <c r="BB17" s="1">
        <f>8.156*100000000</f>
        <v>815600000</v>
      </c>
      <c r="BC17" s="8">
        <f t="shared" si="25"/>
        <v>0.60172820109976455</v>
      </c>
      <c r="BD17" s="6" t="s">
        <v>259</v>
      </c>
      <c r="BE17" s="6" t="str">
        <f t="shared" si="26"/>
        <v>=5.092*100000000</v>
      </c>
      <c r="BF17" s="1">
        <f>5.092*100000000</f>
        <v>509199999.99999994</v>
      </c>
      <c r="BG17" s="8">
        <f t="shared" si="27"/>
        <v>0.8509632860777897</v>
      </c>
      <c r="BH17" s="6" t="s">
        <v>260</v>
      </c>
      <c r="BI17" s="6" t="str">
        <f t="shared" si="28"/>
        <v>=2.751*100000000</v>
      </c>
      <c r="BJ17" s="1">
        <f>2.751*100000000</f>
        <v>275100000</v>
      </c>
      <c r="BK17" s="6" t="s">
        <v>261</v>
      </c>
      <c r="BL17" s="1" t="str">
        <f t="shared" si="1"/>
        <v>=1.211*100000000</v>
      </c>
      <c r="BM17" s="16">
        <f t="shared" si="29"/>
        <v>1.2716763005780345</v>
      </c>
      <c r="BN17" s="1">
        <f>1.211*100000000</f>
        <v>121100000.00000001</v>
      </c>
    </row>
    <row r="18" spans="1:66">
      <c r="A18" s="17">
        <v>5</v>
      </c>
      <c r="B18">
        <v>600011</v>
      </c>
      <c r="C18" t="s">
        <v>31</v>
      </c>
      <c r="D18" s="6" t="s">
        <v>262</v>
      </c>
      <c r="E18" s="7" t="str">
        <f t="shared" si="0"/>
        <v>=2046*100000000</v>
      </c>
      <c r="F18" s="1">
        <f>2046*100000000</f>
        <v>204600000000</v>
      </c>
      <c r="G18" s="8">
        <f t="shared" si="2"/>
        <v>0.4110344827586207</v>
      </c>
      <c r="H18" s="6" t="s">
        <v>263</v>
      </c>
      <c r="I18" s="6" t="str">
        <f t="shared" si="30"/>
        <v>=1450*100000000</v>
      </c>
      <c r="J18" s="1">
        <f>1450*100000000</f>
        <v>145000000000</v>
      </c>
      <c r="K18" s="10">
        <f t="shared" si="3"/>
        <v>0.52439024390243905</v>
      </c>
      <c r="L18" s="6" t="s">
        <v>264</v>
      </c>
      <c r="M18" s="6" t="str">
        <f t="shared" si="4"/>
        <v>=951.2*100000000</v>
      </c>
      <c r="N18" s="1">
        <f>951.2*100000000</f>
        <v>95120000000</v>
      </c>
      <c r="O18" s="8">
        <f t="shared" si="5"/>
        <v>0.90583049489080347</v>
      </c>
      <c r="P18" s="6" t="s">
        <v>265</v>
      </c>
      <c r="Q18" s="6" t="str">
        <f t="shared" si="6"/>
        <v>=499.1*100000000</v>
      </c>
      <c r="R18" s="11">
        <f>499.1*100000000</f>
        <v>49910000000</v>
      </c>
      <c r="S18" s="8">
        <f t="shared" si="7"/>
        <v>-0.7053719008264463</v>
      </c>
      <c r="T18" s="6" t="s">
        <v>266</v>
      </c>
      <c r="U18" s="6" t="str">
        <f t="shared" si="8"/>
        <v>=1694*100000000</v>
      </c>
      <c r="V18" s="1">
        <f>1694*100000000</f>
        <v>169400000000</v>
      </c>
      <c r="W18" s="8">
        <f t="shared" si="9"/>
        <v>0.38966365873666942</v>
      </c>
      <c r="X18" s="6" t="s">
        <v>267</v>
      </c>
      <c r="Y18" s="6" t="str">
        <f t="shared" si="10"/>
        <v>=1219*100000000</v>
      </c>
      <c r="Z18" s="1">
        <f>1219*100000000</f>
        <v>121900000000</v>
      </c>
      <c r="AA18" s="8">
        <f t="shared" si="11"/>
        <v>0.54011370814908399</v>
      </c>
      <c r="AB18" s="6" t="s">
        <v>268</v>
      </c>
      <c r="AC18" s="6" t="str">
        <f t="shared" si="12"/>
        <v>=791.5*100000000</v>
      </c>
      <c r="AD18" s="1">
        <f>791.5*100000000</f>
        <v>79150000000</v>
      </c>
      <c r="AE18" s="8">
        <f t="shared" si="13"/>
        <v>0.96012877662209017</v>
      </c>
      <c r="AF18" s="6" t="s">
        <v>269</v>
      </c>
      <c r="AG18" s="6" t="str">
        <f t="shared" si="14"/>
        <v>=403.8*100000000</v>
      </c>
      <c r="AH18" s="1">
        <f>403.8*100000000</f>
        <v>40380000000</v>
      </c>
      <c r="AI18" s="8">
        <f t="shared" si="15"/>
        <v>-0.76739631336405534</v>
      </c>
      <c r="AJ18" s="6" t="s">
        <v>270</v>
      </c>
      <c r="AK18" s="6" t="str">
        <f t="shared" si="16"/>
        <v>=1736*100000000</v>
      </c>
      <c r="AL18" s="1">
        <f>1736*100000000</f>
        <v>173600000000</v>
      </c>
      <c r="AM18" s="8">
        <f t="shared" si="17"/>
        <v>0.36370777690494893</v>
      </c>
      <c r="AN18" s="6" t="s">
        <v>271</v>
      </c>
      <c r="AO18" s="6" t="str">
        <f t="shared" si="18"/>
        <v>=1273*100000000</v>
      </c>
      <c r="AP18" s="1">
        <f>1273*100000000</f>
        <v>127300000000</v>
      </c>
      <c r="AQ18" s="8">
        <f t="shared" si="19"/>
        <v>0.52509883790583445</v>
      </c>
      <c r="AR18" s="6" t="s">
        <v>272</v>
      </c>
      <c r="AS18" s="6" t="str">
        <f t="shared" si="20"/>
        <v>=834.7*100000000</v>
      </c>
      <c r="AT18" s="1">
        <f>834.7*100000000</f>
        <v>83470000000</v>
      </c>
      <c r="AU18" s="8">
        <f t="shared" si="21"/>
        <v>0.82847754654983574</v>
      </c>
      <c r="AV18" s="6" t="s">
        <v>273</v>
      </c>
      <c r="AW18" s="6" t="str">
        <f t="shared" si="22"/>
        <v>=456.5*100000000</v>
      </c>
      <c r="AX18" s="1">
        <f>456.5*100000000</f>
        <v>45650000000</v>
      </c>
      <c r="AY18" s="10">
        <f t="shared" si="23"/>
        <v>-0.73131253678634489</v>
      </c>
      <c r="AZ18" s="6" t="s">
        <v>274</v>
      </c>
      <c r="BA18" s="6" t="str">
        <f t="shared" si="24"/>
        <v>=1699*100000000</v>
      </c>
      <c r="BB18" s="1">
        <f>1699*100000000</f>
        <v>169900000000</v>
      </c>
      <c r="BC18" s="8">
        <f t="shared" si="25"/>
        <v>0.3484126984126984</v>
      </c>
      <c r="BD18" s="6" t="s">
        <v>275</v>
      </c>
      <c r="BE18" s="6" t="str">
        <f t="shared" si="26"/>
        <v>=1260*100000000</v>
      </c>
      <c r="BF18" s="1">
        <f>1260*100000000</f>
        <v>126000000000</v>
      </c>
      <c r="BG18" s="8">
        <f t="shared" si="27"/>
        <v>0.52376345386382872</v>
      </c>
      <c r="BH18" s="6" t="s">
        <v>276</v>
      </c>
      <c r="BI18" s="6" t="str">
        <f t="shared" si="28"/>
        <v>=826.9*100000000</v>
      </c>
      <c r="BJ18" s="1">
        <f>826.9*100000000</f>
        <v>82690000000</v>
      </c>
      <c r="BK18" s="6" t="s">
        <v>277</v>
      </c>
      <c r="BL18" s="1" t="str">
        <f t="shared" si="1"/>
        <v>=434.2*100000000</v>
      </c>
      <c r="BM18" s="16">
        <f t="shared" si="29"/>
        <v>0.90442192538000921</v>
      </c>
      <c r="BN18" s="1">
        <f>434.2*100000000</f>
        <v>43420000000</v>
      </c>
    </row>
    <row r="19" spans="1:66">
      <c r="A19" s="18"/>
      <c r="B19">
        <v>600011</v>
      </c>
      <c r="C19" t="s">
        <v>48</v>
      </c>
      <c r="D19" s="6">
        <f>-148*100000000</f>
        <v>-14800000000</v>
      </c>
      <c r="E19" s="7" t="str">
        <f t="shared" si="0"/>
        <v>=-14800000000</v>
      </c>
      <c r="F19" s="1">
        <f>-14800000000</f>
        <v>-14800000000</v>
      </c>
      <c r="G19" s="8">
        <f t="shared" si="2"/>
        <v>-10.331651954602775</v>
      </c>
      <c r="H19" s="6" t="s">
        <v>278</v>
      </c>
      <c r="I19" s="6" t="str">
        <f t="shared" si="30"/>
        <v>=15.86*100000000</v>
      </c>
      <c r="J19" s="1">
        <f>15.86*100000000</f>
        <v>1586000000</v>
      </c>
      <c r="K19" s="10">
        <f t="shared" si="3"/>
        <v>-0.75003940110323086</v>
      </c>
      <c r="L19" s="6" t="s">
        <v>279</v>
      </c>
      <c r="M19" s="6" t="str">
        <f t="shared" si="4"/>
        <v>=63.45*100000000</v>
      </c>
      <c r="N19" s="1">
        <f>63.45*100000000</f>
        <v>6345000000</v>
      </c>
      <c r="O19" s="8">
        <f t="shared" si="5"/>
        <v>0.29278728606356969</v>
      </c>
      <c r="P19" s="6" t="s">
        <v>280</v>
      </c>
      <c r="Q19" s="6" t="str">
        <f t="shared" si="6"/>
        <v>=49.08*100000000</v>
      </c>
      <c r="R19" s="11">
        <f>49.08*100000000</f>
        <v>4908000000</v>
      </c>
      <c r="S19" s="8">
        <f t="shared" si="7"/>
        <v>-0.49023680930619029</v>
      </c>
      <c r="T19" s="6" t="s">
        <v>281</v>
      </c>
      <c r="U19" s="6" t="str">
        <f t="shared" si="8"/>
        <v>=96.28*100000000</v>
      </c>
      <c r="V19" s="1">
        <f>96.28*100000000</f>
        <v>9628000000</v>
      </c>
      <c r="W19" s="8">
        <f t="shared" si="9"/>
        <v>-0.32340126493323973</v>
      </c>
      <c r="X19" s="6" t="s">
        <v>282</v>
      </c>
      <c r="Y19" s="6" t="str">
        <f t="shared" si="10"/>
        <v>=142.3*100000000</v>
      </c>
      <c r="Z19" s="1">
        <f>142.3*100000000</f>
        <v>14230000000.000002</v>
      </c>
      <c r="AA19" s="8">
        <f t="shared" si="11"/>
        <v>0.56942759457372916</v>
      </c>
      <c r="AB19" s="6" t="s">
        <v>283</v>
      </c>
      <c r="AC19" s="6" t="str">
        <f t="shared" si="12"/>
        <v>=90.67*100000000</v>
      </c>
      <c r="AD19" s="1">
        <f>90.67*100000000</f>
        <v>9067000000</v>
      </c>
      <c r="AE19" s="8">
        <f t="shared" si="13"/>
        <v>1.4625203693644759</v>
      </c>
      <c r="AF19" s="6" t="s">
        <v>284</v>
      </c>
      <c r="AG19" s="6" t="str">
        <f t="shared" si="14"/>
        <v>=36.82*100000000</v>
      </c>
      <c r="AH19" s="1">
        <f>36.82*100000000</f>
        <v>3682000000</v>
      </c>
      <c r="AI19" s="8">
        <f t="shared" si="15"/>
        <v>-0.17977277790153709</v>
      </c>
      <c r="AJ19" s="6" t="s">
        <v>285</v>
      </c>
      <c r="AK19" s="6" t="str">
        <f t="shared" si="16"/>
        <v>=44.89*100000000</v>
      </c>
      <c r="AL19" s="1">
        <f>44.89*100000000</f>
        <v>4489000000</v>
      </c>
      <c r="AM19" s="8">
        <f t="shared" si="17"/>
        <v>-0.47856893948193752</v>
      </c>
      <c r="AN19" s="6" t="s">
        <v>286</v>
      </c>
      <c r="AO19" s="6" t="str">
        <f t="shared" si="18"/>
        <v>=86.09*100000000</v>
      </c>
      <c r="AP19" s="1">
        <f>86.09*100000000</f>
        <v>8609000000</v>
      </c>
      <c r="AQ19" s="8">
        <f t="shared" si="19"/>
        <v>0.38053239255933291</v>
      </c>
      <c r="AR19" s="6" t="s">
        <v>287</v>
      </c>
      <c r="AS19" s="6" t="str">
        <f t="shared" si="20"/>
        <v>=62.36*100000000</v>
      </c>
      <c r="AT19" s="1">
        <f>62.36*100000000</f>
        <v>6236000000</v>
      </c>
      <c r="AU19" s="8">
        <f t="shared" si="21"/>
        <v>0.37599293909973519</v>
      </c>
      <c r="AV19" s="6" t="s">
        <v>288</v>
      </c>
      <c r="AW19" s="6" t="str">
        <f t="shared" si="22"/>
        <v>=45.32*100000000</v>
      </c>
      <c r="AX19" s="1">
        <f>45.32*100000000</f>
        <v>4532000000</v>
      </c>
      <c r="AY19" s="10">
        <f t="shared" si="23"/>
        <v>0.24232456140350894</v>
      </c>
      <c r="AZ19" s="6" t="s">
        <v>289</v>
      </c>
      <c r="BA19" s="6" t="str">
        <f t="shared" si="24"/>
        <v>=36.48*100000000</v>
      </c>
      <c r="BB19" s="1">
        <f>36.48*100000000</f>
        <v>3647999999.9999995</v>
      </c>
      <c r="BC19" s="8">
        <f t="shared" si="25"/>
        <v>-0.10632043116119561</v>
      </c>
      <c r="BD19" s="6" t="s">
        <v>290</v>
      </c>
      <c r="BE19" s="6" t="str">
        <f t="shared" si="26"/>
        <v>=40.82*100000000</v>
      </c>
      <c r="BF19" s="1">
        <f>40.82*100000000</f>
        <v>4082000000</v>
      </c>
      <c r="BG19" s="8">
        <f t="shared" si="27"/>
        <v>0.11682626538987703</v>
      </c>
      <c r="BH19" s="6" t="s">
        <v>291</v>
      </c>
      <c r="BI19" s="6" t="str">
        <f t="shared" si="28"/>
        <v>=36.55*100000000</v>
      </c>
      <c r="BJ19" s="1">
        <f>36.55*100000000</f>
        <v>3654999999.9999995</v>
      </c>
      <c r="BK19" s="6" t="s">
        <v>292</v>
      </c>
      <c r="BL19" s="1" t="str">
        <f t="shared" si="1"/>
        <v>=23.63*100000000</v>
      </c>
      <c r="BM19" s="16">
        <f t="shared" si="29"/>
        <v>0.54676258992805737</v>
      </c>
      <c r="BN19" s="1">
        <f>23.63*100000000</f>
        <v>2363000000</v>
      </c>
    </row>
    <row r="20" spans="1:66">
      <c r="A20" s="18"/>
      <c r="B20">
        <v>600011</v>
      </c>
      <c r="C20" t="s">
        <v>58</v>
      </c>
      <c r="D20" s="6">
        <f>-142.8*100000000</f>
        <v>-14280000000.000002</v>
      </c>
      <c r="E20" s="7" t="str">
        <f t="shared" si="0"/>
        <v>=-14280000000</v>
      </c>
      <c r="F20" s="1">
        <f>-14280000000</f>
        <v>-14280000000</v>
      </c>
      <c r="G20" s="8">
        <f t="shared" si="2"/>
        <v>-10.363934426229509</v>
      </c>
      <c r="H20" s="6" t="s">
        <v>293</v>
      </c>
      <c r="I20" s="6" t="str">
        <f t="shared" si="30"/>
        <v>=15.25*100000000</v>
      </c>
      <c r="J20" s="1">
        <f>15.25*100000000</f>
        <v>1525000000</v>
      </c>
      <c r="K20" s="10">
        <f t="shared" si="3"/>
        <v>-0.758931394245969</v>
      </c>
      <c r="L20" s="6" t="s">
        <v>294</v>
      </c>
      <c r="M20" s="6" t="str">
        <f t="shared" si="4"/>
        <v>=63.26*100000000</v>
      </c>
      <c r="N20" s="1">
        <f>63.26*100000000</f>
        <v>6326000000</v>
      </c>
      <c r="O20" s="8">
        <f t="shared" si="5"/>
        <v>0.28316430020283978</v>
      </c>
      <c r="P20" s="6" t="s">
        <v>295</v>
      </c>
      <c r="Q20" s="6" t="str">
        <f t="shared" si="6"/>
        <v>=49.30*100000000</v>
      </c>
      <c r="R20" s="11">
        <f>49.3*100000000</f>
        <v>4930000000</v>
      </c>
      <c r="S20" s="8">
        <f t="shared" si="7"/>
        <v>-0.44066258225550259</v>
      </c>
      <c r="T20" s="6" t="s">
        <v>296</v>
      </c>
      <c r="U20" s="6" t="str">
        <f t="shared" si="8"/>
        <v>=88.14*100000000</v>
      </c>
      <c r="V20" s="1">
        <f>88.14*100000000</f>
        <v>8814000000</v>
      </c>
      <c r="W20" s="8">
        <f t="shared" si="9"/>
        <v>-0.37622080679405528</v>
      </c>
      <c r="X20" s="6" t="s">
        <v>297</v>
      </c>
      <c r="Y20" s="6" t="str">
        <f t="shared" si="10"/>
        <v>=141.3*100000000</v>
      </c>
      <c r="Z20" s="1">
        <f>141.3*100000000</f>
        <v>14130000000.000002</v>
      </c>
      <c r="AA20" s="8">
        <f t="shared" si="11"/>
        <v>0.54392482517482543</v>
      </c>
      <c r="AB20" s="6" t="s">
        <v>298</v>
      </c>
      <c r="AC20" s="6" t="str">
        <f t="shared" si="12"/>
        <v>=91.52*100000000</v>
      </c>
      <c r="AD20" s="1">
        <f>91.52*100000000</f>
        <v>9152000000</v>
      </c>
      <c r="AE20" s="8">
        <f t="shared" si="13"/>
        <v>1.4431393486385478</v>
      </c>
      <c r="AF20" s="6" t="s">
        <v>299</v>
      </c>
      <c r="AG20" s="6" t="str">
        <f t="shared" si="14"/>
        <v>=37.46*100000000</v>
      </c>
      <c r="AH20" s="1">
        <f>37.46*100000000</f>
        <v>3746000000</v>
      </c>
      <c r="AI20" s="8">
        <f t="shared" si="15"/>
        <v>-0.19665451426120523</v>
      </c>
      <c r="AJ20" s="6" t="s">
        <v>300</v>
      </c>
      <c r="AK20" s="6" t="str">
        <f t="shared" si="16"/>
        <v>=46.63*100000000</v>
      </c>
      <c r="AL20" s="1">
        <f>46.63*100000000</f>
        <v>4663000000</v>
      </c>
      <c r="AM20" s="8">
        <f t="shared" si="17"/>
        <v>-0.47559604138551509</v>
      </c>
      <c r="AN20" s="6" t="s">
        <v>301</v>
      </c>
      <c r="AO20" s="6" t="str">
        <f t="shared" si="18"/>
        <v>=88.92*100000000</v>
      </c>
      <c r="AP20" s="1">
        <f>88.92*100000000</f>
        <v>8892000000</v>
      </c>
      <c r="AQ20" s="8">
        <f t="shared" si="19"/>
        <v>0.39416745061147695</v>
      </c>
      <c r="AR20" s="6" t="s">
        <v>302</v>
      </c>
      <c r="AS20" s="6" t="str">
        <f t="shared" si="20"/>
        <v>=63.78*100000000</v>
      </c>
      <c r="AT20" s="1">
        <f>63.78*100000000</f>
        <v>6378000000</v>
      </c>
      <c r="AU20" s="8">
        <f t="shared" si="21"/>
        <v>0.37249838605551971</v>
      </c>
      <c r="AV20" s="6" t="s">
        <v>303</v>
      </c>
      <c r="AW20" s="6" t="str">
        <f t="shared" si="22"/>
        <v>=46.47*100000000</v>
      </c>
      <c r="AX20" s="1">
        <f>46.47*100000000</f>
        <v>4647000000</v>
      </c>
      <c r="AY20" s="10">
        <f t="shared" si="23"/>
        <v>0.35244470314318976</v>
      </c>
      <c r="AZ20" s="6" t="s">
        <v>304</v>
      </c>
      <c r="BA20" s="6" t="str">
        <f t="shared" si="24"/>
        <v>=34.36*100000000</v>
      </c>
      <c r="BB20" s="1">
        <f>34.36*100000000</f>
        <v>3436000000</v>
      </c>
      <c r="BC20" s="8">
        <f t="shared" si="25"/>
        <v>-0.13863123589872148</v>
      </c>
      <c r="BD20" s="6" t="s">
        <v>305</v>
      </c>
      <c r="BE20" s="6" t="str">
        <f t="shared" si="26"/>
        <v>=39.89*100000000</v>
      </c>
      <c r="BF20" s="1">
        <f>39.89*100000000</f>
        <v>3989000000</v>
      </c>
      <c r="BG20" s="8">
        <f t="shared" si="27"/>
        <v>8.6328976034858382E-2</v>
      </c>
      <c r="BH20" s="6" t="s">
        <v>306</v>
      </c>
      <c r="BI20" s="6" t="str">
        <f t="shared" si="28"/>
        <v>=36.72*100000000</v>
      </c>
      <c r="BJ20" s="1">
        <f>36.72*100000000</f>
        <v>3672000000</v>
      </c>
      <c r="BK20" s="6" t="s">
        <v>307</v>
      </c>
      <c r="BL20" s="1" t="str">
        <f t="shared" si="1"/>
        <v>=23.74*100000000</v>
      </c>
      <c r="BM20" s="16">
        <f t="shared" si="29"/>
        <v>0.54675652906486938</v>
      </c>
      <c r="BN20" s="1">
        <f>23.74*100000000</f>
        <v>2374000000</v>
      </c>
    </row>
    <row r="21" spans="1:66">
      <c r="A21" s="19"/>
      <c r="B21">
        <v>600011</v>
      </c>
      <c r="C21" t="s">
        <v>68</v>
      </c>
      <c r="D21" s="6">
        <f>-126.7*100000000</f>
        <v>-12670000000</v>
      </c>
      <c r="E21" s="7" t="str">
        <f t="shared" si="0"/>
        <v>=-12670000000</v>
      </c>
      <c r="F21" s="1">
        <f>-12670000000</f>
        <v>-12670000000</v>
      </c>
      <c r="G21" s="8">
        <f t="shared" si="2"/>
        <v>-16.228365384615383</v>
      </c>
      <c r="H21" s="6" t="s">
        <v>308</v>
      </c>
      <c r="I21" s="6" t="str">
        <f t="shared" si="30"/>
        <v>=8.320*100000000</v>
      </c>
      <c r="J21" s="1">
        <f>8.32*100000000</f>
        <v>832000000</v>
      </c>
      <c r="K21" s="10">
        <f t="shared" si="3"/>
        <v>-0.83910268806807198</v>
      </c>
      <c r="L21" s="6" t="s">
        <v>309</v>
      </c>
      <c r="M21" s="6" t="str">
        <f t="shared" si="4"/>
        <v>=51.71*100000000</v>
      </c>
      <c r="N21" s="1">
        <f>51.71*100000000</f>
        <v>5171000000</v>
      </c>
      <c r="O21" s="8">
        <f t="shared" si="5"/>
        <v>0.28312655086848648</v>
      </c>
      <c r="P21" s="6" t="s">
        <v>310</v>
      </c>
      <c r="Q21" s="6" t="str">
        <f t="shared" si="6"/>
        <v>=40.30*100000000</v>
      </c>
      <c r="R21" s="11">
        <f>40.3*100000000</f>
        <v>4029999999.9999995</v>
      </c>
      <c r="S21" s="8">
        <f t="shared" si="7"/>
        <v>-0.2934782608695653</v>
      </c>
      <c r="T21" s="6" t="s">
        <v>311</v>
      </c>
      <c r="U21" s="6" t="str">
        <f t="shared" si="8"/>
        <v>=57.04*100000000</v>
      </c>
      <c r="V21" s="1">
        <f>57.04*100000000</f>
        <v>5704000000</v>
      </c>
      <c r="W21" s="8">
        <f t="shared" si="9"/>
        <v>-0.4911685994647636</v>
      </c>
      <c r="X21" s="6" t="s">
        <v>312</v>
      </c>
      <c r="Y21" s="6" t="str">
        <f t="shared" si="10"/>
        <v>=112.1*100000000</v>
      </c>
      <c r="Z21" s="1">
        <f>112.1*100000000</f>
        <v>11210000000</v>
      </c>
      <c r="AA21" s="8">
        <f t="shared" si="11"/>
        <v>0.57576609502389653</v>
      </c>
      <c r="AB21" s="6" t="s">
        <v>313</v>
      </c>
      <c r="AC21" s="6" t="str">
        <f t="shared" si="12"/>
        <v>=71.14*100000000</v>
      </c>
      <c r="AD21" s="1">
        <f>71.14*100000000</f>
        <v>7114000000</v>
      </c>
      <c r="AE21" s="8">
        <f t="shared" si="13"/>
        <v>1.5244854506742371</v>
      </c>
      <c r="AF21" s="6" t="s">
        <v>314</v>
      </c>
      <c r="AG21" s="6" t="str">
        <f t="shared" si="14"/>
        <v>=28.18*100000000</v>
      </c>
      <c r="AH21" s="1">
        <f>28.18*100000000</f>
        <v>2818000000</v>
      </c>
      <c r="AI21" s="8">
        <f t="shared" si="15"/>
        <v>0.26481149012567323</v>
      </c>
      <c r="AJ21" s="6" t="s">
        <v>315</v>
      </c>
      <c r="AK21" s="6" t="str">
        <f t="shared" si="16"/>
        <v>=22.28*100000000</v>
      </c>
      <c r="AL21" s="1">
        <f>22.28*100000000</f>
        <v>2228000000</v>
      </c>
      <c r="AM21" s="8">
        <f t="shared" si="17"/>
        <v>-0.67119244391971666</v>
      </c>
      <c r="AN21" s="6" t="s">
        <v>316</v>
      </c>
      <c r="AO21" s="6" t="str">
        <f t="shared" si="18"/>
        <v>=67.76*100000000</v>
      </c>
      <c r="AP21" s="1">
        <f>67.76*100000000</f>
        <v>6776000000.000001</v>
      </c>
      <c r="AQ21" s="8">
        <f t="shared" si="19"/>
        <v>0.39080459770114961</v>
      </c>
      <c r="AR21" s="6" t="s">
        <v>317</v>
      </c>
      <c r="AS21" s="6" t="str">
        <f t="shared" si="20"/>
        <v>=48.72*100000000</v>
      </c>
      <c r="AT21" s="1">
        <f>48.72*100000000</f>
        <v>4872000000</v>
      </c>
      <c r="AU21" s="8">
        <f t="shared" si="21"/>
        <v>0.36317851147174035</v>
      </c>
      <c r="AV21" s="6" t="s">
        <v>318</v>
      </c>
      <c r="AW21" s="6" t="str">
        <f t="shared" si="22"/>
        <v>=35.74*100000000</v>
      </c>
      <c r="AX21" s="1">
        <f>35.74*100000000</f>
        <v>3574000000</v>
      </c>
      <c r="AY21" s="10">
        <f t="shared" si="23"/>
        <v>0.48483589530535937</v>
      </c>
      <c r="AZ21" s="6" t="s">
        <v>319</v>
      </c>
      <c r="BA21" s="6" t="str">
        <f t="shared" si="24"/>
        <v>=24.07*100000000</v>
      </c>
      <c r="BB21" s="1">
        <f>24.07*100000000</f>
        <v>2407000000</v>
      </c>
      <c r="BC21" s="8">
        <f t="shared" si="25"/>
        <v>-0.14311142755428979</v>
      </c>
      <c r="BD21" s="6" t="s">
        <v>320</v>
      </c>
      <c r="BE21" s="6" t="str">
        <f t="shared" si="26"/>
        <v>=28.09*100000000</v>
      </c>
      <c r="BF21" s="1">
        <f>28.09*100000000</f>
        <v>2809000000</v>
      </c>
      <c r="BG21" s="8">
        <f t="shared" si="27"/>
        <v>1.0431654676258994E-2</v>
      </c>
      <c r="BH21" s="6" t="s">
        <v>321</v>
      </c>
      <c r="BI21" s="6" t="str">
        <f t="shared" si="28"/>
        <v>=27.80*100000000</v>
      </c>
      <c r="BJ21" s="1">
        <f>27.8*100000000</f>
        <v>2780000000</v>
      </c>
      <c r="BK21" s="6" t="s">
        <v>322</v>
      </c>
      <c r="BL21" s="1" t="str">
        <f t="shared" si="1"/>
        <v>=17.52*100000000</v>
      </c>
      <c r="BM21" s="16">
        <f t="shared" si="29"/>
        <v>0.58675799086757996</v>
      </c>
      <c r="BN21" s="1">
        <f>17.52*100000000</f>
        <v>1752000000</v>
      </c>
    </row>
    <row r="22" spans="1:66">
      <c r="A22" s="17">
        <v>6</v>
      </c>
      <c r="B22">
        <v>600012</v>
      </c>
      <c r="C22" t="s">
        <v>31</v>
      </c>
      <c r="D22" s="6" t="s">
        <v>323</v>
      </c>
      <c r="E22" s="7" t="str">
        <f t="shared" si="0"/>
        <v>=39.21*100000000</v>
      </c>
      <c r="F22" s="1">
        <f>39.21*100000000</f>
        <v>3921000000</v>
      </c>
      <c r="G22" s="8">
        <f t="shared" si="2"/>
        <v>0.51917861294072065</v>
      </c>
      <c r="H22" s="6" t="s">
        <v>324</v>
      </c>
      <c r="I22" s="6" t="str">
        <f t="shared" si="30"/>
        <v>=25.81*100000000</v>
      </c>
      <c r="J22" s="1">
        <f>25.81*100000000</f>
        <v>2581000000</v>
      </c>
      <c r="K22" s="10">
        <f t="shared" si="3"/>
        <v>0.52902843601895733</v>
      </c>
      <c r="L22" s="6" t="s">
        <v>325</v>
      </c>
      <c r="M22" s="6" t="str">
        <f t="shared" si="4"/>
        <v>=16.88*100000000</v>
      </c>
      <c r="N22" s="1">
        <f>16.88*100000000</f>
        <v>1688000000</v>
      </c>
      <c r="O22" s="8">
        <f t="shared" si="5"/>
        <v>0.99197545433089451</v>
      </c>
      <c r="P22" s="6" t="s">
        <v>326</v>
      </c>
      <c r="Q22" s="6" t="str">
        <f t="shared" si="6"/>
        <v>=8.474*100000000</v>
      </c>
      <c r="R22" s="11">
        <f>8.474*100000000</f>
        <v>847400000</v>
      </c>
      <c r="S22" s="8">
        <f t="shared" si="7"/>
        <v>-0.7111792774369462</v>
      </c>
      <c r="T22" s="6" t="s">
        <v>327</v>
      </c>
      <c r="U22" s="6" t="str">
        <f t="shared" si="8"/>
        <v>=29.34*100000000</v>
      </c>
      <c r="V22" s="1">
        <f>29.34*100000000</f>
        <v>2934000000</v>
      </c>
      <c r="W22" s="8">
        <f t="shared" si="9"/>
        <v>0.6813753581661891</v>
      </c>
      <c r="X22" s="6" t="s">
        <v>328</v>
      </c>
      <c r="Y22" s="6" t="str">
        <f t="shared" si="10"/>
        <v>=17.45*100000000</v>
      </c>
      <c r="Z22" s="1">
        <f>17.45*100000000</f>
        <v>1745000000</v>
      </c>
      <c r="AA22" s="8">
        <f t="shared" si="11"/>
        <v>1.1309073146904385</v>
      </c>
      <c r="AB22" s="6" t="s">
        <v>329</v>
      </c>
      <c r="AC22" s="6" t="str">
        <f t="shared" si="12"/>
        <v>=8.189*100000000</v>
      </c>
      <c r="AD22" s="1">
        <f>8.189*100000000</f>
        <v>818900000</v>
      </c>
      <c r="AE22" s="8">
        <f t="shared" si="13"/>
        <v>2.0062408223201174</v>
      </c>
      <c r="AF22" s="6" t="s">
        <v>330</v>
      </c>
      <c r="AG22" s="6" t="str">
        <f t="shared" si="14"/>
        <v>=2.724*100000000</v>
      </c>
      <c r="AH22" s="1">
        <f>2.724*100000000</f>
        <v>272400000</v>
      </c>
      <c r="AI22" s="8">
        <f t="shared" si="15"/>
        <v>-0.90753564154786148</v>
      </c>
      <c r="AJ22" s="6" t="s">
        <v>331</v>
      </c>
      <c r="AK22" s="6" t="str">
        <f t="shared" si="16"/>
        <v>=29.46*100000000</v>
      </c>
      <c r="AL22" s="1">
        <f>29.46*100000000</f>
        <v>2946000000</v>
      </c>
      <c r="AM22" s="8">
        <f t="shared" si="17"/>
        <v>0.32107623318385653</v>
      </c>
      <c r="AN22" s="6" t="s">
        <v>332</v>
      </c>
      <c r="AO22" s="6" t="str">
        <f t="shared" si="18"/>
        <v>=22.30*100000000</v>
      </c>
      <c r="AP22" s="1">
        <f>22.3*100000000</f>
        <v>2230000000</v>
      </c>
      <c r="AQ22" s="8">
        <f t="shared" si="19"/>
        <v>0.51907356948228878</v>
      </c>
      <c r="AR22" s="6" t="s">
        <v>333</v>
      </c>
      <c r="AS22" s="6" t="str">
        <f t="shared" si="20"/>
        <v>=14.68*100000000</v>
      </c>
      <c r="AT22" s="1">
        <f>14.68*100000000</f>
        <v>1468000000</v>
      </c>
      <c r="AU22" s="8">
        <f t="shared" si="21"/>
        <v>0.95759434591278836</v>
      </c>
      <c r="AV22" s="6" t="s">
        <v>334</v>
      </c>
      <c r="AW22" s="6" t="str">
        <f t="shared" si="22"/>
        <v>=7.499*100000000</v>
      </c>
      <c r="AX22" s="1">
        <f>7.499*100000000</f>
        <v>749900000</v>
      </c>
      <c r="AY22" s="10">
        <f t="shared" si="23"/>
        <v>-0.7472531176272329</v>
      </c>
      <c r="AZ22" s="6" t="s">
        <v>335</v>
      </c>
      <c r="BA22" s="6" t="str">
        <f t="shared" si="24"/>
        <v>=29.67*100000000</v>
      </c>
      <c r="BB22" s="1">
        <f>29.67*100000000</f>
        <v>2967000000</v>
      </c>
      <c r="BC22" s="8">
        <f t="shared" si="25"/>
        <v>0.3192530013339262</v>
      </c>
      <c r="BD22" s="6" t="s">
        <v>336</v>
      </c>
      <c r="BE22" s="6" t="str">
        <f t="shared" si="26"/>
        <v>=22.49*100000000</v>
      </c>
      <c r="BF22" s="1">
        <f>22.49*100000000</f>
        <v>2249000000</v>
      </c>
      <c r="BG22" s="8">
        <f t="shared" si="27"/>
        <v>0.53201634877384196</v>
      </c>
      <c r="BH22" s="6" t="s">
        <v>333</v>
      </c>
      <c r="BI22" s="6" t="str">
        <f t="shared" si="28"/>
        <v>=14.68*100000000</v>
      </c>
      <c r="BJ22" s="1">
        <f>14.68*100000000</f>
        <v>1468000000</v>
      </c>
      <c r="BK22" s="6" t="s">
        <v>337</v>
      </c>
      <c r="BL22" s="1" t="str">
        <f t="shared" si="1"/>
        <v>=7.284*100000000</v>
      </c>
      <c r="BM22" s="16">
        <f t="shared" si="29"/>
        <v>1.0153761669412411</v>
      </c>
      <c r="BN22" s="1">
        <f>7.284*100000000</f>
        <v>728400000</v>
      </c>
    </row>
    <row r="23" spans="1:66">
      <c r="A23" s="18"/>
      <c r="B23">
        <v>600012</v>
      </c>
      <c r="C23" t="s">
        <v>48</v>
      </c>
      <c r="D23" s="6" t="s">
        <v>338</v>
      </c>
      <c r="E23" s="7" t="str">
        <f t="shared" si="0"/>
        <v>=21.19*100000000</v>
      </c>
      <c r="F23" s="1">
        <f>21.19*100000000</f>
        <v>2119000000.0000002</v>
      </c>
      <c r="G23" s="8">
        <f t="shared" si="2"/>
        <v>0.35920461834509315</v>
      </c>
      <c r="H23" s="6" t="s">
        <v>339</v>
      </c>
      <c r="I23" s="6" t="str">
        <f t="shared" si="30"/>
        <v>=15.59*100000000</v>
      </c>
      <c r="J23" s="1">
        <f>15.59*100000000</f>
        <v>1559000000</v>
      </c>
      <c r="K23" s="10">
        <f t="shared" si="3"/>
        <v>0.54509415262636274</v>
      </c>
      <c r="L23" s="6" t="s">
        <v>340</v>
      </c>
      <c r="M23" s="6" t="str">
        <f t="shared" si="4"/>
        <v>=10.09*100000000</v>
      </c>
      <c r="N23" s="1">
        <f>10.09*100000000</f>
        <v>1009000000</v>
      </c>
      <c r="O23" s="8">
        <f t="shared" si="5"/>
        <v>1.0111620490332867</v>
      </c>
      <c r="P23" s="6" t="s">
        <v>341</v>
      </c>
      <c r="Q23" s="6" t="str">
        <f t="shared" si="6"/>
        <v>=5.017*100000000</v>
      </c>
      <c r="R23" s="11">
        <f>5.017*100000000</f>
        <v>501700000.00000006</v>
      </c>
      <c r="S23" s="8">
        <f t="shared" si="7"/>
        <v>-0.5776936026936027</v>
      </c>
      <c r="T23" s="6" t="s">
        <v>342</v>
      </c>
      <c r="U23" s="6" t="str">
        <f t="shared" si="8"/>
        <v>=11.88*100000000</v>
      </c>
      <c r="V23" s="1">
        <f>11.88*100000000</f>
        <v>1188000000</v>
      </c>
      <c r="W23" s="8">
        <f t="shared" si="9"/>
        <v>0.86821827331341406</v>
      </c>
      <c r="X23" s="6" t="s">
        <v>343</v>
      </c>
      <c r="Y23" s="6" t="str">
        <f t="shared" si="10"/>
        <v>=6.359*100000000</v>
      </c>
      <c r="Z23" s="1">
        <f>6.359*100000000</f>
        <v>635900000</v>
      </c>
      <c r="AA23" s="8">
        <f t="shared" si="11"/>
        <v>5.1380308880308876</v>
      </c>
      <c r="AB23" s="6" t="s">
        <v>344</v>
      </c>
      <c r="AC23" s="6" t="str">
        <f t="shared" si="12"/>
        <v>=1.036*100000000</v>
      </c>
      <c r="AD23" s="1">
        <f>1.036*100000000</f>
        <v>103600000</v>
      </c>
      <c r="AE23" s="8">
        <f t="shared" si="13"/>
        <v>-2.5802318486882245</v>
      </c>
      <c r="AF23" s="7">
        <f>-6556*10000</f>
        <v>-65560000</v>
      </c>
      <c r="AG23" s="6" t="str">
        <f t="shared" si="14"/>
        <v>=-65560000</v>
      </c>
      <c r="AH23" s="1">
        <f>-65560000</f>
        <v>-65560000</v>
      </c>
      <c r="AI23" s="8">
        <f t="shared" si="15"/>
        <v>-1.042133676092545</v>
      </c>
      <c r="AJ23" s="6" t="s">
        <v>345</v>
      </c>
      <c r="AK23" s="6" t="str">
        <f t="shared" si="16"/>
        <v>=15.56*100000000</v>
      </c>
      <c r="AL23" s="1">
        <f>15.56*100000000</f>
        <v>1556000000</v>
      </c>
      <c r="AM23" s="8">
        <f t="shared" si="17"/>
        <v>0.31976251060220529</v>
      </c>
      <c r="AN23" s="6" t="s">
        <v>346</v>
      </c>
      <c r="AO23" s="6" t="str">
        <f t="shared" si="18"/>
        <v>=11.79*100000000</v>
      </c>
      <c r="AP23" s="1">
        <f>11.79*100000000</f>
        <v>1179000000</v>
      </c>
      <c r="AQ23" s="8">
        <f t="shared" si="19"/>
        <v>0.54501375966452625</v>
      </c>
      <c r="AR23" s="6" t="s">
        <v>347</v>
      </c>
      <c r="AS23" s="6" t="str">
        <f t="shared" si="20"/>
        <v>=7.631*100000000</v>
      </c>
      <c r="AT23" s="1">
        <f>7.631*100000000</f>
        <v>763100000</v>
      </c>
      <c r="AU23" s="8">
        <f t="shared" si="21"/>
        <v>0.88094651220113351</v>
      </c>
      <c r="AV23" s="6" t="s">
        <v>348</v>
      </c>
      <c r="AW23" s="6" t="str">
        <f t="shared" si="22"/>
        <v>=4.057*100000000</v>
      </c>
      <c r="AX23" s="1">
        <f>4.057*100000000</f>
        <v>405700000.00000006</v>
      </c>
      <c r="AY23" s="10">
        <f t="shared" si="23"/>
        <v>-0.73775048480930838</v>
      </c>
      <c r="AZ23" s="6" t="s">
        <v>349</v>
      </c>
      <c r="BA23" s="6" t="str">
        <f t="shared" si="24"/>
        <v>=15.47*100000000</v>
      </c>
      <c r="BB23" s="1">
        <f>15.47*100000000</f>
        <v>1547000000</v>
      </c>
      <c r="BC23" s="8">
        <f t="shared" si="25"/>
        <v>0.30769230769230771</v>
      </c>
      <c r="BD23" s="6" t="s">
        <v>350</v>
      </c>
      <c r="BE23" s="6" t="str">
        <f t="shared" si="26"/>
        <v>=11.83*100000000</v>
      </c>
      <c r="BF23" s="1">
        <f>11.83*100000000</f>
        <v>1183000000</v>
      </c>
      <c r="BG23" s="8">
        <f t="shared" si="27"/>
        <v>0.54076582443344623</v>
      </c>
      <c r="BH23" s="6" t="s">
        <v>351</v>
      </c>
      <c r="BI23" s="6" t="str">
        <f t="shared" si="28"/>
        <v>=7.678*100000000</v>
      </c>
      <c r="BJ23" s="1">
        <f>7.678*100000000</f>
        <v>767800000</v>
      </c>
      <c r="BK23" s="6" t="s">
        <v>352</v>
      </c>
      <c r="BL23" s="1" t="str">
        <f t="shared" si="1"/>
        <v>=3.737*100000000</v>
      </c>
      <c r="BM23" s="16">
        <f t="shared" si="29"/>
        <v>1.0545892427080545</v>
      </c>
      <c r="BN23" s="1">
        <f>3.737*100000000</f>
        <v>373700000</v>
      </c>
    </row>
    <row r="24" spans="1:66">
      <c r="A24" s="18"/>
      <c r="B24">
        <v>600012</v>
      </c>
      <c r="C24" t="s">
        <v>58</v>
      </c>
      <c r="D24" s="6" t="s">
        <v>338</v>
      </c>
      <c r="E24" s="7" t="str">
        <f t="shared" si="0"/>
        <v>=21.19*100000000</v>
      </c>
      <c r="F24" s="1">
        <f>21.19*100000000</f>
        <v>2119000000.0000002</v>
      </c>
      <c r="G24" s="8">
        <f t="shared" si="2"/>
        <v>0.35746316463805267</v>
      </c>
      <c r="H24" s="6" t="s">
        <v>353</v>
      </c>
      <c r="I24" s="6" t="str">
        <f t="shared" si="30"/>
        <v>=15.61*100000000</v>
      </c>
      <c r="J24" s="1">
        <f>15.61*100000000</f>
        <v>1561000000</v>
      </c>
      <c r="K24" s="10">
        <f t="shared" si="3"/>
        <v>0.54707631318136773</v>
      </c>
      <c r="L24" s="6" t="s">
        <v>340</v>
      </c>
      <c r="M24" s="6" t="str">
        <f t="shared" si="4"/>
        <v>=10.09*100000000</v>
      </c>
      <c r="N24" s="1">
        <f>10.09*100000000</f>
        <v>1009000000</v>
      </c>
      <c r="O24" s="8">
        <f t="shared" si="5"/>
        <v>1.0103606296074916</v>
      </c>
      <c r="P24" s="6" t="s">
        <v>354</v>
      </c>
      <c r="Q24" s="6" t="str">
        <f t="shared" si="6"/>
        <v>=5.019*100000000</v>
      </c>
      <c r="R24" s="11">
        <f>5.019*100000000</f>
        <v>501900000</v>
      </c>
      <c r="S24" s="8">
        <f t="shared" si="7"/>
        <v>-0.57573964497041419</v>
      </c>
      <c r="T24" s="6" t="s">
        <v>350</v>
      </c>
      <c r="U24" s="6" t="str">
        <f t="shared" si="8"/>
        <v>=11.83*100000000</v>
      </c>
      <c r="V24" s="1">
        <f>11.83*100000000</f>
        <v>1183000000</v>
      </c>
      <c r="W24" s="8">
        <f t="shared" si="9"/>
        <v>0.87599111956866471</v>
      </c>
      <c r="X24" s="6" t="s">
        <v>355</v>
      </c>
      <c r="Y24" s="6" t="str">
        <f t="shared" si="10"/>
        <v>=6.306*100000000</v>
      </c>
      <c r="Z24" s="1">
        <f>6.306*100000000</f>
        <v>630600000</v>
      </c>
      <c r="AA24" s="8">
        <f t="shared" si="11"/>
        <v>5.4399509803921573</v>
      </c>
      <c r="AB24" s="7" t="s">
        <v>356</v>
      </c>
      <c r="AC24" s="6" t="str">
        <f t="shared" si="12"/>
        <v>=9792*10000</v>
      </c>
      <c r="AD24" s="1">
        <f>9792*10000</f>
        <v>97920000</v>
      </c>
      <c r="AE24" s="8">
        <f t="shared" si="13"/>
        <v>-2.4913189156259521</v>
      </c>
      <c r="AF24" s="7">
        <f>-6566*10000</f>
        <v>-65660000</v>
      </c>
      <c r="AG24" s="6" t="str">
        <f t="shared" si="14"/>
        <v>=-65660000</v>
      </c>
      <c r="AH24" s="1">
        <f>-65660000</f>
        <v>-65660000</v>
      </c>
      <c r="AI24" s="8">
        <f t="shared" si="15"/>
        <v>-1.0420897435897436</v>
      </c>
      <c r="AJ24" s="6" t="s">
        <v>357</v>
      </c>
      <c r="AK24" s="6" t="str">
        <f t="shared" si="16"/>
        <v>=15.60*100000000</v>
      </c>
      <c r="AL24" s="1">
        <f>15.6*100000000</f>
        <v>1560000000</v>
      </c>
      <c r="AM24" s="8">
        <f t="shared" si="17"/>
        <v>0.32203389830508472</v>
      </c>
      <c r="AN24" s="6" t="s">
        <v>358</v>
      </c>
      <c r="AO24" s="6" t="str">
        <f t="shared" si="18"/>
        <v>=11.80*100000000</v>
      </c>
      <c r="AP24" s="1">
        <f>11.8*100000000</f>
        <v>1180000000</v>
      </c>
      <c r="AQ24" s="8">
        <f t="shared" si="19"/>
        <v>0.54591903576575396</v>
      </c>
      <c r="AR24" s="6" t="s">
        <v>359</v>
      </c>
      <c r="AS24" s="6" t="str">
        <f t="shared" si="20"/>
        <v>=7.633*100000000</v>
      </c>
      <c r="AT24" s="1">
        <f>7.633*100000000</f>
        <v>763300000</v>
      </c>
      <c r="AU24" s="8">
        <f t="shared" si="21"/>
        <v>0.88143948730589072</v>
      </c>
      <c r="AV24" s="6" t="s">
        <v>348</v>
      </c>
      <c r="AW24" s="6" t="str">
        <f t="shared" si="22"/>
        <v>=4.057*100000000</v>
      </c>
      <c r="AX24" s="1">
        <f>4.057*100000000</f>
        <v>405700000.00000006</v>
      </c>
      <c r="AY24" s="10">
        <f t="shared" si="23"/>
        <v>-0.73791989664082691</v>
      </c>
      <c r="AZ24" s="6" t="s">
        <v>360</v>
      </c>
      <c r="BA24" s="6" t="str">
        <f t="shared" si="24"/>
        <v>=15.48*100000000</v>
      </c>
      <c r="BB24" s="1">
        <f>15.48*100000000</f>
        <v>1548000000</v>
      </c>
      <c r="BC24" s="8">
        <f t="shared" si="25"/>
        <v>0.30853761622992393</v>
      </c>
      <c r="BD24" s="6" t="s">
        <v>350</v>
      </c>
      <c r="BE24" s="6" t="str">
        <f t="shared" si="26"/>
        <v>=11.83*100000000</v>
      </c>
      <c r="BF24" s="1">
        <f>11.83*100000000</f>
        <v>1183000000</v>
      </c>
      <c r="BG24" s="8">
        <f t="shared" si="27"/>
        <v>0.54076582443344623</v>
      </c>
      <c r="BH24" s="6" t="s">
        <v>351</v>
      </c>
      <c r="BI24" s="6" t="str">
        <f t="shared" si="28"/>
        <v>=7.678*100000000</v>
      </c>
      <c r="BJ24" s="1">
        <f>7.678*100000000</f>
        <v>767800000</v>
      </c>
      <c r="BK24" s="6" t="s">
        <v>361</v>
      </c>
      <c r="BL24" s="1" t="str">
        <f t="shared" si="1"/>
        <v>=3.732*100000000</v>
      </c>
      <c r="BM24" s="16">
        <f t="shared" si="29"/>
        <v>1.057341907824223</v>
      </c>
      <c r="BN24" s="1">
        <f>3.732*100000000</f>
        <v>373200000</v>
      </c>
    </row>
    <row r="25" spans="1:66">
      <c r="A25" s="19"/>
      <c r="B25">
        <v>600012</v>
      </c>
      <c r="C25" t="s">
        <v>68</v>
      </c>
      <c r="D25" s="6" t="s">
        <v>362</v>
      </c>
      <c r="E25" s="7" t="str">
        <f t="shared" si="0"/>
        <v>=15.45*100000000</v>
      </c>
      <c r="F25" s="1">
        <f>15.45*100000000</f>
        <v>1545000000</v>
      </c>
      <c r="G25" s="8">
        <f t="shared" si="2"/>
        <v>0.37577916295636687</v>
      </c>
      <c r="H25" s="6" t="s">
        <v>363</v>
      </c>
      <c r="I25" s="6" t="str">
        <f t="shared" si="30"/>
        <v>=11.23*100000000</v>
      </c>
      <c r="J25" s="1">
        <f>11.23*100000000</f>
        <v>1123000000</v>
      </c>
      <c r="K25" s="10">
        <f t="shared" si="3"/>
        <v>0.54853833425262</v>
      </c>
      <c r="L25" s="6" t="s">
        <v>364</v>
      </c>
      <c r="M25" s="6" t="str">
        <f t="shared" si="4"/>
        <v>=7.252*100000000</v>
      </c>
      <c r="N25" s="1">
        <f>7.252*100000000</f>
        <v>725200000</v>
      </c>
      <c r="O25" s="8">
        <f t="shared" si="5"/>
        <v>1.0055309734513274</v>
      </c>
      <c r="P25" s="6" t="s">
        <v>365</v>
      </c>
      <c r="Q25" s="6" t="str">
        <f t="shared" si="6"/>
        <v>=3.616*100000000</v>
      </c>
      <c r="R25" s="11">
        <f>3.616*100000000</f>
        <v>361600000</v>
      </c>
      <c r="S25" s="8">
        <f t="shared" si="7"/>
        <v>-0.55724256152810092</v>
      </c>
      <c r="T25" s="6" t="s">
        <v>366</v>
      </c>
      <c r="U25" s="6" t="str">
        <f t="shared" si="8"/>
        <v>=8.167*100000000</v>
      </c>
      <c r="V25" s="1">
        <f>8.167*100000000</f>
        <v>816700000</v>
      </c>
      <c r="W25" s="8">
        <f t="shared" si="9"/>
        <v>0.96842612677753681</v>
      </c>
      <c r="X25" s="6" t="s">
        <v>367</v>
      </c>
      <c r="Y25" s="6" t="str">
        <f t="shared" si="10"/>
        <v>=4.149*100000000</v>
      </c>
      <c r="Z25" s="1">
        <f>4.149*100000000</f>
        <v>414900000</v>
      </c>
      <c r="AA25" s="8">
        <f t="shared" si="11"/>
        <v>11.925233644859814</v>
      </c>
      <c r="AB25" s="7" t="s">
        <v>368</v>
      </c>
      <c r="AC25" s="6" t="str">
        <f t="shared" si="12"/>
        <v>=3210*10000</v>
      </c>
      <c r="AD25" s="1">
        <f>3210*10000</f>
        <v>32100000</v>
      </c>
      <c r="AE25" s="8">
        <f t="shared" si="13"/>
        <v>-1.430064308681672</v>
      </c>
      <c r="AF25" s="7">
        <f>-7464*10000</f>
        <v>-74640000</v>
      </c>
      <c r="AG25" s="6" t="str">
        <f t="shared" si="14"/>
        <v>=-74640000</v>
      </c>
      <c r="AH25" s="1">
        <f>-74640000</f>
        <v>-74640000</v>
      </c>
      <c r="AI25" s="8">
        <f t="shared" si="15"/>
        <v>-1.0704815864022663</v>
      </c>
      <c r="AJ25" s="6" t="s">
        <v>369</v>
      </c>
      <c r="AK25" s="6" t="str">
        <f t="shared" si="16"/>
        <v>=10.59*100000000</v>
      </c>
      <c r="AL25" s="1">
        <f>10.59*100000000</f>
        <v>1059000000</v>
      </c>
      <c r="AM25" s="8">
        <f t="shared" si="17"/>
        <v>0.25757035981474902</v>
      </c>
      <c r="AN25" s="6" t="s">
        <v>370</v>
      </c>
      <c r="AO25" s="6" t="str">
        <f t="shared" si="18"/>
        <v>=8.421*100000000</v>
      </c>
      <c r="AP25" s="1">
        <f>8.421*100000000</f>
        <v>842099999.99999988</v>
      </c>
      <c r="AQ25" s="8">
        <f t="shared" si="19"/>
        <v>0.54598861758766271</v>
      </c>
      <c r="AR25" s="6" t="s">
        <v>371</v>
      </c>
      <c r="AS25" s="6" t="str">
        <f t="shared" si="20"/>
        <v>=5.447*100000000</v>
      </c>
      <c r="AT25" s="1">
        <f>5.447*100000000</f>
        <v>544700000</v>
      </c>
      <c r="AU25" s="8">
        <f t="shared" si="21"/>
        <v>0.87762840399862119</v>
      </c>
      <c r="AV25" s="6" t="s">
        <v>372</v>
      </c>
      <c r="AW25" s="6" t="str">
        <f t="shared" si="22"/>
        <v>=2.901*100000000</v>
      </c>
      <c r="AX25" s="1">
        <f>2.901*100000000</f>
        <v>290100000</v>
      </c>
      <c r="AY25" s="10">
        <f t="shared" si="23"/>
        <v>-0.73555150410209658</v>
      </c>
      <c r="AZ25" s="6" t="s">
        <v>373</v>
      </c>
      <c r="BA25" s="6" t="str">
        <f t="shared" si="24"/>
        <v>=10.97*100000000</v>
      </c>
      <c r="BB25" s="1">
        <f>10.97*100000000</f>
        <v>1097000000</v>
      </c>
      <c r="BC25" s="8">
        <f t="shared" si="25"/>
        <v>0.29577132057642352</v>
      </c>
      <c r="BD25" s="6" t="s">
        <v>374</v>
      </c>
      <c r="BE25" s="6" t="str">
        <f t="shared" si="26"/>
        <v>=8.466*100000000</v>
      </c>
      <c r="BF25" s="1">
        <f>8.466*100000000</f>
        <v>846599999.99999988</v>
      </c>
      <c r="BG25" s="8">
        <f t="shared" si="27"/>
        <v>0.54348222424794879</v>
      </c>
      <c r="BH25" s="6" t="s">
        <v>375</v>
      </c>
      <c r="BI25" s="6" t="str">
        <f t="shared" si="28"/>
        <v>=5.485*100000000</v>
      </c>
      <c r="BJ25" s="1">
        <f>5.485*100000000</f>
        <v>548500000</v>
      </c>
      <c r="BK25" s="6" t="s">
        <v>376</v>
      </c>
      <c r="BL25" s="1" t="str">
        <f t="shared" si="1"/>
        <v>=2.643*100000000</v>
      </c>
      <c r="BM25" s="16">
        <f t="shared" si="29"/>
        <v>1.0752932273931139</v>
      </c>
      <c r="BN25" s="1">
        <f>2.643*100000000</f>
        <v>264299999.99999997</v>
      </c>
    </row>
    <row r="26" spans="1:66">
      <c r="A26" s="17">
        <v>7</v>
      </c>
      <c r="B26">
        <v>600016</v>
      </c>
      <c r="C26" t="s">
        <v>31</v>
      </c>
      <c r="D26" s="6" t="s">
        <v>377</v>
      </c>
      <c r="E26" s="7" t="str">
        <f t="shared" si="0"/>
        <v>=1688*100000000</v>
      </c>
      <c r="F26" s="1">
        <f>1688*100000000</f>
        <v>168800000000</v>
      </c>
      <c r="G26" s="8">
        <f t="shared" si="2"/>
        <v>0.29249617151607965</v>
      </c>
      <c r="H26" s="6" t="s">
        <v>378</v>
      </c>
      <c r="I26" s="6" t="str">
        <f t="shared" si="30"/>
        <v>=1306*100000000</v>
      </c>
      <c r="J26" s="1">
        <f>1306*100000000</f>
        <v>130600000000</v>
      </c>
      <c r="K26" s="10">
        <f t="shared" si="3"/>
        <v>0.48781043517885625</v>
      </c>
      <c r="L26" s="6" t="s">
        <v>379</v>
      </c>
      <c r="M26" s="6" t="str">
        <f t="shared" si="4"/>
        <v>=877.8*100000000</v>
      </c>
      <c r="N26" s="1">
        <f>877.8*100000000</f>
        <v>87780000000</v>
      </c>
      <c r="O26" s="8">
        <f t="shared" si="5"/>
        <v>1.0380775481773856</v>
      </c>
      <c r="P26" s="6" t="s">
        <v>380</v>
      </c>
      <c r="Q26" s="6" t="str">
        <f t="shared" si="6"/>
        <v>=430.7*100000000</v>
      </c>
      <c r="R26" s="11">
        <f>430.7*100000000</f>
        <v>43070000000</v>
      </c>
      <c r="S26" s="8">
        <f t="shared" si="7"/>
        <v>-0.76718918918918921</v>
      </c>
      <c r="T26" s="6" t="s">
        <v>381</v>
      </c>
      <c r="U26" s="6" t="str">
        <f t="shared" si="8"/>
        <v>=1850*100000000</v>
      </c>
      <c r="V26" s="1">
        <f>1850*100000000</f>
        <v>185000000000</v>
      </c>
      <c r="W26" s="8">
        <f t="shared" si="9"/>
        <v>0.29099790648988139</v>
      </c>
      <c r="X26" s="6" t="s">
        <v>382</v>
      </c>
      <c r="Y26" s="6" t="str">
        <f t="shared" si="10"/>
        <v>=1433*100000000</v>
      </c>
      <c r="Z26" s="1">
        <f>1433*100000000</f>
        <v>143300000000</v>
      </c>
      <c r="AA26" s="8">
        <f t="shared" si="11"/>
        <v>0.46060544287024768</v>
      </c>
      <c r="AB26" s="6" t="s">
        <v>383</v>
      </c>
      <c r="AC26" s="6" t="str">
        <f t="shared" si="12"/>
        <v>=981.1*100000000</v>
      </c>
      <c r="AD26" s="1">
        <f>981.1*100000000</f>
        <v>98110000000</v>
      </c>
      <c r="AE26" s="8">
        <f t="shared" si="13"/>
        <v>0.98885059801337927</v>
      </c>
      <c r="AF26" s="6" t="s">
        <v>384</v>
      </c>
      <c r="AG26" s="6" t="str">
        <f t="shared" si="14"/>
        <v>=493.3*100000000</v>
      </c>
      <c r="AH26" s="1">
        <f>493.3*100000000</f>
        <v>49330000000</v>
      </c>
      <c r="AI26" s="8">
        <f t="shared" si="15"/>
        <v>-0.72655210643015522</v>
      </c>
      <c r="AJ26" s="6" t="s">
        <v>385</v>
      </c>
      <c r="AK26" s="6" t="str">
        <f t="shared" si="16"/>
        <v>=1804*100000000</v>
      </c>
      <c r="AL26" s="1">
        <f>1804*100000000</f>
        <v>180400000000</v>
      </c>
      <c r="AM26" s="8">
        <f t="shared" si="17"/>
        <v>0.35537190082644626</v>
      </c>
      <c r="AN26" s="6" t="s">
        <v>386</v>
      </c>
      <c r="AO26" s="6" t="str">
        <f t="shared" si="18"/>
        <v>=1331*100000000</v>
      </c>
      <c r="AP26" s="1">
        <f>1331*100000000</f>
        <v>133100000000</v>
      </c>
      <c r="AQ26" s="8">
        <f t="shared" si="19"/>
        <v>0.50804441423068203</v>
      </c>
      <c r="AR26" s="6" t="s">
        <v>387</v>
      </c>
      <c r="AS26" s="6" t="str">
        <f t="shared" si="20"/>
        <v>=882.6*100000000</v>
      </c>
      <c r="AT26" s="1">
        <f>882.6*100000000</f>
        <v>88260000000</v>
      </c>
      <c r="AU26" s="8">
        <f t="shared" si="21"/>
        <v>1.0123119015047879</v>
      </c>
      <c r="AV26" s="6" t="s">
        <v>388</v>
      </c>
      <c r="AW26" s="6" t="str">
        <f t="shared" si="22"/>
        <v>=438.6*100000000</v>
      </c>
      <c r="AX26" s="1">
        <f>438.6*100000000</f>
        <v>43860000000</v>
      </c>
      <c r="AY26" s="10">
        <f t="shared" si="23"/>
        <v>-0.72028061224489792</v>
      </c>
      <c r="AZ26" s="6" t="s">
        <v>389</v>
      </c>
      <c r="BA26" s="6" t="str">
        <f t="shared" si="24"/>
        <v>=1568*100000000</v>
      </c>
      <c r="BB26" s="1">
        <f>1568*100000000</f>
        <v>156800000000</v>
      </c>
      <c r="BC26" s="8">
        <f t="shared" si="25"/>
        <v>0.35522904062229904</v>
      </c>
      <c r="BD26" s="6" t="s">
        <v>390</v>
      </c>
      <c r="BE26" s="6" t="str">
        <f t="shared" si="26"/>
        <v>=1157*100000000</v>
      </c>
      <c r="BF26" s="1">
        <f>1157*100000000</f>
        <v>115700000000</v>
      </c>
      <c r="BG26" s="8">
        <f t="shared" si="27"/>
        <v>0.53407584195173696</v>
      </c>
      <c r="BH26" s="6" t="s">
        <v>391</v>
      </c>
      <c r="BI26" s="6" t="str">
        <f t="shared" si="28"/>
        <v>=754.2*100000000</v>
      </c>
      <c r="BJ26" s="1">
        <f>754.2*100000000</f>
        <v>75420000000</v>
      </c>
      <c r="BK26" s="6" t="s">
        <v>392</v>
      </c>
      <c r="BL26" s="1" t="str">
        <f t="shared" si="1"/>
        <v>=367.5*100000000</v>
      </c>
      <c r="BM26" s="16">
        <f t="shared" si="29"/>
        <v>1.0522448979591836</v>
      </c>
      <c r="BN26" s="1">
        <f>367.5*100000000</f>
        <v>36750000000</v>
      </c>
    </row>
    <row r="27" spans="1:66">
      <c r="A27" s="18"/>
      <c r="B27">
        <v>600016</v>
      </c>
      <c r="C27" t="s">
        <v>48</v>
      </c>
      <c r="D27" s="6" t="s">
        <v>393</v>
      </c>
      <c r="E27" s="7" t="str">
        <f t="shared" si="0"/>
        <v>=361.4*100000000</v>
      </c>
      <c r="F27" s="1">
        <f>361.4*100000000</f>
        <v>36140000000</v>
      </c>
      <c r="G27" s="8">
        <f t="shared" si="2"/>
        <v>-5.4916317991631797E-2</v>
      </c>
      <c r="H27" s="6" t="s">
        <v>394</v>
      </c>
      <c r="I27" s="6" t="str">
        <f t="shared" si="30"/>
        <v>=382.4*100000000</v>
      </c>
      <c r="J27" s="1">
        <f>382.4*100000000</f>
        <v>38240000000</v>
      </c>
      <c r="K27" s="10">
        <f t="shared" si="3"/>
        <v>0.31183533447684392</v>
      </c>
      <c r="L27" s="6" t="s">
        <v>395</v>
      </c>
      <c r="M27" s="6" t="str">
        <f t="shared" si="4"/>
        <v>=291.5*100000000</v>
      </c>
      <c r="N27" s="1">
        <f>291.5*100000000</f>
        <v>29150000000</v>
      </c>
      <c r="O27" s="8">
        <f t="shared" si="5"/>
        <v>0.72383205204021284</v>
      </c>
      <c r="P27" s="6" t="s">
        <v>396</v>
      </c>
      <c r="Q27" s="6" t="str">
        <f t="shared" si="6"/>
        <v>=169.1*100000000</v>
      </c>
      <c r="R27" s="11">
        <f>169.1*100000000</f>
        <v>16910000000</v>
      </c>
      <c r="S27" s="8">
        <f t="shared" si="7"/>
        <v>-0.54530787846195217</v>
      </c>
      <c r="T27" s="6" t="s">
        <v>397</v>
      </c>
      <c r="U27" s="6" t="str">
        <f t="shared" si="8"/>
        <v>=371.9*100000000</v>
      </c>
      <c r="V27" s="1">
        <f>371.9*100000000</f>
        <v>37190000000</v>
      </c>
      <c r="W27" s="8">
        <f t="shared" si="9"/>
        <v>-0.13712296983758701</v>
      </c>
      <c r="X27" s="6" t="s">
        <v>398</v>
      </c>
      <c r="Y27" s="6" t="str">
        <f t="shared" si="10"/>
        <v>=431.0*100000000</v>
      </c>
      <c r="Z27" s="1">
        <f>431*100000000</f>
        <v>43100000000</v>
      </c>
      <c r="AA27" s="8">
        <f t="shared" si="11"/>
        <v>0.29819277108433734</v>
      </c>
      <c r="AB27" s="6" t="s">
        <v>399</v>
      </c>
      <c r="AC27" s="6" t="str">
        <f t="shared" si="12"/>
        <v>=332.0*100000000</v>
      </c>
      <c r="AD27" s="1">
        <f>332*100000000</f>
        <v>33200000000</v>
      </c>
      <c r="AE27" s="8">
        <f t="shared" si="13"/>
        <v>0.65091994032819489</v>
      </c>
      <c r="AF27" s="6" t="s">
        <v>400</v>
      </c>
      <c r="AG27" s="6" t="str">
        <f t="shared" si="14"/>
        <v>=201.1*100000000</v>
      </c>
      <c r="AH27" s="1">
        <f>201.1*100000000</f>
        <v>20110000000</v>
      </c>
      <c r="AI27" s="8">
        <f t="shared" si="15"/>
        <v>-0.6902818419836747</v>
      </c>
      <c r="AJ27" s="6" t="s">
        <v>401</v>
      </c>
      <c r="AK27" s="6" t="str">
        <f t="shared" si="16"/>
        <v>=649.3*100000000</v>
      </c>
      <c r="AL27" s="1">
        <f>649.3*100000000</f>
        <v>64929999999.999992</v>
      </c>
      <c r="AM27" s="8">
        <f t="shared" si="17"/>
        <v>0.17541636495293253</v>
      </c>
      <c r="AN27" s="6" t="s">
        <v>402</v>
      </c>
      <c r="AO27" s="6" t="str">
        <f t="shared" si="18"/>
        <v>=552.4*100000000</v>
      </c>
      <c r="AP27" s="1">
        <f>552.4*100000000</f>
        <v>55240000000</v>
      </c>
      <c r="AQ27" s="8">
        <f t="shared" si="19"/>
        <v>0.43629745189807595</v>
      </c>
      <c r="AR27" s="6" t="s">
        <v>403</v>
      </c>
      <c r="AS27" s="6" t="str">
        <f t="shared" si="20"/>
        <v>=384.6*100000000</v>
      </c>
      <c r="AT27" s="1">
        <f>384.6*100000000</f>
        <v>38460000000</v>
      </c>
      <c r="AU27" s="8">
        <f t="shared" si="21"/>
        <v>1.0020822488287351</v>
      </c>
      <c r="AV27" s="6" t="s">
        <v>404</v>
      </c>
      <c r="AW27" s="6" t="str">
        <f t="shared" si="22"/>
        <v>=192.1*100000000</v>
      </c>
      <c r="AX27" s="1">
        <f>192.1*100000000</f>
        <v>19210000000</v>
      </c>
      <c r="AY27" s="10">
        <f t="shared" si="23"/>
        <v>-0.67599932534997476</v>
      </c>
      <c r="AZ27" s="6" t="s">
        <v>405</v>
      </c>
      <c r="BA27" s="6" t="str">
        <f t="shared" si="24"/>
        <v>=592.9*100000000</v>
      </c>
      <c r="BB27" s="1">
        <f>592.9*100000000</f>
        <v>59290000000</v>
      </c>
      <c r="BC27" s="8">
        <f t="shared" si="25"/>
        <v>0.14216913889424004</v>
      </c>
      <c r="BD27" s="6" t="s">
        <v>406</v>
      </c>
      <c r="BE27" s="6" t="str">
        <f t="shared" si="26"/>
        <v>=519.1*100000000</v>
      </c>
      <c r="BF27" s="1">
        <f>519.1*100000000</f>
        <v>51910000000</v>
      </c>
      <c r="BG27" s="8">
        <f t="shared" si="27"/>
        <v>0.43755192467460535</v>
      </c>
      <c r="BH27" s="6" t="s">
        <v>407</v>
      </c>
      <c r="BI27" s="6" t="str">
        <f t="shared" si="28"/>
        <v>=361.1*100000000</v>
      </c>
      <c r="BJ27" s="1">
        <f>361.1*100000000</f>
        <v>36110000000</v>
      </c>
      <c r="BK27" s="6" t="s">
        <v>408</v>
      </c>
      <c r="BL27" s="1" t="str">
        <f t="shared" si="1"/>
        <v>=182.7*100000000</v>
      </c>
      <c r="BM27" s="16">
        <f t="shared" si="29"/>
        <v>0.97646414887794197</v>
      </c>
      <c r="BN27" s="1">
        <f>182.7*100000000</f>
        <v>18270000000</v>
      </c>
    </row>
    <row r="28" spans="1:66">
      <c r="A28" s="18"/>
      <c r="B28">
        <v>600016</v>
      </c>
      <c r="C28" t="s">
        <v>58</v>
      </c>
      <c r="D28" s="6" t="s">
        <v>409</v>
      </c>
      <c r="E28" s="7" t="str">
        <f t="shared" si="0"/>
        <v>=356.0*100000000</v>
      </c>
      <c r="F28" s="1">
        <f>356*100000000</f>
        <v>35600000000</v>
      </c>
      <c r="G28" s="8">
        <f t="shared" si="2"/>
        <v>-6.4143007360672979E-2</v>
      </c>
      <c r="H28" s="6" t="s">
        <v>410</v>
      </c>
      <c r="I28" s="6" t="str">
        <f t="shared" si="30"/>
        <v>=380.4*100000000</v>
      </c>
      <c r="J28" s="1">
        <f>380.4*100000000</f>
        <v>38040000000</v>
      </c>
      <c r="K28" s="10">
        <f t="shared" si="3"/>
        <v>0.31444367657221856</v>
      </c>
      <c r="L28" s="6" t="s">
        <v>411</v>
      </c>
      <c r="M28" s="6" t="str">
        <f t="shared" si="4"/>
        <v>=289.4*100000000</v>
      </c>
      <c r="N28" s="1">
        <f>289.4*100000000</f>
        <v>28939999999.999996</v>
      </c>
      <c r="O28" s="8">
        <f t="shared" si="5"/>
        <v>0.71343990526938994</v>
      </c>
      <c r="P28" s="6" t="s">
        <v>412</v>
      </c>
      <c r="Q28" s="6" t="str">
        <f t="shared" si="6"/>
        <v>=168.9*100000000</v>
      </c>
      <c r="R28" s="11">
        <f>168.9*100000000</f>
        <v>16890000000</v>
      </c>
      <c r="S28" s="8">
        <f t="shared" si="7"/>
        <v>-0.53990738218469081</v>
      </c>
      <c r="T28" s="6" t="s">
        <v>413</v>
      </c>
      <c r="U28" s="6" t="str">
        <f t="shared" si="8"/>
        <v>=367.1*100000000</v>
      </c>
      <c r="V28" s="1">
        <f>367.1*100000000</f>
        <v>36710000000</v>
      </c>
      <c r="W28" s="8">
        <f t="shared" si="9"/>
        <v>-0.14208927319467166</v>
      </c>
      <c r="X28" s="6" t="s">
        <v>414</v>
      </c>
      <c r="Y28" s="6" t="str">
        <f t="shared" si="10"/>
        <v>=427.9*100000000</v>
      </c>
      <c r="Z28" s="1">
        <f>427.9*100000000</f>
        <v>42790000000</v>
      </c>
      <c r="AA28" s="8">
        <f t="shared" si="11"/>
        <v>0.29353083434099153</v>
      </c>
      <c r="AB28" s="6" t="s">
        <v>415</v>
      </c>
      <c r="AC28" s="6" t="str">
        <f t="shared" si="12"/>
        <v>=330.8*100000000</v>
      </c>
      <c r="AD28" s="1">
        <f>330.8*100000000</f>
        <v>33080000000</v>
      </c>
      <c r="AE28" s="8">
        <f t="shared" si="13"/>
        <v>0.65152271592611088</v>
      </c>
      <c r="AF28" s="6" t="s">
        <v>416</v>
      </c>
      <c r="AG28" s="6" t="str">
        <f t="shared" si="14"/>
        <v>=200.3*100000000</v>
      </c>
      <c r="AH28" s="1">
        <f>200.3*100000000</f>
        <v>20030000000</v>
      </c>
      <c r="AI28" s="8">
        <f t="shared" si="15"/>
        <v>-0.69060858819894966</v>
      </c>
      <c r="AJ28" s="6" t="s">
        <v>417</v>
      </c>
      <c r="AK28" s="6" t="str">
        <f t="shared" si="16"/>
        <v>=647.4*100000000</v>
      </c>
      <c r="AL28" s="1">
        <f>647.4*100000000</f>
        <v>64740000000</v>
      </c>
      <c r="AM28" s="8">
        <f t="shared" si="17"/>
        <v>0.17367657722987673</v>
      </c>
      <c r="AN28" s="6" t="s">
        <v>418</v>
      </c>
      <c r="AO28" s="6" t="str">
        <f t="shared" si="18"/>
        <v>=551.6*100000000</v>
      </c>
      <c r="AP28" s="1">
        <f>551.6*100000000</f>
        <v>55160000000</v>
      </c>
      <c r="AQ28" s="8">
        <f t="shared" si="19"/>
        <v>0.43571056741280584</v>
      </c>
      <c r="AR28" s="6" t="s">
        <v>419</v>
      </c>
      <c r="AS28" s="6" t="str">
        <f t="shared" si="20"/>
        <v>=384.2*100000000</v>
      </c>
      <c r="AT28" s="1">
        <f>384.2*100000000</f>
        <v>38420000000</v>
      </c>
      <c r="AU28" s="8">
        <f t="shared" si="21"/>
        <v>0.99895941727367321</v>
      </c>
      <c r="AV28" s="6" t="s">
        <v>203</v>
      </c>
      <c r="AW28" s="6" t="str">
        <f t="shared" si="22"/>
        <v>=192.2*100000000</v>
      </c>
      <c r="AX28" s="1">
        <f>192.2*100000000</f>
        <v>19220000000</v>
      </c>
      <c r="AY28" s="10">
        <f t="shared" si="23"/>
        <v>-0.67307365198162949</v>
      </c>
      <c r="AZ28" s="6" t="s">
        <v>420</v>
      </c>
      <c r="BA28" s="6" t="str">
        <f t="shared" si="24"/>
        <v>=587.9*100000000</v>
      </c>
      <c r="BB28" s="1">
        <f>587.9*100000000</f>
        <v>58790000000</v>
      </c>
      <c r="BC28" s="8">
        <f t="shared" si="25"/>
        <v>0.14088880263923945</v>
      </c>
      <c r="BD28" s="6" t="s">
        <v>421</v>
      </c>
      <c r="BE28" s="6" t="str">
        <f t="shared" si="26"/>
        <v>=515.3*100000000</v>
      </c>
      <c r="BF28" s="1">
        <f>515.3*100000000</f>
        <v>51529999999.999992</v>
      </c>
      <c r="BG28" s="8">
        <f t="shared" si="27"/>
        <v>0.43577598216773455</v>
      </c>
      <c r="BH28" s="6" t="s">
        <v>422</v>
      </c>
      <c r="BI28" s="6" t="str">
        <f t="shared" si="28"/>
        <v>=358.9*100000000</v>
      </c>
      <c r="BJ28" s="1">
        <f>358.9*100000000</f>
        <v>35890000000</v>
      </c>
      <c r="BK28" s="6" t="s">
        <v>423</v>
      </c>
      <c r="BL28" s="1" t="str">
        <f t="shared" si="1"/>
        <v>=180.8*100000000</v>
      </c>
      <c r="BM28" s="16">
        <f t="shared" si="29"/>
        <v>0.98506637168141598</v>
      </c>
      <c r="BN28" s="1">
        <f>180.8*100000000</f>
        <v>18080000000</v>
      </c>
    </row>
    <row r="29" spans="1:66">
      <c r="A29" s="19"/>
      <c r="B29">
        <v>600016</v>
      </c>
      <c r="C29" t="s">
        <v>68</v>
      </c>
      <c r="D29" s="6" t="s">
        <v>424</v>
      </c>
      <c r="E29" s="7" t="str">
        <f t="shared" si="0"/>
        <v>=348.5*100000000</v>
      </c>
      <c r="F29" s="1">
        <f>348.5*100000000</f>
        <v>34850000000</v>
      </c>
      <c r="G29" s="8">
        <f t="shared" si="2"/>
        <v>-2.5992174399105644E-2</v>
      </c>
      <c r="H29" s="6" t="s">
        <v>425</v>
      </c>
      <c r="I29" s="6" t="str">
        <f t="shared" si="30"/>
        <v>=357.8*100000000</v>
      </c>
      <c r="J29" s="1">
        <f>357.8*100000000</f>
        <v>35780000000</v>
      </c>
      <c r="K29" s="10">
        <f t="shared" si="3"/>
        <v>0.3380703066566943</v>
      </c>
      <c r="L29" s="6" t="s">
        <v>426</v>
      </c>
      <c r="M29" s="6" t="str">
        <f t="shared" si="4"/>
        <v>=267.4*100000000</v>
      </c>
      <c r="N29" s="1">
        <f>267.4*100000000</f>
        <v>26739999999.999996</v>
      </c>
      <c r="O29" s="8">
        <f t="shared" si="5"/>
        <v>0.8290013679890561</v>
      </c>
      <c r="P29" s="6" t="s">
        <v>427</v>
      </c>
      <c r="Q29" s="6" t="str">
        <f t="shared" si="6"/>
        <v>=146.2*100000000</v>
      </c>
      <c r="R29" s="11">
        <f>146.2*100000000</f>
        <v>14619999999.999998</v>
      </c>
      <c r="S29" s="8">
        <f t="shared" si="7"/>
        <v>-0.58347578347578344</v>
      </c>
      <c r="T29" s="6" t="s">
        <v>428</v>
      </c>
      <c r="U29" s="6" t="str">
        <f t="shared" si="8"/>
        <v>=351.0*100000000</v>
      </c>
      <c r="V29" s="1">
        <f>351*100000000</f>
        <v>35100000000</v>
      </c>
      <c r="W29" s="8">
        <f t="shared" si="9"/>
        <v>-7.3634204275534437E-2</v>
      </c>
      <c r="X29" s="6" t="s">
        <v>429</v>
      </c>
      <c r="Y29" s="6" t="str">
        <f t="shared" si="10"/>
        <v>=378.9*100000000</v>
      </c>
      <c r="Z29" s="1">
        <f>378.9*100000000</f>
        <v>37890000000</v>
      </c>
      <c r="AA29" s="8">
        <f t="shared" si="11"/>
        <v>0.31653926337734539</v>
      </c>
      <c r="AB29" s="6" t="s">
        <v>430</v>
      </c>
      <c r="AC29" s="6" t="str">
        <f t="shared" si="12"/>
        <v>=287.8*100000000</v>
      </c>
      <c r="AD29" s="1">
        <f>287.8*100000000</f>
        <v>28780000000</v>
      </c>
      <c r="AE29" s="8">
        <f t="shared" si="13"/>
        <v>0.71207614515169537</v>
      </c>
      <c r="AF29" s="6" t="s">
        <v>431</v>
      </c>
      <c r="AG29" s="6" t="str">
        <f t="shared" si="14"/>
        <v>=168.1*100000000</v>
      </c>
      <c r="AH29" s="1">
        <f>168.1*100000000</f>
        <v>16810000000</v>
      </c>
      <c r="AI29" s="8">
        <f t="shared" si="15"/>
        <v>-0.69391842680262206</v>
      </c>
      <c r="AJ29" s="6" t="s">
        <v>432</v>
      </c>
      <c r="AK29" s="6" t="str">
        <f t="shared" si="16"/>
        <v>=549.2*100000000</v>
      </c>
      <c r="AL29" s="1">
        <f>549.2*100000000</f>
        <v>54920000000.000008</v>
      </c>
      <c r="AM29" s="8">
        <f t="shared" si="17"/>
        <v>0.19106484493602272</v>
      </c>
      <c r="AN29" s="6" t="s">
        <v>433</v>
      </c>
      <c r="AO29" s="6" t="str">
        <f t="shared" si="18"/>
        <v>=461.1*100000000</v>
      </c>
      <c r="AP29" s="1">
        <f>461.1*100000000</f>
        <v>46110000000</v>
      </c>
      <c r="AQ29" s="8">
        <f t="shared" si="19"/>
        <v>0.44228964654363467</v>
      </c>
      <c r="AR29" s="6" t="s">
        <v>434</v>
      </c>
      <c r="AS29" s="6" t="str">
        <f t="shared" si="20"/>
        <v>=319.7*100000000</v>
      </c>
      <c r="AT29" s="1">
        <f>319.7*100000000</f>
        <v>31970000000</v>
      </c>
      <c r="AU29" s="8">
        <f t="shared" si="21"/>
        <v>1.0018785222291799</v>
      </c>
      <c r="AV29" s="6" t="s">
        <v>435</v>
      </c>
      <c r="AW29" s="6" t="str">
        <f t="shared" si="22"/>
        <v>=159.7*100000000</v>
      </c>
      <c r="AX29" s="1">
        <f>159.7*100000000</f>
        <v>15969999999.999998</v>
      </c>
      <c r="AY29" s="10">
        <f t="shared" si="23"/>
        <v>-0.68269421816014308</v>
      </c>
      <c r="AZ29" s="6" t="s">
        <v>436</v>
      </c>
      <c r="BA29" s="6" t="str">
        <f t="shared" si="24"/>
        <v>=503.3*100000000</v>
      </c>
      <c r="BB29" s="1">
        <f>503.3*100000000</f>
        <v>50330000000</v>
      </c>
      <c r="BC29" s="8">
        <f t="shared" si="25"/>
        <v>0.16612604263206673</v>
      </c>
      <c r="BD29" s="6" t="s">
        <v>437</v>
      </c>
      <c r="BE29" s="6" t="str">
        <f t="shared" si="26"/>
        <v>=431.6*100000000</v>
      </c>
      <c r="BF29" s="1">
        <f>431.6*100000000</f>
        <v>43160000000</v>
      </c>
      <c r="BG29" s="8">
        <f t="shared" si="27"/>
        <v>0.44589614740368511</v>
      </c>
      <c r="BH29" s="6" t="s">
        <v>438</v>
      </c>
      <c r="BI29" s="6" t="str">
        <f t="shared" si="28"/>
        <v>=298.5*100000000</v>
      </c>
      <c r="BJ29" s="1">
        <f>298.5*100000000</f>
        <v>29850000000</v>
      </c>
      <c r="BK29" s="6" t="s">
        <v>439</v>
      </c>
      <c r="BL29" s="1" t="str">
        <f t="shared" si="1"/>
        <v>=151.3*100000000</v>
      </c>
      <c r="BM29" s="16">
        <f t="shared" si="29"/>
        <v>0.97290152015862497</v>
      </c>
      <c r="BN29" s="1">
        <f>151.3*100000000</f>
        <v>15130000000.000002</v>
      </c>
    </row>
    <row r="30" spans="1:66">
      <c r="A30" s="17">
        <v>8</v>
      </c>
      <c r="B30">
        <v>600017</v>
      </c>
      <c r="C30" t="s">
        <v>31</v>
      </c>
      <c r="D30" s="6" t="s">
        <v>440</v>
      </c>
      <c r="E30" s="7" t="str">
        <f t="shared" si="0"/>
        <v>=65.05*100000000</v>
      </c>
      <c r="F30" s="1">
        <f>65.05*100000000</f>
        <v>6505000000</v>
      </c>
      <c r="G30" s="8">
        <f t="shared" si="2"/>
        <v>0.39712199312714774</v>
      </c>
      <c r="H30" s="6" t="s">
        <v>441</v>
      </c>
      <c r="I30" s="6" t="str">
        <f t="shared" si="30"/>
        <v>=46.56*100000000</v>
      </c>
      <c r="J30" s="1">
        <f>46.56*100000000</f>
        <v>4656000000</v>
      </c>
      <c r="K30" s="10">
        <f t="shared" si="3"/>
        <v>0.52057478772044419</v>
      </c>
      <c r="L30" s="6" t="s">
        <v>442</v>
      </c>
      <c r="M30" s="6" t="str">
        <f t="shared" si="4"/>
        <v>=30.62*100000000</v>
      </c>
      <c r="N30" s="1">
        <f>30.62*100000000</f>
        <v>3062000000</v>
      </c>
      <c r="O30" s="8">
        <f t="shared" si="5"/>
        <v>0.97166773985833865</v>
      </c>
      <c r="P30" s="6" t="s">
        <v>443</v>
      </c>
      <c r="Q30" s="6" t="str">
        <f t="shared" si="6"/>
        <v>=15.53*100000000</v>
      </c>
      <c r="R30" s="11">
        <f>15.53*100000000</f>
        <v>1553000000</v>
      </c>
      <c r="S30" s="8">
        <f t="shared" si="7"/>
        <v>-0.73070920756025659</v>
      </c>
      <c r="T30" s="6" t="s">
        <v>444</v>
      </c>
      <c r="U30" s="6" t="str">
        <f t="shared" si="8"/>
        <v>=57.67*100000000</v>
      </c>
      <c r="V30" s="1">
        <f>57.67*100000000</f>
        <v>5767000000</v>
      </c>
      <c r="W30" s="8">
        <f t="shared" si="9"/>
        <v>0.32240311855079112</v>
      </c>
      <c r="X30" s="6" t="s">
        <v>445</v>
      </c>
      <c r="Y30" s="6" t="str">
        <f t="shared" si="10"/>
        <v>=43.61*100000000</v>
      </c>
      <c r="Z30" s="1">
        <f>43.61*100000000</f>
        <v>4361000000</v>
      </c>
      <c r="AA30" s="8">
        <f t="shared" si="11"/>
        <v>0.53610426206410711</v>
      </c>
      <c r="AB30" s="6" t="s">
        <v>446</v>
      </c>
      <c r="AC30" s="6" t="str">
        <f t="shared" si="12"/>
        <v>=28.39*100000000</v>
      </c>
      <c r="AD30" s="1">
        <f>28.39*100000000</f>
        <v>2839000000</v>
      </c>
      <c r="AE30" s="8">
        <f t="shared" si="13"/>
        <v>1.0049435028248588</v>
      </c>
      <c r="AF30" s="6" t="s">
        <v>447</v>
      </c>
      <c r="AG30" s="6" t="str">
        <f t="shared" si="14"/>
        <v>=14.16*100000000</v>
      </c>
      <c r="AH30" s="1">
        <f>14.16*100000000</f>
        <v>1416000000</v>
      </c>
      <c r="AI30" s="8">
        <f t="shared" si="15"/>
        <v>-0.73008006099885625</v>
      </c>
      <c r="AJ30" s="6" t="s">
        <v>448</v>
      </c>
      <c r="AK30" s="6" t="str">
        <f t="shared" si="16"/>
        <v>=52.46*100000000</v>
      </c>
      <c r="AL30" s="1">
        <f>52.46*100000000</f>
        <v>5246000000</v>
      </c>
      <c r="AM30" s="8">
        <f t="shared" si="17"/>
        <v>0.36365999480114375</v>
      </c>
      <c r="AN30" s="6" t="s">
        <v>449</v>
      </c>
      <c r="AO30" s="6" t="str">
        <f t="shared" si="18"/>
        <v>=38.47*100000000</v>
      </c>
      <c r="AP30" s="1">
        <f>38.47*100000000</f>
        <v>3847000000</v>
      </c>
      <c r="AQ30" s="8">
        <f t="shared" si="19"/>
        <v>0.52477209671026559</v>
      </c>
      <c r="AR30" s="6" t="s">
        <v>450</v>
      </c>
      <c r="AS30" s="6" t="str">
        <f t="shared" si="20"/>
        <v>=25.23*100000000</v>
      </c>
      <c r="AT30" s="1">
        <f>25.23*100000000</f>
        <v>2523000000</v>
      </c>
      <c r="AU30" s="8">
        <f t="shared" si="21"/>
        <v>0.9482625482625483</v>
      </c>
      <c r="AV30" s="6" t="s">
        <v>451</v>
      </c>
      <c r="AW30" s="6" t="str">
        <f t="shared" si="22"/>
        <v>=12.95*100000000</v>
      </c>
      <c r="AX30" s="1">
        <f>12.95*100000000</f>
        <v>1295000000</v>
      </c>
      <c r="AY30" s="10">
        <f t="shared" si="23"/>
        <v>-0.74756335282651076</v>
      </c>
      <c r="AZ30" s="6" t="s">
        <v>452</v>
      </c>
      <c r="BA30" s="6" t="str">
        <f t="shared" si="24"/>
        <v>=51.30*100000000</v>
      </c>
      <c r="BB30" s="1">
        <f>51.3*100000000</f>
        <v>5130000000</v>
      </c>
      <c r="BC30" s="8">
        <f t="shared" si="25"/>
        <v>0.33489461358313816</v>
      </c>
      <c r="BD30" s="6" t="s">
        <v>453</v>
      </c>
      <c r="BE30" s="6" t="str">
        <f t="shared" si="26"/>
        <v>=38.43*100000000</v>
      </c>
      <c r="BF30" s="1">
        <f>38.43*100000000</f>
        <v>3843000000</v>
      </c>
      <c r="BG30" s="8">
        <f t="shared" si="27"/>
        <v>0.49941474834178695</v>
      </c>
      <c r="BH30" s="6" t="s">
        <v>454</v>
      </c>
      <c r="BI30" s="6" t="str">
        <f t="shared" si="28"/>
        <v>=25.63*100000000</v>
      </c>
      <c r="BJ30" s="1">
        <f>25.63*100000000</f>
        <v>2563000000</v>
      </c>
      <c r="BK30" s="6" t="s">
        <v>455</v>
      </c>
      <c r="BL30" s="1" t="str">
        <f t="shared" si="1"/>
        <v>=12.45*100000000</v>
      </c>
      <c r="BM30" s="16">
        <f t="shared" si="29"/>
        <v>1.0586345381526105</v>
      </c>
      <c r="BN30" s="1">
        <f>12.45*100000000</f>
        <v>1245000000</v>
      </c>
    </row>
    <row r="31" spans="1:66">
      <c r="A31" s="18"/>
      <c r="B31">
        <v>600017</v>
      </c>
      <c r="C31" t="s">
        <v>48</v>
      </c>
      <c r="D31" s="6" t="s">
        <v>456</v>
      </c>
      <c r="E31" s="7" t="str">
        <f t="shared" si="0"/>
        <v>=10.32*100000000</v>
      </c>
      <c r="F31" s="1">
        <f>10.32*100000000</f>
        <v>1032000000</v>
      </c>
      <c r="G31" s="8">
        <f t="shared" si="2"/>
        <v>0.27062299926126571</v>
      </c>
      <c r="H31" s="6" t="s">
        <v>457</v>
      </c>
      <c r="I31" s="6" t="str">
        <f t="shared" si="30"/>
        <v>=8.122*100000000</v>
      </c>
      <c r="J31" s="1">
        <f>8.122*100000000</f>
        <v>812200000</v>
      </c>
      <c r="K31" s="10">
        <f t="shared" si="3"/>
        <v>0.58508977361436398</v>
      </c>
      <c r="L31" s="6" t="s">
        <v>458</v>
      </c>
      <c r="M31" s="6" t="str">
        <f t="shared" si="4"/>
        <v>=5.124*100000000</v>
      </c>
      <c r="N31" s="1">
        <f>5.124*100000000</f>
        <v>512399999.99999994</v>
      </c>
      <c r="O31" s="8">
        <f t="shared" si="5"/>
        <v>0.79348967448372398</v>
      </c>
      <c r="P31" s="6" t="s">
        <v>459</v>
      </c>
      <c r="Q31" s="6" t="str">
        <f t="shared" si="6"/>
        <v>=2.857*100000000</v>
      </c>
      <c r="R31" s="11">
        <f>2.857*100000000</f>
        <v>285700000</v>
      </c>
      <c r="S31" s="8">
        <f t="shared" si="7"/>
        <v>-0.69590207557211281</v>
      </c>
      <c r="T31" s="6" t="s">
        <v>460</v>
      </c>
      <c r="U31" s="6" t="str">
        <f t="shared" si="8"/>
        <v>=9.395*100000000</v>
      </c>
      <c r="V31" s="1">
        <f>9.395*100000000</f>
        <v>939500000</v>
      </c>
      <c r="W31" s="8">
        <f t="shared" si="9"/>
        <v>5.9785673998871969E-2</v>
      </c>
      <c r="X31" s="6" t="s">
        <v>461</v>
      </c>
      <c r="Y31" s="6" t="str">
        <f t="shared" si="10"/>
        <v>=8.865*100000000</v>
      </c>
      <c r="Z31" s="1">
        <f>8.865*100000000</f>
        <v>886500000</v>
      </c>
      <c r="AA31" s="8">
        <f t="shared" si="11"/>
        <v>0.50919305413687432</v>
      </c>
      <c r="AB31" s="6" t="s">
        <v>462</v>
      </c>
      <c r="AC31" s="6" t="str">
        <f t="shared" si="12"/>
        <v>=5.874*100000000</v>
      </c>
      <c r="AD31" s="1">
        <f>5.874*100000000</f>
        <v>587400000</v>
      </c>
      <c r="AE31" s="8">
        <f t="shared" si="13"/>
        <v>1.2057829515583929</v>
      </c>
      <c r="AF31" s="6" t="s">
        <v>463</v>
      </c>
      <c r="AG31" s="6" t="str">
        <f t="shared" si="14"/>
        <v>=2.663*100000000</v>
      </c>
      <c r="AH31" s="1">
        <f>2.663*100000000</f>
        <v>266299999.99999997</v>
      </c>
      <c r="AI31" s="8">
        <f t="shared" si="15"/>
        <v>-0.71585574050362788</v>
      </c>
      <c r="AJ31" s="6" t="s">
        <v>464</v>
      </c>
      <c r="AK31" s="6" t="str">
        <f t="shared" si="16"/>
        <v>=9.372*100000000</v>
      </c>
      <c r="AL31" s="1">
        <f>9.372*100000000</f>
        <v>937200000</v>
      </c>
      <c r="AM31" s="8">
        <f t="shared" si="17"/>
        <v>0.19266989055739375</v>
      </c>
      <c r="AN31" s="6" t="s">
        <v>465</v>
      </c>
      <c r="AO31" s="6" t="str">
        <f t="shared" si="18"/>
        <v>=7.858*100000000</v>
      </c>
      <c r="AP31" s="1">
        <f>7.858*100000000</f>
        <v>785800000</v>
      </c>
      <c r="AQ31" s="8">
        <f t="shared" si="19"/>
        <v>0.47484984984984985</v>
      </c>
      <c r="AR31" s="6" t="s">
        <v>466</v>
      </c>
      <c r="AS31" s="6" t="str">
        <f t="shared" si="20"/>
        <v>=5.328*100000000</v>
      </c>
      <c r="AT31" s="1">
        <f>5.328*100000000</f>
        <v>532800000</v>
      </c>
      <c r="AU31" s="8">
        <f t="shared" si="21"/>
        <v>0.57866666666666666</v>
      </c>
      <c r="AV31" s="6" t="s">
        <v>467</v>
      </c>
      <c r="AW31" s="6" t="str">
        <f t="shared" si="22"/>
        <v>=3.375*100000000</v>
      </c>
      <c r="AX31" s="1">
        <f>3.375*100000000</f>
        <v>337500000</v>
      </c>
      <c r="AY31" s="10">
        <f t="shared" si="23"/>
        <v>-0.64304600740349027</v>
      </c>
      <c r="AZ31" s="6" t="s">
        <v>468</v>
      </c>
      <c r="BA31" s="6" t="str">
        <f t="shared" si="24"/>
        <v>=9.455*100000000</v>
      </c>
      <c r="BB31" s="1">
        <f>9.455*100000000</f>
        <v>945500000</v>
      </c>
      <c r="BC31" s="8">
        <f t="shared" si="25"/>
        <v>0.19275892519238047</v>
      </c>
      <c r="BD31" s="6" t="s">
        <v>469</v>
      </c>
      <c r="BE31" s="6" t="str">
        <f t="shared" si="26"/>
        <v>=7.927*100000000</v>
      </c>
      <c r="BF31" s="1">
        <f>7.927*100000000</f>
        <v>792700000</v>
      </c>
      <c r="BG31" s="8">
        <f t="shared" si="27"/>
        <v>0.50732078341890074</v>
      </c>
      <c r="BH31" s="6" t="s">
        <v>470</v>
      </c>
      <c r="BI31" s="6" t="str">
        <f t="shared" si="28"/>
        <v>=5.259*100000000</v>
      </c>
      <c r="BJ31" s="1">
        <f>5.259*100000000</f>
        <v>525900000.00000006</v>
      </c>
      <c r="BK31" s="6" t="s">
        <v>471</v>
      </c>
      <c r="BL31" s="1" t="str">
        <f t="shared" si="1"/>
        <v>=2.595*100000000</v>
      </c>
      <c r="BM31" s="16">
        <f t="shared" si="29"/>
        <v>1.0265895953757225</v>
      </c>
      <c r="BN31" s="1">
        <f>2.595*100000000</f>
        <v>259500000.00000003</v>
      </c>
    </row>
    <row r="32" spans="1:66">
      <c r="A32" s="18"/>
      <c r="B32">
        <v>600017</v>
      </c>
      <c r="C32" t="s">
        <v>58</v>
      </c>
      <c r="D32" s="6" t="s">
        <v>472</v>
      </c>
      <c r="E32" s="7" t="str">
        <f t="shared" si="0"/>
        <v>=10.31*100000000</v>
      </c>
      <c r="F32" s="1">
        <f>10.31*100000000</f>
        <v>1031000000</v>
      </c>
      <c r="G32" s="8">
        <f t="shared" si="2"/>
        <v>0.27189735998026154</v>
      </c>
      <c r="H32" s="6" t="s">
        <v>473</v>
      </c>
      <c r="I32" s="6" t="str">
        <f t="shared" si="30"/>
        <v>=8.106*100000000</v>
      </c>
      <c r="J32" s="1">
        <f>8.106*100000000</f>
        <v>810600000</v>
      </c>
      <c r="K32" s="10">
        <f t="shared" si="3"/>
        <v>0.58661186142102173</v>
      </c>
      <c r="L32" s="6" t="s">
        <v>474</v>
      </c>
      <c r="M32" s="6" t="str">
        <f t="shared" si="4"/>
        <v>=5.109*100000000</v>
      </c>
      <c r="N32" s="1">
        <f>5.109*100000000</f>
        <v>510900000</v>
      </c>
      <c r="O32" s="8">
        <f t="shared" si="5"/>
        <v>0.80021141649048622</v>
      </c>
      <c r="P32" s="6" t="s">
        <v>475</v>
      </c>
      <c r="Q32" s="6" t="str">
        <f t="shared" si="6"/>
        <v>=2.838*100000000</v>
      </c>
      <c r="R32" s="11">
        <f>2.838*100000000</f>
        <v>283800000</v>
      </c>
      <c r="S32" s="8">
        <f t="shared" si="7"/>
        <v>-0.69708613512648099</v>
      </c>
      <c r="T32" s="6" t="s">
        <v>476</v>
      </c>
      <c r="U32" s="6" t="str">
        <f t="shared" si="8"/>
        <v>=9.369*100000000</v>
      </c>
      <c r="V32" s="1">
        <f>9.369*100000000</f>
        <v>936900000</v>
      </c>
      <c r="W32" s="8">
        <f t="shared" si="9"/>
        <v>5.7329872474889826E-2</v>
      </c>
      <c r="X32" s="6" t="s">
        <v>477</v>
      </c>
      <c r="Y32" s="6" t="str">
        <f t="shared" si="10"/>
        <v>=8.861*100000000</v>
      </c>
      <c r="Z32" s="1">
        <f>8.861*100000000</f>
        <v>886100000.00000012</v>
      </c>
      <c r="AA32" s="8">
        <f t="shared" si="11"/>
        <v>0.50876894261876404</v>
      </c>
      <c r="AB32" s="6" t="s">
        <v>478</v>
      </c>
      <c r="AC32" s="6" t="str">
        <f t="shared" si="12"/>
        <v>=5.873*100000000</v>
      </c>
      <c r="AD32" s="1">
        <f>5.873*100000000</f>
        <v>587300000</v>
      </c>
      <c r="AE32" s="8">
        <f t="shared" si="13"/>
        <v>1.2279969650986342</v>
      </c>
      <c r="AF32" s="6" t="s">
        <v>479</v>
      </c>
      <c r="AG32" s="6" t="str">
        <f t="shared" si="14"/>
        <v>=2.636*100000000</v>
      </c>
      <c r="AH32" s="1">
        <f>2.636*100000000</f>
        <v>263600000</v>
      </c>
      <c r="AI32" s="8">
        <f t="shared" si="15"/>
        <v>-0.71894658279134238</v>
      </c>
      <c r="AJ32" s="6" t="s">
        <v>480</v>
      </c>
      <c r="AK32" s="6" t="str">
        <f t="shared" si="16"/>
        <v>=9.379*100000000</v>
      </c>
      <c r="AL32" s="1">
        <f>9.379*100000000</f>
        <v>937900000</v>
      </c>
      <c r="AM32" s="8">
        <f t="shared" si="17"/>
        <v>0.19966743412637503</v>
      </c>
      <c r="AN32" s="6" t="s">
        <v>481</v>
      </c>
      <c r="AO32" s="6" t="str">
        <f t="shared" si="18"/>
        <v>=7.818*100000000</v>
      </c>
      <c r="AP32" s="1">
        <f>7.818*100000000</f>
        <v>781800000</v>
      </c>
      <c r="AQ32" s="8">
        <f t="shared" si="19"/>
        <v>0.47425985291344525</v>
      </c>
      <c r="AR32" s="6" t="s">
        <v>482</v>
      </c>
      <c r="AS32" s="6" t="str">
        <f t="shared" si="20"/>
        <v>=5.303*100000000</v>
      </c>
      <c r="AT32" s="1">
        <f>5.303*100000000</f>
        <v>530300000</v>
      </c>
      <c r="AU32" s="8">
        <f t="shared" si="21"/>
        <v>0.5726571767497034</v>
      </c>
      <c r="AV32" s="6" t="s">
        <v>483</v>
      </c>
      <c r="AW32" s="6" t="str">
        <f t="shared" si="22"/>
        <v>=3.372*100000000</v>
      </c>
      <c r="AX32" s="1">
        <f>3.372*100000000</f>
        <v>337200000</v>
      </c>
      <c r="AY32" s="10">
        <f t="shared" si="23"/>
        <v>-0.64343872263931479</v>
      </c>
      <c r="AZ32" s="6" t="s">
        <v>484</v>
      </c>
      <c r="BA32" s="6" t="str">
        <f t="shared" si="24"/>
        <v>=9.457*100000000</v>
      </c>
      <c r="BB32" s="1">
        <f>9.457*100000000</f>
        <v>945700000.00000012</v>
      </c>
      <c r="BC32" s="8">
        <f t="shared" si="25"/>
        <v>0.19316174615190526</v>
      </c>
      <c r="BD32" s="6" t="s">
        <v>485</v>
      </c>
      <c r="BE32" s="6" t="str">
        <f t="shared" si="26"/>
        <v>=7.926*100000000</v>
      </c>
      <c r="BF32" s="1">
        <f>7.926*100000000</f>
        <v>792600000</v>
      </c>
      <c r="BG32" s="8">
        <f t="shared" si="27"/>
        <v>0.50770401369602447</v>
      </c>
      <c r="BH32" s="6" t="s">
        <v>486</v>
      </c>
      <c r="BI32" s="6" t="str">
        <f t="shared" si="28"/>
        <v>=5.257*100000000</v>
      </c>
      <c r="BJ32" s="1">
        <f>5.257*100000000</f>
        <v>525699999.99999994</v>
      </c>
      <c r="BK32" s="6" t="s">
        <v>487</v>
      </c>
      <c r="BL32" s="1" t="str">
        <f t="shared" si="1"/>
        <v>=2.596*100000000</v>
      </c>
      <c r="BM32" s="16">
        <f t="shared" si="29"/>
        <v>1.0250385208012325</v>
      </c>
      <c r="BN32" s="1">
        <f>2.596*100000000</f>
        <v>259600000</v>
      </c>
    </row>
    <row r="33" spans="1:66">
      <c r="A33" s="19"/>
      <c r="B33">
        <v>600017</v>
      </c>
      <c r="C33" t="s">
        <v>68</v>
      </c>
      <c r="D33" s="6" t="s">
        <v>488</v>
      </c>
      <c r="E33" s="7" t="str">
        <f t="shared" si="0"/>
        <v>=8.203*100000000</v>
      </c>
      <c r="F33" s="1">
        <f>8.203*100000000</f>
        <v>820299999.99999988</v>
      </c>
      <c r="G33" s="8">
        <f t="shared" si="2"/>
        <v>0.28553518257326421</v>
      </c>
      <c r="H33" s="6" t="s">
        <v>489</v>
      </c>
      <c r="I33" s="6" t="str">
        <f t="shared" si="30"/>
        <v>=6.381*100000000</v>
      </c>
      <c r="J33" s="1">
        <f>6.381*100000000</f>
        <v>638100000</v>
      </c>
      <c r="K33" s="10">
        <f t="shared" si="3"/>
        <v>0.60568696527428278</v>
      </c>
      <c r="L33" s="6" t="s">
        <v>490</v>
      </c>
      <c r="M33" s="6" t="str">
        <f t="shared" si="4"/>
        <v>=3.974*100000000</v>
      </c>
      <c r="N33" s="1">
        <f>3.974*100000000</f>
        <v>397400000</v>
      </c>
      <c r="O33" s="8">
        <f t="shared" si="5"/>
        <v>0.77887197851387646</v>
      </c>
      <c r="P33" s="6" t="s">
        <v>491</v>
      </c>
      <c r="Q33" s="6" t="str">
        <f t="shared" si="6"/>
        <v>=2.234*100000000</v>
      </c>
      <c r="R33" s="11">
        <f>2.234*100000000</f>
        <v>223400000</v>
      </c>
      <c r="S33" s="8">
        <f t="shared" si="7"/>
        <v>-0.69551587842442419</v>
      </c>
      <c r="T33" s="6" t="s">
        <v>492</v>
      </c>
      <c r="U33" s="6" t="str">
        <f t="shared" si="8"/>
        <v>=7.337*100000000</v>
      </c>
      <c r="V33" s="1">
        <f>7.337*100000000</f>
        <v>733700000</v>
      </c>
      <c r="W33" s="8">
        <f t="shared" si="9"/>
        <v>6.9533527696792996E-2</v>
      </c>
      <c r="X33" s="6" t="s">
        <v>493</v>
      </c>
      <c r="Y33" s="6" t="str">
        <f t="shared" si="10"/>
        <v>=6.860*100000000</v>
      </c>
      <c r="Z33" s="1">
        <f>6.86*100000000</f>
        <v>686000000</v>
      </c>
      <c r="AA33" s="8">
        <f t="shared" si="11"/>
        <v>0.50076569678407346</v>
      </c>
      <c r="AB33" s="6" t="s">
        <v>494</v>
      </c>
      <c r="AC33" s="6" t="str">
        <f t="shared" si="12"/>
        <v>=4.571*100000000</v>
      </c>
      <c r="AD33" s="1">
        <f>4.571*100000000</f>
        <v>457100000</v>
      </c>
      <c r="AE33" s="8">
        <f t="shared" si="13"/>
        <v>1.2254138266796497</v>
      </c>
      <c r="AF33" s="6" t="s">
        <v>495</v>
      </c>
      <c r="AG33" s="6" t="str">
        <f t="shared" si="14"/>
        <v>=2.054*100000000</v>
      </c>
      <c r="AH33" s="1">
        <f>2.054*100000000</f>
        <v>205399999.99999997</v>
      </c>
      <c r="AI33" s="8">
        <f t="shared" si="15"/>
        <v>-0.71252624212736182</v>
      </c>
      <c r="AJ33" s="6" t="s">
        <v>496</v>
      </c>
      <c r="AK33" s="6" t="str">
        <f t="shared" si="16"/>
        <v>=7.145*100000000</v>
      </c>
      <c r="AL33" s="1">
        <f>7.145*100000000</f>
        <v>714500000</v>
      </c>
      <c r="AM33" s="8">
        <f t="shared" si="17"/>
        <v>0.1988255033557047</v>
      </c>
      <c r="AN33" s="6" t="s">
        <v>497</v>
      </c>
      <c r="AO33" s="6" t="str">
        <f t="shared" si="18"/>
        <v>=5.960*100000000</v>
      </c>
      <c r="AP33" s="1">
        <f>5.96*100000000</f>
        <v>596000000</v>
      </c>
      <c r="AQ33" s="8">
        <f t="shared" si="19"/>
        <v>0.47707558859975219</v>
      </c>
      <c r="AR33" s="6" t="s">
        <v>498</v>
      </c>
      <c r="AS33" s="6" t="str">
        <f t="shared" si="20"/>
        <v>=4.035*100000000</v>
      </c>
      <c r="AT33" s="1">
        <f>4.035*100000000</f>
        <v>403500000</v>
      </c>
      <c r="AU33" s="8">
        <f t="shared" si="21"/>
        <v>0.60501193317422453</v>
      </c>
      <c r="AV33" s="6" t="s">
        <v>499</v>
      </c>
      <c r="AW33" s="6" t="str">
        <f t="shared" si="22"/>
        <v>=2.514*100000000</v>
      </c>
      <c r="AX33" s="1">
        <f>2.514*100000000</f>
        <v>251399999.99999997</v>
      </c>
      <c r="AY33" s="10">
        <f t="shared" si="23"/>
        <v>-0.6580987352101183</v>
      </c>
      <c r="AZ33" s="6" t="s">
        <v>500</v>
      </c>
      <c r="BA33" s="6" t="str">
        <f t="shared" si="24"/>
        <v>=7.353*100000000</v>
      </c>
      <c r="BB33" s="1">
        <f>7.353*100000000</f>
        <v>735300000</v>
      </c>
      <c r="BC33" s="8">
        <f t="shared" si="25"/>
        <v>0.19853300733496332</v>
      </c>
      <c r="BD33" s="6" t="s">
        <v>501</v>
      </c>
      <c r="BE33" s="6" t="str">
        <f t="shared" si="26"/>
        <v>=6.135*100000000</v>
      </c>
      <c r="BF33" s="1">
        <f>6.135*100000000</f>
        <v>613500000</v>
      </c>
      <c r="BG33" s="8">
        <f t="shared" si="27"/>
        <v>0.51033973412112255</v>
      </c>
      <c r="BH33" s="6" t="s">
        <v>502</v>
      </c>
      <c r="BI33" s="6" t="str">
        <f t="shared" si="28"/>
        <v>=4.062*100000000</v>
      </c>
      <c r="BJ33" s="1">
        <f>4.062*100000000</f>
        <v>406200000</v>
      </c>
      <c r="BK33" s="6" t="s">
        <v>503</v>
      </c>
      <c r="BL33" s="1" t="str">
        <f t="shared" si="1"/>
        <v>=1.972*100000000</v>
      </c>
      <c r="BM33" s="16">
        <f t="shared" si="29"/>
        <v>1.0598377281947262</v>
      </c>
      <c r="BN33" s="1">
        <f>1.972*100000000</f>
        <v>197200000</v>
      </c>
    </row>
    <row r="34" spans="1:66">
      <c r="A34" s="17">
        <v>9</v>
      </c>
      <c r="B34">
        <v>600018</v>
      </c>
      <c r="C34" t="s">
        <v>31</v>
      </c>
      <c r="D34" s="6" t="s">
        <v>504</v>
      </c>
      <c r="E34" s="7" t="str">
        <f t="shared" si="0"/>
        <v>=342.9*100000000</v>
      </c>
      <c r="F34" s="1">
        <f>342.9*100000000</f>
        <v>34289999999.999996</v>
      </c>
      <c r="G34" s="8">
        <f t="shared" si="2"/>
        <v>0.30678353658536589</v>
      </c>
      <c r="H34" s="6" t="s">
        <v>505</v>
      </c>
      <c r="I34" s="6" t="str">
        <f t="shared" si="30"/>
        <v>=262.4*100000000</v>
      </c>
      <c r="J34" s="1">
        <f>262.4*100000000</f>
        <v>26239999999.999996</v>
      </c>
      <c r="K34" s="10">
        <f t="shared" si="3"/>
        <v>0.51152073732718872</v>
      </c>
      <c r="L34" s="6" t="s">
        <v>506</v>
      </c>
      <c r="M34" s="6" t="str">
        <f t="shared" si="4"/>
        <v>=173.6*100000000</v>
      </c>
      <c r="N34" s="1">
        <f>173.6*100000000</f>
        <v>17360000000</v>
      </c>
      <c r="O34" s="8">
        <f t="shared" si="5"/>
        <v>1.2589459986987639</v>
      </c>
      <c r="P34" s="6" t="s">
        <v>507</v>
      </c>
      <c r="Q34" s="6" t="str">
        <f t="shared" si="6"/>
        <v>=76.85*100000000</v>
      </c>
      <c r="R34" s="11">
        <f>76.85*100000000</f>
        <v>7684999999.999999</v>
      </c>
      <c r="S34" s="8">
        <f t="shared" si="7"/>
        <v>-0.70578101071975496</v>
      </c>
      <c r="T34" s="6" t="s">
        <v>508</v>
      </c>
      <c r="U34" s="6" t="str">
        <f t="shared" si="8"/>
        <v>=261.2*100000000</v>
      </c>
      <c r="V34" s="1">
        <f>261.2*100000000</f>
        <v>26120000000</v>
      </c>
      <c r="W34" s="8">
        <f t="shared" si="9"/>
        <v>0.35970848516397708</v>
      </c>
      <c r="X34" s="6" t="s">
        <v>404</v>
      </c>
      <c r="Y34" s="6" t="str">
        <f t="shared" si="10"/>
        <v>=192.1*100000000</v>
      </c>
      <c r="Z34" s="1">
        <f>192.1*100000000</f>
        <v>19210000000</v>
      </c>
      <c r="AA34" s="8">
        <f t="shared" si="11"/>
        <v>0.595514950166113</v>
      </c>
      <c r="AB34" s="6" t="s">
        <v>509</v>
      </c>
      <c r="AC34" s="6" t="str">
        <f t="shared" si="12"/>
        <v>=120.4*100000000</v>
      </c>
      <c r="AD34" s="1">
        <f>120.4*100000000</f>
        <v>12040000000</v>
      </c>
      <c r="AE34" s="8">
        <f t="shared" si="13"/>
        <v>1.2300426004815708</v>
      </c>
      <c r="AF34" s="6" t="s">
        <v>510</v>
      </c>
      <c r="AG34" s="6" t="str">
        <f t="shared" si="14"/>
        <v>=53.99*100000000</v>
      </c>
      <c r="AH34" s="1">
        <f>53.99*100000000</f>
        <v>5399000000</v>
      </c>
      <c r="AI34" s="8">
        <f t="shared" si="15"/>
        <v>-0.85044321329639894</v>
      </c>
      <c r="AJ34" s="6" t="s">
        <v>511</v>
      </c>
      <c r="AK34" s="6" t="str">
        <f t="shared" si="16"/>
        <v>=361.0*100000000</v>
      </c>
      <c r="AL34" s="1">
        <f>361*100000000</f>
        <v>36100000000</v>
      </c>
      <c r="AM34" s="8">
        <f t="shared" si="17"/>
        <v>0.35663284479518959</v>
      </c>
      <c r="AN34" s="6" t="s">
        <v>512</v>
      </c>
      <c r="AO34" s="6" t="str">
        <f t="shared" si="18"/>
        <v>=266.1*100000000</v>
      </c>
      <c r="AP34" s="1">
        <f>266.1*100000000</f>
        <v>26610000000.000004</v>
      </c>
      <c r="AQ34" s="8">
        <f t="shared" si="19"/>
        <v>0.54709302325581421</v>
      </c>
      <c r="AR34" s="6" t="s">
        <v>513</v>
      </c>
      <c r="AS34" s="6" t="str">
        <f t="shared" si="20"/>
        <v>=172.0*100000000</v>
      </c>
      <c r="AT34" s="1">
        <f>172*100000000</f>
        <v>17200000000</v>
      </c>
      <c r="AU34" s="8">
        <f t="shared" si="21"/>
        <v>1.1081014830248805</v>
      </c>
      <c r="AV34" s="6" t="s">
        <v>514</v>
      </c>
      <c r="AW34" s="6" t="str">
        <f t="shared" si="22"/>
        <v>=81.59*100000000</v>
      </c>
      <c r="AX34" s="1">
        <f>81.59*100000000</f>
        <v>8159000000</v>
      </c>
      <c r="AY34" s="10">
        <f t="shared" si="23"/>
        <v>-0.785515247108307</v>
      </c>
      <c r="AZ34" s="6" t="s">
        <v>410</v>
      </c>
      <c r="BA34" s="6" t="str">
        <f t="shared" si="24"/>
        <v>=380.4*100000000</v>
      </c>
      <c r="BB34" s="1">
        <f>380.4*100000000</f>
        <v>38040000000</v>
      </c>
      <c r="BC34" s="8">
        <f t="shared" si="25"/>
        <v>0.45858895705521474</v>
      </c>
      <c r="BD34" s="6" t="s">
        <v>515</v>
      </c>
      <c r="BE34" s="6" t="str">
        <f t="shared" si="26"/>
        <v>=260.8*100000000</v>
      </c>
      <c r="BF34" s="1">
        <f>260.8*100000000</f>
        <v>26080000000</v>
      </c>
      <c r="BG34" s="8">
        <f t="shared" si="27"/>
        <v>0.4894346087949743</v>
      </c>
      <c r="BH34" s="6" t="s">
        <v>516</v>
      </c>
      <c r="BI34" s="6" t="str">
        <f t="shared" si="28"/>
        <v>=175.1*100000000</v>
      </c>
      <c r="BJ34" s="1">
        <f>175.1*100000000</f>
        <v>17510000000</v>
      </c>
      <c r="BK34" s="6" t="s">
        <v>517</v>
      </c>
      <c r="BL34" s="1" t="str">
        <f t="shared" si="1"/>
        <v>=86.44*100000000</v>
      </c>
      <c r="BM34" s="16">
        <f t="shared" si="29"/>
        <v>1.0256825543729755</v>
      </c>
      <c r="BN34" s="1">
        <f>86.44*100000000</f>
        <v>8644000000</v>
      </c>
    </row>
    <row r="35" spans="1:66">
      <c r="A35" s="18"/>
      <c r="B35">
        <v>600018</v>
      </c>
      <c r="C35" t="s">
        <v>48</v>
      </c>
      <c r="D35" s="6" t="s">
        <v>518</v>
      </c>
      <c r="E35" s="7" t="str">
        <f t="shared" si="0"/>
        <v>=178.6*100000000</v>
      </c>
      <c r="F35" s="1">
        <f>178.6*100000000</f>
        <v>17860000000</v>
      </c>
      <c r="G35" s="8">
        <f t="shared" si="2"/>
        <v>0.23087525844245349</v>
      </c>
      <c r="H35" s="6" t="s">
        <v>519</v>
      </c>
      <c r="I35" s="6" t="str">
        <f t="shared" si="30"/>
        <v>=145.1*100000000</v>
      </c>
      <c r="J35" s="1">
        <f>145.1*100000000</f>
        <v>14510000000</v>
      </c>
      <c r="K35" s="10">
        <f t="shared" si="3"/>
        <v>0.37275307473982972</v>
      </c>
      <c r="L35" s="6" t="s">
        <v>520</v>
      </c>
      <c r="M35" s="6" t="str">
        <f t="shared" si="4"/>
        <v>=105.7*100000000</v>
      </c>
      <c r="N35" s="1">
        <f>105.7*100000000</f>
        <v>10570000000</v>
      </c>
      <c r="O35" s="8">
        <f t="shared" si="5"/>
        <v>1.7298553719008265</v>
      </c>
      <c r="P35" s="6" t="s">
        <v>521</v>
      </c>
      <c r="Q35" s="6" t="str">
        <f t="shared" si="6"/>
        <v>=38.72*100000000</v>
      </c>
      <c r="R35" s="11">
        <f>38.72*100000000</f>
        <v>3872000000</v>
      </c>
      <c r="S35" s="8">
        <f t="shared" si="7"/>
        <v>-0.63437204910292733</v>
      </c>
      <c r="T35" s="6" t="s">
        <v>522</v>
      </c>
      <c r="U35" s="6" t="str">
        <f t="shared" si="8"/>
        <v>=105.9*100000000</v>
      </c>
      <c r="V35" s="1">
        <f>105.9*100000000</f>
        <v>10590000000</v>
      </c>
      <c r="W35" s="8">
        <f t="shared" si="9"/>
        <v>0.33813495072024263</v>
      </c>
      <c r="X35" s="6" t="s">
        <v>523</v>
      </c>
      <c r="Y35" s="6" t="str">
        <f t="shared" si="10"/>
        <v>=79.14*100000000</v>
      </c>
      <c r="Z35" s="1">
        <f>79.14*100000000</f>
        <v>7914000000</v>
      </c>
      <c r="AA35" s="8">
        <f t="shared" si="11"/>
        <v>0.54963775210495402</v>
      </c>
      <c r="AB35" s="6" t="s">
        <v>524</v>
      </c>
      <c r="AC35" s="6" t="str">
        <f t="shared" si="12"/>
        <v>=51.07*100000000</v>
      </c>
      <c r="AD35" s="1">
        <f>51.07*100000000</f>
        <v>5107000000</v>
      </c>
      <c r="AE35" s="8">
        <f t="shared" si="13"/>
        <v>1.2952808988764044</v>
      </c>
      <c r="AF35" s="6" t="s">
        <v>525</v>
      </c>
      <c r="AG35" s="6" t="str">
        <f t="shared" si="14"/>
        <v>=22.25*100000000</v>
      </c>
      <c r="AH35" s="1">
        <f>22.25*100000000</f>
        <v>2225000000</v>
      </c>
      <c r="AI35" s="8">
        <f t="shared" si="15"/>
        <v>-0.81255265374894692</v>
      </c>
      <c r="AJ35" s="6" t="s">
        <v>526</v>
      </c>
      <c r="AK35" s="6" t="str">
        <f t="shared" si="16"/>
        <v>=118.7*100000000</v>
      </c>
      <c r="AL35" s="1">
        <f>118.7*100000000</f>
        <v>11870000000</v>
      </c>
      <c r="AM35" s="8">
        <f t="shared" si="17"/>
        <v>0.32507256083947311</v>
      </c>
      <c r="AN35" s="6" t="s">
        <v>527</v>
      </c>
      <c r="AO35" s="6" t="str">
        <f t="shared" si="18"/>
        <v>=89.58*100000000</v>
      </c>
      <c r="AP35" s="1">
        <f>89.58*100000000</f>
        <v>8958000000</v>
      </c>
      <c r="AQ35" s="8">
        <f t="shared" si="19"/>
        <v>0.54715025906735748</v>
      </c>
      <c r="AR35" s="6" t="s">
        <v>528</v>
      </c>
      <c r="AS35" s="6" t="str">
        <f t="shared" si="20"/>
        <v>=57.90*100000000</v>
      </c>
      <c r="AT35" s="1">
        <f>57.9*100000000</f>
        <v>5790000000</v>
      </c>
      <c r="AU35" s="8">
        <f t="shared" si="21"/>
        <v>1.2732626619552414</v>
      </c>
      <c r="AV35" s="6" t="s">
        <v>529</v>
      </c>
      <c r="AW35" s="6" t="str">
        <f t="shared" si="22"/>
        <v>=25.47*100000000</v>
      </c>
      <c r="AX35" s="1">
        <f>25.47*100000000</f>
        <v>2547000000</v>
      </c>
      <c r="AY35" s="10">
        <f t="shared" si="23"/>
        <v>-0.8213884992987377</v>
      </c>
      <c r="AZ35" s="6" t="s">
        <v>530</v>
      </c>
      <c r="BA35" s="6" t="str">
        <f t="shared" si="24"/>
        <v>=142.6*100000000</v>
      </c>
      <c r="BB35" s="1">
        <f>142.6*100000000</f>
        <v>14260000000</v>
      </c>
      <c r="BC35" s="8">
        <f t="shared" si="25"/>
        <v>0.92209192613559776</v>
      </c>
      <c r="BD35" s="6" t="s">
        <v>531</v>
      </c>
      <c r="BE35" s="6" t="str">
        <f t="shared" si="26"/>
        <v>=74.19*100000000</v>
      </c>
      <c r="BF35" s="1">
        <f>74.19*100000000</f>
        <v>7419000000</v>
      </c>
      <c r="BG35" s="8">
        <f t="shared" si="27"/>
        <v>0.48231768231768229</v>
      </c>
      <c r="BH35" s="6" t="s">
        <v>532</v>
      </c>
      <c r="BI35" s="6" t="str">
        <f t="shared" si="28"/>
        <v>=50.05*100000000</v>
      </c>
      <c r="BJ35" s="1">
        <f>50.05*100000000</f>
        <v>5005000000</v>
      </c>
      <c r="BK35" s="6" t="s">
        <v>533</v>
      </c>
      <c r="BL35" s="1" t="str">
        <f t="shared" si="1"/>
        <v>=23.61*100000000</v>
      </c>
      <c r="BM35" s="16">
        <f t="shared" si="29"/>
        <v>1.1198644642100806</v>
      </c>
      <c r="BN35" s="1">
        <f>23.61*100000000</f>
        <v>2361000000</v>
      </c>
    </row>
    <row r="36" spans="1:66">
      <c r="A36" s="18"/>
      <c r="B36">
        <v>600018</v>
      </c>
      <c r="C36" t="s">
        <v>58</v>
      </c>
      <c r="D36" s="6" t="s">
        <v>534</v>
      </c>
      <c r="E36" s="7" t="str">
        <f t="shared" si="0"/>
        <v>=179.6*100000000</v>
      </c>
      <c r="F36" s="1">
        <f>179.6*100000000</f>
        <v>17960000000</v>
      </c>
      <c r="G36" s="8">
        <f t="shared" si="2"/>
        <v>0.23182441700960205</v>
      </c>
      <c r="H36" s="6" t="s">
        <v>535</v>
      </c>
      <c r="I36" s="6" t="str">
        <f t="shared" si="30"/>
        <v>=145.8*100000000</v>
      </c>
      <c r="J36" s="1">
        <f>145.8*100000000</f>
        <v>14580000000.000002</v>
      </c>
      <c r="K36" s="10">
        <f t="shared" si="3"/>
        <v>0.37030075187969941</v>
      </c>
      <c r="L36" s="6" t="s">
        <v>536</v>
      </c>
      <c r="M36" s="6" t="str">
        <f t="shared" si="4"/>
        <v>=106.4*100000000</v>
      </c>
      <c r="N36" s="1">
        <f>106.4*100000000</f>
        <v>10640000000</v>
      </c>
      <c r="O36" s="8">
        <f t="shared" si="5"/>
        <v>1.7479338842975207</v>
      </c>
      <c r="P36" s="6" t="s">
        <v>521</v>
      </c>
      <c r="Q36" s="6" t="str">
        <f t="shared" si="6"/>
        <v>=38.72*100000000</v>
      </c>
      <c r="R36" s="11">
        <f>38.72*100000000</f>
        <v>3872000000</v>
      </c>
      <c r="S36" s="8">
        <f t="shared" si="7"/>
        <v>-0.63368022705771054</v>
      </c>
      <c r="T36" s="6" t="s">
        <v>520</v>
      </c>
      <c r="U36" s="6" t="str">
        <f t="shared" si="8"/>
        <v>=105.7*100000000</v>
      </c>
      <c r="V36" s="1">
        <f>105.7*100000000</f>
        <v>10570000000</v>
      </c>
      <c r="W36" s="8">
        <f t="shared" si="9"/>
        <v>0.33560778367450089</v>
      </c>
      <c r="X36" s="6" t="s">
        <v>523</v>
      </c>
      <c r="Y36" s="6" t="str">
        <f t="shared" si="10"/>
        <v>=79.14*100000000</v>
      </c>
      <c r="Z36" s="1">
        <f>79.14*100000000</f>
        <v>7914000000</v>
      </c>
      <c r="AA36" s="8">
        <f t="shared" si="11"/>
        <v>0.5490311215502055</v>
      </c>
      <c r="AB36" s="6" t="s">
        <v>537</v>
      </c>
      <c r="AC36" s="6" t="str">
        <f t="shared" si="12"/>
        <v>=51.09*100000000</v>
      </c>
      <c r="AD36" s="1">
        <f>51.09*100000000</f>
        <v>5109000000</v>
      </c>
      <c r="AE36" s="8">
        <f t="shared" si="13"/>
        <v>1.30031517334534</v>
      </c>
      <c r="AF36" s="6" t="s">
        <v>538</v>
      </c>
      <c r="AG36" s="6" t="str">
        <f t="shared" si="14"/>
        <v>=22.21*100000000</v>
      </c>
      <c r="AH36" s="1">
        <f>22.21*100000000</f>
        <v>2221000000</v>
      </c>
      <c r="AI36" s="8">
        <f t="shared" si="15"/>
        <v>-0.81209813874788495</v>
      </c>
      <c r="AJ36" s="6" t="s">
        <v>539</v>
      </c>
      <c r="AK36" s="6" t="str">
        <f t="shared" si="16"/>
        <v>=118.2*100000000</v>
      </c>
      <c r="AL36" s="1">
        <f>118.2*100000000</f>
        <v>11820000000</v>
      </c>
      <c r="AM36" s="8">
        <f t="shared" si="17"/>
        <v>0.32659932659932661</v>
      </c>
      <c r="AN36" s="6" t="s">
        <v>540</v>
      </c>
      <c r="AO36" s="6" t="str">
        <f t="shared" si="18"/>
        <v>=89.10*100000000</v>
      </c>
      <c r="AP36" s="1">
        <f>89.1*100000000</f>
        <v>8910000000</v>
      </c>
      <c r="AQ36" s="8">
        <f t="shared" si="19"/>
        <v>0.53939184519695926</v>
      </c>
      <c r="AR36" s="6" t="s">
        <v>541</v>
      </c>
      <c r="AS36" s="6" t="str">
        <f t="shared" si="20"/>
        <v>=57.88*100000000</v>
      </c>
      <c r="AT36" s="1">
        <f>57.88*100000000</f>
        <v>5788000000</v>
      </c>
      <c r="AU36" s="8">
        <f t="shared" si="21"/>
        <v>1.2778433687524597</v>
      </c>
      <c r="AV36" s="6" t="s">
        <v>542</v>
      </c>
      <c r="AW36" s="6" t="str">
        <f t="shared" si="22"/>
        <v>=25.41*100000000</v>
      </c>
      <c r="AX36" s="1">
        <f>25.41*100000000</f>
        <v>2541000000</v>
      </c>
      <c r="AY36" s="10">
        <f t="shared" si="23"/>
        <v>-0.82267969295184928</v>
      </c>
      <c r="AZ36" s="6" t="s">
        <v>543</v>
      </c>
      <c r="BA36" s="6" t="str">
        <f t="shared" si="24"/>
        <v>=143.3*100000000</v>
      </c>
      <c r="BB36" s="1">
        <f>143.3*100000000</f>
        <v>14330000000.000002</v>
      </c>
      <c r="BC36" s="8">
        <f t="shared" si="25"/>
        <v>0.92504030091348766</v>
      </c>
      <c r="BD36" s="6" t="s">
        <v>544</v>
      </c>
      <c r="BE36" s="6" t="str">
        <f t="shared" si="26"/>
        <v>=74.44*100000000</v>
      </c>
      <c r="BF36" s="1">
        <f>74.44*100000000</f>
        <v>7444000000</v>
      </c>
      <c r="BG36" s="8">
        <f t="shared" si="27"/>
        <v>0.48139303482587065</v>
      </c>
      <c r="BH36" s="6" t="s">
        <v>545</v>
      </c>
      <c r="BI36" s="6" t="str">
        <f t="shared" si="28"/>
        <v>=50.25*100000000</v>
      </c>
      <c r="BJ36" s="1">
        <f>50.25*100000000</f>
        <v>5025000000</v>
      </c>
      <c r="BK36" s="6" t="s">
        <v>546</v>
      </c>
      <c r="BL36" s="1" t="str">
        <f t="shared" si="1"/>
        <v>=23.70*100000000</v>
      </c>
      <c r="BM36" s="16">
        <f t="shared" si="29"/>
        <v>1.120253164556962</v>
      </c>
      <c r="BN36" s="1">
        <f>23.7*100000000</f>
        <v>2370000000</v>
      </c>
    </row>
    <row r="37" spans="1:66">
      <c r="A37" s="19"/>
      <c r="B37">
        <v>600018</v>
      </c>
      <c r="C37" t="s">
        <v>68</v>
      </c>
      <c r="D37" s="6" t="s">
        <v>547</v>
      </c>
      <c r="E37" s="7" t="str">
        <f t="shared" si="0"/>
        <v>=154.8*100000000</v>
      </c>
      <c r="F37" s="1">
        <f>154.8*100000000</f>
        <v>15480000000.000002</v>
      </c>
      <c r="G37" s="8">
        <f t="shared" si="2"/>
        <v>0.24137931034482774</v>
      </c>
      <c r="H37" s="6" t="s">
        <v>548</v>
      </c>
      <c r="I37" s="6" t="str">
        <f t="shared" si="30"/>
        <v>=124.7*100000000</v>
      </c>
      <c r="J37" s="1">
        <f>124.7*100000000</f>
        <v>12470000000</v>
      </c>
      <c r="K37" s="10">
        <f t="shared" si="3"/>
        <v>0.3601657940663176</v>
      </c>
      <c r="L37" s="6" t="s">
        <v>549</v>
      </c>
      <c r="M37" s="6" t="str">
        <f t="shared" si="4"/>
        <v>=91.68*100000000</v>
      </c>
      <c r="N37" s="1">
        <f>91.68*100000000</f>
        <v>9168000000</v>
      </c>
      <c r="O37" s="8">
        <f t="shared" si="5"/>
        <v>1.895767530006317</v>
      </c>
      <c r="P37" s="6" t="s">
        <v>550</v>
      </c>
      <c r="Q37" s="6" t="str">
        <f t="shared" si="6"/>
        <v>=31.66*100000000</v>
      </c>
      <c r="R37" s="11">
        <f>31.66*100000000</f>
        <v>3166000000</v>
      </c>
      <c r="S37" s="8">
        <f t="shared" si="7"/>
        <v>-0.65523249482739843</v>
      </c>
      <c r="T37" s="6" t="s">
        <v>551</v>
      </c>
      <c r="U37" s="6" t="str">
        <f t="shared" si="8"/>
        <v>=91.83*100000000</v>
      </c>
      <c r="V37" s="1">
        <f>91.83*100000000</f>
        <v>9183000000</v>
      </c>
      <c r="W37" s="8">
        <f t="shared" si="9"/>
        <v>0.36145292809488511</v>
      </c>
      <c r="X37" s="6" t="s">
        <v>552</v>
      </c>
      <c r="Y37" s="6" t="str">
        <f t="shared" si="10"/>
        <v>=67.45*100000000</v>
      </c>
      <c r="Z37" s="1">
        <f>67.45*100000000</f>
        <v>6745000000</v>
      </c>
      <c r="AA37" s="8">
        <f t="shared" si="11"/>
        <v>0.55809655809655812</v>
      </c>
      <c r="AB37" s="6" t="s">
        <v>553</v>
      </c>
      <c r="AC37" s="6" t="str">
        <f t="shared" si="12"/>
        <v>=43.29*100000000</v>
      </c>
      <c r="AD37" s="1">
        <f>43.29*100000000</f>
        <v>4329000000</v>
      </c>
      <c r="AE37" s="8">
        <f t="shared" si="13"/>
        <v>1.2808219178082192</v>
      </c>
      <c r="AF37" s="6" t="s">
        <v>554</v>
      </c>
      <c r="AG37" s="6" t="str">
        <f t="shared" si="14"/>
        <v>=18.98*100000000</v>
      </c>
      <c r="AH37" s="1">
        <f>18.98*100000000</f>
        <v>1898000000</v>
      </c>
      <c r="AI37" s="8">
        <f t="shared" si="15"/>
        <v>-0.80878500906709649</v>
      </c>
      <c r="AJ37" s="6" t="s">
        <v>555</v>
      </c>
      <c r="AK37" s="6" t="str">
        <f t="shared" si="16"/>
        <v>=99.26*100000000</v>
      </c>
      <c r="AL37" s="1">
        <f>99.26*100000000</f>
        <v>9926000000</v>
      </c>
      <c r="AM37" s="8">
        <f t="shared" si="17"/>
        <v>0.31174838112858466</v>
      </c>
      <c r="AN37" s="6" t="s">
        <v>556</v>
      </c>
      <c r="AO37" s="6" t="str">
        <f t="shared" si="18"/>
        <v>=75.67*100000000</v>
      </c>
      <c r="AP37" s="1">
        <f>75.67*100000000</f>
        <v>7567000000</v>
      </c>
      <c r="AQ37" s="8">
        <f t="shared" si="19"/>
        <v>0.5502970702724852</v>
      </c>
      <c r="AR37" s="6" t="s">
        <v>557</v>
      </c>
      <c r="AS37" s="6" t="str">
        <f t="shared" si="20"/>
        <v>=48.81*100000000</v>
      </c>
      <c r="AT37" s="1">
        <f>48.81*100000000</f>
        <v>4881000000</v>
      </c>
      <c r="AU37" s="8">
        <f t="shared" si="21"/>
        <v>1.2893996247654784</v>
      </c>
      <c r="AV37" s="6" t="s">
        <v>558</v>
      </c>
      <c r="AW37" s="6" t="str">
        <f t="shared" si="22"/>
        <v>=21.32*100000000</v>
      </c>
      <c r="AX37" s="1">
        <f>21.32*100000000</f>
        <v>2132000000</v>
      </c>
      <c r="AY37" s="10">
        <f t="shared" si="23"/>
        <v>-0.81412380122057537</v>
      </c>
      <c r="AZ37" s="6" t="s">
        <v>559</v>
      </c>
      <c r="BA37" s="6" t="str">
        <f t="shared" si="24"/>
        <v>=114.7*100000000</v>
      </c>
      <c r="BB37" s="1">
        <f>114.7*100000000</f>
        <v>11470000000</v>
      </c>
      <c r="BC37" s="8">
        <f t="shared" si="25"/>
        <v>0.9164578111946533</v>
      </c>
      <c r="BD37" s="6" t="s">
        <v>560</v>
      </c>
      <c r="BE37" s="6" t="str">
        <f t="shared" si="26"/>
        <v>=59.85*100000000</v>
      </c>
      <c r="BF37" s="1">
        <f>59.85*100000000</f>
        <v>5985000000</v>
      </c>
      <c r="BG37" s="8">
        <f t="shared" si="27"/>
        <v>0.4984977466199299</v>
      </c>
      <c r="BH37" s="6" t="s">
        <v>561</v>
      </c>
      <c r="BI37" s="6" t="str">
        <f t="shared" si="28"/>
        <v>=39.94*100000000</v>
      </c>
      <c r="BJ37" s="1">
        <f>39.94*100000000</f>
        <v>3994000000</v>
      </c>
      <c r="BK37" s="6" t="s">
        <v>562</v>
      </c>
      <c r="BL37" s="1" t="str">
        <f t="shared" si="1"/>
        <v>=18.96*100000000</v>
      </c>
      <c r="BM37" s="16">
        <f t="shared" si="29"/>
        <v>1.1065400843881856</v>
      </c>
      <c r="BN37" s="1">
        <f>18.96*100000000</f>
        <v>1896000000</v>
      </c>
    </row>
    <row r="38" spans="1:66">
      <c r="A38" s="17">
        <v>10</v>
      </c>
      <c r="B38">
        <v>600022</v>
      </c>
      <c r="C38" t="s">
        <v>31</v>
      </c>
      <c r="D38" s="6" t="s">
        <v>563</v>
      </c>
      <c r="E38" s="7" t="str">
        <f t="shared" si="0"/>
        <v>=1109*100000000</v>
      </c>
      <c r="F38" s="1">
        <f>1109*100000000</f>
        <v>110900000000</v>
      </c>
      <c r="G38" s="8">
        <f t="shared" si="2"/>
        <v>0.27047771795165543</v>
      </c>
      <c r="H38" s="6" t="s">
        <v>564</v>
      </c>
      <c r="I38" s="6" t="str">
        <f t="shared" si="30"/>
        <v>=872.9*100000000</v>
      </c>
      <c r="J38" s="1">
        <f>872.9*100000000</f>
        <v>87290000000</v>
      </c>
      <c r="K38" s="10">
        <f t="shared" si="3"/>
        <v>0.48376678565357828</v>
      </c>
      <c r="L38" s="6" t="s">
        <v>565</v>
      </c>
      <c r="M38" s="6" t="str">
        <f t="shared" si="4"/>
        <v>=588.3*100000000</v>
      </c>
      <c r="N38" s="1">
        <f>588.3*100000000</f>
        <v>58829999999.999992</v>
      </c>
      <c r="O38" s="8">
        <f t="shared" si="5"/>
        <v>1.205022488755622</v>
      </c>
      <c r="P38" s="6" t="s">
        <v>566</v>
      </c>
      <c r="Q38" s="6" t="str">
        <f t="shared" si="6"/>
        <v>=266.8*100000000</v>
      </c>
      <c r="R38" s="11">
        <f>266.8*100000000</f>
        <v>26680000000</v>
      </c>
      <c r="S38" s="8">
        <f t="shared" si="7"/>
        <v>-0.69445716903344024</v>
      </c>
      <c r="T38" s="6" t="s">
        <v>567</v>
      </c>
      <c r="U38" s="6" t="str">
        <f t="shared" si="8"/>
        <v>=873.2*100000000</v>
      </c>
      <c r="V38" s="1">
        <f>873.2*100000000</f>
        <v>87320000000</v>
      </c>
      <c r="W38" s="8">
        <f t="shared" si="9"/>
        <v>0.36608260325406744</v>
      </c>
      <c r="X38" s="6" t="s">
        <v>568</v>
      </c>
      <c r="Y38" s="6" t="str">
        <f t="shared" si="10"/>
        <v>=639.2*100000000</v>
      </c>
      <c r="Z38" s="1">
        <f>639.2*100000000</f>
        <v>63920000000.000008</v>
      </c>
      <c r="AA38" s="8">
        <f t="shared" si="11"/>
        <v>0.59202988792029909</v>
      </c>
      <c r="AB38" s="6" t="s">
        <v>569</v>
      </c>
      <c r="AC38" s="6" t="str">
        <f t="shared" si="12"/>
        <v>=401.5*100000000</v>
      </c>
      <c r="AD38" s="1">
        <f>401.5*100000000</f>
        <v>40150000000</v>
      </c>
      <c r="AE38" s="8">
        <f t="shared" si="13"/>
        <v>1.0706549767921609</v>
      </c>
      <c r="AF38" s="6" t="s">
        <v>570</v>
      </c>
      <c r="AG38" s="6" t="str">
        <f t="shared" si="14"/>
        <v>=193.9*100000000</v>
      </c>
      <c r="AH38" s="1">
        <f>193.9*100000000</f>
        <v>19390000000</v>
      </c>
      <c r="AI38" s="8">
        <f t="shared" si="15"/>
        <v>-0.72724715149810104</v>
      </c>
      <c r="AJ38" s="6" t="s">
        <v>571</v>
      </c>
      <c r="AK38" s="6" t="str">
        <f t="shared" si="16"/>
        <v>=710.9*100000000</v>
      </c>
      <c r="AL38" s="1">
        <f>710.9*100000000</f>
        <v>71090000000</v>
      </c>
      <c r="AM38" s="8">
        <f t="shared" si="17"/>
        <v>0.34182710456776161</v>
      </c>
      <c r="AN38" s="6" t="s">
        <v>572</v>
      </c>
      <c r="AO38" s="6" t="str">
        <f t="shared" si="18"/>
        <v>=529.8*100000000</v>
      </c>
      <c r="AP38" s="1">
        <f>529.8*100000000</f>
        <v>52979999999.999992</v>
      </c>
      <c r="AQ38" s="8">
        <f t="shared" si="19"/>
        <v>0.63771251931993789</v>
      </c>
      <c r="AR38" s="6" t="s">
        <v>573</v>
      </c>
      <c r="AS38" s="6" t="str">
        <f t="shared" si="20"/>
        <v>=323.5*100000000</v>
      </c>
      <c r="AT38" s="1">
        <f>323.5*100000000</f>
        <v>32350000000</v>
      </c>
      <c r="AU38" s="8">
        <f t="shared" si="21"/>
        <v>1.3374277456647399</v>
      </c>
      <c r="AV38" s="6" t="s">
        <v>574</v>
      </c>
      <c r="AW38" s="6" t="str">
        <f t="shared" si="22"/>
        <v>=138.4*100000000</v>
      </c>
      <c r="AX38" s="1">
        <f>138.4*100000000</f>
        <v>13840000000</v>
      </c>
      <c r="AY38" s="10">
        <f t="shared" si="23"/>
        <v>-0.75245930960472185</v>
      </c>
      <c r="AZ38" s="6" t="s">
        <v>575</v>
      </c>
      <c r="BA38" s="6" t="str">
        <f t="shared" si="24"/>
        <v>=559.1*100000000</v>
      </c>
      <c r="BB38" s="1">
        <f>559.1*100000000</f>
        <v>55910000000</v>
      </c>
      <c r="BC38" s="8">
        <f t="shared" si="25"/>
        <v>0.37879161528976574</v>
      </c>
      <c r="BD38" s="6" t="s">
        <v>576</v>
      </c>
      <c r="BE38" s="6" t="str">
        <f t="shared" si="26"/>
        <v>=405.5*100000000</v>
      </c>
      <c r="BF38" s="1">
        <f>405.5*100000000</f>
        <v>40550000000</v>
      </c>
      <c r="BG38" s="8">
        <f t="shared" si="27"/>
        <v>0.62982315112540188</v>
      </c>
      <c r="BH38" s="6" t="s">
        <v>577</v>
      </c>
      <c r="BI38" s="6" t="str">
        <f t="shared" si="28"/>
        <v>=248.8*100000000</v>
      </c>
      <c r="BJ38" s="1">
        <f>248.8*100000000</f>
        <v>24880000000</v>
      </c>
      <c r="BK38" s="6" t="s">
        <v>578</v>
      </c>
      <c r="BL38" s="1" t="str">
        <f t="shared" si="1"/>
        <v>=118.0*100000000</v>
      </c>
      <c r="BM38" s="16">
        <f t="shared" si="29"/>
        <v>1.1084745762711865</v>
      </c>
      <c r="BN38" s="1">
        <f>118*100000000</f>
        <v>11800000000</v>
      </c>
    </row>
    <row r="39" spans="1:66">
      <c r="A39" s="18"/>
      <c r="B39">
        <v>600022</v>
      </c>
      <c r="C39" t="s">
        <v>48</v>
      </c>
      <c r="D39" s="6" t="s">
        <v>579</v>
      </c>
      <c r="E39" s="7" t="str">
        <f t="shared" si="0"/>
        <v>=38.77*100000000</v>
      </c>
      <c r="F39" s="1">
        <f>38.77*100000000</f>
        <v>3877000000.0000005</v>
      </c>
      <c r="G39" s="8">
        <f t="shared" si="2"/>
        <v>-0.29992777175875757</v>
      </c>
      <c r="H39" s="6" t="s">
        <v>580</v>
      </c>
      <c r="I39" s="6" t="str">
        <f t="shared" si="30"/>
        <v>=55.38*100000000</v>
      </c>
      <c r="J39" s="1">
        <f>55.38*100000000</f>
        <v>5538000000</v>
      </c>
      <c r="K39" s="10">
        <f t="shared" si="3"/>
        <v>0.37487586891757696</v>
      </c>
      <c r="L39" s="6" t="s">
        <v>581</v>
      </c>
      <c r="M39" s="6" t="str">
        <f t="shared" si="4"/>
        <v>=40.28*100000000</v>
      </c>
      <c r="N39" s="1">
        <f>40.28*100000000</f>
        <v>4028000000</v>
      </c>
      <c r="O39" s="8">
        <f t="shared" si="5"/>
        <v>2.2908496732026142</v>
      </c>
      <c r="P39" s="6" t="s">
        <v>582</v>
      </c>
      <c r="Q39" s="6" t="str">
        <f t="shared" si="6"/>
        <v>=12.24*100000000</v>
      </c>
      <c r="R39" s="11">
        <f>12.24*100000000</f>
        <v>1224000000</v>
      </c>
      <c r="S39" s="8">
        <f t="shared" si="7"/>
        <v>-0.39941118743866538</v>
      </c>
      <c r="T39" s="6" t="s">
        <v>583</v>
      </c>
      <c r="U39" s="6" t="str">
        <f t="shared" si="8"/>
        <v>=20.38*100000000</v>
      </c>
      <c r="V39" s="1">
        <f>20.38*100000000</f>
        <v>2038000000</v>
      </c>
      <c r="W39" s="8">
        <f t="shared" si="9"/>
        <v>0.26820161792159303</v>
      </c>
      <c r="X39" s="6" t="s">
        <v>584</v>
      </c>
      <c r="Y39" s="6" t="str">
        <f t="shared" si="10"/>
        <v>=16.07*100000000</v>
      </c>
      <c r="Z39" s="1">
        <f>16.07*100000000</f>
        <v>1607000000</v>
      </c>
      <c r="AA39" s="8">
        <f t="shared" si="11"/>
        <v>0.87230572061050915</v>
      </c>
      <c r="AB39" s="6" t="s">
        <v>585</v>
      </c>
      <c r="AC39" s="6" t="str">
        <f t="shared" si="12"/>
        <v>=8.583*100000000</v>
      </c>
      <c r="AD39" s="1">
        <f>8.583*100000000</f>
        <v>858300000</v>
      </c>
      <c r="AE39" s="8">
        <f t="shared" si="13"/>
        <v>2.5104294478527609</v>
      </c>
      <c r="AF39" s="6" t="s">
        <v>586</v>
      </c>
      <c r="AG39" s="6" t="str">
        <f t="shared" si="14"/>
        <v>=2.445*100000000</v>
      </c>
      <c r="AH39" s="1">
        <f>2.445*100000000</f>
        <v>244499999.99999997</v>
      </c>
      <c r="AI39" s="8">
        <f t="shared" si="15"/>
        <v>-0.77548209366391185</v>
      </c>
      <c r="AJ39" s="6" t="s">
        <v>587</v>
      </c>
      <c r="AK39" s="6" t="str">
        <f t="shared" si="16"/>
        <v>=10.89*100000000</v>
      </c>
      <c r="AL39" s="1">
        <f>10.89*100000000</f>
        <v>1089000000</v>
      </c>
      <c r="AM39" s="8">
        <f t="shared" si="17"/>
        <v>1.6806722689075519E-2</v>
      </c>
      <c r="AN39" s="6" t="s">
        <v>588</v>
      </c>
      <c r="AO39" s="6" t="str">
        <f t="shared" si="18"/>
        <v>=10.71*100000000</v>
      </c>
      <c r="AP39" s="1">
        <f>10.71*100000000</f>
        <v>1071000000.0000001</v>
      </c>
      <c r="AQ39" s="8">
        <f t="shared" si="19"/>
        <v>0.1298660196223233</v>
      </c>
      <c r="AR39" s="6" t="s">
        <v>589</v>
      </c>
      <c r="AS39" s="6" t="str">
        <f t="shared" si="20"/>
        <v>=9.479*100000000</v>
      </c>
      <c r="AT39" s="1">
        <f>9.479*100000000</f>
        <v>947899999.99999988</v>
      </c>
      <c r="AU39" s="8">
        <f t="shared" si="21"/>
        <v>4.3888573052870941</v>
      </c>
      <c r="AV39" s="6" t="s">
        <v>590</v>
      </c>
      <c r="AW39" s="6" t="str">
        <f t="shared" si="22"/>
        <v>=1.759*100000000</v>
      </c>
      <c r="AX39" s="1">
        <f>1.759*100000000</f>
        <v>175900000</v>
      </c>
      <c r="AY39" s="10">
        <f t="shared" si="23"/>
        <v>-0.93961551664950227</v>
      </c>
      <c r="AZ39" s="6" t="s">
        <v>591</v>
      </c>
      <c r="BA39" s="6" t="str">
        <f t="shared" si="24"/>
        <v>=29.13*100000000</v>
      </c>
      <c r="BB39" s="1">
        <f>29.13*100000000</f>
        <v>2913000000</v>
      </c>
      <c r="BC39" s="8">
        <f t="shared" si="25"/>
        <v>-1.7869184086311531E-2</v>
      </c>
      <c r="BD39" s="6" t="s">
        <v>592</v>
      </c>
      <c r="BE39" s="6" t="str">
        <f t="shared" si="26"/>
        <v>=29.66*100000000</v>
      </c>
      <c r="BF39" s="1">
        <f>29.66*100000000</f>
        <v>2966000000</v>
      </c>
      <c r="BG39" s="8">
        <f t="shared" si="27"/>
        <v>0.63506063947078284</v>
      </c>
      <c r="BH39" s="6" t="s">
        <v>593</v>
      </c>
      <c r="BI39" s="6" t="str">
        <f t="shared" si="28"/>
        <v>=18.14*100000000</v>
      </c>
      <c r="BJ39" s="1">
        <f>18.14*100000000</f>
        <v>1814000000</v>
      </c>
      <c r="BK39" s="6" t="s">
        <v>594</v>
      </c>
      <c r="BL39" s="1" t="str">
        <f t="shared" si="1"/>
        <v>=6.441*100000000</v>
      </c>
      <c r="BM39" s="16">
        <f t="shared" si="29"/>
        <v>1.816332867567148</v>
      </c>
      <c r="BN39" s="1">
        <f>6.441*100000000</f>
        <v>644100000</v>
      </c>
    </row>
    <row r="40" spans="1:66">
      <c r="A40" s="18"/>
      <c r="B40">
        <v>600022</v>
      </c>
      <c r="C40" t="s">
        <v>58</v>
      </c>
      <c r="D40" s="6" t="s">
        <v>595</v>
      </c>
      <c r="E40" s="7" t="str">
        <f t="shared" si="0"/>
        <v>=40.34*100000000</v>
      </c>
      <c r="F40" s="1">
        <f>40.34*100000000</f>
        <v>4034000000.0000005</v>
      </c>
      <c r="G40" s="8">
        <f t="shared" si="2"/>
        <v>-0.27105168052041911</v>
      </c>
      <c r="H40" s="6" t="s">
        <v>596</v>
      </c>
      <c r="I40" s="6" t="str">
        <f t="shared" si="30"/>
        <v>=55.34*100000000</v>
      </c>
      <c r="J40" s="1">
        <f>55.34*100000000</f>
        <v>5534000000</v>
      </c>
      <c r="K40" s="10">
        <f t="shared" si="3"/>
        <v>0.38177278401997522</v>
      </c>
      <c r="L40" s="6" t="s">
        <v>597</v>
      </c>
      <c r="M40" s="6" t="str">
        <f t="shared" si="4"/>
        <v>=40.05*100000000</v>
      </c>
      <c r="N40" s="1">
        <f>40.05*100000000</f>
        <v>4004999999.9999995</v>
      </c>
      <c r="O40" s="8">
        <f t="shared" si="5"/>
        <v>2.3017312448474851</v>
      </c>
      <c r="P40" s="6" t="s">
        <v>598</v>
      </c>
      <c r="Q40" s="6" t="str">
        <f t="shared" si="6"/>
        <v>=12.13*100000000</v>
      </c>
      <c r="R40" s="11">
        <f>12.13*100000000</f>
        <v>1213000000</v>
      </c>
      <c r="S40" s="8">
        <f t="shared" si="7"/>
        <v>-0.38457635717909688</v>
      </c>
      <c r="T40" s="6" t="s">
        <v>599</v>
      </c>
      <c r="U40" s="6" t="str">
        <f t="shared" si="8"/>
        <v>=19.71*100000000</v>
      </c>
      <c r="V40" s="1">
        <f>19.71*100000000</f>
        <v>1971000000</v>
      </c>
      <c r="W40" s="8">
        <f t="shared" si="9"/>
        <v>0.28153446033810142</v>
      </c>
      <c r="X40" s="6" t="s">
        <v>64</v>
      </c>
      <c r="Y40" s="6" t="str">
        <f t="shared" si="10"/>
        <v>=15.38*100000000</v>
      </c>
      <c r="Z40" s="1">
        <f>15.38*100000000</f>
        <v>1538000000</v>
      </c>
      <c r="AA40" s="8">
        <f t="shared" si="11"/>
        <v>0.80558816623620544</v>
      </c>
      <c r="AB40" s="6" t="s">
        <v>600</v>
      </c>
      <c r="AC40" s="6" t="str">
        <f t="shared" si="12"/>
        <v>=8.518*100000000</v>
      </c>
      <c r="AD40" s="1">
        <f>8.518*100000000</f>
        <v>851800000.00000012</v>
      </c>
      <c r="AE40" s="8">
        <f t="shared" si="13"/>
        <v>2.4753161974704208</v>
      </c>
      <c r="AF40" s="6" t="s">
        <v>601</v>
      </c>
      <c r="AG40" s="6" t="str">
        <f t="shared" si="14"/>
        <v>=2.451*100000000</v>
      </c>
      <c r="AH40" s="1">
        <f>2.451*100000000</f>
        <v>245100000</v>
      </c>
      <c r="AI40" s="8">
        <f t="shared" si="15"/>
        <v>-0.75587649402390433</v>
      </c>
      <c r="AJ40" s="6" t="s">
        <v>602</v>
      </c>
      <c r="AK40" s="6" t="str">
        <f t="shared" si="16"/>
        <v>=10.04*100000000</v>
      </c>
      <c r="AL40" s="1">
        <f>10.04*100000000</f>
        <v>1003999999.9999999</v>
      </c>
      <c r="AM40" s="8">
        <f t="shared" si="17"/>
        <v>-1.1811023622047362E-2</v>
      </c>
      <c r="AN40" s="6" t="s">
        <v>603</v>
      </c>
      <c r="AO40" s="6" t="str">
        <f t="shared" si="18"/>
        <v>=10.16*100000000</v>
      </c>
      <c r="AP40" s="1">
        <f>10.16*100000000</f>
        <v>1016000000</v>
      </c>
      <c r="AQ40" s="8">
        <f t="shared" si="19"/>
        <v>7.286166842661021E-2</v>
      </c>
      <c r="AR40" s="6" t="s">
        <v>604</v>
      </c>
      <c r="AS40" s="6" t="str">
        <f t="shared" si="20"/>
        <v>=9.470*100000000</v>
      </c>
      <c r="AT40" s="1">
        <f>9.47*100000000</f>
        <v>947000000.00000012</v>
      </c>
      <c r="AU40" s="8">
        <f t="shared" si="21"/>
        <v>4.4021677124928704</v>
      </c>
      <c r="AV40" s="6" t="s">
        <v>605</v>
      </c>
      <c r="AW40" s="6" t="str">
        <f t="shared" si="22"/>
        <v>=1.753*100000000</v>
      </c>
      <c r="AX40" s="1">
        <f>1.753*100000000</f>
        <v>175300000</v>
      </c>
      <c r="AY40" s="10">
        <f t="shared" si="23"/>
        <v>-0.92862377850162869</v>
      </c>
      <c r="AZ40" s="6" t="s">
        <v>606</v>
      </c>
      <c r="BA40" s="6" t="str">
        <f t="shared" si="24"/>
        <v>=24.56*100000000</v>
      </c>
      <c r="BB40" s="1">
        <f>24.56*100000000</f>
        <v>2456000000</v>
      </c>
      <c r="BC40" s="8">
        <f t="shared" si="25"/>
        <v>-0.16206073012623678</v>
      </c>
      <c r="BD40" s="6" t="s">
        <v>607</v>
      </c>
      <c r="BE40" s="6" t="str">
        <f t="shared" si="26"/>
        <v>=29.31*100000000</v>
      </c>
      <c r="BF40" s="1">
        <f>29.31*100000000</f>
        <v>2931000000</v>
      </c>
      <c r="BG40" s="8">
        <f t="shared" si="27"/>
        <v>0.6420168067226889</v>
      </c>
      <c r="BH40" s="6" t="s">
        <v>608</v>
      </c>
      <c r="BI40" s="6" t="str">
        <f t="shared" si="28"/>
        <v>=17.85*100000000</v>
      </c>
      <c r="BJ40" s="1">
        <f>17.85*100000000</f>
        <v>1785000000.0000002</v>
      </c>
      <c r="BK40" s="6" t="s">
        <v>609</v>
      </c>
      <c r="BL40" s="1" t="str">
        <f t="shared" si="1"/>
        <v>=6.363*100000000</v>
      </c>
      <c r="BM40" s="16">
        <f t="shared" si="29"/>
        <v>1.8052805280528057</v>
      </c>
      <c r="BN40" s="1">
        <f>6.363*100000000</f>
        <v>636300000</v>
      </c>
    </row>
    <row r="41" spans="1:66">
      <c r="A41" s="19"/>
      <c r="B41">
        <v>600022</v>
      </c>
      <c r="C41" t="s">
        <v>68</v>
      </c>
      <c r="D41" s="6" t="s">
        <v>610</v>
      </c>
      <c r="E41" s="7" t="str">
        <f t="shared" si="0"/>
        <v>=29.62*100000000</v>
      </c>
      <c r="F41" s="1">
        <f>29.62*100000000</f>
        <v>2962000000</v>
      </c>
      <c r="G41" s="8">
        <f t="shared" si="2"/>
        <v>-0.32681818181818184</v>
      </c>
      <c r="H41" s="6" t="s">
        <v>611</v>
      </c>
      <c r="I41" s="6" t="str">
        <f t="shared" si="30"/>
        <v>=44.00*100000000</v>
      </c>
      <c r="J41" s="1">
        <f>44*100000000</f>
        <v>4400000000</v>
      </c>
      <c r="K41" s="10">
        <f t="shared" si="3"/>
        <v>0.37242669993761696</v>
      </c>
      <c r="L41" s="6" t="s">
        <v>612</v>
      </c>
      <c r="M41" s="6" t="str">
        <f t="shared" si="4"/>
        <v>=32.06*100000000</v>
      </c>
      <c r="N41" s="1">
        <f>32.06*100000000</f>
        <v>3206000000</v>
      </c>
      <c r="O41" s="8">
        <f t="shared" si="5"/>
        <v>2.3048139367075557</v>
      </c>
      <c r="P41" s="6" t="s">
        <v>613</v>
      </c>
      <c r="Q41" s="6" t="str">
        <f t="shared" si="6"/>
        <v>=9.701*100000000</v>
      </c>
      <c r="R41" s="11">
        <f>9.701*100000000</f>
        <v>970100000</v>
      </c>
      <c r="S41" s="8">
        <f t="shared" si="7"/>
        <v>-0.38601265822784808</v>
      </c>
      <c r="T41" s="6" t="s">
        <v>614</v>
      </c>
      <c r="U41" s="6" t="str">
        <f t="shared" si="8"/>
        <v>=15.80*100000000</v>
      </c>
      <c r="V41" s="1">
        <f>15.8*100000000</f>
        <v>1580000000</v>
      </c>
      <c r="W41" s="8">
        <f t="shared" si="9"/>
        <v>0.36796536796536794</v>
      </c>
      <c r="X41" s="6" t="s">
        <v>615</v>
      </c>
      <c r="Y41" s="6" t="str">
        <f t="shared" si="10"/>
        <v>=11.55*100000000</v>
      </c>
      <c r="Z41" s="1">
        <f>11.55*100000000</f>
        <v>1155000000</v>
      </c>
      <c r="AA41" s="8">
        <f t="shared" si="11"/>
        <v>0.77856482907299041</v>
      </c>
      <c r="AB41" s="6" t="s">
        <v>616</v>
      </c>
      <c r="AC41" s="6" t="str">
        <f t="shared" si="12"/>
        <v>=6.494*100000000</v>
      </c>
      <c r="AD41" s="1">
        <f>6.494*100000000</f>
        <v>649400000</v>
      </c>
      <c r="AE41" s="8">
        <f t="shared" si="13"/>
        <v>3.141581632653061</v>
      </c>
      <c r="AF41" s="6" t="s">
        <v>617</v>
      </c>
      <c r="AG41" s="6" t="str">
        <f t="shared" si="14"/>
        <v>=1.568*100000000</v>
      </c>
      <c r="AH41" s="1">
        <f>1.568*100000000</f>
        <v>156800000</v>
      </c>
      <c r="AI41" s="8">
        <f t="shared" si="15"/>
        <v>-0.82687424091862649</v>
      </c>
      <c r="AJ41" s="6" t="s">
        <v>618</v>
      </c>
      <c r="AK41" s="6" t="str">
        <f t="shared" si="16"/>
        <v>=9.057*100000000</v>
      </c>
      <c r="AL41" s="1">
        <f>9.057*100000000</f>
        <v>905700000</v>
      </c>
      <c r="AM41" s="8">
        <f t="shared" si="17"/>
        <v>0.2197979797979798</v>
      </c>
      <c r="AN41" s="6" t="s">
        <v>619</v>
      </c>
      <c r="AO41" s="6" t="str">
        <f t="shared" si="18"/>
        <v>=7.425*100000000</v>
      </c>
      <c r="AP41" s="1">
        <f>7.425*100000000</f>
        <v>742500000</v>
      </c>
      <c r="AQ41" s="8">
        <f t="shared" si="19"/>
        <v>6.5067100447336315E-3</v>
      </c>
      <c r="AR41" s="6" t="s">
        <v>620</v>
      </c>
      <c r="AS41" s="6" t="str">
        <f t="shared" si="20"/>
        <v>=7.377*100000000</v>
      </c>
      <c r="AT41" s="1">
        <f>7.377*100000000</f>
        <v>737700000</v>
      </c>
      <c r="AU41" s="8">
        <f t="shared" si="21"/>
        <v>3.5905413814561293</v>
      </c>
      <c r="AV41" s="6" t="s">
        <v>621</v>
      </c>
      <c r="AW41" s="6" t="str">
        <f t="shared" si="22"/>
        <v>=1.607*100000000</v>
      </c>
      <c r="AX41" s="1">
        <f>1.607*100000000</f>
        <v>160700000</v>
      </c>
      <c r="AY41" s="10">
        <f t="shared" si="23"/>
        <v>-0.93129542539546817</v>
      </c>
      <c r="AZ41" s="6" t="s">
        <v>622</v>
      </c>
      <c r="BA41" s="6" t="str">
        <f t="shared" si="24"/>
        <v>=23.39*100000000</v>
      </c>
      <c r="BB41" s="1">
        <f>23.39*100000000</f>
        <v>2339000000</v>
      </c>
      <c r="BC41" s="8">
        <f t="shared" si="25"/>
        <v>-0.10038461538461538</v>
      </c>
      <c r="BD41" s="6" t="s">
        <v>623</v>
      </c>
      <c r="BE41" s="6" t="str">
        <f t="shared" si="26"/>
        <v>=26.00*100000000</v>
      </c>
      <c r="BF41" s="1">
        <f>26*100000000</f>
        <v>2600000000</v>
      </c>
      <c r="BG41" s="8">
        <f t="shared" si="27"/>
        <v>0.50375939849624063</v>
      </c>
      <c r="BH41" s="6" t="s">
        <v>624</v>
      </c>
      <c r="BI41" s="6" t="str">
        <f t="shared" si="28"/>
        <v>=17.29*100000000</v>
      </c>
      <c r="BJ41" s="1">
        <f>17.29*100000000</f>
        <v>1729000000</v>
      </c>
      <c r="BK41" s="6" t="s">
        <v>625</v>
      </c>
      <c r="BL41" s="1" t="str">
        <f t="shared" si="1"/>
        <v>=6.290*100000000</v>
      </c>
      <c r="BM41" s="16">
        <f t="shared" si="29"/>
        <v>1.7488076311605723</v>
      </c>
      <c r="BN41" s="1">
        <f>6.29*100000000</f>
        <v>629000000</v>
      </c>
    </row>
    <row r="42" spans="1:66">
      <c r="A42" s="17">
        <v>11</v>
      </c>
      <c r="B42">
        <v>600026</v>
      </c>
      <c r="C42" t="s">
        <v>31</v>
      </c>
      <c r="D42" s="6" t="s">
        <v>626</v>
      </c>
      <c r="E42" s="7" t="str">
        <f t="shared" si="0"/>
        <v>=127.0*100000000</v>
      </c>
      <c r="F42" s="1">
        <f>127*100000000</f>
        <v>12700000000</v>
      </c>
      <c r="G42" s="8">
        <f t="shared" si="2"/>
        <v>0.36735572782084408</v>
      </c>
      <c r="H42" s="6" t="s">
        <v>627</v>
      </c>
      <c r="I42" s="6" t="str">
        <f t="shared" si="30"/>
        <v>=92.88*100000000</v>
      </c>
      <c r="J42" s="1">
        <f>92.88*100000000</f>
        <v>9288000000</v>
      </c>
      <c r="K42" s="10">
        <f t="shared" si="3"/>
        <v>0.51888798037612427</v>
      </c>
      <c r="L42" s="6" t="s">
        <v>628</v>
      </c>
      <c r="M42" s="6" t="str">
        <f t="shared" si="4"/>
        <v>=61.15*100000000</v>
      </c>
      <c r="N42" s="1">
        <f>61.15*100000000</f>
        <v>6115000000</v>
      </c>
      <c r="O42" s="8">
        <f t="shared" si="5"/>
        <v>0.98732531686707836</v>
      </c>
      <c r="P42" s="6" t="s">
        <v>629</v>
      </c>
      <c r="Q42" s="6" t="str">
        <f t="shared" si="6"/>
        <v>=30.77*100000000</v>
      </c>
      <c r="R42" s="11">
        <f>30.77*100000000</f>
        <v>3077000000</v>
      </c>
      <c r="S42" s="8">
        <f t="shared" si="7"/>
        <v>-0.81214896214896215</v>
      </c>
      <c r="T42" s="6" t="s">
        <v>630</v>
      </c>
      <c r="U42" s="6" t="str">
        <f t="shared" si="8"/>
        <v>=163.8*100000000</v>
      </c>
      <c r="V42" s="1">
        <f>163.8*100000000</f>
        <v>16380000000.000002</v>
      </c>
      <c r="W42" s="8">
        <f t="shared" si="9"/>
        <v>0.23250564334085794</v>
      </c>
      <c r="X42" s="6" t="s">
        <v>631</v>
      </c>
      <c r="Y42" s="6" t="str">
        <f t="shared" si="10"/>
        <v>=132.9*100000000</v>
      </c>
      <c r="Z42" s="1">
        <f>132.9*100000000</f>
        <v>13290000000</v>
      </c>
      <c r="AA42" s="8">
        <f t="shared" si="11"/>
        <v>0.36140135218192992</v>
      </c>
      <c r="AB42" s="6" t="s">
        <v>632</v>
      </c>
      <c r="AC42" s="6" t="str">
        <f t="shared" si="12"/>
        <v>=97.62*100000000</v>
      </c>
      <c r="AD42" s="1">
        <f>97.62*100000000</f>
        <v>9762000000</v>
      </c>
      <c r="AE42" s="8">
        <f t="shared" si="13"/>
        <v>1.3997050147492625</v>
      </c>
      <c r="AF42" s="6" t="s">
        <v>633</v>
      </c>
      <c r="AG42" s="6" t="str">
        <f t="shared" si="14"/>
        <v>=40.68*100000000</v>
      </c>
      <c r="AH42" s="1">
        <f>40.68*100000000</f>
        <v>4068000000</v>
      </c>
      <c r="AI42" s="8">
        <f t="shared" si="15"/>
        <v>-0.70691642651296838</v>
      </c>
      <c r="AJ42" s="6" t="s">
        <v>634</v>
      </c>
      <c r="AK42" s="6" t="str">
        <f t="shared" si="16"/>
        <v>=138.8*100000000</v>
      </c>
      <c r="AL42" s="1">
        <f>138.8*100000000</f>
        <v>13880000000.000002</v>
      </c>
      <c r="AM42" s="8">
        <f t="shared" si="17"/>
        <v>0.318138651471985</v>
      </c>
      <c r="AN42" s="6" t="s">
        <v>635</v>
      </c>
      <c r="AO42" s="6" t="str">
        <f t="shared" si="18"/>
        <v>=105.3*100000000</v>
      </c>
      <c r="AP42" s="1">
        <f>105.3*100000000</f>
        <v>10530000000</v>
      </c>
      <c r="AQ42" s="8">
        <f t="shared" si="19"/>
        <v>0.47520313813393106</v>
      </c>
      <c r="AR42" s="6" t="s">
        <v>636</v>
      </c>
      <c r="AS42" s="6" t="str">
        <f t="shared" si="20"/>
        <v>=71.38*100000000</v>
      </c>
      <c r="AT42" s="1">
        <f>71.38*100000000</f>
        <v>7138000000</v>
      </c>
      <c r="AU42" s="8">
        <f t="shared" si="21"/>
        <v>0.85498960498960519</v>
      </c>
      <c r="AV42" s="6" t="s">
        <v>637</v>
      </c>
      <c r="AW42" s="6" t="str">
        <f t="shared" si="22"/>
        <v>=38.48*100000000</v>
      </c>
      <c r="AX42" s="1">
        <f>38.48*100000000</f>
        <v>3847999999.9999995</v>
      </c>
      <c r="AY42" s="10">
        <f t="shared" si="23"/>
        <v>-0.68689991863303501</v>
      </c>
      <c r="AZ42" s="6" t="s">
        <v>638</v>
      </c>
      <c r="BA42" s="6" t="str">
        <f t="shared" si="24"/>
        <v>=122.9*100000000</v>
      </c>
      <c r="BB42" s="1">
        <f>122.9*100000000</f>
        <v>12290000000</v>
      </c>
      <c r="BC42" s="8">
        <f t="shared" si="25"/>
        <v>0.48000963391136786</v>
      </c>
      <c r="BD42" s="6" t="s">
        <v>639</v>
      </c>
      <c r="BE42" s="6" t="str">
        <f t="shared" si="26"/>
        <v>=83.04*100000000</v>
      </c>
      <c r="BF42" s="1">
        <f>83.04*100000000</f>
        <v>8304000000.000001</v>
      </c>
      <c r="BG42" s="8">
        <f t="shared" si="27"/>
        <v>0.61997658993367166</v>
      </c>
      <c r="BH42" s="6" t="s">
        <v>640</v>
      </c>
      <c r="BI42" s="6" t="str">
        <f t="shared" si="28"/>
        <v>=51.26*100000000</v>
      </c>
      <c r="BJ42" s="1">
        <f>51.26*100000000</f>
        <v>5126000000</v>
      </c>
      <c r="BK42" s="6" t="s">
        <v>641</v>
      </c>
      <c r="BL42" s="1" t="str">
        <f t="shared" si="1"/>
        <v>=24.06*100000000</v>
      </c>
      <c r="BM42" s="16">
        <f t="shared" si="29"/>
        <v>1.1305070656691605</v>
      </c>
      <c r="BN42" s="1">
        <f>24.06*100000000</f>
        <v>2406000000</v>
      </c>
    </row>
    <row r="43" spans="1:66">
      <c r="A43" s="18"/>
      <c r="B43">
        <v>600026</v>
      </c>
      <c r="C43" t="s">
        <v>48</v>
      </c>
      <c r="D43" s="6">
        <f>-44.82*100000000</f>
        <v>-4482000000</v>
      </c>
      <c r="E43" s="7" t="str">
        <f t="shared" si="0"/>
        <v>=-4482000000</v>
      </c>
      <c r="F43" s="1">
        <f>-4482000000</f>
        <v>-4482000000</v>
      </c>
      <c r="G43" s="8">
        <f t="shared" si="2"/>
        <v>-6.2897438923639788</v>
      </c>
      <c r="H43" s="6" t="s">
        <v>642</v>
      </c>
      <c r="I43" s="6" t="str">
        <f t="shared" si="30"/>
        <v>=8.473*100000000</v>
      </c>
      <c r="J43" s="1">
        <f>8.473*100000000</f>
        <v>847300000.00000012</v>
      </c>
      <c r="K43" s="10">
        <f t="shared" si="3"/>
        <v>-9.7007947639080917E-3</v>
      </c>
      <c r="L43" s="6" t="s">
        <v>643</v>
      </c>
      <c r="M43" s="6" t="str">
        <f t="shared" si="4"/>
        <v>=8.556*100000000</v>
      </c>
      <c r="N43" s="1">
        <f>8.556*100000000</f>
        <v>855599999.99999988</v>
      </c>
      <c r="O43" s="8">
        <f t="shared" si="5"/>
        <v>0.79596977329974783</v>
      </c>
      <c r="P43" s="6" t="s">
        <v>644</v>
      </c>
      <c r="Q43" s="6" t="str">
        <f t="shared" si="6"/>
        <v>=4.764*100000000</v>
      </c>
      <c r="R43" s="11">
        <f>4.764*100000000</f>
        <v>476400000</v>
      </c>
      <c r="S43" s="8">
        <f t="shared" si="7"/>
        <v>-0.83504155124653745</v>
      </c>
      <c r="T43" s="6" t="s">
        <v>645</v>
      </c>
      <c r="U43" s="6" t="str">
        <f t="shared" si="8"/>
        <v>=28.88*100000000</v>
      </c>
      <c r="V43" s="1">
        <f>28.88*100000000</f>
        <v>2888000000</v>
      </c>
      <c r="W43" s="8">
        <f t="shared" si="9"/>
        <v>-0.23027718550106618</v>
      </c>
      <c r="X43" s="6" t="s">
        <v>646</v>
      </c>
      <c r="Y43" s="6" t="str">
        <f t="shared" si="10"/>
        <v>=37.52*100000000</v>
      </c>
      <c r="Z43" s="1">
        <f>37.52*100000000</f>
        <v>3752000000.0000005</v>
      </c>
      <c r="AA43" s="8">
        <f t="shared" si="11"/>
        <v>0.15410642879114134</v>
      </c>
      <c r="AB43" s="6" t="s">
        <v>647</v>
      </c>
      <c r="AC43" s="6" t="str">
        <f t="shared" si="12"/>
        <v>=32.51*100000000</v>
      </c>
      <c r="AD43" s="1">
        <f>32.51*100000000</f>
        <v>3251000000</v>
      </c>
      <c r="AE43" s="8">
        <f t="shared" si="13"/>
        <v>3.2692055154300723</v>
      </c>
      <c r="AF43" s="6" t="s">
        <v>648</v>
      </c>
      <c r="AG43" s="6" t="str">
        <f t="shared" si="14"/>
        <v>=7.615*100000000</v>
      </c>
      <c r="AH43" s="1">
        <f>7.615*100000000</f>
        <v>761500000</v>
      </c>
      <c r="AI43" s="8">
        <f t="shared" si="15"/>
        <v>-0.29228624535315983</v>
      </c>
      <c r="AJ43" s="6" t="s">
        <v>649</v>
      </c>
      <c r="AK43" s="6" t="str">
        <f t="shared" si="16"/>
        <v>=10.76*100000000</v>
      </c>
      <c r="AL43" s="1">
        <f>10.76*100000000</f>
        <v>1076000000</v>
      </c>
      <c r="AM43" s="8">
        <f t="shared" si="17"/>
        <v>0.14212928563846741</v>
      </c>
      <c r="AN43" s="6" t="s">
        <v>650</v>
      </c>
      <c r="AO43" s="6" t="str">
        <f t="shared" si="18"/>
        <v>=9.421*100000000</v>
      </c>
      <c r="AP43" s="1">
        <f>9.421*100000000</f>
        <v>942099999.99999988</v>
      </c>
      <c r="AQ43" s="8">
        <f t="shared" si="19"/>
        <v>0.34489650249821541</v>
      </c>
      <c r="AR43" s="6" t="s">
        <v>651</v>
      </c>
      <c r="AS43" s="6" t="str">
        <f t="shared" si="20"/>
        <v>=7.005*100000000</v>
      </c>
      <c r="AT43" s="1">
        <f>7.005*100000000</f>
        <v>700500000</v>
      </c>
      <c r="AU43" s="8">
        <f t="shared" si="21"/>
        <v>0.29962894248608535</v>
      </c>
      <c r="AV43" s="6" t="s">
        <v>652</v>
      </c>
      <c r="AW43" s="6" t="str">
        <f t="shared" si="22"/>
        <v>=5.390*100000000</v>
      </c>
      <c r="AX43" s="1">
        <f>5.39*100000000</f>
        <v>539000000</v>
      </c>
      <c r="AY43" s="10">
        <f t="shared" si="23"/>
        <v>0.22000905387052966</v>
      </c>
      <c r="AZ43" s="6" t="s">
        <v>653</v>
      </c>
      <c r="BA43" s="6" t="str">
        <f t="shared" si="24"/>
        <v>=4.418*100000000</v>
      </c>
      <c r="BB43" s="1">
        <f>4.418*100000000</f>
        <v>441800000</v>
      </c>
      <c r="BC43" s="8">
        <f t="shared" si="25"/>
        <v>-24.42523860021209</v>
      </c>
      <c r="BD43" s="7">
        <f>-1886*10000</f>
        <v>-18860000</v>
      </c>
      <c r="BE43" s="6" t="str">
        <f t="shared" si="26"/>
        <v>=-18860000</v>
      </c>
      <c r="BF43" s="1">
        <f>-18860000</f>
        <v>-18860000</v>
      </c>
      <c r="BG43" s="8">
        <f t="shared" si="27"/>
        <v>-0.75118733509234825</v>
      </c>
      <c r="BH43" s="7">
        <f>-7580*10000</f>
        <v>-75800000</v>
      </c>
      <c r="BI43" s="6" t="str">
        <f t="shared" si="28"/>
        <v>=-75800000</v>
      </c>
      <c r="BJ43" s="1">
        <f>-75800000</f>
        <v>-75800000</v>
      </c>
      <c r="BK43" s="7">
        <f>-4153*10000</f>
        <v>-41530000</v>
      </c>
      <c r="BL43" s="1" t="str">
        <f t="shared" si="1"/>
        <v>=-41530000</v>
      </c>
      <c r="BM43" s="16">
        <f t="shared" si="29"/>
        <v>0.82518661208764743</v>
      </c>
      <c r="BN43" s="1">
        <f>-41530000</f>
        <v>-41530000</v>
      </c>
    </row>
    <row r="44" spans="1:66">
      <c r="A44" s="18"/>
      <c r="B44">
        <v>600026</v>
      </c>
      <c r="C44" t="s">
        <v>58</v>
      </c>
      <c r="D44" s="6">
        <f>-45.17*100000000</f>
        <v>-4517000000</v>
      </c>
      <c r="E44" s="7" t="str">
        <f t="shared" si="0"/>
        <v>=-4517000000</v>
      </c>
      <c r="F44" s="1">
        <f>-4517000000</f>
        <v>-4517000000</v>
      </c>
      <c r="G44" s="8">
        <f t="shared" si="2"/>
        <v>-6.4375827615264232</v>
      </c>
      <c r="H44" s="6" t="s">
        <v>654</v>
      </c>
      <c r="I44" s="6" t="str">
        <f t="shared" si="30"/>
        <v>=8.307*100000000</v>
      </c>
      <c r="J44" s="1">
        <f>8.307*100000000</f>
        <v>830700000</v>
      </c>
      <c r="K44" s="10">
        <f t="shared" si="3"/>
        <v>-7.4082925080654798E-3</v>
      </c>
      <c r="L44" s="6" t="s">
        <v>655</v>
      </c>
      <c r="M44" s="6" t="str">
        <f t="shared" si="4"/>
        <v>=8.369*100000000</v>
      </c>
      <c r="N44" s="1">
        <f>8.369*100000000</f>
        <v>836900000</v>
      </c>
      <c r="O44" s="8">
        <f t="shared" si="5"/>
        <v>0.75671704450041977</v>
      </c>
      <c r="P44" s="6" t="s">
        <v>644</v>
      </c>
      <c r="Q44" s="6" t="str">
        <f t="shared" si="6"/>
        <v>=4.764*100000000</v>
      </c>
      <c r="R44" s="11">
        <f>4.764*100000000</f>
        <v>476400000</v>
      </c>
      <c r="S44" s="8">
        <f t="shared" si="7"/>
        <v>-0.83544041450777207</v>
      </c>
      <c r="T44" s="6" t="s">
        <v>656</v>
      </c>
      <c r="U44" s="6" t="str">
        <f t="shared" si="8"/>
        <v>=28.95*100000000</v>
      </c>
      <c r="V44" s="1">
        <f>28.95*100000000</f>
        <v>2895000000</v>
      </c>
      <c r="W44" s="8">
        <f t="shared" si="9"/>
        <v>-0.22902796271637807</v>
      </c>
      <c r="X44" s="6" t="s">
        <v>657</v>
      </c>
      <c r="Y44" s="6" t="str">
        <f t="shared" si="10"/>
        <v>=37.55*100000000</v>
      </c>
      <c r="Z44" s="1">
        <f>37.55*100000000</f>
        <v>3754999999.9999995</v>
      </c>
      <c r="AA44" s="8">
        <f t="shared" si="11"/>
        <v>0.15645210963966724</v>
      </c>
      <c r="AB44" s="6" t="s">
        <v>658</v>
      </c>
      <c r="AC44" s="6" t="str">
        <f t="shared" si="12"/>
        <v>=32.47*100000000</v>
      </c>
      <c r="AD44" s="1">
        <f>32.47*100000000</f>
        <v>3247000000</v>
      </c>
      <c r="AE44" s="8">
        <f t="shared" si="13"/>
        <v>3.2572440015733579</v>
      </c>
      <c r="AF44" s="6" t="s">
        <v>659</v>
      </c>
      <c r="AG44" s="6" t="str">
        <f t="shared" si="14"/>
        <v>=7.627*100000000</v>
      </c>
      <c r="AH44" s="1">
        <f>7.627*100000000</f>
        <v>762700000</v>
      </c>
      <c r="AI44" s="8">
        <f t="shared" si="15"/>
        <v>-0.25225490196078421</v>
      </c>
      <c r="AJ44" s="6" t="s">
        <v>660</v>
      </c>
      <c r="AK44" s="6" t="str">
        <f t="shared" si="16"/>
        <v>=10.20*100000000</v>
      </c>
      <c r="AL44" s="1">
        <f>10.2*100000000</f>
        <v>1019999999.9999999</v>
      </c>
      <c r="AM44" s="8">
        <f t="shared" si="17"/>
        <v>8.6609140300415347E-2</v>
      </c>
      <c r="AN44" s="6" t="s">
        <v>661</v>
      </c>
      <c r="AO44" s="6" t="str">
        <f t="shared" si="18"/>
        <v>=9.387*100000000</v>
      </c>
      <c r="AP44" s="1">
        <f>9.387*100000000</f>
        <v>938700000</v>
      </c>
      <c r="AQ44" s="8">
        <f t="shared" si="19"/>
        <v>0.34890070412415575</v>
      </c>
      <c r="AR44" s="6" t="s">
        <v>662</v>
      </c>
      <c r="AS44" s="6" t="str">
        <f t="shared" si="20"/>
        <v>=6.959*100000000</v>
      </c>
      <c r="AT44" s="1">
        <f>6.959*100000000</f>
        <v>695900000</v>
      </c>
      <c r="AU44" s="8">
        <f t="shared" si="21"/>
        <v>0.28465940557504155</v>
      </c>
      <c r="AV44" s="6" t="s">
        <v>663</v>
      </c>
      <c r="AW44" s="6" t="str">
        <f t="shared" si="22"/>
        <v>=5.417*100000000</v>
      </c>
      <c r="AX44" s="1">
        <f>5.417*100000000</f>
        <v>541700000</v>
      </c>
      <c r="AY44" s="10">
        <f t="shared" si="23"/>
        <v>0.22142051860202946</v>
      </c>
      <c r="AZ44" s="6" t="s">
        <v>664</v>
      </c>
      <c r="BA44" s="6" t="str">
        <f t="shared" si="24"/>
        <v>=4.435*100000000</v>
      </c>
      <c r="BB44" s="1">
        <f>4.435*100000000</f>
        <v>443499999.99999994</v>
      </c>
      <c r="BC44" s="8">
        <f t="shared" si="25"/>
        <v>-35.167950693374415</v>
      </c>
      <c r="BD44" s="7">
        <f>-1298*10000</f>
        <v>-12980000</v>
      </c>
      <c r="BE44" s="6" t="str">
        <f t="shared" si="26"/>
        <v>=-12980000</v>
      </c>
      <c r="BF44" s="1">
        <f>-12980000</f>
        <v>-12980000</v>
      </c>
      <c r="BG44" s="8">
        <f t="shared" si="27"/>
        <v>-0.83068092877641531</v>
      </c>
      <c r="BH44" s="7">
        <f>-7666*10000</f>
        <v>-76660000</v>
      </c>
      <c r="BI44" s="6" t="str">
        <f t="shared" si="28"/>
        <v>=-76660000</v>
      </c>
      <c r="BJ44" s="1">
        <f>-76660000</f>
        <v>-76660000</v>
      </c>
      <c r="BK44" s="7">
        <f>-4063*10000</f>
        <v>-40630000</v>
      </c>
      <c r="BL44" s="1" t="str">
        <f t="shared" si="1"/>
        <v>=-40630000</v>
      </c>
      <c r="BM44" s="16">
        <f t="shared" si="29"/>
        <v>0.88678316514890476</v>
      </c>
      <c r="BN44" s="1">
        <f>-40630000</f>
        <v>-40630000</v>
      </c>
    </row>
    <row r="45" spans="1:66">
      <c r="A45" s="19"/>
      <c r="B45">
        <v>600026</v>
      </c>
      <c r="C45" t="s">
        <v>68</v>
      </c>
      <c r="D45" s="6">
        <f>-46.57*100000000</f>
        <v>-4657000000</v>
      </c>
      <c r="E45" s="7" t="str">
        <f t="shared" si="0"/>
        <v>=-4657000000</v>
      </c>
      <c r="F45" s="1">
        <f>-4657000000</f>
        <v>-4657000000</v>
      </c>
      <c r="G45" s="8">
        <f t="shared" si="2"/>
        <v>-7.8870156758355519</v>
      </c>
      <c r="H45" s="6" t="s">
        <v>665</v>
      </c>
      <c r="I45" s="6" t="str">
        <f t="shared" si="30"/>
        <v>=6.762*100000000</v>
      </c>
      <c r="J45" s="1">
        <f>6.762*100000000</f>
        <v>676200000</v>
      </c>
      <c r="K45" s="10">
        <f t="shared" si="3"/>
        <v>-4.1530829199149542E-2</v>
      </c>
      <c r="L45" s="6" t="s">
        <v>666</v>
      </c>
      <c r="M45" s="6" t="str">
        <f t="shared" si="4"/>
        <v>=7.055*100000000</v>
      </c>
      <c r="N45" s="1">
        <f>7.055*100000000</f>
        <v>705500000</v>
      </c>
      <c r="O45" s="8">
        <f t="shared" si="5"/>
        <v>0.75062034739454098</v>
      </c>
      <c r="P45" s="6" t="s">
        <v>667</v>
      </c>
      <c r="Q45" s="6" t="str">
        <f t="shared" si="6"/>
        <v>=4.030*100000000</v>
      </c>
      <c r="R45" s="11">
        <f>4.03*100000000</f>
        <v>403000000</v>
      </c>
      <c r="S45" s="8">
        <f t="shared" si="7"/>
        <v>-0.8463591307662981</v>
      </c>
      <c r="T45" s="6" t="s">
        <v>668</v>
      </c>
      <c r="U45" s="6" t="str">
        <f t="shared" si="8"/>
        <v>=26.23*100000000</v>
      </c>
      <c r="V45" s="1">
        <f>26.23*100000000</f>
        <v>2623000000</v>
      </c>
      <c r="W45" s="8">
        <f t="shared" si="9"/>
        <v>-0.25630847745959751</v>
      </c>
      <c r="X45" s="6" t="s">
        <v>669</v>
      </c>
      <c r="Y45" s="6" t="str">
        <f t="shared" si="10"/>
        <v>=35.27*100000000</v>
      </c>
      <c r="Z45" s="1">
        <f>35.27*100000000</f>
        <v>3527000000.0000005</v>
      </c>
      <c r="AA45" s="8">
        <f t="shared" si="11"/>
        <v>0.1575319986872335</v>
      </c>
      <c r="AB45" s="6" t="s">
        <v>670</v>
      </c>
      <c r="AC45" s="6" t="str">
        <f t="shared" si="12"/>
        <v>=30.47*100000000</v>
      </c>
      <c r="AD45" s="1">
        <f>30.47*100000000</f>
        <v>3047000000</v>
      </c>
      <c r="AE45" s="8">
        <f t="shared" si="13"/>
        <v>3.5134054214190491</v>
      </c>
      <c r="AF45" s="6" t="s">
        <v>671</v>
      </c>
      <c r="AG45" s="6" t="str">
        <f t="shared" si="14"/>
        <v>=6.751*100000000</v>
      </c>
      <c r="AH45" s="1">
        <f>6.751*100000000</f>
        <v>675100000</v>
      </c>
      <c r="AI45" s="8">
        <f t="shared" si="15"/>
        <v>-2.0742674789672177E-2</v>
      </c>
      <c r="AJ45" s="6" t="s">
        <v>672</v>
      </c>
      <c r="AK45" s="6" t="str">
        <f t="shared" si="16"/>
        <v>=6.894*100000000</v>
      </c>
      <c r="AL45" s="1">
        <f>6.894*100000000</f>
        <v>689400000</v>
      </c>
      <c r="AM45" s="8">
        <f t="shared" si="17"/>
        <v>-0.13326628111641942</v>
      </c>
      <c r="AN45" s="6" t="s">
        <v>673</v>
      </c>
      <c r="AO45" s="6" t="str">
        <f t="shared" si="18"/>
        <v>=7.954*100000000</v>
      </c>
      <c r="AP45" s="1">
        <f>7.954*100000000</f>
        <v>795400000</v>
      </c>
      <c r="AQ45" s="8">
        <f t="shared" si="19"/>
        <v>0.30736357659434582</v>
      </c>
      <c r="AR45" s="6" t="s">
        <v>674</v>
      </c>
      <c r="AS45" s="6" t="str">
        <f t="shared" si="20"/>
        <v>=6.084*100000000</v>
      </c>
      <c r="AT45" s="1">
        <f>6.084*100000000</f>
        <v>608400000</v>
      </c>
      <c r="AU45" s="8">
        <f t="shared" si="21"/>
        <v>0.21219366407650928</v>
      </c>
      <c r="AV45" s="6" t="s">
        <v>354</v>
      </c>
      <c r="AW45" s="6" t="str">
        <f t="shared" si="22"/>
        <v>=5.019*100000000</v>
      </c>
      <c r="AX45" s="1">
        <f>5.019*100000000</f>
        <v>501900000</v>
      </c>
      <c r="AY45" s="10">
        <f t="shared" si="23"/>
        <v>0.54955233096634759</v>
      </c>
      <c r="AZ45" s="6" t="s">
        <v>675</v>
      </c>
      <c r="BA45" s="6" t="str">
        <f t="shared" si="24"/>
        <v>=3.239*100000000</v>
      </c>
      <c r="BB45" s="1">
        <f>3.239*100000000</f>
        <v>323900000</v>
      </c>
      <c r="BC45" s="8">
        <f t="shared" si="25"/>
        <v>-4.0995215311004785</v>
      </c>
      <c r="BD45" s="6">
        <f>-1.045*100000000</f>
        <v>-104500000</v>
      </c>
      <c r="BE45" s="6" t="str">
        <f t="shared" si="26"/>
        <v>=-104500000</v>
      </c>
      <c r="BF45" s="1">
        <f>-104500000</f>
        <v>-104500000</v>
      </c>
      <c r="BG45" s="8">
        <f t="shared" si="27"/>
        <v>-0.17781274586939419</v>
      </c>
      <c r="BH45" s="6">
        <f>-1.271*100000000</f>
        <v>-127099999.99999999</v>
      </c>
      <c r="BI45" s="6" t="str">
        <f t="shared" si="28"/>
        <v>=-127100000</v>
      </c>
      <c r="BJ45" s="1">
        <f>-127100000</f>
        <v>-127100000</v>
      </c>
      <c r="BK45" s="7">
        <f>-5038*10000</f>
        <v>-50380000</v>
      </c>
      <c r="BL45" s="1" t="str">
        <f t="shared" si="1"/>
        <v>=-50380000</v>
      </c>
      <c r="BM45" s="16">
        <f t="shared" si="29"/>
        <v>1.5228265184597063</v>
      </c>
      <c r="BN45" s="1">
        <f>-50380000</f>
        <v>-50380000</v>
      </c>
    </row>
    <row r="46" spans="1:66">
      <c r="A46" s="17">
        <v>12</v>
      </c>
      <c r="B46">
        <v>600027</v>
      </c>
      <c r="C46" t="s">
        <v>31</v>
      </c>
      <c r="D46" s="6" t="s">
        <v>676</v>
      </c>
      <c r="E46" s="7" t="str">
        <f t="shared" si="0"/>
        <v>=1044*100000000</v>
      </c>
      <c r="F46" s="1">
        <f>1044*100000000</f>
        <v>104400000000</v>
      </c>
      <c r="G46" s="8">
        <f t="shared" si="2"/>
        <v>0.33846153846153848</v>
      </c>
      <c r="H46" s="6" t="s">
        <v>677</v>
      </c>
      <c r="I46" s="6" t="str">
        <f t="shared" si="30"/>
        <v>=780.0*100000000</v>
      </c>
      <c r="J46" s="1">
        <f>780*100000000</f>
        <v>78000000000</v>
      </c>
      <c r="K46" s="10">
        <f t="shared" si="3"/>
        <v>0.45848915482423358</v>
      </c>
      <c r="L46" s="6" t="s">
        <v>678</v>
      </c>
      <c r="M46" s="6" t="str">
        <f t="shared" si="4"/>
        <v>=534.8*100000000</v>
      </c>
      <c r="N46" s="1">
        <f>534.8*100000000</f>
        <v>53479999999.999992</v>
      </c>
      <c r="O46" s="8">
        <f t="shared" si="5"/>
        <v>0.82775119617224835</v>
      </c>
      <c r="P46" s="6" t="s">
        <v>679</v>
      </c>
      <c r="Q46" s="6" t="str">
        <f t="shared" si="6"/>
        <v>=292.6*100000000</v>
      </c>
      <c r="R46" s="11">
        <f>292.6*100000000</f>
        <v>29260000000.000004</v>
      </c>
      <c r="S46" s="8">
        <f t="shared" si="7"/>
        <v>-0.6854101709493603</v>
      </c>
      <c r="T46" s="6" t="s">
        <v>680</v>
      </c>
      <c r="U46" s="6" t="str">
        <f t="shared" si="8"/>
        <v>=930.1*100000000</v>
      </c>
      <c r="V46" s="1">
        <f>930.1*100000000</f>
        <v>93010000000</v>
      </c>
      <c r="W46" s="8">
        <f t="shared" si="9"/>
        <v>0.42282392534801883</v>
      </c>
      <c r="X46" s="6" t="s">
        <v>681</v>
      </c>
      <c r="Y46" s="6" t="str">
        <f t="shared" si="10"/>
        <v>=653.7*100000000</v>
      </c>
      <c r="Z46" s="1">
        <f>653.7*100000000</f>
        <v>65370000000.000008</v>
      </c>
      <c r="AA46" s="8">
        <f t="shared" si="11"/>
        <v>0.57404286058271148</v>
      </c>
      <c r="AB46" s="6" t="s">
        <v>682</v>
      </c>
      <c r="AC46" s="6" t="str">
        <f t="shared" si="12"/>
        <v>=415.3*100000000</v>
      </c>
      <c r="AD46" s="1">
        <f>415.3*100000000</f>
        <v>41530000000</v>
      </c>
      <c r="AE46" s="8">
        <f t="shared" si="13"/>
        <v>0.87748643761301992</v>
      </c>
      <c r="AF46" s="6" t="s">
        <v>683</v>
      </c>
      <c r="AG46" s="6" t="str">
        <f t="shared" si="14"/>
        <v>=221.2*100000000</v>
      </c>
      <c r="AH46" s="1">
        <f>221.2*100000000</f>
        <v>22120000000</v>
      </c>
      <c r="AI46" s="8">
        <f t="shared" si="15"/>
        <v>-0.76380138814735721</v>
      </c>
      <c r="AJ46" s="6" t="s">
        <v>684</v>
      </c>
      <c r="AK46" s="6" t="str">
        <f t="shared" si="16"/>
        <v>=936.5*100000000</v>
      </c>
      <c r="AL46" s="1">
        <f>936.5*100000000</f>
        <v>93650000000</v>
      </c>
      <c r="AM46" s="8">
        <f t="shared" si="17"/>
        <v>0.38823006225911649</v>
      </c>
      <c r="AN46" s="6" t="s">
        <v>685</v>
      </c>
      <c r="AO46" s="6" t="str">
        <f t="shared" si="18"/>
        <v>=674.6*100000000</v>
      </c>
      <c r="AP46" s="1">
        <f>674.6*100000000</f>
        <v>67460000000</v>
      </c>
      <c r="AQ46" s="8">
        <f t="shared" si="19"/>
        <v>0.52831898504757591</v>
      </c>
      <c r="AR46" s="6" t="s">
        <v>686</v>
      </c>
      <c r="AS46" s="6" t="str">
        <f t="shared" si="20"/>
        <v>=441.4*100000000</v>
      </c>
      <c r="AT46" s="1">
        <f>441.4*100000000</f>
        <v>44140000000</v>
      </c>
      <c r="AU46" s="8">
        <f t="shared" si="21"/>
        <v>0.87590310242243941</v>
      </c>
      <c r="AV46" s="6" t="s">
        <v>687</v>
      </c>
      <c r="AW46" s="6" t="str">
        <f t="shared" si="22"/>
        <v>=235.3*100000000</v>
      </c>
      <c r="AX46" s="1">
        <f>235.3*100000000</f>
        <v>23530000000</v>
      </c>
      <c r="AY46" s="10">
        <f t="shared" si="23"/>
        <v>-0.73653566229985445</v>
      </c>
      <c r="AZ46" s="6" t="s">
        <v>688</v>
      </c>
      <c r="BA46" s="6" t="str">
        <f t="shared" si="24"/>
        <v>=893.1*100000000</v>
      </c>
      <c r="BB46" s="1">
        <f>893.1*100000000</f>
        <v>89310000000</v>
      </c>
      <c r="BC46" s="8">
        <f t="shared" si="25"/>
        <v>0.37273286197356287</v>
      </c>
      <c r="BD46" s="6" t="s">
        <v>689</v>
      </c>
      <c r="BE46" s="6" t="str">
        <f t="shared" si="26"/>
        <v>=650.6*100000000</v>
      </c>
      <c r="BF46" s="1">
        <f>650.6*100000000</f>
        <v>65060000000</v>
      </c>
      <c r="BG46" s="8">
        <f t="shared" si="27"/>
        <v>0.56620125180548864</v>
      </c>
      <c r="BH46" s="6" t="s">
        <v>690</v>
      </c>
      <c r="BI46" s="6" t="str">
        <f t="shared" si="28"/>
        <v>=415.4*100000000</v>
      </c>
      <c r="BJ46" s="1">
        <f>415.4*100000000</f>
        <v>41540000000</v>
      </c>
      <c r="BK46" s="6" t="s">
        <v>691</v>
      </c>
      <c r="BL46" s="1" t="str">
        <f t="shared" si="1"/>
        <v>=224.7*100000000</v>
      </c>
      <c r="BM46" s="16">
        <f t="shared" si="29"/>
        <v>0.84868713840676457</v>
      </c>
      <c r="BN46" s="1">
        <f>224.7*100000000</f>
        <v>22470000000</v>
      </c>
    </row>
    <row r="47" spans="1:66">
      <c r="A47" s="18"/>
      <c r="B47">
        <v>600027</v>
      </c>
      <c r="C47" t="s">
        <v>48</v>
      </c>
      <c r="D47" s="6">
        <f>-85.49*100000000</f>
        <v>-8548999999.999999</v>
      </c>
      <c r="E47" s="7" t="str">
        <f t="shared" si="0"/>
        <v>=-8549000000</v>
      </c>
      <c r="F47" s="1">
        <f>-8549000000</f>
        <v>-8549000000</v>
      </c>
      <c r="G47" s="8">
        <f t="shared" si="2"/>
        <v>-5.8573863636363628</v>
      </c>
      <c r="H47" s="6" t="s">
        <v>692</v>
      </c>
      <c r="I47" s="6" t="str">
        <f t="shared" si="30"/>
        <v>=17.60*100000000</v>
      </c>
      <c r="J47" s="1">
        <f>17.6*100000000</f>
        <v>1760000000.0000002</v>
      </c>
      <c r="K47" s="10">
        <f t="shared" si="3"/>
        <v>-0.61739130434782608</v>
      </c>
      <c r="L47" s="6" t="s">
        <v>693</v>
      </c>
      <c r="M47" s="6" t="str">
        <f t="shared" si="4"/>
        <v>=46.00*100000000</v>
      </c>
      <c r="N47" s="1">
        <f>46*100000000</f>
        <v>4600000000</v>
      </c>
      <c r="O47" s="8">
        <f t="shared" si="5"/>
        <v>1.1831988609397248</v>
      </c>
      <c r="P47" s="6" t="s">
        <v>694</v>
      </c>
      <c r="Q47" s="6" t="str">
        <f t="shared" si="6"/>
        <v>=21.07*100000000</v>
      </c>
      <c r="R47" s="11">
        <f>21.07*100000000</f>
        <v>2107000000</v>
      </c>
      <c r="S47" s="8">
        <f t="shared" si="7"/>
        <v>-0.71356715606307775</v>
      </c>
      <c r="T47" s="6" t="s">
        <v>695</v>
      </c>
      <c r="U47" s="6" t="str">
        <f t="shared" si="8"/>
        <v>=73.56*100000000</v>
      </c>
      <c r="V47" s="1">
        <f>73.56*100000000</f>
        <v>7356000000</v>
      </c>
      <c r="W47" s="8">
        <f t="shared" si="9"/>
        <v>0.21626984126984128</v>
      </c>
      <c r="X47" s="6" t="s">
        <v>696</v>
      </c>
      <c r="Y47" s="6" t="str">
        <f t="shared" si="10"/>
        <v>=60.48*100000000</v>
      </c>
      <c r="Z47" s="1">
        <f>60.48*100000000</f>
        <v>6048000000</v>
      </c>
      <c r="AA47" s="8">
        <f t="shared" si="11"/>
        <v>0.57705345501955674</v>
      </c>
      <c r="AB47" s="6" t="s">
        <v>697</v>
      </c>
      <c r="AC47" s="6" t="str">
        <f t="shared" si="12"/>
        <v>=38.35*100000000</v>
      </c>
      <c r="AD47" s="1">
        <f>38.35*100000000</f>
        <v>3835000000</v>
      </c>
      <c r="AE47" s="8">
        <f t="shared" si="13"/>
        <v>0.87714145863925597</v>
      </c>
      <c r="AF47" s="6" t="s">
        <v>698</v>
      </c>
      <c r="AG47" s="6" t="str">
        <f t="shared" si="14"/>
        <v>=20.43*100000000</v>
      </c>
      <c r="AH47" s="1">
        <f>20.43*100000000</f>
        <v>2043000000</v>
      </c>
      <c r="AI47" s="8">
        <f t="shared" si="15"/>
        <v>-0.62807209175314038</v>
      </c>
      <c r="AJ47" s="6" t="s">
        <v>699</v>
      </c>
      <c r="AK47" s="6" t="str">
        <f t="shared" si="16"/>
        <v>=54.93*100000000</v>
      </c>
      <c r="AL47" s="1">
        <f>54.93*100000000</f>
        <v>5493000000</v>
      </c>
      <c r="AM47" s="8">
        <f t="shared" si="17"/>
        <v>0.33066860465116277</v>
      </c>
      <c r="AN47" s="6" t="s">
        <v>700</v>
      </c>
      <c r="AO47" s="6" t="str">
        <f t="shared" si="18"/>
        <v>=41.28*100000000</v>
      </c>
      <c r="AP47" s="1">
        <f>41.28*100000000</f>
        <v>4128000000</v>
      </c>
      <c r="AQ47" s="8">
        <f t="shared" si="19"/>
        <v>0.53058954393770852</v>
      </c>
      <c r="AR47" s="6" t="s">
        <v>701</v>
      </c>
      <c r="AS47" s="6" t="str">
        <f t="shared" si="20"/>
        <v>=26.97*100000000</v>
      </c>
      <c r="AT47" s="1">
        <f>26.97*100000000</f>
        <v>2697000000</v>
      </c>
      <c r="AU47" s="8">
        <f t="shared" si="21"/>
        <v>0.92918454935622319</v>
      </c>
      <c r="AV47" s="6" t="s">
        <v>702</v>
      </c>
      <c r="AW47" s="6" t="str">
        <f t="shared" si="22"/>
        <v>=13.98*100000000</v>
      </c>
      <c r="AX47" s="1">
        <f>13.98*100000000</f>
        <v>1398000000</v>
      </c>
      <c r="AY47" s="10">
        <f t="shared" si="23"/>
        <v>-0.61381215469613259</v>
      </c>
      <c r="AZ47" s="6" t="s">
        <v>703</v>
      </c>
      <c r="BA47" s="6" t="str">
        <f t="shared" si="24"/>
        <v>=36.20*100000000</v>
      </c>
      <c r="BB47" s="1">
        <f>36.2*100000000</f>
        <v>3620000000.0000005</v>
      </c>
      <c r="BC47" s="8">
        <f t="shared" si="25"/>
        <v>0.31684248817751925</v>
      </c>
      <c r="BD47" s="6" t="s">
        <v>704</v>
      </c>
      <c r="BE47" s="6" t="str">
        <f t="shared" si="26"/>
        <v>=27.49*100000000</v>
      </c>
      <c r="BF47" s="1">
        <f>27.49*100000000</f>
        <v>2749000000</v>
      </c>
      <c r="BG47" s="8">
        <f t="shared" si="27"/>
        <v>0.62278630460448614</v>
      </c>
      <c r="BH47" s="6" t="s">
        <v>705</v>
      </c>
      <c r="BI47" s="6" t="str">
        <f t="shared" si="28"/>
        <v>=16.94*100000000</v>
      </c>
      <c r="BJ47" s="1">
        <f>16.94*100000000</f>
        <v>1694000000.0000002</v>
      </c>
      <c r="BK47" s="6" t="s">
        <v>706</v>
      </c>
      <c r="BL47" s="1" t="str">
        <f t="shared" si="1"/>
        <v>=10.40*100000000</v>
      </c>
      <c r="BM47" s="16">
        <f t="shared" si="29"/>
        <v>0.62884615384615405</v>
      </c>
      <c r="BN47" s="1">
        <f>10.4*100000000</f>
        <v>1040000000</v>
      </c>
    </row>
    <row r="48" spans="1:66">
      <c r="A48" s="18"/>
      <c r="B48">
        <v>600027</v>
      </c>
      <c r="C48" t="s">
        <v>58</v>
      </c>
      <c r="D48" s="6">
        <f>-84.26*100000000</f>
        <v>-8426000000.000001</v>
      </c>
      <c r="E48" s="7" t="str">
        <f t="shared" si="0"/>
        <v>=-8426000000</v>
      </c>
      <c r="F48" s="1">
        <f>-8426000000</f>
        <v>-8426000000</v>
      </c>
      <c r="G48" s="8">
        <f t="shared" si="2"/>
        <v>-5.5743756786102052</v>
      </c>
      <c r="H48" s="6" t="s">
        <v>707</v>
      </c>
      <c r="I48" s="6" t="str">
        <f t="shared" si="30"/>
        <v>=18.42*100000000</v>
      </c>
      <c r="J48" s="1">
        <f>18.42*100000000</f>
        <v>1842000000.0000002</v>
      </c>
      <c r="K48" s="10">
        <f t="shared" si="3"/>
        <v>-0.60514469453376207</v>
      </c>
      <c r="L48" s="6" t="s">
        <v>708</v>
      </c>
      <c r="M48" s="6" t="str">
        <f t="shared" si="4"/>
        <v>=46.65*100000000</v>
      </c>
      <c r="N48" s="1">
        <f>46.65*100000000</f>
        <v>4665000000</v>
      </c>
      <c r="O48" s="8">
        <f t="shared" si="5"/>
        <v>1.1567267683772537</v>
      </c>
      <c r="P48" s="6" t="s">
        <v>709</v>
      </c>
      <c r="Q48" s="6" t="str">
        <f t="shared" si="6"/>
        <v>=21.63*100000000</v>
      </c>
      <c r="R48" s="11">
        <f>21.63*100000000</f>
        <v>2163000000</v>
      </c>
      <c r="S48" s="8">
        <f t="shared" si="7"/>
        <v>-0.71703296703296704</v>
      </c>
      <c r="T48" s="6" t="s">
        <v>710</v>
      </c>
      <c r="U48" s="6" t="str">
        <f t="shared" si="8"/>
        <v>=76.44*100000000</v>
      </c>
      <c r="V48" s="1">
        <f>76.44*100000000</f>
        <v>7644000000</v>
      </c>
      <c r="W48" s="8">
        <f t="shared" si="9"/>
        <v>0.1951219512195122</v>
      </c>
      <c r="X48" s="6" t="s">
        <v>711</v>
      </c>
      <c r="Y48" s="6" t="str">
        <f t="shared" si="10"/>
        <v>=63.96*100000000</v>
      </c>
      <c r="Z48" s="1">
        <f>63.96*100000000</f>
        <v>6396000000</v>
      </c>
      <c r="AA48" s="8">
        <f t="shared" si="11"/>
        <v>0.59183673469387754</v>
      </c>
      <c r="AB48" s="6" t="s">
        <v>712</v>
      </c>
      <c r="AC48" s="6" t="str">
        <f t="shared" si="12"/>
        <v>=40.18*100000000</v>
      </c>
      <c r="AD48" s="1">
        <f>40.18*100000000</f>
        <v>4018000000</v>
      </c>
      <c r="AE48" s="8">
        <f t="shared" si="13"/>
        <v>0.93918918918918914</v>
      </c>
      <c r="AF48" s="6" t="s">
        <v>713</v>
      </c>
      <c r="AG48" s="6" t="str">
        <f t="shared" si="14"/>
        <v>=20.72*100000000</v>
      </c>
      <c r="AH48" s="1">
        <f>20.72*100000000</f>
        <v>2072000000</v>
      </c>
      <c r="AI48" s="8">
        <f t="shared" si="15"/>
        <v>-0.62579013906447534</v>
      </c>
      <c r="AJ48" s="6" t="s">
        <v>714</v>
      </c>
      <c r="AK48" s="6" t="str">
        <f t="shared" si="16"/>
        <v>=55.37*100000000</v>
      </c>
      <c r="AL48" s="1">
        <f>55.37*100000000</f>
        <v>5537000000</v>
      </c>
      <c r="AM48" s="8">
        <f t="shared" si="17"/>
        <v>0.3342168674698795</v>
      </c>
      <c r="AN48" s="6" t="s">
        <v>715</v>
      </c>
      <c r="AO48" s="6" t="str">
        <f t="shared" si="18"/>
        <v>=41.50*100000000</v>
      </c>
      <c r="AP48" s="1">
        <f>41.5*100000000</f>
        <v>4150000000</v>
      </c>
      <c r="AQ48" s="8">
        <f t="shared" si="19"/>
        <v>0.52573529411764708</v>
      </c>
      <c r="AR48" s="6" t="s">
        <v>716</v>
      </c>
      <c r="AS48" s="6" t="str">
        <f t="shared" si="20"/>
        <v>=27.20*100000000</v>
      </c>
      <c r="AT48" s="1">
        <f>27.2*100000000</f>
        <v>2720000000</v>
      </c>
      <c r="AU48" s="8">
        <f t="shared" si="21"/>
        <v>0.87586206896551722</v>
      </c>
      <c r="AV48" s="6" t="s">
        <v>717</v>
      </c>
      <c r="AW48" s="6" t="str">
        <f t="shared" si="22"/>
        <v>=14.50*100000000</v>
      </c>
      <c r="AX48" s="1">
        <f>14.5*100000000</f>
        <v>1450000000</v>
      </c>
      <c r="AY48" s="10">
        <f t="shared" si="23"/>
        <v>-0.5477230193387399</v>
      </c>
      <c r="AZ48" s="6" t="s">
        <v>612</v>
      </c>
      <c r="BA48" s="6" t="str">
        <f t="shared" si="24"/>
        <v>=32.06*100000000</v>
      </c>
      <c r="BB48" s="1">
        <f>32.06*100000000</f>
        <v>3206000000</v>
      </c>
      <c r="BC48" s="8">
        <f t="shared" si="25"/>
        <v>0.17910996689959544</v>
      </c>
      <c r="BD48" s="6" t="s">
        <v>718</v>
      </c>
      <c r="BE48" s="6" t="str">
        <f t="shared" si="26"/>
        <v>=27.19*100000000</v>
      </c>
      <c r="BF48" s="1">
        <f>27.19*100000000</f>
        <v>2719000000</v>
      </c>
      <c r="BG48" s="8">
        <f t="shared" si="27"/>
        <v>0.62911923307369655</v>
      </c>
      <c r="BH48" s="6" t="s">
        <v>719</v>
      </c>
      <c r="BI48" s="6" t="str">
        <f t="shared" si="28"/>
        <v>=16.69*100000000</v>
      </c>
      <c r="BJ48" s="1">
        <f>16.69*100000000</f>
        <v>1669000000.0000002</v>
      </c>
      <c r="BK48" s="6" t="s">
        <v>720</v>
      </c>
      <c r="BL48" s="1" t="str">
        <f t="shared" si="1"/>
        <v>=10.49*100000000</v>
      </c>
      <c r="BM48" s="16">
        <f t="shared" si="29"/>
        <v>0.59103908484270762</v>
      </c>
      <c r="BN48" s="1">
        <f>10.49*100000000</f>
        <v>1049000000</v>
      </c>
    </row>
    <row r="49" spans="1:66">
      <c r="A49" s="19"/>
      <c r="B49">
        <v>600027</v>
      </c>
      <c r="C49" t="s">
        <v>68</v>
      </c>
      <c r="D49" s="6">
        <f>-67.54*100000000</f>
        <v>-6754000000.000001</v>
      </c>
      <c r="E49" s="7" t="str">
        <f t="shared" si="0"/>
        <v>=-6754000000</v>
      </c>
      <c r="F49" s="1">
        <f>-6754000000</f>
        <v>-6754000000</v>
      </c>
      <c r="G49" s="8">
        <f t="shared" si="2"/>
        <v>-4.7986501687289085</v>
      </c>
      <c r="H49" s="6" t="s">
        <v>721</v>
      </c>
      <c r="I49" s="6" t="str">
        <f t="shared" si="30"/>
        <v>=17.78*100000000</v>
      </c>
      <c r="J49" s="1">
        <f>17.78*100000000</f>
        <v>1778000000</v>
      </c>
      <c r="K49" s="10">
        <f t="shared" si="3"/>
        <v>-0.55101010101010106</v>
      </c>
      <c r="L49" s="6" t="s">
        <v>722</v>
      </c>
      <c r="M49" s="6" t="str">
        <f t="shared" si="4"/>
        <v>=39.60*100000000</v>
      </c>
      <c r="N49" s="1">
        <f>39.6*100000000</f>
        <v>3960000000</v>
      </c>
      <c r="O49" s="8">
        <f t="shared" si="5"/>
        <v>1.3280423280423279</v>
      </c>
      <c r="P49" s="6" t="s">
        <v>723</v>
      </c>
      <c r="Q49" s="6" t="str">
        <f t="shared" si="6"/>
        <v>=17.01*100000000</v>
      </c>
      <c r="R49" s="11">
        <f>17.01*100000000</f>
        <v>1701000000.0000002</v>
      </c>
      <c r="S49" s="8">
        <f t="shared" si="7"/>
        <v>-0.72670308483290491</v>
      </c>
      <c r="T49" s="6" t="s">
        <v>724</v>
      </c>
      <c r="U49" s="6" t="str">
        <f t="shared" si="8"/>
        <v>=62.24*100000000</v>
      </c>
      <c r="V49" s="1">
        <f>62.24*100000000</f>
        <v>6224000000</v>
      </c>
      <c r="W49" s="8">
        <f t="shared" si="9"/>
        <v>0.21113057014983461</v>
      </c>
      <c r="X49" s="6" t="s">
        <v>725</v>
      </c>
      <c r="Y49" s="6" t="str">
        <f t="shared" si="10"/>
        <v>=51.39*100000000</v>
      </c>
      <c r="Z49" s="1">
        <f>51.39*100000000</f>
        <v>5139000000</v>
      </c>
      <c r="AA49" s="8">
        <f t="shared" si="11"/>
        <v>0.61502199874292895</v>
      </c>
      <c r="AB49" s="6" t="s">
        <v>726</v>
      </c>
      <c r="AC49" s="6" t="str">
        <f t="shared" si="12"/>
        <v>=31.82*100000000</v>
      </c>
      <c r="AD49" s="1">
        <f>31.82*100000000</f>
        <v>3182000000</v>
      </c>
      <c r="AE49" s="8">
        <f t="shared" si="13"/>
        <v>0.98875000000000002</v>
      </c>
      <c r="AF49" s="6" t="s">
        <v>727</v>
      </c>
      <c r="AG49" s="6" t="str">
        <f t="shared" si="14"/>
        <v>=16.00*100000000</v>
      </c>
      <c r="AH49" s="1">
        <f>16*100000000</f>
        <v>1600000000</v>
      </c>
      <c r="AI49" s="8">
        <f t="shared" si="15"/>
        <v>-0.63955845911241271</v>
      </c>
      <c r="AJ49" s="6" t="s">
        <v>728</v>
      </c>
      <c r="AK49" s="6" t="str">
        <f t="shared" si="16"/>
        <v>=44.39*100000000</v>
      </c>
      <c r="AL49" s="1">
        <f>44.39*100000000</f>
        <v>4439000000</v>
      </c>
      <c r="AM49" s="8">
        <f t="shared" si="17"/>
        <v>0.30789628756629345</v>
      </c>
      <c r="AN49" s="6" t="s">
        <v>729</v>
      </c>
      <c r="AO49" s="6" t="str">
        <f t="shared" si="18"/>
        <v>=33.94*100000000</v>
      </c>
      <c r="AP49" s="1">
        <f>33.94*100000000</f>
        <v>3394000000</v>
      </c>
      <c r="AQ49" s="8">
        <f t="shared" si="19"/>
        <v>0.56117755289788407</v>
      </c>
      <c r="AR49" s="6" t="s">
        <v>730</v>
      </c>
      <c r="AS49" s="6" t="str">
        <f t="shared" si="20"/>
        <v>=21.74*100000000</v>
      </c>
      <c r="AT49" s="1">
        <f>21.74*100000000</f>
        <v>2174000000</v>
      </c>
      <c r="AU49" s="8">
        <f t="shared" si="21"/>
        <v>0.98176845943482227</v>
      </c>
      <c r="AV49" s="6" t="s">
        <v>373</v>
      </c>
      <c r="AW49" s="6" t="str">
        <f t="shared" si="22"/>
        <v>=10.97*100000000</v>
      </c>
      <c r="AX49" s="1">
        <f>10.97*100000000</f>
        <v>1097000000</v>
      </c>
      <c r="AY49" s="10">
        <f t="shared" si="23"/>
        <v>-0.52469670710571925</v>
      </c>
      <c r="AZ49" s="6" t="s">
        <v>731</v>
      </c>
      <c r="BA49" s="6" t="str">
        <f t="shared" si="24"/>
        <v>=23.08*100000000</v>
      </c>
      <c r="BB49" s="1">
        <f>23.08*100000000</f>
        <v>2308000000</v>
      </c>
      <c r="BC49" s="8">
        <f t="shared" si="25"/>
        <v>0.12860635696821515</v>
      </c>
      <c r="BD49" s="6" t="s">
        <v>732</v>
      </c>
      <c r="BE49" s="6" t="str">
        <f t="shared" si="26"/>
        <v>=20.45*100000000</v>
      </c>
      <c r="BF49" s="1">
        <f>20.45*100000000</f>
        <v>2045000000</v>
      </c>
      <c r="BG49" s="8">
        <f t="shared" si="27"/>
        <v>0.69008264462809921</v>
      </c>
      <c r="BH49" s="6" t="s">
        <v>733</v>
      </c>
      <c r="BI49" s="6" t="str">
        <f t="shared" si="28"/>
        <v>=12.10*100000000</v>
      </c>
      <c r="BJ49" s="1">
        <f>12.1*100000000</f>
        <v>1210000000</v>
      </c>
      <c r="BK49" s="6" t="s">
        <v>734</v>
      </c>
      <c r="BL49" s="1" t="str">
        <f t="shared" si="1"/>
        <v>=7.951*100000000</v>
      </c>
      <c r="BM49" s="16">
        <f t="shared" si="29"/>
        <v>0.52182115457175193</v>
      </c>
      <c r="BN49" s="1">
        <f>7.951*100000000</f>
        <v>795100000</v>
      </c>
    </row>
    <row r="50" spans="1:66">
      <c r="A50" s="17">
        <v>13</v>
      </c>
      <c r="B50">
        <v>600028</v>
      </c>
      <c r="C50" t="s">
        <v>31</v>
      </c>
      <c r="D50" s="9" t="s">
        <v>735</v>
      </c>
      <c r="E50" s="7" t="str">
        <f t="shared" si="0"/>
        <v>=2.741*1000000000000</v>
      </c>
      <c r="F50" s="1">
        <f>2.741*1000000000000</f>
        <v>2741000000000</v>
      </c>
      <c r="G50" s="8">
        <f t="shared" si="2"/>
        <v>0.36844732900649024</v>
      </c>
      <c r="H50" s="9" t="s">
        <v>736</v>
      </c>
      <c r="I50" s="6" t="str">
        <f t="shared" si="30"/>
        <v>=2.003*1000000000000</v>
      </c>
      <c r="J50" s="1">
        <f>2.003*1000000000000</f>
        <v>2003000000000</v>
      </c>
      <c r="K50" s="10">
        <f t="shared" si="3"/>
        <v>0.58716323296354989</v>
      </c>
      <c r="L50" s="9" t="s">
        <v>737</v>
      </c>
      <c r="M50" s="6" t="str">
        <f t="shared" si="4"/>
        <v>=1.262*1000000000000</v>
      </c>
      <c r="N50" s="1">
        <f>1.262*1000000000000</f>
        <v>1262000000000</v>
      </c>
      <c r="O50" s="8">
        <f t="shared" si="5"/>
        <v>1.1871750433275563</v>
      </c>
      <c r="P50" s="6" t="s">
        <v>738</v>
      </c>
      <c r="Q50" s="6" t="str">
        <f t="shared" si="6"/>
        <v>=5770*100000000</v>
      </c>
      <c r="R50" s="11">
        <f>5770*100000000</f>
        <v>577000000000</v>
      </c>
      <c r="S50" s="8">
        <f t="shared" si="7"/>
        <v>-0.72589073634204271</v>
      </c>
      <c r="T50" s="9" t="s">
        <v>739</v>
      </c>
      <c r="U50" s="6" t="str">
        <f t="shared" si="8"/>
        <v>=2.105*1000000000000</v>
      </c>
      <c r="V50" s="1">
        <f>2.105*1000000000000</f>
        <v>2105000000000</v>
      </c>
      <c r="W50" s="8">
        <f t="shared" si="9"/>
        <v>0.3554410817772054</v>
      </c>
      <c r="X50" s="9" t="s">
        <v>740</v>
      </c>
      <c r="Y50" s="6" t="str">
        <f t="shared" si="10"/>
        <v>=1.553*1000000000000</v>
      </c>
      <c r="Z50" s="1">
        <f>1.553*1000000000000</f>
        <v>1553000000000</v>
      </c>
      <c r="AA50" s="8">
        <f t="shared" si="11"/>
        <v>0.50338818973862554</v>
      </c>
      <c r="AB50" s="9" t="s">
        <v>741</v>
      </c>
      <c r="AC50" s="6" t="str">
        <f t="shared" si="12"/>
        <v>=1.033*1000000000000</v>
      </c>
      <c r="AD50" s="1">
        <f>1.033*1000000000000</f>
        <v>1032999999999.9999</v>
      </c>
      <c r="AE50" s="8">
        <f t="shared" si="13"/>
        <v>0.86293958521190239</v>
      </c>
      <c r="AF50" s="6" t="s">
        <v>742</v>
      </c>
      <c r="AG50" s="6" t="str">
        <f t="shared" si="14"/>
        <v>=5545*100000000</v>
      </c>
      <c r="AH50" s="1">
        <f>5545*100000000</f>
        <v>554500000000</v>
      </c>
      <c r="AI50" s="8">
        <f t="shared" si="15"/>
        <v>-0.8126689189189189</v>
      </c>
      <c r="AJ50" s="9" t="s">
        <v>743</v>
      </c>
      <c r="AK50" s="6" t="str">
        <f t="shared" si="16"/>
        <v>=2.960*1000000000000</v>
      </c>
      <c r="AL50" s="1">
        <f>2.96*1000000000000</f>
        <v>2960000000000</v>
      </c>
      <c r="AM50" s="8">
        <f t="shared" si="17"/>
        <v>0.32557098074339452</v>
      </c>
      <c r="AN50" s="9" t="s">
        <v>744</v>
      </c>
      <c r="AO50" s="6" t="str">
        <f t="shared" si="18"/>
        <v>=2.233*1000000000000</v>
      </c>
      <c r="AP50" s="1">
        <f>2.233*1000000000000</f>
        <v>2233000000000</v>
      </c>
      <c r="AQ50" s="8">
        <f t="shared" si="19"/>
        <v>0.48965977318212139</v>
      </c>
      <c r="AR50" s="9" t="s">
        <v>745</v>
      </c>
      <c r="AS50" s="6" t="str">
        <f t="shared" si="20"/>
        <v>=1.499*1000000000000</v>
      </c>
      <c r="AT50" s="1">
        <f>1.499*1000000000000</f>
        <v>1499000000000</v>
      </c>
      <c r="AU50" s="8">
        <f t="shared" si="21"/>
        <v>1.088907469342252</v>
      </c>
      <c r="AV50" s="6" t="s">
        <v>746</v>
      </c>
      <c r="AW50" s="6" t="str">
        <f t="shared" si="22"/>
        <v>=7176*100000000</v>
      </c>
      <c r="AX50" s="1">
        <f>7176*100000000</f>
        <v>717600000000</v>
      </c>
      <c r="AY50" s="10">
        <f t="shared" si="23"/>
        <v>-0.75178139052231063</v>
      </c>
      <c r="AZ50" s="9" t="s">
        <v>747</v>
      </c>
      <c r="BA50" s="6" t="str">
        <f t="shared" si="24"/>
        <v>=2.891*1000000000000</v>
      </c>
      <c r="BB50" s="1">
        <f>2.891*1000000000000</f>
        <v>2891000000000</v>
      </c>
      <c r="BC50" s="8">
        <f t="shared" si="25"/>
        <v>0.39459720212252775</v>
      </c>
      <c r="BD50" s="9" t="s">
        <v>748</v>
      </c>
      <c r="BE50" s="6" t="str">
        <f t="shared" si="26"/>
        <v>=2.073*1000000000000</v>
      </c>
      <c r="BF50" s="1">
        <f>2.073*1000000000000</f>
        <v>2073000000000</v>
      </c>
      <c r="BG50" s="8">
        <f t="shared" si="27"/>
        <v>0.59461538461538466</v>
      </c>
      <c r="BH50" s="9" t="s">
        <v>749</v>
      </c>
      <c r="BI50" s="6" t="str">
        <f t="shared" si="28"/>
        <v>=1.300*1000000000000</v>
      </c>
      <c r="BJ50" s="1">
        <f>1.3*1000000000000</f>
        <v>1300000000000</v>
      </c>
      <c r="BK50" s="6" t="s">
        <v>750</v>
      </c>
      <c r="BL50" s="1" t="str">
        <f t="shared" si="1"/>
        <v>=6213*100000000</v>
      </c>
      <c r="BM50" s="16">
        <f t="shared" si="29"/>
        <v>1.0923869306293257</v>
      </c>
      <c r="BN50" s="1">
        <f>6213*100000000</f>
        <v>621300000000</v>
      </c>
    </row>
    <row r="51" spans="1:66">
      <c r="A51" s="18"/>
      <c r="B51">
        <v>600028</v>
      </c>
      <c r="C51" t="s">
        <v>48</v>
      </c>
      <c r="D51" s="6" t="s">
        <v>751</v>
      </c>
      <c r="E51" s="7" t="str">
        <f t="shared" si="0"/>
        <v>=1124*100000000</v>
      </c>
      <c r="F51" s="1">
        <f>1124*100000000</f>
        <v>112400000000</v>
      </c>
      <c r="G51" s="8">
        <f t="shared" si="2"/>
        <v>0.19194061505832449</v>
      </c>
      <c r="H51" s="6" t="s">
        <v>752</v>
      </c>
      <c r="I51" s="6" t="str">
        <f t="shared" si="30"/>
        <v>=943.0*100000000</v>
      </c>
      <c r="J51" s="1">
        <f>943*100000000</f>
        <v>94300000000</v>
      </c>
      <c r="K51" s="10">
        <f t="shared" si="3"/>
        <v>0.4766677106169746</v>
      </c>
      <c r="L51" s="6" t="s">
        <v>753</v>
      </c>
      <c r="M51" s="6" t="str">
        <f t="shared" si="4"/>
        <v>=638.6*100000000</v>
      </c>
      <c r="N51" s="1">
        <f>638.6*100000000</f>
        <v>63860000000</v>
      </c>
      <c r="O51" s="8">
        <f t="shared" si="5"/>
        <v>1.1089828269484809</v>
      </c>
      <c r="P51" s="6" t="s">
        <v>754</v>
      </c>
      <c r="Q51" s="6" t="str">
        <f t="shared" si="6"/>
        <v>=302.8*100000000</v>
      </c>
      <c r="R51" s="11">
        <f>302.8*100000000</f>
        <v>30280000000</v>
      </c>
      <c r="S51" s="8">
        <f t="shared" si="7"/>
        <v>-0.40393700787401576</v>
      </c>
      <c r="T51" s="6" t="s">
        <v>755</v>
      </c>
      <c r="U51" s="6" t="str">
        <f t="shared" si="8"/>
        <v>=508.0*100000000</v>
      </c>
      <c r="V51" s="1">
        <f>508*100000000</f>
        <v>50800000000</v>
      </c>
      <c r="W51" s="8">
        <f t="shared" si="9"/>
        <v>0.34783762271159457</v>
      </c>
      <c r="X51" s="6" t="s">
        <v>756</v>
      </c>
      <c r="Y51" s="6" t="str">
        <f t="shared" si="10"/>
        <v>=376.9*100000000</v>
      </c>
      <c r="Z51" s="1">
        <f>376.9*100000000</f>
        <v>37690000000</v>
      </c>
      <c r="AA51" s="8">
        <f t="shared" si="11"/>
        <v>-2.3494450411743646</v>
      </c>
      <c r="AB51" s="6">
        <f>-279.3*100000000</f>
        <v>-27930000000</v>
      </c>
      <c r="AC51" s="6" t="str">
        <f t="shared" si="12"/>
        <v>=-27930000000</v>
      </c>
      <c r="AD51" s="1">
        <f>-27930000000</f>
        <v>-27930000000</v>
      </c>
      <c r="AE51" s="8">
        <f t="shared" si="13"/>
        <v>-1.8277680140597538E-2</v>
      </c>
      <c r="AF51" s="6">
        <f>-284.5*100000000</f>
        <v>-28450000000</v>
      </c>
      <c r="AG51" s="6" t="str">
        <f t="shared" si="14"/>
        <v>=-28450000000</v>
      </c>
      <c r="AH51" s="1">
        <f>-28450000000</f>
        <v>-28450000000</v>
      </c>
      <c r="AI51" s="8">
        <f t="shared" si="15"/>
        <v>-1.3156551647620105</v>
      </c>
      <c r="AJ51" s="6" t="s">
        <v>757</v>
      </c>
      <c r="AK51" s="6" t="str">
        <f t="shared" si="16"/>
        <v>=901.3*100000000</v>
      </c>
      <c r="AL51" s="1">
        <f>901.3*100000000</f>
        <v>90130000000</v>
      </c>
      <c r="AM51" s="8">
        <f t="shared" si="17"/>
        <v>0.31538237011091635</v>
      </c>
      <c r="AN51" s="6" t="s">
        <v>758</v>
      </c>
      <c r="AO51" s="6" t="str">
        <f t="shared" si="18"/>
        <v>=685.2*100000000</v>
      </c>
      <c r="AP51" s="1">
        <f>685.2*100000000</f>
        <v>68520000000.000008</v>
      </c>
      <c r="AQ51" s="8">
        <f t="shared" si="19"/>
        <v>0.39324928832858902</v>
      </c>
      <c r="AR51" s="6" t="s">
        <v>759</v>
      </c>
      <c r="AS51" s="6" t="str">
        <f t="shared" si="20"/>
        <v>=491.8*100000000</v>
      </c>
      <c r="AT51" s="1">
        <f>491.8*100000000</f>
        <v>49180000000</v>
      </c>
      <c r="AU51" s="8">
        <f t="shared" si="21"/>
        <v>1.0339123242349049</v>
      </c>
      <c r="AV51" s="6" t="s">
        <v>760</v>
      </c>
      <c r="AW51" s="6" t="str">
        <f t="shared" si="22"/>
        <v>=241.8*100000000</v>
      </c>
      <c r="AX51" s="1">
        <f>241.8*100000000</f>
        <v>24180000000</v>
      </c>
      <c r="AY51" s="10">
        <f t="shared" si="23"/>
        <v>-0.76177339901477836</v>
      </c>
      <c r="AZ51" s="6" t="s">
        <v>761</v>
      </c>
      <c r="BA51" s="6" t="str">
        <f t="shared" si="24"/>
        <v>=1015*100000000</v>
      </c>
      <c r="BB51" s="1">
        <f>1015*100000000</f>
        <v>101500000000</v>
      </c>
      <c r="BC51" s="8">
        <f t="shared" si="25"/>
        <v>4.3594488998560561E-2</v>
      </c>
      <c r="BD51" s="6" t="s">
        <v>762</v>
      </c>
      <c r="BE51" s="6" t="str">
        <f t="shared" si="26"/>
        <v>=972.6*100000000</v>
      </c>
      <c r="BF51" s="1">
        <f>972.6*100000000</f>
        <v>97260000000</v>
      </c>
      <c r="BG51" s="8">
        <f t="shared" si="27"/>
        <v>0.43155725640270826</v>
      </c>
      <c r="BH51" s="6" t="s">
        <v>763</v>
      </c>
      <c r="BI51" s="6" t="str">
        <f t="shared" si="28"/>
        <v>=679.4*100000000</v>
      </c>
      <c r="BJ51" s="1">
        <f>679.4*100000000</f>
        <v>67940000000</v>
      </c>
      <c r="BK51" s="6" t="s">
        <v>764</v>
      </c>
      <c r="BL51" s="1" t="str">
        <f t="shared" si="1"/>
        <v>=314.9*100000000</v>
      </c>
      <c r="BM51" s="16">
        <f t="shared" si="29"/>
        <v>1.1575103207367419</v>
      </c>
      <c r="BN51" s="1">
        <f>314.9*100000000</f>
        <v>31489999999.999996</v>
      </c>
    </row>
    <row r="52" spans="1:66">
      <c r="A52" s="18"/>
      <c r="B52">
        <v>600028</v>
      </c>
      <c r="C52" t="s">
        <v>58</v>
      </c>
      <c r="D52" s="6" t="s">
        <v>765</v>
      </c>
      <c r="E52" s="7" t="str">
        <f t="shared" si="0"/>
        <v>=1083*100000000</v>
      </c>
      <c r="F52" s="1">
        <f>1083*100000000</f>
        <v>108300000000</v>
      </c>
      <c r="G52" s="8">
        <f t="shared" si="2"/>
        <v>0.15532323447834437</v>
      </c>
      <c r="H52" s="6" t="s">
        <v>766</v>
      </c>
      <c r="I52" s="6" t="str">
        <f t="shared" si="30"/>
        <v>=937.4*100000000</v>
      </c>
      <c r="J52" s="1">
        <f>937.4*100000000</f>
        <v>93740000000</v>
      </c>
      <c r="K52" s="10">
        <f t="shared" si="3"/>
        <v>0.47668557025834929</v>
      </c>
      <c r="L52" s="6" t="s">
        <v>767</v>
      </c>
      <c r="M52" s="6" t="str">
        <f t="shared" si="4"/>
        <v>=634.8*100000000</v>
      </c>
      <c r="N52" s="1">
        <f>634.8*100000000</f>
        <v>63479999999.999992</v>
      </c>
      <c r="O52" s="8">
        <f t="shared" si="5"/>
        <v>1.1167055685228409</v>
      </c>
      <c r="P52" s="6" t="s">
        <v>768</v>
      </c>
      <c r="Q52" s="6" t="str">
        <f t="shared" si="6"/>
        <v>=299.9*100000000</v>
      </c>
      <c r="R52" s="11">
        <f>299.9*100000000</f>
        <v>29989999999.999996</v>
      </c>
      <c r="S52" s="8">
        <f t="shared" si="7"/>
        <v>-0.38088356729975237</v>
      </c>
      <c r="T52" s="6" t="s">
        <v>769</v>
      </c>
      <c r="U52" s="6" t="str">
        <f t="shared" si="8"/>
        <v>=484.4*100000000</v>
      </c>
      <c r="V52" s="1">
        <f>484.4*100000000</f>
        <v>48440000000</v>
      </c>
      <c r="W52" s="8">
        <f t="shared" si="9"/>
        <v>0.30954311976209786</v>
      </c>
      <c r="X52" s="6" t="s">
        <v>770</v>
      </c>
      <c r="Y52" s="6" t="str">
        <f t="shared" si="10"/>
        <v>=369.9*100000000</v>
      </c>
      <c r="Z52" s="1">
        <f>369.9*100000000</f>
        <v>36990000000</v>
      </c>
      <c r="AA52" s="8">
        <f t="shared" si="11"/>
        <v>-2.3107725017717931</v>
      </c>
      <c r="AB52" s="6">
        <f>-282.2*100000000</f>
        <v>-28220000000</v>
      </c>
      <c r="AC52" s="6" t="str">
        <f t="shared" si="12"/>
        <v>=-28220000000</v>
      </c>
      <c r="AD52" s="1">
        <f>-28220000000</f>
        <v>-28220000000</v>
      </c>
      <c r="AE52" s="8">
        <f t="shared" si="13"/>
        <v>-1.7067223963775687E-2</v>
      </c>
      <c r="AF52" s="6">
        <f>-287.1*100000000</f>
        <v>-28710000000.000004</v>
      </c>
      <c r="AG52" s="6" t="str">
        <f t="shared" si="14"/>
        <v>=-28710000000</v>
      </c>
      <c r="AH52" s="1">
        <f>-28710000000</f>
        <v>-28710000000</v>
      </c>
      <c r="AI52" s="8">
        <f t="shared" si="15"/>
        <v>-1.3186105870602596</v>
      </c>
      <c r="AJ52" s="6" t="s">
        <v>771</v>
      </c>
      <c r="AK52" s="6" t="str">
        <f t="shared" si="16"/>
        <v>=901.1*100000000</v>
      </c>
      <c r="AL52" s="1">
        <f>901.1*100000000</f>
        <v>90110000000</v>
      </c>
      <c r="AM52" s="8">
        <f t="shared" si="17"/>
        <v>0.31874725596370568</v>
      </c>
      <c r="AN52" s="6" t="s">
        <v>772</v>
      </c>
      <c r="AO52" s="6" t="str">
        <f t="shared" si="18"/>
        <v>=683.3*100000000</v>
      </c>
      <c r="AP52" s="1">
        <f>683.3*100000000</f>
        <v>68329999999.999992</v>
      </c>
      <c r="AQ52" s="8">
        <f t="shared" si="19"/>
        <v>0.39164969450101816</v>
      </c>
      <c r="AR52" s="6" t="s">
        <v>773</v>
      </c>
      <c r="AS52" s="6" t="str">
        <f t="shared" si="20"/>
        <v>=491.0*100000000</v>
      </c>
      <c r="AT52" s="1">
        <f>491*100000000</f>
        <v>49100000000</v>
      </c>
      <c r="AU52" s="8">
        <f t="shared" si="21"/>
        <v>1.0449812578092461</v>
      </c>
      <c r="AV52" s="6" t="s">
        <v>774</v>
      </c>
      <c r="AW52" s="6" t="str">
        <f t="shared" si="22"/>
        <v>=240.1*100000000</v>
      </c>
      <c r="AX52" s="1">
        <f>240.1*100000000</f>
        <v>24010000000</v>
      </c>
      <c r="AY52" s="10">
        <f t="shared" si="23"/>
        <v>-0.76109452736318406</v>
      </c>
      <c r="AZ52" s="6" t="s">
        <v>775</v>
      </c>
      <c r="BA52" s="6" t="str">
        <f t="shared" si="24"/>
        <v>=1005*100000000</v>
      </c>
      <c r="BB52" s="1">
        <f>1005*100000000</f>
        <v>100500000000</v>
      </c>
      <c r="BC52" s="8">
        <f t="shared" si="25"/>
        <v>3.9296794208893482E-2</v>
      </c>
      <c r="BD52" s="6" t="s">
        <v>776</v>
      </c>
      <c r="BE52" s="6" t="str">
        <f t="shared" si="26"/>
        <v>=967.0*100000000</v>
      </c>
      <c r="BF52" s="1">
        <f>967*100000000</f>
        <v>96700000000</v>
      </c>
      <c r="BG52" s="8">
        <f t="shared" si="27"/>
        <v>0.42478267275674064</v>
      </c>
      <c r="BH52" s="6" t="s">
        <v>777</v>
      </c>
      <c r="BI52" s="6" t="str">
        <f t="shared" si="28"/>
        <v>=678.7*100000000</v>
      </c>
      <c r="BJ52" s="1">
        <f>678.7*100000000</f>
        <v>67870000000.000008</v>
      </c>
      <c r="BK52" s="6" t="s">
        <v>778</v>
      </c>
      <c r="BL52" s="1" t="str">
        <f t="shared" si="1"/>
        <v>=315.2*100000000</v>
      </c>
      <c r="BM52" s="16">
        <f t="shared" si="29"/>
        <v>1.1532360406091373</v>
      </c>
      <c r="BN52" s="1">
        <f>315.2*100000000</f>
        <v>31520000000</v>
      </c>
    </row>
    <row r="53" spans="1:66">
      <c r="A53" s="19"/>
      <c r="B53">
        <v>600028</v>
      </c>
      <c r="C53" t="s">
        <v>68</v>
      </c>
      <c r="D53" s="6" t="s">
        <v>779</v>
      </c>
      <c r="E53" s="7" t="str">
        <f t="shared" si="0"/>
        <v>=850.3*100000000</v>
      </c>
      <c r="F53" s="1">
        <f>850.3*100000000</f>
        <v>85030000000</v>
      </c>
      <c r="G53" s="8">
        <f t="shared" si="2"/>
        <v>0.16799450549450551</v>
      </c>
      <c r="H53" s="6" t="s">
        <v>780</v>
      </c>
      <c r="I53" s="6" t="str">
        <f t="shared" si="30"/>
        <v>=728.0*100000000</v>
      </c>
      <c r="J53" s="1">
        <f>728*100000000</f>
        <v>72800000000</v>
      </c>
      <c r="K53" s="10">
        <f t="shared" si="3"/>
        <v>0.50010302905419324</v>
      </c>
      <c r="L53" s="6" t="s">
        <v>781</v>
      </c>
      <c r="M53" s="6" t="str">
        <f t="shared" si="4"/>
        <v>=485.3*100000000</v>
      </c>
      <c r="N53" s="1">
        <f>485.3*100000000</f>
        <v>48530000000</v>
      </c>
      <c r="O53" s="8">
        <f t="shared" si="5"/>
        <v>1.118288956787429</v>
      </c>
      <c r="P53" s="6" t="s">
        <v>782</v>
      </c>
      <c r="Q53" s="6" t="str">
        <f t="shared" si="6"/>
        <v>=229.1*100000000</v>
      </c>
      <c r="R53" s="11">
        <f>229.1*100000000</f>
        <v>22910000000</v>
      </c>
      <c r="S53" s="8">
        <f t="shared" si="7"/>
        <v>-0.45581947743467932</v>
      </c>
      <c r="T53" s="6" t="s">
        <v>783</v>
      </c>
      <c r="U53" s="6" t="str">
        <f t="shared" si="8"/>
        <v>=421.0*100000000</v>
      </c>
      <c r="V53" s="1">
        <f>421*100000000</f>
        <v>42100000000</v>
      </c>
      <c r="W53" s="8">
        <f t="shared" si="9"/>
        <v>0.36069812540400792</v>
      </c>
      <c r="X53" s="6" t="s">
        <v>784</v>
      </c>
      <c r="Y53" s="6" t="str">
        <f t="shared" si="10"/>
        <v>=309.4*100000000</v>
      </c>
      <c r="Z53" s="1">
        <f>309.4*100000000</f>
        <v>30939999999.999996</v>
      </c>
      <c r="AA53" s="8">
        <f t="shared" si="11"/>
        <v>-2.3794025858225591</v>
      </c>
      <c r="AB53" s="6">
        <f>-224.3*100000000</f>
        <v>-22430000000</v>
      </c>
      <c r="AC53" s="6" t="str">
        <f t="shared" si="12"/>
        <v>=-22430000000</v>
      </c>
      <c r="AD53" s="1">
        <f>-22430000000</f>
        <v>-22430000000</v>
      </c>
      <c r="AE53" s="8">
        <f t="shared" si="13"/>
        <v>5.85181689476168E-2</v>
      </c>
      <c r="AF53" s="6">
        <f>-211.9*100000000</f>
        <v>-21190000000</v>
      </c>
      <c r="AG53" s="6" t="str">
        <f t="shared" si="14"/>
        <v>=-21190000000</v>
      </c>
      <c r="AH53" s="1">
        <f>-21190000000</f>
        <v>-21190000000</v>
      </c>
      <c r="AI53" s="8">
        <f t="shared" si="15"/>
        <v>-1.2936123042815575</v>
      </c>
      <c r="AJ53" s="6" t="s">
        <v>785</v>
      </c>
      <c r="AK53" s="6" t="str">
        <f t="shared" si="16"/>
        <v>=721.7*100000000</v>
      </c>
      <c r="AL53" s="1">
        <f>721.7*100000000</f>
        <v>72170000000</v>
      </c>
      <c r="AM53" s="8">
        <f t="shared" si="17"/>
        <v>0.32519280205655526</v>
      </c>
      <c r="AN53" s="6" t="s">
        <v>786</v>
      </c>
      <c r="AO53" s="6" t="str">
        <f t="shared" si="18"/>
        <v>=544.6*100000000</v>
      </c>
      <c r="AP53" s="1">
        <f>544.6*100000000</f>
        <v>54460000000</v>
      </c>
      <c r="AQ53" s="8">
        <f t="shared" si="19"/>
        <v>0.3978439425051335</v>
      </c>
      <c r="AR53" s="6" t="s">
        <v>787</v>
      </c>
      <c r="AS53" s="6" t="str">
        <f t="shared" si="20"/>
        <v>=389.6*100000000</v>
      </c>
      <c r="AT53" s="1">
        <f>389.6*100000000</f>
        <v>38960000000</v>
      </c>
      <c r="AU53" s="8">
        <f t="shared" si="21"/>
        <v>1.1093665403356794</v>
      </c>
      <c r="AV53" s="6" t="s">
        <v>788</v>
      </c>
      <c r="AW53" s="6" t="str">
        <f t="shared" si="22"/>
        <v>=184.7*100000000</v>
      </c>
      <c r="AX53" s="1">
        <f>184.7*100000000</f>
        <v>18470000000</v>
      </c>
      <c r="AY53" s="10">
        <f t="shared" si="23"/>
        <v>-0.7699588989911571</v>
      </c>
      <c r="AZ53" s="6" t="s">
        <v>789</v>
      </c>
      <c r="BA53" s="6" t="str">
        <f t="shared" si="24"/>
        <v>=802.9*100000000</v>
      </c>
      <c r="BB53" s="1">
        <f>802.9*100000000</f>
        <v>80290000000</v>
      </c>
      <c r="BC53" s="8">
        <f t="shared" si="25"/>
        <v>5.9514383742412247E-2</v>
      </c>
      <c r="BD53" s="6" t="s">
        <v>790</v>
      </c>
      <c r="BE53" s="6" t="str">
        <f t="shared" si="26"/>
        <v>=757.8*100000000</v>
      </c>
      <c r="BF53" s="1">
        <f>757.8*100000000</f>
        <v>75780000000</v>
      </c>
      <c r="BG53" s="8">
        <f t="shared" si="27"/>
        <v>0.42229729729729748</v>
      </c>
      <c r="BH53" s="6" t="s">
        <v>791</v>
      </c>
      <c r="BI53" s="6" t="str">
        <f t="shared" si="28"/>
        <v>=532.8*100000000</v>
      </c>
      <c r="BJ53" s="1">
        <f>532.8*100000000</f>
        <v>53279999999.999992</v>
      </c>
      <c r="BK53" s="6" t="s">
        <v>792</v>
      </c>
      <c r="BL53" s="1" t="str">
        <f t="shared" si="1"/>
        <v>=245.2*100000000</v>
      </c>
      <c r="BM53" s="16">
        <f t="shared" si="29"/>
        <v>1.1729200652528544</v>
      </c>
      <c r="BN53" s="1">
        <f>245.2*100000000</f>
        <v>24520000000</v>
      </c>
    </row>
    <row r="54" spans="1:66">
      <c r="A54" s="17">
        <v>14</v>
      </c>
      <c r="B54">
        <v>600029</v>
      </c>
      <c r="C54" t="s">
        <v>31</v>
      </c>
      <c r="D54" s="6" t="s">
        <v>793</v>
      </c>
      <c r="E54" s="7" t="str">
        <f t="shared" si="0"/>
        <v>=1016*100000000</v>
      </c>
      <c r="F54" s="1">
        <f>1016*100000000</f>
        <v>101600000000</v>
      </c>
      <c r="G54" s="8">
        <f t="shared" si="2"/>
        <v>0.29426751592356687</v>
      </c>
      <c r="H54" s="6" t="s">
        <v>794</v>
      </c>
      <c r="I54" s="6" t="str">
        <f t="shared" si="30"/>
        <v>=785.0*100000000</v>
      </c>
      <c r="J54" s="1">
        <f>785*100000000</f>
        <v>78500000000</v>
      </c>
      <c r="K54" s="10">
        <f t="shared" si="3"/>
        <v>0.52190771616905796</v>
      </c>
      <c r="L54" s="6" t="s">
        <v>795</v>
      </c>
      <c r="M54" s="6" t="str">
        <f t="shared" si="4"/>
        <v>=515.8*100000000</v>
      </c>
      <c r="N54" s="1">
        <f>515.8*100000000</f>
        <v>51579999999.999992</v>
      </c>
      <c r="O54" s="8">
        <f t="shared" si="5"/>
        <v>1.4272941176470584</v>
      </c>
      <c r="P54" s="6" t="s">
        <v>796</v>
      </c>
      <c r="Q54" s="6" t="str">
        <f t="shared" si="6"/>
        <v>=212.5*100000000</v>
      </c>
      <c r="R54" s="11">
        <f>212.5*100000000</f>
        <v>21250000000</v>
      </c>
      <c r="S54" s="8">
        <f t="shared" si="7"/>
        <v>-0.77041918755401906</v>
      </c>
      <c r="T54" s="6" t="s">
        <v>797</v>
      </c>
      <c r="U54" s="6" t="str">
        <f t="shared" si="8"/>
        <v>=925.6*100000000</v>
      </c>
      <c r="V54" s="1">
        <f>925.6*100000000</f>
        <v>92560000000</v>
      </c>
      <c r="W54" s="8">
        <f t="shared" si="9"/>
        <v>0.41637337413925019</v>
      </c>
      <c r="X54" s="6" t="s">
        <v>798</v>
      </c>
      <c r="Y54" s="6" t="str">
        <f t="shared" si="10"/>
        <v>=653.5*100000000</v>
      </c>
      <c r="Z54" s="1">
        <f>653.5*100000000</f>
        <v>65350000000</v>
      </c>
      <c r="AA54" s="8">
        <f t="shared" si="11"/>
        <v>0.67736139630390146</v>
      </c>
      <c r="AB54" s="6" t="s">
        <v>787</v>
      </c>
      <c r="AC54" s="6" t="str">
        <f t="shared" si="12"/>
        <v>=389.6*100000000</v>
      </c>
      <c r="AD54" s="1">
        <f>389.6*100000000</f>
        <v>38960000000</v>
      </c>
      <c r="AE54" s="8">
        <f t="shared" si="13"/>
        <v>0.84295175023651847</v>
      </c>
      <c r="AF54" s="6" t="s">
        <v>799</v>
      </c>
      <c r="AG54" s="6" t="str">
        <f t="shared" si="14"/>
        <v>=211.4*100000000</v>
      </c>
      <c r="AH54" s="1">
        <f>211.4*100000000</f>
        <v>21140000000</v>
      </c>
      <c r="AI54" s="8">
        <f t="shared" si="15"/>
        <v>-0.86299416720674016</v>
      </c>
      <c r="AJ54" s="6" t="s">
        <v>800</v>
      </c>
      <c r="AK54" s="6" t="str">
        <f t="shared" si="16"/>
        <v>=1543*100000000</v>
      </c>
      <c r="AL54" s="1">
        <f>1543*100000000</f>
        <v>154300000000</v>
      </c>
      <c r="AM54" s="8">
        <f t="shared" si="17"/>
        <v>0.32219365895458441</v>
      </c>
      <c r="AN54" s="6" t="s">
        <v>801</v>
      </c>
      <c r="AO54" s="6" t="str">
        <f t="shared" si="18"/>
        <v>=1167*100000000</v>
      </c>
      <c r="AP54" s="1">
        <f>1167*100000000</f>
        <v>116700000000</v>
      </c>
      <c r="AQ54" s="8">
        <f t="shared" si="19"/>
        <v>0.59994516040581303</v>
      </c>
      <c r="AR54" s="6" t="s">
        <v>802</v>
      </c>
      <c r="AS54" s="6" t="str">
        <f t="shared" si="20"/>
        <v>=729.4*100000000</v>
      </c>
      <c r="AT54" s="1">
        <f>729.4*100000000</f>
        <v>72940000000</v>
      </c>
      <c r="AU54" s="8">
        <f t="shared" si="21"/>
        <v>0.93834706351315444</v>
      </c>
      <c r="AV54" s="6" t="s">
        <v>803</v>
      </c>
      <c r="AW54" s="6" t="str">
        <f t="shared" si="22"/>
        <v>=376.3*100000000</v>
      </c>
      <c r="AX54" s="1">
        <f>376.3*100000000</f>
        <v>37630000000</v>
      </c>
      <c r="AY54" s="10">
        <f t="shared" si="23"/>
        <v>-0.73795264623955437</v>
      </c>
      <c r="AZ54" s="6" t="s">
        <v>804</v>
      </c>
      <c r="BA54" s="6" t="str">
        <f t="shared" si="24"/>
        <v>=1436*100000000</v>
      </c>
      <c r="BB54" s="1">
        <f>1436*100000000</f>
        <v>143600000000</v>
      </c>
      <c r="BC54" s="8">
        <f t="shared" si="25"/>
        <v>0.31864095500459139</v>
      </c>
      <c r="BD54" s="6" t="s">
        <v>805</v>
      </c>
      <c r="BE54" s="6" t="str">
        <f t="shared" si="26"/>
        <v>=1089*100000000</v>
      </c>
      <c r="BF54" s="1">
        <f>1089*100000000</f>
        <v>108900000000</v>
      </c>
      <c r="BG54" s="8">
        <f t="shared" si="27"/>
        <v>0.61190053285968027</v>
      </c>
      <c r="BH54" s="6" t="s">
        <v>806</v>
      </c>
      <c r="BI54" s="6" t="str">
        <f t="shared" si="28"/>
        <v>=675.6*100000000</v>
      </c>
      <c r="BJ54" s="1">
        <f>675.6*100000000</f>
        <v>67560000000</v>
      </c>
      <c r="BK54" s="6" t="s">
        <v>807</v>
      </c>
      <c r="BL54" s="1" t="str">
        <f t="shared" si="1"/>
        <v>=341.0*100000000</v>
      </c>
      <c r="BM54" s="16">
        <f t="shared" si="29"/>
        <v>0.98123167155425217</v>
      </c>
      <c r="BN54" s="1">
        <f>341*100000000</f>
        <v>34100000000</v>
      </c>
    </row>
    <row r="55" spans="1:66">
      <c r="A55" s="18"/>
      <c r="B55">
        <v>600029</v>
      </c>
      <c r="C55" t="s">
        <v>48</v>
      </c>
      <c r="D55" s="6">
        <f>-143*100000000</f>
        <v>-14300000000</v>
      </c>
      <c r="E55" s="7" t="str">
        <f t="shared" si="0"/>
        <v>=-14300000000</v>
      </c>
      <c r="F55" s="1">
        <f>-14300000000</f>
        <v>-14300000000</v>
      </c>
      <c r="G55" s="8">
        <f t="shared" si="2"/>
        <v>1.0416904625928041</v>
      </c>
      <c r="H55" s="6">
        <f>-70.04*100000000</f>
        <v>-7004000000.000001</v>
      </c>
      <c r="I55" s="6" t="str">
        <f t="shared" si="30"/>
        <v>=-7004000000</v>
      </c>
      <c r="J55" s="1">
        <f>-7004000000</f>
        <v>-7004000000</v>
      </c>
      <c r="K55" s="10">
        <f t="shared" si="3"/>
        <v>0.3255109765329296</v>
      </c>
      <c r="L55" s="6">
        <f>-52.84*100000000</f>
        <v>-5284000000</v>
      </c>
      <c r="M55" s="6" t="str">
        <f t="shared" si="4"/>
        <v>=-5284000000</v>
      </c>
      <c r="N55" s="1">
        <f>-5284000000</f>
        <v>-5284000000</v>
      </c>
      <c r="O55" s="8">
        <f t="shared" si="5"/>
        <v>-2.2024801036461226E-2</v>
      </c>
      <c r="P55" s="6">
        <f>-54.03*100000000</f>
        <v>-5403000000</v>
      </c>
      <c r="Q55" s="6" t="str">
        <f t="shared" si="6"/>
        <v>=-5403000000</v>
      </c>
      <c r="R55" s="11">
        <f>-5403000000</f>
        <v>-5403000000</v>
      </c>
      <c r="S55" s="8">
        <f t="shared" si="7"/>
        <v>-0.65453964194373404</v>
      </c>
      <c r="T55" s="6">
        <f>-156.4*100000000</f>
        <v>-15640000000</v>
      </c>
      <c r="U55" s="6" t="str">
        <f t="shared" si="8"/>
        <v>=-15640000000</v>
      </c>
      <c r="V55" s="1">
        <f>-15640000000</f>
        <v>-15640000000</v>
      </c>
      <c r="W55" s="8">
        <f t="shared" si="9"/>
        <v>0.39393939393939392</v>
      </c>
      <c r="X55" s="6">
        <f>-112.2*100000000</f>
        <v>-11220000000</v>
      </c>
      <c r="Y55" s="6" t="str">
        <f t="shared" si="10"/>
        <v>=-11220000000</v>
      </c>
      <c r="Z55" s="1">
        <f>-11220000000</f>
        <v>-11220000000</v>
      </c>
      <c r="AA55" s="8">
        <f t="shared" si="11"/>
        <v>-8.7804878048780483E-2</v>
      </c>
      <c r="AB55" s="6">
        <f>-123*100000000</f>
        <v>-12300000000</v>
      </c>
      <c r="AC55" s="6" t="str">
        <f t="shared" si="12"/>
        <v>=-12300000000</v>
      </c>
      <c r="AD55" s="1">
        <f>-12300000000</f>
        <v>-12300000000</v>
      </c>
      <c r="AE55" s="8">
        <f t="shared" si="13"/>
        <v>0.59079151577858247</v>
      </c>
      <c r="AF55" s="6">
        <f>-77.32*100000000</f>
        <v>-7731999999.999999</v>
      </c>
      <c r="AG55" s="6" t="str">
        <f t="shared" si="14"/>
        <v>=-7732000000</v>
      </c>
      <c r="AH55" s="1">
        <f>-7732000000</f>
        <v>-7732000000</v>
      </c>
      <c r="AI55" s="8">
        <f t="shared" si="15"/>
        <v>-3.4147407870081192</v>
      </c>
      <c r="AJ55" s="6" t="s">
        <v>808</v>
      </c>
      <c r="AK55" s="6" t="str">
        <f t="shared" si="16"/>
        <v>=32.02*100000000</v>
      </c>
      <c r="AL55" s="1">
        <f>32.02*100000000</f>
        <v>3202000000.0000005</v>
      </c>
      <c r="AM55" s="8">
        <f t="shared" si="17"/>
        <v>-0.40900701365817638</v>
      </c>
      <c r="AN55" s="6" t="s">
        <v>809</v>
      </c>
      <c r="AO55" s="6" t="str">
        <f t="shared" si="18"/>
        <v>=54.18*100000000</v>
      </c>
      <c r="AP55" s="1">
        <f>54.18*100000000</f>
        <v>5418000000</v>
      </c>
      <c r="AQ55" s="8">
        <f t="shared" si="19"/>
        <v>1.606060606060606</v>
      </c>
      <c r="AR55" s="6" t="s">
        <v>810</v>
      </c>
      <c r="AS55" s="6" t="str">
        <f t="shared" si="20"/>
        <v>=20.79*100000000</v>
      </c>
      <c r="AT55" s="1">
        <f>20.79*100000000</f>
        <v>2079000000</v>
      </c>
      <c r="AU55" s="8">
        <f t="shared" si="21"/>
        <v>-0.4148606811145511</v>
      </c>
      <c r="AV55" s="6" t="s">
        <v>811</v>
      </c>
      <c r="AW55" s="6" t="str">
        <f t="shared" si="22"/>
        <v>=35.53*100000000</v>
      </c>
      <c r="AX55" s="1">
        <f>35.53*100000000</f>
        <v>3553000000</v>
      </c>
      <c r="AY55" s="10">
        <f t="shared" si="23"/>
        <v>-0.11374407582938399</v>
      </c>
      <c r="AZ55" s="6" t="s">
        <v>812</v>
      </c>
      <c r="BA55" s="6" t="str">
        <f t="shared" si="24"/>
        <v>=40.09*100000000</v>
      </c>
      <c r="BB55" s="1">
        <f>40.09*100000000</f>
        <v>4009000000.0000005</v>
      </c>
      <c r="BC55" s="8">
        <f t="shared" si="25"/>
        <v>-0.32188768606224621</v>
      </c>
      <c r="BD55" s="6" t="s">
        <v>813</v>
      </c>
      <c r="BE55" s="6" t="str">
        <f t="shared" si="26"/>
        <v>=59.12*100000000</v>
      </c>
      <c r="BF55" s="1">
        <f>59.12*100000000</f>
        <v>5912000000</v>
      </c>
      <c r="BG55" s="8">
        <f t="shared" si="27"/>
        <v>1.0765718299964875</v>
      </c>
      <c r="BH55" s="6" t="s">
        <v>814</v>
      </c>
      <c r="BI55" s="6" t="str">
        <f t="shared" si="28"/>
        <v>=28.47*100000000</v>
      </c>
      <c r="BJ55" s="1">
        <f>28.47*100000000</f>
        <v>2847000000</v>
      </c>
      <c r="BK55" s="6" t="s">
        <v>815</v>
      </c>
      <c r="BL55" s="1" t="str">
        <f t="shared" si="1"/>
        <v>=34.91*100000000</v>
      </c>
      <c r="BM55" s="16">
        <f t="shared" si="29"/>
        <v>-0.18447436264680597</v>
      </c>
      <c r="BN55" s="1">
        <f>34.91*100000000</f>
        <v>3490999999.9999995</v>
      </c>
    </row>
    <row r="56" spans="1:66">
      <c r="A56" s="18"/>
      <c r="B56">
        <v>600029</v>
      </c>
      <c r="C56" t="s">
        <v>58</v>
      </c>
      <c r="D56" s="6">
        <f>-139*100000000</f>
        <v>-13900000000</v>
      </c>
      <c r="E56" s="7" t="str">
        <f t="shared" si="0"/>
        <v>=-13900000000</v>
      </c>
      <c r="F56" s="1">
        <f>-13900000000</f>
        <v>-13900000000</v>
      </c>
      <c r="G56" s="8">
        <f t="shared" si="2"/>
        <v>1.0974800060359138</v>
      </c>
      <c r="H56" s="6">
        <f>-66.27*100000000</f>
        <v>-6627000000</v>
      </c>
      <c r="I56" s="6" t="str">
        <f t="shared" si="30"/>
        <v>=-6627000000</v>
      </c>
      <c r="J56" s="1">
        <f>-6627000000</f>
        <v>-6627000000</v>
      </c>
      <c r="K56" s="10">
        <f t="shared" si="3"/>
        <v>0.30017657445556212</v>
      </c>
      <c r="L56" s="6">
        <f>-50.97*100000000</f>
        <v>-5097000000</v>
      </c>
      <c r="M56" s="6" t="str">
        <f t="shared" si="4"/>
        <v>=-5097000000</v>
      </c>
      <c r="N56" s="1">
        <f>-5097000000</f>
        <v>-5097000000</v>
      </c>
      <c r="O56" s="8">
        <f t="shared" si="5"/>
        <v>-3.9208294062205468E-2</v>
      </c>
      <c r="P56" s="6">
        <f>-53.05*100000000</f>
        <v>-5305000000</v>
      </c>
      <c r="Q56" s="6" t="str">
        <f t="shared" si="6"/>
        <v>=-5305000000</v>
      </c>
      <c r="R56" s="11">
        <f>-5305000000</f>
        <v>-5305000000</v>
      </c>
      <c r="S56" s="8">
        <f t="shared" si="7"/>
        <v>-0.65075707702435814</v>
      </c>
      <c r="T56" s="6">
        <f>-151.9*100000000</f>
        <v>-15190000000</v>
      </c>
      <c r="U56" s="6" t="str">
        <f t="shared" si="8"/>
        <v>=-15190000000</v>
      </c>
      <c r="V56" s="1">
        <f>-15190000000</f>
        <v>-15190000000</v>
      </c>
      <c r="W56" s="8">
        <f t="shared" si="9"/>
        <v>0.41433891992551208</v>
      </c>
      <c r="X56" s="6">
        <f>-107.4*100000000</f>
        <v>-10740000000</v>
      </c>
      <c r="Y56" s="6" t="str">
        <f t="shared" si="10"/>
        <v>=-10740000000</v>
      </c>
      <c r="Z56" s="1">
        <f>-10740000000</f>
        <v>-10740000000</v>
      </c>
      <c r="AA56" s="8">
        <f t="shared" si="11"/>
        <v>-0.10050251256281408</v>
      </c>
      <c r="AB56" s="6">
        <f>-119.4*100000000</f>
        <v>-11940000000</v>
      </c>
      <c r="AC56" s="6" t="str">
        <f t="shared" si="12"/>
        <v>=-11940000000</v>
      </c>
      <c r="AD56" s="1">
        <f>-11940000000</f>
        <v>-11940000000</v>
      </c>
      <c r="AE56" s="8">
        <f t="shared" si="13"/>
        <v>0.57043272392476652</v>
      </c>
      <c r="AF56" s="6">
        <f>-76.03*100000000</f>
        <v>-7603000000</v>
      </c>
      <c r="AG56" s="6" t="str">
        <f t="shared" si="14"/>
        <v>=-7603000000</v>
      </c>
      <c r="AH56" s="1">
        <f>-7603000000</f>
        <v>-7603000000</v>
      </c>
      <c r="AI56" s="8">
        <f t="shared" si="15"/>
        <v>-2.8680589680589677</v>
      </c>
      <c r="AJ56" s="6" t="s">
        <v>816</v>
      </c>
      <c r="AK56" s="6" t="str">
        <f t="shared" si="16"/>
        <v>=40.70*100000000</v>
      </c>
      <c r="AL56" s="1">
        <f>40.7*100000000</f>
        <v>4070000000.0000005</v>
      </c>
      <c r="AM56" s="8">
        <f t="shared" si="17"/>
        <v>-0.3259357403113613</v>
      </c>
      <c r="AN56" s="6" t="s">
        <v>817</v>
      </c>
      <c r="AO56" s="6" t="str">
        <f t="shared" si="18"/>
        <v>=60.38*100000000</v>
      </c>
      <c r="AP56" s="1">
        <f>60.38*100000000</f>
        <v>6038000000</v>
      </c>
      <c r="AQ56" s="8">
        <f t="shared" si="19"/>
        <v>1.5158333333333334</v>
      </c>
      <c r="AR56" s="6" t="s">
        <v>818</v>
      </c>
      <c r="AS56" s="6" t="str">
        <f t="shared" si="20"/>
        <v>=24.00*100000000</v>
      </c>
      <c r="AT56" s="1">
        <f>24*100000000</f>
        <v>2400000000</v>
      </c>
      <c r="AU56" s="8">
        <f t="shared" si="21"/>
        <v>-0.36406995230524641</v>
      </c>
      <c r="AV56" s="6" t="s">
        <v>819</v>
      </c>
      <c r="AW56" s="6" t="str">
        <f t="shared" si="22"/>
        <v>=37.74*100000000</v>
      </c>
      <c r="AX56" s="1">
        <f>37.74*100000000</f>
        <v>3774000000</v>
      </c>
      <c r="AY56" s="10">
        <f t="shared" si="23"/>
        <v>-0.15890349899710274</v>
      </c>
      <c r="AZ56" s="6" t="s">
        <v>820</v>
      </c>
      <c r="BA56" s="6" t="str">
        <f t="shared" si="24"/>
        <v>=44.87*100000000</v>
      </c>
      <c r="BB56" s="1">
        <f>44.87*100000000</f>
        <v>4487000000</v>
      </c>
      <c r="BC56" s="8">
        <f t="shared" si="25"/>
        <v>-0.29802878598247812</v>
      </c>
      <c r="BD56" s="6" t="s">
        <v>821</v>
      </c>
      <c r="BE56" s="6" t="str">
        <f t="shared" si="26"/>
        <v>=63.92*100000000</v>
      </c>
      <c r="BF56" s="1">
        <f>63.92*100000000</f>
        <v>6392000000</v>
      </c>
      <c r="BG56" s="8">
        <f t="shared" si="27"/>
        <v>1.0612705578845534</v>
      </c>
      <c r="BH56" s="6" t="s">
        <v>822</v>
      </c>
      <c r="BI56" s="6" t="str">
        <f t="shared" si="28"/>
        <v>=31.01*100000000</v>
      </c>
      <c r="BJ56" s="1">
        <f>31.01*100000000</f>
        <v>3101000000</v>
      </c>
      <c r="BK56" s="6" t="s">
        <v>823</v>
      </c>
      <c r="BL56" s="1" t="str">
        <f t="shared" si="1"/>
        <v>=37.28*100000000</v>
      </c>
      <c r="BM56" s="16">
        <f t="shared" si="29"/>
        <v>-0.16818669527896996</v>
      </c>
      <c r="BN56" s="1">
        <f>37.28*100000000</f>
        <v>3728000000</v>
      </c>
    </row>
    <row r="57" spans="1:66">
      <c r="A57" s="19"/>
      <c r="B57">
        <v>600029</v>
      </c>
      <c r="C57" t="s">
        <v>68</v>
      </c>
      <c r="D57" s="6">
        <f>-110.1*100000000</f>
        <v>-11010000000</v>
      </c>
      <c r="E57" s="7" t="str">
        <f t="shared" si="0"/>
        <v>=-11010000000</v>
      </c>
      <c r="F57" s="1">
        <f>-11010000000</f>
        <v>-11010000000</v>
      </c>
      <c r="G57" s="8">
        <f t="shared" si="2"/>
        <v>1.1588235294117648</v>
      </c>
      <c r="H57" s="6">
        <f>-51*100000000</f>
        <v>-5100000000</v>
      </c>
      <c r="I57" s="6" t="str">
        <f t="shared" si="30"/>
        <v>=-5100000000</v>
      </c>
      <c r="J57" s="1">
        <f>-5100000000</f>
        <v>-5100000000</v>
      </c>
      <c r="K57" s="10">
        <f t="shared" si="3"/>
        <v>0.28657921291624622</v>
      </c>
      <c r="L57" s="6">
        <f>-39.64*100000000</f>
        <v>-3964000000</v>
      </c>
      <c r="M57" s="6" t="str">
        <f t="shared" si="4"/>
        <v>=-3964000000</v>
      </c>
      <c r="N57" s="1">
        <f>-3964000000</f>
        <v>-3964000000</v>
      </c>
      <c r="O57" s="8">
        <f t="shared" si="5"/>
        <v>-3.6460865337870685E-2</v>
      </c>
      <c r="P57" s="6">
        <f>-41.14*100000000</f>
        <v>-4114000000</v>
      </c>
      <c r="Q57" s="6" t="str">
        <f t="shared" si="6"/>
        <v>=-4114000000</v>
      </c>
      <c r="R57" s="11">
        <f>-4114000000</f>
        <v>-4114000000</v>
      </c>
      <c r="S57" s="8">
        <f t="shared" si="7"/>
        <v>-0.6519458544839255</v>
      </c>
      <c r="T57" s="6">
        <f>-118.2*100000000</f>
        <v>-11820000000</v>
      </c>
      <c r="U57" s="6" t="str">
        <f t="shared" si="8"/>
        <v>=-11820000000</v>
      </c>
      <c r="V57" s="1">
        <f>-11820000000</f>
        <v>-11820000000</v>
      </c>
      <c r="W57" s="8">
        <f t="shared" si="9"/>
        <v>0.38310320617832905</v>
      </c>
      <c r="X57" s="6">
        <f>-85.46*100000000</f>
        <v>-8545999999.999999</v>
      </c>
      <c r="Y57" s="6" t="str">
        <f t="shared" si="10"/>
        <v>=-8546000000</v>
      </c>
      <c r="Z57" s="1">
        <f>-8546000000</f>
        <v>-8546000000</v>
      </c>
      <c r="AA57" s="8">
        <f t="shared" si="11"/>
        <v>-9.814267623469819E-2</v>
      </c>
      <c r="AB57" s="6">
        <f>-94.76*100000000</f>
        <v>-9476000000</v>
      </c>
      <c r="AC57" s="6" t="str">
        <f t="shared" si="12"/>
        <v>=-9476000000</v>
      </c>
      <c r="AD57" s="1">
        <f>-9476000000</f>
        <v>-9476000000</v>
      </c>
      <c r="AE57" s="8">
        <f t="shared" si="13"/>
        <v>0.57670549084858569</v>
      </c>
      <c r="AF57" s="6">
        <f>-60.1*100000000</f>
        <v>-6010000000</v>
      </c>
      <c r="AG57" s="6" t="str">
        <f t="shared" si="14"/>
        <v>=-6010000000</v>
      </c>
      <c r="AH57" s="1">
        <f>-6010000000</f>
        <v>-6010000000</v>
      </c>
      <c r="AI57" s="8">
        <f t="shared" si="15"/>
        <v>-2.9418416801292406</v>
      </c>
      <c r="AJ57" s="6" t="s">
        <v>824</v>
      </c>
      <c r="AK57" s="6" t="str">
        <f t="shared" si="16"/>
        <v>=30.95*100000000</v>
      </c>
      <c r="AL57" s="1">
        <f>30.95*100000000</f>
        <v>3095000000</v>
      </c>
      <c r="AM57" s="8">
        <f t="shared" si="17"/>
        <v>-0.32231223998248304</v>
      </c>
      <c r="AN57" s="6" t="s">
        <v>825</v>
      </c>
      <c r="AO57" s="6" t="str">
        <f t="shared" si="18"/>
        <v>=45.67*100000000</v>
      </c>
      <c r="AP57" s="1">
        <f>45.67*100000000</f>
        <v>4567000000</v>
      </c>
      <c r="AQ57" s="8">
        <f t="shared" si="19"/>
        <v>1.6676401869158879</v>
      </c>
      <c r="AR57" s="6" t="s">
        <v>826</v>
      </c>
      <c r="AS57" s="6" t="str">
        <f t="shared" si="20"/>
        <v>=17.12*100000000</v>
      </c>
      <c r="AT57" s="1">
        <f>17.12*100000000</f>
        <v>1712000000</v>
      </c>
      <c r="AU57" s="8">
        <f t="shared" si="21"/>
        <v>-0.40638002773925103</v>
      </c>
      <c r="AV57" s="6" t="s">
        <v>827</v>
      </c>
      <c r="AW57" s="6" t="str">
        <f t="shared" si="22"/>
        <v>=28.84*100000000</v>
      </c>
      <c r="AX57" s="1">
        <f>28.84*100000000</f>
        <v>2884000000</v>
      </c>
      <c r="AY57" s="10">
        <f t="shared" si="23"/>
        <v>-0.16550925925925927</v>
      </c>
      <c r="AZ57" s="6" t="s">
        <v>828</v>
      </c>
      <c r="BA57" s="6" t="str">
        <f t="shared" si="24"/>
        <v>=34.56*100000000</v>
      </c>
      <c r="BB57" s="1">
        <f>34.56*100000000</f>
        <v>3456000000</v>
      </c>
      <c r="BC57" s="8">
        <f t="shared" si="25"/>
        <v>-0.288449660284126</v>
      </c>
      <c r="BD57" s="6" t="s">
        <v>829</v>
      </c>
      <c r="BE57" s="6" t="str">
        <f t="shared" si="26"/>
        <v>=48.57*100000000</v>
      </c>
      <c r="BF57" s="1">
        <f>48.57*100000000</f>
        <v>4857000000</v>
      </c>
      <c r="BG57" s="8">
        <f t="shared" si="27"/>
        <v>1.0195426195426196</v>
      </c>
      <c r="BH57" s="6" t="s">
        <v>830</v>
      </c>
      <c r="BI57" s="6" t="str">
        <f t="shared" si="28"/>
        <v>=24.05*100000000</v>
      </c>
      <c r="BJ57" s="1">
        <f>24.05*100000000</f>
        <v>2405000000</v>
      </c>
      <c r="BK57" s="6" t="s">
        <v>831</v>
      </c>
      <c r="BL57" s="1" t="str">
        <f t="shared" si="1"/>
        <v>=28.62*100000000</v>
      </c>
      <c r="BM57" s="16">
        <f t="shared" si="29"/>
        <v>-0.1596785464709993</v>
      </c>
      <c r="BN57" s="1">
        <f>28.62*100000000</f>
        <v>2862000000</v>
      </c>
    </row>
    <row r="58" spans="1:66">
      <c r="A58" s="17">
        <v>15</v>
      </c>
      <c r="B58">
        <v>600030</v>
      </c>
      <c r="C58" t="s">
        <v>31</v>
      </c>
      <c r="D58" s="6" t="s">
        <v>832</v>
      </c>
      <c r="E58" s="7" t="str">
        <f t="shared" si="0"/>
        <v>=765.2*100000000</v>
      </c>
      <c r="F58" s="1">
        <f>765.2*100000000</f>
        <v>76520000000</v>
      </c>
      <c r="G58" s="8">
        <f t="shared" si="2"/>
        <v>0.32364642795364124</v>
      </c>
      <c r="H58" s="6" t="s">
        <v>833</v>
      </c>
      <c r="I58" s="6" t="str">
        <f t="shared" si="30"/>
        <v>=578.1*100000000</v>
      </c>
      <c r="J58" s="1">
        <f>578.1*100000000</f>
        <v>57810000000</v>
      </c>
      <c r="K58" s="10">
        <f t="shared" si="3"/>
        <v>0.53260869565217395</v>
      </c>
      <c r="L58" s="6" t="s">
        <v>834</v>
      </c>
      <c r="M58" s="6" t="str">
        <f t="shared" si="4"/>
        <v>=377.2*100000000</v>
      </c>
      <c r="N58" s="1">
        <f>377.2*100000000</f>
        <v>37720000000</v>
      </c>
      <c r="O58" s="8">
        <f t="shared" si="5"/>
        <v>1.3</v>
      </c>
      <c r="P58" s="6" t="s">
        <v>835</v>
      </c>
      <c r="Q58" s="6" t="str">
        <f t="shared" si="6"/>
        <v>=164.0*100000000</v>
      </c>
      <c r="R58" s="11">
        <f>164*100000000</f>
        <v>16400000000</v>
      </c>
      <c r="S58" s="8">
        <f t="shared" si="7"/>
        <v>-0.69841853622655381</v>
      </c>
      <c r="T58" s="6" t="s">
        <v>836</v>
      </c>
      <c r="U58" s="6" t="str">
        <f t="shared" si="8"/>
        <v>=543.8*100000000</v>
      </c>
      <c r="V58" s="1">
        <f>543.8*100000000</f>
        <v>54379999999.999992</v>
      </c>
      <c r="W58" s="8">
        <f t="shared" si="9"/>
        <v>0.29507025482257665</v>
      </c>
      <c r="X58" s="6" t="s">
        <v>837</v>
      </c>
      <c r="Y58" s="6" t="str">
        <f t="shared" si="10"/>
        <v>=419.9*100000000</v>
      </c>
      <c r="Z58" s="1">
        <f>419.9*100000000</f>
        <v>41990000000</v>
      </c>
      <c r="AA58" s="8">
        <f t="shared" si="11"/>
        <v>0.57030665669409142</v>
      </c>
      <c r="AB58" s="6" t="s">
        <v>426</v>
      </c>
      <c r="AC58" s="6" t="str">
        <f t="shared" si="12"/>
        <v>=267.4*100000000</v>
      </c>
      <c r="AD58" s="1">
        <f>267.4*100000000</f>
        <v>26739999999.999996</v>
      </c>
      <c r="AE58" s="8">
        <f t="shared" si="13"/>
        <v>1.0809338521400775</v>
      </c>
      <c r="AF58" s="6" t="s">
        <v>838</v>
      </c>
      <c r="AG58" s="6" t="str">
        <f t="shared" si="14"/>
        <v>=128.5*100000000</v>
      </c>
      <c r="AH58" s="1">
        <f>128.5*100000000</f>
        <v>12850000000</v>
      </c>
      <c r="AI58" s="8">
        <f t="shared" si="15"/>
        <v>-0.70213259156235508</v>
      </c>
      <c r="AJ58" s="6" t="s">
        <v>839</v>
      </c>
      <c r="AK58" s="6" t="str">
        <f t="shared" si="16"/>
        <v>=431.4*100000000</v>
      </c>
      <c r="AL58" s="1">
        <f>431.4*100000000</f>
        <v>43140000000</v>
      </c>
      <c r="AM58" s="8">
        <f t="shared" si="17"/>
        <v>0.31644797070491304</v>
      </c>
      <c r="AN58" s="6" t="s">
        <v>840</v>
      </c>
      <c r="AO58" s="6" t="str">
        <f t="shared" si="18"/>
        <v>=327.7*100000000</v>
      </c>
      <c r="AP58" s="1">
        <f>327.7*100000000</f>
        <v>32770000000</v>
      </c>
      <c r="AQ58" s="8">
        <f t="shared" si="19"/>
        <v>0.50390087195961453</v>
      </c>
      <c r="AR58" s="6" t="s">
        <v>841</v>
      </c>
      <c r="AS58" s="6" t="str">
        <f t="shared" si="20"/>
        <v>=217.9*100000000</v>
      </c>
      <c r="AT58" s="1">
        <f>217.9*100000000</f>
        <v>21790000000</v>
      </c>
      <c r="AU58" s="8">
        <f t="shared" si="21"/>
        <v>1.0712927756653992</v>
      </c>
      <c r="AV58" s="6" t="s">
        <v>842</v>
      </c>
      <c r="AW58" s="6" t="str">
        <f t="shared" si="22"/>
        <v>=105.2*100000000</v>
      </c>
      <c r="AX58" s="1">
        <f>105.2*100000000</f>
        <v>10520000000</v>
      </c>
      <c r="AY58" s="10">
        <f t="shared" si="23"/>
        <v>-0.71735626007522835</v>
      </c>
      <c r="AZ58" s="6" t="s">
        <v>843</v>
      </c>
      <c r="BA58" s="6" t="str">
        <f t="shared" si="24"/>
        <v>=372.2*100000000</v>
      </c>
      <c r="BB58" s="1">
        <f>372.2*100000000</f>
        <v>37220000000</v>
      </c>
      <c r="BC58" s="8">
        <f t="shared" si="25"/>
        <v>0.36787945608232248</v>
      </c>
      <c r="BD58" s="6" t="s">
        <v>844</v>
      </c>
      <c r="BE58" s="6" t="str">
        <f t="shared" si="26"/>
        <v>=272.1*100000000</v>
      </c>
      <c r="BF58" s="1">
        <f>272.1*100000000</f>
        <v>27210000000.000004</v>
      </c>
      <c r="BG58" s="8">
        <f t="shared" si="27"/>
        <v>0.36118059029514776</v>
      </c>
      <c r="BH58" s="6" t="s">
        <v>845</v>
      </c>
      <c r="BI58" s="6" t="str">
        <f t="shared" si="28"/>
        <v>=199.9*100000000</v>
      </c>
      <c r="BJ58" s="1">
        <f>199.9*100000000</f>
        <v>19990000000</v>
      </c>
      <c r="BK58" s="6" t="s">
        <v>846</v>
      </c>
      <c r="BL58" s="1" t="str">
        <f t="shared" si="1"/>
        <v>=97.12*100000000</v>
      </c>
      <c r="BM58" s="16">
        <f t="shared" si="29"/>
        <v>1.0582784184514002</v>
      </c>
      <c r="BN58" s="1">
        <f>97.12*100000000</f>
        <v>9712000000</v>
      </c>
    </row>
    <row r="59" spans="1:66">
      <c r="A59" s="18"/>
      <c r="B59">
        <v>600030</v>
      </c>
      <c r="C59" t="s">
        <v>48</v>
      </c>
      <c r="D59" s="6" t="s">
        <v>847</v>
      </c>
      <c r="E59" s="7" t="str">
        <f t="shared" si="0"/>
        <v>=324.3*100000000</v>
      </c>
      <c r="F59" s="1">
        <f>324.3*100000000</f>
        <v>32430000000</v>
      </c>
      <c r="G59" s="8">
        <f t="shared" si="2"/>
        <v>0.35804020100502515</v>
      </c>
      <c r="H59" s="6" t="s">
        <v>848</v>
      </c>
      <c r="I59" s="6" t="str">
        <f t="shared" si="30"/>
        <v>=238.8*100000000</v>
      </c>
      <c r="J59" s="1">
        <f>238.8*100000000</f>
        <v>23880000000</v>
      </c>
      <c r="K59" s="10">
        <f t="shared" si="3"/>
        <v>0.46144430844553241</v>
      </c>
      <c r="L59" s="6" t="s">
        <v>849</v>
      </c>
      <c r="M59" s="6" t="str">
        <f t="shared" si="4"/>
        <v>=163.4*100000000</v>
      </c>
      <c r="N59" s="1">
        <f>163.4*100000000</f>
        <v>16340000000</v>
      </c>
      <c r="O59" s="8">
        <f t="shared" si="5"/>
        <v>1.390286717378584</v>
      </c>
      <c r="P59" s="6" t="s">
        <v>850</v>
      </c>
      <c r="Q59" s="6" t="str">
        <f t="shared" si="6"/>
        <v>=68.36*100000000</v>
      </c>
      <c r="R59" s="11">
        <f>68.36*100000000</f>
        <v>6836000000</v>
      </c>
      <c r="S59" s="8">
        <f t="shared" si="7"/>
        <v>-0.66879844961240309</v>
      </c>
      <c r="T59" s="6" t="s">
        <v>851</v>
      </c>
      <c r="U59" s="6" t="str">
        <f t="shared" si="8"/>
        <v>=206.4*100000000</v>
      </c>
      <c r="V59" s="1">
        <f>206.4*100000000</f>
        <v>20640000000</v>
      </c>
      <c r="W59" s="8">
        <f t="shared" si="9"/>
        <v>0.21554770318021188</v>
      </c>
      <c r="X59" s="6" t="s">
        <v>852</v>
      </c>
      <c r="Y59" s="6" t="str">
        <f t="shared" si="10"/>
        <v>=169.8*100000000</v>
      </c>
      <c r="Z59" s="1">
        <f>169.8*100000000</f>
        <v>16980000000.000002</v>
      </c>
      <c r="AA59" s="8">
        <f t="shared" si="11"/>
        <v>0.42929292929292945</v>
      </c>
      <c r="AB59" s="6" t="s">
        <v>853</v>
      </c>
      <c r="AC59" s="6" t="str">
        <f t="shared" si="12"/>
        <v>=118.8*100000000</v>
      </c>
      <c r="AD59" s="1">
        <f>118.8*100000000</f>
        <v>11880000000</v>
      </c>
      <c r="AE59" s="8">
        <f t="shared" si="13"/>
        <v>1.1471172962226641</v>
      </c>
      <c r="AF59" s="6" t="s">
        <v>854</v>
      </c>
      <c r="AG59" s="6" t="str">
        <f t="shared" si="14"/>
        <v>=55.33*100000000</v>
      </c>
      <c r="AH59" s="1">
        <f>55.33*100000000</f>
        <v>5533000000</v>
      </c>
      <c r="AI59" s="8">
        <f t="shared" si="15"/>
        <v>-0.67472075249853025</v>
      </c>
      <c r="AJ59" s="6" t="s">
        <v>855</v>
      </c>
      <c r="AK59" s="6" t="str">
        <f t="shared" si="16"/>
        <v>=170.1*100000000</v>
      </c>
      <c r="AL59" s="1">
        <f>170.1*100000000</f>
        <v>17010000000</v>
      </c>
      <c r="AM59" s="8">
        <f t="shared" si="17"/>
        <v>0.17716262975778546</v>
      </c>
      <c r="AN59" s="6" t="s">
        <v>856</v>
      </c>
      <c r="AO59" s="6" t="str">
        <f t="shared" si="18"/>
        <v>=144.5*100000000</v>
      </c>
      <c r="AP59" s="1">
        <f>144.5*100000000</f>
        <v>14450000000</v>
      </c>
      <c r="AQ59" s="8">
        <f t="shared" si="19"/>
        <v>0.61814109742441214</v>
      </c>
      <c r="AR59" s="6" t="s">
        <v>857</v>
      </c>
      <c r="AS59" s="6" t="str">
        <f t="shared" si="20"/>
        <v>=89.30*100000000</v>
      </c>
      <c r="AT59" s="1">
        <f>89.3*100000000</f>
        <v>8930000000</v>
      </c>
      <c r="AU59" s="8">
        <f t="shared" si="21"/>
        <v>0.55683403068340309</v>
      </c>
      <c r="AV59" s="6" t="s">
        <v>858</v>
      </c>
      <c r="AW59" s="6" t="str">
        <f t="shared" si="22"/>
        <v>=57.36*100000000</v>
      </c>
      <c r="AX59" s="1">
        <f>57.36*100000000</f>
        <v>5736000000</v>
      </c>
      <c r="AY59" s="10">
        <f t="shared" si="23"/>
        <v>-0.52358803986710967</v>
      </c>
      <c r="AZ59" s="6" t="s">
        <v>509</v>
      </c>
      <c r="BA59" s="6" t="str">
        <f t="shared" si="24"/>
        <v>=120.4*100000000</v>
      </c>
      <c r="BB59" s="1">
        <f>120.4*100000000</f>
        <v>12040000000</v>
      </c>
      <c r="BC59" s="8">
        <f t="shared" si="25"/>
        <v>0.25299198667915496</v>
      </c>
      <c r="BD59" s="6" t="s">
        <v>859</v>
      </c>
      <c r="BE59" s="6" t="str">
        <f t="shared" si="26"/>
        <v>=96.09*100000000</v>
      </c>
      <c r="BF59" s="1">
        <f>96.09*100000000</f>
        <v>9609000000</v>
      </c>
      <c r="BG59" s="8">
        <f t="shared" si="27"/>
        <v>0.30486148832156434</v>
      </c>
      <c r="BH59" s="6" t="s">
        <v>860</v>
      </c>
      <c r="BI59" s="6" t="str">
        <f t="shared" si="28"/>
        <v>=73.64*100000000</v>
      </c>
      <c r="BJ59" s="1">
        <f>73.64*100000000</f>
        <v>7364000000</v>
      </c>
      <c r="BK59" s="6" t="s">
        <v>861</v>
      </c>
      <c r="BL59" s="1" t="str">
        <f t="shared" si="1"/>
        <v>=36.24*100000000</v>
      </c>
      <c r="BM59" s="16">
        <f t="shared" si="29"/>
        <v>1.0320088300220751</v>
      </c>
      <c r="BN59" s="1">
        <f>36.24*100000000</f>
        <v>3624000000</v>
      </c>
    </row>
    <row r="60" spans="1:66">
      <c r="A60" s="18"/>
      <c r="B60">
        <v>600030</v>
      </c>
      <c r="C60" t="s">
        <v>58</v>
      </c>
      <c r="D60" s="6" t="s">
        <v>862</v>
      </c>
      <c r="E60" s="7" t="str">
        <f t="shared" si="0"/>
        <v>=318.9*100000000</v>
      </c>
      <c r="F60" s="1">
        <f>318.9*100000000</f>
        <v>31889999999.999996</v>
      </c>
      <c r="G60" s="8">
        <f t="shared" si="2"/>
        <v>0.33766778523489915</v>
      </c>
      <c r="H60" s="6" t="s">
        <v>863</v>
      </c>
      <c r="I60" s="6" t="str">
        <f t="shared" si="30"/>
        <v>=238.4*100000000</v>
      </c>
      <c r="J60" s="1">
        <f>238.4*100000000</f>
        <v>23840000000</v>
      </c>
      <c r="K60" s="10">
        <f t="shared" si="3"/>
        <v>0.46347452424800489</v>
      </c>
      <c r="L60" s="6" t="s">
        <v>864</v>
      </c>
      <c r="M60" s="6" t="str">
        <f t="shared" si="4"/>
        <v>=162.9*100000000</v>
      </c>
      <c r="N60" s="1">
        <f>162.9*100000000</f>
        <v>16290000000</v>
      </c>
      <c r="O60" s="8">
        <f t="shared" si="5"/>
        <v>1.3808827828120434</v>
      </c>
      <c r="P60" s="6" t="s">
        <v>865</v>
      </c>
      <c r="Q60" s="6" t="str">
        <f t="shared" si="6"/>
        <v>=68.42*100000000</v>
      </c>
      <c r="R60" s="11">
        <f>68.42*100000000</f>
        <v>6842000000</v>
      </c>
      <c r="S60" s="8">
        <f t="shared" si="7"/>
        <v>-0.66575476306790426</v>
      </c>
      <c r="T60" s="6" t="s">
        <v>866</v>
      </c>
      <c r="U60" s="6" t="str">
        <f t="shared" si="8"/>
        <v>=204.7*100000000</v>
      </c>
      <c r="V60" s="1">
        <f>204.7*100000000</f>
        <v>20470000000</v>
      </c>
      <c r="W60" s="8">
        <f t="shared" si="9"/>
        <v>0.20553592461719658</v>
      </c>
      <c r="X60" s="6" t="s">
        <v>852</v>
      </c>
      <c r="Y60" s="6" t="str">
        <f t="shared" si="10"/>
        <v>=169.8*100000000</v>
      </c>
      <c r="Z60" s="1">
        <f>169.8*100000000</f>
        <v>16980000000.000002</v>
      </c>
      <c r="AA60" s="8">
        <f t="shared" si="11"/>
        <v>0.43049705139005912</v>
      </c>
      <c r="AB60" s="6" t="s">
        <v>526</v>
      </c>
      <c r="AC60" s="6" t="str">
        <f t="shared" si="12"/>
        <v>=118.7*100000000</v>
      </c>
      <c r="AD60" s="1">
        <f>118.7*100000000</f>
        <v>11870000000</v>
      </c>
      <c r="AE60" s="8">
        <f t="shared" si="13"/>
        <v>1.1453099584312307</v>
      </c>
      <c r="AF60" s="6" t="s">
        <v>854</v>
      </c>
      <c r="AG60" s="6" t="str">
        <f t="shared" si="14"/>
        <v>=55.33*100000000</v>
      </c>
      <c r="AH60" s="1">
        <f>55.33*100000000</f>
        <v>5533000000</v>
      </c>
      <c r="AI60" s="8">
        <f t="shared" si="15"/>
        <v>-0.67433784579164213</v>
      </c>
      <c r="AJ60" s="6" t="s">
        <v>867</v>
      </c>
      <c r="AK60" s="6" t="str">
        <f t="shared" si="16"/>
        <v>=169.9*100000000</v>
      </c>
      <c r="AL60" s="1">
        <f>169.9*100000000</f>
        <v>16990000000</v>
      </c>
      <c r="AM60" s="8">
        <f t="shared" si="17"/>
        <v>0.17577854671280277</v>
      </c>
      <c r="AN60" s="6" t="s">
        <v>856</v>
      </c>
      <c r="AO60" s="6" t="str">
        <f t="shared" si="18"/>
        <v>=144.5*100000000</v>
      </c>
      <c r="AP60" s="1">
        <f>144.5*100000000</f>
        <v>14450000000</v>
      </c>
      <c r="AQ60" s="8">
        <f t="shared" si="19"/>
        <v>0.61777877295118677</v>
      </c>
      <c r="AR60" s="6" t="s">
        <v>868</v>
      </c>
      <c r="AS60" s="6" t="str">
        <f t="shared" si="20"/>
        <v>=89.32*100000000</v>
      </c>
      <c r="AT60" s="1">
        <f>89.32*100000000</f>
        <v>8932000000</v>
      </c>
      <c r="AU60" s="8">
        <f t="shared" si="21"/>
        <v>0.5569112776712567</v>
      </c>
      <c r="AV60" s="6" t="s">
        <v>869</v>
      </c>
      <c r="AW60" s="6" t="str">
        <f t="shared" si="22"/>
        <v>=57.37*100000000</v>
      </c>
      <c r="AX60" s="1">
        <f>57.37*100000000</f>
        <v>5737000000</v>
      </c>
      <c r="AY60" s="10">
        <f t="shared" si="23"/>
        <v>-0.53993584603047318</v>
      </c>
      <c r="AZ60" s="6" t="s">
        <v>548</v>
      </c>
      <c r="BA60" s="6" t="str">
        <f t="shared" si="24"/>
        <v>=124.7*100000000</v>
      </c>
      <c r="BB60" s="1">
        <f>124.7*100000000</f>
        <v>12470000000</v>
      </c>
      <c r="BC60" s="8">
        <f t="shared" si="25"/>
        <v>0.29397115284839681</v>
      </c>
      <c r="BD60" s="6" t="s">
        <v>870</v>
      </c>
      <c r="BE60" s="6" t="str">
        <f t="shared" si="26"/>
        <v>=96.37*100000000</v>
      </c>
      <c r="BF60" s="1">
        <f>96.37*100000000</f>
        <v>9637000000</v>
      </c>
      <c r="BG60" s="8">
        <f t="shared" si="27"/>
        <v>0.3033540708682716</v>
      </c>
      <c r="BH60" s="6" t="s">
        <v>871</v>
      </c>
      <c r="BI60" s="6" t="str">
        <f t="shared" si="28"/>
        <v>=73.94*100000000</v>
      </c>
      <c r="BJ60" s="1">
        <f>73.94*100000000</f>
        <v>7394000000</v>
      </c>
      <c r="BK60" s="6" t="s">
        <v>872</v>
      </c>
      <c r="BL60" s="1" t="str">
        <f t="shared" si="1"/>
        <v>=36.44*100000000</v>
      </c>
      <c r="BM60" s="16">
        <f t="shared" si="29"/>
        <v>1.0290889132821075</v>
      </c>
      <c r="BN60" s="1">
        <f>36.44*100000000</f>
        <v>3644000000</v>
      </c>
    </row>
    <row r="61" spans="1:66">
      <c r="A61" s="19"/>
      <c r="B61">
        <v>600030</v>
      </c>
      <c r="C61" t="s">
        <v>68</v>
      </c>
      <c r="D61" s="6" t="s">
        <v>774</v>
      </c>
      <c r="E61" s="7" t="str">
        <f t="shared" si="0"/>
        <v>=240.1*100000000</v>
      </c>
      <c r="F61" s="1">
        <f>240.1*100000000</f>
        <v>24010000000</v>
      </c>
      <c r="G61" s="8">
        <f t="shared" si="2"/>
        <v>0.31202185792349729</v>
      </c>
      <c r="H61" s="6" t="s">
        <v>873</v>
      </c>
      <c r="I61" s="6" t="str">
        <f t="shared" si="30"/>
        <v>=183.0*100000000</v>
      </c>
      <c r="J61" s="1">
        <f>183*100000000</f>
        <v>18300000000</v>
      </c>
      <c r="K61" s="10">
        <f t="shared" si="3"/>
        <v>0.45353455123113584</v>
      </c>
      <c r="L61" s="6" t="s">
        <v>874</v>
      </c>
      <c r="M61" s="6" t="str">
        <f t="shared" si="4"/>
        <v>=125.9*100000000</v>
      </c>
      <c r="N61" s="1">
        <f>125.9*100000000</f>
        <v>12590000000</v>
      </c>
      <c r="O61" s="8">
        <f t="shared" si="5"/>
        <v>1.3563541081789257</v>
      </c>
      <c r="P61" s="6" t="s">
        <v>875</v>
      </c>
      <c r="Q61" s="6" t="str">
        <f t="shared" si="6"/>
        <v>=53.43*100000000</v>
      </c>
      <c r="R61" s="11">
        <f>53.43*100000000</f>
        <v>5343000000</v>
      </c>
      <c r="S61" s="8">
        <f t="shared" si="7"/>
        <v>-0.65573453608247423</v>
      </c>
      <c r="T61" s="6" t="s">
        <v>876</v>
      </c>
      <c r="U61" s="6" t="str">
        <f t="shared" si="8"/>
        <v>=155.2*100000000</v>
      </c>
      <c r="V61" s="1">
        <f>155.2*100000000</f>
        <v>15519999999.999998</v>
      </c>
      <c r="W61" s="8">
        <f t="shared" si="9"/>
        <v>0.18382913806254753</v>
      </c>
      <c r="X61" s="6" t="s">
        <v>877</v>
      </c>
      <c r="Y61" s="6" t="str">
        <f t="shared" si="10"/>
        <v>=131.1*100000000</v>
      </c>
      <c r="Z61" s="1">
        <f>131.1*100000000</f>
        <v>13110000000</v>
      </c>
      <c r="AA61" s="8">
        <f t="shared" si="11"/>
        <v>0.42190889370932755</v>
      </c>
      <c r="AB61" s="6" t="s">
        <v>878</v>
      </c>
      <c r="AC61" s="6" t="str">
        <f t="shared" si="12"/>
        <v>=92.20*100000000</v>
      </c>
      <c r="AD61" s="1">
        <f>92.2*100000000</f>
        <v>9220000000</v>
      </c>
      <c r="AE61" s="8">
        <f t="shared" si="13"/>
        <v>1.1832820269950273</v>
      </c>
      <c r="AF61" s="6" t="s">
        <v>879</v>
      </c>
      <c r="AG61" s="6" t="str">
        <f t="shared" si="14"/>
        <v>=42.23*100000000</v>
      </c>
      <c r="AH61" s="1">
        <f>42.23*100000000</f>
        <v>4222999999.9999995</v>
      </c>
      <c r="AI61" s="8">
        <f t="shared" si="15"/>
        <v>-0.66616600790513836</v>
      </c>
      <c r="AJ61" s="6" t="s">
        <v>880</v>
      </c>
      <c r="AK61" s="6" t="str">
        <f t="shared" si="16"/>
        <v>=126.5*100000000</v>
      </c>
      <c r="AL61" s="1">
        <f>126.5*100000000</f>
        <v>12650000000</v>
      </c>
      <c r="AM61" s="8">
        <f t="shared" si="17"/>
        <v>0.16589861751152074</v>
      </c>
      <c r="AN61" s="6" t="s">
        <v>881</v>
      </c>
      <c r="AO61" s="6" t="str">
        <f t="shared" si="18"/>
        <v>=108.5*100000000</v>
      </c>
      <c r="AP61" s="1">
        <f>108.5*100000000</f>
        <v>10850000000</v>
      </c>
      <c r="AQ61" s="8">
        <f t="shared" si="19"/>
        <v>0.62815126050420167</v>
      </c>
      <c r="AR61" s="6" t="s">
        <v>882</v>
      </c>
      <c r="AS61" s="6" t="str">
        <f t="shared" si="20"/>
        <v>=66.64*100000000</v>
      </c>
      <c r="AT61" s="1">
        <f>66.64*100000000</f>
        <v>6664000000</v>
      </c>
      <c r="AU61" s="8">
        <f t="shared" si="21"/>
        <v>0.52949277025476249</v>
      </c>
      <c r="AV61" s="6" t="s">
        <v>883</v>
      </c>
      <c r="AW61" s="6" t="str">
        <f t="shared" si="22"/>
        <v>=43.57*100000000</v>
      </c>
      <c r="AX61" s="1">
        <f>43.57*100000000</f>
        <v>4357000000</v>
      </c>
      <c r="AY61" s="10">
        <f t="shared" si="23"/>
        <v>-0.5588294856217092</v>
      </c>
      <c r="AZ61" s="6" t="s">
        <v>884</v>
      </c>
      <c r="BA61" s="6" t="str">
        <f t="shared" si="24"/>
        <v>=98.76*100000000</v>
      </c>
      <c r="BB61" s="1">
        <f>98.76*100000000</f>
        <v>9876000000</v>
      </c>
      <c r="BC61" s="8">
        <f t="shared" si="25"/>
        <v>0.28543537680593517</v>
      </c>
      <c r="BD61" s="6" t="s">
        <v>885</v>
      </c>
      <c r="BE61" s="6" t="str">
        <f t="shared" si="26"/>
        <v>=76.83*100000000</v>
      </c>
      <c r="BF61" s="1">
        <f>76.83*100000000</f>
        <v>7683000000</v>
      </c>
      <c r="BG61" s="8">
        <f t="shared" si="27"/>
        <v>0.31942297784647089</v>
      </c>
      <c r="BH61" s="6" t="s">
        <v>886</v>
      </c>
      <c r="BI61" s="6" t="str">
        <f t="shared" si="28"/>
        <v>=58.23*100000000</v>
      </c>
      <c r="BJ61" s="1">
        <f>58.23*100000000</f>
        <v>5823000000</v>
      </c>
      <c r="BK61" s="6" t="s">
        <v>887</v>
      </c>
      <c r="BL61" s="1" t="str">
        <f t="shared" si="1"/>
        <v>=27.98*100000000</v>
      </c>
      <c r="BM61" s="16">
        <f t="shared" si="29"/>
        <v>1.0811293781272338</v>
      </c>
      <c r="BN61" s="1">
        <f>27.98*100000000</f>
        <v>2798000000</v>
      </c>
    </row>
    <row r="62" spans="1:66">
      <c r="A62" s="17">
        <v>16</v>
      </c>
      <c r="B62">
        <v>600033</v>
      </c>
      <c r="C62" t="s">
        <v>31</v>
      </c>
      <c r="D62" s="6" t="s">
        <v>888</v>
      </c>
      <c r="E62" s="7" t="str">
        <f t="shared" si="0"/>
        <v>=29.77*100000000</v>
      </c>
      <c r="F62" s="1">
        <f>29.77*100000000</f>
        <v>2977000000</v>
      </c>
      <c r="G62" s="8">
        <f t="shared" si="2"/>
        <v>0.33617594254937161</v>
      </c>
      <c r="H62" s="6" t="s">
        <v>315</v>
      </c>
      <c r="I62" s="6" t="str">
        <f t="shared" si="30"/>
        <v>=22.28*100000000</v>
      </c>
      <c r="J62" s="1">
        <f>22.28*100000000</f>
        <v>2228000000</v>
      </c>
      <c r="K62" s="10">
        <f t="shared" si="3"/>
        <v>0.49329758713136729</v>
      </c>
      <c r="L62" s="6" t="s">
        <v>889</v>
      </c>
      <c r="M62" s="6" t="str">
        <f t="shared" si="4"/>
        <v>=14.92*100000000</v>
      </c>
      <c r="N62" s="1">
        <f>14.92*100000000</f>
        <v>1492000000</v>
      </c>
      <c r="O62" s="8">
        <f t="shared" si="5"/>
        <v>1.0704968082153761</v>
      </c>
      <c r="P62" s="6" t="s">
        <v>890</v>
      </c>
      <c r="Q62" s="6" t="str">
        <f t="shared" si="6"/>
        <v>=7.206*100000000</v>
      </c>
      <c r="R62" s="11">
        <f>7.206*100000000</f>
        <v>720600000</v>
      </c>
      <c r="S62" s="8">
        <f t="shared" si="7"/>
        <v>-0.69019776440240754</v>
      </c>
      <c r="T62" s="6" t="s">
        <v>891</v>
      </c>
      <c r="U62" s="6" t="str">
        <f t="shared" si="8"/>
        <v>=23.26*100000000</v>
      </c>
      <c r="V62" s="1">
        <f>23.26*100000000</f>
        <v>2326000000</v>
      </c>
      <c r="W62" s="8">
        <f t="shared" si="9"/>
        <v>0.5322793148880105</v>
      </c>
      <c r="X62" s="6" t="s">
        <v>892</v>
      </c>
      <c r="Y62" s="6" t="str">
        <f t="shared" si="10"/>
        <v>=15.18*100000000</v>
      </c>
      <c r="Z62" s="1">
        <f>15.18*100000000</f>
        <v>1518000000</v>
      </c>
      <c r="AA62" s="8">
        <f t="shared" si="11"/>
        <v>1.1990438939591481</v>
      </c>
      <c r="AB62" s="6" t="s">
        <v>893</v>
      </c>
      <c r="AC62" s="6" t="str">
        <f t="shared" si="12"/>
        <v>=6.903*100000000</v>
      </c>
      <c r="AD62" s="1">
        <f>6.903*100000000</f>
        <v>690300000</v>
      </c>
      <c r="AE62" s="8">
        <f t="shared" si="13"/>
        <v>2.1164785553047403</v>
      </c>
      <c r="AF62" s="6" t="s">
        <v>894</v>
      </c>
      <c r="AG62" s="6" t="str">
        <f t="shared" si="14"/>
        <v>=2.215*100000000</v>
      </c>
      <c r="AH62" s="1">
        <f>2.215*100000000</f>
        <v>221500000</v>
      </c>
      <c r="AI62" s="8">
        <f t="shared" si="15"/>
        <v>-0.92372589531680438</v>
      </c>
      <c r="AJ62" s="6" t="s">
        <v>895</v>
      </c>
      <c r="AK62" s="6" t="str">
        <f t="shared" si="16"/>
        <v>=29.04*100000000</v>
      </c>
      <c r="AL62" s="1">
        <f>29.04*100000000</f>
        <v>2904000000</v>
      </c>
      <c r="AM62" s="8">
        <f t="shared" si="17"/>
        <v>0.38947368421052647</v>
      </c>
      <c r="AN62" s="6" t="s">
        <v>896</v>
      </c>
      <c r="AO62" s="6" t="str">
        <f t="shared" si="18"/>
        <v>=20.90*100000000</v>
      </c>
      <c r="AP62" s="1">
        <f>20.9*100000000</f>
        <v>2089999999.9999998</v>
      </c>
      <c r="AQ62" s="8">
        <f t="shared" si="19"/>
        <v>0.54585798816568032</v>
      </c>
      <c r="AR62" s="6" t="s">
        <v>897</v>
      </c>
      <c r="AS62" s="6" t="str">
        <f t="shared" si="20"/>
        <v>=13.52*100000000</v>
      </c>
      <c r="AT62" s="1">
        <f>13.52*100000000</f>
        <v>1352000000</v>
      </c>
      <c r="AU62" s="8">
        <f t="shared" si="21"/>
        <v>1.0167064439140812</v>
      </c>
      <c r="AV62" s="6" t="s">
        <v>898</v>
      </c>
      <c r="AW62" s="6" t="str">
        <f t="shared" si="22"/>
        <v>=6.704*100000000</v>
      </c>
      <c r="AX62" s="1">
        <f>6.704*100000000</f>
        <v>670400000</v>
      </c>
      <c r="AY62" s="10">
        <f t="shared" si="23"/>
        <v>-0.74825384904243331</v>
      </c>
      <c r="AZ62" s="6" t="s">
        <v>899</v>
      </c>
      <c r="BA62" s="6" t="str">
        <f t="shared" si="24"/>
        <v>=26.63*100000000</v>
      </c>
      <c r="BB62" s="1">
        <f>26.63*100000000</f>
        <v>2663000000</v>
      </c>
      <c r="BC62" s="8">
        <f t="shared" si="25"/>
        <v>0.35177664974619288</v>
      </c>
      <c r="BD62" s="6" t="s">
        <v>900</v>
      </c>
      <c r="BE62" s="6" t="str">
        <f t="shared" si="26"/>
        <v>=19.70*100000000</v>
      </c>
      <c r="BF62" s="1">
        <f>19.7*100000000</f>
        <v>1970000000</v>
      </c>
      <c r="BG62" s="8">
        <f t="shared" si="27"/>
        <v>0.54509803921568623</v>
      </c>
      <c r="BH62" s="6" t="s">
        <v>901</v>
      </c>
      <c r="BI62" s="6" t="str">
        <f t="shared" si="28"/>
        <v>=12.75*100000000</v>
      </c>
      <c r="BJ62" s="1">
        <f>12.75*100000000</f>
        <v>1275000000</v>
      </c>
      <c r="BK62" s="6" t="s">
        <v>902</v>
      </c>
      <c r="BL62" s="1" t="str">
        <f t="shared" si="1"/>
        <v>=6.239*100000000</v>
      </c>
      <c r="BM62" s="16">
        <f t="shared" si="29"/>
        <v>1.0435967302452316</v>
      </c>
      <c r="BN62" s="1">
        <f>6.239*100000000</f>
        <v>623900000</v>
      </c>
    </row>
    <row r="63" spans="1:66">
      <c r="A63" s="18"/>
      <c r="B63">
        <v>600033</v>
      </c>
      <c r="C63" t="s">
        <v>48</v>
      </c>
      <c r="D63" s="6" t="s">
        <v>892</v>
      </c>
      <c r="E63" s="7" t="str">
        <f t="shared" si="0"/>
        <v>=15.18*100000000</v>
      </c>
      <c r="F63" s="1">
        <f>15.18*100000000</f>
        <v>1518000000</v>
      </c>
      <c r="G63" s="8">
        <f t="shared" si="2"/>
        <v>0.22518159806295399</v>
      </c>
      <c r="H63" s="6" t="s">
        <v>903</v>
      </c>
      <c r="I63" s="6" t="str">
        <f t="shared" si="30"/>
        <v>=12.39*100000000</v>
      </c>
      <c r="J63" s="1">
        <f>12.39*100000000</f>
        <v>1239000000</v>
      </c>
      <c r="K63" s="10">
        <f t="shared" si="3"/>
        <v>0.46142958244869076</v>
      </c>
      <c r="L63" s="6" t="s">
        <v>904</v>
      </c>
      <c r="M63" s="6" t="str">
        <f t="shared" si="4"/>
        <v>=8.478*100000000</v>
      </c>
      <c r="N63" s="1">
        <f>8.478*100000000</f>
        <v>847800000</v>
      </c>
      <c r="O63" s="8">
        <f t="shared" si="5"/>
        <v>0.97392316647264265</v>
      </c>
      <c r="P63" s="6" t="s">
        <v>905</v>
      </c>
      <c r="Q63" s="6" t="str">
        <f t="shared" si="6"/>
        <v>=4.295*100000000</v>
      </c>
      <c r="R63" s="11">
        <f>4.295*100000000</f>
        <v>429500000</v>
      </c>
      <c r="S63" s="8">
        <f t="shared" si="7"/>
        <v>-0.56782048701952104</v>
      </c>
      <c r="T63" s="6" t="s">
        <v>906</v>
      </c>
      <c r="U63" s="6" t="str">
        <f t="shared" si="8"/>
        <v>=9.938*100000000</v>
      </c>
      <c r="V63" s="1">
        <f>9.938*100000000</f>
        <v>993800000.00000012</v>
      </c>
      <c r="W63" s="8">
        <f t="shared" si="9"/>
        <v>0.71256246768912657</v>
      </c>
      <c r="X63" s="6" t="s">
        <v>907</v>
      </c>
      <c r="Y63" s="6" t="str">
        <f t="shared" si="10"/>
        <v>=5.803*100000000</v>
      </c>
      <c r="Z63" s="1">
        <f>5.803*100000000</f>
        <v>580300000</v>
      </c>
      <c r="AA63" s="8">
        <f t="shared" si="11"/>
        <v>4.7455445544554458</v>
      </c>
      <c r="AB63" s="6" t="s">
        <v>908</v>
      </c>
      <c r="AC63" s="6" t="str">
        <f t="shared" si="12"/>
        <v>=1.010*100000000</v>
      </c>
      <c r="AD63" s="1">
        <f>1.01*100000000</f>
        <v>101000000</v>
      </c>
      <c r="AE63" s="8">
        <f t="shared" si="13"/>
        <v>-3.7386117136659438</v>
      </c>
      <c r="AF63" s="7">
        <f>-3688*10000</f>
        <v>-36880000</v>
      </c>
      <c r="AG63" s="6" t="str">
        <f t="shared" si="14"/>
        <v>=-36880000</v>
      </c>
      <c r="AH63" s="1">
        <f>-36880000</f>
        <v>-36880000</v>
      </c>
      <c r="AI63" s="8">
        <f t="shared" si="15"/>
        <v>-1.024375413086583</v>
      </c>
      <c r="AJ63" s="6" t="s">
        <v>909</v>
      </c>
      <c r="AK63" s="6" t="str">
        <f t="shared" si="16"/>
        <v>=15.13*100000000</v>
      </c>
      <c r="AL63" s="1">
        <f>15.13*100000000</f>
        <v>1513000000</v>
      </c>
      <c r="AM63" s="8">
        <f t="shared" si="17"/>
        <v>0.31565217391304345</v>
      </c>
      <c r="AN63" s="6" t="s">
        <v>910</v>
      </c>
      <c r="AO63" s="6" t="str">
        <f t="shared" si="18"/>
        <v>=11.50*100000000</v>
      </c>
      <c r="AP63" s="1">
        <f>11.5*100000000</f>
        <v>1150000000</v>
      </c>
      <c r="AQ63" s="8">
        <f t="shared" si="19"/>
        <v>0.50859241768332675</v>
      </c>
      <c r="AR63" s="6" t="s">
        <v>911</v>
      </c>
      <c r="AS63" s="6" t="str">
        <f t="shared" si="20"/>
        <v>=7.623*100000000</v>
      </c>
      <c r="AT63" s="1">
        <f>7.623*100000000</f>
        <v>762300000</v>
      </c>
      <c r="AU63" s="8">
        <f t="shared" si="21"/>
        <v>1.1017369727047146</v>
      </c>
      <c r="AV63" s="6" t="s">
        <v>912</v>
      </c>
      <c r="AW63" s="6" t="str">
        <f t="shared" si="22"/>
        <v>=3.627*100000000</v>
      </c>
      <c r="AX63" s="1">
        <f>3.627*100000000</f>
        <v>362700000</v>
      </c>
      <c r="AY63" s="10">
        <f t="shared" si="23"/>
        <v>-0.71970633693972175</v>
      </c>
      <c r="AZ63" s="6" t="s">
        <v>913</v>
      </c>
      <c r="BA63" s="6" t="str">
        <f t="shared" si="24"/>
        <v>=12.94*100000000</v>
      </c>
      <c r="BB63" s="1">
        <f>12.94*100000000</f>
        <v>1294000000</v>
      </c>
      <c r="BC63" s="8">
        <f t="shared" si="25"/>
        <v>0.23355576739752146</v>
      </c>
      <c r="BD63" s="6" t="s">
        <v>720</v>
      </c>
      <c r="BE63" s="6" t="str">
        <f t="shared" si="26"/>
        <v>=10.49*100000000</v>
      </c>
      <c r="BF63" s="1">
        <f>10.49*100000000</f>
        <v>1049000000</v>
      </c>
      <c r="BG63" s="8">
        <f t="shared" si="27"/>
        <v>0.54994089834515369</v>
      </c>
      <c r="BH63" s="6" t="s">
        <v>914</v>
      </c>
      <c r="BI63" s="6" t="str">
        <f t="shared" si="28"/>
        <v>=6.768*100000000</v>
      </c>
      <c r="BJ63" s="1">
        <f>6.768*100000000</f>
        <v>676800000</v>
      </c>
      <c r="BK63" s="6" t="s">
        <v>915</v>
      </c>
      <c r="BL63" s="1" t="str">
        <f t="shared" si="1"/>
        <v>=3.243*100000000</v>
      </c>
      <c r="BM63" s="16">
        <f t="shared" si="29"/>
        <v>1.0869565217391304</v>
      </c>
      <c r="BN63" s="1">
        <f>3.243*100000000</f>
        <v>324300000</v>
      </c>
    </row>
    <row r="64" spans="1:66">
      <c r="A64" s="18"/>
      <c r="B64">
        <v>600033</v>
      </c>
      <c r="C64" t="s">
        <v>58</v>
      </c>
      <c r="D64" s="6" t="s">
        <v>916</v>
      </c>
      <c r="E64" s="7" t="str">
        <f t="shared" si="0"/>
        <v>=14.48*100000000</v>
      </c>
      <c r="F64" s="1">
        <f>14.48*100000000</f>
        <v>1448000000</v>
      </c>
      <c r="G64" s="8">
        <f t="shared" si="2"/>
        <v>0.20365752285951788</v>
      </c>
      <c r="H64" s="6" t="s">
        <v>917</v>
      </c>
      <c r="I64" s="6" t="str">
        <f t="shared" si="30"/>
        <v>=12.03*100000000</v>
      </c>
      <c r="J64" s="1">
        <f>12.03*100000000</f>
        <v>1203000000</v>
      </c>
      <c r="K64" s="10">
        <f t="shared" si="3"/>
        <v>0.48886138613861385</v>
      </c>
      <c r="L64" s="6" t="s">
        <v>918</v>
      </c>
      <c r="M64" s="6" t="str">
        <f t="shared" si="4"/>
        <v>=8.080*100000000</v>
      </c>
      <c r="N64" s="1">
        <f>8.08*100000000</f>
        <v>808000000</v>
      </c>
      <c r="O64" s="8">
        <f t="shared" si="5"/>
        <v>1.0851612903225807</v>
      </c>
      <c r="P64" s="6" t="s">
        <v>919</v>
      </c>
      <c r="Q64" s="6" t="str">
        <f t="shared" si="6"/>
        <v>=3.875*100000000</v>
      </c>
      <c r="R64" s="11">
        <f>3.875*100000000</f>
        <v>387500000</v>
      </c>
      <c r="S64" s="8">
        <f t="shared" si="7"/>
        <v>-0.50849822425164892</v>
      </c>
      <c r="T64" s="6" t="s">
        <v>920</v>
      </c>
      <c r="U64" s="6" t="str">
        <f t="shared" si="8"/>
        <v>=7.884*100000000</v>
      </c>
      <c r="V64" s="1">
        <f>7.884*100000000</f>
        <v>788400000</v>
      </c>
      <c r="W64" s="8">
        <f t="shared" si="9"/>
        <v>0.72252567183744809</v>
      </c>
      <c r="X64" s="6" t="s">
        <v>921</v>
      </c>
      <c r="Y64" s="6" t="str">
        <f t="shared" si="10"/>
        <v>=4.577*100000000</v>
      </c>
      <c r="Z64" s="1">
        <f>4.577*100000000</f>
        <v>457700000</v>
      </c>
      <c r="AA64" s="8">
        <f t="shared" si="11"/>
        <v>7.0908608803252609</v>
      </c>
      <c r="AB64" s="7" t="s">
        <v>922</v>
      </c>
      <c r="AC64" s="6" t="str">
        <f t="shared" si="12"/>
        <v>=5657*10000</v>
      </c>
      <c r="AD64" s="1">
        <f>5657*10000</f>
        <v>56570000</v>
      </c>
      <c r="AE64" s="8">
        <f t="shared" si="13"/>
        <v>-2.5272678185745141</v>
      </c>
      <c r="AF64" s="7">
        <f>-3704*10000</f>
        <v>-37040000</v>
      </c>
      <c r="AG64" s="6" t="str">
        <f t="shared" si="14"/>
        <v>=-37040000</v>
      </c>
      <c r="AH64" s="1">
        <f>-37040000</f>
        <v>-37040000</v>
      </c>
      <c r="AI64" s="8">
        <f t="shared" si="15"/>
        <v>-1.0254046639231824</v>
      </c>
      <c r="AJ64" s="6" t="s">
        <v>923</v>
      </c>
      <c r="AK64" s="6" t="str">
        <f t="shared" si="16"/>
        <v>=14.58*100000000</v>
      </c>
      <c r="AL64" s="1">
        <f>14.58*100000000</f>
        <v>1458000000</v>
      </c>
      <c r="AM64" s="8">
        <f t="shared" si="17"/>
        <v>0.26452732003469209</v>
      </c>
      <c r="AN64" s="6" t="s">
        <v>924</v>
      </c>
      <c r="AO64" s="6" t="str">
        <f t="shared" si="18"/>
        <v>=11.53*100000000</v>
      </c>
      <c r="AP64" s="1">
        <f>11.53*100000000</f>
        <v>1153000000</v>
      </c>
      <c r="AQ64" s="8">
        <f t="shared" si="19"/>
        <v>0.50856993327227529</v>
      </c>
      <c r="AR64" s="6" t="s">
        <v>925</v>
      </c>
      <c r="AS64" s="6" t="str">
        <f t="shared" si="20"/>
        <v>=7.643*100000000</v>
      </c>
      <c r="AT64" s="1">
        <f>7.643*100000000</f>
        <v>764300000</v>
      </c>
      <c r="AU64" s="8">
        <f t="shared" si="21"/>
        <v>1.1026134800550207</v>
      </c>
      <c r="AV64" s="6" t="s">
        <v>926</v>
      </c>
      <c r="AW64" s="6" t="str">
        <f t="shared" si="22"/>
        <v>=3.635*100000000</v>
      </c>
      <c r="AX64" s="1">
        <f>3.635*100000000</f>
        <v>363500000</v>
      </c>
      <c r="AY64" s="10">
        <f t="shared" si="23"/>
        <v>-0.72059953881629513</v>
      </c>
      <c r="AZ64" s="6" t="s">
        <v>177</v>
      </c>
      <c r="BA64" s="6" t="str">
        <f t="shared" si="24"/>
        <v>=13.01*100000000</v>
      </c>
      <c r="BB64" s="1">
        <f>13.01*100000000</f>
        <v>1301000000</v>
      </c>
      <c r="BC64" s="8">
        <f t="shared" si="25"/>
        <v>0.22735849056603774</v>
      </c>
      <c r="BD64" s="6" t="s">
        <v>927</v>
      </c>
      <c r="BE64" s="6" t="str">
        <f t="shared" si="26"/>
        <v>=10.60*100000000</v>
      </c>
      <c r="BF64" s="1">
        <f>10.6*100000000</f>
        <v>1060000000</v>
      </c>
      <c r="BG64" s="8">
        <f t="shared" si="27"/>
        <v>0.55084125822970009</v>
      </c>
      <c r="BH64" s="6" t="s">
        <v>928</v>
      </c>
      <c r="BI64" s="6" t="str">
        <f t="shared" si="28"/>
        <v>=6.835*100000000</v>
      </c>
      <c r="BJ64" s="1">
        <f>6.835*100000000</f>
        <v>683500000</v>
      </c>
      <c r="BK64" s="6" t="s">
        <v>929</v>
      </c>
      <c r="BL64" s="1" t="str">
        <f t="shared" si="1"/>
        <v>=3.297*100000000</v>
      </c>
      <c r="BM64" s="16">
        <f t="shared" si="29"/>
        <v>1.0730967546254171</v>
      </c>
      <c r="BN64" s="1">
        <f>3.297*100000000</f>
        <v>329700000</v>
      </c>
    </row>
    <row r="65" spans="1:66">
      <c r="A65" s="19"/>
      <c r="B65">
        <v>600033</v>
      </c>
      <c r="C65" t="s">
        <v>68</v>
      </c>
      <c r="D65" s="6" t="s">
        <v>930</v>
      </c>
      <c r="E65" s="7" t="str">
        <f t="shared" si="0"/>
        <v>=10.57*100000000</v>
      </c>
      <c r="F65" s="1">
        <f>10.57*100000000</f>
        <v>1057000000</v>
      </c>
      <c r="G65" s="8">
        <f t="shared" si="2"/>
        <v>0.16602316602316602</v>
      </c>
      <c r="H65" s="6" t="s">
        <v>931</v>
      </c>
      <c r="I65" s="6" t="str">
        <f t="shared" si="30"/>
        <v>=9.065*100000000</v>
      </c>
      <c r="J65" s="1">
        <f>9.065*100000000</f>
        <v>906500000</v>
      </c>
      <c r="K65" s="10">
        <f t="shared" si="3"/>
        <v>0.4759036144578313</v>
      </c>
      <c r="L65" s="6" t="s">
        <v>932</v>
      </c>
      <c r="M65" s="6" t="str">
        <f t="shared" si="4"/>
        <v>=6.142*100000000</v>
      </c>
      <c r="N65" s="1">
        <f>6.142*100000000</f>
        <v>614200000</v>
      </c>
      <c r="O65" s="8">
        <f t="shared" si="5"/>
        <v>1.1289428076256498</v>
      </c>
      <c r="P65" s="6" t="s">
        <v>933</v>
      </c>
      <c r="Q65" s="6" t="str">
        <f t="shared" si="6"/>
        <v>=2.885*100000000</v>
      </c>
      <c r="R65" s="11">
        <f>2.885*100000000</f>
        <v>288500000</v>
      </c>
      <c r="S65" s="8">
        <f t="shared" si="7"/>
        <v>-0.5011239840913021</v>
      </c>
      <c r="T65" s="6" t="s">
        <v>934</v>
      </c>
      <c r="U65" s="6" t="str">
        <f t="shared" si="8"/>
        <v>=5.783*100000000</v>
      </c>
      <c r="V65" s="1">
        <f>5.783*100000000</f>
        <v>578300000</v>
      </c>
      <c r="W65" s="8">
        <f t="shared" si="9"/>
        <v>0.73351318944844124</v>
      </c>
      <c r="X65" s="6" t="s">
        <v>935</v>
      </c>
      <c r="Y65" s="6" t="str">
        <f t="shared" si="10"/>
        <v>=3.336*100000000</v>
      </c>
      <c r="Z65" s="1">
        <f>3.336*100000000</f>
        <v>333600000</v>
      </c>
      <c r="AA65" s="8">
        <f t="shared" si="11"/>
        <v>9.1213592233009706</v>
      </c>
      <c r="AB65" s="7" t="s">
        <v>936</v>
      </c>
      <c r="AC65" s="6" t="str">
        <f t="shared" si="12"/>
        <v>=3296*10000</v>
      </c>
      <c r="AD65" s="1">
        <f>3296*10000</f>
        <v>32960000</v>
      </c>
      <c r="AE65" s="8">
        <f t="shared" si="13"/>
        <v>-2.0342014433636648</v>
      </c>
      <c r="AF65" s="7">
        <f>-3187*10000</f>
        <v>-31870000</v>
      </c>
      <c r="AG65" s="6" t="str">
        <f t="shared" si="14"/>
        <v>=-31870000</v>
      </c>
      <c r="AH65" s="1">
        <f>-31870000</f>
        <v>-31870000</v>
      </c>
      <c r="AI65" s="8">
        <f t="shared" si="15"/>
        <v>-1.029481961147086</v>
      </c>
      <c r="AJ65" s="6" t="s">
        <v>937</v>
      </c>
      <c r="AK65" s="6" t="str">
        <f t="shared" si="16"/>
        <v>=10.81*100000000</v>
      </c>
      <c r="AL65" s="1">
        <f>10.81*100000000</f>
        <v>1081000000</v>
      </c>
      <c r="AM65" s="8">
        <f t="shared" si="17"/>
        <v>0.25246205538176342</v>
      </c>
      <c r="AN65" s="6" t="s">
        <v>938</v>
      </c>
      <c r="AO65" s="6" t="str">
        <f t="shared" si="18"/>
        <v>=8.631*100000000</v>
      </c>
      <c r="AP65" s="1">
        <f>8.631*100000000</f>
        <v>863100000</v>
      </c>
      <c r="AQ65" s="8">
        <f t="shared" si="19"/>
        <v>0.49739764052741153</v>
      </c>
      <c r="AR65" s="6" t="s">
        <v>939</v>
      </c>
      <c r="AS65" s="6" t="str">
        <f t="shared" si="20"/>
        <v>=5.764*100000000</v>
      </c>
      <c r="AT65" s="1">
        <f>5.764*100000000</f>
        <v>576400000</v>
      </c>
      <c r="AU65" s="8">
        <f t="shared" si="21"/>
        <v>1.1783824640967497</v>
      </c>
      <c r="AV65" s="6" t="s">
        <v>940</v>
      </c>
      <c r="AW65" s="6" t="str">
        <f t="shared" si="22"/>
        <v>=2.646*100000000</v>
      </c>
      <c r="AX65" s="1">
        <f>2.646*100000000</f>
        <v>264600000</v>
      </c>
      <c r="AY65" s="10">
        <f t="shared" si="23"/>
        <v>-0.72385723231058241</v>
      </c>
      <c r="AZ65" s="6" t="s">
        <v>941</v>
      </c>
      <c r="BA65" s="6" t="str">
        <f t="shared" si="24"/>
        <v>=9.582*100000000</v>
      </c>
      <c r="BB65" s="1">
        <f>9.582*100000000</f>
        <v>958200000.00000012</v>
      </c>
      <c r="BC65" s="8">
        <f t="shared" si="25"/>
        <v>0.22172638021165386</v>
      </c>
      <c r="BD65" s="6" t="s">
        <v>942</v>
      </c>
      <c r="BE65" s="6" t="str">
        <f t="shared" si="26"/>
        <v>=7.843*100000000</v>
      </c>
      <c r="BF65" s="1">
        <f>7.843*100000000</f>
        <v>784300000</v>
      </c>
      <c r="BG65" s="8">
        <f t="shared" si="27"/>
        <v>0.54177314723805781</v>
      </c>
      <c r="BH65" s="6" t="s">
        <v>943</v>
      </c>
      <c r="BI65" s="6" t="str">
        <f t="shared" si="28"/>
        <v>=5.087*100000000</v>
      </c>
      <c r="BJ65" s="1">
        <f>5.087*100000000</f>
        <v>508700000</v>
      </c>
      <c r="BK65" s="6" t="s">
        <v>944</v>
      </c>
      <c r="BL65" s="1" t="str">
        <f t="shared" si="1"/>
        <v>=2.410*100000000</v>
      </c>
      <c r="BM65" s="16">
        <f t="shared" si="29"/>
        <v>1.1107883817427386</v>
      </c>
      <c r="BN65" s="1">
        <f>2.41*100000000</f>
        <v>241000000</v>
      </c>
    </row>
    <row r="66" spans="1:66">
      <c r="A66" s="17">
        <v>17</v>
      </c>
      <c r="B66">
        <v>600036</v>
      </c>
      <c r="C66" t="s">
        <v>31</v>
      </c>
      <c r="D66" s="6" t="s">
        <v>945</v>
      </c>
      <c r="E66" s="7" t="str">
        <f t="shared" ref="E66:E129" si="31">"="&amp;D66</f>
        <v>=3313*100000000</v>
      </c>
      <c r="F66" s="1">
        <f>3313*100000000</f>
        <v>331300000000</v>
      </c>
      <c r="G66" s="8">
        <f t="shared" si="2"/>
        <v>0.31782020684168655</v>
      </c>
      <c r="H66" s="6" t="s">
        <v>946</v>
      </c>
      <c r="I66" s="6" t="str">
        <f t="shared" si="30"/>
        <v>=2514*100000000</v>
      </c>
      <c r="J66" s="1">
        <f>2514*100000000</f>
        <v>251400000000</v>
      </c>
      <c r="K66" s="10">
        <f t="shared" si="3"/>
        <v>0.49021932424422049</v>
      </c>
      <c r="L66" s="6" t="s">
        <v>947</v>
      </c>
      <c r="M66" s="6" t="str">
        <f t="shared" si="4"/>
        <v>=1687*100000000</v>
      </c>
      <c r="N66" s="1">
        <f>1687*100000000</f>
        <v>168700000000</v>
      </c>
      <c r="O66" s="8">
        <f t="shared" si="5"/>
        <v>0.99056047197640118</v>
      </c>
      <c r="P66" s="6" t="s">
        <v>948</v>
      </c>
      <c r="Q66" s="6" t="str">
        <f t="shared" si="6"/>
        <v>=847.5*100000000</v>
      </c>
      <c r="R66" s="11">
        <f>847.5*100000000</f>
        <v>84750000000</v>
      </c>
      <c r="S66" s="8">
        <f t="shared" si="7"/>
        <v>-0.70826161790017217</v>
      </c>
      <c r="T66" s="6" t="s">
        <v>949</v>
      </c>
      <c r="U66" s="6" t="str">
        <f t="shared" si="8"/>
        <v>=2905*100000000</v>
      </c>
      <c r="V66" s="1">
        <f>2905*100000000</f>
        <v>290500000000</v>
      </c>
      <c r="W66" s="8">
        <f t="shared" si="9"/>
        <v>0.31210478771454381</v>
      </c>
      <c r="X66" s="6" t="s">
        <v>950</v>
      </c>
      <c r="Y66" s="6" t="str">
        <f t="shared" si="10"/>
        <v>=2214*100000000</v>
      </c>
      <c r="Z66" s="1">
        <f>2214*100000000</f>
        <v>221400000000</v>
      </c>
      <c r="AA66" s="8">
        <f t="shared" si="11"/>
        <v>0.49191374663072779</v>
      </c>
      <c r="AB66" s="6" t="s">
        <v>951</v>
      </c>
      <c r="AC66" s="6" t="str">
        <f t="shared" si="12"/>
        <v>=1484*100000000</v>
      </c>
      <c r="AD66" s="1">
        <f>1484*100000000</f>
        <v>148400000000</v>
      </c>
      <c r="AE66" s="8">
        <f t="shared" si="13"/>
        <v>0.93733681462140994</v>
      </c>
      <c r="AF66" s="6" t="s">
        <v>952</v>
      </c>
      <c r="AG66" s="6" t="str">
        <f t="shared" si="14"/>
        <v>=766.0*100000000</v>
      </c>
      <c r="AH66" s="1">
        <f>766*100000000</f>
        <v>76600000000</v>
      </c>
      <c r="AI66" s="8">
        <f t="shared" si="15"/>
        <v>-0.71598071931776053</v>
      </c>
      <c r="AJ66" s="6" t="s">
        <v>953</v>
      </c>
      <c r="AK66" s="6" t="str">
        <f t="shared" si="16"/>
        <v>=2697*100000000</v>
      </c>
      <c r="AL66" s="1">
        <f>2697*100000000</f>
        <v>269700000000</v>
      </c>
      <c r="AM66" s="8">
        <f t="shared" si="17"/>
        <v>0.29850746268656714</v>
      </c>
      <c r="AN66" s="6" t="s">
        <v>954</v>
      </c>
      <c r="AO66" s="6" t="str">
        <f t="shared" si="18"/>
        <v>=2077*100000000</v>
      </c>
      <c r="AP66" s="1">
        <f>2077*100000000</f>
        <v>207700000000</v>
      </c>
      <c r="AQ66" s="8">
        <f t="shared" si="19"/>
        <v>0.50180766449746927</v>
      </c>
      <c r="AR66" s="6" t="s">
        <v>955</v>
      </c>
      <c r="AS66" s="6" t="str">
        <f t="shared" si="20"/>
        <v>=1383*100000000</v>
      </c>
      <c r="AT66" s="1">
        <f>1383*100000000</f>
        <v>138300000000</v>
      </c>
      <c r="AU66" s="8">
        <f t="shared" si="21"/>
        <v>1.0119290078556882</v>
      </c>
      <c r="AV66" s="6" t="s">
        <v>956</v>
      </c>
      <c r="AW66" s="6" t="str">
        <f t="shared" si="22"/>
        <v>=687.4*100000000</v>
      </c>
      <c r="AX66" s="1">
        <f>687.4*100000000</f>
        <v>68740000000</v>
      </c>
      <c r="AY66" s="10">
        <f t="shared" si="23"/>
        <v>-0.72349155269509247</v>
      </c>
      <c r="AZ66" s="6" t="s">
        <v>957</v>
      </c>
      <c r="BA66" s="6" t="str">
        <f t="shared" si="24"/>
        <v>=2486*100000000</v>
      </c>
      <c r="BB66" s="1">
        <f>2486*100000000</f>
        <v>248600000000</v>
      </c>
      <c r="BC66" s="8">
        <f t="shared" si="25"/>
        <v>0.32093517534537724</v>
      </c>
      <c r="BD66" s="6" t="s">
        <v>958</v>
      </c>
      <c r="BE66" s="6" t="str">
        <f t="shared" si="26"/>
        <v>=1882*100000000</v>
      </c>
      <c r="BF66" s="1">
        <f>1882*100000000</f>
        <v>188200000000</v>
      </c>
      <c r="BG66" s="8">
        <f t="shared" si="27"/>
        <v>0.49246629659000796</v>
      </c>
      <c r="BH66" s="6" t="s">
        <v>959</v>
      </c>
      <c r="BI66" s="6" t="str">
        <f t="shared" si="28"/>
        <v>=1261*100000000</v>
      </c>
      <c r="BJ66" s="1">
        <f>1261*100000000</f>
        <v>126100000000</v>
      </c>
      <c r="BK66" s="6" t="s">
        <v>960</v>
      </c>
      <c r="BL66" s="1" t="str">
        <f t="shared" ref="BL66:BL129" si="32">"="&amp;BK66</f>
        <v>=613.0*100000000</v>
      </c>
      <c r="BM66" s="16">
        <f t="shared" si="29"/>
        <v>1.0570962479608483</v>
      </c>
      <c r="BN66" s="1">
        <f>613*100000000</f>
        <v>61300000000</v>
      </c>
    </row>
    <row r="67" spans="1:66">
      <c r="A67" s="18"/>
      <c r="B67">
        <v>600036</v>
      </c>
      <c r="C67" t="s">
        <v>48</v>
      </c>
      <c r="D67" s="6" t="s">
        <v>961</v>
      </c>
      <c r="E67" s="7" t="str">
        <f t="shared" si="31"/>
        <v>=1480*100000000</v>
      </c>
      <c r="F67" s="1">
        <f>1480*100000000</f>
        <v>148000000000</v>
      </c>
      <c r="G67" s="8">
        <f t="shared" ref="G67:G130" si="33">(F67-J67)/J67</f>
        <v>0.26929674099485418</v>
      </c>
      <c r="H67" s="6" t="s">
        <v>962</v>
      </c>
      <c r="I67" s="6" t="str">
        <f t="shared" ref="I67:I130" si="34">"="&amp;H67</f>
        <v>=1166*100000000</v>
      </c>
      <c r="J67" s="1">
        <f>1166*100000000</f>
        <v>116600000000</v>
      </c>
      <c r="K67" s="10">
        <f t="shared" ref="K67:K130" si="35">(J67-N67)/N67</f>
        <v>0.52938090241343128</v>
      </c>
      <c r="L67" s="6" t="s">
        <v>963</v>
      </c>
      <c r="M67" s="6" t="str">
        <f t="shared" ref="M67:M130" si="36">"="&amp;L67</f>
        <v>=762.4*100000000</v>
      </c>
      <c r="N67" s="1">
        <f>762.4*100000000</f>
        <v>76240000000</v>
      </c>
      <c r="O67" s="8">
        <f t="shared" ref="O67:O130" si="37">(N67-R67)/R67</f>
        <v>0.90600000000000003</v>
      </c>
      <c r="P67" s="6" t="s">
        <v>964</v>
      </c>
      <c r="Q67" s="6" t="str">
        <f t="shared" ref="Q67:Q130" si="38">"="&amp;P67</f>
        <v>=400.0*100000000</v>
      </c>
      <c r="R67" s="11">
        <f>400*100000000</f>
        <v>40000000000</v>
      </c>
      <c r="S67" s="8">
        <f t="shared" ref="S67:S130" si="39">(R67-V67)/V67</f>
        <v>-0.67373572593800979</v>
      </c>
      <c r="T67" s="6" t="s">
        <v>965</v>
      </c>
      <c r="U67" s="6" t="str">
        <f t="shared" ref="U67:U130" si="40">"="&amp;T67</f>
        <v>=1226*100000000</v>
      </c>
      <c r="V67" s="1">
        <f>1226*100000000</f>
        <v>122600000000</v>
      </c>
      <c r="W67" s="8">
        <f t="shared" ref="W67:W130" si="41">(V67-Z67)/Z67</f>
        <v>0.25038245792962777</v>
      </c>
      <c r="X67" s="6" t="s">
        <v>966</v>
      </c>
      <c r="Y67" s="6" t="str">
        <f t="shared" ref="Y67:Y130" si="42">"="&amp;X67</f>
        <v>=980.5*100000000</v>
      </c>
      <c r="Z67" s="1">
        <f>980.5*100000000</f>
        <v>98050000000</v>
      </c>
      <c r="AA67" s="8">
        <f t="shared" ref="AA67:AA130" si="43">(Z67-AD67)/AD67</f>
        <v>0.55560844042519453</v>
      </c>
      <c r="AB67" s="6" t="s">
        <v>967</v>
      </c>
      <c r="AC67" s="6" t="str">
        <f t="shared" ref="AC67:AC130" si="44">"="&amp;AB67</f>
        <v>=630.3*100000000</v>
      </c>
      <c r="AD67" s="1">
        <f>630.3*100000000</f>
        <v>63029999999.999992</v>
      </c>
      <c r="AE67" s="8">
        <f t="shared" ref="AE67:AE130" si="45">(AD67-AH67)/AH67</f>
        <v>0.79419299743808691</v>
      </c>
      <c r="AF67" s="6" t="s">
        <v>968</v>
      </c>
      <c r="AG67" s="6" t="str">
        <f t="shared" ref="AG67:AG130" si="46">"="&amp;AF67</f>
        <v>=351.3*100000000</v>
      </c>
      <c r="AH67" s="1">
        <f>351.3*100000000</f>
        <v>35130000000</v>
      </c>
      <c r="AI67" s="8">
        <f t="shared" ref="AI67:AI130" si="47">(AH67-AL67)/AL67</f>
        <v>-0.69974358974358974</v>
      </c>
      <c r="AJ67" s="6" t="s">
        <v>969</v>
      </c>
      <c r="AK67" s="6" t="str">
        <f t="shared" ref="AK67:AK130" si="48">"="&amp;AJ67</f>
        <v>=1170*100000000</v>
      </c>
      <c r="AL67" s="1">
        <f>1170*100000000</f>
        <v>117000000000</v>
      </c>
      <c r="AM67" s="8">
        <f t="shared" ref="AM67:AM130" si="49">(AL67-AP67)/AP67</f>
        <v>0.18589093857693087</v>
      </c>
      <c r="AN67" s="6" t="s">
        <v>970</v>
      </c>
      <c r="AO67" s="6" t="str">
        <f t="shared" ref="AO67:AO130" si="50">"="&amp;AN67</f>
        <v>=986.6*100000000</v>
      </c>
      <c r="AP67" s="1">
        <f>986.6*100000000</f>
        <v>98660000000</v>
      </c>
      <c r="AQ67" s="8">
        <f t="shared" ref="AQ67:AQ130" si="51">(AP67-AT67)/AT67</f>
        <v>0.52159161011721156</v>
      </c>
      <c r="AR67" s="6" t="s">
        <v>971</v>
      </c>
      <c r="AS67" s="6" t="str">
        <f t="shared" ref="AS67:AS130" si="52">"="&amp;AR67</f>
        <v>=648.4*100000000</v>
      </c>
      <c r="AT67" s="1">
        <f>648.4*100000000</f>
        <v>64840000000</v>
      </c>
      <c r="AU67" s="8">
        <f t="shared" ref="AU67:AU130" si="53">(AT67-AX67)/AX67</f>
        <v>0.96187594553706501</v>
      </c>
      <c r="AV67" s="6" t="s">
        <v>972</v>
      </c>
      <c r="AW67" s="6" t="str">
        <f t="shared" ref="AW67:AW130" si="54">"="&amp;AV67</f>
        <v>=330.5*100000000</v>
      </c>
      <c r="AX67" s="1">
        <f>330.5*100000000</f>
        <v>33050000000</v>
      </c>
      <c r="AY67" s="10">
        <f t="shared" ref="AY67:AY130" si="55">(AX67-BB67)/BB67</f>
        <v>-0.68996247654784237</v>
      </c>
      <c r="AZ67" s="6" t="s">
        <v>973</v>
      </c>
      <c r="BA67" s="6" t="str">
        <f t="shared" ref="BA67:BA130" si="56">"="&amp;AZ67</f>
        <v>=1066*100000000</v>
      </c>
      <c r="BB67" s="1">
        <f>1066*100000000</f>
        <v>106600000000</v>
      </c>
      <c r="BC67" s="8">
        <f t="shared" ref="BC67:BC130" si="57">(BB67-BF67)/BF67</f>
        <v>0.20424762765476728</v>
      </c>
      <c r="BD67" s="6" t="s">
        <v>974</v>
      </c>
      <c r="BE67" s="6" t="str">
        <f t="shared" ref="BE67:BE130" si="58">"="&amp;BD67</f>
        <v>=885.2*100000000</v>
      </c>
      <c r="BF67" s="1">
        <f>885.2*100000000</f>
        <v>88520000000</v>
      </c>
      <c r="BG67" s="8">
        <f t="shared" ref="BG67:BG130" si="59">(BF67-BJ67)/BJ67</f>
        <v>0.50059332090184772</v>
      </c>
      <c r="BH67" s="6" t="s">
        <v>975</v>
      </c>
      <c r="BI67" s="6" t="str">
        <f t="shared" ref="BI67:BI130" si="60">"="&amp;BH67</f>
        <v>=589.9*100000000</v>
      </c>
      <c r="BJ67" s="1">
        <f>589.9*100000000</f>
        <v>58990000000</v>
      </c>
      <c r="BK67" s="6" t="s">
        <v>976</v>
      </c>
      <c r="BL67" s="1" t="str">
        <f t="shared" si="32"/>
        <v>=292.7*100000000</v>
      </c>
      <c r="BM67" s="16">
        <f t="shared" ref="BM67:BM130" si="61">(BJ67-BN67)/BN67</f>
        <v>1.0153741031773147</v>
      </c>
      <c r="BN67" s="1">
        <f>292.7*100000000</f>
        <v>29270000000</v>
      </c>
    </row>
    <row r="68" spans="1:66">
      <c r="A68" s="18"/>
      <c r="B68">
        <v>600036</v>
      </c>
      <c r="C68" t="s">
        <v>58</v>
      </c>
      <c r="D68" s="6" t="s">
        <v>977</v>
      </c>
      <c r="E68" s="7" t="str">
        <f t="shared" si="31"/>
        <v>=1482*100000000</v>
      </c>
      <c r="F68" s="1">
        <f>1482*100000000</f>
        <v>148200000000</v>
      </c>
      <c r="G68" s="8">
        <f t="shared" si="33"/>
        <v>0.26992287917737789</v>
      </c>
      <c r="H68" s="6" t="s">
        <v>801</v>
      </c>
      <c r="I68" s="6" t="str">
        <f t="shared" si="34"/>
        <v>=1167*100000000</v>
      </c>
      <c r="J68" s="1">
        <f>1167*100000000</f>
        <v>116700000000</v>
      </c>
      <c r="K68" s="10">
        <f t="shared" si="35"/>
        <v>0.52908805031446537</v>
      </c>
      <c r="L68" s="6" t="s">
        <v>978</v>
      </c>
      <c r="M68" s="6" t="str">
        <f t="shared" si="36"/>
        <v>=763.2*100000000</v>
      </c>
      <c r="N68" s="1">
        <f>763.2*100000000</f>
        <v>76320000000</v>
      </c>
      <c r="O68" s="8">
        <f t="shared" si="37"/>
        <v>0.90371663756547771</v>
      </c>
      <c r="P68" s="6" t="s">
        <v>979</v>
      </c>
      <c r="Q68" s="6" t="str">
        <f t="shared" si="38"/>
        <v>=400.9*100000000</v>
      </c>
      <c r="R68" s="11">
        <f>400.9*100000000</f>
        <v>40090000000</v>
      </c>
      <c r="S68" s="8">
        <f t="shared" si="39"/>
        <v>-0.67246732026143796</v>
      </c>
      <c r="T68" s="6" t="s">
        <v>980</v>
      </c>
      <c r="U68" s="6" t="str">
        <f t="shared" si="40"/>
        <v>=1224*100000000</v>
      </c>
      <c r="V68" s="1">
        <f>1224*100000000</f>
        <v>122400000000</v>
      </c>
      <c r="W68" s="8">
        <f t="shared" si="41"/>
        <v>0.25012766826677563</v>
      </c>
      <c r="X68" s="6" t="s">
        <v>981</v>
      </c>
      <c r="Y68" s="6" t="str">
        <f t="shared" si="42"/>
        <v>=979.1*100000000</v>
      </c>
      <c r="Z68" s="1">
        <f>979.1*100000000</f>
        <v>97910000000</v>
      </c>
      <c r="AA68" s="8">
        <f t="shared" si="43"/>
        <v>0.55808402291534054</v>
      </c>
      <c r="AB68" s="6" t="s">
        <v>982</v>
      </c>
      <c r="AC68" s="6" t="str">
        <f t="shared" si="44"/>
        <v>=628.4*100000000</v>
      </c>
      <c r="AD68" s="1">
        <f>628.4*100000000</f>
        <v>62840000000</v>
      </c>
      <c r="AE68" s="8">
        <f t="shared" si="45"/>
        <v>0.80057306590257882</v>
      </c>
      <c r="AF68" s="6" t="s">
        <v>983</v>
      </c>
      <c r="AG68" s="6" t="str">
        <f t="shared" si="46"/>
        <v>=349.0*100000000</v>
      </c>
      <c r="AH68" s="1">
        <f>349*100000000</f>
        <v>34900000000</v>
      </c>
      <c r="AI68" s="8">
        <f t="shared" si="47"/>
        <v>-0.70196413321947049</v>
      </c>
      <c r="AJ68" s="6" t="s">
        <v>984</v>
      </c>
      <c r="AK68" s="6" t="str">
        <f t="shared" si="48"/>
        <v>=1171*100000000</v>
      </c>
      <c r="AL68" s="1">
        <f>1171*100000000</f>
        <v>117100000000</v>
      </c>
      <c r="AM68" s="8">
        <f t="shared" si="49"/>
        <v>0.1866639643291447</v>
      </c>
      <c r="AN68" s="6" t="s">
        <v>985</v>
      </c>
      <c r="AO68" s="6" t="str">
        <f t="shared" si="50"/>
        <v>=986.8*100000000</v>
      </c>
      <c r="AP68" s="1">
        <f>986.8*100000000</f>
        <v>98680000000</v>
      </c>
      <c r="AQ68" s="8">
        <f t="shared" si="51"/>
        <v>0.5211962386311082</v>
      </c>
      <c r="AR68" s="6" t="s">
        <v>986</v>
      </c>
      <c r="AS68" s="6" t="str">
        <f t="shared" si="52"/>
        <v>=648.7*100000000</v>
      </c>
      <c r="AT68" s="1">
        <f>648.7*100000000</f>
        <v>64870000000.000008</v>
      </c>
      <c r="AU68" s="8">
        <f t="shared" si="53"/>
        <v>0.96159661324463286</v>
      </c>
      <c r="AV68" s="6" t="s">
        <v>987</v>
      </c>
      <c r="AW68" s="6" t="str">
        <f t="shared" si="54"/>
        <v>=330.7*100000000</v>
      </c>
      <c r="AX68" s="1">
        <f>330.7*100000000</f>
        <v>33070000000</v>
      </c>
      <c r="AY68" s="10">
        <f t="shared" si="55"/>
        <v>-0.68948356807511735</v>
      </c>
      <c r="AZ68" s="6" t="s">
        <v>988</v>
      </c>
      <c r="BA68" s="6" t="str">
        <f t="shared" si="56"/>
        <v>=1065*100000000</v>
      </c>
      <c r="BB68" s="1">
        <f>1065*100000000</f>
        <v>106500000000</v>
      </c>
      <c r="BC68" s="8">
        <f t="shared" si="57"/>
        <v>0.20230300293519982</v>
      </c>
      <c r="BD68" s="6" t="s">
        <v>989</v>
      </c>
      <c r="BE68" s="6" t="str">
        <f t="shared" si="58"/>
        <v>=885.8*100000000</v>
      </c>
      <c r="BF68" s="1">
        <f>885.8*100000000</f>
        <v>88580000000</v>
      </c>
      <c r="BG68" s="8">
        <f t="shared" si="59"/>
        <v>0.50262934690415606</v>
      </c>
      <c r="BH68" s="6" t="s">
        <v>990</v>
      </c>
      <c r="BI68" s="6" t="str">
        <f t="shared" si="60"/>
        <v>=589.5*100000000</v>
      </c>
      <c r="BJ68" s="1">
        <f>589.5*100000000</f>
        <v>58950000000</v>
      </c>
      <c r="BK68" s="6" t="s">
        <v>991</v>
      </c>
      <c r="BL68" s="1" t="str">
        <f t="shared" si="32"/>
        <v>=292.9*100000000</v>
      </c>
      <c r="BM68" s="16">
        <f t="shared" si="61"/>
        <v>1.0126322977125302</v>
      </c>
      <c r="BN68" s="1">
        <f>292.9*100000000</f>
        <v>29289999999.999996</v>
      </c>
    </row>
    <row r="69" spans="1:66">
      <c r="A69" s="19"/>
      <c r="B69">
        <v>600036</v>
      </c>
      <c r="C69" t="s">
        <v>68</v>
      </c>
      <c r="D69" s="6" t="s">
        <v>992</v>
      </c>
      <c r="E69" s="7" t="str">
        <f t="shared" si="31"/>
        <v>=1208*100000000</v>
      </c>
      <c r="F69" s="1">
        <f>1208*100000000</f>
        <v>120800000000</v>
      </c>
      <c r="G69" s="8">
        <f t="shared" si="33"/>
        <v>0.28020347604917339</v>
      </c>
      <c r="H69" s="6" t="s">
        <v>993</v>
      </c>
      <c r="I69" s="6" t="str">
        <f t="shared" si="34"/>
        <v>=943.6*100000000</v>
      </c>
      <c r="J69" s="1">
        <f>943.6*100000000</f>
        <v>94360000000</v>
      </c>
      <c r="K69" s="10">
        <f t="shared" si="35"/>
        <v>0.53057583130575836</v>
      </c>
      <c r="L69" s="6" t="s">
        <v>994</v>
      </c>
      <c r="M69" s="6" t="str">
        <f t="shared" si="36"/>
        <v>=616.5*100000000</v>
      </c>
      <c r="N69" s="1">
        <f>616.5*100000000</f>
        <v>61650000000</v>
      </c>
      <c r="O69" s="8">
        <f t="shared" si="37"/>
        <v>0.91162790697674423</v>
      </c>
      <c r="P69" s="6" t="s">
        <v>995</v>
      </c>
      <c r="Q69" s="6" t="str">
        <f t="shared" si="38"/>
        <v>=322.5*100000000</v>
      </c>
      <c r="R69" s="11">
        <f>322.5*100000000</f>
        <v>32250000000</v>
      </c>
      <c r="S69" s="8">
        <f t="shared" si="39"/>
        <v>-0.67078399346672113</v>
      </c>
      <c r="T69" s="6" t="s">
        <v>996</v>
      </c>
      <c r="U69" s="6" t="str">
        <f t="shared" si="40"/>
        <v>=979.6*100000000</v>
      </c>
      <c r="V69" s="1">
        <f>979.6*100000000</f>
        <v>97960000000</v>
      </c>
      <c r="W69" s="8">
        <f t="shared" si="41"/>
        <v>0.27105229012585963</v>
      </c>
      <c r="X69" s="6" t="s">
        <v>997</v>
      </c>
      <c r="Y69" s="6" t="str">
        <f t="shared" si="42"/>
        <v>=770.7*100000000</v>
      </c>
      <c r="Z69" s="1">
        <f>770.7*100000000</f>
        <v>77070000000</v>
      </c>
      <c r="AA69" s="8">
        <f t="shared" si="43"/>
        <v>0.5389376996805112</v>
      </c>
      <c r="AB69" s="6" t="s">
        <v>998</v>
      </c>
      <c r="AC69" s="6" t="str">
        <f t="shared" si="44"/>
        <v>=500.8*100000000</v>
      </c>
      <c r="AD69" s="1">
        <f>500.8*100000000</f>
        <v>50080000000</v>
      </c>
      <c r="AE69" s="8">
        <f t="shared" si="45"/>
        <v>0.79177101967799646</v>
      </c>
      <c r="AF69" s="6" t="s">
        <v>999</v>
      </c>
      <c r="AG69" s="6" t="str">
        <f t="shared" si="46"/>
        <v>=279.5*100000000</v>
      </c>
      <c r="AH69" s="1">
        <f>279.5*100000000</f>
        <v>27950000000</v>
      </c>
      <c r="AI69" s="8">
        <f t="shared" si="47"/>
        <v>-0.70081353029329907</v>
      </c>
      <c r="AJ69" s="6" t="s">
        <v>1000</v>
      </c>
      <c r="AK69" s="6" t="str">
        <f t="shared" si="48"/>
        <v>=934.2*100000000</v>
      </c>
      <c r="AL69" s="1">
        <f>934.2*100000000</f>
        <v>93420000000</v>
      </c>
      <c r="AM69" s="8">
        <f t="shared" si="49"/>
        <v>0.2013888888888889</v>
      </c>
      <c r="AN69" s="6" t="s">
        <v>1001</v>
      </c>
      <c r="AO69" s="6" t="str">
        <f t="shared" si="50"/>
        <v>=777.6*100000000</v>
      </c>
      <c r="AP69" s="1">
        <f>777.6*100000000</f>
        <v>77760000000</v>
      </c>
      <c r="AQ69" s="8">
        <f t="shared" si="51"/>
        <v>0.52890287062524577</v>
      </c>
      <c r="AR69" s="6" t="s">
        <v>1002</v>
      </c>
      <c r="AS69" s="6" t="str">
        <f t="shared" si="52"/>
        <v>=508.6*100000000</v>
      </c>
      <c r="AT69" s="1">
        <f>508.6*100000000</f>
        <v>50860000000</v>
      </c>
      <c r="AU69" s="8">
        <f t="shared" si="53"/>
        <v>0.99450980392156862</v>
      </c>
      <c r="AV69" s="6" t="s">
        <v>1003</v>
      </c>
      <c r="AW69" s="6" t="str">
        <f t="shared" si="54"/>
        <v>=255.0*100000000</v>
      </c>
      <c r="AX69" s="1">
        <f>255*100000000</f>
        <v>25500000000</v>
      </c>
      <c r="AY69" s="10">
        <f t="shared" si="55"/>
        <v>-0.68448403860430584</v>
      </c>
      <c r="AZ69" s="6" t="s">
        <v>1004</v>
      </c>
      <c r="BA69" s="6" t="str">
        <f t="shared" si="56"/>
        <v>=808.2*100000000</v>
      </c>
      <c r="BB69" s="1">
        <f>808.2*100000000</f>
        <v>80820000000</v>
      </c>
      <c r="BC69" s="8">
        <f t="shared" si="57"/>
        <v>0.19626998223801065</v>
      </c>
      <c r="BD69" s="6" t="s">
        <v>806</v>
      </c>
      <c r="BE69" s="6" t="str">
        <f t="shared" si="58"/>
        <v>=675.6*100000000</v>
      </c>
      <c r="BF69" s="1">
        <f>675.6*100000000</f>
        <v>67560000000</v>
      </c>
      <c r="BG69" s="8">
        <f t="shared" si="59"/>
        <v>0.50568308446623578</v>
      </c>
      <c r="BH69" s="6" t="s">
        <v>1005</v>
      </c>
      <c r="BI69" s="6" t="str">
        <f t="shared" si="60"/>
        <v>=448.7*100000000</v>
      </c>
      <c r="BJ69" s="1">
        <f>448.7*100000000</f>
        <v>44870000000</v>
      </c>
      <c r="BK69" s="6" t="s">
        <v>1006</v>
      </c>
      <c r="BL69" s="1" t="str">
        <f t="shared" si="32"/>
        <v>=227.1*100000000</v>
      </c>
      <c r="BM69" s="16">
        <f t="shared" si="61"/>
        <v>0.97578159401144871</v>
      </c>
      <c r="BN69" s="1">
        <f>227.1*100000000</f>
        <v>22710000000</v>
      </c>
    </row>
    <row r="70" spans="1:66">
      <c r="A70" s="17">
        <v>18</v>
      </c>
      <c r="B70">
        <v>600038</v>
      </c>
      <c r="C70" t="s">
        <v>31</v>
      </c>
      <c r="D70" s="6" t="s">
        <v>841</v>
      </c>
      <c r="E70" s="7" t="str">
        <f t="shared" si="31"/>
        <v>=217.9*100000000</v>
      </c>
      <c r="F70" s="1">
        <f>217.9*100000000</f>
        <v>21790000000</v>
      </c>
      <c r="G70" s="8">
        <f t="shared" si="33"/>
        <v>0.53558844256518678</v>
      </c>
      <c r="H70" s="6" t="s">
        <v>1007</v>
      </c>
      <c r="I70" s="6" t="str">
        <f t="shared" si="34"/>
        <v>=141.9*100000000</v>
      </c>
      <c r="J70" s="1">
        <f>141.9*100000000</f>
        <v>14190000000</v>
      </c>
      <c r="K70" s="10">
        <f t="shared" si="35"/>
        <v>0.51086030664395232</v>
      </c>
      <c r="L70" s="6" t="s">
        <v>1008</v>
      </c>
      <c r="M70" s="6" t="str">
        <f t="shared" si="36"/>
        <v>=93.92*100000000</v>
      </c>
      <c r="N70" s="1">
        <f>93.92*100000000</f>
        <v>9392000000</v>
      </c>
      <c r="O70" s="8">
        <f t="shared" si="37"/>
        <v>1.9350000000000001</v>
      </c>
      <c r="P70" s="6" t="s">
        <v>1009</v>
      </c>
      <c r="Q70" s="6" t="str">
        <f t="shared" si="38"/>
        <v>=32.00*100000000</v>
      </c>
      <c r="R70" s="11">
        <f>32*100000000</f>
        <v>3200000000</v>
      </c>
      <c r="S70" s="8">
        <f t="shared" si="39"/>
        <v>-0.83715012722646309</v>
      </c>
      <c r="T70" s="6" t="s">
        <v>1010</v>
      </c>
      <c r="U70" s="6" t="str">
        <f t="shared" si="40"/>
        <v>=196.5*100000000</v>
      </c>
      <c r="V70" s="1">
        <f>196.5*100000000</f>
        <v>19650000000</v>
      </c>
      <c r="W70" s="8">
        <f t="shared" si="41"/>
        <v>0.6119770303527482</v>
      </c>
      <c r="X70" s="6" t="s">
        <v>1011</v>
      </c>
      <c r="Y70" s="6" t="str">
        <f t="shared" si="42"/>
        <v>=121.9*100000000</v>
      </c>
      <c r="Z70" s="1">
        <f>121.9*100000000</f>
        <v>12190000000</v>
      </c>
      <c r="AA70" s="8">
        <f t="shared" si="43"/>
        <v>0.58785984108375666</v>
      </c>
      <c r="AB70" s="6" t="s">
        <v>1012</v>
      </c>
      <c r="AC70" s="6" t="str">
        <f t="shared" si="44"/>
        <v>=76.77*100000000</v>
      </c>
      <c r="AD70" s="1">
        <f>76.77*100000000</f>
        <v>7677000000</v>
      </c>
      <c r="AE70" s="8">
        <f t="shared" si="45"/>
        <v>2.932889344262295</v>
      </c>
      <c r="AF70" s="6" t="s">
        <v>1013</v>
      </c>
      <c r="AG70" s="6" t="str">
        <f t="shared" si="46"/>
        <v>=19.52*100000000</v>
      </c>
      <c r="AH70" s="1">
        <f>19.52*100000000</f>
        <v>1952000000</v>
      </c>
      <c r="AI70" s="8">
        <f t="shared" si="47"/>
        <v>-0.87645569620253161</v>
      </c>
      <c r="AJ70" s="6" t="s">
        <v>1014</v>
      </c>
      <c r="AK70" s="6" t="str">
        <f t="shared" si="48"/>
        <v>=158.0*100000000</v>
      </c>
      <c r="AL70" s="1">
        <f>158*100000000</f>
        <v>15800000000</v>
      </c>
      <c r="AM70" s="8">
        <f t="shared" si="49"/>
        <v>0.50047483380816715</v>
      </c>
      <c r="AN70" s="6" t="s">
        <v>635</v>
      </c>
      <c r="AO70" s="6" t="str">
        <f t="shared" si="50"/>
        <v>=105.3*100000000</v>
      </c>
      <c r="AP70" s="1">
        <f>105.3*100000000</f>
        <v>10530000000</v>
      </c>
      <c r="AQ70" s="8">
        <f t="shared" si="51"/>
        <v>0.52608695652173909</v>
      </c>
      <c r="AR70" s="6" t="s">
        <v>1015</v>
      </c>
      <c r="AS70" s="6" t="str">
        <f t="shared" si="52"/>
        <v>=69.00*100000000</v>
      </c>
      <c r="AT70" s="1">
        <f>69*100000000</f>
        <v>6900000000</v>
      </c>
      <c r="AU70" s="8">
        <f t="shared" si="53"/>
        <v>1.8906577293674067</v>
      </c>
      <c r="AV70" s="6" t="s">
        <v>1016</v>
      </c>
      <c r="AW70" s="6" t="str">
        <f t="shared" si="54"/>
        <v>=23.87*100000000</v>
      </c>
      <c r="AX70" s="1">
        <f>23.87*100000000</f>
        <v>2387000000</v>
      </c>
      <c r="AY70" s="10">
        <f t="shared" si="55"/>
        <v>-0.8173680183626626</v>
      </c>
      <c r="AZ70" s="6" t="s">
        <v>1017</v>
      </c>
      <c r="BA70" s="6" t="str">
        <f t="shared" si="56"/>
        <v>=130.7*100000000</v>
      </c>
      <c r="BB70" s="1">
        <f>130.7*100000000</f>
        <v>13069999999.999998</v>
      </c>
      <c r="BC70" s="8">
        <f t="shared" si="57"/>
        <v>0.59662838993403344</v>
      </c>
      <c r="BD70" s="6" t="s">
        <v>1018</v>
      </c>
      <c r="BE70" s="6" t="str">
        <f t="shared" si="58"/>
        <v>=81.86*100000000</v>
      </c>
      <c r="BF70" s="1">
        <f>81.86*100000000</f>
        <v>8186000000</v>
      </c>
      <c r="BG70" s="8">
        <f t="shared" si="59"/>
        <v>0.52752379175219255</v>
      </c>
      <c r="BH70" s="6" t="s">
        <v>1019</v>
      </c>
      <c r="BI70" s="6" t="str">
        <f t="shared" si="60"/>
        <v>=53.59*100000000</v>
      </c>
      <c r="BJ70" s="1">
        <f>53.59*100000000</f>
        <v>5359000000</v>
      </c>
      <c r="BK70" s="6" t="s">
        <v>1020</v>
      </c>
      <c r="BL70" s="1" t="str">
        <f t="shared" si="32"/>
        <v>=21.41*100000000</v>
      </c>
      <c r="BM70" s="16">
        <f t="shared" si="61"/>
        <v>1.5030359645025688</v>
      </c>
      <c r="BN70" s="1">
        <f>21.41*100000000</f>
        <v>2141000000</v>
      </c>
    </row>
    <row r="71" spans="1:66">
      <c r="A71" s="18"/>
      <c r="B71">
        <v>600038</v>
      </c>
      <c r="C71" t="s">
        <v>48</v>
      </c>
      <c r="D71" s="6" t="s">
        <v>603</v>
      </c>
      <c r="E71" s="7" t="str">
        <f t="shared" si="31"/>
        <v>=10.16*100000000</v>
      </c>
      <c r="F71" s="1">
        <f>10.16*100000000</f>
        <v>1016000000</v>
      </c>
      <c r="G71" s="8">
        <f t="shared" si="33"/>
        <v>0.46672441172224627</v>
      </c>
      <c r="H71" s="6" t="s">
        <v>1021</v>
      </c>
      <c r="I71" s="6" t="str">
        <f t="shared" si="34"/>
        <v>=6.927*100000000</v>
      </c>
      <c r="J71" s="1">
        <f>6.927*100000000</f>
        <v>692700000</v>
      </c>
      <c r="K71" s="10">
        <f t="shared" si="35"/>
        <v>0.55139977603583423</v>
      </c>
      <c r="L71" s="6" t="s">
        <v>1022</v>
      </c>
      <c r="M71" s="6" t="str">
        <f t="shared" si="36"/>
        <v>=4.465*100000000</v>
      </c>
      <c r="N71" s="1">
        <f>4.465*100000000</f>
        <v>446500000</v>
      </c>
      <c r="O71" s="8">
        <f t="shared" si="37"/>
        <v>1.3328108672936259</v>
      </c>
      <c r="P71" s="6" t="s">
        <v>1023</v>
      </c>
      <c r="Q71" s="6" t="str">
        <f t="shared" si="38"/>
        <v>=1.914*100000000</v>
      </c>
      <c r="R71" s="11">
        <f>1.914*100000000</f>
        <v>191400000</v>
      </c>
      <c r="S71" s="8">
        <f t="shared" si="39"/>
        <v>-0.77263007840342124</v>
      </c>
      <c r="T71" s="6" t="s">
        <v>1024</v>
      </c>
      <c r="U71" s="6" t="str">
        <f t="shared" si="40"/>
        <v>=8.418*100000000</v>
      </c>
      <c r="V71" s="1">
        <f>8.418*100000000</f>
        <v>841799999.99999988</v>
      </c>
      <c r="W71" s="8">
        <f t="shared" si="41"/>
        <v>0.53529089914280481</v>
      </c>
      <c r="X71" s="6" t="s">
        <v>1025</v>
      </c>
      <c r="Y71" s="6" t="str">
        <f t="shared" si="42"/>
        <v>=5.483*100000000</v>
      </c>
      <c r="Z71" s="1">
        <f>5.483*100000000</f>
        <v>548300000</v>
      </c>
      <c r="AA71" s="8">
        <f t="shared" si="43"/>
        <v>0.65200361554685149</v>
      </c>
      <c r="AB71" s="6" t="s">
        <v>1026</v>
      </c>
      <c r="AC71" s="6" t="str">
        <f t="shared" si="44"/>
        <v>=3.319*100000000</v>
      </c>
      <c r="AD71" s="1">
        <f>3.319*100000000</f>
        <v>331900000</v>
      </c>
      <c r="AE71" s="8">
        <f t="shared" si="45"/>
        <v>4.5659902733523392</v>
      </c>
      <c r="AF71" s="7" t="s">
        <v>1027</v>
      </c>
      <c r="AG71" s="6" t="str">
        <f t="shared" si="46"/>
        <v>=5963*10000</v>
      </c>
      <c r="AH71" s="1">
        <f>5963*10000</f>
        <v>59630000</v>
      </c>
      <c r="AI71" s="8">
        <f t="shared" si="47"/>
        <v>-0.91152818991097928</v>
      </c>
      <c r="AJ71" s="6" t="s">
        <v>1028</v>
      </c>
      <c r="AK71" s="6" t="str">
        <f t="shared" si="48"/>
        <v>=6.740*100000000</v>
      </c>
      <c r="AL71" s="1">
        <f>6.74*100000000</f>
        <v>674000000</v>
      </c>
      <c r="AM71" s="8">
        <f t="shared" si="49"/>
        <v>0.49545151985799885</v>
      </c>
      <c r="AN71" s="6" t="s">
        <v>1029</v>
      </c>
      <c r="AO71" s="6" t="str">
        <f t="shared" si="50"/>
        <v>=4.507*100000000</v>
      </c>
      <c r="AP71" s="1">
        <f>4.507*100000000</f>
        <v>450699999.99999994</v>
      </c>
      <c r="AQ71" s="8">
        <f t="shared" si="51"/>
        <v>0.65881486934118494</v>
      </c>
      <c r="AR71" s="6" t="s">
        <v>1030</v>
      </c>
      <c r="AS71" s="6" t="str">
        <f t="shared" si="52"/>
        <v>=2.717*100000000</v>
      </c>
      <c r="AT71" s="1">
        <f>2.717*100000000</f>
        <v>271700000</v>
      </c>
      <c r="AU71" s="8">
        <f t="shared" si="53"/>
        <v>1.9353932584269662</v>
      </c>
      <c r="AV71" s="7" t="s">
        <v>1031</v>
      </c>
      <c r="AW71" s="6" t="str">
        <f t="shared" si="54"/>
        <v>=9256*10000</v>
      </c>
      <c r="AX71" s="1">
        <f>9256*10000</f>
        <v>92560000</v>
      </c>
      <c r="AY71" s="10">
        <f t="shared" si="55"/>
        <v>-0.84338409475465315</v>
      </c>
      <c r="AZ71" s="6" t="s">
        <v>1032</v>
      </c>
      <c r="BA71" s="6" t="str">
        <f t="shared" si="56"/>
        <v>=5.910*100000000</v>
      </c>
      <c r="BB71" s="1">
        <f>5.91*100000000</f>
        <v>591000000</v>
      </c>
      <c r="BC71" s="8">
        <f t="shared" si="57"/>
        <v>0.68664383561643838</v>
      </c>
      <c r="BD71" s="6" t="s">
        <v>1033</v>
      </c>
      <c r="BE71" s="6" t="str">
        <f t="shared" si="58"/>
        <v>=3.504*100000000</v>
      </c>
      <c r="BF71" s="1">
        <f>3.504*100000000</f>
        <v>350400000</v>
      </c>
      <c r="BG71" s="8">
        <f t="shared" si="59"/>
        <v>0.7109375</v>
      </c>
      <c r="BH71" s="6" t="s">
        <v>1034</v>
      </c>
      <c r="BI71" s="6" t="str">
        <f t="shared" si="60"/>
        <v>=2.048*100000000</v>
      </c>
      <c r="BJ71" s="1">
        <f>2.048*100000000</f>
        <v>204800000</v>
      </c>
      <c r="BK71" s="7" t="s">
        <v>1035</v>
      </c>
      <c r="BL71" s="1" t="str">
        <f t="shared" si="32"/>
        <v>=8885*10000</v>
      </c>
      <c r="BM71" s="16">
        <f t="shared" si="61"/>
        <v>1.3050084411930218</v>
      </c>
      <c r="BN71" s="1">
        <f>8885*10000</f>
        <v>88850000</v>
      </c>
    </row>
    <row r="72" spans="1:66">
      <c r="A72" s="18"/>
      <c r="B72">
        <v>600038</v>
      </c>
      <c r="C72" t="s">
        <v>58</v>
      </c>
      <c r="D72" s="6" t="s">
        <v>1036</v>
      </c>
      <c r="E72" s="7" t="str">
        <f t="shared" si="31"/>
        <v>=10.15*100000000</v>
      </c>
      <c r="F72" s="1">
        <f>10.15*100000000</f>
        <v>1015000000</v>
      </c>
      <c r="G72" s="8">
        <f t="shared" si="33"/>
        <v>0.46443514644351463</v>
      </c>
      <c r="H72" s="6" t="s">
        <v>1037</v>
      </c>
      <c r="I72" s="6" t="str">
        <f t="shared" si="34"/>
        <v>=6.931*100000000</v>
      </c>
      <c r="J72" s="1">
        <f>6.931*100000000</f>
        <v>693100000</v>
      </c>
      <c r="K72" s="10">
        <f t="shared" si="35"/>
        <v>0.550906243007384</v>
      </c>
      <c r="L72" s="6" t="s">
        <v>1038</v>
      </c>
      <c r="M72" s="6" t="str">
        <f t="shared" si="36"/>
        <v>=4.469*100000000</v>
      </c>
      <c r="N72" s="1">
        <f>4.469*100000000</f>
        <v>446900000.00000006</v>
      </c>
      <c r="O72" s="8">
        <f t="shared" si="37"/>
        <v>1.3276041666666669</v>
      </c>
      <c r="P72" s="6" t="s">
        <v>1039</v>
      </c>
      <c r="Q72" s="6" t="str">
        <f t="shared" si="38"/>
        <v>=1.920*100000000</v>
      </c>
      <c r="R72" s="11">
        <f>1.92*100000000</f>
        <v>192000000</v>
      </c>
      <c r="S72" s="8">
        <f t="shared" si="39"/>
        <v>-0.76978417266187049</v>
      </c>
      <c r="T72" s="6" t="s">
        <v>1040</v>
      </c>
      <c r="U72" s="6" t="str">
        <f t="shared" si="40"/>
        <v>=8.340*100000000</v>
      </c>
      <c r="V72" s="1">
        <f>8.34*100000000</f>
        <v>834000000</v>
      </c>
      <c r="W72" s="8">
        <f t="shared" si="41"/>
        <v>0.52384432669468295</v>
      </c>
      <c r="X72" s="6" t="s">
        <v>1041</v>
      </c>
      <c r="Y72" s="6" t="str">
        <f t="shared" si="42"/>
        <v>=5.473*100000000</v>
      </c>
      <c r="Z72" s="1">
        <f>5.473*100000000</f>
        <v>547300000</v>
      </c>
      <c r="AA72" s="8">
        <f t="shared" si="43"/>
        <v>0.64998492613807657</v>
      </c>
      <c r="AB72" s="6" t="s">
        <v>1042</v>
      </c>
      <c r="AC72" s="6" t="str">
        <f t="shared" si="44"/>
        <v>=3.317*100000000</v>
      </c>
      <c r="AD72" s="1">
        <f>3.317*100000000</f>
        <v>331700000</v>
      </c>
      <c r="AE72" s="8">
        <f t="shared" si="45"/>
        <v>4.580417227456258</v>
      </c>
      <c r="AF72" s="7" t="s">
        <v>1043</v>
      </c>
      <c r="AG72" s="6" t="str">
        <f t="shared" si="46"/>
        <v>=5944*10000</v>
      </c>
      <c r="AH72" s="1">
        <f>5944*10000</f>
        <v>59440000</v>
      </c>
      <c r="AI72" s="8">
        <f t="shared" si="47"/>
        <v>-0.91252391464311999</v>
      </c>
      <c r="AJ72" s="6" t="s">
        <v>1044</v>
      </c>
      <c r="AK72" s="6" t="str">
        <f t="shared" si="48"/>
        <v>=6.795*100000000</v>
      </c>
      <c r="AL72" s="1">
        <f>6.795*100000000</f>
        <v>679500000</v>
      </c>
      <c r="AM72" s="8">
        <f t="shared" si="49"/>
        <v>0.49636643911032791</v>
      </c>
      <c r="AN72" s="6" t="s">
        <v>1045</v>
      </c>
      <c r="AO72" s="6" t="str">
        <f t="shared" si="50"/>
        <v>=4.541*100000000</v>
      </c>
      <c r="AP72" s="1">
        <f>4.541*100000000</f>
        <v>454100000.00000006</v>
      </c>
      <c r="AQ72" s="8">
        <f t="shared" si="51"/>
        <v>0.66519985331866538</v>
      </c>
      <c r="AR72" s="6" t="s">
        <v>1046</v>
      </c>
      <c r="AS72" s="6" t="str">
        <f t="shared" si="52"/>
        <v>=2.727*100000000</v>
      </c>
      <c r="AT72" s="1">
        <f>2.727*100000000</f>
        <v>272700000</v>
      </c>
      <c r="AU72" s="8">
        <f t="shared" si="53"/>
        <v>1.9439706358631113</v>
      </c>
      <c r="AV72" s="7" t="s">
        <v>1047</v>
      </c>
      <c r="AW72" s="6" t="str">
        <f t="shared" si="54"/>
        <v>=9263*10000</v>
      </c>
      <c r="AX72" s="1">
        <f>9263*10000</f>
        <v>92630000</v>
      </c>
      <c r="AY72" s="10">
        <f t="shared" si="55"/>
        <v>-0.84426698049764626</v>
      </c>
      <c r="AZ72" s="6" t="s">
        <v>1048</v>
      </c>
      <c r="BA72" s="6" t="str">
        <f t="shared" si="56"/>
        <v>=5.948*100000000</v>
      </c>
      <c r="BB72" s="1">
        <f>5.948*100000000</f>
        <v>594800000</v>
      </c>
      <c r="BC72" s="8">
        <f t="shared" si="57"/>
        <v>0.68260254596888259</v>
      </c>
      <c r="BD72" s="6" t="s">
        <v>1049</v>
      </c>
      <c r="BE72" s="6" t="str">
        <f t="shared" si="58"/>
        <v>=3.535*100000000</v>
      </c>
      <c r="BF72" s="1">
        <f>3.535*100000000</f>
        <v>353500000</v>
      </c>
      <c r="BG72" s="8">
        <f t="shared" si="59"/>
        <v>0.71435499515033973</v>
      </c>
      <c r="BH72" s="6" t="s">
        <v>1050</v>
      </c>
      <c r="BI72" s="6" t="str">
        <f t="shared" si="60"/>
        <v>=2.062*100000000</v>
      </c>
      <c r="BJ72" s="1">
        <f>2.062*100000000</f>
        <v>206199999.99999997</v>
      </c>
      <c r="BK72" s="7" t="s">
        <v>1051</v>
      </c>
      <c r="BL72" s="1" t="str">
        <f t="shared" si="32"/>
        <v>=8960*10000</v>
      </c>
      <c r="BM72" s="16">
        <f t="shared" si="61"/>
        <v>1.3013392857142854</v>
      </c>
      <c r="BN72" s="1">
        <f>8960*10000</f>
        <v>89600000</v>
      </c>
    </row>
    <row r="73" spans="1:66">
      <c r="A73" s="19"/>
      <c r="B73">
        <v>600038</v>
      </c>
      <c r="C73" t="s">
        <v>68</v>
      </c>
      <c r="D73" s="6" t="s">
        <v>1052</v>
      </c>
      <c r="E73" s="7" t="str">
        <f t="shared" si="31"/>
        <v>=9.135*100000000</v>
      </c>
      <c r="F73" s="1">
        <f>9.135*100000000</f>
        <v>913500000</v>
      </c>
      <c r="G73" s="8">
        <f t="shared" si="33"/>
        <v>0.50049277266754266</v>
      </c>
      <c r="H73" s="6" t="s">
        <v>1053</v>
      </c>
      <c r="I73" s="6" t="str">
        <f t="shared" si="34"/>
        <v>=6.088*100000000</v>
      </c>
      <c r="J73" s="1">
        <f>6.088*100000000</f>
        <v>608800000</v>
      </c>
      <c r="K73" s="10">
        <f t="shared" si="35"/>
        <v>0.62216893152144948</v>
      </c>
      <c r="L73" s="6" t="s">
        <v>1054</v>
      </c>
      <c r="M73" s="6" t="str">
        <f t="shared" si="36"/>
        <v>=3.753*100000000</v>
      </c>
      <c r="N73" s="1">
        <f>3.753*100000000</f>
        <v>375300000</v>
      </c>
      <c r="O73" s="8">
        <f t="shared" si="37"/>
        <v>1.3678233438485805</v>
      </c>
      <c r="P73" s="6" t="s">
        <v>1055</v>
      </c>
      <c r="Q73" s="6" t="str">
        <f t="shared" si="38"/>
        <v>=1.585*100000000</v>
      </c>
      <c r="R73" s="11">
        <f>1.585*100000000</f>
        <v>158500000</v>
      </c>
      <c r="S73" s="8">
        <f t="shared" si="39"/>
        <v>-0.79086950785063992</v>
      </c>
      <c r="T73" s="6" t="s">
        <v>1056</v>
      </c>
      <c r="U73" s="6" t="str">
        <f t="shared" si="40"/>
        <v>=7.579*100000000</v>
      </c>
      <c r="V73" s="1">
        <f>7.579*100000000</f>
        <v>757900000</v>
      </c>
      <c r="W73" s="8">
        <f t="shared" si="41"/>
        <v>0.57045171985080834</v>
      </c>
      <c r="X73" s="6" t="s">
        <v>1057</v>
      </c>
      <c r="Y73" s="6" t="str">
        <f t="shared" si="42"/>
        <v>=4.826*100000000</v>
      </c>
      <c r="Z73" s="1">
        <f>4.826*100000000</f>
        <v>482599999.99999994</v>
      </c>
      <c r="AA73" s="8">
        <f t="shared" si="43"/>
        <v>0.64485344239945441</v>
      </c>
      <c r="AB73" s="6" t="s">
        <v>1058</v>
      </c>
      <c r="AC73" s="6" t="str">
        <f t="shared" si="44"/>
        <v>=2.934*100000000</v>
      </c>
      <c r="AD73" s="1">
        <f>2.934*100000000</f>
        <v>293400000</v>
      </c>
      <c r="AE73" s="8">
        <f t="shared" si="45"/>
        <v>5.0382794813747687</v>
      </c>
      <c r="AF73" s="7" t="s">
        <v>1059</v>
      </c>
      <c r="AG73" s="6" t="str">
        <f t="shared" si="46"/>
        <v>=4859*10000</v>
      </c>
      <c r="AH73" s="1">
        <f>4859*10000</f>
        <v>48590000</v>
      </c>
      <c r="AI73" s="8">
        <f t="shared" si="47"/>
        <v>-0.91740608533061363</v>
      </c>
      <c r="AJ73" s="6" t="s">
        <v>1060</v>
      </c>
      <c r="AK73" s="6" t="str">
        <f t="shared" si="48"/>
        <v>=5.883*100000000</v>
      </c>
      <c r="AL73" s="1">
        <f>5.883*100000000</f>
        <v>588300000</v>
      </c>
      <c r="AM73" s="8">
        <f t="shared" si="49"/>
        <v>0.47554552294958613</v>
      </c>
      <c r="AN73" s="6" t="s">
        <v>1061</v>
      </c>
      <c r="AO73" s="6" t="str">
        <f t="shared" si="50"/>
        <v>=3.987*100000000</v>
      </c>
      <c r="AP73" s="1">
        <f>3.987*100000000</f>
        <v>398700000</v>
      </c>
      <c r="AQ73" s="8">
        <f t="shared" si="51"/>
        <v>0.69587409612930673</v>
      </c>
      <c r="AR73" s="6" t="s">
        <v>1062</v>
      </c>
      <c r="AS73" s="6" t="str">
        <f t="shared" si="52"/>
        <v>=2.351*100000000</v>
      </c>
      <c r="AT73" s="1">
        <f>2.351*100000000</f>
        <v>235100000</v>
      </c>
      <c r="AU73" s="8">
        <f t="shared" si="53"/>
        <v>2.1476770652028385</v>
      </c>
      <c r="AV73" s="7" t="s">
        <v>1063</v>
      </c>
      <c r="AW73" s="6" t="str">
        <f t="shared" si="54"/>
        <v>=7469*10000</v>
      </c>
      <c r="AX73" s="1">
        <f>7469*10000</f>
        <v>74690000</v>
      </c>
      <c r="AY73" s="10">
        <f t="shared" si="55"/>
        <v>-0.85363511659807956</v>
      </c>
      <c r="AZ73" s="6" t="s">
        <v>1064</v>
      </c>
      <c r="BA73" s="6" t="str">
        <f t="shared" si="56"/>
        <v>=5.103*100000000</v>
      </c>
      <c r="BB73" s="1">
        <f>5.103*100000000</f>
        <v>510300000</v>
      </c>
      <c r="BC73" s="8">
        <f t="shared" si="57"/>
        <v>0.70840308001339136</v>
      </c>
      <c r="BD73" s="6" t="s">
        <v>1065</v>
      </c>
      <c r="BE73" s="6" t="str">
        <f t="shared" si="58"/>
        <v>=2.987*100000000</v>
      </c>
      <c r="BF73" s="1">
        <f>2.987*100000000</f>
        <v>298700000</v>
      </c>
      <c r="BG73" s="8">
        <f t="shared" si="59"/>
        <v>0.72658959537572254</v>
      </c>
      <c r="BH73" s="6" t="s">
        <v>1066</v>
      </c>
      <c r="BI73" s="6" t="str">
        <f t="shared" si="60"/>
        <v>=1.730*100000000</v>
      </c>
      <c r="BJ73" s="1">
        <f>1.73*100000000</f>
        <v>173000000</v>
      </c>
      <c r="BK73" s="7" t="s">
        <v>1067</v>
      </c>
      <c r="BL73" s="1" t="str">
        <f t="shared" si="32"/>
        <v>=6809*10000</v>
      </c>
      <c r="BM73" s="16">
        <f t="shared" si="61"/>
        <v>1.5407548832427669</v>
      </c>
      <c r="BN73" s="1">
        <f>6809*10000</f>
        <v>68090000</v>
      </c>
    </row>
    <row r="74" spans="1:66">
      <c r="A74" s="17">
        <v>19</v>
      </c>
      <c r="B74">
        <v>600039</v>
      </c>
      <c r="C74" t="s">
        <v>31</v>
      </c>
      <c r="D74" s="6" t="s">
        <v>1068</v>
      </c>
      <c r="E74" s="7" t="str">
        <f t="shared" si="31"/>
        <v>=850.5*100000000</v>
      </c>
      <c r="F74" s="1">
        <f>850.5*100000000</f>
        <v>85050000000</v>
      </c>
      <c r="G74" s="8">
        <f t="shared" si="33"/>
        <v>0.63494809688581288</v>
      </c>
      <c r="H74" s="6" t="s">
        <v>1069</v>
      </c>
      <c r="I74" s="6" t="str">
        <f t="shared" si="34"/>
        <v>=520.2*100000000</v>
      </c>
      <c r="J74" s="1">
        <f>520.2*100000000</f>
        <v>52020000000.000008</v>
      </c>
      <c r="K74" s="10">
        <f t="shared" si="35"/>
        <v>0.5996309963099633</v>
      </c>
      <c r="L74" s="6" t="s">
        <v>1070</v>
      </c>
      <c r="M74" s="6" t="str">
        <f t="shared" si="36"/>
        <v>=325.2*100000000</v>
      </c>
      <c r="N74" s="1">
        <f>325.2*100000000</f>
        <v>32520000000</v>
      </c>
      <c r="O74" s="8">
        <f t="shared" si="37"/>
        <v>1.4506405425772422</v>
      </c>
      <c r="P74" s="6" t="s">
        <v>1071</v>
      </c>
      <c r="Q74" s="6" t="str">
        <f t="shared" si="38"/>
        <v>=132.7*100000000</v>
      </c>
      <c r="R74" s="11">
        <f>132.7*100000000</f>
        <v>13269999999.999998</v>
      </c>
      <c r="S74" s="8">
        <f t="shared" si="39"/>
        <v>-0.794454770755886</v>
      </c>
      <c r="T74" s="6" t="s">
        <v>1072</v>
      </c>
      <c r="U74" s="6" t="str">
        <f t="shared" si="40"/>
        <v>=645.6*100000000</v>
      </c>
      <c r="V74" s="1">
        <f>645.6*100000000</f>
        <v>64560000000</v>
      </c>
      <c r="W74" s="8">
        <f t="shared" si="41"/>
        <v>0.71976558337773044</v>
      </c>
      <c r="X74" s="6" t="s">
        <v>1073</v>
      </c>
      <c r="Y74" s="6" t="str">
        <f t="shared" si="42"/>
        <v>=375.4*100000000</v>
      </c>
      <c r="Z74" s="1">
        <f>375.4*100000000</f>
        <v>37540000000</v>
      </c>
      <c r="AA74" s="8">
        <f t="shared" si="43"/>
        <v>0.89213709677419351</v>
      </c>
      <c r="AB74" s="6" t="s">
        <v>1074</v>
      </c>
      <c r="AC74" s="6" t="str">
        <f t="shared" si="44"/>
        <v>=198.4*100000000</v>
      </c>
      <c r="AD74" s="1">
        <f>198.4*100000000</f>
        <v>19840000000</v>
      </c>
      <c r="AE74" s="8">
        <f t="shared" si="45"/>
        <v>2.6713545521835678</v>
      </c>
      <c r="AF74" s="6" t="s">
        <v>1075</v>
      </c>
      <c r="AG74" s="6" t="str">
        <f t="shared" si="46"/>
        <v>=54.04*100000000</v>
      </c>
      <c r="AH74" s="1">
        <f>54.04*100000000</f>
        <v>5404000000</v>
      </c>
      <c r="AI74" s="8">
        <f t="shared" si="47"/>
        <v>-0.89751564574246157</v>
      </c>
      <c r="AJ74" s="6" t="s">
        <v>1076</v>
      </c>
      <c r="AK74" s="6" t="str">
        <f t="shared" si="48"/>
        <v>=527.3*100000000</v>
      </c>
      <c r="AL74" s="1">
        <f>527.3*100000000</f>
        <v>52729999999.999992</v>
      </c>
      <c r="AM74" s="8">
        <f t="shared" si="49"/>
        <v>0.7026154342912494</v>
      </c>
      <c r="AN74" s="6" t="s">
        <v>1077</v>
      </c>
      <c r="AO74" s="6" t="str">
        <f t="shared" si="50"/>
        <v>=309.7*100000000</v>
      </c>
      <c r="AP74" s="1">
        <f>309.7*100000000</f>
        <v>30970000000</v>
      </c>
      <c r="AQ74" s="8">
        <f t="shared" si="51"/>
        <v>0.75666477595008508</v>
      </c>
      <c r="AR74" s="6" t="s">
        <v>1078</v>
      </c>
      <c r="AS74" s="6" t="str">
        <f t="shared" si="52"/>
        <v>=176.3*100000000</v>
      </c>
      <c r="AT74" s="1">
        <f>176.3*100000000</f>
        <v>17630000000</v>
      </c>
      <c r="AU74" s="8">
        <f t="shared" si="53"/>
        <v>1.7516778523489935</v>
      </c>
      <c r="AV74" s="6" t="s">
        <v>1079</v>
      </c>
      <c r="AW74" s="6" t="str">
        <f t="shared" si="54"/>
        <v>=64.07*100000000</v>
      </c>
      <c r="AX74" s="1">
        <f>64.07*100000000</f>
        <v>6406999999.999999</v>
      </c>
      <c r="AY74" s="10">
        <f t="shared" si="55"/>
        <v>-0.83990504747626182</v>
      </c>
      <c r="AZ74" s="6" t="s">
        <v>1080</v>
      </c>
      <c r="BA74" s="6" t="str">
        <f t="shared" si="56"/>
        <v>=400.2*100000000</v>
      </c>
      <c r="BB74" s="1">
        <f>400.2*100000000</f>
        <v>40020000000</v>
      </c>
      <c r="BC74" s="8">
        <f t="shared" si="57"/>
        <v>0.62616822429906538</v>
      </c>
      <c r="BD74" s="6" t="s">
        <v>1081</v>
      </c>
      <c r="BE74" s="6" t="str">
        <f t="shared" si="58"/>
        <v>=246.1*100000000</v>
      </c>
      <c r="BF74" s="1">
        <f>246.1*100000000</f>
        <v>24610000000</v>
      </c>
      <c r="BG74" s="8">
        <f t="shared" si="59"/>
        <v>0.59082094376212047</v>
      </c>
      <c r="BH74" s="6" t="s">
        <v>1082</v>
      </c>
      <c r="BI74" s="6" t="str">
        <f t="shared" si="60"/>
        <v>=154.7*100000000</v>
      </c>
      <c r="BJ74" s="1">
        <f>154.7*100000000</f>
        <v>15469999999.999998</v>
      </c>
      <c r="BK74" s="6" t="s">
        <v>1083</v>
      </c>
      <c r="BL74" s="1" t="str">
        <f t="shared" si="32"/>
        <v>=49.34*100000000</v>
      </c>
      <c r="BM74" s="16">
        <f t="shared" si="61"/>
        <v>2.1353871098500199</v>
      </c>
      <c r="BN74" s="1">
        <f>49.34*100000000</f>
        <v>4934000000</v>
      </c>
    </row>
    <row r="75" spans="1:66">
      <c r="A75" s="18"/>
      <c r="B75">
        <v>600039</v>
      </c>
      <c r="C75" t="s">
        <v>48</v>
      </c>
      <c r="D75" s="6" t="s">
        <v>1084</v>
      </c>
      <c r="E75" s="7" t="str">
        <f t="shared" si="31"/>
        <v>=67.81*100000000</v>
      </c>
      <c r="F75" s="1">
        <f>67.81*100000000</f>
        <v>6781000000</v>
      </c>
      <c r="G75" s="8">
        <f t="shared" si="33"/>
        <v>0.56424452133794689</v>
      </c>
      <c r="H75" s="6" t="s">
        <v>1085</v>
      </c>
      <c r="I75" s="6" t="str">
        <f t="shared" si="34"/>
        <v>=43.35*100000000</v>
      </c>
      <c r="J75" s="1">
        <f>43.35*100000000</f>
        <v>4335000000</v>
      </c>
      <c r="K75" s="10">
        <f t="shared" si="35"/>
        <v>0.42504930966469429</v>
      </c>
      <c r="L75" s="6" t="s">
        <v>1086</v>
      </c>
      <c r="M75" s="6" t="str">
        <f t="shared" si="36"/>
        <v>=30.42*100000000</v>
      </c>
      <c r="N75" s="1">
        <f>30.42*100000000</f>
        <v>3042000000</v>
      </c>
      <c r="O75" s="8">
        <f t="shared" si="37"/>
        <v>1.1528662420382165</v>
      </c>
      <c r="P75" s="6" t="s">
        <v>1087</v>
      </c>
      <c r="Q75" s="6" t="str">
        <f t="shared" si="38"/>
        <v>=14.13*100000000</v>
      </c>
      <c r="R75" s="11">
        <f>14.13*100000000</f>
        <v>1413000000</v>
      </c>
      <c r="S75" s="8">
        <f t="shared" si="39"/>
        <v>-0.61634537062177575</v>
      </c>
      <c r="T75" s="6" t="s">
        <v>1088</v>
      </c>
      <c r="U75" s="6" t="str">
        <f t="shared" si="40"/>
        <v>=36.83*100000000</v>
      </c>
      <c r="V75" s="1">
        <f>36.83*100000000</f>
        <v>3683000000</v>
      </c>
      <c r="W75" s="8">
        <f t="shared" si="41"/>
        <v>0.70351526364477335</v>
      </c>
      <c r="X75" s="6" t="s">
        <v>1089</v>
      </c>
      <c r="Y75" s="6" t="str">
        <f t="shared" si="42"/>
        <v>=21.62*100000000</v>
      </c>
      <c r="Z75" s="1">
        <f>21.62*100000000</f>
        <v>2162000000</v>
      </c>
      <c r="AA75" s="8">
        <f t="shared" si="43"/>
        <v>0.70236220472440947</v>
      </c>
      <c r="AB75" s="6" t="s">
        <v>1090</v>
      </c>
      <c r="AC75" s="6" t="str">
        <f t="shared" si="44"/>
        <v>=12.70*100000000</v>
      </c>
      <c r="AD75" s="1">
        <f>12.7*100000000</f>
        <v>1270000000</v>
      </c>
      <c r="AE75" s="8">
        <f t="shared" si="45"/>
        <v>2.6683997689196994</v>
      </c>
      <c r="AF75" s="6" t="s">
        <v>1091</v>
      </c>
      <c r="AG75" s="6" t="str">
        <f t="shared" si="46"/>
        <v>=3.462*100000000</v>
      </c>
      <c r="AH75" s="1">
        <f>3.462*100000000</f>
        <v>346200000</v>
      </c>
      <c r="AI75" s="8">
        <f t="shared" si="47"/>
        <v>-0.83537803138373756</v>
      </c>
      <c r="AJ75" s="6" t="s">
        <v>1092</v>
      </c>
      <c r="AK75" s="6" t="str">
        <f t="shared" si="48"/>
        <v>=21.03*100000000</v>
      </c>
      <c r="AL75" s="1">
        <f>21.03*100000000</f>
        <v>2103000000</v>
      </c>
      <c r="AM75" s="8">
        <f t="shared" si="49"/>
        <v>1.0925373134328358</v>
      </c>
      <c r="AN75" s="6" t="s">
        <v>1093</v>
      </c>
      <c r="AO75" s="6" t="str">
        <f t="shared" si="50"/>
        <v>=10.05*100000000</v>
      </c>
      <c r="AP75" s="1">
        <f>10.05*100000000</f>
        <v>1005000000.0000001</v>
      </c>
      <c r="AQ75" s="8">
        <f t="shared" si="51"/>
        <v>0.10185286701019639</v>
      </c>
      <c r="AR75" s="6" t="s">
        <v>1094</v>
      </c>
      <c r="AS75" s="6" t="str">
        <f t="shared" si="52"/>
        <v>=9.121*100000000</v>
      </c>
      <c r="AT75" s="1">
        <f>9.121*100000000</f>
        <v>912100000</v>
      </c>
      <c r="AU75" s="8">
        <f t="shared" si="53"/>
        <v>1.1598389770305471</v>
      </c>
      <c r="AV75" s="6" t="s">
        <v>1095</v>
      </c>
      <c r="AW75" s="6" t="str">
        <f t="shared" si="54"/>
        <v>=4.223*100000000</v>
      </c>
      <c r="AX75" s="1">
        <f>4.223*100000000</f>
        <v>422300000</v>
      </c>
      <c r="AY75" s="10">
        <f t="shared" si="55"/>
        <v>-0.71272108843537418</v>
      </c>
      <c r="AZ75" s="6" t="s">
        <v>1096</v>
      </c>
      <c r="BA75" s="6" t="str">
        <f t="shared" si="56"/>
        <v>=14.70*100000000</v>
      </c>
      <c r="BB75" s="1">
        <f>14.7*100000000</f>
        <v>1470000000</v>
      </c>
      <c r="BC75" s="8">
        <f t="shared" si="57"/>
        <v>1.0479242128726665</v>
      </c>
      <c r="BD75" s="6" t="s">
        <v>1097</v>
      </c>
      <c r="BE75" s="6" t="str">
        <f t="shared" si="58"/>
        <v>=7.178*100000000</v>
      </c>
      <c r="BF75" s="1">
        <f>7.178*100000000</f>
        <v>717800000</v>
      </c>
      <c r="BG75" s="8">
        <f t="shared" si="59"/>
        <v>0.22116366110922081</v>
      </c>
      <c r="BH75" s="6" t="s">
        <v>1098</v>
      </c>
      <c r="BI75" s="6" t="str">
        <f t="shared" si="60"/>
        <v>=5.878*100000000</v>
      </c>
      <c r="BJ75" s="1">
        <f>5.878*100000000</f>
        <v>587800000</v>
      </c>
      <c r="BK75" s="6" t="s">
        <v>1099</v>
      </c>
      <c r="BL75" s="1" t="str">
        <f t="shared" si="32"/>
        <v>=1.434*100000000</v>
      </c>
      <c r="BM75" s="16">
        <f t="shared" si="61"/>
        <v>3.099023709902371</v>
      </c>
      <c r="BN75" s="1">
        <f>1.434*100000000</f>
        <v>143400000</v>
      </c>
    </row>
    <row r="76" spans="1:66">
      <c r="A76" s="18"/>
      <c r="B76">
        <v>600039</v>
      </c>
      <c r="C76" t="s">
        <v>58</v>
      </c>
      <c r="D76" s="6" t="s">
        <v>1100</v>
      </c>
      <c r="E76" s="7" t="str">
        <f t="shared" si="31"/>
        <v>=68.48*100000000</v>
      </c>
      <c r="F76" s="1">
        <f>68.48*100000000</f>
        <v>6848000000</v>
      </c>
      <c r="G76" s="8">
        <f t="shared" si="33"/>
        <v>0.57389105952654562</v>
      </c>
      <c r="H76" s="6" t="s">
        <v>1101</v>
      </c>
      <c r="I76" s="6" t="str">
        <f t="shared" si="34"/>
        <v>=43.51*100000000</v>
      </c>
      <c r="J76" s="1">
        <f>43.51*100000000</f>
        <v>4351000000</v>
      </c>
      <c r="K76" s="10">
        <f t="shared" si="35"/>
        <v>0.42236024844720499</v>
      </c>
      <c r="L76" s="6" t="s">
        <v>1102</v>
      </c>
      <c r="M76" s="6" t="str">
        <f t="shared" si="36"/>
        <v>=30.59*100000000</v>
      </c>
      <c r="N76" s="1">
        <f>30.59*100000000</f>
        <v>3059000000</v>
      </c>
      <c r="O76" s="8">
        <f t="shared" si="37"/>
        <v>1.1481741573033708</v>
      </c>
      <c r="P76" s="6" t="s">
        <v>1103</v>
      </c>
      <c r="Q76" s="6" t="str">
        <f t="shared" si="38"/>
        <v>=14.24*100000000</v>
      </c>
      <c r="R76" s="11">
        <f>14.24*100000000</f>
        <v>1424000000</v>
      </c>
      <c r="S76" s="8">
        <f t="shared" si="39"/>
        <v>-0.61177753544165758</v>
      </c>
      <c r="T76" s="6" t="s">
        <v>1104</v>
      </c>
      <c r="U76" s="6" t="str">
        <f t="shared" si="40"/>
        <v>=36.68*100000000</v>
      </c>
      <c r="V76" s="1">
        <f>36.68*100000000</f>
        <v>3668000000</v>
      </c>
      <c r="W76" s="8">
        <f t="shared" si="41"/>
        <v>0.68876611418047884</v>
      </c>
      <c r="X76" s="6" t="s">
        <v>1105</v>
      </c>
      <c r="Y76" s="6" t="str">
        <f t="shared" si="42"/>
        <v>=21.72*100000000</v>
      </c>
      <c r="Z76" s="1">
        <f>21.72*100000000</f>
        <v>2172000000</v>
      </c>
      <c r="AA76" s="8">
        <f t="shared" si="43"/>
        <v>0.70486656200941911</v>
      </c>
      <c r="AB76" s="6" t="s">
        <v>1106</v>
      </c>
      <c r="AC76" s="6" t="str">
        <f t="shared" si="44"/>
        <v>=12.74*100000000</v>
      </c>
      <c r="AD76" s="1">
        <f>12.74*100000000</f>
        <v>1274000000</v>
      </c>
      <c r="AE76" s="8">
        <f t="shared" si="45"/>
        <v>2.6546184738955825</v>
      </c>
      <c r="AF76" s="6" t="s">
        <v>1107</v>
      </c>
      <c r="AG76" s="6" t="str">
        <f t="shared" si="46"/>
        <v>=3.486*100000000</v>
      </c>
      <c r="AH76" s="1">
        <f>3.486*100000000</f>
        <v>348600000</v>
      </c>
      <c r="AI76" s="8">
        <f t="shared" si="47"/>
        <v>-0.83649155722326451</v>
      </c>
      <c r="AJ76" s="6" t="s">
        <v>558</v>
      </c>
      <c r="AK76" s="6" t="str">
        <f t="shared" si="48"/>
        <v>=21.32*100000000</v>
      </c>
      <c r="AL76" s="1">
        <f>21.32*100000000</f>
        <v>2132000000</v>
      </c>
      <c r="AM76" s="8">
        <f t="shared" si="49"/>
        <v>1.063891577928364</v>
      </c>
      <c r="AN76" s="6" t="s">
        <v>1108</v>
      </c>
      <c r="AO76" s="6" t="str">
        <f t="shared" si="50"/>
        <v>=10.33*100000000</v>
      </c>
      <c r="AP76" s="1">
        <f>10.33*100000000</f>
        <v>1033000000</v>
      </c>
      <c r="AQ76" s="8">
        <f t="shared" si="51"/>
        <v>0.11146976544006885</v>
      </c>
      <c r="AR76" s="6" t="s">
        <v>1109</v>
      </c>
      <c r="AS76" s="6" t="str">
        <f t="shared" si="52"/>
        <v>=9.294*100000000</v>
      </c>
      <c r="AT76" s="1">
        <f>9.294*100000000</f>
        <v>929400000</v>
      </c>
      <c r="AU76" s="8">
        <f t="shared" si="53"/>
        <v>1.204459203036053</v>
      </c>
      <c r="AV76" s="6" t="s">
        <v>1110</v>
      </c>
      <c r="AW76" s="6" t="str">
        <f t="shared" si="54"/>
        <v>=4.216*100000000</v>
      </c>
      <c r="AX76" s="1">
        <f>4.216*100000000</f>
        <v>421600000</v>
      </c>
      <c r="AY76" s="10">
        <f t="shared" si="55"/>
        <v>-0.71628532974427994</v>
      </c>
      <c r="AZ76" s="6" t="s">
        <v>1111</v>
      </c>
      <c r="BA76" s="6" t="str">
        <f t="shared" si="56"/>
        <v>=14.86*100000000</v>
      </c>
      <c r="BB76" s="1">
        <f>14.86*100000000</f>
        <v>1486000000</v>
      </c>
      <c r="BC76" s="8">
        <f t="shared" si="57"/>
        <v>1.1449191685912241</v>
      </c>
      <c r="BD76" s="6" t="s">
        <v>1112</v>
      </c>
      <c r="BE76" s="6" t="str">
        <f t="shared" si="58"/>
        <v>=6.928*100000000</v>
      </c>
      <c r="BF76" s="1">
        <f>6.928*100000000</f>
        <v>692800000</v>
      </c>
      <c r="BG76" s="8">
        <f t="shared" si="59"/>
        <v>0.15775401069518716</v>
      </c>
      <c r="BH76" s="6" t="s">
        <v>1113</v>
      </c>
      <c r="BI76" s="6" t="str">
        <f t="shared" si="60"/>
        <v>=5.984*100000000</v>
      </c>
      <c r="BJ76" s="1">
        <f>5.984*100000000</f>
        <v>598400000</v>
      </c>
      <c r="BK76" s="6" t="s">
        <v>1114</v>
      </c>
      <c r="BL76" s="1" t="str">
        <f t="shared" si="32"/>
        <v>=1.444*100000000</v>
      </c>
      <c r="BM76" s="16">
        <f t="shared" si="61"/>
        <v>3.1440443213296398</v>
      </c>
      <c r="BN76" s="1">
        <f>1.444*100000000</f>
        <v>144400000</v>
      </c>
    </row>
    <row r="77" spans="1:66">
      <c r="A77" s="19"/>
      <c r="B77">
        <v>600039</v>
      </c>
      <c r="C77" t="s">
        <v>68</v>
      </c>
      <c r="D77" s="6" t="s">
        <v>1115</v>
      </c>
      <c r="E77" s="7" t="str">
        <f t="shared" si="31"/>
        <v>=56.94*100000000</v>
      </c>
      <c r="F77" s="1">
        <f>56.94*100000000</f>
        <v>5694000000</v>
      </c>
      <c r="G77" s="8">
        <f t="shared" si="33"/>
        <v>0.57597564350954866</v>
      </c>
      <c r="H77" s="6" t="s">
        <v>1116</v>
      </c>
      <c r="I77" s="6" t="str">
        <f t="shared" si="34"/>
        <v>=36.13*100000000</v>
      </c>
      <c r="J77" s="1">
        <f>36.13*100000000</f>
        <v>3613000000.0000005</v>
      </c>
      <c r="K77" s="10">
        <f t="shared" si="35"/>
        <v>0.41409001956947183</v>
      </c>
      <c r="L77" s="6" t="s">
        <v>1117</v>
      </c>
      <c r="M77" s="6" t="str">
        <f t="shared" si="36"/>
        <v>=25.55*100000000</v>
      </c>
      <c r="N77" s="1">
        <f>25.55*100000000</f>
        <v>2555000000</v>
      </c>
      <c r="O77" s="8">
        <f t="shared" si="37"/>
        <v>1.1345029239766082</v>
      </c>
      <c r="P77" s="6" t="s">
        <v>1118</v>
      </c>
      <c r="Q77" s="6" t="str">
        <f t="shared" si="38"/>
        <v>=11.97*100000000</v>
      </c>
      <c r="R77" s="11">
        <f>11.97*100000000</f>
        <v>1197000000</v>
      </c>
      <c r="S77" s="8">
        <f t="shared" si="39"/>
        <v>-0.60573122529644263</v>
      </c>
      <c r="T77" s="6" t="s">
        <v>1119</v>
      </c>
      <c r="U77" s="6" t="str">
        <f t="shared" si="40"/>
        <v>=30.36*100000000</v>
      </c>
      <c r="V77" s="1">
        <f>30.36*100000000</f>
        <v>3036000000</v>
      </c>
      <c r="W77" s="8">
        <f t="shared" si="41"/>
        <v>0.7201133144475923</v>
      </c>
      <c r="X77" s="6" t="s">
        <v>1120</v>
      </c>
      <c r="Y77" s="6" t="str">
        <f t="shared" si="42"/>
        <v>=17.65*100000000</v>
      </c>
      <c r="Z77" s="1">
        <f>17.65*100000000</f>
        <v>1764999999.9999998</v>
      </c>
      <c r="AA77" s="8">
        <f t="shared" si="43"/>
        <v>0.75972083748753738</v>
      </c>
      <c r="AB77" s="6" t="s">
        <v>1121</v>
      </c>
      <c r="AC77" s="6" t="str">
        <f t="shared" si="44"/>
        <v>=10.03*100000000</v>
      </c>
      <c r="AD77" s="1">
        <f>10.03*100000000</f>
        <v>1002999999.9999999</v>
      </c>
      <c r="AE77" s="8">
        <f t="shared" si="45"/>
        <v>2.5304470256951772</v>
      </c>
      <c r="AF77" s="6" t="s">
        <v>1122</v>
      </c>
      <c r="AG77" s="6" t="str">
        <f t="shared" si="46"/>
        <v>=2.841*100000000</v>
      </c>
      <c r="AH77" s="1">
        <f>2.841*100000000</f>
        <v>284100000</v>
      </c>
      <c r="AI77" s="8">
        <f t="shared" si="47"/>
        <v>-0.83268551236749122</v>
      </c>
      <c r="AJ77" s="6" t="s">
        <v>1123</v>
      </c>
      <c r="AK77" s="6" t="str">
        <f t="shared" si="48"/>
        <v>=16.98*100000000</v>
      </c>
      <c r="AL77" s="1">
        <f>16.98*100000000</f>
        <v>1698000000</v>
      </c>
      <c r="AM77" s="8">
        <f t="shared" si="49"/>
        <v>0.98294990073572319</v>
      </c>
      <c r="AN77" s="6" t="s">
        <v>1124</v>
      </c>
      <c r="AO77" s="6" t="str">
        <f t="shared" si="50"/>
        <v>=8.563*100000000</v>
      </c>
      <c r="AP77" s="1">
        <f>8.563*100000000</f>
        <v>856300000.00000012</v>
      </c>
      <c r="AQ77" s="8">
        <f t="shared" si="51"/>
        <v>0.11178914567644783</v>
      </c>
      <c r="AR77" s="6" t="s">
        <v>1125</v>
      </c>
      <c r="AS77" s="6" t="str">
        <f t="shared" si="52"/>
        <v>=7.702*100000000</v>
      </c>
      <c r="AT77" s="1">
        <f>7.702*100000000</f>
        <v>770200000</v>
      </c>
      <c r="AU77" s="8">
        <f t="shared" si="53"/>
        <v>1.1714124612348464</v>
      </c>
      <c r="AV77" s="6" t="s">
        <v>1126</v>
      </c>
      <c r="AW77" s="6" t="str">
        <f t="shared" si="54"/>
        <v>=3.547*100000000</v>
      </c>
      <c r="AX77" s="1">
        <f>3.547*100000000</f>
        <v>354700000</v>
      </c>
      <c r="AY77" s="10">
        <f t="shared" si="55"/>
        <v>-0.70613090306545157</v>
      </c>
      <c r="AZ77" s="6" t="s">
        <v>1127</v>
      </c>
      <c r="BA77" s="6" t="str">
        <f t="shared" si="56"/>
        <v>=12.07*100000000</v>
      </c>
      <c r="BB77" s="1">
        <f>12.07*100000000</f>
        <v>1207000000</v>
      </c>
      <c r="BC77" s="8">
        <f t="shared" si="57"/>
        <v>1.1082969432314411</v>
      </c>
      <c r="BD77" s="6" t="s">
        <v>1128</v>
      </c>
      <c r="BE77" s="6" t="str">
        <f t="shared" si="58"/>
        <v>=5.725*100000000</v>
      </c>
      <c r="BF77" s="1">
        <f>5.725*100000000</f>
        <v>572500000</v>
      </c>
      <c r="BG77" s="8">
        <f t="shared" si="59"/>
        <v>0.15773508594539939</v>
      </c>
      <c r="BH77" s="6" t="s">
        <v>1129</v>
      </c>
      <c r="BI77" s="6" t="str">
        <f t="shared" si="60"/>
        <v>=4.945*100000000</v>
      </c>
      <c r="BJ77" s="1">
        <f>4.945*100000000</f>
        <v>494500000</v>
      </c>
      <c r="BK77" s="6" t="s">
        <v>1130</v>
      </c>
      <c r="BL77" s="1" t="str">
        <f t="shared" si="32"/>
        <v>=1.189*100000000</v>
      </c>
      <c r="BM77" s="16">
        <f t="shared" si="61"/>
        <v>3.1589571068124473</v>
      </c>
      <c r="BN77" s="1">
        <f>1.189*100000000</f>
        <v>118900000</v>
      </c>
    </row>
    <row r="78" spans="1:66">
      <c r="A78" s="17">
        <v>20</v>
      </c>
      <c r="B78">
        <v>600050</v>
      </c>
      <c r="C78" t="s">
        <v>31</v>
      </c>
      <c r="D78" s="6" t="s">
        <v>1131</v>
      </c>
      <c r="E78" s="7" t="str">
        <f t="shared" si="31"/>
        <v>=3279*100000000</v>
      </c>
      <c r="F78" s="1">
        <f>3279*100000000</f>
        <v>327900000000</v>
      </c>
      <c r="G78" s="8">
        <f t="shared" si="33"/>
        <v>0.34110429447852758</v>
      </c>
      <c r="H78" s="6" t="s">
        <v>1132</v>
      </c>
      <c r="I78" s="6" t="str">
        <f t="shared" si="34"/>
        <v>=2445*100000000</v>
      </c>
      <c r="J78" s="1">
        <f>2445*100000000</f>
        <v>244500000000</v>
      </c>
      <c r="K78" s="10">
        <f t="shared" si="35"/>
        <v>0.48903775883069428</v>
      </c>
      <c r="L78" s="6" t="s">
        <v>1133</v>
      </c>
      <c r="M78" s="6" t="str">
        <f t="shared" si="36"/>
        <v>=1642*100000000</v>
      </c>
      <c r="N78" s="1">
        <f>1642*100000000</f>
        <v>164200000000</v>
      </c>
      <c r="O78" s="8">
        <f t="shared" si="37"/>
        <v>0.99586726631822053</v>
      </c>
      <c r="P78" s="6" t="s">
        <v>1134</v>
      </c>
      <c r="Q78" s="6" t="str">
        <f t="shared" si="38"/>
        <v>=822.7*100000000</v>
      </c>
      <c r="R78" s="11">
        <f>822.7*100000000</f>
        <v>82270000000</v>
      </c>
      <c r="S78" s="8">
        <f t="shared" si="39"/>
        <v>-0.72919684002633312</v>
      </c>
      <c r="T78" s="6" t="s">
        <v>1135</v>
      </c>
      <c r="U78" s="6" t="str">
        <f t="shared" si="40"/>
        <v>=3038*100000000</v>
      </c>
      <c r="V78" s="1">
        <f>3038*100000000</f>
        <v>303800000000</v>
      </c>
      <c r="W78" s="8">
        <f t="shared" si="41"/>
        <v>0.34782608695652173</v>
      </c>
      <c r="X78" s="6" t="s">
        <v>1136</v>
      </c>
      <c r="Y78" s="6" t="str">
        <f t="shared" si="42"/>
        <v>=2254*100000000</v>
      </c>
      <c r="Z78" s="1">
        <f>2254*100000000</f>
        <v>225400000000</v>
      </c>
      <c r="AA78" s="8">
        <f t="shared" si="43"/>
        <v>0.49867021276595747</v>
      </c>
      <c r="AB78" s="6" t="s">
        <v>1137</v>
      </c>
      <c r="AC78" s="6" t="str">
        <f t="shared" si="44"/>
        <v>=1504*100000000</v>
      </c>
      <c r="AD78" s="1">
        <f>1504*100000000</f>
        <v>150400000000</v>
      </c>
      <c r="AE78" s="8">
        <f t="shared" si="45"/>
        <v>1.0373882416689244</v>
      </c>
      <c r="AF78" s="6" t="s">
        <v>1138</v>
      </c>
      <c r="AG78" s="6" t="str">
        <f t="shared" si="46"/>
        <v>=738.2*100000000</v>
      </c>
      <c r="AH78" s="1">
        <f>738.2*100000000</f>
        <v>73820000000</v>
      </c>
      <c r="AI78" s="8">
        <f t="shared" si="47"/>
        <v>-0.74588640275387263</v>
      </c>
      <c r="AJ78" s="6" t="s">
        <v>949</v>
      </c>
      <c r="AK78" s="6" t="str">
        <f t="shared" si="48"/>
        <v>=2905*100000000</v>
      </c>
      <c r="AL78" s="1">
        <f>2905*100000000</f>
        <v>290500000000</v>
      </c>
      <c r="AM78" s="8">
        <f t="shared" si="49"/>
        <v>0.338093044679871</v>
      </c>
      <c r="AN78" s="6" t="s">
        <v>1139</v>
      </c>
      <c r="AO78" s="6" t="str">
        <f t="shared" si="50"/>
        <v>=2171*100000000</v>
      </c>
      <c r="AP78" s="1">
        <f>2171*100000000</f>
        <v>217100000000</v>
      </c>
      <c r="AQ78" s="8">
        <f t="shared" si="51"/>
        <v>0.49724137931034484</v>
      </c>
      <c r="AR78" s="6" t="s">
        <v>263</v>
      </c>
      <c r="AS78" s="6" t="str">
        <f t="shared" si="52"/>
        <v>=1450*100000000</v>
      </c>
      <c r="AT78" s="1">
        <f>1450*100000000</f>
        <v>145000000000</v>
      </c>
      <c r="AU78" s="8">
        <f t="shared" si="53"/>
        <v>0.98222829801777167</v>
      </c>
      <c r="AV78" s="6" t="s">
        <v>1140</v>
      </c>
      <c r="AW78" s="6" t="str">
        <f t="shared" si="54"/>
        <v>=731.5*100000000</v>
      </c>
      <c r="AX78" s="1">
        <f>731.5*100000000</f>
        <v>73150000000</v>
      </c>
      <c r="AY78" s="10">
        <f t="shared" si="55"/>
        <v>-0.74853901684427637</v>
      </c>
      <c r="AZ78" s="6" t="s">
        <v>1141</v>
      </c>
      <c r="BA78" s="6" t="str">
        <f t="shared" si="56"/>
        <v>=2909*100000000</v>
      </c>
      <c r="BB78" s="1">
        <f>2909*100000000</f>
        <v>290900000000</v>
      </c>
      <c r="BC78" s="8">
        <f t="shared" si="57"/>
        <v>0.32407828857533</v>
      </c>
      <c r="BD78" s="6" t="s">
        <v>1142</v>
      </c>
      <c r="BE78" s="6" t="str">
        <f t="shared" si="58"/>
        <v>=2197*100000000</v>
      </c>
      <c r="BF78" s="1">
        <f>2197*100000000</f>
        <v>219700000000</v>
      </c>
      <c r="BG78" s="8">
        <f t="shared" si="59"/>
        <v>0.47350771294433264</v>
      </c>
      <c r="BH78" s="6" t="s">
        <v>1143</v>
      </c>
      <c r="BI78" s="6" t="str">
        <f t="shared" si="60"/>
        <v>=1491*100000000</v>
      </c>
      <c r="BJ78" s="1">
        <f>1491*100000000</f>
        <v>149100000000</v>
      </c>
      <c r="BK78" s="6" t="s">
        <v>1144</v>
      </c>
      <c r="BL78" s="1" t="str">
        <f t="shared" si="32"/>
        <v>=749.4*100000000</v>
      </c>
      <c r="BM78" s="16">
        <f t="shared" si="61"/>
        <v>0.98959167333867093</v>
      </c>
      <c r="BN78" s="1">
        <f>749.4*100000000</f>
        <v>74940000000</v>
      </c>
    </row>
    <row r="79" spans="1:66">
      <c r="A79" s="18"/>
      <c r="B79">
        <v>600050</v>
      </c>
      <c r="C79" t="s">
        <v>48</v>
      </c>
      <c r="D79" s="6" t="s">
        <v>1145</v>
      </c>
      <c r="E79" s="7" t="str">
        <f t="shared" si="31"/>
        <v>=177.0*100000000</v>
      </c>
      <c r="F79" s="1">
        <f>177*100000000</f>
        <v>17700000000</v>
      </c>
      <c r="G79" s="8">
        <f t="shared" si="33"/>
        <v>0.13753213367609254</v>
      </c>
      <c r="H79" s="6" t="s">
        <v>1146</v>
      </c>
      <c r="I79" s="6" t="str">
        <f t="shared" si="34"/>
        <v>=155.6*100000000</v>
      </c>
      <c r="J79" s="1">
        <f>155.6*100000000</f>
        <v>15560000000</v>
      </c>
      <c r="K79" s="10">
        <f t="shared" si="35"/>
        <v>0.38804638715432649</v>
      </c>
      <c r="L79" s="6" t="s">
        <v>312</v>
      </c>
      <c r="M79" s="6" t="str">
        <f t="shared" si="36"/>
        <v>=112.1*100000000</v>
      </c>
      <c r="N79" s="1">
        <f>112.1*100000000</f>
        <v>11210000000</v>
      </c>
      <c r="O79" s="8">
        <f t="shared" si="37"/>
        <v>1.4348392701998263</v>
      </c>
      <c r="P79" s="6" t="s">
        <v>1147</v>
      </c>
      <c r="Q79" s="6" t="str">
        <f t="shared" si="38"/>
        <v>=46.04*100000000</v>
      </c>
      <c r="R79" s="11">
        <f>46.04*100000000</f>
        <v>4604000000</v>
      </c>
      <c r="S79" s="8">
        <f t="shared" si="39"/>
        <v>-0.70468248877485573</v>
      </c>
      <c r="T79" s="6" t="s">
        <v>1148</v>
      </c>
      <c r="U79" s="6" t="str">
        <f t="shared" si="40"/>
        <v>=155.9*100000000</v>
      </c>
      <c r="V79" s="1">
        <f>155.9*100000000</f>
        <v>15590000000</v>
      </c>
      <c r="W79" s="8">
        <f t="shared" si="41"/>
        <v>0.13878743608473337</v>
      </c>
      <c r="X79" s="6" t="s">
        <v>1149</v>
      </c>
      <c r="Y79" s="6" t="str">
        <f t="shared" si="42"/>
        <v>=136.9*100000000</v>
      </c>
      <c r="Z79" s="1">
        <f>136.9*100000000</f>
        <v>13690000000</v>
      </c>
      <c r="AA79" s="8">
        <f t="shared" si="43"/>
        <v>0.40395856835196392</v>
      </c>
      <c r="AB79" s="6" t="s">
        <v>1150</v>
      </c>
      <c r="AC79" s="6" t="str">
        <f t="shared" si="44"/>
        <v>=97.51*100000000</v>
      </c>
      <c r="AD79" s="1">
        <f>97.51*100000000</f>
        <v>9751000000</v>
      </c>
      <c r="AE79" s="8">
        <f t="shared" si="45"/>
        <v>1.4849643221202855</v>
      </c>
      <c r="AF79" s="6" t="s">
        <v>1151</v>
      </c>
      <c r="AG79" s="6" t="str">
        <f t="shared" si="46"/>
        <v>=39.24*100000000</v>
      </c>
      <c r="AH79" s="1">
        <f>39.24*100000000</f>
        <v>3924000000</v>
      </c>
      <c r="AI79" s="8">
        <f t="shared" si="47"/>
        <v>-0.70803571428571432</v>
      </c>
      <c r="AJ79" s="6" t="s">
        <v>1152</v>
      </c>
      <c r="AK79" s="6" t="str">
        <f t="shared" si="48"/>
        <v>=134.4*100000000</v>
      </c>
      <c r="AL79" s="1">
        <f>134.4*100000000</f>
        <v>13440000000</v>
      </c>
      <c r="AM79" s="8">
        <f t="shared" si="49"/>
        <v>0.13609467455621302</v>
      </c>
      <c r="AN79" s="6" t="s">
        <v>1153</v>
      </c>
      <c r="AO79" s="6" t="str">
        <f t="shared" si="50"/>
        <v>=118.3*100000000</v>
      </c>
      <c r="AP79" s="1">
        <f>118.3*100000000</f>
        <v>11830000000</v>
      </c>
      <c r="AQ79" s="8">
        <f t="shared" si="51"/>
        <v>0.41795517200047927</v>
      </c>
      <c r="AR79" s="6" t="s">
        <v>1154</v>
      </c>
      <c r="AS79" s="6" t="str">
        <f t="shared" si="52"/>
        <v>=83.43*100000000</v>
      </c>
      <c r="AT79" s="1">
        <f>83.43*100000000</f>
        <v>8343000000.000001</v>
      </c>
      <c r="AU79" s="8">
        <f t="shared" si="53"/>
        <v>0.77058573853989831</v>
      </c>
      <c r="AV79" s="6" t="s">
        <v>1155</v>
      </c>
      <c r="AW79" s="6" t="str">
        <f t="shared" si="54"/>
        <v>=47.12*100000000</v>
      </c>
      <c r="AX79" s="1">
        <f>47.12*100000000</f>
        <v>4712000000</v>
      </c>
      <c r="AY79" s="10">
        <f t="shared" si="55"/>
        <v>-0.60469798657718121</v>
      </c>
      <c r="AZ79" s="6" t="s">
        <v>1156</v>
      </c>
      <c r="BA79" s="6" t="str">
        <f t="shared" si="56"/>
        <v>=119.2*100000000</v>
      </c>
      <c r="BB79" s="1">
        <f>119.2*100000000</f>
        <v>11920000000</v>
      </c>
      <c r="BC79" s="8">
        <f t="shared" si="57"/>
        <v>0.11194029850746269</v>
      </c>
      <c r="BD79" s="6" t="s">
        <v>1157</v>
      </c>
      <c r="BE79" s="6" t="str">
        <f t="shared" si="58"/>
        <v>=107.2*100000000</v>
      </c>
      <c r="BF79" s="1">
        <f>107.2*100000000</f>
        <v>10720000000</v>
      </c>
      <c r="BG79" s="8">
        <f t="shared" si="59"/>
        <v>0.37612323491655952</v>
      </c>
      <c r="BH79" s="6" t="s">
        <v>1158</v>
      </c>
      <c r="BI79" s="6" t="str">
        <f t="shared" si="60"/>
        <v>=77.90*100000000</v>
      </c>
      <c r="BJ79" s="1">
        <f>77.9*100000000</f>
        <v>7790000000.000001</v>
      </c>
      <c r="BK79" s="6" t="s">
        <v>1159</v>
      </c>
      <c r="BL79" s="1" t="str">
        <f t="shared" si="32"/>
        <v>=38.44*100000000</v>
      </c>
      <c r="BM79" s="16">
        <f t="shared" si="61"/>
        <v>1.0265348595213322</v>
      </c>
      <c r="BN79" s="1">
        <f>38.44*100000000</f>
        <v>3844000000</v>
      </c>
    </row>
    <row r="80" spans="1:66">
      <c r="A80" s="18"/>
      <c r="B80">
        <v>600050</v>
      </c>
      <c r="C80" t="s">
        <v>58</v>
      </c>
      <c r="D80" s="6" t="s">
        <v>1160</v>
      </c>
      <c r="E80" s="7" t="str">
        <f t="shared" si="31"/>
        <v>=178.1*100000000</v>
      </c>
      <c r="F80" s="1">
        <f>178.1*100000000</f>
        <v>17810000000</v>
      </c>
      <c r="G80" s="8">
        <f t="shared" si="33"/>
        <v>0.12721518987341773</v>
      </c>
      <c r="H80" s="6" t="s">
        <v>1014</v>
      </c>
      <c r="I80" s="6" t="str">
        <f t="shared" si="34"/>
        <v>=158.0*100000000</v>
      </c>
      <c r="J80" s="1">
        <f>158*100000000</f>
        <v>15800000000</v>
      </c>
      <c r="K80" s="10">
        <f t="shared" si="35"/>
        <v>0.40569395017793597</v>
      </c>
      <c r="L80" s="6" t="s">
        <v>1161</v>
      </c>
      <c r="M80" s="6" t="str">
        <f t="shared" si="36"/>
        <v>=112.4*100000000</v>
      </c>
      <c r="N80" s="1">
        <f>112.4*100000000</f>
        <v>11240000000</v>
      </c>
      <c r="O80" s="8">
        <f t="shared" si="37"/>
        <v>1.3919982975101086</v>
      </c>
      <c r="P80" s="6" t="s">
        <v>1162</v>
      </c>
      <c r="Q80" s="6" t="str">
        <f t="shared" si="38"/>
        <v>=46.99*100000000</v>
      </c>
      <c r="R80" s="11">
        <f>46.99*100000000</f>
        <v>4699000000</v>
      </c>
      <c r="S80" s="8">
        <f t="shared" si="39"/>
        <v>-0.70557644110275686</v>
      </c>
      <c r="T80" s="6" t="s">
        <v>1163</v>
      </c>
      <c r="U80" s="6" t="str">
        <f t="shared" si="40"/>
        <v>=159.6*100000000</v>
      </c>
      <c r="V80" s="1">
        <f>159.6*100000000</f>
        <v>15960000000</v>
      </c>
      <c r="W80" s="8">
        <f t="shared" si="41"/>
        <v>0.16241806263656211</v>
      </c>
      <c r="X80" s="6" t="s">
        <v>81</v>
      </c>
      <c r="Y80" s="6" t="str">
        <f t="shared" si="42"/>
        <v>=137.3*100000000</v>
      </c>
      <c r="Z80" s="1">
        <f>137.3*100000000</f>
        <v>13730000000.000002</v>
      </c>
      <c r="AA80" s="8">
        <f t="shared" si="43"/>
        <v>0.41517212945784393</v>
      </c>
      <c r="AB80" s="6" t="s">
        <v>1164</v>
      </c>
      <c r="AC80" s="6" t="str">
        <f t="shared" si="44"/>
        <v>=97.02*100000000</v>
      </c>
      <c r="AD80" s="1">
        <f>97.02*100000000</f>
        <v>9702000000</v>
      </c>
      <c r="AE80" s="8">
        <f t="shared" si="45"/>
        <v>1.3750305997552019</v>
      </c>
      <c r="AF80" s="6" t="s">
        <v>1165</v>
      </c>
      <c r="AG80" s="6" t="str">
        <f t="shared" si="46"/>
        <v>=40.85*100000000</v>
      </c>
      <c r="AH80" s="1">
        <f>40.85*100000000</f>
        <v>4085000000</v>
      </c>
      <c r="AI80" s="8">
        <f t="shared" si="47"/>
        <v>-0.70904558404558404</v>
      </c>
      <c r="AJ80" s="6" t="s">
        <v>1166</v>
      </c>
      <c r="AK80" s="6" t="str">
        <f t="shared" si="48"/>
        <v>=140.4*100000000</v>
      </c>
      <c r="AL80" s="1">
        <f>140.4*100000000</f>
        <v>14040000000</v>
      </c>
      <c r="AM80" s="8">
        <f t="shared" si="49"/>
        <v>0.14799672935404742</v>
      </c>
      <c r="AN80" s="6" t="s">
        <v>1167</v>
      </c>
      <c r="AO80" s="6" t="str">
        <f t="shared" si="50"/>
        <v>=122.3*100000000</v>
      </c>
      <c r="AP80" s="1">
        <f>122.3*100000000</f>
        <v>12230000000</v>
      </c>
      <c r="AQ80" s="8">
        <f t="shared" si="51"/>
        <v>0.41370939775748466</v>
      </c>
      <c r="AR80" s="6" t="s">
        <v>1168</v>
      </c>
      <c r="AS80" s="6" t="str">
        <f t="shared" si="52"/>
        <v>=86.51*100000000</v>
      </c>
      <c r="AT80" s="1">
        <f>86.51*100000000</f>
        <v>8651000000</v>
      </c>
      <c r="AU80" s="8">
        <f t="shared" si="53"/>
        <v>0.80831939799331098</v>
      </c>
      <c r="AV80" s="6" t="s">
        <v>1169</v>
      </c>
      <c r="AW80" s="6" t="str">
        <f t="shared" si="54"/>
        <v>=47.84*100000000</v>
      </c>
      <c r="AX80" s="1">
        <f>47.84*100000000</f>
        <v>4784000000</v>
      </c>
      <c r="AY80" s="10">
        <f t="shared" si="55"/>
        <v>-0.60397350993377485</v>
      </c>
      <c r="AZ80" s="6" t="s">
        <v>1170</v>
      </c>
      <c r="BA80" s="6" t="str">
        <f t="shared" si="56"/>
        <v>=120.8*100000000</v>
      </c>
      <c r="BB80" s="1">
        <f>120.8*100000000</f>
        <v>12080000000</v>
      </c>
      <c r="BC80" s="8">
        <f t="shared" si="57"/>
        <v>0.14502369668246445</v>
      </c>
      <c r="BD80" s="6" t="s">
        <v>1171</v>
      </c>
      <c r="BE80" s="6" t="str">
        <f t="shared" si="58"/>
        <v>=105.5*100000000</v>
      </c>
      <c r="BF80" s="1">
        <f>105.5*100000000</f>
        <v>10550000000</v>
      </c>
      <c r="BG80" s="8">
        <f t="shared" si="59"/>
        <v>0.36357761406229805</v>
      </c>
      <c r="BH80" s="6" t="s">
        <v>1172</v>
      </c>
      <c r="BI80" s="6" t="str">
        <f t="shared" si="60"/>
        <v>=77.37*100000000</v>
      </c>
      <c r="BJ80" s="1">
        <f>77.37*100000000</f>
        <v>7737000000</v>
      </c>
      <c r="BK80" s="6" t="s">
        <v>1173</v>
      </c>
      <c r="BL80" s="1" t="str">
        <f t="shared" si="32"/>
        <v>=39.78*100000000</v>
      </c>
      <c r="BM80" s="16">
        <f t="shared" si="61"/>
        <v>0.94494720965309198</v>
      </c>
      <c r="BN80" s="1">
        <f>39.78*100000000</f>
        <v>3978000000</v>
      </c>
    </row>
    <row r="81" spans="1:66">
      <c r="A81" s="19"/>
      <c r="B81">
        <v>600050</v>
      </c>
      <c r="C81" t="s">
        <v>68</v>
      </c>
      <c r="D81" s="6" t="s">
        <v>89</v>
      </c>
      <c r="E81" s="7" t="str">
        <f t="shared" si="31"/>
        <v>=144.2*100000000</v>
      </c>
      <c r="F81" s="1">
        <f>144.2*100000000</f>
        <v>14419999999.999998</v>
      </c>
      <c r="G81" s="8">
        <f t="shared" si="33"/>
        <v>0.11523588553750935</v>
      </c>
      <c r="H81" s="6" t="s">
        <v>1174</v>
      </c>
      <c r="I81" s="6" t="str">
        <f t="shared" si="34"/>
        <v>=129.3*100000000</v>
      </c>
      <c r="J81" s="1">
        <f>129.3*100000000</f>
        <v>12930000000.000002</v>
      </c>
      <c r="K81" s="10">
        <f t="shared" si="35"/>
        <v>0.40972525076319255</v>
      </c>
      <c r="L81" s="6" t="s">
        <v>1175</v>
      </c>
      <c r="M81" s="6" t="str">
        <f t="shared" si="36"/>
        <v>=91.72*100000000</v>
      </c>
      <c r="N81" s="1">
        <f>91.72*100000000</f>
        <v>9172000000</v>
      </c>
      <c r="O81" s="8">
        <f t="shared" si="37"/>
        <v>1.3891638447512373</v>
      </c>
      <c r="P81" s="6" t="s">
        <v>1176</v>
      </c>
      <c r="Q81" s="6" t="str">
        <f t="shared" si="38"/>
        <v>=38.39*100000000</v>
      </c>
      <c r="R81" s="11">
        <f>38.39*100000000</f>
        <v>3839000000</v>
      </c>
      <c r="S81" s="8">
        <f t="shared" si="39"/>
        <v>-0.69337060702875397</v>
      </c>
      <c r="T81" s="6" t="s">
        <v>1177</v>
      </c>
      <c r="U81" s="6" t="str">
        <f t="shared" si="40"/>
        <v>=125.2*100000000</v>
      </c>
      <c r="V81" s="1">
        <f>125.2*100000000</f>
        <v>12520000000</v>
      </c>
      <c r="W81" s="8">
        <f t="shared" si="41"/>
        <v>0.15498154981549817</v>
      </c>
      <c r="X81" s="6" t="s">
        <v>1178</v>
      </c>
      <c r="Y81" s="6" t="str">
        <f t="shared" si="42"/>
        <v>=108.4*100000000</v>
      </c>
      <c r="Z81" s="1">
        <f>108.4*100000000</f>
        <v>10840000000</v>
      </c>
      <c r="AA81" s="8">
        <f t="shared" si="43"/>
        <v>0.43045658485088412</v>
      </c>
      <c r="AB81" s="6" t="s">
        <v>1179</v>
      </c>
      <c r="AC81" s="6" t="str">
        <f t="shared" si="44"/>
        <v>=75.78*100000000</v>
      </c>
      <c r="AD81" s="1">
        <f>75.78*100000000</f>
        <v>7578000000</v>
      </c>
      <c r="AE81" s="8">
        <f t="shared" si="45"/>
        <v>1.3958267467594057</v>
      </c>
      <c r="AF81" s="6" t="s">
        <v>1180</v>
      </c>
      <c r="AG81" s="6" t="str">
        <f t="shared" si="46"/>
        <v>=31.63*100000000</v>
      </c>
      <c r="AH81" s="1">
        <f>31.63*100000000</f>
        <v>3163000000</v>
      </c>
      <c r="AI81" s="8">
        <f t="shared" si="47"/>
        <v>-0.71909413854351689</v>
      </c>
      <c r="AJ81" s="6" t="s">
        <v>1181</v>
      </c>
      <c r="AK81" s="6" t="str">
        <f t="shared" si="48"/>
        <v>=112.6*100000000</v>
      </c>
      <c r="AL81" s="1">
        <f>112.6*100000000</f>
        <v>11260000000</v>
      </c>
      <c r="AM81" s="8">
        <f t="shared" si="49"/>
        <v>0.15475335862988412</v>
      </c>
      <c r="AN81" s="6" t="s">
        <v>1150</v>
      </c>
      <c r="AO81" s="6" t="str">
        <f t="shared" si="50"/>
        <v>=97.51*100000000</v>
      </c>
      <c r="AP81" s="1">
        <f>97.51*100000000</f>
        <v>9751000000</v>
      </c>
      <c r="AQ81" s="8">
        <f t="shared" si="51"/>
        <v>0.43060446009389669</v>
      </c>
      <c r="AR81" s="6" t="s">
        <v>1182</v>
      </c>
      <c r="AS81" s="6" t="str">
        <f t="shared" si="52"/>
        <v>=68.16*100000000</v>
      </c>
      <c r="AT81" s="1">
        <f>68.16*100000000</f>
        <v>6816000000</v>
      </c>
      <c r="AU81" s="8">
        <f t="shared" si="53"/>
        <v>0.85620915032679734</v>
      </c>
      <c r="AV81" s="6" t="s">
        <v>306</v>
      </c>
      <c r="AW81" s="6" t="str">
        <f t="shared" si="54"/>
        <v>=36.72*100000000</v>
      </c>
      <c r="AX81" s="1">
        <f>36.72*100000000</f>
        <v>3672000000</v>
      </c>
      <c r="AY81" s="10">
        <f t="shared" si="55"/>
        <v>-0.60520374153316847</v>
      </c>
      <c r="AZ81" s="6" t="s">
        <v>1183</v>
      </c>
      <c r="BA81" s="6" t="str">
        <f t="shared" si="56"/>
        <v>=93.01*100000000</v>
      </c>
      <c r="BB81" s="1">
        <f>93.01*100000000</f>
        <v>9301000000</v>
      </c>
      <c r="BC81" s="8">
        <f t="shared" si="57"/>
        <v>0.17644826713888187</v>
      </c>
      <c r="BD81" s="6" t="s">
        <v>1184</v>
      </c>
      <c r="BE81" s="6" t="str">
        <f t="shared" si="58"/>
        <v>=79.06*100000000</v>
      </c>
      <c r="BF81" s="1">
        <f>79.06*100000000</f>
        <v>7906000000</v>
      </c>
      <c r="BG81" s="8">
        <f t="shared" si="59"/>
        <v>0.34181941615750172</v>
      </c>
      <c r="BH81" s="6" t="s">
        <v>1185</v>
      </c>
      <c r="BI81" s="6" t="str">
        <f t="shared" si="60"/>
        <v>=58.92*100000000</v>
      </c>
      <c r="BJ81" s="1">
        <f>58.92*100000000</f>
        <v>5892000000</v>
      </c>
      <c r="BK81" s="6" t="s">
        <v>1186</v>
      </c>
      <c r="BL81" s="1" t="str">
        <f t="shared" si="32"/>
        <v>=29.85*100000000</v>
      </c>
      <c r="BM81" s="16">
        <f t="shared" si="61"/>
        <v>0.97386934673366832</v>
      </c>
      <c r="BN81" s="1">
        <f>29.85*100000000</f>
        <v>2985000000</v>
      </c>
    </row>
    <row r="82" spans="1:66">
      <c r="A82" s="17">
        <v>21</v>
      </c>
      <c r="B82">
        <v>600051</v>
      </c>
      <c r="C82" t="s">
        <v>31</v>
      </c>
      <c r="D82" s="6" t="s">
        <v>1187</v>
      </c>
      <c r="E82" s="7" t="str">
        <f t="shared" si="31"/>
        <v>=37.26*100000000</v>
      </c>
      <c r="F82" s="1">
        <f>37.26*100000000</f>
        <v>3726000000</v>
      </c>
      <c r="G82" s="8">
        <f t="shared" si="33"/>
        <v>1.1995277449822901</v>
      </c>
      <c r="H82" s="6" t="s">
        <v>705</v>
      </c>
      <c r="I82" s="6" t="str">
        <f t="shared" si="34"/>
        <v>=16.94*100000000</v>
      </c>
      <c r="J82" s="1">
        <f>16.94*100000000</f>
        <v>1694000000.0000002</v>
      </c>
      <c r="K82" s="10">
        <f t="shared" si="35"/>
        <v>0.63198458574181127</v>
      </c>
      <c r="L82" s="6" t="s">
        <v>1188</v>
      </c>
      <c r="M82" s="6" t="str">
        <f t="shared" si="36"/>
        <v>=10.38*100000000</v>
      </c>
      <c r="N82" s="1">
        <f>10.38*100000000</f>
        <v>1038000000.0000001</v>
      </c>
      <c r="O82" s="8">
        <f t="shared" si="37"/>
        <v>1.0352941176470594</v>
      </c>
      <c r="P82" s="6" t="s">
        <v>1189</v>
      </c>
      <c r="Q82" s="6" t="str">
        <f t="shared" si="38"/>
        <v>=5.100*100000000</v>
      </c>
      <c r="R82" s="11">
        <f>5.1*100000000</f>
        <v>509999999.99999994</v>
      </c>
      <c r="S82" s="8">
        <f t="shared" si="39"/>
        <v>-0.89621489621489625</v>
      </c>
      <c r="T82" s="6" t="s">
        <v>1190</v>
      </c>
      <c r="U82" s="6" t="str">
        <f t="shared" si="40"/>
        <v>=49.14*100000000</v>
      </c>
      <c r="V82" s="1">
        <f>49.14*100000000</f>
        <v>4914000000</v>
      </c>
      <c r="W82" s="8">
        <f t="shared" si="41"/>
        <v>0.42890375109043327</v>
      </c>
      <c r="X82" s="6" t="s">
        <v>1191</v>
      </c>
      <c r="Y82" s="6" t="str">
        <f t="shared" si="42"/>
        <v>=34.39*100000000</v>
      </c>
      <c r="Z82" s="1">
        <f>34.39*100000000</f>
        <v>3439000000</v>
      </c>
      <c r="AA82" s="8">
        <f t="shared" si="43"/>
        <v>0.67837969741337256</v>
      </c>
      <c r="AB82" s="6" t="s">
        <v>1192</v>
      </c>
      <c r="AC82" s="6" t="str">
        <f t="shared" si="44"/>
        <v>=20.49*100000000</v>
      </c>
      <c r="AD82" s="1">
        <f>20.49*100000000</f>
        <v>2048999999.9999998</v>
      </c>
      <c r="AE82" s="8">
        <f t="shared" si="45"/>
        <v>0.47728911319394357</v>
      </c>
      <c r="AF82" s="6" t="s">
        <v>1193</v>
      </c>
      <c r="AG82" s="6" t="str">
        <f t="shared" si="46"/>
        <v>=13.87*100000000</v>
      </c>
      <c r="AH82" s="1">
        <f>13.87*100000000</f>
        <v>1387000000</v>
      </c>
      <c r="AI82" s="8">
        <f t="shared" si="47"/>
        <v>-0.64197212183789365</v>
      </c>
      <c r="AJ82" s="6" t="s">
        <v>1194</v>
      </c>
      <c r="AK82" s="6" t="str">
        <f t="shared" si="48"/>
        <v>=38.74*100000000</v>
      </c>
      <c r="AL82" s="1">
        <f>38.74*100000000</f>
        <v>3874000000</v>
      </c>
      <c r="AM82" s="8">
        <f t="shared" si="49"/>
        <v>0.50213260953858085</v>
      </c>
      <c r="AN82" s="6" t="s">
        <v>1195</v>
      </c>
      <c r="AO82" s="6" t="str">
        <f t="shared" si="50"/>
        <v>=25.79*100000000</v>
      </c>
      <c r="AP82" s="1">
        <f>25.79*100000000</f>
        <v>2579000000</v>
      </c>
      <c r="AQ82" s="8">
        <f t="shared" si="51"/>
        <v>0.54987980769230771</v>
      </c>
      <c r="AR82" s="6" t="s">
        <v>1196</v>
      </c>
      <c r="AS82" s="6" t="str">
        <f t="shared" si="52"/>
        <v>=16.64*100000000</v>
      </c>
      <c r="AT82" s="1">
        <f>16.64*100000000</f>
        <v>1664000000</v>
      </c>
      <c r="AU82" s="8">
        <f t="shared" si="53"/>
        <v>1.1845871077852173</v>
      </c>
      <c r="AV82" s="6" t="s">
        <v>1197</v>
      </c>
      <c r="AW82" s="6" t="str">
        <f t="shared" si="54"/>
        <v>=7.617*100000000</v>
      </c>
      <c r="AX82" s="1">
        <f>7.617*100000000</f>
        <v>761700000</v>
      </c>
      <c r="AY82" s="10">
        <f t="shared" si="55"/>
        <v>-0.81146039603960396</v>
      </c>
      <c r="AZ82" s="6" t="s">
        <v>1198</v>
      </c>
      <c r="BA82" s="6" t="str">
        <f t="shared" si="56"/>
        <v>=40.40*100000000</v>
      </c>
      <c r="BB82" s="1">
        <f>40.4*100000000</f>
        <v>4040000000</v>
      </c>
      <c r="BC82" s="8">
        <f t="shared" si="57"/>
        <v>0.30998702983138782</v>
      </c>
      <c r="BD82" s="6" t="s">
        <v>1199</v>
      </c>
      <c r="BE82" s="6" t="str">
        <f t="shared" si="58"/>
        <v>=30.84*100000000</v>
      </c>
      <c r="BF82" s="1">
        <f>30.84*100000000</f>
        <v>3084000000</v>
      </c>
      <c r="BG82" s="8">
        <f t="shared" si="59"/>
        <v>0.43508608655188458</v>
      </c>
      <c r="BH82" s="6" t="s">
        <v>1200</v>
      </c>
      <c r="BI82" s="6" t="str">
        <f t="shared" si="60"/>
        <v>=21.49*100000000</v>
      </c>
      <c r="BJ82" s="1">
        <f>21.49*100000000</f>
        <v>2149000000</v>
      </c>
      <c r="BK82" s="6" t="s">
        <v>1201</v>
      </c>
      <c r="BL82" s="1" t="str">
        <f t="shared" si="32"/>
        <v>=7.440*100000000</v>
      </c>
      <c r="BM82" s="16">
        <f t="shared" si="61"/>
        <v>1.8884408602150538</v>
      </c>
      <c r="BN82" s="1">
        <f>7.44*100000000</f>
        <v>744000000</v>
      </c>
    </row>
    <row r="83" spans="1:66">
      <c r="A83" s="18"/>
      <c r="B83">
        <v>600051</v>
      </c>
      <c r="C83" t="s">
        <v>48</v>
      </c>
      <c r="D83" s="6" t="s">
        <v>1202</v>
      </c>
      <c r="E83" s="7" t="str">
        <f t="shared" si="31"/>
        <v>=5.459*100000000</v>
      </c>
      <c r="F83" s="1">
        <f>5.459*100000000</f>
        <v>545900000</v>
      </c>
      <c r="G83" s="8">
        <f t="shared" si="33"/>
        <v>4.2139446036294173</v>
      </c>
      <c r="H83" s="6" t="s">
        <v>1203</v>
      </c>
      <c r="I83" s="6" t="str">
        <f t="shared" si="34"/>
        <v>=1.047*100000000</v>
      </c>
      <c r="J83" s="1">
        <f>1.047*100000000</f>
        <v>104700000</v>
      </c>
      <c r="K83" s="10">
        <f t="shared" si="35"/>
        <v>0.809227579056506</v>
      </c>
      <c r="L83" s="7" t="s">
        <v>1204</v>
      </c>
      <c r="M83" s="6" t="str">
        <f t="shared" si="36"/>
        <v>=5787*10000</v>
      </c>
      <c r="N83" s="1">
        <f>5787*10000</f>
        <v>57870000</v>
      </c>
      <c r="O83" s="8">
        <f t="shared" si="37"/>
        <v>1.3240963855421686</v>
      </c>
      <c r="P83" s="7" t="s">
        <v>1205</v>
      </c>
      <c r="Q83" s="6" t="str">
        <f t="shared" si="38"/>
        <v>=2490*10000</v>
      </c>
      <c r="R83" s="11">
        <f>2490*10000</f>
        <v>24900000</v>
      </c>
      <c r="S83" s="8">
        <f t="shared" si="39"/>
        <v>-0.96751467710371819</v>
      </c>
      <c r="T83" s="6" t="s">
        <v>1206</v>
      </c>
      <c r="U83" s="6" t="str">
        <f t="shared" si="40"/>
        <v>=7.665*100000000</v>
      </c>
      <c r="V83" s="1">
        <f>7.665*100000000</f>
        <v>766500000</v>
      </c>
      <c r="W83" s="8">
        <f t="shared" si="41"/>
        <v>0.30512514898688914</v>
      </c>
      <c r="X83" s="6" t="s">
        <v>478</v>
      </c>
      <c r="Y83" s="6" t="str">
        <f t="shared" si="42"/>
        <v>=5.873*100000000</v>
      </c>
      <c r="Z83" s="1">
        <f>5.873*100000000</f>
        <v>587300000</v>
      </c>
      <c r="AA83" s="8">
        <f t="shared" si="43"/>
        <v>0.50705671028996668</v>
      </c>
      <c r="AB83" s="6" t="s">
        <v>1207</v>
      </c>
      <c r="AC83" s="6" t="str">
        <f t="shared" si="44"/>
        <v>=3.897*100000000</v>
      </c>
      <c r="AD83" s="1">
        <f>3.897*100000000</f>
        <v>389700000</v>
      </c>
      <c r="AE83" s="8">
        <f t="shared" si="45"/>
        <v>0.30247326203208558</v>
      </c>
      <c r="AF83" s="6" t="s">
        <v>1208</v>
      </c>
      <c r="AG83" s="6" t="str">
        <f t="shared" si="46"/>
        <v>=2.992*100000000</v>
      </c>
      <c r="AH83" s="1">
        <f>2.992*100000000</f>
        <v>299200000</v>
      </c>
      <c r="AI83" s="8">
        <f t="shared" si="47"/>
        <v>-6.9362363919129089E-2</v>
      </c>
      <c r="AJ83" s="6" t="s">
        <v>1209</v>
      </c>
      <c r="AK83" s="6" t="str">
        <f t="shared" si="48"/>
        <v>=3.215*100000000</v>
      </c>
      <c r="AL83" s="1">
        <f>3.215*100000000</f>
        <v>321500000</v>
      </c>
      <c r="AM83" s="8">
        <f t="shared" si="49"/>
        <v>13.410578216046616</v>
      </c>
      <c r="AN83" s="7" t="s">
        <v>1210</v>
      </c>
      <c r="AO83" s="6" t="str">
        <f t="shared" si="50"/>
        <v>=2231*10000</v>
      </c>
      <c r="AP83" s="1">
        <f>2231*10000</f>
        <v>22310000</v>
      </c>
      <c r="AQ83" s="8">
        <f t="shared" si="51"/>
        <v>-0.57293261868300149</v>
      </c>
      <c r="AR83" s="7" t="s">
        <v>1211</v>
      </c>
      <c r="AS83" s="6" t="str">
        <f t="shared" si="52"/>
        <v>=5224*10000</v>
      </c>
      <c r="AT83" s="1">
        <f>5224*10000</f>
        <v>52240000</v>
      </c>
      <c r="AU83" s="8">
        <f t="shared" si="53"/>
        <v>1.1921947125472094</v>
      </c>
      <c r="AV83" s="7" t="s">
        <v>1212</v>
      </c>
      <c r="AW83" s="6" t="str">
        <f t="shared" si="54"/>
        <v>=2383*10000</v>
      </c>
      <c r="AX83" s="1">
        <f>2383*10000</f>
        <v>23830000</v>
      </c>
      <c r="AY83" s="10">
        <f t="shared" si="55"/>
        <v>-0.95092668863261942</v>
      </c>
      <c r="AZ83" s="6" t="s">
        <v>95</v>
      </c>
      <c r="BA83" s="6" t="str">
        <f t="shared" si="56"/>
        <v>=4.856*100000000</v>
      </c>
      <c r="BB83" s="1">
        <f>4.856*100000000</f>
        <v>485600000</v>
      </c>
      <c r="BC83" s="8">
        <f t="shared" si="57"/>
        <v>2.0483364720652855</v>
      </c>
      <c r="BD83" s="6" t="s">
        <v>1213</v>
      </c>
      <c r="BE83" s="6" t="str">
        <f t="shared" si="58"/>
        <v>=1.593*100000000</v>
      </c>
      <c r="BF83" s="1">
        <f>1.593*100000000</f>
        <v>159300000</v>
      </c>
      <c r="BG83" s="8">
        <f t="shared" si="59"/>
        <v>0.71993090045346575</v>
      </c>
      <c r="BH83" s="7" t="s">
        <v>1214</v>
      </c>
      <c r="BI83" s="6" t="str">
        <f t="shared" si="60"/>
        <v>=9262*10000</v>
      </c>
      <c r="BJ83" s="1">
        <f>9262*10000</f>
        <v>92620000</v>
      </c>
      <c r="BK83" s="7" t="s">
        <v>1215</v>
      </c>
      <c r="BL83" s="1" t="str">
        <f t="shared" si="32"/>
        <v>=1377*10000</v>
      </c>
      <c r="BM83" s="16">
        <f t="shared" si="61"/>
        <v>5.7262164124909223</v>
      </c>
      <c r="BN83" s="1">
        <f>1377*10000</f>
        <v>13770000</v>
      </c>
    </row>
    <row r="84" spans="1:66">
      <c r="A84" s="18"/>
      <c r="B84">
        <v>600051</v>
      </c>
      <c r="C84" t="s">
        <v>58</v>
      </c>
      <c r="D84" s="6" t="s">
        <v>1216</v>
      </c>
      <c r="E84" s="7" t="str">
        <f t="shared" si="31"/>
        <v>=5.496*100000000</v>
      </c>
      <c r="F84" s="1">
        <f>5.496*100000000</f>
        <v>549600000</v>
      </c>
      <c r="G84" s="8">
        <f t="shared" si="33"/>
        <v>4.2243346007604563</v>
      </c>
      <c r="H84" s="6" t="s">
        <v>1217</v>
      </c>
      <c r="I84" s="6" t="str">
        <f t="shared" si="34"/>
        <v>=1.052*100000000</v>
      </c>
      <c r="J84" s="1">
        <f>1.052*100000000</f>
        <v>105200000</v>
      </c>
      <c r="K84" s="10">
        <f t="shared" si="35"/>
        <v>0.81504485852311936</v>
      </c>
      <c r="L84" s="7" t="s">
        <v>1218</v>
      </c>
      <c r="M84" s="6" t="str">
        <f t="shared" si="36"/>
        <v>=5796*10000</v>
      </c>
      <c r="N84" s="1">
        <f>5796*10000</f>
        <v>57960000</v>
      </c>
      <c r="O84" s="8">
        <f t="shared" si="37"/>
        <v>1.3082437275985663</v>
      </c>
      <c r="P84" s="7" t="s">
        <v>1219</v>
      </c>
      <c r="Q84" s="6" t="str">
        <f t="shared" si="38"/>
        <v>=2511*10000</v>
      </c>
      <c r="R84" s="11">
        <f>2511*10000</f>
        <v>25110000</v>
      </c>
      <c r="S84" s="8">
        <f t="shared" si="39"/>
        <v>-0.96727485989834483</v>
      </c>
      <c r="T84" s="6" t="s">
        <v>1220</v>
      </c>
      <c r="U84" s="6" t="str">
        <f t="shared" si="40"/>
        <v>=7.673*100000000</v>
      </c>
      <c r="V84" s="1">
        <f>7.673*100000000</f>
        <v>767300000</v>
      </c>
      <c r="W84" s="8">
        <f t="shared" si="41"/>
        <v>0.31431997259335387</v>
      </c>
      <c r="X84" s="6" t="s">
        <v>1221</v>
      </c>
      <c r="Y84" s="6" t="str">
        <f t="shared" si="42"/>
        <v>=5.838*100000000</v>
      </c>
      <c r="Z84" s="1">
        <f>5.838*100000000</f>
        <v>583800000</v>
      </c>
      <c r="AA84" s="8">
        <f t="shared" si="43"/>
        <v>0.51008794619762032</v>
      </c>
      <c r="AB84" s="6" t="s">
        <v>1222</v>
      </c>
      <c r="AC84" s="6" t="str">
        <f t="shared" si="44"/>
        <v>=3.866*100000000</v>
      </c>
      <c r="AD84" s="1">
        <f>3.866*100000000</f>
        <v>386600000</v>
      </c>
      <c r="AE84" s="8">
        <f t="shared" si="45"/>
        <v>0.29818670248488921</v>
      </c>
      <c r="AF84" s="6" t="s">
        <v>1223</v>
      </c>
      <c r="AG84" s="6" t="str">
        <f t="shared" si="46"/>
        <v>=2.978*100000000</v>
      </c>
      <c r="AH84" s="1">
        <f>2.978*100000000</f>
        <v>297800000</v>
      </c>
      <c r="AI84" s="8">
        <f t="shared" si="47"/>
        <v>-9.0131377940727161E-2</v>
      </c>
      <c r="AJ84" s="6" t="s">
        <v>1224</v>
      </c>
      <c r="AK84" s="6" t="str">
        <f t="shared" si="48"/>
        <v>=3.273*100000000</v>
      </c>
      <c r="AL84" s="1">
        <f>3.273*100000000</f>
        <v>327300000</v>
      </c>
      <c r="AM84" s="8">
        <f t="shared" si="49"/>
        <v>10.676774884052801</v>
      </c>
      <c r="AN84" s="7" t="s">
        <v>1225</v>
      </c>
      <c r="AO84" s="6" t="str">
        <f t="shared" si="50"/>
        <v>=2803*10000</v>
      </c>
      <c r="AP84" s="1">
        <f>2803*10000</f>
        <v>28030000</v>
      </c>
      <c r="AQ84" s="8">
        <f t="shared" si="51"/>
        <v>-0.51830211376525182</v>
      </c>
      <c r="AR84" s="7" t="s">
        <v>1226</v>
      </c>
      <c r="AS84" s="6" t="str">
        <f t="shared" si="52"/>
        <v>=5819*10000</v>
      </c>
      <c r="AT84" s="1">
        <f>5819*10000</f>
        <v>58190000</v>
      </c>
      <c r="AU84" s="8">
        <f t="shared" si="53"/>
        <v>0.95465233456499832</v>
      </c>
      <c r="AV84" s="7" t="s">
        <v>1227</v>
      </c>
      <c r="AW84" s="6" t="str">
        <f t="shared" si="54"/>
        <v>=2977*10000</v>
      </c>
      <c r="AX84" s="1">
        <f>2977*10000</f>
        <v>29770000</v>
      </c>
      <c r="AY84" s="10">
        <f t="shared" si="55"/>
        <v>-0.9389208042675421</v>
      </c>
      <c r="AZ84" s="6" t="s">
        <v>1228</v>
      </c>
      <c r="BA84" s="6" t="str">
        <f t="shared" si="56"/>
        <v>=4.874*100000000</v>
      </c>
      <c r="BB84" s="1">
        <f>4.874*100000000</f>
        <v>487399999.99999994</v>
      </c>
      <c r="BC84" s="8">
        <f t="shared" si="57"/>
        <v>2.0386533665835409</v>
      </c>
      <c r="BD84" s="6" t="s">
        <v>1229</v>
      </c>
      <c r="BE84" s="6" t="str">
        <f t="shared" si="58"/>
        <v>=1.604*100000000</v>
      </c>
      <c r="BF84" s="1">
        <f>1.604*100000000</f>
        <v>160400000</v>
      </c>
      <c r="BG84" s="8">
        <f t="shared" si="59"/>
        <v>0.7171609035435178</v>
      </c>
      <c r="BH84" s="7" t="s">
        <v>1230</v>
      </c>
      <c r="BI84" s="6" t="str">
        <f t="shared" si="60"/>
        <v>=9341*10000</v>
      </c>
      <c r="BJ84" s="1">
        <f>9341*10000</f>
        <v>93410000</v>
      </c>
      <c r="BK84" s="7" t="s">
        <v>1231</v>
      </c>
      <c r="BL84" s="1" t="str">
        <f t="shared" si="32"/>
        <v>=1403*10000</v>
      </c>
      <c r="BM84" s="16">
        <f t="shared" si="61"/>
        <v>5.6578759800427658</v>
      </c>
      <c r="BN84" s="1">
        <f>1403*10000</f>
        <v>14030000</v>
      </c>
    </row>
    <row r="85" spans="1:66">
      <c r="A85" s="19"/>
      <c r="B85">
        <v>600051</v>
      </c>
      <c r="C85" t="s">
        <v>68</v>
      </c>
      <c r="D85" s="6" t="s">
        <v>1232</v>
      </c>
      <c r="E85" s="7" t="str">
        <f t="shared" si="31"/>
        <v>=4.241*100000000</v>
      </c>
      <c r="F85" s="1">
        <f>4.241*100000000</f>
        <v>424099999.99999994</v>
      </c>
      <c r="G85" s="8">
        <f t="shared" si="33"/>
        <v>3.491633128574454</v>
      </c>
      <c r="H85" s="7" t="s">
        <v>1233</v>
      </c>
      <c r="I85" s="6" t="str">
        <f t="shared" si="34"/>
        <v>=9442*10000</v>
      </c>
      <c r="J85" s="1">
        <f>9442*10000</f>
        <v>94420000</v>
      </c>
      <c r="K85" s="10">
        <f t="shared" si="35"/>
        <v>1.6381670857781503</v>
      </c>
      <c r="L85" s="7" t="s">
        <v>1234</v>
      </c>
      <c r="M85" s="6" t="str">
        <f t="shared" si="36"/>
        <v>=3579*10000</v>
      </c>
      <c r="N85" s="1">
        <f>3579*10000</f>
        <v>35790000</v>
      </c>
      <c r="O85" s="8">
        <f t="shared" si="37"/>
        <v>0.97407611693325979</v>
      </c>
      <c r="P85" s="7" t="s">
        <v>1235</v>
      </c>
      <c r="Q85" s="6" t="str">
        <f t="shared" si="38"/>
        <v>=1813*10000</v>
      </c>
      <c r="R85" s="11">
        <f>1813*10000</f>
        <v>18130000</v>
      </c>
      <c r="S85" s="8">
        <f t="shared" si="39"/>
        <v>-0.96388446215139445</v>
      </c>
      <c r="T85" s="6" t="s">
        <v>1236</v>
      </c>
      <c r="U85" s="6" t="str">
        <f t="shared" si="40"/>
        <v>=5.020*100000000</v>
      </c>
      <c r="V85" s="1">
        <f>5.02*100000000</f>
        <v>501999999.99999994</v>
      </c>
      <c r="W85" s="8">
        <f t="shared" si="41"/>
        <v>0.17812720018774922</v>
      </c>
      <c r="X85" s="6" t="s">
        <v>1237</v>
      </c>
      <c r="Y85" s="6" t="str">
        <f t="shared" si="42"/>
        <v>=4.261*100000000</v>
      </c>
      <c r="Z85" s="1">
        <f>4.261*100000000</f>
        <v>426100000</v>
      </c>
      <c r="AA85" s="8">
        <f t="shared" si="43"/>
        <v>0.43564690026954178</v>
      </c>
      <c r="AB85" s="6" t="s">
        <v>1238</v>
      </c>
      <c r="AC85" s="6" t="str">
        <f t="shared" si="44"/>
        <v>=2.968*100000000</v>
      </c>
      <c r="AD85" s="1">
        <f>2.968*100000000</f>
        <v>296800000</v>
      </c>
      <c r="AE85" s="8">
        <f t="shared" si="45"/>
        <v>7.3029645697758494E-2</v>
      </c>
      <c r="AF85" s="6" t="s">
        <v>1239</v>
      </c>
      <c r="AG85" s="6" t="str">
        <f t="shared" si="46"/>
        <v>=2.766*100000000</v>
      </c>
      <c r="AH85" s="1">
        <f>2.766*100000000</f>
        <v>276600000</v>
      </c>
      <c r="AI85" s="8">
        <f t="shared" si="47"/>
        <v>-6.3642518618821933E-2</v>
      </c>
      <c r="AJ85" s="6" t="s">
        <v>1240</v>
      </c>
      <c r="AK85" s="6" t="str">
        <f t="shared" si="48"/>
        <v>=2.954*100000000</v>
      </c>
      <c r="AL85" s="1">
        <f>2.954*100000000</f>
        <v>295400000</v>
      </c>
      <c r="AM85" s="8">
        <f t="shared" si="49"/>
        <v>10.253333333333334</v>
      </c>
      <c r="AN85" s="7" t="s">
        <v>1241</v>
      </c>
      <c r="AO85" s="6" t="str">
        <f t="shared" si="50"/>
        <v>=2625*10000</v>
      </c>
      <c r="AP85" s="1">
        <f>2625*10000</f>
        <v>26250000</v>
      </c>
      <c r="AQ85" s="8">
        <f t="shared" si="51"/>
        <v>-0.45652173913043476</v>
      </c>
      <c r="AR85" s="7" t="s">
        <v>1242</v>
      </c>
      <c r="AS85" s="6" t="str">
        <f t="shared" si="52"/>
        <v>=4830*10000</v>
      </c>
      <c r="AT85" s="1">
        <f>4830*10000</f>
        <v>48300000</v>
      </c>
      <c r="AU85" s="8">
        <f t="shared" si="53"/>
        <v>5.1162466759528931</v>
      </c>
      <c r="AV85" s="7" t="s">
        <v>1243</v>
      </c>
      <c r="AW85" s="6" t="str">
        <f t="shared" si="54"/>
        <v>=789.7*10000</v>
      </c>
      <c r="AX85" s="1">
        <f>789.7*10000</f>
        <v>7897000</v>
      </c>
      <c r="AY85" s="10">
        <f t="shared" si="55"/>
        <v>-0.97844705240174668</v>
      </c>
      <c r="AZ85" s="6" t="s">
        <v>1244</v>
      </c>
      <c r="BA85" s="6" t="str">
        <f t="shared" si="56"/>
        <v>=3.664*100000000</v>
      </c>
      <c r="BB85" s="1">
        <f>3.664*100000000</f>
        <v>366400000</v>
      </c>
      <c r="BC85" s="8">
        <f t="shared" si="57"/>
        <v>2.8801228423170602</v>
      </c>
      <c r="BD85" s="7" t="s">
        <v>1245</v>
      </c>
      <c r="BE85" s="6" t="str">
        <f t="shared" si="58"/>
        <v>=9443*10000</v>
      </c>
      <c r="BF85" s="1">
        <f>9443*10000</f>
        <v>94430000</v>
      </c>
      <c r="BG85" s="8">
        <f t="shared" si="59"/>
        <v>0.31243919388464209</v>
      </c>
      <c r="BH85" s="7" t="s">
        <v>1246</v>
      </c>
      <c r="BI85" s="6" t="str">
        <f t="shared" si="60"/>
        <v>=7195*10000</v>
      </c>
      <c r="BJ85" s="1">
        <f>7195*10000</f>
        <v>71950000</v>
      </c>
      <c r="BK85" s="7" t="s">
        <v>1247</v>
      </c>
      <c r="BL85" s="1" t="str">
        <f t="shared" si="32"/>
        <v>=881.6*10000</v>
      </c>
      <c r="BM85" s="16">
        <f t="shared" si="61"/>
        <v>7.1612976406533573</v>
      </c>
      <c r="BN85" s="1">
        <f>881.6*10000</f>
        <v>8816000</v>
      </c>
    </row>
    <row r="86" spans="1:66">
      <c r="A86" s="17">
        <v>22</v>
      </c>
      <c r="B86">
        <v>600058</v>
      </c>
      <c r="C86" t="s">
        <v>31</v>
      </c>
      <c r="D86" s="6" t="s">
        <v>1248</v>
      </c>
      <c r="E86" s="7" t="str">
        <f t="shared" si="31"/>
        <v>=875.1*100000000</v>
      </c>
      <c r="F86" s="1">
        <f>875.1*100000000</f>
        <v>87510000000</v>
      </c>
      <c r="G86" s="8">
        <f t="shared" si="33"/>
        <v>0.32510599636583887</v>
      </c>
      <c r="H86" s="6" t="s">
        <v>1249</v>
      </c>
      <c r="I86" s="6" t="str">
        <f t="shared" si="34"/>
        <v>=660.4*100000000</v>
      </c>
      <c r="J86" s="1">
        <f>660.4*100000000</f>
        <v>66040000000</v>
      </c>
      <c r="K86" s="10">
        <f t="shared" si="35"/>
        <v>0.49479402444545045</v>
      </c>
      <c r="L86" s="6" t="s">
        <v>1250</v>
      </c>
      <c r="M86" s="6" t="str">
        <f t="shared" si="36"/>
        <v>=441.8*100000000</v>
      </c>
      <c r="N86" s="1">
        <f>441.8*100000000</f>
        <v>44180000000</v>
      </c>
      <c r="O86" s="8">
        <f t="shared" si="37"/>
        <v>1.6566446181599517</v>
      </c>
      <c r="P86" s="6" t="s">
        <v>1251</v>
      </c>
      <c r="Q86" s="6" t="str">
        <f t="shared" si="38"/>
        <v>=166.3*100000000</v>
      </c>
      <c r="R86" s="11">
        <f>166.3*100000000</f>
        <v>16630000000.000002</v>
      </c>
      <c r="S86" s="8">
        <f t="shared" si="39"/>
        <v>-0.7529708853238265</v>
      </c>
      <c r="T86" s="6" t="s">
        <v>1252</v>
      </c>
      <c r="U86" s="6" t="str">
        <f t="shared" si="40"/>
        <v>=673.2*100000000</v>
      </c>
      <c r="V86" s="1">
        <f>673.2*100000000</f>
        <v>67320000000.000008</v>
      </c>
      <c r="W86" s="8">
        <f t="shared" si="41"/>
        <v>0.37725040916530295</v>
      </c>
      <c r="X86" s="6" t="s">
        <v>1253</v>
      </c>
      <c r="Y86" s="6" t="str">
        <f t="shared" si="42"/>
        <v>=488.8*100000000</v>
      </c>
      <c r="Z86" s="1">
        <f>488.8*100000000</f>
        <v>48880000000</v>
      </c>
      <c r="AA86" s="8">
        <f t="shared" si="43"/>
        <v>0.75071633237822355</v>
      </c>
      <c r="AB86" s="6" t="s">
        <v>1254</v>
      </c>
      <c r="AC86" s="6" t="str">
        <f t="shared" si="44"/>
        <v>=279.2*100000000</v>
      </c>
      <c r="AD86" s="1">
        <f>279.2*100000000</f>
        <v>27920000000</v>
      </c>
      <c r="AE86" s="8">
        <f t="shared" si="45"/>
        <v>2.1199016649905018</v>
      </c>
      <c r="AF86" s="6" t="s">
        <v>1255</v>
      </c>
      <c r="AG86" s="6" t="str">
        <f t="shared" si="46"/>
        <v>=89.49*100000000</v>
      </c>
      <c r="AH86" s="1">
        <f>89.49*100000000</f>
        <v>8949000000</v>
      </c>
      <c r="AI86" s="8">
        <f t="shared" si="47"/>
        <v>-0.8562409638554217</v>
      </c>
      <c r="AJ86" s="6" t="s">
        <v>1256</v>
      </c>
      <c r="AK86" s="6" t="str">
        <f t="shared" si="48"/>
        <v>=622.5*100000000</v>
      </c>
      <c r="AL86" s="1">
        <f>622.5*100000000</f>
        <v>62250000000</v>
      </c>
      <c r="AM86" s="8">
        <f t="shared" si="49"/>
        <v>0.40868974881194842</v>
      </c>
      <c r="AN86" s="6" t="s">
        <v>1257</v>
      </c>
      <c r="AO86" s="6" t="str">
        <f t="shared" si="50"/>
        <v>=441.9*100000000</v>
      </c>
      <c r="AP86" s="1">
        <f>441.9*100000000</f>
        <v>44190000000</v>
      </c>
      <c r="AQ86" s="8">
        <f t="shared" si="51"/>
        <v>0.62224669603524252</v>
      </c>
      <c r="AR86" s="6" t="s">
        <v>1258</v>
      </c>
      <c r="AS86" s="6" t="str">
        <f t="shared" si="52"/>
        <v>=272.4*100000000</v>
      </c>
      <c r="AT86" s="1">
        <f>272.4*100000000</f>
        <v>27239999999.999996</v>
      </c>
      <c r="AU86" s="8">
        <f t="shared" si="53"/>
        <v>1.3262169086251063</v>
      </c>
      <c r="AV86" s="6" t="s">
        <v>1259</v>
      </c>
      <c r="AW86" s="6" t="str">
        <f t="shared" si="54"/>
        <v>=117.1*100000000</v>
      </c>
      <c r="AX86" s="1">
        <f>117.1*100000000</f>
        <v>11710000000</v>
      </c>
      <c r="AY86" s="10">
        <f t="shared" si="55"/>
        <v>-0.79285335220237041</v>
      </c>
      <c r="AZ86" s="6" t="s">
        <v>1260</v>
      </c>
      <c r="BA86" s="6" t="str">
        <f t="shared" si="56"/>
        <v>=565.3*100000000</v>
      </c>
      <c r="BB86" s="1">
        <f>565.3*100000000</f>
        <v>56529999999.999992</v>
      </c>
      <c r="BC86" s="8">
        <f t="shared" si="57"/>
        <v>0.42536560766515363</v>
      </c>
      <c r="BD86" s="6" t="s">
        <v>1261</v>
      </c>
      <c r="BE86" s="6" t="str">
        <f t="shared" si="58"/>
        <v>=396.6*100000000</v>
      </c>
      <c r="BF86" s="1">
        <f>396.6*100000000</f>
        <v>39660000000</v>
      </c>
      <c r="BG86" s="8">
        <f t="shared" si="59"/>
        <v>0.55043002345582481</v>
      </c>
      <c r="BH86" s="6" t="s">
        <v>1262</v>
      </c>
      <c r="BI86" s="6" t="str">
        <f t="shared" si="60"/>
        <v>=255.8*100000000</v>
      </c>
      <c r="BJ86" s="1">
        <f>255.8*100000000</f>
        <v>25580000000</v>
      </c>
      <c r="BK86" s="6" t="s">
        <v>1263</v>
      </c>
      <c r="BL86" s="1" t="str">
        <f t="shared" si="32"/>
        <v>=104.8*100000000</v>
      </c>
      <c r="BM86" s="16">
        <f t="shared" si="61"/>
        <v>1.4408396946564885</v>
      </c>
      <c r="BN86" s="1">
        <f>104.8*100000000</f>
        <v>10480000000</v>
      </c>
    </row>
    <row r="87" spans="1:66">
      <c r="A87" s="18"/>
      <c r="B87">
        <v>600058</v>
      </c>
      <c r="C87" t="s">
        <v>48</v>
      </c>
      <c r="D87" s="6" t="s">
        <v>1264</v>
      </c>
      <c r="E87" s="7" t="str">
        <f t="shared" si="31"/>
        <v>=8.101*100000000</v>
      </c>
      <c r="F87" s="1">
        <f>8.101*100000000</f>
        <v>810100000.00000012</v>
      </c>
      <c r="G87" s="8">
        <f t="shared" si="33"/>
        <v>0.29719775820656547</v>
      </c>
      <c r="H87" s="6" t="s">
        <v>1265</v>
      </c>
      <c r="I87" s="6" t="str">
        <f t="shared" si="34"/>
        <v>=6.245*100000000</v>
      </c>
      <c r="J87" s="1">
        <f>6.245*100000000</f>
        <v>624500000</v>
      </c>
      <c r="K87" s="10">
        <f t="shared" si="35"/>
        <v>0.26110662358642972</v>
      </c>
      <c r="L87" s="6" t="s">
        <v>129</v>
      </c>
      <c r="M87" s="6" t="str">
        <f t="shared" si="36"/>
        <v>=4.952*100000000</v>
      </c>
      <c r="N87" s="1">
        <f>4.952*100000000</f>
        <v>495200000</v>
      </c>
      <c r="O87" s="8">
        <f t="shared" si="37"/>
        <v>2.8839215686274513</v>
      </c>
      <c r="P87" s="6" t="s">
        <v>1266</v>
      </c>
      <c r="Q87" s="6" t="str">
        <f t="shared" si="38"/>
        <v>=1.275*100000000</v>
      </c>
      <c r="R87" s="11">
        <f>1.275*100000000</f>
        <v>127499999.99999999</v>
      </c>
      <c r="S87" s="8">
        <f t="shared" si="39"/>
        <v>-0.70797068254695372</v>
      </c>
      <c r="T87" s="6" t="s">
        <v>1267</v>
      </c>
      <c r="U87" s="6" t="str">
        <f t="shared" si="40"/>
        <v>=4.366*100000000</v>
      </c>
      <c r="V87" s="1">
        <f>4.366*100000000</f>
        <v>436599999.99999994</v>
      </c>
      <c r="W87" s="8">
        <f t="shared" si="41"/>
        <v>0.37728706624605657</v>
      </c>
      <c r="X87" s="6" t="s">
        <v>1268</v>
      </c>
      <c r="Y87" s="6" t="str">
        <f t="shared" si="42"/>
        <v>=3.170*100000000</v>
      </c>
      <c r="Z87" s="1">
        <f>3.17*100000000</f>
        <v>317000000</v>
      </c>
      <c r="AA87" s="8">
        <f t="shared" si="43"/>
        <v>0.75138121546961323</v>
      </c>
      <c r="AB87" s="6" t="s">
        <v>1269</v>
      </c>
      <c r="AC87" s="6" t="str">
        <f t="shared" si="44"/>
        <v>=1.810*100000000</v>
      </c>
      <c r="AD87" s="1">
        <f>1.81*100000000</f>
        <v>181000000</v>
      </c>
      <c r="AE87" s="8">
        <f t="shared" si="45"/>
        <v>-4.712820512820513</v>
      </c>
      <c r="AF87" s="7">
        <f>-4875*10000</f>
        <v>-48750000</v>
      </c>
      <c r="AG87" s="6" t="str">
        <f t="shared" si="46"/>
        <v>=-48750000</v>
      </c>
      <c r="AH87" s="1">
        <f>-48750000</f>
        <v>-48750000</v>
      </c>
      <c r="AI87" s="8">
        <f t="shared" si="47"/>
        <v>-1.2228062157221207</v>
      </c>
      <c r="AJ87" s="6" t="s">
        <v>1270</v>
      </c>
      <c r="AK87" s="6" t="str">
        <f t="shared" si="48"/>
        <v>=2.188*100000000</v>
      </c>
      <c r="AL87" s="1">
        <f>2.188*100000000</f>
        <v>218800000.00000003</v>
      </c>
      <c r="AM87" s="8">
        <f t="shared" si="49"/>
        <v>0.22852330151600242</v>
      </c>
      <c r="AN87" s="6" t="s">
        <v>1271</v>
      </c>
      <c r="AO87" s="6" t="str">
        <f t="shared" si="50"/>
        <v>=1.781*100000000</v>
      </c>
      <c r="AP87" s="1">
        <f>1.781*100000000</f>
        <v>178100000</v>
      </c>
      <c r="AQ87" s="8">
        <f t="shared" si="51"/>
        <v>2.8885037550548817E-2</v>
      </c>
      <c r="AR87" s="6" t="s">
        <v>1272</v>
      </c>
      <c r="AS87" s="6" t="str">
        <f t="shared" si="52"/>
        <v>=1.731*100000000</v>
      </c>
      <c r="AT87" s="1">
        <f>1.731*100000000</f>
        <v>173100000</v>
      </c>
      <c r="AU87" s="8">
        <f t="shared" si="53"/>
        <v>3.5769434161819142</v>
      </c>
      <c r="AV87" s="7" t="s">
        <v>1273</v>
      </c>
      <c r="AW87" s="6" t="str">
        <f t="shared" si="54"/>
        <v>=3782*10000</v>
      </c>
      <c r="AX87" s="1">
        <f>3782*10000</f>
        <v>37820000</v>
      </c>
      <c r="AY87" s="10">
        <f t="shared" si="55"/>
        <v>-1.0799408158951596</v>
      </c>
      <c r="AZ87" s="6">
        <f>-4.731*100000000</f>
        <v>-473100000</v>
      </c>
      <c r="BA87" s="6" t="str">
        <f t="shared" si="56"/>
        <v>=-473100000</v>
      </c>
      <c r="BB87" s="1">
        <f>-473100000</f>
        <v>-473100000</v>
      </c>
      <c r="BC87" s="8">
        <f t="shared" si="57"/>
        <v>1.6327212020033388</v>
      </c>
      <c r="BD87" s="6">
        <f>-1.797*100000000</f>
        <v>-179700000</v>
      </c>
      <c r="BE87" s="6" t="str">
        <f t="shared" si="58"/>
        <v>=-179700000</v>
      </c>
      <c r="BF87" s="1">
        <f>-179700000</f>
        <v>-179700000</v>
      </c>
      <c r="BG87" s="8">
        <f t="shared" si="59"/>
        <v>0.1154562383612663</v>
      </c>
      <c r="BH87" s="6">
        <f>-1.611*100000000</f>
        <v>-161100000</v>
      </c>
      <c r="BI87" s="6" t="str">
        <f t="shared" si="60"/>
        <v>=-161100000</v>
      </c>
      <c r="BJ87" s="1">
        <f>-161100000</f>
        <v>-161100000</v>
      </c>
      <c r="BK87" s="7" t="s">
        <v>1274</v>
      </c>
      <c r="BL87" s="1" t="str">
        <f t="shared" si="32"/>
        <v>=1103*10000</v>
      </c>
      <c r="BM87" s="16">
        <f t="shared" si="61"/>
        <v>-15.605621033544878</v>
      </c>
      <c r="BN87" s="1">
        <f>1103*10000</f>
        <v>11030000</v>
      </c>
    </row>
    <row r="88" spans="1:66">
      <c r="A88" s="18"/>
      <c r="B88">
        <v>600058</v>
      </c>
      <c r="C88" t="s">
        <v>58</v>
      </c>
      <c r="D88" s="6" t="s">
        <v>1275</v>
      </c>
      <c r="E88" s="7" t="str">
        <f t="shared" si="31"/>
        <v>=7.861*100000000</v>
      </c>
      <c r="F88" s="1">
        <f>7.861*100000000</f>
        <v>786100000</v>
      </c>
      <c r="G88" s="8">
        <f t="shared" si="33"/>
        <v>0.28175444317625958</v>
      </c>
      <c r="H88" s="6" t="s">
        <v>1276</v>
      </c>
      <c r="I88" s="6" t="str">
        <f t="shared" si="34"/>
        <v>=6.133*100000000</v>
      </c>
      <c r="J88" s="1">
        <f>6.133*100000000</f>
        <v>613300000</v>
      </c>
      <c r="K88" s="10">
        <f t="shared" si="35"/>
        <v>0.26375437873480323</v>
      </c>
      <c r="L88" s="6" t="s">
        <v>1277</v>
      </c>
      <c r="M88" s="6" t="str">
        <f t="shared" si="36"/>
        <v>=4.853*100000000</v>
      </c>
      <c r="N88" s="1">
        <f>4.853*100000000</f>
        <v>485300000</v>
      </c>
      <c r="O88" s="8">
        <f t="shared" si="37"/>
        <v>2.9074074074074074</v>
      </c>
      <c r="P88" s="6" t="s">
        <v>1278</v>
      </c>
      <c r="Q88" s="6" t="str">
        <f t="shared" si="38"/>
        <v>=1.242*100000000</v>
      </c>
      <c r="R88" s="11">
        <f>1.242*100000000</f>
        <v>124200000</v>
      </c>
      <c r="S88" s="8">
        <f t="shared" si="39"/>
        <v>-0.72619047619047616</v>
      </c>
      <c r="T88" s="6" t="s">
        <v>1279</v>
      </c>
      <c r="U88" s="6" t="str">
        <f t="shared" si="40"/>
        <v>=4.536*100000000</v>
      </c>
      <c r="V88" s="1">
        <f>4.536*100000000</f>
        <v>453599999.99999994</v>
      </c>
      <c r="W88" s="8">
        <f t="shared" si="41"/>
        <v>0.33372537488973814</v>
      </c>
      <c r="X88" s="6" t="s">
        <v>1280</v>
      </c>
      <c r="Y88" s="6" t="str">
        <f t="shared" si="42"/>
        <v>=3.401*100000000</v>
      </c>
      <c r="Z88" s="1">
        <f>3.401*100000000</f>
        <v>340100000</v>
      </c>
      <c r="AA88" s="8">
        <f t="shared" si="43"/>
        <v>0.62805169937769267</v>
      </c>
      <c r="AB88" s="6" t="s">
        <v>1281</v>
      </c>
      <c r="AC88" s="6" t="str">
        <f t="shared" si="44"/>
        <v>=2.089*100000000</v>
      </c>
      <c r="AD88" s="1">
        <f>2.089*100000000</f>
        <v>208900000</v>
      </c>
      <c r="AE88" s="8">
        <f t="shared" si="45"/>
        <v>-4.8478541167802538</v>
      </c>
      <c r="AF88" s="7">
        <f>-5429*10000</f>
        <v>-54290000</v>
      </c>
      <c r="AG88" s="6" t="str">
        <f t="shared" si="46"/>
        <v>=-54290000</v>
      </c>
      <c r="AH88" s="1">
        <f>-54290000</f>
        <v>-54290000</v>
      </c>
      <c r="AI88" s="8">
        <f t="shared" si="47"/>
        <v>-1.2042513167795335</v>
      </c>
      <c r="AJ88" s="6" t="s">
        <v>1282</v>
      </c>
      <c r="AK88" s="6" t="str">
        <f t="shared" si="48"/>
        <v>=2.658*100000000</v>
      </c>
      <c r="AL88" s="1">
        <f>2.658*100000000</f>
        <v>265800000</v>
      </c>
      <c r="AM88" s="8">
        <f t="shared" si="49"/>
        <v>0.23398328690807799</v>
      </c>
      <c r="AN88" s="6" t="s">
        <v>1283</v>
      </c>
      <c r="AO88" s="6" t="str">
        <f t="shared" si="50"/>
        <v>=2.154*100000000</v>
      </c>
      <c r="AP88" s="1">
        <f>2.154*100000000</f>
        <v>215400000</v>
      </c>
      <c r="AQ88" s="8">
        <f t="shared" si="51"/>
        <v>0.38431876606683807</v>
      </c>
      <c r="AR88" s="6" t="s">
        <v>1284</v>
      </c>
      <c r="AS88" s="6" t="str">
        <f t="shared" si="52"/>
        <v>=1.556*100000000</v>
      </c>
      <c r="AT88" s="1">
        <f>1.556*100000000</f>
        <v>155600000</v>
      </c>
      <c r="AU88" s="8">
        <f t="shared" si="53"/>
        <v>3.0936595632728228</v>
      </c>
      <c r="AV88" s="7" t="s">
        <v>1285</v>
      </c>
      <c r="AW88" s="6" t="str">
        <f t="shared" si="54"/>
        <v>=3801*10000</v>
      </c>
      <c r="AX88" s="1">
        <f>3801*10000</f>
        <v>38010000</v>
      </c>
      <c r="AY88" s="10">
        <f t="shared" si="55"/>
        <v>-1.0527403912862494</v>
      </c>
      <c r="AZ88" s="6">
        <f>-7.207*100000000</f>
        <v>-720700000</v>
      </c>
      <c r="BA88" s="6" t="str">
        <f t="shared" si="56"/>
        <v>=-720700000</v>
      </c>
      <c r="BB88" s="1">
        <f>-720700000</f>
        <v>-720700000</v>
      </c>
      <c r="BC88" s="8">
        <f t="shared" si="57"/>
        <v>0.64731428571428573</v>
      </c>
      <c r="BD88" s="6">
        <f>-4.375*100000000</f>
        <v>-437500000</v>
      </c>
      <c r="BE88" s="6" t="str">
        <f t="shared" si="58"/>
        <v>=-437500000</v>
      </c>
      <c r="BF88" s="1">
        <f>-437500000</f>
        <v>-437500000</v>
      </c>
      <c r="BG88" s="8">
        <f t="shared" si="59"/>
        <v>1.4224806201550388</v>
      </c>
      <c r="BH88" s="6">
        <f>-1.806*100000000</f>
        <v>-180600000</v>
      </c>
      <c r="BI88" s="6" t="str">
        <f t="shared" si="60"/>
        <v>=-180600000</v>
      </c>
      <c r="BJ88" s="1">
        <f>-180600000</f>
        <v>-180600000</v>
      </c>
      <c r="BK88" s="7" t="s">
        <v>1286</v>
      </c>
      <c r="BL88" s="1" t="str">
        <f t="shared" si="32"/>
        <v>=1588*10000</v>
      </c>
      <c r="BM88" s="16">
        <f t="shared" si="61"/>
        <v>-12.3727959697733</v>
      </c>
      <c r="BN88" s="1">
        <f>1588*10000</f>
        <v>15880000</v>
      </c>
    </row>
    <row r="89" spans="1:66">
      <c r="A89" s="19"/>
      <c r="B89">
        <v>600058</v>
      </c>
      <c r="C89" t="s">
        <v>68</v>
      </c>
      <c r="D89" s="6" t="s">
        <v>1287</v>
      </c>
      <c r="E89" s="7" t="str">
        <f t="shared" si="31"/>
        <v>=4.880*100000000</v>
      </c>
      <c r="F89" s="1">
        <f>4.88*100000000</f>
        <v>488000000</v>
      </c>
      <c r="G89" s="8">
        <f t="shared" si="33"/>
        <v>0.36046835795929744</v>
      </c>
      <c r="H89" s="6" t="s">
        <v>1288</v>
      </c>
      <c r="I89" s="6" t="str">
        <f t="shared" si="34"/>
        <v>=3.587*100000000</v>
      </c>
      <c r="J89" s="1">
        <f>3.587*100000000</f>
        <v>358700000</v>
      </c>
      <c r="K89" s="10">
        <f t="shared" si="35"/>
        <v>0.20046854082998661</v>
      </c>
      <c r="L89" s="6" t="s">
        <v>1289</v>
      </c>
      <c r="M89" s="6" t="str">
        <f t="shared" si="36"/>
        <v>=2.988*100000000</v>
      </c>
      <c r="N89" s="1">
        <f>2.988*100000000</f>
        <v>298800000</v>
      </c>
      <c r="O89" s="8">
        <f t="shared" si="37"/>
        <v>2.3218454697053921</v>
      </c>
      <c r="P89" s="7" t="s">
        <v>1290</v>
      </c>
      <c r="Q89" s="6" t="str">
        <f t="shared" si="38"/>
        <v>=8995*10000</v>
      </c>
      <c r="R89" s="11">
        <f>8995*10000</f>
        <v>89950000</v>
      </c>
      <c r="S89" s="8">
        <f t="shared" si="39"/>
        <v>-0.66043790109475276</v>
      </c>
      <c r="T89" s="6" t="s">
        <v>1291</v>
      </c>
      <c r="U89" s="6" t="str">
        <f t="shared" si="40"/>
        <v>=2.649*100000000</v>
      </c>
      <c r="V89" s="1">
        <f>2.649*100000000</f>
        <v>264900000</v>
      </c>
      <c r="W89" s="8">
        <f t="shared" si="41"/>
        <v>7.7705451586655691E-2</v>
      </c>
      <c r="X89" s="6" t="s">
        <v>1292</v>
      </c>
      <c r="Y89" s="6" t="str">
        <f t="shared" si="42"/>
        <v>=2.458*100000000</v>
      </c>
      <c r="Z89" s="1">
        <f>2.458*100000000</f>
        <v>245800000.00000003</v>
      </c>
      <c r="AA89" s="8">
        <f t="shared" si="43"/>
        <v>0.66193373901284669</v>
      </c>
      <c r="AB89" s="6" t="s">
        <v>1293</v>
      </c>
      <c r="AC89" s="6" t="str">
        <f t="shared" si="44"/>
        <v>=1.479*100000000</v>
      </c>
      <c r="AD89" s="1">
        <f>1.479*100000000</f>
        <v>147900000</v>
      </c>
      <c r="AE89" s="8">
        <f t="shared" si="45"/>
        <v>-3.8182164634146343</v>
      </c>
      <c r="AF89" s="7">
        <f>-5248*10000</f>
        <v>-52480000</v>
      </c>
      <c r="AG89" s="6" t="str">
        <f t="shared" si="46"/>
        <v>=-52480000</v>
      </c>
      <c r="AH89" s="1">
        <f>-52480000</f>
        <v>-52480000</v>
      </c>
      <c r="AI89" s="8">
        <f t="shared" si="47"/>
        <v>-1.30834312573443</v>
      </c>
      <c r="AJ89" s="6" t="s">
        <v>1294</v>
      </c>
      <c r="AK89" s="6" t="str">
        <f t="shared" si="48"/>
        <v>=1.702*100000000</v>
      </c>
      <c r="AL89" s="1">
        <f>1.702*100000000</f>
        <v>170200000</v>
      </c>
      <c r="AM89" s="8">
        <f t="shared" si="49"/>
        <v>0.2570162481536189</v>
      </c>
      <c r="AN89" s="6" t="s">
        <v>1295</v>
      </c>
      <c r="AO89" s="6" t="str">
        <f t="shared" si="50"/>
        <v>=1.354*100000000</v>
      </c>
      <c r="AP89" s="1">
        <f>1.354*100000000</f>
        <v>135400000</v>
      </c>
      <c r="AQ89" s="8">
        <f t="shared" si="51"/>
        <v>0.54849039341262584</v>
      </c>
      <c r="AR89" s="7" t="s">
        <v>1296</v>
      </c>
      <c r="AS89" s="6" t="str">
        <f t="shared" si="52"/>
        <v>=8744*10000</v>
      </c>
      <c r="AT89" s="1">
        <f>8744*10000</f>
        <v>87440000</v>
      </c>
      <c r="AU89" s="8">
        <f t="shared" si="53"/>
        <v>3.1677788369876074</v>
      </c>
      <c r="AV89" s="7" t="s">
        <v>1297</v>
      </c>
      <c r="AW89" s="6" t="str">
        <f t="shared" si="54"/>
        <v>=2098*10000</v>
      </c>
      <c r="AX89" s="1">
        <f>2098*10000</f>
        <v>20980000</v>
      </c>
      <c r="AY89" s="10">
        <f t="shared" si="55"/>
        <v>-1.0255666585425298</v>
      </c>
      <c r="AZ89" s="6">
        <f>-8.206*100000000</f>
        <v>-820600000</v>
      </c>
      <c r="BA89" s="6" t="str">
        <f t="shared" si="56"/>
        <v>=-820600000</v>
      </c>
      <c r="BB89" s="1">
        <f>-820600000</f>
        <v>-820600000</v>
      </c>
      <c r="BC89" s="8">
        <f t="shared" si="57"/>
        <v>1.0142366224840451</v>
      </c>
      <c r="BD89" s="6">
        <f>-4.074*100000000</f>
        <v>-407400000</v>
      </c>
      <c r="BE89" s="6" t="str">
        <f t="shared" si="58"/>
        <v>=-407400000</v>
      </c>
      <c r="BF89" s="1">
        <f>-407400000</f>
        <v>-407400000</v>
      </c>
      <c r="BG89" s="8">
        <f t="shared" si="59"/>
        <v>1.7752043596730245</v>
      </c>
      <c r="BH89" s="6">
        <f>-1.468*100000000</f>
        <v>-146800000</v>
      </c>
      <c r="BI89" s="6" t="str">
        <f t="shared" si="60"/>
        <v>=-146800000</v>
      </c>
      <c r="BJ89" s="1">
        <f>-146800000</f>
        <v>-146800000</v>
      </c>
      <c r="BK89" s="7" t="s">
        <v>1298</v>
      </c>
      <c r="BL89" s="1" t="str">
        <f t="shared" si="32"/>
        <v>=1426*10000</v>
      </c>
      <c r="BM89" s="16">
        <f t="shared" si="61"/>
        <v>-11.2945301542777</v>
      </c>
      <c r="BN89" s="1">
        <f>1426*10000</f>
        <v>14260000</v>
      </c>
    </row>
    <row r="90" spans="1:66">
      <c r="A90" s="17">
        <v>23</v>
      </c>
      <c r="B90">
        <v>600061</v>
      </c>
      <c r="C90" t="s">
        <v>31</v>
      </c>
      <c r="D90" s="6" t="s">
        <v>1299</v>
      </c>
      <c r="E90" s="7" t="str">
        <f t="shared" si="31"/>
        <v>=11.91*100000000</v>
      </c>
      <c r="F90" s="1">
        <f>11.91*100000000</f>
        <v>1191000000</v>
      </c>
      <c r="G90" s="8">
        <f t="shared" si="33"/>
        <v>0.37117200092102232</v>
      </c>
      <c r="H90" s="6" t="s">
        <v>1300</v>
      </c>
      <c r="I90" s="6" t="str">
        <f t="shared" si="34"/>
        <v>=8.686*100000000</v>
      </c>
      <c r="J90" s="1">
        <f>8.686*100000000</f>
        <v>868600000</v>
      </c>
      <c r="K90" s="10">
        <f t="shared" si="35"/>
        <v>0.43736554691378454</v>
      </c>
      <c r="L90" s="6" t="s">
        <v>1301</v>
      </c>
      <c r="M90" s="6" t="str">
        <f t="shared" si="36"/>
        <v>=6.043*100000000</v>
      </c>
      <c r="N90" s="1">
        <f>6.043*100000000</f>
        <v>604300000</v>
      </c>
      <c r="O90" s="8">
        <f t="shared" si="37"/>
        <v>2.7371675943104514</v>
      </c>
      <c r="P90" s="6" t="s">
        <v>1302</v>
      </c>
      <c r="Q90" s="6" t="str">
        <f t="shared" si="38"/>
        <v>=1.617*100000000</v>
      </c>
      <c r="R90" s="11">
        <f>1.617*100000000</f>
        <v>161700000</v>
      </c>
      <c r="S90" s="8">
        <f t="shared" si="39"/>
        <v>-0.83150984682713347</v>
      </c>
      <c r="T90" s="6" t="s">
        <v>1303</v>
      </c>
      <c r="U90" s="6" t="str">
        <f t="shared" si="40"/>
        <v>=9.597*100000000</v>
      </c>
      <c r="V90" s="1">
        <f>9.597*100000000</f>
        <v>959700000</v>
      </c>
      <c r="W90" s="8">
        <f t="shared" si="41"/>
        <v>1.9758139534883721</v>
      </c>
      <c r="X90" s="6" t="s">
        <v>1304</v>
      </c>
      <c r="Y90" s="6" t="str">
        <f t="shared" si="42"/>
        <v>=3.225*100000000</v>
      </c>
      <c r="Z90" s="1">
        <f>3.225*100000000</f>
        <v>322500000</v>
      </c>
      <c r="AA90" s="8">
        <f t="shared" si="43"/>
        <v>0.39913232104121454</v>
      </c>
      <c r="AB90" s="6" t="s">
        <v>1305</v>
      </c>
      <c r="AC90" s="6" t="str">
        <f t="shared" si="44"/>
        <v>=2.305*100000000</v>
      </c>
      <c r="AD90" s="1">
        <f>2.305*100000000</f>
        <v>230500000.00000003</v>
      </c>
      <c r="AE90" s="8">
        <f t="shared" si="45"/>
        <v>1.8737065203839924</v>
      </c>
      <c r="AF90" s="7" t="s">
        <v>1306</v>
      </c>
      <c r="AG90" s="6" t="str">
        <f t="shared" si="46"/>
        <v>=8021*10000</v>
      </c>
      <c r="AH90" s="1">
        <f>8021*10000</f>
        <v>80210000</v>
      </c>
      <c r="AI90" s="8">
        <f t="shared" si="47"/>
        <v>-0.87994312228708282</v>
      </c>
      <c r="AJ90" s="6" t="s">
        <v>1307</v>
      </c>
      <c r="AK90" s="6" t="str">
        <f t="shared" si="48"/>
        <v>=6.681*100000000</v>
      </c>
      <c r="AL90" s="1">
        <f>6.681*100000000</f>
        <v>668100000</v>
      </c>
      <c r="AM90" s="8">
        <f t="shared" si="49"/>
        <v>7.8276307295029046E-2</v>
      </c>
      <c r="AN90" s="6" t="s">
        <v>1308</v>
      </c>
      <c r="AO90" s="6" t="str">
        <f t="shared" si="50"/>
        <v>=6.196*100000000</v>
      </c>
      <c r="AP90" s="1">
        <f>6.196*100000000</f>
        <v>619600000</v>
      </c>
      <c r="AQ90" s="8">
        <f t="shared" si="51"/>
        <v>0.27071369975389648</v>
      </c>
      <c r="AR90" s="6" t="s">
        <v>1309</v>
      </c>
      <c r="AS90" s="6" t="str">
        <f t="shared" si="52"/>
        <v>=4.876*100000000</v>
      </c>
      <c r="AT90" s="1">
        <f>4.876*100000000</f>
        <v>487600000.00000006</v>
      </c>
      <c r="AU90" s="8">
        <f t="shared" si="53"/>
        <v>0.6050032916392365</v>
      </c>
      <c r="AV90" s="6" t="s">
        <v>1310</v>
      </c>
      <c r="AW90" s="6" t="str">
        <f t="shared" si="54"/>
        <v>=3.038*100000000</v>
      </c>
      <c r="AX90" s="1">
        <f>3.038*100000000</f>
        <v>303800000</v>
      </c>
      <c r="AY90" s="10">
        <f t="shared" si="55"/>
        <v>-0.87148900169204735</v>
      </c>
      <c r="AZ90" s="6" t="s">
        <v>1311</v>
      </c>
      <c r="BA90" s="6" t="str">
        <f t="shared" si="56"/>
        <v>=23.64*100000000</v>
      </c>
      <c r="BB90" s="1">
        <f>23.64*100000000</f>
        <v>2364000000</v>
      </c>
      <c r="BC90" s="8">
        <f t="shared" si="57"/>
        <v>0.16568047337278108</v>
      </c>
      <c r="BD90" s="6" t="s">
        <v>1312</v>
      </c>
      <c r="BE90" s="6" t="str">
        <f t="shared" si="58"/>
        <v>=20.28*100000000</v>
      </c>
      <c r="BF90" s="1">
        <f>20.28*100000000</f>
        <v>2028000000</v>
      </c>
      <c r="BG90" s="8">
        <f t="shared" si="59"/>
        <v>2.1500465983224606</v>
      </c>
      <c r="BH90" s="6" t="s">
        <v>1313</v>
      </c>
      <c r="BI90" s="6" t="str">
        <f t="shared" si="60"/>
        <v>=6.438*100000000</v>
      </c>
      <c r="BJ90" s="1">
        <f>6.438*100000000</f>
        <v>643800000</v>
      </c>
      <c r="BK90" s="6" t="s">
        <v>1314</v>
      </c>
      <c r="BL90" s="1" t="str">
        <f t="shared" si="32"/>
        <v>=2.806*100000000</v>
      </c>
      <c r="BM90" s="16">
        <f t="shared" si="61"/>
        <v>1.2943692088382039</v>
      </c>
      <c r="BN90" s="1">
        <f>2.806*100000000</f>
        <v>280600000</v>
      </c>
    </row>
    <row r="91" spans="1:66">
      <c r="A91" s="18"/>
      <c r="B91">
        <v>600061</v>
      </c>
      <c r="C91" t="s">
        <v>48</v>
      </c>
      <c r="D91" s="6" t="s">
        <v>1315</v>
      </c>
      <c r="E91" s="7" t="str">
        <f t="shared" si="31"/>
        <v>=67.52*100000000</v>
      </c>
      <c r="F91" s="1">
        <f>67.52*100000000</f>
        <v>6752000000</v>
      </c>
      <c r="G91" s="8">
        <f t="shared" si="33"/>
        <v>0.17753749564004184</v>
      </c>
      <c r="H91" s="6" t="s">
        <v>1316</v>
      </c>
      <c r="I91" s="6" t="str">
        <f t="shared" si="34"/>
        <v>=57.34*100000000</v>
      </c>
      <c r="J91" s="1">
        <f>57.34*100000000</f>
        <v>5734000000</v>
      </c>
      <c r="K91" s="10">
        <f t="shared" si="35"/>
        <v>0.46014769544181289</v>
      </c>
      <c r="L91" s="6" t="s">
        <v>1317</v>
      </c>
      <c r="M91" s="6" t="str">
        <f t="shared" si="36"/>
        <v>=39.27*100000000</v>
      </c>
      <c r="N91" s="1">
        <f>39.27*100000000</f>
        <v>3927000000.0000005</v>
      </c>
      <c r="O91" s="8">
        <f t="shared" si="37"/>
        <v>1.4121621621621625</v>
      </c>
      <c r="P91" s="6" t="s">
        <v>1318</v>
      </c>
      <c r="Q91" s="6" t="str">
        <f t="shared" si="38"/>
        <v>=16.28*100000000</v>
      </c>
      <c r="R91" s="11">
        <f>16.28*100000000</f>
        <v>1628000000</v>
      </c>
      <c r="S91" s="8">
        <f t="shared" si="39"/>
        <v>-0.73389996730957829</v>
      </c>
      <c r="T91" s="6" t="s">
        <v>1319</v>
      </c>
      <c r="U91" s="6" t="str">
        <f t="shared" si="40"/>
        <v>=61.18*100000000</v>
      </c>
      <c r="V91" s="1">
        <f>61.18*100000000</f>
        <v>6118000000</v>
      </c>
      <c r="W91" s="8">
        <f t="shared" si="41"/>
        <v>0.15043249341857842</v>
      </c>
      <c r="X91" s="6" t="s">
        <v>1320</v>
      </c>
      <c r="Y91" s="6" t="str">
        <f t="shared" si="42"/>
        <v>=53.18*100000000</v>
      </c>
      <c r="Z91" s="1">
        <f>53.18*100000000</f>
        <v>5318000000</v>
      </c>
      <c r="AA91" s="8">
        <f t="shared" si="43"/>
        <v>0.54368650217706804</v>
      </c>
      <c r="AB91" s="6" t="s">
        <v>1321</v>
      </c>
      <c r="AC91" s="6" t="str">
        <f t="shared" si="44"/>
        <v>=34.45*100000000</v>
      </c>
      <c r="AD91" s="1">
        <f>34.45*100000000</f>
        <v>3445000000.0000005</v>
      </c>
      <c r="AE91" s="8">
        <f t="shared" si="45"/>
        <v>2.4564061402628679</v>
      </c>
      <c r="AF91" s="6" t="s">
        <v>1322</v>
      </c>
      <c r="AG91" s="6" t="str">
        <f t="shared" si="46"/>
        <v>=9.967*100000000</v>
      </c>
      <c r="AH91" s="1">
        <f>9.967*100000000</f>
        <v>996700000</v>
      </c>
      <c r="AI91" s="8">
        <f t="shared" si="47"/>
        <v>-0.78910283537875581</v>
      </c>
      <c r="AJ91" s="6" t="s">
        <v>1323</v>
      </c>
      <c r="AK91" s="6" t="str">
        <f t="shared" si="48"/>
        <v>=47.26*100000000</v>
      </c>
      <c r="AL91" s="1">
        <f>47.26*100000000</f>
        <v>4726000000</v>
      </c>
      <c r="AM91" s="8">
        <f t="shared" si="49"/>
        <v>0.23782084861183866</v>
      </c>
      <c r="AN91" s="6" t="s">
        <v>1324</v>
      </c>
      <c r="AO91" s="6" t="str">
        <f t="shared" si="50"/>
        <v>=38.18*100000000</v>
      </c>
      <c r="AP91" s="1">
        <f>38.18*100000000</f>
        <v>3818000000</v>
      </c>
      <c r="AQ91" s="8">
        <f t="shared" si="51"/>
        <v>0.46789696270665126</v>
      </c>
      <c r="AR91" s="6" t="s">
        <v>1325</v>
      </c>
      <c r="AS91" s="6" t="str">
        <f t="shared" si="52"/>
        <v>=26.01*100000000</v>
      </c>
      <c r="AT91" s="1">
        <f>26.01*100000000</f>
        <v>2601000000</v>
      </c>
      <c r="AU91" s="8">
        <f t="shared" si="53"/>
        <v>0.44339622641509435</v>
      </c>
      <c r="AV91" s="6" t="s">
        <v>1326</v>
      </c>
      <c r="AW91" s="6" t="str">
        <f t="shared" si="54"/>
        <v>=18.02*100000000</v>
      </c>
      <c r="AX91" s="1">
        <f>18.02*100000000</f>
        <v>1802000000</v>
      </c>
      <c r="AY91" s="10">
        <f t="shared" si="55"/>
        <v>-0.34305504921618668</v>
      </c>
      <c r="AZ91" s="6" t="s">
        <v>1327</v>
      </c>
      <c r="BA91" s="6" t="str">
        <f t="shared" si="56"/>
        <v>=27.43*100000000</v>
      </c>
      <c r="BB91" s="1">
        <f>27.43*100000000</f>
        <v>2743000000</v>
      </c>
      <c r="BC91" s="8">
        <f t="shared" si="57"/>
        <v>0.50880088008800883</v>
      </c>
      <c r="BD91" s="6" t="s">
        <v>1328</v>
      </c>
      <c r="BE91" s="6" t="str">
        <f t="shared" si="58"/>
        <v>=18.18*100000000</v>
      </c>
      <c r="BF91" s="1">
        <f>18.18*100000000</f>
        <v>1818000000</v>
      </c>
      <c r="BG91" s="8">
        <f t="shared" si="59"/>
        <v>0.30136005726556908</v>
      </c>
      <c r="BH91" s="6" t="s">
        <v>1329</v>
      </c>
      <c r="BI91" s="6" t="str">
        <f t="shared" si="60"/>
        <v>=13.97*100000000</v>
      </c>
      <c r="BJ91" s="1">
        <f>13.97*100000000</f>
        <v>1397000000</v>
      </c>
      <c r="BK91" s="6" t="s">
        <v>1330</v>
      </c>
      <c r="BL91" s="1" t="str">
        <f t="shared" si="32"/>
        <v>=7.846*100000000</v>
      </c>
      <c r="BM91" s="16">
        <f t="shared" si="61"/>
        <v>0.78052510833545752</v>
      </c>
      <c r="BN91" s="1">
        <f>7.846*100000000</f>
        <v>784600000</v>
      </c>
    </row>
    <row r="92" spans="1:66">
      <c r="A92" s="18"/>
      <c r="B92">
        <v>600061</v>
      </c>
      <c r="C92" t="s">
        <v>58</v>
      </c>
      <c r="D92" s="6" t="s">
        <v>1331</v>
      </c>
      <c r="E92" s="7" t="str">
        <f t="shared" si="31"/>
        <v>=67.17*100000000</v>
      </c>
      <c r="F92" s="1">
        <f>67.17*100000000</f>
        <v>6717000000</v>
      </c>
      <c r="G92" s="8">
        <f t="shared" si="33"/>
        <v>0.17635726795096321</v>
      </c>
      <c r="H92" s="6" t="s">
        <v>1332</v>
      </c>
      <c r="I92" s="6" t="str">
        <f t="shared" si="34"/>
        <v>=57.10*100000000</v>
      </c>
      <c r="J92" s="1">
        <f>57.1*100000000</f>
        <v>5710000000</v>
      </c>
      <c r="K92" s="10">
        <f t="shared" si="35"/>
        <v>0.46260245901639346</v>
      </c>
      <c r="L92" s="6" t="s">
        <v>1333</v>
      </c>
      <c r="M92" s="6" t="str">
        <f t="shared" si="36"/>
        <v>=39.04*100000000</v>
      </c>
      <c r="N92" s="1">
        <f>39.04*100000000</f>
        <v>3904000000</v>
      </c>
      <c r="O92" s="8">
        <f t="shared" si="37"/>
        <v>1.4113650401482394</v>
      </c>
      <c r="P92" s="6" t="s">
        <v>1334</v>
      </c>
      <c r="Q92" s="6" t="str">
        <f t="shared" si="38"/>
        <v>=16.19*100000000</v>
      </c>
      <c r="R92" s="11">
        <f>16.19*100000000</f>
        <v>1619000000.0000002</v>
      </c>
      <c r="S92" s="8">
        <f t="shared" si="39"/>
        <v>-0.73472062919875469</v>
      </c>
      <c r="T92" s="6" t="s">
        <v>1335</v>
      </c>
      <c r="U92" s="6" t="str">
        <f t="shared" si="40"/>
        <v>=61.03*100000000</v>
      </c>
      <c r="V92" s="1">
        <f>61.03*100000000</f>
        <v>6103000000</v>
      </c>
      <c r="W92" s="8">
        <f t="shared" si="41"/>
        <v>0.15216160090617331</v>
      </c>
      <c r="X92" s="6" t="s">
        <v>1336</v>
      </c>
      <c r="Y92" s="6" t="str">
        <f t="shared" si="42"/>
        <v>=52.97*100000000</v>
      </c>
      <c r="Z92" s="1">
        <f>52.97*100000000</f>
        <v>5297000000</v>
      </c>
      <c r="AA92" s="8">
        <f t="shared" si="43"/>
        <v>0.54656934306569338</v>
      </c>
      <c r="AB92" s="6" t="s">
        <v>1337</v>
      </c>
      <c r="AC92" s="6" t="str">
        <f t="shared" si="44"/>
        <v>=34.25*100000000</v>
      </c>
      <c r="AD92" s="1">
        <f>34.25*100000000</f>
        <v>3425000000</v>
      </c>
      <c r="AE92" s="8">
        <f t="shared" si="45"/>
        <v>2.4849409849409851</v>
      </c>
      <c r="AF92" s="6" t="s">
        <v>1338</v>
      </c>
      <c r="AG92" s="6" t="str">
        <f t="shared" si="46"/>
        <v>=9.828*100000000</v>
      </c>
      <c r="AH92" s="1">
        <f>9.828*100000000</f>
        <v>982799999.99999988</v>
      </c>
      <c r="AI92" s="8">
        <f t="shared" si="47"/>
        <v>-0.79155885471898202</v>
      </c>
      <c r="AJ92" s="6" t="s">
        <v>1339</v>
      </c>
      <c r="AK92" s="6" t="str">
        <f t="shared" si="48"/>
        <v>=47.15*100000000</v>
      </c>
      <c r="AL92" s="1">
        <f>47.15*100000000</f>
        <v>4715000000</v>
      </c>
      <c r="AM92" s="8">
        <f t="shared" si="49"/>
        <v>0.24735449735449752</v>
      </c>
      <c r="AN92" s="6" t="s">
        <v>1340</v>
      </c>
      <c r="AO92" s="6" t="str">
        <f t="shared" si="50"/>
        <v>=37.80*100000000</v>
      </c>
      <c r="AP92" s="1">
        <f>37.8*100000000</f>
        <v>3779999999.9999995</v>
      </c>
      <c r="AQ92" s="8">
        <f t="shared" si="51"/>
        <v>0.45608628659476097</v>
      </c>
      <c r="AR92" s="6" t="s">
        <v>1341</v>
      </c>
      <c r="AS92" s="6" t="str">
        <f t="shared" si="52"/>
        <v>=25.96*100000000</v>
      </c>
      <c r="AT92" s="1">
        <f>25.96*100000000</f>
        <v>2596000000</v>
      </c>
      <c r="AU92" s="8">
        <f t="shared" si="53"/>
        <v>0.44462993878686702</v>
      </c>
      <c r="AV92" s="6" t="s">
        <v>1342</v>
      </c>
      <c r="AW92" s="6" t="str">
        <f t="shared" si="54"/>
        <v>=17.97*100000000</v>
      </c>
      <c r="AX92" s="1">
        <f>17.97*100000000</f>
        <v>1797000000</v>
      </c>
      <c r="AY92" s="10">
        <f t="shared" si="55"/>
        <v>-0.34296160877513709</v>
      </c>
      <c r="AZ92" s="6" t="s">
        <v>1343</v>
      </c>
      <c r="BA92" s="6" t="str">
        <f t="shared" si="56"/>
        <v>=27.35*100000000</v>
      </c>
      <c r="BB92" s="1">
        <f>27.35*100000000</f>
        <v>2735000000</v>
      </c>
      <c r="BC92" s="8">
        <f t="shared" si="57"/>
        <v>0.50109769484083422</v>
      </c>
      <c r="BD92" s="6" t="s">
        <v>1344</v>
      </c>
      <c r="BE92" s="6" t="str">
        <f t="shared" si="58"/>
        <v>=18.22*100000000</v>
      </c>
      <c r="BF92" s="1">
        <f>18.22*100000000</f>
        <v>1822000000</v>
      </c>
      <c r="BG92" s="8">
        <f t="shared" si="59"/>
        <v>0.3079684134960517</v>
      </c>
      <c r="BH92" s="6" t="s">
        <v>1345</v>
      </c>
      <c r="BI92" s="6" t="str">
        <f t="shared" si="60"/>
        <v>=13.93*100000000</v>
      </c>
      <c r="BJ92" s="1">
        <f>13.93*100000000</f>
        <v>1393000000</v>
      </c>
      <c r="BK92" s="6" t="s">
        <v>1346</v>
      </c>
      <c r="BL92" s="1" t="str">
        <f t="shared" si="32"/>
        <v>=7.838*100000000</v>
      </c>
      <c r="BM92" s="16">
        <f t="shared" si="61"/>
        <v>0.77723909160500126</v>
      </c>
      <c r="BN92" s="1">
        <f>7.838*100000000</f>
        <v>783800000</v>
      </c>
    </row>
    <row r="93" spans="1:66">
      <c r="A93" s="19"/>
      <c r="B93">
        <v>600061</v>
      </c>
      <c r="C93" t="s">
        <v>68</v>
      </c>
      <c r="D93" s="6" t="s">
        <v>1347</v>
      </c>
      <c r="E93" s="7" t="str">
        <f t="shared" si="31"/>
        <v>=53.08*100000000</v>
      </c>
      <c r="F93" s="1">
        <f>53.08*100000000</f>
        <v>5308000000</v>
      </c>
      <c r="G93" s="8">
        <f t="shared" si="33"/>
        <v>0.21520146520146521</v>
      </c>
      <c r="H93" s="6" t="s">
        <v>1348</v>
      </c>
      <c r="I93" s="6" t="str">
        <f t="shared" si="34"/>
        <v>=43.68*100000000</v>
      </c>
      <c r="J93" s="1">
        <f>43.68*100000000</f>
        <v>4368000000</v>
      </c>
      <c r="K93" s="10">
        <f t="shared" si="35"/>
        <v>0.44923689449236892</v>
      </c>
      <c r="L93" s="6" t="s">
        <v>1349</v>
      </c>
      <c r="M93" s="6" t="str">
        <f t="shared" si="36"/>
        <v>=30.14*100000000</v>
      </c>
      <c r="N93" s="1">
        <f>30.14*100000000</f>
        <v>3014000000</v>
      </c>
      <c r="O93" s="8">
        <f t="shared" si="37"/>
        <v>1.5033222591362125</v>
      </c>
      <c r="P93" s="6" t="s">
        <v>1350</v>
      </c>
      <c r="Q93" s="6" t="str">
        <f t="shared" si="38"/>
        <v>=12.04*100000000</v>
      </c>
      <c r="R93" s="11">
        <f>12.04*100000000</f>
        <v>1204000000</v>
      </c>
      <c r="S93" s="8">
        <f t="shared" si="39"/>
        <v>-0.74415639609009776</v>
      </c>
      <c r="T93" s="6" t="s">
        <v>1351</v>
      </c>
      <c r="U93" s="6" t="str">
        <f t="shared" si="40"/>
        <v>=47.06*100000000</v>
      </c>
      <c r="V93" s="1">
        <f>47.06*100000000</f>
        <v>4706000000</v>
      </c>
      <c r="W93" s="8">
        <f t="shared" si="41"/>
        <v>0.18300653594771241</v>
      </c>
      <c r="X93" s="6" t="s">
        <v>1173</v>
      </c>
      <c r="Y93" s="6" t="str">
        <f t="shared" si="42"/>
        <v>=39.78*100000000</v>
      </c>
      <c r="Z93" s="1">
        <f>39.78*100000000</f>
        <v>3978000000</v>
      </c>
      <c r="AA93" s="8">
        <f t="shared" si="43"/>
        <v>0.54425465838509313</v>
      </c>
      <c r="AB93" s="6" t="s">
        <v>1352</v>
      </c>
      <c r="AC93" s="6" t="str">
        <f t="shared" si="44"/>
        <v>=25.76*100000000</v>
      </c>
      <c r="AD93" s="1">
        <f>25.76*100000000</f>
        <v>2576000000</v>
      </c>
      <c r="AE93" s="8">
        <f t="shared" si="45"/>
        <v>2.5882434879509679</v>
      </c>
      <c r="AF93" s="6" t="s">
        <v>1353</v>
      </c>
      <c r="AG93" s="6" t="str">
        <f t="shared" si="46"/>
        <v>=7.179*100000000</v>
      </c>
      <c r="AH93" s="1">
        <f>7.179*100000000</f>
        <v>717900000</v>
      </c>
      <c r="AI93" s="8">
        <f t="shared" si="47"/>
        <v>-0.79488571428571431</v>
      </c>
      <c r="AJ93" s="6" t="s">
        <v>1354</v>
      </c>
      <c r="AK93" s="6" t="str">
        <f t="shared" si="48"/>
        <v>=35.00*100000000</v>
      </c>
      <c r="AL93" s="1">
        <f>35*100000000</f>
        <v>3500000000</v>
      </c>
      <c r="AM93" s="8">
        <f t="shared" si="49"/>
        <v>0.24555160142348753</v>
      </c>
      <c r="AN93" s="6" t="s">
        <v>1355</v>
      </c>
      <c r="AO93" s="6" t="str">
        <f t="shared" si="50"/>
        <v>=28.10*100000000</v>
      </c>
      <c r="AP93" s="1">
        <f>28.1*100000000</f>
        <v>2810000000</v>
      </c>
      <c r="AQ93" s="8">
        <f t="shared" si="51"/>
        <v>0.45144628099173556</v>
      </c>
      <c r="AR93" s="6" t="s">
        <v>1356</v>
      </c>
      <c r="AS93" s="6" t="str">
        <f t="shared" si="52"/>
        <v>=19.36*100000000</v>
      </c>
      <c r="AT93" s="1">
        <f>19.36*100000000</f>
        <v>1936000000</v>
      </c>
      <c r="AU93" s="8">
        <f t="shared" si="53"/>
        <v>0.4351371386212009</v>
      </c>
      <c r="AV93" s="6" t="s">
        <v>1357</v>
      </c>
      <c r="AW93" s="6" t="str">
        <f t="shared" si="54"/>
        <v>=13.49*100000000</v>
      </c>
      <c r="AX93" s="1">
        <f>13.49*100000000</f>
        <v>1349000000</v>
      </c>
      <c r="AY93" s="10">
        <f t="shared" si="55"/>
        <v>-0.33382716049382716</v>
      </c>
      <c r="AZ93" s="6" t="s">
        <v>1358</v>
      </c>
      <c r="BA93" s="6" t="str">
        <f t="shared" si="56"/>
        <v>=20.25*100000000</v>
      </c>
      <c r="BB93" s="1">
        <f>20.25*100000000</f>
        <v>2025000000</v>
      </c>
      <c r="BC93" s="8">
        <f t="shared" si="57"/>
        <v>0.55053598774885149</v>
      </c>
      <c r="BD93" s="6" t="s">
        <v>1359</v>
      </c>
      <c r="BE93" s="6" t="str">
        <f t="shared" si="58"/>
        <v>=13.06*100000000</v>
      </c>
      <c r="BF93" s="1">
        <f>13.06*100000000</f>
        <v>1306000000</v>
      </c>
      <c r="BG93" s="8">
        <f t="shared" si="59"/>
        <v>0.32723577235772355</v>
      </c>
      <c r="BH93" s="6" t="s">
        <v>1360</v>
      </c>
      <c r="BI93" s="6" t="str">
        <f t="shared" si="60"/>
        <v>=9.840*100000000</v>
      </c>
      <c r="BJ93" s="1">
        <f>9.84*100000000</f>
        <v>984000000</v>
      </c>
      <c r="BK93" s="6" t="s">
        <v>1361</v>
      </c>
      <c r="BL93" s="1" t="str">
        <f t="shared" si="32"/>
        <v>=5.705*100000000</v>
      </c>
      <c r="BM93" s="16">
        <f t="shared" si="61"/>
        <v>0.72480280455740576</v>
      </c>
      <c r="BN93" s="1">
        <f>5.705*100000000</f>
        <v>570500000</v>
      </c>
    </row>
    <row r="94" spans="1:66">
      <c r="A94" s="17">
        <v>24</v>
      </c>
      <c r="B94">
        <v>600062</v>
      </c>
      <c r="C94" t="s">
        <v>31</v>
      </c>
      <c r="D94" s="6" t="s">
        <v>1362</v>
      </c>
      <c r="E94" s="7" t="str">
        <f t="shared" si="31"/>
        <v>=91.12*100000000</v>
      </c>
      <c r="F94" s="1">
        <f>91.12*100000000</f>
        <v>9112000000</v>
      </c>
      <c r="G94" s="8">
        <f t="shared" si="33"/>
        <v>0.32538181818181816</v>
      </c>
      <c r="H94" s="6" t="s">
        <v>1363</v>
      </c>
      <c r="I94" s="6" t="str">
        <f t="shared" si="34"/>
        <v>=68.75*100000000</v>
      </c>
      <c r="J94" s="1">
        <f>68.75*100000000</f>
        <v>6875000000</v>
      </c>
      <c r="K94" s="10">
        <f t="shared" si="35"/>
        <v>0.48488120950323976</v>
      </c>
      <c r="L94" s="6" t="s">
        <v>1364</v>
      </c>
      <c r="M94" s="6" t="str">
        <f t="shared" si="36"/>
        <v>=46.30*100000000</v>
      </c>
      <c r="N94" s="1">
        <f>46.3*100000000</f>
        <v>4630000000</v>
      </c>
      <c r="O94" s="8">
        <f t="shared" si="37"/>
        <v>0.9227574750830565</v>
      </c>
      <c r="P94" s="6" t="s">
        <v>1365</v>
      </c>
      <c r="Q94" s="6" t="str">
        <f t="shared" si="38"/>
        <v>=24.08*100000000</v>
      </c>
      <c r="R94" s="11">
        <f>24.08*100000000</f>
        <v>2408000000</v>
      </c>
      <c r="S94" s="8">
        <f t="shared" si="39"/>
        <v>-0.71683913452492942</v>
      </c>
      <c r="T94" s="6" t="s">
        <v>1366</v>
      </c>
      <c r="U94" s="6" t="str">
        <f t="shared" si="40"/>
        <v>=85.04*100000000</v>
      </c>
      <c r="V94" s="1">
        <f>85.04*100000000</f>
        <v>8504000000.000001</v>
      </c>
      <c r="W94" s="8">
        <f t="shared" si="41"/>
        <v>0.33417006589268922</v>
      </c>
      <c r="X94" s="6" t="s">
        <v>1367</v>
      </c>
      <c r="Y94" s="6" t="str">
        <f t="shared" si="42"/>
        <v>=63.74*100000000</v>
      </c>
      <c r="Z94" s="1">
        <f>63.74*100000000</f>
        <v>6374000000</v>
      </c>
      <c r="AA94" s="8">
        <f t="shared" si="43"/>
        <v>0.53701470942850249</v>
      </c>
      <c r="AB94" s="6" t="s">
        <v>1368</v>
      </c>
      <c r="AC94" s="6" t="str">
        <f t="shared" si="44"/>
        <v>=41.47*100000000</v>
      </c>
      <c r="AD94" s="1">
        <f>41.47*100000000</f>
        <v>4147000000</v>
      </c>
      <c r="AE94" s="8">
        <f t="shared" si="45"/>
        <v>0.90054995417048578</v>
      </c>
      <c r="AF94" s="6" t="s">
        <v>1369</v>
      </c>
      <c r="AG94" s="6" t="str">
        <f t="shared" si="46"/>
        <v>=21.82*100000000</v>
      </c>
      <c r="AH94" s="1">
        <f>21.82*100000000</f>
        <v>2182000000</v>
      </c>
      <c r="AI94" s="8">
        <f t="shared" si="47"/>
        <v>-0.76740219592793946</v>
      </c>
      <c r="AJ94" s="6" t="s">
        <v>1370</v>
      </c>
      <c r="AK94" s="6" t="str">
        <f t="shared" si="48"/>
        <v>=93.81*100000000</v>
      </c>
      <c r="AL94" s="1">
        <f>93.81*100000000</f>
        <v>9381000000</v>
      </c>
      <c r="AM94" s="8">
        <f t="shared" si="49"/>
        <v>0.26650465775617677</v>
      </c>
      <c r="AN94" s="6" t="s">
        <v>1371</v>
      </c>
      <c r="AO94" s="6" t="str">
        <f t="shared" si="50"/>
        <v>=74.07*100000000</v>
      </c>
      <c r="AP94" s="1">
        <f>74.07*100000000</f>
        <v>7406999999.999999</v>
      </c>
      <c r="AQ94" s="8">
        <f t="shared" si="51"/>
        <v>0.52219482120838456</v>
      </c>
      <c r="AR94" s="6" t="s">
        <v>1372</v>
      </c>
      <c r="AS94" s="6" t="str">
        <f t="shared" si="52"/>
        <v>=48.66*100000000</v>
      </c>
      <c r="AT94" s="1">
        <f>48.66*100000000</f>
        <v>4866000000</v>
      </c>
      <c r="AU94" s="8">
        <f t="shared" si="53"/>
        <v>0.8480820357007216</v>
      </c>
      <c r="AV94" s="6" t="s">
        <v>1373</v>
      </c>
      <c r="AW94" s="6" t="str">
        <f t="shared" si="54"/>
        <v>=26.33*100000000</v>
      </c>
      <c r="AX94" s="1">
        <f>26.33*100000000</f>
        <v>2633000000</v>
      </c>
      <c r="AY94" s="10">
        <f t="shared" si="55"/>
        <v>-0.67987841945288752</v>
      </c>
      <c r="AZ94" s="6" t="s">
        <v>1374</v>
      </c>
      <c r="BA94" s="6" t="str">
        <f t="shared" si="56"/>
        <v>=82.25*100000000</v>
      </c>
      <c r="BB94" s="1">
        <f>82.25*100000000</f>
        <v>8225000000</v>
      </c>
      <c r="BC94" s="8">
        <f t="shared" si="57"/>
        <v>0.30348652931854198</v>
      </c>
      <c r="BD94" s="6" t="s">
        <v>1375</v>
      </c>
      <c r="BE94" s="6" t="str">
        <f t="shared" si="58"/>
        <v>=63.10*100000000</v>
      </c>
      <c r="BF94" s="1">
        <f>63.1*100000000</f>
        <v>6310000000</v>
      </c>
      <c r="BG94" s="8">
        <f t="shared" si="59"/>
        <v>0.54354207436399204</v>
      </c>
      <c r="BH94" s="6" t="s">
        <v>1376</v>
      </c>
      <c r="BI94" s="6" t="str">
        <f t="shared" si="60"/>
        <v>=40.88*100000000</v>
      </c>
      <c r="BJ94" s="1">
        <f>40.88*100000000</f>
        <v>4088000000.0000005</v>
      </c>
      <c r="BK94" s="6" t="s">
        <v>1377</v>
      </c>
      <c r="BL94" s="1" t="str">
        <f t="shared" si="32"/>
        <v>=21.38*100000000</v>
      </c>
      <c r="BM94" s="16">
        <f t="shared" si="61"/>
        <v>0.91206735266604322</v>
      </c>
      <c r="BN94" s="1">
        <f>21.38*100000000</f>
        <v>2138000000</v>
      </c>
    </row>
    <row r="95" spans="1:66">
      <c r="A95" s="18"/>
      <c r="B95">
        <v>600062</v>
      </c>
      <c r="C95" t="s">
        <v>48</v>
      </c>
      <c r="D95" s="6" t="s">
        <v>1378</v>
      </c>
      <c r="E95" s="7" t="str">
        <f t="shared" si="31"/>
        <v>=11.37*100000000</v>
      </c>
      <c r="F95" s="1">
        <f>11.37*100000000</f>
        <v>1137000000</v>
      </c>
      <c r="G95" s="8">
        <f t="shared" si="33"/>
        <v>4.0256175663311987E-2</v>
      </c>
      <c r="H95" s="6" t="s">
        <v>1379</v>
      </c>
      <c r="I95" s="6" t="str">
        <f t="shared" si="34"/>
        <v>=10.93*100000000</v>
      </c>
      <c r="J95" s="1">
        <f>10.93*100000000</f>
        <v>1093000000</v>
      </c>
      <c r="K95" s="10">
        <f t="shared" si="35"/>
        <v>0.49746540622003016</v>
      </c>
      <c r="L95" s="6" t="s">
        <v>1380</v>
      </c>
      <c r="M95" s="6" t="str">
        <f t="shared" si="36"/>
        <v>=7.299*100000000</v>
      </c>
      <c r="N95" s="1">
        <f>7.299*100000000</f>
        <v>729900000</v>
      </c>
      <c r="O95" s="8">
        <f t="shared" si="37"/>
        <v>1.0359832635983264</v>
      </c>
      <c r="P95" s="6" t="s">
        <v>1381</v>
      </c>
      <c r="Q95" s="6" t="str">
        <f t="shared" si="38"/>
        <v>=3.585*100000000</v>
      </c>
      <c r="R95" s="11">
        <f>3.585*100000000</f>
        <v>358500000</v>
      </c>
      <c r="S95" s="8">
        <f t="shared" si="39"/>
        <v>-0.70829943043124488</v>
      </c>
      <c r="T95" s="6" t="s">
        <v>1382</v>
      </c>
      <c r="U95" s="6" t="str">
        <f t="shared" si="40"/>
        <v>=12.29*100000000</v>
      </c>
      <c r="V95" s="1">
        <f>12.29*100000000</f>
        <v>1229000000</v>
      </c>
      <c r="W95" s="8">
        <f t="shared" si="41"/>
        <v>0.16162570888468808</v>
      </c>
      <c r="X95" s="6" t="s">
        <v>1383</v>
      </c>
      <c r="Y95" s="6" t="str">
        <f t="shared" si="42"/>
        <v>=10.58*100000000</v>
      </c>
      <c r="Z95" s="1">
        <f>10.58*100000000</f>
        <v>1058000000</v>
      </c>
      <c r="AA95" s="8">
        <f t="shared" si="43"/>
        <v>0.57839773235864533</v>
      </c>
      <c r="AB95" s="6" t="s">
        <v>1384</v>
      </c>
      <c r="AC95" s="6" t="str">
        <f t="shared" si="44"/>
        <v>=6.703*100000000</v>
      </c>
      <c r="AD95" s="1">
        <f>6.703*100000000</f>
        <v>670300000</v>
      </c>
      <c r="AE95" s="8">
        <f t="shared" si="45"/>
        <v>0.96338605741066197</v>
      </c>
      <c r="AF95" s="6" t="s">
        <v>1385</v>
      </c>
      <c r="AG95" s="6" t="str">
        <f t="shared" si="46"/>
        <v>=3.414*100000000</v>
      </c>
      <c r="AH95" s="1">
        <f>3.414*100000000</f>
        <v>341400000</v>
      </c>
      <c r="AI95" s="8">
        <f t="shared" si="47"/>
        <v>-0.72947702060221875</v>
      </c>
      <c r="AJ95" s="6" t="s">
        <v>1386</v>
      </c>
      <c r="AK95" s="6" t="str">
        <f t="shared" si="48"/>
        <v>=12.62*100000000</v>
      </c>
      <c r="AL95" s="1">
        <f>12.62*100000000</f>
        <v>1262000000</v>
      </c>
      <c r="AM95" s="8">
        <f t="shared" si="49"/>
        <v>0.15145985401459855</v>
      </c>
      <c r="AN95" s="6" t="s">
        <v>1387</v>
      </c>
      <c r="AO95" s="6" t="str">
        <f t="shared" si="50"/>
        <v>=10.96*100000000</v>
      </c>
      <c r="AP95" s="1">
        <f>10.96*100000000</f>
        <v>1096000000</v>
      </c>
      <c r="AQ95" s="8">
        <f t="shared" si="51"/>
        <v>0.43907563025210083</v>
      </c>
      <c r="AR95" s="6" t="s">
        <v>228</v>
      </c>
      <c r="AS95" s="6" t="str">
        <f t="shared" si="52"/>
        <v>=7.616*100000000</v>
      </c>
      <c r="AT95" s="1">
        <f>7.616*100000000</f>
        <v>761600000</v>
      </c>
      <c r="AU95" s="8">
        <f t="shared" si="53"/>
        <v>0.89264413518886676</v>
      </c>
      <c r="AV95" s="6" t="s">
        <v>1388</v>
      </c>
      <c r="AW95" s="6" t="str">
        <f t="shared" si="54"/>
        <v>=4.024*100000000</v>
      </c>
      <c r="AX95" s="1">
        <f>4.024*100000000</f>
        <v>402400000</v>
      </c>
      <c r="AY95" s="10">
        <f t="shared" si="55"/>
        <v>-0.66156433978132889</v>
      </c>
      <c r="AZ95" s="6" t="s">
        <v>1389</v>
      </c>
      <c r="BA95" s="6" t="str">
        <f t="shared" si="56"/>
        <v>=11.89*100000000</v>
      </c>
      <c r="BB95" s="1">
        <f>11.89*100000000</f>
        <v>1189000000</v>
      </c>
      <c r="BC95" s="8">
        <f t="shared" si="57"/>
        <v>0.16454456415279126</v>
      </c>
      <c r="BD95" s="6" t="s">
        <v>1390</v>
      </c>
      <c r="BE95" s="6" t="str">
        <f t="shared" si="58"/>
        <v>=10.21*100000000</v>
      </c>
      <c r="BF95" s="1">
        <f>10.21*100000000</f>
        <v>1021000000.0000001</v>
      </c>
      <c r="BG95" s="8">
        <f t="shared" si="59"/>
        <v>0.42498255408234492</v>
      </c>
      <c r="BH95" s="6" t="s">
        <v>1391</v>
      </c>
      <c r="BI95" s="6" t="str">
        <f t="shared" si="60"/>
        <v>=7.165*100000000</v>
      </c>
      <c r="BJ95" s="1">
        <f>7.165*100000000</f>
        <v>716500000</v>
      </c>
      <c r="BK95" s="6" t="s">
        <v>1392</v>
      </c>
      <c r="BL95" s="1" t="str">
        <f t="shared" si="32"/>
        <v>=3.703*100000000</v>
      </c>
      <c r="BM95" s="16">
        <f t="shared" si="61"/>
        <v>0.93491763435052655</v>
      </c>
      <c r="BN95" s="1">
        <f>3.703*100000000</f>
        <v>370300000</v>
      </c>
    </row>
    <row r="96" spans="1:66">
      <c r="A96" s="18"/>
      <c r="B96">
        <v>600062</v>
      </c>
      <c r="C96" t="s">
        <v>58</v>
      </c>
      <c r="D96" s="6" t="s">
        <v>1393</v>
      </c>
      <c r="E96" s="7" t="str">
        <f t="shared" si="31"/>
        <v>=11.21*100000000</v>
      </c>
      <c r="F96" s="1">
        <f>11.21*100000000</f>
        <v>1121000000</v>
      </c>
      <c r="G96" s="8">
        <f t="shared" si="33"/>
        <v>2.4680073126142597E-2</v>
      </c>
      <c r="H96" s="6" t="s">
        <v>159</v>
      </c>
      <c r="I96" s="6" t="str">
        <f t="shared" si="34"/>
        <v>=10.94*100000000</v>
      </c>
      <c r="J96" s="1">
        <f>10.94*100000000</f>
        <v>1094000000</v>
      </c>
      <c r="K96" s="10">
        <f t="shared" si="35"/>
        <v>0.49801451458304807</v>
      </c>
      <c r="L96" s="6" t="s">
        <v>1394</v>
      </c>
      <c r="M96" s="6" t="str">
        <f t="shared" si="36"/>
        <v>=7.303*100000000</v>
      </c>
      <c r="N96" s="1">
        <f>7.303*100000000</f>
        <v>730300000</v>
      </c>
      <c r="O96" s="8">
        <f t="shared" si="37"/>
        <v>1.0257975034674063</v>
      </c>
      <c r="P96" s="6" t="s">
        <v>1395</v>
      </c>
      <c r="Q96" s="6" t="str">
        <f t="shared" si="38"/>
        <v>=3.605*100000000</v>
      </c>
      <c r="R96" s="11">
        <f>3.605*100000000</f>
        <v>360500000</v>
      </c>
      <c r="S96" s="8">
        <f t="shared" si="39"/>
        <v>-0.70329218106995883</v>
      </c>
      <c r="T96" s="6" t="s">
        <v>1396</v>
      </c>
      <c r="U96" s="6" t="str">
        <f t="shared" si="40"/>
        <v>=12.15*100000000</v>
      </c>
      <c r="V96" s="1">
        <f>12.15*100000000</f>
        <v>1215000000</v>
      </c>
      <c r="W96" s="8">
        <f t="shared" si="41"/>
        <v>0.16379310344827586</v>
      </c>
      <c r="X96" s="6" t="s">
        <v>1397</v>
      </c>
      <c r="Y96" s="6" t="str">
        <f t="shared" si="42"/>
        <v>=10.44*100000000</v>
      </c>
      <c r="Z96" s="1">
        <f>10.44*100000000</f>
        <v>1044000000</v>
      </c>
      <c r="AA96" s="8">
        <f t="shared" si="43"/>
        <v>0.57894736842105265</v>
      </c>
      <c r="AB96" s="6" t="s">
        <v>1398</v>
      </c>
      <c r="AC96" s="6" t="str">
        <f t="shared" si="44"/>
        <v>=6.612*100000000</v>
      </c>
      <c r="AD96" s="1">
        <f>6.612*100000000</f>
        <v>661200000</v>
      </c>
      <c r="AE96" s="8">
        <f t="shared" si="45"/>
        <v>0.97727272727272729</v>
      </c>
      <c r="AF96" s="6" t="s">
        <v>1399</v>
      </c>
      <c r="AG96" s="6" t="str">
        <f t="shared" si="46"/>
        <v>=3.344*100000000</v>
      </c>
      <c r="AH96" s="1">
        <f>3.344*100000000</f>
        <v>334400000</v>
      </c>
      <c r="AI96" s="8">
        <f t="shared" si="47"/>
        <v>-0.73502377179080824</v>
      </c>
      <c r="AJ96" s="6" t="s">
        <v>1386</v>
      </c>
      <c r="AK96" s="6" t="str">
        <f t="shared" si="48"/>
        <v>=12.62*100000000</v>
      </c>
      <c r="AL96" s="1">
        <f>12.62*100000000</f>
        <v>1262000000</v>
      </c>
      <c r="AM96" s="8">
        <f t="shared" si="49"/>
        <v>0.15145985401459855</v>
      </c>
      <c r="AN96" s="6" t="s">
        <v>1387</v>
      </c>
      <c r="AO96" s="6" t="str">
        <f t="shared" si="50"/>
        <v>=10.96*100000000</v>
      </c>
      <c r="AP96" s="1">
        <f>10.96*100000000</f>
        <v>1096000000</v>
      </c>
      <c r="AQ96" s="8">
        <f t="shared" si="51"/>
        <v>0.44210526315789472</v>
      </c>
      <c r="AR96" s="6" t="s">
        <v>1400</v>
      </c>
      <c r="AS96" s="6" t="str">
        <f t="shared" si="52"/>
        <v>=7.600*100000000</v>
      </c>
      <c r="AT96" s="1">
        <f>7.6*100000000</f>
        <v>760000000</v>
      </c>
      <c r="AU96" s="8">
        <f t="shared" si="53"/>
        <v>0.8957345971563978</v>
      </c>
      <c r="AV96" s="6" t="s">
        <v>1401</v>
      </c>
      <c r="AW96" s="6" t="str">
        <f t="shared" si="54"/>
        <v>=4.009*100000000</v>
      </c>
      <c r="AX96" s="1">
        <f>4.009*100000000</f>
        <v>400900000.00000006</v>
      </c>
      <c r="AY96" s="10">
        <f t="shared" si="55"/>
        <v>-0.661402027027027</v>
      </c>
      <c r="AZ96" s="6" t="s">
        <v>1402</v>
      </c>
      <c r="BA96" s="6" t="str">
        <f t="shared" si="56"/>
        <v>=11.84*100000000</v>
      </c>
      <c r="BB96" s="1">
        <f>11.84*100000000</f>
        <v>1184000000</v>
      </c>
      <c r="BC96" s="8">
        <f t="shared" si="57"/>
        <v>0.1573802541544477</v>
      </c>
      <c r="BD96" s="6" t="s">
        <v>1403</v>
      </c>
      <c r="BE96" s="6" t="str">
        <f t="shared" si="58"/>
        <v>=10.23*100000000</v>
      </c>
      <c r="BF96" s="1">
        <f>10.23*100000000</f>
        <v>1023000000</v>
      </c>
      <c r="BG96" s="8">
        <f t="shared" si="59"/>
        <v>0.42737547090832984</v>
      </c>
      <c r="BH96" s="6" t="s">
        <v>1404</v>
      </c>
      <c r="BI96" s="6" t="str">
        <f t="shared" si="60"/>
        <v>=7.167*100000000</v>
      </c>
      <c r="BJ96" s="1">
        <f>7.167*100000000</f>
        <v>716700000</v>
      </c>
      <c r="BK96" s="6" t="s">
        <v>1392</v>
      </c>
      <c r="BL96" s="1" t="str">
        <f t="shared" si="32"/>
        <v>=3.703*100000000</v>
      </c>
      <c r="BM96" s="16">
        <f t="shared" si="61"/>
        <v>0.93545773697002432</v>
      </c>
      <c r="BN96" s="1">
        <f>3.703*100000000</f>
        <v>370300000</v>
      </c>
    </row>
    <row r="97" spans="1:66">
      <c r="A97" s="19"/>
      <c r="B97">
        <v>600062</v>
      </c>
      <c r="C97" t="s">
        <v>68</v>
      </c>
      <c r="D97" s="6" t="s">
        <v>1405</v>
      </c>
      <c r="E97" s="7" t="str">
        <f t="shared" si="31"/>
        <v>=9.721*100000000</v>
      </c>
      <c r="F97" s="1">
        <f>9.721*100000000</f>
        <v>972100000</v>
      </c>
      <c r="G97" s="8">
        <f t="shared" si="33"/>
        <v>5.1828608526292876E-2</v>
      </c>
      <c r="H97" s="6" t="s">
        <v>1406</v>
      </c>
      <c r="I97" s="6" t="str">
        <f t="shared" si="34"/>
        <v>=9.242*100000000</v>
      </c>
      <c r="J97" s="1">
        <f>9.242*100000000</f>
        <v>924200000.00000012</v>
      </c>
      <c r="K97" s="10">
        <f t="shared" si="35"/>
        <v>0.48442017346611005</v>
      </c>
      <c r="L97" s="6" t="s">
        <v>1407</v>
      </c>
      <c r="M97" s="6" t="str">
        <f t="shared" si="36"/>
        <v>=6.226*100000000</v>
      </c>
      <c r="N97" s="1">
        <f>6.226*100000000</f>
        <v>622600000</v>
      </c>
      <c r="O97" s="8">
        <f t="shared" si="37"/>
        <v>1.094885598923284</v>
      </c>
      <c r="P97" s="6" t="s">
        <v>1408</v>
      </c>
      <c r="Q97" s="6" t="str">
        <f t="shared" si="38"/>
        <v>=2.972*100000000</v>
      </c>
      <c r="R97" s="11">
        <f>2.972*100000000</f>
        <v>297200000</v>
      </c>
      <c r="S97" s="8">
        <f t="shared" si="39"/>
        <v>-0.70661401776900301</v>
      </c>
      <c r="T97" s="6" t="s">
        <v>1409</v>
      </c>
      <c r="U97" s="6" t="str">
        <f t="shared" si="40"/>
        <v>=10.13*100000000</v>
      </c>
      <c r="V97" s="1">
        <f>10.13*100000000</f>
        <v>1013000000.0000001</v>
      </c>
      <c r="W97" s="8">
        <f t="shared" si="41"/>
        <v>0.14865631023925613</v>
      </c>
      <c r="X97" s="6" t="s">
        <v>1410</v>
      </c>
      <c r="Y97" s="6" t="str">
        <f t="shared" si="42"/>
        <v>=8.819*100000000</v>
      </c>
      <c r="Z97" s="1">
        <f>8.819*100000000</f>
        <v>881900000.00000012</v>
      </c>
      <c r="AA97" s="8">
        <f t="shared" si="43"/>
        <v>0.573697359029265</v>
      </c>
      <c r="AB97" s="6" t="s">
        <v>1411</v>
      </c>
      <c r="AC97" s="6" t="str">
        <f t="shared" si="44"/>
        <v>=5.604*100000000</v>
      </c>
      <c r="AD97" s="1">
        <f>5.604*100000000</f>
        <v>560400000</v>
      </c>
      <c r="AE97" s="8">
        <f t="shared" si="45"/>
        <v>1.0274963820549927</v>
      </c>
      <c r="AF97" s="6" t="s">
        <v>1412</v>
      </c>
      <c r="AG97" s="6" t="str">
        <f t="shared" si="46"/>
        <v>=2.764*100000000</v>
      </c>
      <c r="AH97" s="1">
        <f>2.764*100000000</f>
        <v>276400000</v>
      </c>
      <c r="AI97" s="8">
        <f t="shared" si="47"/>
        <v>-0.74071294559099432</v>
      </c>
      <c r="AJ97" s="6" t="s">
        <v>1413</v>
      </c>
      <c r="AK97" s="6" t="str">
        <f t="shared" si="48"/>
        <v>=10.66*100000000</v>
      </c>
      <c r="AL97" s="1">
        <f>10.66*100000000</f>
        <v>1066000000</v>
      </c>
      <c r="AM97" s="8">
        <f t="shared" si="49"/>
        <v>0.14574376612209802</v>
      </c>
      <c r="AN97" s="6" t="s">
        <v>1414</v>
      </c>
      <c r="AO97" s="6" t="str">
        <f t="shared" si="50"/>
        <v>=9.304*100000000</v>
      </c>
      <c r="AP97" s="1">
        <f>9.304*100000000</f>
        <v>930400000</v>
      </c>
      <c r="AQ97" s="8">
        <f t="shared" si="51"/>
        <v>0.43980191891055403</v>
      </c>
      <c r="AR97" s="6" t="s">
        <v>1415</v>
      </c>
      <c r="AS97" s="6" t="str">
        <f t="shared" si="52"/>
        <v>=6.462*100000000</v>
      </c>
      <c r="AT97" s="1">
        <f>6.462*100000000</f>
        <v>646200000</v>
      </c>
      <c r="AU97" s="8">
        <f t="shared" si="53"/>
        <v>0.94345864661654133</v>
      </c>
      <c r="AV97" s="6" t="s">
        <v>1416</v>
      </c>
      <c r="AW97" s="6" t="str">
        <f t="shared" si="54"/>
        <v>=3.325*100000000</v>
      </c>
      <c r="AX97" s="1">
        <f>3.325*100000000</f>
        <v>332500000</v>
      </c>
      <c r="AY97" s="10">
        <f t="shared" si="55"/>
        <v>-0.66397170288024254</v>
      </c>
      <c r="AZ97" s="6" t="s">
        <v>1417</v>
      </c>
      <c r="BA97" s="6" t="str">
        <f t="shared" si="56"/>
        <v>=9.895*100000000</v>
      </c>
      <c r="BB97" s="1">
        <f>9.895*100000000</f>
        <v>989500000</v>
      </c>
      <c r="BC97" s="8">
        <f t="shared" si="57"/>
        <v>0.14578508568781859</v>
      </c>
      <c r="BD97" s="6" t="s">
        <v>1418</v>
      </c>
      <c r="BE97" s="6" t="str">
        <f t="shared" si="58"/>
        <v>=8.636*100000000</v>
      </c>
      <c r="BF97" s="1">
        <f>8.636*100000000</f>
        <v>863599999.99999988</v>
      </c>
      <c r="BG97" s="8">
        <f t="shared" si="59"/>
        <v>0.43312313308994338</v>
      </c>
      <c r="BH97" s="6" t="s">
        <v>1419</v>
      </c>
      <c r="BI97" s="6" t="str">
        <f t="shared" si="60"/>
        <v>=6.026*100000000</v>
      </c>
      <c r="BJ97" s="1">
        <f>6.026*100000000</f>
        <v>602600000</v>
      </c>
      <c r="BK97" s="6" t="s">
        <v>1420</v>
      </c>
      <c r="BL97" s="1" t="str">
        <f t="shared" si="32"/>
        <v>=3.129*100000000</v>
      </c>
      <c r="BM97" s="16">
        <f t="shared" si="61"/>
        <v>0.92585490572067752</v>
      </c>
      <c r="BN97" s="1">
        <f>3.129*100000000</f>
        <v>312900000</v>
      </c>
    </row>
    <row r="98" spans="1:66">
      <c r="A98" s="17">
        <v>25</v>
      </c>
      <c r="B98">
        <v>600063</v>
      </c>
      <c r="C98" t="s">
        <v>31</v>
      </c>
      <c r="D98" s="6" t="s">
        <v>1421</v>
      </c>
      <c r="E98" s="7" t="str">
        <f t="shared" si="31"/>
        <v>=81.03*100000000</v>
      </c>
      <c r="F98" s="1">
        <f>81.03*100000000</f>
        <v>8103000000</v>
      </c>
      <c r="G98" s="8">
        <f t="shared" si="33"/>
        <v>0.30989330746847721</v>
      </c>
      <c r="H98" s="6" t="s">
        <v>1422</v>
      </c>
      <c r="I98" s="6" t="str">
        <f t="shared" si="34"/>
        <v>=61.86*100000000</v>
      </c>
      <c r="J98" s="1">
        <f>61.86*100000000</f>
        <v>6186000000</v>
      </c>
      <c r="K98" s="10">
        <f t="shared" si="35"/>
        <v>0.64828137490007998</v>
      </c>
      <c r="L98" s="6" t="s">
        <v>1423</v>
      </c>
      <c r="M98" s="6" t="str">
        <f t="shared" si="36"/>
        <v>=37.53*100000000</v>
      </c>
      <c r="N98" s="1">
        <f>37.53*100000000</f>
        <v>3753000000</v>
      </c>
      <c r="O98" s="8">
        <f t="shared" si="37"/>
        <v>1.2076470588235295</v>
      </c>
      <c r="P98" s="6" t="s">
        <v>1424</v>
      </c>
      <c r="Q98" s="6" t="str">
        <f t="shared" si="38"/>
        <v>=17.00*100000000</v>
      </c>
      <c r="R98" s="11">
        <f>17*100000000</f>
        <v>1700000000</v>
      </c>
      <c r="S98" s="8">
        <f t="shared" si="39"/>
        <v>-0.75900198468953783</v>
      </c>
      <c r="T98" s="6" t="s">
        <v>1425</v>
      </c>
      <c r="U98" s="6" t="str">
        <f t="shared" si="40"/>
        <v>=70.54*100000000</v>
      </c>
      <c r="V98" s="1">
        <f>70.54*100000000</f>
        <v>7054000000.000001</v>
      </c>
      <c r="W98" s="8">
        <f t="shared" si="41"/>
        <v>0.51601117558564391</v>
      </c>
      <c r="X98" s="6" t="s">
        <v>1426</v>
      </c>
      <c r="Y98" s="6" t="str">
        <f t="shared" si="42"/>
        <v>=46.53*100000000</v>
      </c>
      <c r="Z98" s="1">
        <f>46.53*100000000</f>
        <v>4653000000</v>
      </c>
      <c r="AA98" s="8">
        <f t="shared" si="43"/>
        <v>0.72781284812476787</v>
      </c>
      <c r="AB98" s="6" t="s">
        <v>1427</v>
      </c>
      <c r="AC98" s="6" t="str">
        <f t="shared" si="44"/>
        <v>=26.93*100000000</v>
      </c>
      <c r="AD98" s="1">
        <f>26.93*100000000</f>
        <v>2693000000</v>
      </c>
      <c r="AE98" s="8">
        <f t="shared" si="45"/>
        <v>1.2764158918005071</v>
      </c>
      <c r="AF98" s="6" t="s">
        <v>350</v>
      </c>
      <c r="AG98" s="6" t="str">
        <f t="shared" si="46"/>
        <v>=11.83*100000000</v>
      </c>
      <c r="AH98" s="1">
        <f>11.83*100000000</f>
        <v>1183000000</v>
      </c>
      <c r="AI98" s="8">
        <f t="shared" si="47"/>
        <v>-0.81387665198237891</v>
      </c>
      <c r="AJ98" s="6" t="s">
        <v>1428</v>
      </c>
      <c r="AK98" s="6" t="str">
        <f t="shared" si="48"/>
        <v>=63.56*100000000</v>
      </c>
      <c r="AL98" s="1">
        <f>63.56*100000000</f>
        <v>6356000000</v>
      </c>
      <c r="AM98" s="8">
        <f t="shared" si="49"/>
        <v>0.30032733224222585</v>
      </c>
      <c r="AN98" s="6" t="s">
        <v>1429</v>
      </c>
      <c r="AO98" s="6" t="str">
        <f t="shared" si="50"/>
        <v>=48.88*100000000</v>
      </c>
      <c r="AP98" s="1">
        <f>48.88*100000000</f>
        <v>4888000000</v>
      </c>
      <c r="AQ98" s="8">
        <f t="shared" si="51"/>
        <v>0.58085381630012933</v>
      </c>
      <c r="AR98" s="6" t="s">
        <v>1430</v>
      </c>
      <c r="AS98" s="6" t="str">
        <f t="shared" si="52"/>
        <v>=30.92*100000000</v>
      </c>
      <c r="AT98" s="1">
        <f>30.92*100000000</f>
        <v>3092000000</v>
      </c>
      <c r="AU98" s="8">
        <f t="shared" si="53"/>
        <v>1.1502086230876216</v>
      </c>
      <c r="AV98" s="6" t="s">
        <v>1431</v>
      </c>
      <c r="AW98" s="6" t="str">
        <f t="shared" si="54"/>
        <v>=14.38*100000000</v>
      </c>
      <c r="AX98" s="1">
        <f>14.38*100000000</f>
        <v>1438000000</v>
      </c>
      <c r="AY98" s="10">
        <f t="shared" si="55"/>
        <v>-0.75448181662967384</v>
      </c>
      <c r="AZ98" s="6" t="s">
        <v>1432</v>
      </c>
      <c r="BA98" s="6" t="str">
        <f t="shared" si="56"/>
        <v>=58.57*100000000</v>
      </c>
      <c r="BB98" s="1">
        <f>58.57*100000000</f>
        <v>5857000000</v>
      </c>
      <c r="BC98" s="8">
        <f t="shared" si="57"/>
        <v>0.33904892546867854</v>
      </c>
      <c r="BD98" s="6" t="s">
        <v>1433</v>
      </c>
      <c r="BE98" s="6" t="str">
        <f t="shared" si="58"/>
        <v>=43.74*100000000</v>
      </c>
      <c r="BF98" s="1">
        <f>43.74*100000000</f>
        <v>4374000000</v>
      </c>
      <c r="BG98" s="8">
        <f t="shared" si="59"/>
        <v>0.56381837683232039</v>
      </c>
      <c r="BH98" s="6" t="s">
        <v>1434</v>
      </c>
      <c r="BI98" s="6" t="str">
        <f t="shared" si="60"/>
        <v>=27.97*100000000</v>
      </c>
      <c r="BJ98" s="1">
        <f>27.97*100000000</f>
        <v>2797000000</v>
      </c>
      <c r="BK98" s="6" t="s">
        <v>1435</v>
      </c>
      <c r="BL98" s="1" t="str">
        <f t="shared" si="32"/>
        <v>=12.09*100000000</v>
      </c>
      <c r="BM98" s="16">
        <f t="shared" si="61"/>
        <v>1.3134822167080231</v>
      </c>
      <c r="BN98" s="1">
        <f>12.09*100000000</f>
        <v>1209000000</v>
      </c>
    </row>
    <row r="99" spans="1:66">
      <c r="A99" s="18"/>
      <c r="B99">
        <v>600063</v>
      </c>
      <c r="C99" t="s">
        <v>48</v>
      </c>
      <c r="D99" s="6" t="s">
        <v>1436</v>
      </c>
      <c r="E99" s="7" t="str">
        <f t="shared" si="31"/>
        <v>=11.71*100000000</v>
      </c>
      <c r="F99" s="1">
        <f>11.71*100000000</f>
        <v>1171000000</v>
      </c>
      <c r="G99" s="8">
        <f t="shared" si="33"/>
        <v>0.37894488930758341</v>
      </c>
      <c r="H99" s="6" t="s">
        <v>1437</v>
      </c>
      <c r="I99" s="6" t="str">
        <f t="shared" si="34"/>
        <v>=8.492*100000000</v>
      </c>
      <c r="J99" s="1">
        <f>8.492*100000000</f>
        <v>849200000.00000012</v>
      </c>
      <c r="K99" s="10">
        <f t="shared" si="35"/>
        <v>0.51669941060903757</v>
      </c>
      <c r="L99" s="6" t="s">
        <v>1438</v>
      </c>
      <c r="M99" s="6" t="str">
        <f t="shared" si="36"/>
        <v>=5.599*100000000</v>
      </c>
      <c r="N99" s="1">
        <f>5.599*100000000</f>
        <v>559900000</v>
      </c>
      <c r="O99" s="8">
        <f t="shared" si="37"/>
        <v>2.6262953367875648</v>
      </c>
      <c r="P99" s="6" t="s">
        <v>1439</v>
      </c>
      <c r="Q99" s="6" t="str">
        <f t="shared" si="38"/>
        <v>=1.544*100000000</v>
      </c>
      <c r="R99" s="11">
        <f>1.544*100000000</f>
        <v>154400000</v>
      </c>
      <c r="S99" s="8">
        <f t="shared" si="39"/>
        <v>-0.77847919655667142</v>
      </c>
      <c r="T99" s="6" t="s">
        <v>1440</v>
      </c>
      <c r="U99" s="6" t="str">
        <f t="shared" si="40"/>
        <v>=6.970*100000000</v>
      </c>
      <c r="V99" s="1">
        <f>6.97*100000000</f>
        <v>697000000</v>
      </c>
      <c r="W99" s="8">
        <f t="shared" si="41"/>
        <v>0.62812427003036697</v>
      </c>
      <c r="X99" s="6" t="s">
        <v>1441</v>
      </c>
      <c r="Y99" s="6" t="str">
        <f t="shared" si="42"/>
        <v>=4.281*100000000</v>
      </c>
      <c r="Z99" s="1">
        <f>4.281*100000000</f>
        <v>428099999.99999994</v>
      </c>
      <c r="AA99" s="8">
        <f t="shared" si="43"/>
        <v>0.66252427184465978</v>
      </c>
      <c r="AB99" s="6" t="s">
        <v>1442</v>
      </c>
      <c r="AC99" s="6" t="str">
        <f t="shared" si="44"/>
        <v>=2.575*100000000</v>
      </c>
      <c r="AD99" s="1">
        <f>2.575*100000000</f>
        <v>257500000.00000003</v>
      </c>
      <c r="AE99" s="8">
        <f t="shared" si="45"/>
        <v>3.0512901195720583</v>
      </c>
      <c r="AF99" s="7" t="s">
        <v>1443</v>
      </c>
      <c r="AG99" s="6" t="str">
        <f t="shared" si="46"/>
        <v>=6356*10000</v>
      </c>
      <c r="AH99" s="1">
        <f>6356*10000</f>
        <v>63560000</v>
      </c>
      <c r="AI99" s="8">
        <f t="shared" si="47"/>
        <v>-0.85266573945294388</v>
      </c>
      <c r="AJ99" s="6" t="s">
        <v>1444</v>
      </c>
      <c r="AK99" s="6" t="str">
        <f t="shared" si="48"/>
        <v>=4.314*100000000</v>
      </c>
      <c r="AL99" s="1">
        <f>4.314*100000000</f>
        <v>431400000</v>
      </c>
      <c r="AM99" s="8">
        <f t="shared" si="49"/>
        <v>0.22244261830546896</v>
      </c>
      <c r="AN99" s="6" t="s">
        <v>1445</v>
      </c>
      <c r="AO99" s="6" t="str">
        <f t="shared" si="50"/>
        <v>=3.529*100000000</v>
      </c>
      <c r="AP99" s="1">
        <f>3.529*100000000</f>
        <v>352900000</v>
      </c>
      <c r="AQ99" s="8">
        <f t="shared" si="51"/>
        <v>0.7031853281853282</v>
      </c>
      <c r="AR99" s="6" t="s">
        <v>1446</v>
      </c>
      <c r="AS99" s="6" t="str">
        <f t="shared" si="52"/>
        <v>=2.072*100000000</v>
      </c>
      <c r="AT99" s="1">
        <f>2.072*100000000</f>
        <v>207200000</v>
      </c>
      <c r="AU99" s="8">
        <f t="shared" si="53"/>
        <v>2.4464404524284764</v>
      </c>
      <c r="AV99" s="7" t="s">
        <v>1447</v>
      </c>
      <c r="AW99" s="6" t="str">
        <f t="shared" si="54"/>
        <v>=6012*10000</v>
      </c>
      <c r="AX99" s="1">
        <f>6012*10000</f>
        <v>60120000</v>
      </c>
      <c r="AY99" s="10">
        <f t="shared" si="55"/>
        <v>-0.61187863137508069</v>
      </c>
      <c r="AZ99" s="6" t="s">
        <v>1448</v>
      </c>
      <c r="BA99" s="6" t="str">
        <f t="shared" si="56"/>
        <v>=1.549*100000000</v>
      </c>
      <c r="BB99" s="1">
        <f>1.549*100000000</f>
        <v>154900000</v>
      </c>
      <c r="BC99" s="8">
        <f t="shared" si="57"/>
        <v>-2.3944549464398234E-2</v>
      </c>
      <c r="BD99" s="6" t="s">
        <v>1449</v>
      </c>
      <c r="BE99" s="6" t="str">
        <f t="shared" si="58"/>
        <v>=1.587*100000000</v>
      </c>
      <c r="BF99" s="1">
        <f>1.587*100000000</f>
        <v>158700000</v>
      </c>
      <c r="BG99" s="8">
        <f t="shared" si="59"/>
        <v>0.59177532597793381</v>
      </c>
      <c r="BH99" s="7" t="s">
        <v>1450</v>
      </c>
      <c r="BI99" s="6" t="str">
        <f t="shared" si="60"/>
        <v>=9970*10000</v>
      </c>
      <c r="BJ99" s="1">
        <f>9970*10000</f>
        <v>99700000</v>
      </c>
      <c r="BK99" s="7" t="s">
        <v>1451</v>
      </c>
      <c r="BL99" s="1" t="str">
        <f t="shared" si="32"/>
        <v>=2872*10000</v>
      </c>
      <c r="BM99" s="16">
        <f t="shared" si="61"/>
        <v>2.471448467966574</v>
      </c>
      <c r="BN99" s="1">
        <f>2872*10000</f>
        <v>28720000</v>
      </c>
    </row>
    <row r="100" spans="1:66">
      <c r="A100" s="18"/>
      <c r="B100">
        <v>600063</v>
      </c>
      <c r="C100" t="s">
        <v>58</v>
      </c>
      <c r="D100" s="6" t="s">
        <v>173</v>
      </c>
      <c r="E100" s="7" t="str">
        <f t="shared" si="31"/>
        <v>=11.05*100000000</v>
      </c>
      <c r="F100" s="1">
        <f>11.05*100000000</f>
        <v>1105000000</v>
      </c>
      <c r="G100" s="8">
        <f t="shared" si="33"/>
        <v>0.32145419756039223</v>
      </c>
      <c r="H100" s="6" t="s">
        <v>1452</v>
      </c>
      <c r="I100" s="6" t="str">
        <f t="shared" si="34"/>
        <v>=8.362*100000000</v>
      </c>
      <c r="J100" s="1">
        <f>8.362*100000000</f>
        <v>836200000</v>
      </c>
      <c r="K100" s="10">
        <f t="shared" si="35"/>
        <v>0.50531053105310531</v>
      </c>
      <c r="L100" s="6" t="s">
        <v>1453</v>
      </c>
      <c r="M100" s="6" t="str">
        <f t="shared" si="36"/>
        <v>=5.555*100000000</v>
      </c>
      <c r="N100" s="1">
        <f>5.555*100000000</f>
        <v>555500000</v>
      </c>
      <c r="O100" s="8">
        <f t="shared" si="37"/>
        <v>2.7008660892738177</v>
      </c>
      <c r="P100" s="6" t="s">
        <v>1454</v>
      </c>
      <c r="Q100" s="6" t="str">
        <f t="shared" si="38"/>
        <v>=1.501*100000000</v>
      </c>
      <c r="R100" s="11">
        <f>1.501*100000000</f>
        <v>150100000</v>
      </c>
      <c r="S100" s="8">
        <f t="shared" si="39"/>
        <v>-0.78186310129341663</v>
      </c>
      <c r="T100" s="6" t="s">
        <v>1455</v>
      </c>
      <c r="U100" s="6" t="str">
        <f t="shared" si="40"/>
        <v>=6.881*100000000</v>
      </c>
      <c r="V100" s="1">
        <f>6.881*100000000</f>
        <v>688100000</v>
      </c>
      <c r="W100" s="8">
        <f t="shared" si="41"/>
        <v>0.65567853705486068</v>
      </c>
      <c r="X100" s="6" t="s">
        <v>1456</v>
      </c>
      <c r="Y100" s="6" t="str">
        <f t="shared" si="42"/>
        <v>=4.156*100000000</v>
      </c>
      <c r="Z100" s="1">
        <f>4.156*100000000</f>
        <v>415599999.99999994</v>
      </c>
      <c r="AA100" s="8">
        <f t="shared" si="43"/>
        <v>0.69218241042345252</v>
      </c>
      <c r="AB100" s="6" t="s">
        <v>1457</v>
      </c>
      <c r="AC100" s="6" t="str">
        <f t="shared" si="44"/>
        <v>=2.456*100000000</v>
      </c>
      <c r="AD100" s="1">
        <f>2.456*100000000</f>
        <v>245600000</v>
      </c>
      <c r="AE100" s="8">
        <f t="shared" si="45"/>
        <v>3.2119705024867091</v>
      </c>
      <c r="AF100" s="7" t="s">
        <v>1458</v>
      </c>
      <c r="AG100" s="6" t="str">
        <f t="shared" si="46"/>
        <v>=5831*10000</v>
      </c>
      <c r="AH100" s="1">
        <f>5831*10000</f>
        <v>58310000</v>
      </c>
      <c r="AI100" s="8">
        <f t="shared" si="47"/>
        <v>-0.86533487297921474</v>
      </c>
      <c r="AJ100" s="6" t="s">
        <v>1459</v>
      </c>
      <c r="AK100" s="6" t="str">
        <f t="shared" si="48"/>
        <v>=4.330*100000000</v>
      </c>
      <c r="AL100" s="1">
        <f>4.33*100000000</f>
        <v>433000000</v>
      </c>
      <c r="AM100" s="8">
        <f t="shared" si="49"/>
        <v>0.23820417500714899</v>
      </c>
      <c r="AN100" s="6" t="s">
        <v>1460</v>
      </c>
      <c r="AO100" s="6" t="str">
        <f t="shared" si="50"/>
        <v>=3.497*100000000</v>
      </c>
      <c r="AP100" s="1">
        <f>3.497*100000000</f>
        <v>349700000</v>
      </c>
      <c r="AQ100" s="8">
        <f t="shared" si="51"/>
        <v>0.70751953125</v>
      </c>
      <c r="AR100" s="6" t="s">
        <v>1034</v>
      </c>
      <c r="AS100" s="6" t="str">
        <f t="shared" si="52"/>
        <v>=2.048*100000000</v>
      </c>
      <c r="AT100" s="1">
        <f>2.048*100000000</f>
        <v>204800000</v>
      </c>
      <c r="AU100" s="8">
        <f t="shared" si="53"/>
        <v>2.5146730736227902</v>
      </c>
      <c r="AV100" s="7" t="s">
        <v>1461</v>
      </c>
      <c r="AW100" s="6" t="str">
        <f t="shared" si="54"/>
        <v>=5827*10000</v>
      </c>
      <c r="AX100" s="1">
        <f>5827*10000</f>
        <v>58270000</v>
      </c>
      <c r="AY100" s="10">
        <f t="shared" si="55"/>
        <v>-0.61101468624833111</v>
      </c>
      <c r="AZ100" s="6" t="s">
        <v>1462</v>
      </c>
      <c r="BA100" s="6" t="str">
        <f t="shared" si="56"/>
        <v>=1.498*100000000</v>
      </c>
      <c r="BB100" s="1">
        <f>1.498*100000000</f>
        <v>149800000</v>
      </c>
      <c r="BC100" s="8">
        <f t="shared" si="57"/>
        <v>-7.8153846153846157E-2</v>
      </c>
      <c r="BD100" s="6" t="s">
        <v>1463</v>
      </c>
      <c r="BE100" s="6" t="str">
        <f t="shared" si="58"/>
        <v>=1.625*100000000</v>
      </c>
      <c r="BF100" s="1">
        <f>1.625*100000000</f>
        <v>162500000</v>
      </c>
      <c r="BG100" s="8">
        <f t="shared" si="59"/>
        <v>0.55950095969289826</v>
      </c>
      <c r="BH100" s="6" t="s">
        <v>1464</v>
      </c>
      <c r="BI100" s="6" t="str">
        <f t="shared" si="60"/>
        <v>=1.042*100000000</v>
      </c>
      <c r="BJ100" s="1">
        <f>1.042*100000000</f>
        <v>104200000</v>
      </c>
      <c r="BK100" s="7" t="s">
        <v>1465</v>
      </c>
      <c r="BL100" s="1" t="str">
        <f t="shared" si="32"/>
        <v>=2901*10000</v>
      </c>
      <c r="BM100" s="16">
        <f t="shared" si="61"/>
        <v>2.5918648741813168</v>
      </c>
      <c r="BN100" s="1">
        <f>2901*10000</f>
        <v>29010000</v>
      </c>
    </row>
    <row r="101" spans="1:66">
      <c r="A101" s="19"/>
      <c r="B101">
        <v>600063</v>
      </c>
      <c r="C101" t="s">
        <v>68</v>
      </c>
      <c r="D101" s="6" t="s">
        <v>1466</v>
      </c>
      <c r="E101" s="7" t="str">
        <f t="shared" si="31"/>
        <v>=9.780*100000000</v>
      </c>
      <c r="F101" s="1">
        <f>9.78*100000000</f>
        <v>977999999.99999988</v>
      </c>
      <c r="G101" s="8">
        <f t="shared" si="33"/>
        <v>0.35701401415290673</v>
      </c>
      <c r="H101" s="6" t="s">
        <v>1467</v>
      </c>
      <c r="I101" s="6" t="str">
        <f t="shared" si="34"/>
        <v>=7.207*100000000</v>
      </c>
      <c r="J101" s="1">
        <f>7.207*100000000</f>
        <v>720700000</v>
      </c>
      <c r="K101" s="10">
        <f t="shared" si="35"/>
        <v>0.50239733166562439</v>
      </c>
      <c r="L101" s="6" t="s">
        <v>1468</v>
      </c>
      <c r="M101" s="6" t="str">
        <f t="shared" si="36"/>
        <v>=4.797*100000000</v>
      </c>
      <c r="N101" s="1">
        <f>4.797*100000000</f>
        <v>479700000</v>
      </c>
      <c r="O101" s="8">
        <f t="shared" si="37"/>
        <v>2.7186046511627908</v>
      </c>
      <c r="P101" s="6" t="s">
        <v>1469</v>
      </c>
      <c r="Q101" s="6" t="str">
        <f t="shared" si="38"/>
        <v>=1.290*100000000</v>
      </c>
      <c r="R101" s="11">
        <f>1.29*100000000</f>
        <v>129000000</v>
      </c>
      <c r="S101" s="8">
        <f t="shared" si="39"/>
        <v>-0.78893979057591623</v>
      </c>
      <c r="T101" s="6" t="s">
        <v>1470</v>
      </c>
      <c r="U101" s="6" t="str">
        <f t="shared" si="40"/>
        <v>=6.112*100000000</v>
      </c>
      <c r="V101" s="1">
        <f>6.112*100000000</f>
        <v>611200000</v>
      </c>
      <c r="W101" s="8">
        <f t="shared" si="41"/>
        <v>0.68050591146549355</v>
      </c>
      <c r="X101" s="6" t="s">
        <v>1471</v>
      </c>
      <c r="Y101" s="6" t="str">
        <f t="shared" si="42"/>
        <v>=3.637*100000000</v>
      </c>
      <c r="Z101" s="1">
        <f>3.637*100000000</f>
        <v>363700000</v>
      </c>
      <c r="AA101" s="8">
        <f t="shared" si="43"/>
        <v>0.71962174940898316</v>
      </c>
      <c r="AB101" s="6" t="s">
        <v>1472</v>
      </c>
      <c r="AC101" s="6" t="str">
        <f t="shared" si="44"/>
        <v>=2.115*100000000</v>
      </c>
      <c r="AD101" s="1">
        <f>2.115*100000000</f>
        <v>211500000.00000003</v>
      </c>
      <c r="AE101" s="8">
        <f t="shared" si="45"/>
        <v>3.3269230769230775</v>
      </c>
      <c r="AF101" s="7" t="s">
        <v>1473</v>
      </c>
      <c r="AG101" s="6" t="str">
        <f t="shared" si="46"/>
        <v>=4888*10000</v>
      </c>
      <c r="AH101" s="1">
        <f>4888*10000</f>
        <v>48880000</v>
      </c>
      <c r="AI101" s="8">
        <f t="shared" si="47"/>
        <v>-0.87303896103896106</v>
      </c>
      <c r="AJ101" s="6" t="s">
        <v>1474</v>
      </c>
      <c r="AK101" s="6" t="str">
        <f t="shared" si="48"/>
        <v>=3.850*100000000</v>
      </c>
      <c r="AL101" s="1">
        <f>3.85*100000000</f>
        <v>385000000</v>
      </c>
      <c r="AM101" s="8">
        <f t="shared" si="49"/>
        <v>0.27864496844902026</v>
      </c>
      <c r="AN101" s="6" t="s">
        <v>1475</v>
      </c>
      <c r="AO101" s="6" t="str">
        <f t="shared" si="50"/>
        <v>=3.011*100000000</v>
      </c>
      <c r="AP101" s="1">
        <f>3.011*100000000</f>
        <v>301100000</v>
      </c>
      <c r="AQ101" s="8">
        <f t="shared" si="51"/>
        <v>0.70885357548240635</v>
      </c>
      <c r="AR101" s="6" t="s">
        <v>1476</v>
      </c>
      <c r="AS101" s="6" t="str">
        <f t="shared" si="52"/>
        <v>=1.762*100000000</v>
      </c>
      <c r="AT101" s="1">
        <f>1.762*100000000</f>
        <v>176200000</v>
      </c>
      <c r="AU101" s="8">
        <f t="shared" si="53"/>
        <v>2.7601365770379855</v>
      </c>
      <c r="AV101" s="7" t="s">
        <v>1477</v>
      </c>
      <c r="AW101" s="6" t="str">
        <f t="shared" si="54"/>
        <v>=4686*10000</v>
      </c>
      <c r="AX101" s="1">
        <f>4686*10000</f>
        <v>46860000</v>
      </c>
      <c r="AY101" s="10">
        <f t="shared" si="55"/>
        <v>-0.63981552651806306</v>
      </c>
      <c r="AZ101" s="6" t="s">
        <v>1478</v>
      </c>
      <c r="BA101" s="6" t="str">
        <f t="shared" si="56"/>
        <v>=1.301*100000000</v>
      </c>
      <c r="BB101" s="1">
        <f>1.301*100000000</f>
        <v>130100000</v>
      </c>
      <c r="BC101" s="8">
        <f t="shared" si="57"/>
        <v>-5.7929036929761042E-2</v>
      </c>
      <c r="BD101" s="6" t="s">
        <v>1479</v>
      </c>
      <c r="BE101" s="6" t="str">
        <f t="shared" si="58"/>
        <v>=1.381*100000000</v>
      </c>
      <c r="BF101" s="1">
        <f>1.381*100000000</f>
        <v>138100000</v>
      </c>
      <c r="BG101" s="8">
        <f t="shared" si="59"/>
        <v>0.56878336930591844</v>
      </c>
      <c r="BH101" s="7" t="s">
        <v>1480</v>
      </c>
      <c r="BI101" s="6" t="str">
        <f t="shared" si="60"/>
        <v>=8803*10000</v>
      </c>
      <c r="BJ101" s="1">
        <f>8803*10000</f>
        <v>88030000</v>
      </c>
      <c r="BK101" s="7" t="s">
        <v>1481</v>
      </c>
      <c r="BL101" s="1" t="str">
        <f t="shared" si="32"/>
        <v>=2163*10000</v>
      </c>
      <c r="BM101" s="16">
        <f t="shared" si="61"/>
        <v>3.069810448451225</v>
      </c>
      <c r="BN101" s="1">
        <f>2163*10000</f>
        <v>21630000</v>
      </c>
    </row>
    <row r="102" spans="1:66">
      <c r="A102" s="17">
        <v>26</v>
      </c>
      <c r="B102">
        <v>600066</v>
      </c>
      <c r="C102" t="s">
        <v>31</v>
      </c>
      <c r="D102" s="6" t="s">
        <v>1482</v>
      </c>
      <c r="E102" s="7" t="str">
        <f t="shared" si="31"/>
        <v>=232.3*100000000</v>
      </c>
      <c r="F102" s="1">
        <f>232.3*100000000</f>
        <v>23230000000</v>
      </c>
      <c r="G102" s="8">
        <f t="shared" si="33"/>
        <v>0.48339719029374201</v>
      </c>
      <c r="H102" s="6" t="s">
        <v>1483</v>
      </c>
      <c r="I102" s="6" t="str">
        <f t="shared" si="34"/>
        <v>=156.6*100000000</v>
      </c>
      <c r="J102" s="1">
        <f>156.6*100000000</f>
        <v>15660000000</v>
      </c>
      <c r="K102" s="10">
        <f t="shared" si="35"/>
        <v>0.59698143993473385</v>
      </c>
      <c r="L102" s="6" t="s">
        <v>1484</v>
      </c>
      <c r="M102" s="6" t="str">
        <f t="shared" si="36"/>
        <v>=98.06*100000000</v>
      </c>
      <c r="N102" s="1">
        <f>98.06*100000000</f>
        <v>9806000000</v>
      </c>
      <c r="O102" s="8">
        <f t="shared" si="37"/>
        <v>1.7021217966381923</v>
      </c>
      <c r="P102" s="6" t="s">
        <v>33</v>
      </c>
      <c r="Q102" s="6" t="str">
        <f t="shared" si="38"/>
        <v>=36.29*100000000</v>
      </c>
      <c r="R102" s="11">
        <f>36.29*100000000</f>
        <v>3629000000</v>
      </c>
      <c r="S102" s="8">
        <f t="shared" si="39"/>
        <v>-0.8328420082911101</v>
      </c>
      <c r="T102" s="6" t="s">
        <v>1485</v>
      </c>
      <c r="U102" s="6" t="str">
        <f t="shared" si="40"/>
        <v>=217.1*100000000</v>
      </c>
      <c r="V102" s="1">
        <f>217.1*100000000</f>
        <v>21710000000</v>
      </c>
      <c r="W102" s="8">
        <f t="shared" si="41"/>
        <v>0.59515062454077883</v>
      </c>
      <c r="X102" s="6" t="s">
        <v>1486</v>
      </c>
      <c r="Y102" s="6" t="str">
        <f t="shared" si="42"/>
        <v>=136.1*100000000</v>
      </c>
      <c r="Z102" s="1">
        <f>136.1*100000000</f>
        <v>13610000000</v>
      </c>
      <c r="AA102" s="8">
        <f t="shared" si="43"/>
        <v>0.78820128761003805</v>
      </c>
      <c r="AB102" s="6" t="s">
        <v>1487</v>
      </c>
      <c r="AC102" s="6" t="str">
        <f t="shared" si="44"/>
        <v>=76.11*100000000</v>
      </c>
      <c r="AD102" s="1">
        <f>76.11*100000000</f>
        <v>7611000000</v>
      </c>
      <c r="AE102" s="8">
        <f t="shared" si="45"/>
        <v>1.7046908315565032</v>
      </c>
      <c r="AF102" s="6" t="s">
        <v>1488</v>
      </c>
      <c r="AG102" s="6" t="str">
        <f t="shared" si="46"/>
        <v>=28.14*100000000</v>
      </c>
      <c r="AH102" s="1">
        <f>28.14*100000000</f>
        <v>2814000000</v>
      </c>
      <c r="AI102" s="8">
        <f t="shared" si="47"/>
        <v>-0.9077074450639554</v>
      </c>
      <c r="AJ102" s="6" t="s">
        <v>1489</v>
      </c>
      <c r="AK102" s="6" t="str">
        <f t="shared" si="48"/>
        <v>=304.9*100000000</v>
      </c>
      <c r="AL102" s="1">
        <f>304.9*100000000</f>
        <v>30489999999.999996</v>
      </c>
      <c r="AM102" s="8">
        <f t="shared" si="49"/>
        <v>0.46094873023478661</v>
      </c>
      <c r="AN102" s="6" t="s">
        <v>1490</v>
      </c>
      <c r="AO102" s="6" t="str">
        <f t="shared" si="50"/>
        <v>=208.7*100000000</v>
      </c>
      <c r="AP102" s="1">
        <f>208.7*100000000</f>
        <v>20870000000</v>
      </c>
      <c r="AQ102" s="8">
        <f t="shared" si="51"/>
        <v>0.66826538768984811</v>
      </c>
      <c r="AR102" s="6" t="s">
        <v>1491</v>
      </c>
      <c r="AS102" s="6" t="str">
        <f t="shared" si="52"/>
        <v>=125.1*100000000</v>
      </c>
      <c r="AT102" s="1">
        <f>125.1*100000000</f>
        <v>12510000000</v>
      </c>
      <c r="AU102" s="8">
        <f t="shared" si="53"/>
        <v>1.5852448853068817</v>
      </c>
      <c r="AV102" s="6" t="s">
        <v>1492</v>
      </c>
      <c r="AW102" s="6" t="str">
        <f t="shared" si="54"/>
        <v>=48.39*100000000</v>
      </c>
      <c r="AX102" s="1">
        <f>48.39*100000000</f>
        <v>4839000000</v>
      </c>
      <c r="AY102" s="10">
        <f t="shared" si="55"/>
        <v>-0.84759055118110238</v>
      </c>
      <c r="AZ102" s="6" t="s">
        <v>1493</v>
      </c>
      <c r="BA102" s="6" t="str">
        <f t="shared" si="56"/>
        <v>=317.5*100000000</v>
      </c>
      <c r="BB102" s="1">
        <f>317.5*100000000</f>
        <v>31750000000</v>
      </c>
      <c r="BC102" s="8">
        <f t="shared" si="57"/>
        <v>0.63913267940113583</v>
      </c>
      <c r="BD102" s="6" t="s">
        <v>1494</v>
      </c>
      <c r="BE102" s="6" t="str">
        <f t="shared" si="58"/>
        <v>=193.7*100000000</v>
      </c>
      <c r="BF102" s="1">
        <f>193.7*100000000</f>
        <v>19370000000</v>
      </c>
      <c r="BG102" s="8">
        <f t="shared" si="59"/>
        <v>0.61148086522462564</v>
      </c>
      <c r="BH102" s="6" t="s">
        <v>1495</v>
      </c>
      <c r="BI102" s="6" t="str">
        <f t="shared" si="60"/>
        <v>=120.2*100000000</v>
      </c>
      <c r="BJ102" s="1">
        <f>120.2*100000000</f>
        <v>12020000000</v>
      </c>
      <c r="BK102" s="6" t="s">
        <v>1496</v>
      </c>
      <c r="BL102" s="1" t="str">
        <f t="shared" si="32"/>
        <v>=46.59*100000000</v>
      </c>
      <c r="BM102" s="16">
        <f t="shared" si="61"/>
        <v>1.5799527795664305</v>
      </c>
      <c r="BN102" s="1">
        <f>46.59*100000000</f>
        <v>4659000000</v>
      </c>
    </row>
    <row r="103" spans="1:66">
      <c r="A103" s="18"/>
      <c r="B103">
        <v>600066</v>
      </c>
      <c r="C103" t="s">
        <v>48</v>
      </c>
      <c r="D103" s="6" t="s">
        <v>1497</v>
      </c>
      <c r="E103" s="7" t="str">
        <f t="shared" si="31"/>
        <v>=5.350*100000000</v>
      </c>
      <c r="F103" s="1">
        <f>5.35*100000000</f>
        <v>534999999.99999994</v>
      </c>
      <c r="G103" s="8">
        <f t="shared" si="33"/>
        <v>1.287302265925609</v>
      </c>
      <c r="H103" s="6" t="s">
        <v>1498</v>
      </c>
      <c r="I103" s="6" t="str">
        <f t="shared" si="34"/>
        <v>=2.339*100000000</v>
      </c>
      <c r="J103" s="1">
        <f>2.339*100000000</f>
        <v>233900000</v>
      </c>
      <c r="K103" s="10">
        <f t="shared" si="35"/>
        <v>2.5396489104116222</v>
      </c>
      <c r="L103" s="7" t="s">
        <v>1499</v>
      </c>
      <c r="M103" s="6" t="str">
        <f t="shared" si="36"/>
        <v>=6608*10000</v>
      </c>
      <c r="N103" s="1">
        <f>6608*10000</f>
        <v>66080000</v>
      </c>
      <c r="O103" s="8">
        <f t="shared" si="37"/>
        <v>-1.3195357833655705</v>
      </c>
      <c r="P103" s="6">
        <f>-2.068*100000000</f>
        <v>-206800000</v>
      </c>
      <c r="Q103" s="6" t="str">
        <f t="shared" si="38"/>
        <v>=-206800000</v>
      </c>
      <c r="R103" s="11">
        <f>-206800000</f>
        <v>-206800000</v>
      </c>
      <c r="S103" s="8">
        <f t="shared" si="39"/>
        <v>-1.6802631578947369</v>
      </c>
      <c r="T103" s="6" t="s">
        <v>1500</v>
      </c>
      <c r="U103" s="6" t="str">
        <f t="shared" si="40"/>
        <v>=3.040*100000000</v>
      </c>
      <c r="V103" s="1">
        <f>3.04*100000000</f>
        <v>304000000</v>
      </c>
      <c r="W103" s="8">
        <f t="shared" si="41"/>
        <v>0.67677881963596254</v>
      </c>
      <c r="X103" s="6" t="s">
        <v>1501</v>
      </c>
      <c r="Y103" s="6" t="str">
        <f t="shared" si="42"/>
        <v>=1.813*100000000</v>
      </c>
      <c r="Z103" s="1">
        <f>1.813*100000000</f>
        <v>181300000</v>
      </c>
      <c r="AA103" s="8">
        <f t="shared" si="43"/>
        <v>0.98293776659739696</v>
      </c>
      <c r="AB103" s="7" t="s">
        <v>1502</v>
      </c>
      <c r="AC103" s="6" t="str">
        <f t="shared" si="44"/>
        <v>=9143*10000</v>
      </c>
      <c r="AD103" s="1">
        <f>9143*10000</f>
        <v>91430000</v>
      </c>
      <c r="AE103" s="8">
        <f t="shared" si="45"/>
        <v>-1.448186274509804</v>
      </c>
      <c r="AF103" s="6">
        <f>-2.04*100000000</f>
        <v>-204000000</v>
      </c>
      <c r="AG103" s="6" t="str">
        <f t="shared" si="46"/>
        <v>=-204000000</v>
      </c>
      <c r="AH103" s="1">
        <f>-204000000</f>
        <v>-204000000</v>
      </c>
      <c r="AI103" s="8">
        <f t="shared" si="47"/>
        <v>-1.1008902077151335</v>
      </c>
      <c r="AJ103" s="6" t="s">
        <v>1503</v>
      </c>
      <c r="AK103" s="6" t="str">
        <f t="shared" si="48"/>
        <v>=20.22*100000000</v>
      </c>
      <c r="AL103" s="1">
        <f>20.22*100000000</f>
        <v>2022000000</v>
      </c>
      <c r="AM103" s="8">
        <f t="shared" si="49"/>
        <v>0.3877831159917639</v>
      </c>
      <c r="AN103" s="6" t="s">
        <v>1504</v>
      </c>
      <c r="AO103" s="6" t="str">
        <f t="shared" si="50"/>
        <v>=14.57*100000000</v>
      </c>
      <c r="AP103" s="1">
        <f>14.57*100000000</f>
        <v>1457000000</v>
      </c>
      <c r="AQ103" s="8">
        <f t="shared" si="51"/>
        <v>0.90134412110139628</v>
      </c>
      <c r="AR103" s="6" t="s">
        <v>1505</v>
      </c>
      <c r="AS103" s="6" t="str">
        <f t="shared" si="52"/>
        <v>=7.663*100000000</v>
      </c>
      <c r="AT103" s="1">
        <f>7.663*100000000</f>
        <v>766300000</v>
      </c>
      <c r="AU103" s="8">
        <f t="shared" si="53"/>
        <v>1.0688444924406046</v>
      </c>
      <c r="AV103" s="6" t="s">
        <v>1506</v>
      </c>
      <c r="AW103" s="6" t="str">
        <f t="shared" si="54"/>
        <v>=3.704*100000000</v>
      </c>
      <c r="AX103" s="1">
        <f>3.704*100000000</f>
        <v>370400000</v>
      </c>
      <c r="AY103" s="10">
        <f t="shared" si="55"/>
        <v>-0.8499189627228525</v>
      </c>
      <c r="AZ103" s="6" t="s">
        <v>1507</v>
      </c>
      <c r="BA103" s="6" t="str">
        <f t="shared" si="56"/>
        <v>=24.68*100000000</v>
      </c>
      <c r="BB103" s="1">
        <f>24.68*100000000</f>
        <v>2468000000</v>
      </c>
      <c r="BC103" s="8">
        <f t="shared" si="57"/>
        <v>0.80541331382589609</v>
      </c>
      <c r="BD103" s="6" t="s">
        <v>170</v>
      </c>
      <c r="BE103" s="6" t="str">
        <f t="shared" si="58"/>
        <v>=13.67*100000000</v>
      </c>
      <c r="BF103" s="1">
        <f>13.67*100000000</f>
        <v>1367000000</v>
      </c>
      <c r="BG103" s="8">
        <f t="shared" si="59"/>
        <v>0.8808475509080903</v>
      </c>
      <c r="BH103" s="6" t="s">
        <v>1508</v>
      </c>
      <c r="BI103" s="6" t="str">
        <f t="shared" si="60"/>
        <v>=7.268*100000000</v>
      </c>
      <c r="BJ103" s="1">
        <f>7.268*100000000</f>
        <v>726800000</v>
      </c>
      <c r="BK103" s="6" t="s">
        <v>1509</v>
      </c>
      <c r="BL103" s="1" t="str">
        <f t="shared" si="32"/>
        <v>=3.615*100000000</v>
      </c>
      <c r="BM103" s="16">
        <f t="shared" si="61"/>
        <v>1.0105117565698478</v>
      </c>
      <c r="BN103" s="1">
        <f>3.615*100000000</f>
        <v>361500000</v>
      </c>
    </row>
    <row r="104" spans="1:66">
      <c r="A104" s="18"/>
      <c r="B104">
        <v>600066</v>
      </c>
      <c r="C104" t="s">
        <v>58</v>
      </c>
      <c r="D104" s="6" t="s">
        <v>1510</v>
      </c>
      <c r="E104" s="7" t="str">
        <f t="shared" si="31"/>
        <v>=5.435*100000000</v>
      </c>
      <c r="F104" s="1">
        <f>5.435*100000000</f>
        <v>543500000</v>
      </c>
      <c r="G104" s="8">
        <f t="shared" si="33"/>
        <v>1.8894205209994683</v>
      </c>
      <c r="H104" s="6" t="s">
        <v>1511</v>
      </c>
      <c r="I104" s="6" t="str">
        <f t="shared" si="34"/>
        <v>=1.881*100000000</v>
      </c>
      <c r="J104" s="1">
        <f>1.881*100000000</f>
        <v>188100000</v>
      </c>
      <c r="K104" s="10">
        <f t="shared" si="35"/>
        <v>1.2249822569198012</v>
      </c>
      <c r="L104" s="7" t="s">
        <v>1512</v>
      </c>
      <c r="M104" s="6" t="str">
        <f t="shared" si="36"/>
        <v>=8454*10000</v>
      </c>
      <c r="N104" s="1">
        <f>8454*10000</f>
        <v>84540000</v>
      </c>
      <c r="O104" s="8">
        <f t="shared" si="37"/>
        <v>-1.42935500253936</v>
      </c>
      <c r="P104" s="6">
        <f>-1.969*100000000</f>
        <v>-196900000</v>
      </c>
      <c r="Q104" s="6" t="str">
        <f t="shared" si="38"/>
        <v>=-196900000</v>
      </c>
      <c r="R104" s="11">
        <f>-196900000</f>
        <v>-196900000</v>
      </c>
      <c r="S104" s="8">
        <f t="shared" si="39"/>
        <v>-1.5662927811331608</v>
      </c>
      <c r="T104" s="6" t="s">
        <v>1513</v>
      </c>
      <c r="U104" s="6" t="str">
        <f t="shared" si="40"/>
        <v>=3.477*100000000</v>
      </c>
      <c r="V104" s="1">
        <f>3.477*100000000</f>
        <v>347700000</v>
      </c>
      <c r="W104" s="8">
        <f t="shared" si="41"/>
        <v>1.147621988882026</v>
      </c>
      <c r="X104" s="6" t="s">
        <v>1514</v>
      </c>
      <c r="Y104" s="6" t="str">
        <f t="shared" si="42"/>
        <v>=1.619*100000000</v>
      </c>
      <c r="Z104" s="1">
        <f>1.619*100000000</f>
        <v>161900000</v>
      </c>
      <c r="AA104" s="8">
        <f t="shared" si="43"/>
        <v>1.3683440608543007</v>
      </c>
      <c r="AB104" s="7" t="s">
        <v>1515</v>
      </c>
      <c r="AC104" s="6" t="str">
        <f t="shared" si="44"/>
        <v>=6836*10000</v>
      </c>
      <c r="AD104" s="1">
        <f>6836*10000</f>
        <v>68360000</v>
      </c>
      <c r="AE104" s="8">
        <f t="shared" si="45"/>
        <v>-1.3447302067574383</v>
      </c>
      <c r="AF104" s="6">
        <f>-1.983*100000000</f>
        <v>-198300000</v>
      </c>
      <c r="AG104" s="6" t="str">
        <f t="shared" si="46"/>
        <v>=-198300000</v>
      </c>
      <c r="AH104" s="1">
        <f>-198300000</f>
        <v>-198300000</v>
      </c>
      <c r="AI104" s="8">
        <f t="shared" si="47"/>
        <v>-1.0950167704839482</v>
      </c>
      <c r="AJ104" s="6" t="s">
        <v>1516</v>
      </c>
      <c r="AK104" s="6" t="str">
        <f t="shared" si="48"/>
        <v>=20.87*100000000</v>
      </c>
      <c r="AL104" s="1">
        <f>20.87*100000000</f>
        <v>2087000000</v>
      </c>
      <c r="AM104" s="8">
        <f t="shared" si="49"/>
        <v>0.39133333333333331</v>
      </c>
      <c r="AN104" s="6" t="s">
        <v>1517</v>
      </c>
      <c r="AO104" s="6" t="str">
        <f t="shared" si="50"/>
        <v>=15.00*100000000</v>
      </c>
      <c r="AP104" s="1">
        <f>15*100000000</f>
        <v>1500000000</v>
      </c>
      <c r="AQ104" s="8">
        <f t="shared" si="51"/>
        <v>0.88229388881917425</v>
      </c>
      <c r="AR104" s="6" t="s">
        <v>1518</v>
      </c>
      <c r="AS104" s="6" t="str">
        <f t="shared" si="52"/>
        <v>=7.969*100000000</v>
      </c>
      <c r="AT104" s="1">
        <f>7.969*100000000</f>
        <v>796900000</v>
      </c>
      <c r="AU104" s="8">
        <f t="shared" si="53"/>
        <v>1.117725219239968</v>
      </c>
      <c r="AV104" s="6" t="s">
        <v>1519</v>
      </c>
      <c r="AW104" s="6" t="str">
        <f t="shared" si="54"/>
        <v>=3.763*100000000</v>
      </c>
      <c r="AX104" s="1">
        <f>3.763*100000000</f>
        <v>376300000</v>
      </c>
      <c r="AY104" s="10">
        <f t="shared" si="55"/>
        <v>-0.85225755791126812</v>
      </c>
      <c r="AZ104" s="6" t="s">
        <v>529</v>
      </c>
      <c r="BA104" s="6" t="str">
        <f t="shared" si="56"/>
        <v>=25.47*100000000</v>
      </c>
      <c r="BB104" s="1">
        <f>25.47*100000000</f>
        <v>2547000000</v>
      </c>
      <c r="BC104" s="8">
        <f t="shared" si="57"/>
        <v>0.79366197183098597</v>
      </c>
      <c r="BD104" s="6" t="s">
        <v>50</v>
      </c>
      <c r="BE104" s="6" t="str">
        <f t="shared" si="58"/>
        <v>=14.20*100000000</v>
      </c>
      <c r="BF104" s="1">
        <f>14.2*100000000</f>
        <v>1420000000</v>
      </c>
      <c r="BG104" s="8">
        <f t="shared" si="59"/>
        <v>0.90988567585743108</v>
      </c>
      <c r="BH104" s="6" t="s">
        <v>1520</v>
      </c>
      <c r="BI104" s="6" t="str">
        <f t="shared" si="60"/>
        <v>=7.435*100000000</v>
      </c>
      <c r="BJ104" s="1">
        <f>7.435*100000000</f>
        <v>743500000</v>
      </c>
      <c r="BK104" s="6" t="s">
        <v>1521</v>
      </c>
      <c r="BL104" s="1" t="str">
        <f t="shared" si="32"/>
        <v>=3.700*100000000</v>
      </c>
      <c r="BM104" s="16">
        <f t="shared" si="61"/>
        <v>1.0094594594594595</v>
      </c>
      <c r="BN104" s="1">
        <f>3.7*100000000</f>
        <v>370000000</v>
      </c>
    </row>
    <row r="105" spans="1:66">
      <c r="A105" s="19"/>
      <c r="B105">
        <v>600066</v>
      </c>
      <c r="C105" t="s">
        <v>68</v>
      </c>
      <c r="D105" s="6" t="s">
        <v>1522</v>
      </c>
      <c r="E105" s="7" t="str">
        <f t="shared" si="31"/>
        <v>=6.255*100000000</v>
      </c>
      <c r="F105" s="1">
        <f>6.255*100000000</f>
        <v>625500000</v>
      </c>
      <c r="G105" s="8">
        <f t="shared" si="33"/>
        <v>1.3532731376975169</v>
      </c>
      <c r="H105" s="6" t="s">
        <v>1282</v>
      </c>
      <c r="I105" s="6" t="str">
        <f t="shared" si="34"/>
        <v>=2.658*100000000</v>
      </c>
      <c r="J105" s="1">
        <f>2.658*100000000</f>
        <v>265800000</v>
      </c>
      <c r="K105" s="10">
        <f t="shared" si="35"/>
        <v>0.83057851239669422</v>
      </c>
      <c r="L105" s="6" t="s">
        <v>1523</v>
      </c>
      <c r="M105" s="6" t="str">
        <f t="shared" si="36"/>
        <v>=1.452*100000000</v>
      </c>
      <c r="N105" s="1">
        <f>1.452*100000000</f>
        <v>145200000</v>
      </c>
      <c r="O105" s="8">
        <f t="shared" si="37"/>
        <v>-2.3152173913043477</v>
      </c>
      <c r="P105" s="6">
        <f>-1.104*100000000</f>
        <v>-110400000.00000001</v>
      </c>
      <c r="Q105" s="6" t="str">
        <f t="shared" si="38"/>
        <v>=-110400000</v>
      </c>
      <c r="R105" s="11">
        <f>-110400000</f>
        <v>-110400000</v>
      </c>
      <c r="S105" s="8">
        <f t="shared" si="39"/>
        <v>-1.2130862767805444</v>
      </c>
      <c r="T105" s="6" t="s">
        <v>1524</v>
      </c>
      <c r="U105" s="6" t="str">
        <f t="shared" si="40"/>
        <v>=5.181*100000000</v>
      </c>
      <c r="V105" s="1">
        <f>5.181*100000000</f>
        <v>518100000</v>
      </c>
      <c r="W105" s="8">
        <f t="shared" si="41"/>
        <v>2.1005385996409336</v>
      </c>
      <c r="X105" s="6" t="s">
        <v>1525</v>
      </c>
      <c r="Y105" s="6" t="str">
        <f t="shared" si="42"/>
        <v>=1.671*100000000</v>
      </c>
      <c r="Z105" s="1">
        <f>1.671*100000000</f>
        <v>167100000</v>
      </c>
      <c r="AA105" s="8">
        <f t="shared" si="43"/>
        <v>1.4591611479028697</v>
      </c>
      <c r="AB105" s="7" t="s">
        <v>1526</v>
      </c>
      <c r="AC105" s="6" t="str">
        <f t="shared" si="44"/>
        <v>=6795*10000</v>
      </c>
      <c r="AD105" s="1">
        <f>6795*10000</f>
        <v>67950000</v>
      </c>
      <c r="AE105" s="8">
        <f t="shared" si="45"/>
        <v>-1.4785211267605634</v>
      </c>
      <c r="AF105" s="6">
        <f>-1.42*100000000</f>
        <v>-142000000</v>
      </c>
      <c r="AG105" s="6" t="str">
        <f t="shared" si="46"/>
        <v>=-142000000</v>
      </c>
      <c r="AH105" s="1">
        <f>-142000000</f>
        <v>-142000000</v>
      </c>
      <c r="AI105" s="8">
        <f t="shared" si="47"/>
        <v>-1.0722646310432571</v>
      </c>
      <c r="AJ105" s="6" t="s">
        <v>1527</v>
      </c>
      <c r="AK105" s="6" t="str">
        <f t="shared" si="48"/>
        <v>=19.65*100000000</v>
      </c>
      <c r="AL105" s="1">
        <f>19.65*100000000</f>
        <v>1964999999.9999998</v>
      </c>
      <c r="AM105" s="8">
        <f t="shared" si="49"/>
        <v>0.45771513353115711</v>
      </c>
      <c r="AN105" s="6" t="s">
        <v>1528</v>
      </c>
      <c r="AO105" s="6" t="str">
        <f t="shared" si="50"/>
        <v>=13.48*100000000</v>
      </c>
      <c r="AP105" s="1">
        <f>13.48*100000000</f>
        <v>1348000000</v>
      </c>
      <c r="AQ105" s="8">
        <f t="shared" si="51"/>
        <v>0.94376351838500361</v>
      </c>
      <c r="AR105" s="6" t="s">
        <v>1529</v>
      </c>
      <c r="AS105" s="6" t="str">
        <f t="shared" si="52"/>
        <v>=6.935*100000000</v>
      </c>
      <c r="AT105" s="1">
        <f>6.935*100000000</f>
        <v>693500000</v>
      </c>
      <c r="AU105" s="8">
        <f t="shared" si="53"/>
        <v>1.2064906140629972</v>
      </c>
      <c r="AV105" s="6" t="s">
        <v>1530</v>
      </c>
      <c r="AW105" s="6" t="str">
        <f t="shared" si="54"/>
        <v>=3.143*100000000</v>
      </c>
      <c r="AX105" s="1">
        <f>3.143*100000000</f>
        <v>314300000</v>
      </c>
      <c r="AY105" s="10">
        <f t="shared" si="55"/>
        <v>-0.86499140893470794</v>
      </c>
      <c r="AZ105" s="6" t="s">
        <v>1531</v>
      </c>
      <c r="BA105" s="6" t="str">
        <f t="shared" si="56"/>
        <v>=23.28*100000000</v>
      </c>
      <c r="BB105" s="1">
        <f>23.28*100000000</f>
        <v>2328000000</v>
      </c>
      <c r="BC105" s="8">
        <f t="shared" si="57"/>
        <v>0.92079207920792083</v>
      </c>
      <c r="BD105" s="6" t="s">
        <v>1532</v>
      </c>
      <c r="BE105" s="6" t="str">
        <f t="shared" si="58"/>
        <v>=12.12*100000000</v>
      </c>
      <c r="BF105" s="1">
        <f>12.12*100000000</f>
        <v>1212000000</v>
      </c>
      <c r="BG105" s="8">
        <f t="shared" si="59"/>
        <v>0.93424832428981808</v>
      </c>
      <c r="BH105" s="6" t="s">
        <v>1533</v>
      </c>
      <c r="BI105" s="6" t="str">
        <f t="shared" si="60"/>
        <v>=6.266*100000000</v>
      </c>
      <c r="BJ105" s="1">
        <f>6.266*100000000</f>
        <v>626600000</v>
      </c>
      <c r="BK105" s="6" t="s">
        <v>1534</v>
      </c>
      <c r="BL105" s="1" t="str">
        <f t="shared" si="32"/>
        <v>=2.980*100000000</v>
      </c>
      <c r="BM105" s="16">
        <f t="shared" si="61"/>
        <v>1.1026845637583893</v>
      </c>
      <c r="BN105" s="1">
        <f>2.98*100000000</f>
        <v>298000000</v>
      </c>
    </row>
    <row r="106" spans="1:66">
      <c r="A106" s="17">
        <v>27</v>
      </c>
      <c r="B106">
        <v>600067</v>
      </c>
      <c r="C106" t="s">
        <v>31</v>
      </c>
      <c r="D106" s="6" t="s">
        <v>1535</v>
      </c>
      <c r="E106" s="7" t="str">
        <f t="shared" si="31"/>
        <v>=94.57*100000000</v>
      </c>
      <c r="F106" s="1">
        <f>94.57*100000000</f>
        <v>9457000000</v>
      </c>
      <c r="G106" s="8">
        <f t="shared" si="33"/>
        <v>0.47719462667916274</v>
      </c>
      <c r="H106" s="6" t="s">
        <v>1536</v>
      </c>
      <c r="I106" s="6" t="str">
        <f t="shared" si="34"/>
        <v>=64.02*100000000</v>
      </c>
      <c r="J106" s="1">
        <f>64.02*100000000</f>
        <v>6402000000</v>
      </c>
      <c r="K106" s="10">
        <f t="shared" si="35"/>
        <v>0.44579945799457993</v>
      </c>
      <c r="L106" s="6" t="s">
        <v>1537</v>
      </c>
      <c r="M106" s="6" t="str">
        <f t="shared" si="36"/>
        <v>=44.28*100000000</v>
      </c>
      <c r="N106" s="1">
        <f>44.28*100000000</f>
        <v>4428000000</v>
      </c>
      <c r="O106" s="8">
        <f t="shared" si="37"/>
        <v>1.0876944837340876</v>
      </c>
      <c r="P106" s="6" t="s">
        <v>1538</v>
      </c>
      <c r="Q106" s="6" t="str">
        <f t="shared" si="38"/>
        <v>=21.21*100000000</v>
      </c>
      <c r="R106" s="11">
        <f>21.21*100000000</f>
        <v>2121000000</v>
      </c>
      <c r="S106" s="8">
        <f t="shared" si="39"/>
        <v>-0.76147098515519573</v>
      </c>
      <c r="T106" s="6" t="s">
        <v>301</v>
      </c>
      <c r="U106" s="6" t="str">
        <f t="shared" si="40"/>
        <v>=88.92*100000000</v>
      </c>
      <c r="V106" s="1">
        <f>88.92*100000000</f>
        <v>8892000000</v>
      </c>
      <c r="W106" s="8">
        <f t="shared" si="41"/>
        <v>0.58700696055684454</v>
      </c>
      <c r="X106" s="6" t="s">
        <v>1539</v>
      </c>
      <c r="Y106" s="6" t="str">
        <f t="shared" si="42"/>
        <v>=56.03*100000000</v>
      </c>
      <c r="Z106" s="1">
        <f>56.03*100000000</f>
        <v>5603000000</v>
      </c>
      <c r="AA106" s="8">
        <f t="shared" si="43"/>
        <v>1.3913785744771661</v>
      </c>
      <c r="AB106" s="6" t="s">
        <v>1540</v>
      </c>
      <c r="AC106" s="6" t="str">
        <f t="shared" si="44"/>
        <v>=23.43*100000000</v>
      </c>
      <c r="AD106" s="1">
        <f>23.43*100000000</f>
        <v>2343000000</v>
      </c>
      <c r="AE106" s="8">
        <f t="shared" si="45"/>
        <v>1.7496772679262995</v>
      </c>
      <c r="AF106" s="6" t="s">
        <v>1541</v>
      </c>
      <c r="AG106" s="6" t="str">
        <f t="shared" si="46"/>
        <v>=8.521*100000000</v>
      </c>
      <c r="AH106" s="1">
        <f>8.521*100000000</f>
        <v>852100000.00000012</v>
      </c>
      <c r="AI106" s="8">
        <f t="shared" si="47"/>
        <v>-0.89057403364582</v>
      </c>
      <c r="AJ106" s="6" t="s">
        <v>1542</v>
      </c>
      <c r="AK106" s="6" t="str">
        <f t="shared" si="48"/>
        <v>=77.87*100000000</v>
      </c>
      <c r="AL106" s="1">
        <f>77.87*100000000</f>
        <v>7787000000</v>
      </c>
      <c r="AM106" s="8">
        <f t="shared" si="49"/>
        <v>0.4792933130699088</v>
      </c>
      <c r="AN106" s="6" t="s">
        <v>1543</v>
      </c>
      <c r="AO106" s="6" t="str">
        <f t="shared" si="50"/>
        <v>=52.64*100000000</v>
      </c>
      <c r="AP106" s="1">
        <f>52.64*100000000</f>
        <v>5264000000</v>
      </c>
      <c r="AQ106" s="8">
        <f t="shared" si="51"/>
        <v>0.41619585687382299</v>
      </c>
      <c r="AR106" s="6" t="s">
        <v>1544</v>
      </c>
      <c r="AS106" s="6" t="str">
        <f t="shared" si="52"/>
        <v>=37.17*100000000</v>
      </c>
      <c r="AT106" s="1">
        <f>37.17*100000000</f>
        <v>3717000000</v>
      </c>
      <c r="AU106" s="8">
        <f t="shared" si="53"/>
        <v>1.2124999999999999</v>
      </c>
      <c r="AV106" s="6" t="s">
        <v>1545</v>
      </c>
      <c r="AW106" s="6" t="str">
        <f t="shared" si="54"/>
        <v>=16.80*100000000</v>
      </c>
      <c r="AX106" s="1">
        <f>16.8*100000000</f>
        <v>1680000000</v>
      </c>
      <c r="AY106" s="10">
        <f t="shared" si="55"/>
        <v>-0.79282278949315577</v>
      </c>
      <c r="AZ106" s="6" t="s">
        <v>1546</v>
      </c>
      <c r="BA106" s="6" t="str">
        <f t="shared" si="56"/>
        <v>=81.09*100000000</v>
      </c>
      <c r="BB106" s="1">
        <f>81.09*100000000</f>
        <v>8109000000</v>
      </c>
      <c r="BC106" s="8">
        <f t="shared" si="57"/>
        <v>0.64216281895504257</v>
      </c>
      <c r="BD106" s="6" t="s">
        <v>1547</v>
      </c>
      <c r="BE106" s="6" t="str">
        <f t="shared" si="58"/>
        <v>=49.38*100000000</v>
      </c>
      <c r="BF106" s="1">
        <f>49.38*100000000</f>
        <v>4938000000</v>
      </c>
      <c r="BG106" s="8">
        <f t="shared" si="59"/>
        <v>0.6275543836519446</v>
      </c>
      <c r="BH106" s="6" t="s">
        <v>1548</v>
      </c>
      <c r="BI106" s="6" t="str">
        <f t="shared" si="60"/>
        <v>=30.34*100000000</v>
      </c>
      <c r="BJ106" s="1">
        <f>30.34*100000000</f>
        <v>3034000000</v>
      </c>
      <c r="BK106" s="6" t="s">
        <v>1549</v>
      </c>
      <c r="BL106" s="1" t="str">
        <f t="shared" si="32"/>
        <v>=11.67*100000000</v>
      </c>
      <c r="BM106" s="16">
        <f t="shared" si="61"/>
        <v>1.5998286203941732</v>
      </c>
      <c r="BN106" s="1">
        <f>11.67*100000000</f>
        <v>1167000000</v>
      </c>
    </row>
    <row r="107" spans="1:66">
      <c r="A107" s="18"/>
      <c r="B107">
        <v>600067</v>
      </c>
      <c r="C107" t="s">
        <v>48</v>
      </c>
      <c r="D107" s="6">
        <f>-8.153*100000000</f>
        <v>-815300000</v>
      </c>
      <c r="E107" s="7" t="str">
        <f t="shared" si="31"/>
        <v>=-815300000</v>
      </c>
      <c r="F107" s="1">
        <f>-815300000</f>
        <v>-815300000</v>
      </c>
      <c r="G107" s="8">
        <f t="shared" si="33"/>
        <v>-5.8937575030012006</v>
      </c>
      <c r="H107" s="6" t="s">
        <v>1550</v>
      </c>
      <c r="I107" s="6" t="str">
        <f t="shared" si="34"/>
        <v>=1.666*100000000</v>
      </c>
      <c r="J107" s="1">
        <f>1.666*100000000</f>
        <v>166600000</v>
      </c>
      <c r="K107" s="10">
        <f t="shared" si="35"/>
        <v>-0.11194029850746269</v>
      </c>
      <c r="L107" s="6" t="s">
        <v>1551</v>
      </c>
      <c r="M107" s="6" t="str">
        <f t="shared" si="36"/>
        <v>=1.876*100000000</v>
      </c>
      <c r="N107" s="1">
        <f>1.876*100000000</f>
        <v>187600000</v>
      </c>
      <c r="O107" s="8">
        <f t="shared" si="37"/>
        <v>1.5709195559819105</v>
      </c>
      <c r="P107" s="7" t="s">
        <v>1552</v>
      </c>
      <c r="Q107" s="6" t="str">
        <f t="shared" si="38"/>
        <v>=7297*10000</v>
      </c>
      <c r="R107" s="11">
        <f>7297*10000</f>
        <v>72970000</v>
      </c>
      <c r="S107" s="8">
        <f t="shared" si="39"/>
        <v>-0.90249866381614108</v>
      </c>
      <c r="T107" s="6" t="s">
        <v>1553</v>
      </c>
      <c r="U107" s="6" t="str">
        <f t="shared" si="40"/>
        <v>=7.484*100000000</v>
      </c>
      <c r="V107" s="1">
        <f>7.484*100000000</f>
        <v>748400000</v>
      </c>
      <c r="W107" s="8">
        <f t="shared" si="41"/>
        <v>0.12035928143712575</v>
      </c>
      <c r="X107" s="6" t="s">
        <v>1554</v>
      </c>
      <c r="Y107" s="6" t="str">
        <f t="shared" si="42"/>
        <v>=6.680*100000000</v>
      </c>
      <c r="Z107" s="1">
        <f>6.68*100000000</f>
        <v>668000000</v>
      </c>
      <c r="AA107" s="8">
        <f t="shared" si="43"/>
        <v>-15.294885512518725</v>
      </c>
      <c r="AB107" s="7">
        <f>-4673*10000</f>
        <v>-46730000</v>
      </c>
      <c r="AC107" s="6" t="str">
        <f t="shared" si="44"/>
        <v>=-46730000</v>
      </c>
      <c r="AD107" s="1">
        <f>-46730000</f>
        <v>-46730000</v>
      </c>
      <c r="AE107" s="8">
        <f t="shared" si="45"/>
        <v>-7.8303747534516771E-2</v>
      </c>
      <c r="AF107" s="7">
        <f>-5070*10000</f>
        <v>-50700000</v>
      </c>
      <c r="AG107" s="6" t="str">
        <f t="shared" si="46"/>
        <v>=-50700000</v>
      </c>
      <c r="AH107" s="1">
        <f>-50700000</f>
        <v>-50700000</v>
      </c>
      <c r="AI107" s="8">
        <f t="shared" si="47"/>
        <v>-1.0553674784318008</v>
      </c>
      <c r="AJ107" s="6" t="s">
        <v>1555</v>
      </c>
      <c r="AK107" s="6" t="str">
        <f t="shared" si="48"/>
        <v>=9.157*100000000</v>
      </c>
      <c r="AL107" s="1">
        <f>9.157*100000000</f>
        <v>915700000</v>
      </c>
      <c r="AM107" s="8">
        <f t="shared" si="49"/>
        <v>0.73296744890234666</v>
      </c>
      <c r="AN107" s="6" t="s">
        <v>1556</v>
      </c>
      <c r="AO107" s="6" t="str">
        <f t="shared" si="50"/>
        <v>=5.284*100000000</v>
      </c>
      <c r="AP107" s="1">
        <f>5.284*100000000</f>
        <v>528400000</v>
      </c>
      <c r="AQ107" s="8">
        <f t="shared" si="51"/>
        <v>0.227124941941477</v>
      </c>
      <c r="AR107" s="6" t="s">
        <v>1557</v>
      </c>
      <c r="AS107" s="6" t="str">
        <f t="shared" si="52"/>
        <v>=4.306*100000000</v>
      </c>
      <c r="AT107" s="1">
        <f>4.306*100000000</f>
        <v>430600000</v>
      </c>
      <c r="AU107" s="8">
        <f t="shared" si="53"/>
        <v>1.3364080303852415</v>
      </c>
      <c r="AV107" s="6" t="s">
        <v>1558</v>
      </c>
      <c r="AW107" s="6" t="str">
        <f t="shared" si="54"/>
        <v>=1.843*100000000</v>
      </c>
      <c r="AX107" s="1">
        <f>1.843*100000000</f>
        <v>184300000</v>
      </c>
      <c r="AY107" s="10">
        <f t="shared" si="55"/>
        <v>-0.85899005355776592</v>
      </c>
      <c r="AZ107" s="6" t="s">
        <v>1559</v>
      </c>
      <c r="BA107" s="6" t="str">
        <f t="shared" si="56"/>
        <v>=13.07*100000000</v>
      </c>
      <c r="BB107" s="1">
        <f>13.07*100000000</f>
        <v>1307000000</v>
      </c>
      <c r="BC107" s="8">
        <f t="shared" si="57"/>
        <v>1.026985111662531</v>
      </c>
      <c r="BD107" s="6" t="s">
        <v>1560</v>
      </c>
      <c r="BE107" s="6" t="str">
        <f t="shared" si="58"/>
        <v>=6.448*100000000</v>
      </c>
      <c r="BF107" s="1">
        <f>6.448*100000000</f>
        <v>644800000</v>
      </c>
      <c r="BG107" s="8">
        <f t="shared" si="59"/>
        <v>1.1984316399590862</v>
      </c>
      <c r="BH107" s="6" t="s">
        <v>1561</v>
      </c>
      <c r="BI107" s="6" t="str">
        <f t="shared" si="60"/>
        <v>=2.933*100000000</v>
      </c>
      <c r="BJ107" s="1">
        <f>2.933*100000000</f>
        <v>293300000</v>
      </c>
      <c r="BK107" s="7">
        <f>-1173*10000</f>
        <v>-11730000</v>
      </c>
      <c r="BL107" s="1" t="str">
        <f t="shared" si="32"/>
        <v>=-11730000</v>
      </c>
      <c r="BM107" s="16">
        <f t="shared" si="61"/>
        <v>-26.004262574595057</v>
      </c>
      <c r="BN107" s="1">
        <f>-11730000</f>
        <v>-11730000</v>
      </c>
    </row>
    <row r="108" spans="1:66">
      <c r="A108" s="18"/>
      <c r="B108">
        <v>600067</v>
      </c>
      <c r="C108" t="s">
        <v>58</v>
      </c>
      <c r="D108" s="6">
        <f>-8.184*100000000</f>
        <v>-818399999.99999988</v>
      </c>
      <c r="E108" s="7" t="str">
        <f t="shared" si="31"/>
        <v>=-818400000</v>
      </c>
      <c r="F108" s="1">
        <f>-818400000</f>
        <v>-818400000</v>
      </c>
      <c r="G108" s="8">
        <f t="shared" si="33"/>
        <v>-5.9094181163767248</v>
      </c>
      <c r="H108" s="6" t="s">
        <v>1562</v>
      </c>
      <c r="I108" s="6" t="str">
        <f t="shared" si="34"/>
        <v>=1.667*100000000</v>
      </c>
      <c r="J108" s="1">
        <f>1.667*100000000</f>
        <v>166700000</v>
      </c>
      <c r="K108" s="10">
        <f t="shared" si="35"/>
        <v>-0.11188066062866275</v>
      </c>
      <c r="L108" s="6" t="s">
        <v>1563</v>
      </c>
      <c r="M108" s="6" t="str">
        <f t="shared" si="36"/>
        <v>=1.877*100000000</v>
      </c>
      <c r="N108" s="1">
        <f>1.877*100000000</f>
        <v>187700000</v>
      </c>
      <c r="O108" s="8">
        <f t="shared" si="37"/>
        <v>1.5635072384594373</v>
      </c>
      <c r="P108" s="7" t="s">
        <v>1564</v>
      </c>
      <c r="Q108" s="6" t="str">
        <f t="shared" si="38"/>
        <v>=7322*10000</v>
      </c>
      <c r="R108" s="11">
        <f>7322*10000</f>
        <v>73220000</v>
      </c>
      <c r="S108" s="8">
        <f t="shared" si="39"/>
        <v>-0.9019418775947502</v>
      </c>
      <c r="T108" s="6" t="s">
        <v>1565</v>
      </c>
      <c r="U108" s="6" t="str">
        <f t="shared" si="40"/>
        <v>=7.467*100000000</v>
      </c>
      <c r="V108" s="1">
        <f>7.467*100000000</f>
        <v>746700000</v>
      </c>
      <c r="W108" s="8">
        <f t="shared" si="41"/>
        <v>0.12471757794848622</v>
      </c>
      <c r="X108" s="6" t="s">
        <v>1566</v>
      </c>
      <c r="Y108" s="6" t="str">
        <f t="shared" si="42"/>
        <v>=6.639*100000000</v>
      </c>
      <c r="Z108" s="1">
        <f>6.639*100000000</f>
        <v>663900000</v>
      </c>
      <c r="AA108" s="8">
        <f t="shared" si="43"/>
        <v>-14.436551305403764</v>
      </c>
      <c r="AB108" s="7">
        <f>-4941*10000</f>
        <v>-49410000</v>
      </c>
      <c r="AC108" s="6" t="str">
        <f t="shared" si="44"/>
        <v>=-49410000</v>
      </c>
      <c r="AD108" s="1">
        <f>-49410000</f>
        <v>-49410000</v>
      </c>
      <c r="AE108" s="8">
        <f t="shared" si="45"/>
        <v>-4.3924148606811146E-2</v>
      </c>
      <c r="AF108" s="7">
        <f>-5168*10000</f>
        <v>-51680000</v>
      </c>
      <c r="AG108" s="6" t="str">
        <f t="shared" si="46"/>
        <v>=-51680000</v>
      </c>
      <c r="AH108" s="1">
        <f>-51680000</f>
        <v>-51680000</v>
      </c>
      <c r="AI108" s="8">
        <f t="shared" si="47"/>
        <v>-1.0563515429069894</v>
      </c>
      <c r="AJ108" s="6" t="s">
        <v>1567</v>
      </c>
      <c r="AK108" s="6" t="str">
        <f t="shared" si="48"/>
        <v>=9.171*100000000</v>
      </c>
      <c r="AL108" s="1">
        <f>9.171*100000000</f>
        <v>917099999.99999988</v>
      </c>
      <c r="AM108" s="8">
        <f t="shared" si="49"/>
        <v>0.73332073332073289</v>
      </c>
      <c r="AN108" s="6" t="s">
        <v>1568</v>
      </c>
      <c r="AO108" s="6" t="str">
        <f t="shared" si="50"/>
        <v>=5.291*100000000</v>
      </c>
      <c r="AP108" s="1">
        <f>5.291*100000000</f>
        <v>529100000.00000006</v>
      </c>
      <c r="AQ108" s="8">
        <f t="shared" si="51"/>
        <v>0.22732544653212725</v>
      </c>
      <c r="AR108" s="6" t="s">
        <v>1569</v>
      </c>
      <c r="AS108" s="6" t="str">
        <f t="shared" si="52"/>
        <v>=4.311*100000000</v>
      </c>
      <c r="AT108" s="1">
        <f>4.311*100000000</f>
        <v>431100000</v>
      </c>
      <c r="AU108" s="8">
        <f t="shared" si="53"/>
        <v>1.3353196099674973</v>
      </c>
      <c r="AV108" s="6" t="s">
        <v>1570</v>
      </c>
      <c r="AW108" s="6" t="str">
        <f t="shared" si="54"/>
        <v>=1.846*100000000</v>
      </c>
      <c r="AX108" s="1">
        <f>1.846*100000000</f>
        <v>184600000</v>
      </c>
      <c r="AY108" s="10">
        <f t="shared" si="55"/>
        <v>-0.85961977186311789</v>
      </c>
      <c r="AZ108" s="6" t="s">
        <v>1571</v>
      </c>
      <c r="BA108" s="6" t="str">
        <f t="shared" si="56"/>
        <v>=13.15*100000000</v>
      </c>
      <c r="BB108" s="1">
        <f>13.15*100000000</f>
        <v>1315000000</v>
      </c>
      <c r="BC108" s="8">
        <f t="shared" si="57"/>
        <v>1.0061022120518688</v>
      </c>
      <c r="BD108" s="6" t="s">
        <v>1572</v>
      </c>
      <c r="BE108" s="6" t="str">
        <f t="shared" si="58"/>
        <v>=6.555*100000000</v>
      </c>
      <c r="BF108" s="1">
        <f>6.555*100000000</f>
        <v>655500000</v>
      </c>
      <c r="BG108" s="8">
        <f t="shared" si="59"/>
        <v>1.1470684572551588</v>
      </c>
      <c r="BH108" s="6" t="s">
        <v>1573</v>
      </c>
      <c r="BI108" s="6" t="str">
        <f t="shared" si="60"/>
        <v>=3.053*100000000</v>
      </c>
      <c r="BJ108" s="1">
        <f>3.053*100000000</f>
        <v>305300000</v>
      </c>
      <c r="BK108" s="7" t="s">
        <v>1574</v>
      </c>
      <c r="BL108" s="1" t="str">
        <f t="shared" si="32"/>
        <v>=86.68*10000</v>
      </c>
      <c r="BM108" s="16">
        <f t="shared" si="61"/>
        <v>351.21504383940925</v>
      </c>
      <c r="BN108" s="1">
        <f>86.68*10000</f>
        <v>866800.00000000012</v>
      </c>
    </row>
    <row r="109" spans="1:66">
      <c r="A109" s="19"/>
      <c r="B109">
        <v>600067</v>
      </c>
      <c r="C109" t="s">
        <v>68</v>
      </c>
      <c r="D109" s="6">
        <f>-9.42*100000000</f>
        <v>-942000000</v>
      </c>
      <c r="E109" s="7" t="str">
        <f t="shared" si="31"/>
        <v>=-942000000</v>
      </c>
      <c r="F109" s="1">
        <f>-942000000</f>
        <v>-942000000</v>
      </c>
      <c r="G109" s="8">
        <f t="shared" si="33"/>
        <v>-16.813328856807118</v>
      </c>
      <c r="H109" s="7" t="s">
        <v>1575</v>
      </c>
      <c r="I109" s="6" t="str">
        <f t="shared" si="34"/>
        <v>=5957*10000</v>
      </c>
      <c r="J109" s="1">
        <f>5957*10000</f>
        <v>59570000</v>
      </c>
      <c r="K109" s="10">
        <f t="shared" si="35"/>
        <v>-0.42610789980732178</v>
      </c>
      <c r="L109" s="6" t="s">
        <v>1576</v>
      </c>
      <c r="M109" s="6" t="str">
        <f t="shared" si="36"/>
        <v>=1.038*100000000</v>
      </c>
      <c r="N109" s="1">
        <f>1.038*100000000</f>
        <v>103800000</v>
      </c>
      <c r="O109" s="8">
        <f t="shared" si="37"/>
        <v>2.1012847325963548</v>
      </c>
      <c r="P109" s="7" t="s">
        <v>1577</v>
      </c>
      <c r="Q109" s="6" t="str">
        <f t="shared" si="38"/>
        <v>=3347*10000</v>
      </c>
      <c r="R109" s="11">
        <f>3347*10000</f>
        <v>33470000</v>
      </c>
      <c r="S109" s="8">
        <f t="shared" si="39"/>
        <v>-0.90515726834797394</v>
      </c>
      <c r="T109" s="6" t="s">
        <v>1445</v>
      </c>
      <c r="U109" s="6" t="str">
        <f t="shared" si="40"/>
        <v>=3.529*100000000</v>
      </c>
      <c r="V109" s="1">
        <f>3.529*100000000</f>
        <v>352900000</v>
      </c>
      <c r="W109" s="8">
        <f t="shared" si="41"/>
        <v>-0.14696640077350726</v>
      </c>
      <c r="X109" s="6" t="s">
        <v>1578</v>
      </c>
      <c r="Y109" s="6" t="str">
        <f t="shared" si="42"/>
        <v>=4.137*100000000</v>
      </c>
      <c r="Z109" s="1">
        <f>4.137*100000000</f>
        <v>413699999.99999994</v>
      </c>
      <c r="AA109" s="8">
        <f t="shared" si="43"/>
        <v>-4.9588516746411475</v>
      </c>
      <c r="AB109" s="6">
        <f>-1.045*100000000</f>
        <v>-104500000</v>
      </c>
      <c r="AC109" s="6" t="str">
        <f t="shared" si="44"/>
        <v>=-104500000</v>
      </c>
      <c r="AD109" s="1">
        <f>-104500000</f>
        <v>-104500000</v>
      </c>
      <c r="AE109" s="8">
        <f t="shared" si="45"/>
        <v>0.43170297301000138</v>
      </c>
      <c r="AF109" s="7">
        <f>-7299*10000</f>
        <v>-72990000</v>
      </c>
      <c r="AG109" s="6" t="str">
        <f t="shared" si="46"/>
        <v>=-72990000</v>
      </c>
      <c r="AH109" s="1">
        <f>-72990000</f>
        <v>-72990000</v>
      </c>
      <c r="AI109" s="8">
        <f t="shared" si="47"/>
        <v>-1.1364044103905813</v>
      </c>
      <c r="AJ109" s="6" t="s">
        <v>1579</v>
      </c>
      <c r="AK109" s="6" t="str">
        <f t="shared" si="48"/>
        <v>=5.351*100000000</v>
      </c>
      <c r="AL109" s="1">
        <f>5.351*100000000</f>
        <v>535100000</v>
      </c>
      <c r="AM109" s="8">
        <f t="shared" si="49"/>
        <v>0.82006802721088434</v>
      </c>
      <c r="AN109" s="6" t="s">
        <v>1580</v>
      </c>
      <c r="AO109" s="6" t="str">
        <f t="shared" si="50"/>
        <v>=2.940*100000000</v>
      </c>
      <c r="AP109" s="1">
        <f>2.94*100000000</f>
        <v>294000000</v>
      </c>
      <c r="AQ109" s="8">
        <f t="shared" si="51"/>
        <v>0.13865220759101485</v>
      </c>
      <c r="AR109" s="6" t="s">
        <v>1581</v>
      </c>
      <c r="AS109" s="6" t="str">
        <f t="shared" si="52"/>
        <v>=2.582*100000000</v>
      </c>
      <c r="AT109" s="1">
        <f>2.582*100000000</f>
        <v>258199999.99999997</v>
      </c>
      <c r="AU109" s="8">
        <f t="shared" si="53"/>
        <v>1.7468085106382976</v>
      </c>
      <c r="AV109" s="7" t="s">
        <v>1582</v>
      </c>
      <c r="AW109" s="6" t="str">
        <f t="shared" si="54"/>
        <v>=9400*10000</v>
      </c>
      <c r="AX109" s="1">
        <f>9400*10000</f>
        <v>94000000</v>
      </c>
      <c r="AY109" s="10">
        <f t="shared" si="55"/>
        <v>-0.89211523011591876</v>
      </c>
      <c r="AZ109" s="6" t="s">
        <v>1583</v>
      </c>
      <c r="BA109" s="6" t="str">
        <f t="shared" si="56"/>
        <v>=8.713*100000000</v>
      </c>
      <c r="BB109" s="1">
        <f>8.713*100000000</f>
        <v>871299999.99999988</v>
      </c>
      <c r="BC109" s="8">
        <f t="shared" si="57"/>
        <v>1.1163468545057078</v>
      </c>
      <c r="BD109" s="6" t="s">
        <v>1584</v>
      </c>
      <c r="BE109" s="6" t="str">
        <f t="shared" si="58"/>
        <v>=4.117*100000000</v>
      </c>
      <c r="BF109" s="1">
        <f>4.117*100000000</f>
        <v>411700000</v>
      </c>
      <c r="BG109" s="8">
        <f t="shared" si="59"/>
        <v>1.2935933147632313</v>
      </c>
      <c r="BH109" s="6" t="s">
        <v>1585</v>
      </c>
      <c r="BI109" s="6" t="str">
        <f t="shared" si="60"/>
        <v>=1.795*100000000</v>
      </c>
      <c r="BJ109" s="1">
        <f>1.795*100000000</f>
        <v>179500000</v>
      </c>
      <c r="BK109" s="7">
        <f>-2737*10000</f>
        <v>-27370000</v>
      </c>
      <c r="BL109" s="1" t="str">
        <f t="shared" si="32"/>
        <v>=-27370000</v>
      </c>
      <c r="BM109" s="16">
        <f t="shared" si="61"/>
        <v>-7.5582754841066864</v>
      </c>
      <c r="BN109" s="1">
        <f>-27370000</f>
        <v>-27370000</v>
      </c>
    </row>
    <row r="110" spans="1:66">
      <c r="A110" s="17">
        <v>28</v>
      </c>
      <c r="B110">
        <v>600071</v>
      </c>
      <c r="C110" t="s">
        <v>31</v>
      </c>
      <c r="D110" s="6" t="s">
        <v>1586</v>
      </c>
      <c r="E110" s="7" t="str">
        <f t="shared" si="31"/>
        <v>=15.93*100000000</v>
      </c>
      <c r="F110" s="1">
        <f>15.93*100000000</f>
        <v>1593000000</v>
      </c>
      <c r="G110" s="8">
        <f t="shared" si="33"/>
        <v>0.40352422907488988</v>
      </c>
      <c r="H110" s="6" t="s">
        <v>1587</v>
      </c>
      <c r="I110" s="6" t="str">
        <f t="shared" si="34"/>
        <v>=11.35*100000000</v>
      </c>
      <c r="J110" s="1">
        <f>11.35*100000000</f>
        <v>1135000000</v>
      </c>
      <c r="K110" s="10">
        <f t="shared" si="35"/>
        <v>0.55266757865937077</v>
      </c>
      <c r="L110" s="6" t="s">
        <v>1588</v>
      </c>
      <c r="M110" s="6" t="str">
        <f t="shared" si="36"/>
        <v>=7.310*100000000</v>
      </c>
      <c r="N110" s="1">
        <f>7.31*100000000</f>
        <v>731000000</v>
      </c>
      <c r="O110" s="8">
        <f t="shared" si="37"/>
        <v>1.1219158200290276</v>
      </c>
      <c r="P110" s="6" t="s">
        <v>1589</v>
      </c>
      <c r="Q110" s="6" t="str">
        <f t="shared" si="38"/>
        <v>=3.445*100000000</v>
      </c>
      <c r="R110" s="11">
        <f>3.445*100000000</f>
        <v>344500000</v>
      </c>
      <c r="S110" s="8">
        <f t="shared" si="39"/>
        <v>-0.72937941869599376</v>
      </c>
      <c r="T110" s="6" t="s">
        <v>1590</v>
      </c>
      <c r="U110" s="6" t="str">
        <f t="shared" si="40"/>
        <v>=12.73*100000000</v>
      </c>
      <c r="V110" s="1">
        <f>12.73*100000000</f>
        <v>1273000000</v>
      </c>
      <c r="W110" s="8">
        <f t="shared" si="41"/>
        <v>0.51313443480328069</v>
      </c>
      <c r="X110" s="6" t="s">
        <v>1591</v>
      </c>
      <c r="Y110" s="6" t="str">
        <f t="shared" si="42"/>
        <v>=8.413*100000000</v>
      </c>
      <c r="Z110" s="1">
        <f>8.413*100000000</f>
        <v>841300000</v>
      </c>
      <c r="AA110" s="8">
        <f t="shared" si="43"/>
        <v>0.73678777869529288</v>
      </c>
      <c r="AB110" s="6" t="s">
        <v>1592</v>
      </c>
      <c r="AC110" s="6" t="str">
        <f t="shared" si="44"/>
        <v>=4.844*100000000</v>
      </c>
      <c r="AD110" s="1">
        <f>4.844*100000000</f>
        <v>484400000.00000006</v>
      </c>
      <c r="AE110" s="8">
        <f t="shared" si="45"/>
        <v>1.4147557328015961</v>
      </c>
      <c r="AF110" s="6" t="s">
        <v>1593</v>
      </c>
      <c r="AG110" s="6" t="str">
        <f t="shared" si="46"/>
        <v>=2.006*100000000</v>
      </c>
      <c r="AH110" s="1">
        <f>2.006*100000000</f>
        <v>200599999.99999997</v>
      </c>
      <c r="AI110" s="8">
        <f t="shared" si="47"/>
        <v>-0.82216312056737584</v>
      </c>
      <c r="AJ110" s="6" t="s">
        <v>1594</v>
      </c>
      <c r="AK110" s="6" t="str">
        <f t="shared" si="48"/>
        <v>=11.28*100000000</v>
      </c>
      <c r="AL110" s="1">
        <f>11.28*100000000</f>
        <v>1128000000</v>
      </c>
      <c r="AM110" s="8">
        <f t="shared" si="49"/>
        <v>0.41690742369049116</v>
      </c>
      <c r="AN110" s="6" t="s">
        <v>1595</v>
      </c>
      <c r="AO110" s="6" t="str">
        <f t="shared" si="50"/>
        <v>=7.961*100000000</v>
      </c>
      <c r="AP110" s="1">
        <f>7.961*100000000</f>
        <v>796100000</v>
      </c>
      <c r="AQ110" s="8">
        <f t="shared" si="51"/>
        <v>0.60763327948303714</v>
      </c>
      <c r="AR110" s="6" t="s">
        <v>129</v>
      </c>
      <c r="AS110" s="6" t="str">
        <f t="shared" si="52"/>
        <v>=4.952*100000000</v>
      </c>
      <c r="AT110" s="1">
        <f>4.952*100000000</f>
        <v>495200000</v>
      </c>
      <c r="AU110" s="8">
        <f t="shared" si="53"/>
        <v>1.2048085485307214</v>
      </c>
      <c r="AV110" s="6" t="s">
        <v>1596</v>
      </c>
      <c r="AW110" s="6" t="str">
        <f t="shared" si="54"/>
        <v>=2.246*100000000</v>
      </c>
      <c r="AX110" s="1">
        <f>2.246*100000000</f>
        <v>224600000</v>
      </c>
      <c r="AY110" s="10">
        <f t="shared" si="55"/>
        <v>-0.79892569382273948</v>
      </c>
      <c r="AZ110" s="6" t="s">
        <v>1597</v>
      </c>
      <c r="BA110" s="6" t="str">
        <f t="shared" si="56"/>
        <v>=11.17*100000000</v>
      </c>
      <c r="BB110" s="1">
        <f>11.17*100000000</f>
        <v>1117000000</v>
      </c>
      <c r="BC110" s="8">
        <f t="shared" si="57"/>
        <v>0.98896011396011396</v>
      </c>
      <c r="BD110" s="6" t="s">
        <v>1598</v>
      </c>
      <c r="BE110" s="6" t="str">
        <f t="shared" si="58"/>
        <v>=5.616*100000000</v>
      </c>
      <c r="BF110" s="1">
        <f>5.616*100000000</f>
        <v>561600000</v>
      </c>
      <c r="BG110" s="8">
        <f t="shared" si="59"/>
        <v>0.54668135499862291</v>
      </c>
      <c r="BH110" s="6" t="s">
        <v>1599</v>
      </c>
      <c r="BI110" s="6" t="str">
        <f t="shared" si="60"/>
        <v>=3.631*100000000</v>
      </c>
      <c r="BJ110" s="1">
        <f>3.631*100000000</f>
        <v>363100000</v>
      </c>
      <c r="BK110" s="6" t="s">
        <v>1600</v>
      </c>
      <c r="BL110" s="1" t="str">
        <f t="shared" si="32"/>
        <v>=1.797*100000000</v>
      </c>
      <c r="BM110" s="16">
        <f t="shared" si="61"/>
        <v>1.0205898720089037</v>
      </c>
      <c r="BN110" s="1">
        <f>1.797*100000000</f>
        <v>179700000</v>
      </c>
    </row>
    <row r="111" spans="1:66">
      <c r="A111" s="18"/>
      <c r="B111">
        <v>600071</v>
      </c>
      <c r="C111" t="s">
        <v>48</v>
      </c>
      <c r="D111" s="7">
        <f>-206.3*10000</f>
        <v>-2063000</v>
      </c>
      <c r="E111" s="7" t="str">
        <f t="shared" si="31"/>
        <v>=-2063000</v>
      </c>
      <c r="F111" s="1">
        <f>-2063000</f>
        <v>-2063000</v>
      </c>
      <c r="G111" s="8">
        <f t="shared" si="33"/>
        <v>-1.4107925129430505</v>
      </c>
      <c r="H111" s="7" t="s">
        <v>1601</v>
      </c>
      <c r="I111" s="6" t="str">
        <f t="shared" si="34"/>
        <v>=502.2*10000</v>
      </c>
      <c r="J111" s="1">
        <f>502.2*10000</f>
        <v>5022000</v>
      </c>
      <c r="K111" s="10">
        <f t="shared" si="35"/>
        <v>-0.45619924201407686</v>
      </c>
      <c r="L111" s="7" t="s">
        <v>1602</v>
      </c>
      <c r="M111" s="6" t="str">
        <f t="shared" si="36"/>
        <v>=923.5*10000</v>
      </c>
      <c r="N111" s="1">
        <f>923.5*10000</f>
        <v>9235000</v>
      </c>
      <c r="O111" s="8">
        <f t="shared" si="37"/>
        <v>0.91756644518272423</v>
      </c>
      <c r="P111" s="7" t="s">
        <v>1603</v>
      </c>
      <c r="Q111" s="6" t="str">
        <f t="shared" si="38"/>
        <v>=481.6*10000</v>
      </c>
      <c r="R111" s="11">
        <f>481.6*10000</f>
        <v>4816000</v>
      </c>
      <c r="S111" s="8">
        <f t="shared" si="39"/>
        <v>0.4358974358974359</v>
      </c>
      <c r="T111" s="7" t="s">
        <v>1604</v>
      </c>
      <c r="U111" s="6" t="str">
        <f t="shared" si="40"/>
        <v>=335.4*10000</v>
      </c>
      <c r="V111" s="1">
        <f>335.4*10000</f>
        <v>3354000</v>
      </c>
      <c r="W111" s="8">
        <f t="shared" si="41"/>
        <v>-1.3387194506160371</v>
      </c>
      <c r="X111" s="7">
        <f>-990.2*10000</f>
        <v>-9902000</v>
      </c>
      <c r="Y111" s="6" t="str">
        <f t="shared" si="42"/>
        <v>=-9902000</v>
      </c>
      <c r="Z111" s="1">
        <f>-9902000</f>
        <v>-9902000</v>
      </c>
      <c r="AA111" s="8">
        <f t="shared" si="43"/>
        <v>-0.2406441717791411</v>
      </c>
      <c r="AB111" s="7">
        <f>-1304*10000</f>
        <v>-13040000</v>
      </c>
      <c r="AC111" s="6" t="str">
        <f t="shared" si="44"/>
        <v>=-13040000</v>
      </c>
      <c r="AD111" s="1">
        <f>-13040000</f>
        <v>-13040000</v>
      </c>
      <c r="AE111" s="8">
        <f t="shared" si="45"/>
        <v>0.52908067542213888</v>
      </c>
      <c r="AF111" s="7">
        <f>-852.8*10000</f>
        <v>-8528000</v>
      </c>
      <c r="AG111" s="6" t="str">
        <f t="shared" si="46"/>
        <v>=-8528000</v>
      </c>
      <c r="AH111" s="1">
        <f>-8528000</f>
        <v>-8528000</v>
      </c>
      <c r="AI111" s="8">
        <f t="shared" si="47"/>
        <v>16.486159524297722</v>
      </c>
      <c r="AJ111" s="7">
        <f>-48.77*10000</f>
        <v>-487700.00000000006</v>
      </c>
      <c r="AK111" s="6" t="str">
        <f t="shared" si="48"/>
        <v>=-487700</v>
      </c>
      <c r="AL111" s="1">
        <f>-487700</f>
        <v>-487700</v>
      </c>
      <c r="AM111" s="8">
        <f t="shared" si="49"/>
        <v>-0.8916222222222222</v>
      </c>
      <c r="AN111" s="7">
        <f>-450*10000</f>
        <v>-4500000</v>
      </c>
      <c r="AO111" s="6" t="str">
        <f t="shared" si="50"/>
        <v>=-4500000</v>
      </c>
      <c r="AP111" s="1">
        <f>-4500000</f>
        <v>-4500000</v>
      </c>
      <c r="AQ111" s="8">
        <f t="shared" si="51"/>
        <v>-0.4925002819442878</v>
      </c>
      <c r="AR111" s="7">
        <f>-886.7*10000</f>
        <v>-8867000</v>
      </c>
      <c r="AS111" s="6" t="str">
        <f t="shared" si="52"/>
        <v>=-8867000</v>
      </c>
      <c r="AT111" s="1">
        <f>-8867000</f>
        <v>-8867000</v>
      </c>
      <c r="AU111" s="8">
        <f t="shared" si="53"/>
        <v>0.30416237682012059</v>
      </c>
      <c r="AV111" s="7">
        <f>-679.9*10000</f>
        <v>-6799000</v>
      </c>
      <c r="AW111" s="6" t="str">
        <f t="shared" si="54"/>
        <v>=-6799000</v>
      </c>
      <c r="AX111" s="1">
        <f>-6799000</f>
        <v>-6799000</v>
      </c>
      <c r="AY111" s="10">
        <f t="shared" si="55"/>
        <v>-1.2933132010353754</v>
      </c>
      <c r="AZ111" s="7" t="s">
        <v>1605</v>
      </c>
      <c r="BA111" s="6" t="str">
        <f t="shared" si="56"/>
        <v>=2318*10000</v>
      </c>
      <c r="BB111" s="1">
        <f>2318*10000</f>
        <v>23180000</v>
      </c>
      <c r="BC111" s="8">
        <f t="shared" si="57"/>
        <v>-25.168491293921385</v>
      </c>
      <c r="BD111" s="7">
        <f>-95.91*10000</f>
        <v>-959100</v>
      </c>
      <c r="BE111" s="6" t="str">
        <f t="shared" si="58"/>
        <v>=-959100</v>
      </c>
      <c r="BF111" s="1">
        <f>-959100</f>
        <v>-959100</v>
      </c>
      <c r="BG111" s="8">
        <f t="shared" si="59"/>
        <v>-1.4483870967741936</v>
      </c>
      <c r="BH111" s="7" t="s">
        <v>1606</v>
      </c>
      <c r="BI111" s="6" t="str">
        <f t="shared" si="60"/>
        <v>=213.9*10000</v>
      </c>
      <c r="BJ111" s="1">
        <f>213.9*10000</f>
        <v>2139000</v>
      </c>
      <c r="BK111" s="7" t="s">
        <v>1607</v>
      </c>
      <c r="BL111" s="1" t="str">
        <f t="shared" si="32"/>
        <v>=111.5*10000</v>
      </c>
      <c r="BM111" s="16">
        <f t="shared" si="61"/>
        <v>0.91838565022421526</v>
      </c>
      <c r="BN111" s="1">
        <f>111.5*10000</f>
        <v>1115000</v>
      </c>
    </row>
    <row r="112" spans="1:66">
      <c r="A112" s="18"/>
      <c r="B112">
        <v>600071</v>
      </c>
      <c r="C112" t="s">
        <v>58</v>
      </c>
      <c r="D112" s="7" t="s">
        <v>1608</v>
      </c>
      <c r="E112" s="7" t="str">
        <f t="shared" si="31"/>
        <v>=123.4*10000</v>
      </c>
      <c r="F112" s="1">
        <f>123.4*10000</f>
        <v>1234000</v>
      </c>
      <c r="G112" s="8">
        <f t="shared" si="33"/>
        <v>-0.80083925112976118</v>
      </c>
      <c r="H112" s="7" t="s">
        <v>1609</v>
      </c>
      <c r="I112" s="6" t="str">
        <f t="shared" si="34"/>
        <v>=619.6*10000</v>
      </c>
      <c r="J112" s="1">
        <f>619.6*10000</f>
        <v>6196000</v>
      </c>
      <c r="K112" s="10">
        <f t="shared" si="35"/>
        <v>-0.35786091822986837</v>
      </c>
      <c r="L112" s="7" t="s">
        <v>1610</v>
      </c>
      <c r="M112" s="6" t="str">
        <f t="shared" si="36"/>
        <v>=964.9*10000</v>
      </c>
      <c r="N112" s="1">
        <f>964.9*10000</f>
        <v>9649000</v>
      </c>
      <c r="O112" s="8">
        <f t="shared" si="37"/>
        <v>1.0317961676142346</v>
      </c>
      <c r="P112" s="7" t="s">
        <v>1611</v>
      </c>
      <c r="Q112" s="6" t="str">
        <f t="shared" si="38"/>
        <v>=474.9*10000</v>
      </c>
      <c r="R112" s="11">
        <f>474.9*10000</f>
        <v>4749000</v>
      </c>
      <c r="S112" s="8">
        <f t="shared" si="39"/>
        <v>-0.66005726556907662</v>
      </c>
      <c r="T112" s="7" t="s">
        <v>1612</v>
      </c>
      <c r="U112" s="6" t="str">
        <f t="shared" si="40"/>
        <v>=1397*10000</v>
      </c>
      <c r="V112" s="1">
        <f>1397*10000</f>
        <v>13970000</v>
      </c>
      <c r="W112" s="8">
        <f t="shared" si="41"/>
        <v>-19.827493261455526</v>
      </c>
      <c r="X112" s="7">
        <f>-74.2*10000</f>
        <v>-742000</v>
      </c>
      <c r="Y112" s="6" t="str">
        <f t="shared" si="42"/>
        <v>=-742000</v>
      </c>
      <c r="Z112" s="1">
        <f>-742000</f>
        <v>-742000</v>
      </c>
      <c r="AA112" s="8">
        <f t="shared" si="43"/>
        <v>-0.87497893850042119</v>
      </c>
      <c r="AB112" s="7">
        <f>-593.5*10000</f>
        <v>-5935000</v>
      </c>
      <c r="AC112" s="6" t="str">
        <f t="shared" si="44"/>
        <v>=-5935000</v>
      </c>
      <c r="AD112" s="1">
        <f>-5935000</f>
        <v>-5935000</v>
      </c>
      <c r="AE112" s="8">
        <f t="shared" si="45"/>
        <v>-0.24892432295621361</v>
      </c>
      <c r="AF112" s="7">
        <f>-790.2*10000</f>
        <v>-7902000</v>
      </c>
      <c r="AG112" s="6" t="str">
        <f t="shared" si="46"/>
        <v>=-7902000</v>
      </c>
      <c r="AH112" s="1">
        <f>-7902000</f>
        <v>-7902000</v>
      </c>
      <c r="AI112" s="8">
        <f t="shared" si="47"/>
        <v>-22.738651994497936</v>
      </c>
      <c r="AJ112" s="7" t="s">
        <v>1613</v>
      </c>
      <c r="AK112" s="6" t="str">
        <f t="shared" si="48"/>
        <v>=36.35*10000</v>
      </c>
      <c r="AL112" s="1">
        <f>36.35*10000</f>
        <v>363500</v>
      </c>
      <c r="AM112" s="8">
        <f t="shared" si="49"/>
        <v>-1.0808316655548142</v>
      </c>
      <c r="AN112" s="7">
        <f>-449.7*10000</f>
        <v>-4497000</v>
      </c>
      <c r="AO112" s="6" t="str">
        <f t="shared" si="50"/>
        <v>=-4497000</v>
      </c>
      <c r="AP112" s="1">
        <f>-4497000</f>
        <v>-4497000</v>
      </c>
      <c r="AQ112" s="8">
        <f t="shared" si="51"/>
        <v>-0.50495376486129462</v>
      </c>
      <c r="AR112" s="7">
        <f>-908.4*10000</f>
        <v>-9084000</v>
      </c>
      <c r="AS112" s="6" t="str">
        <f t="shared" si="52"/>
        <v>=-9084000</v>
      </c>
      <c r="AT112" s="1">
        <f>-9084000</f>
        <v>-9084000</v>
      </c>
      <c r="AU112" s="8">
        <f t="shared" si="53"/>
        <v>0.25106734609557912</v>
      </c>
      <c r="AV112" s="7">
        <f>-726.1*10000</f>
        <v>-7261000</v>
      </c>
      <c r="AW112" s="6" t="str">
        <f t="shared" si="54"/>
        <v>=-7261000</v>
      </c>
      <c r="AX112" s="1">
        <f>-7261000</f>
        <v>-7261000</v>
      </c>
      <c r="AY112" s="10">
        <f t="shared" si="55"/>
        <v>-1.262698986975398</v>
      </c>
      <c r="AZ112" s="7" t="s">
        <v>1614</v>
      </c>
      <c r="BA112" s="6" t="str">
        <f t="shared" si="56"/>
        <v>=2764*10000</v>
      </c>
      <c r="BB112" s="1">
        <f>2764*10000</f>
        <v>27640000</v>
      </c>
      <c r="BC112" s="8">
        <f t="shared" si="57"/>
        <v>119.0173686495875</v>
      </c>
      <c r="BD112" s="7" t="s">
        <v>1615</v>
      </c>
      <c r="BE112" s="6" t="str">
        <f t="shared" si="58"/>
        <v>=23.03*10000</v>
      </c>
      <c r="BF112" s="1">
        <f>23.03*10000</f>
        <v>230300</v>
      </c>
      <c r="BG112" s="8">
        <f t="shared" si="59"/>
        <v>-0.90542094455852151</v>
      </c>
      <c r="BH112" s="7" t="s">
        <v>1616</v>
      </c>
      <c r="BI112" s="6" t="str">
        <f t="shared" si="60"/>
        <v>=243.5*10000</v>
      </c>
      <c r="BJ112" s="1">
        <f>243.5*10000</f>
        <v>2435000</v>
      </c>
      <c r="BK112" s="7" t="s">
        <v>1617</v>
      </c>
      <c r="BL112" s="1" t="str">
        <f t="shared" si="32"/>
        <v>=142.0*10000</v>
      </c>
      <c r="BM112" s="16">
        <f t="shared" si="61"/>
        <v>0.71478873239436624</v>
      </c>
      <c r="BN112" s="1">
        <f>142*10000</f>
        <v>1420000</v>
      </c>
    </row>
    <row r="113" spans="1:66">
      <c r="A113" s="19"/>
      <c r="B113">
        <v>600071</v>
      </c>
      <c r="C113" t="s">
        <v>68</v>
      </c>
      <c r="D113" s="7" t="s">
        <v>1618</v>
      </c>
      <c r="E113" s="7" t="str">
        <f t="shared" si="31"/>
        <v>=154.6*10000</v>
      </c>
      <c r="F113" s="1">
        <f>154.6*10000</f>
        <v>1546000</v>
      </c>
      <c r="G113" s="8">
        <f t="shared" si="33"/>
        <v>-0.75</v>
      </c>
      <c r="H113" s="7" t="s">
        <v>1619</v>
      </c>
      <c r="I113" s="6" t="str">
        <f t="shared" si="34"/>
        <v>=618.4*10000</v>
      </c>
      <c r="J113" s="1">
        <f>618.4*10000</f>
        <v>6184000</v>
      </c>
      <c r="K113" s="10">
        <f t="shared" si="35"/>
        <v>-0.35830652692746706</v>
      </c>
      <c r="L113" s="7" t="s">
        <v>1620</v>
      </c>
      <c r="M113" s="6" t="str">
        <f t="shared" si="36"/>
        <v>=963.7*10000</v>
      </c>
      <c r="N113" s="1">
        <f>963.7*10000</f>
        <v>9637000</v>
      </c>
      <c r="O113" s="8">
        <f t="shared" si="37"/>
        <v>1.0292693198568119</v>
      </c>
      <c r="P113" s="7" t="s">
        <v>1611</v>
      </c>
      <c r="Q113" s="6" t="str">
        <f t="shared" si="38"/>
        <v>=474.9*10000</v>
      </c>
      <c r="R113" s="11">
        <f>474.9*10000</f>
        <v>4749000</v>
      </c>
      <c r="S113" s="8">
        <f t="shared" si="39"/>
        <v>-0.67360824742268044</v>
      </c>
      <c r="T113" s="7" t="s">
        <v>1621</v>
      </c>
      <c r="U113" s="6" t="str">
        <f t="shared" si="40"/>
        <v>=1455*10000</v>
      </c>
      <c r="V113" s="1">
        <f>1455*10000</f>
        <v>14550000</v>
      </c>
      <c r="W113" s="8">
        <f t="shared" si="41"/>
        <v>-23.674146797568959</v>
      </c>
      <c r="X113" s="7">
        <f>-64.17*10000</f>
        <v>-641700</v>
      </c>
      <c r="Y113" s="6" t="str">
        <f t="shared" si="42"/>
        <v>=-641700</v>
      </c>
      <c r="Z113" s="1">
        <f>-641700</f>
        <v>-641700</v>
      </c>
      <c r="AA113" s="8">
        <f t="shared" si="43"/>
        <v>-0.89002570694087402</v>
      </c>
      <c r="AB113" s="7">
        <f>-583.5*10000</f>
        <v>-5835000</v>
      </c>
      <c r="AC113" s="6" t="str">
        <f t="shared" si="44"/>
        <v>=-5835000</v>
      </c>
      <c r="AD113" s="1">
        <f>-5835000</f>
        <v>-5835000</v>
      </c>
      <c r="AE113" s="8">
        <f t="shared" si="45"/>
        <v>-0.26232616940581543</v>
      </c>
      <c r="AF113" s="7">
        <f>-791*10000</f>
        <v>-7910000</v>
      </c>
      <c r="AG113" s="6" t="str">
        <f t="shared" si="46"/>
        <v>=-7910000</v>
      </c>
      <c r="AH113" s="1">
        <f>-7910000</f>
        <v>-7910000</v>
      </c>
      <c r="AI113" s="8">
        <f t="shared" si="47"/>
        <v>0.59507965315587819</v>
      </c>
      <c r="AJ113" s="7">
        <f>-495.9*10000</f>
        <v>-4959000</v>
      </c>
      <c r="AK113" s="6" t="str">
        <f t="shared" si="48"/>
        <v>=-4959000</v>
      </c>
      <c r="AL113" s="1">
        <f>-4959000</f>
        <v>-4959000</v>
      </c>
      <c r="AM113" s="8">
        <f t="shared" si="49"/>
        <v>-0.40553824023016061</v>
      </c>
      <c r="AN113" s="7">
        <f>-834.2*10000</f>
        <v>-8342000</v>
      </c>
      <c r="AO113" s="6" t="str">
        <f t="shared" si="50"/>
        <v>=-8342000</v>
      </c>
      <c r="AP113" s="1">
        <f>-8342000</f>
        <v>-8342000</v>
      </c>
      <c r="AQ113" s="8">
        <f t="shared" si="51"/>
        <v>-0.25384615384615383</v>
      </c>
      <c r="AR113" s="7">
        <f>-1118*10000</f>
        <v>-11180000</v>
      </c>
      <c r="AS113" s="6" t="str">
        <f t="shared" si="52"/>
        <v>=-11180000</v>
      </c>
      <c r="AT113" s="1">
        <f>-11180000</f>
        <v>-11180000</v>
      </c>
      <c r="AU113" s="8">
        <f t="shared" si="53"/>
        <v>0.33924293243890752</v>
      </c>
      <c r="AV113" s="7">
        <f>-834.8*10000</f>
        <v>-8348000</v>
      </c>
      <c r="AW113" s="6" t="str">
        <f t="shared" si="54"/>
        <v>=-8348000</v>
      </c>
      <c r="AX113" s="1">
        <f>-8348000</f>
        <v>-8348000</v>
      </c>
      <c r="AY113" s="10">
        <f t="shared" si="55"/>
        <v>-1.3740143369175628</v>
      </c>
      <c r="AZ113" s="7" t="s">
        <v>1622</v>
      </c>
      <c r="BA113" s="6" t="str">
        <f t="shared" si="56"/>
        <v>=2232*10000</v>
      </c>
      <c r="BB113" s="1">
        <f>2232*10000</f>
        <v>22320000</v>
      </c>
      <c r="BC113" s="8">
        <f t="shared" si="57"/>
        <v>-11.285714285714286</v>
      </c>
      <c r="BD113" s="7">
        <f>-217*10000</f>
        <v>-2170000</v>
      </c>
      <c r="BE113" s="6" t="str">
        <f t="shared" si="58"/>
        <v>=-2170000</v>
      </c>
      <c r="BF113" s="1">
        <f>-2170000</f>
        <v>-2170000</v>
      </c>
      <c r="BG113" s="8">
        <f t="shared" si="59"/>
        <v>-12.793478260869565</v>
      </c>
      <c r="BH113" s="7" t="s">
        <v>1623</v>
      </c>
      <c r="BI113" s="6" t="str">
        <f t="shared" si="60"/>
        <v>=18.40*10000</v>
      </c>
      <c r="BJ113" s="1">
        <f>18.4*10000</f>
        <v>184000</v>
      </c>
      <c r="BK113" s="7">
        <f>-8.093*10000</f>
        <v>-80930</v>
      </c>
      <c r="BL113" s="1" t="str">
        <f t="shared" si="32"/>
        <v>=-80930</v>
      </c>
      <c r="BM113" s="16">
        <f t="shared" si="61"/>
        <v>-3.2735697516372175</v>
      </c>
      <c r="BN113" s="1">
        <f>-80930</f>
        <v>-80930</v>
      </c>
    </row>
    <row r="114" spans="1:66">
      <c r="A114" s="17">
        <v>29</v>
      </c>
      <c r="B114">
        <v>600073</v>
      </c>
      <c r="C114" t="s">
        <v>31</v>
      </c>
      <c r="D114" s="6" t="s">
        <v>1624</v>
      </c>
      <c r="E114" s="7" t="str">
        <f t="shared" si="31"/>
        <v>=236.2*100000000</v>
      </c>
      <c r="F114" s="1">
        <f>236.2*100000000</f>
        <v>23620000000</v>
      </c>
      <c r="G114" s="8">
        <f t="shared" si="33"/>
        <v>0.35669155657668006</v>
      </c>
      <c r="H114" s="6" t="s">
        <v>1625</v>
      </c>
      <c r="I114" s="6" t="str">
        <f t="shared" si="34"/>
        <v>=174.1*100000000</v>
      </c>
      <c r="J114" s="1">
        <f>174.1*100000000</f>
        <v>17410000000</v>
      </c>
      <c r="K114" s="10">
        <f t="shared" si="35"/>
        <v>0.35697583787996862</v>
      </c>
      <c r="L114" s="6" t="s">
        <v>1626</v>
      </c>
      <c r="M114" s="6" t="str">
        <f t="shared" si="36"/>
        <v>=128.3*100000000</v>
      </c>
      <c r="N114" s="1">
        <f>128.3*100000000</f>
        <v>12830000000.000002</v>
      </c>
      <c r="O114" s="8">
        <f t="shared" si="37"/>
        <v>0.89792899408284077</v>
      </c>
      <c r="P114" s="6" t="s">
        <v>1627</v>
      </c>
      <c r="Q114" s="6" t="str">
        <f t="shared" si="38"/>
        <v>=67.60*100000000</v>
      </c>
      <c r="R114" s="11">
        <f>67.6*100000000</f>
        <v>6759999999.999999</v>
      </c>
      <c r="S114" s="8">
        <f t="shared" si="39"/>
        <v>-0.71679932970255555</v>
      </c>
      <c r="T114" s="6" t="s">
        <v>1628</v>
      </c>
      <c r="U114" s="6" t="str">
        <f t="shared" si="40"/>
        <v>=238.7*100000000</v>
      </c>
      <c r="V114" s="1">
        <f>238.7*100000000</f>
        <v>23870000000</v>
      </c>
      <c r="W114" s="8">
        <f t="shared" si="41"/>
        <v>0.32980501392757661</v>
      </c>
      <c r="X114" s="6" t="s">
        <v>1629</v>
      </c>
      <c r="Y114" s="6" t="str">
        <f t="shared" si="42"/>
        <v>=179.5*100000000</v>
      </c>
      <c r="Z114" s="1">
        <f>179.5*100000000</f>
        <v>17950000000</v>
      </c>
      <c r="AA114" s="8">
        <f t="shared" si="43"/>
        <v>0.38396299151888996</v>
      </c>
      <c r="AB114" s="6" t="s">
        <v>1630</v>
      </c>
      <c r="AC114" s="6" t="str">
        <f t="shared" si="44"/>
        <v>=129.7*100000000</v>
      </c>
      <c r="AD114" s="1">
        <f>129.7*100000000</f>
        <v>12969999999.999998</v>
      </c>
      <c r="AE114" s="8">
        <f t="shared" si="45"/>
        <v>0.9996916435399319</v>
      </c>
      <c r="AF114" s="6" t="s">
        <v>1631</v>
      </c>
      <c r="AG114" s="6" t="str">
        <f t="shared" si="46"/>
        <v>=64.86*100000000</v>
      </c>
      <c r="AH114" s="1">
        <f>64.86*100000000</f>
        <v>6486000000</v>
      </c>
      <c r="AI114" s="8">
        <f t="shared" si="47"/>
        <v>-0.72282051282051285</v>
      </c>
      <c r="AJ114" s="6" t="s">
        <v>1632</v>
      </c>
      <c r="AK114" s="6" t="str">
        <f t="shared" si="48"/>
        <v>=234.0*100000000</v>
      </c>
      <c r="AL114" s="1">
        <f>234*100000000</f>
        <v>23400000000</v>
      </c>
      <c r="AM114" s="8">
        <f t="shared" si="49"/>
        <v>0.32054176072234764</v>
      </c>
      <c r="AN114" s="6" t="s">
        <v>1633</v>
      </c>
      <c r="AO114" s="6" t="str">
        <f t="shared" si="50"/>
        <v>=177.2*100000000</v>
      </c>
      <c r="AP114" s="1">
        <f>177.2*100000000</f>
        <v>17720000000</v>
      </c>
      <c r="AQ114" s="8">
        <f t="shared" si="51"/>
        <v>0.37684537684537706</v>
      </c>
      <c r="AR114" s="6" t="s">
        <v>1634</v>
      </c>
      <c r="AS114" s="6" t="str">
        <f t="shared" si="52"/>
        <v>=128.7*100000000</v>
      </c>
      <c r="AT114" s="1">
        <f>128.7*100000000</f>
        <v>12869999999.999998</v>
      </c>
      <c r="AU114" s="8">
        <f t="shared" si="53"/>
        <v>0.96698762035763353</v>
      </c>
      <c r="AV114" s="6" t="s">
        <v>1635</v>
      </c>
      <c r="AW114" s="6" t="str">
        <f t="shared" si="54"/>
        <v>=65.43*100000000</v>
      </c>
      <c r="AX114" s="1">
        <f>65.43*100000000</f>
        <v>6543000000.000001</v>
      </c>
      <c r="AY114" s="10">
        <f t="shared" si="55"/>
        <v>-0.70527027027027023</v>
      </c>
      <c r="AZ114" s="6" t="s">
        <v>1636</v>
      </c>
      <c r="BA114" s="6" t="str">
        <f t="shared" si="56"/>
        <v>=222.0*100000000</v>
      </c>
      <c r="BB114" s="1">
        <f>222*100000000</f>
        <v>22200000000</v>
      </c>
      <c r="BC114" s="8">
        <f t="shared" si="57"/>
        <v>0.31985731272294904</v>
      </c>
      <c r="BD114" s="6" t="s">
        <v>1637</v>
      </c>
      <c r="BE114" s="6" t="str">
        <f t="shared" si="58"/>
        <v>=168.2*100000000</v>
      </c>
      <c r="BF114" s="1">
        <f>168.2*100000000</f>
        <v>16819999999.999998</v>
      </c>
      <c r="BG114" s="8">
        <f t="shared" si="59"/>
        <v>0.42180896027049858</v>
      </c>
      <c r="BH114" s="6" t="s">
        <v>1153</v>
      </c>
      <c r="BI114" s="6" t="str">
        <f t="shared" si="60"/>
        <v>=118.3*100000000</v>
      </c>
      <c r="BJ114" s="1">
        <f>118.3*100000000</f>
        <v>11830000000</v>
      </c>
      <c r="BK114" s="6" t="s">
        <v>1638</v>
      </c>
      <c r="BL114" s="1" t="str">
        <f t="shared" si="32"/>
        <v>=62.61*100000000</v>
      </c>
      <c r="BM114" s="16">
        <f t="shared" si="61"/>
        <v>0.88947452483628808</v>
      </c>
      <c r="BN114" s="1">
        <f>62.61*100000000</f>
        <v>6261000000</v>
      </c>
    </row>
    <row r="115" spans="1:66">
      <c r="A115" s="18"/>
      <c r="B115">
        <v>600073</v>
      </c>
      <c r="C115" t="s">
        <v>48</v>
      </c>
      <c r="D115" s="6" t="s">
        <v>1639</v>
      </c>
      <c r="E115" s="7" t="str">
        <f t="shared" si="31"/>
        <v>=1.553*100000000</v>
      </c>
      <c r="F115" s="1">
        <f>1.553*100000000</f>
        <v>155300000</v>
      </c>
      <c r="G115" s="8">
        <f t="shared" si="33"/>
        <v>-0.70999066293183943</v>
      </c>
      <c r="H115" s="6" t="s">
        <v>1640</v>
      </c>
      <c r="I115" s="6" t="str">
        <f t="shared" si="34"/>
        <v>=5.355*100000000</v>
      </c>
      <c r="J115" s="1">
        <f>5.355*100000000</f>
        <v>535500000.00000006</v>
      </c>
      <c r="K115" s="10">
        <f t="shared" si="35"/>
        <v>-0.15973638788639563</v>
      </c>
      <c r="L115" s="6" t="s">
        <v>1641</v>
      </c>
      <c r="M115" s="6" t="str">
        <f t="shared" si="36"/>
        <v>=6.373*100000000</v>
      </c>
      <c r="N115" s="1">
        <f>6.373*100000000</f>
        <v>637300000</v>
      </c>
      <c r="O115" s="8">
        <f t="shared" si="37"/>
        <v>0.89390787518573556</v>
      </c>
      <c r="P115" s="6" t="s">
        <v>1642</v>
      </c>
      <c r="Q115" s="6" t="str">
        <f t="shared" si="38"/>
        <v>=3.365*100000000</v>
      </c>
      <c r="R115" s="11">
        <f>3.365*100000000</f>
        <v>336500000</v>
      </c>
      <c r="S115" s="8">
        <f t="shared" si="39"/>
        <v>-0.67706333973128596</v>
      </c>
      <c r="T115" s="6" t="s">
        <v>1643</v>
      </c>
      <c r="U115" s="6" t="str">
        <f t="shared" si="40"/>
        <v>=10.42*100000000</v>
      </c>
      <c r="V115" s="1">
        <f>10.42*100000000</f>
        <v>1042000000</v>
      </c>
      <c r="W115" s="8">
        <f t="shared" si="41"/>
        <v>9.3618807724601169E-2</v>
      </c>
      <c r="X115" s="6" t="s">
        <v>1644</v>
      </c>
      <c r="Y115" s="6" t="str">
        <f t="shared" si="42"/>
        <v>=9.528*100000000</v>
      </c>
      <c r="Z115" s="1">
        <f>9.528*100000000</f>
        <v>952800000</v>
      </c>
      <c r="AA115" s="8">
        <f t="shared" si="43"/>
        <v>0.12212931339064892</v>
      </c>
      <c r="AB115" s="6" t="s">
        <v>1645</v>
      </c>
      <c r="AC115" s="6" t="str">
        <f t="shared" si="44"/>
        <v>=8.491*100000000</v>
      </c>
      <c r="AD115" s="1">
        <f>8.491*100000000</f>
        <v>849100000</v>
      </c>
      <c r="AE115" s="8">
        <f t="shared" si="45"/>
        <v>1.3790977864948164</v>
      </c>
      <c r="AF115" s="6" t="s">
        <v>1646</v>
      </c>
      <c r="AG115" s="6" t="str">
        <f t="shared" si="46"/>
        <v>=3.569*100000000</v>
      </c>
      <c r="AH115" s="1">
        <f>3.569*100000000</f>
        <v>356900000</v>
      </c>
      <c r="AI115" s="8">
        <f t="shared" si="47"/>
        <v>-0.51633012603333783</v>
      </c>
      <c r="AJ115" s="6" t="s">
        <v>1647</v>
      </c>
      <c r="AK115" s="6" t="str">
        <f t="shared" si="48"/>
        <v>=7.379*100000000</v>
      </c>
      <c r="AL115" s="1">
        <f>7.379*100000000</f>
        <v>737900000</v>
      </c>
      <c r="AM115" s="8">
        <f t="shared" si="49"/>
        <v>0.19035328278754637</v>
      </c>
      <c r="AN115" s="6" t="s">
        <v>1648</v>
      </c>
      <c r="AO115" s="6" t="str">
        <f t="shared" si="50"/>
        <v>=6.199*100000000</v>
      </c>
      <c r="AP115" s="1">
        <f>6.199*100000000</f>
        <v>619900000</v>
      </c>
      <c r="AQ115" s="8">
        <f t="shared" si="51"/>
        <v>6.3110958669181955E-2</v>
      </c>
      <c r="AR115" s="6" t="s">
        <v>1649</v>
      </c>
      <c r="AS115" s="6" t="str">
        <f t="shared" si="52"/>
        <v>=5.831*100000000</v>
      </c>
      <c r="AT115" s="1">
        <f>5.831*100000000</f>
        <v>583100000</v>
      </c>
      <c r="AU115" s="8">
        <f t="shared" si="53"/>
        <v>0.81425015556938396</v>
      </c>
      <c r="AV115" s="6" t="s">
        <v>1650</v>
      </c>
      <c r="AW115" s="6" t="str">
        <f t="shared" si="54"/>
        <v>=3.214*100000000</v>
      </c>
      <c r="AX115" s="1">
        <f>3.214*100000000</f>
        <v>321400000</v>
      </c>
      <c r="AY115" s="10">
        <f t="shared" si="55"/>
        <v>-0.35513643659711075</v>
      </c>
      <c r="AZ115" s="6" t="s">
        <v>1651</v>
      </c>
      <c r="BA115" s="6" t="str">
        <f t="shared" si="56"/>
        <v>=4.984*100000000</v>
      </c>
      <c r="BB115" s="1">
        <f>4.984*100000000</f>
        <v>498400000</v>
      </c>
      <c r="BC115" s="8">
        <f t="shared" si="57"/>
        <v>0.14891655140617796</v>
      </c>
      <c r="BD115" s="6" t="s">
        <v>1652</v>
      </c>
      <c r="BE115" s="6" t="str">
        <f t="shared" si="58"/>
        <v>=4.338*100000000</v>
      </c>
      <c r="BF115" s="1">
        <f>4.338*100000000</f>
        <v>433800000</v>
      </c>
      <c r="BG115" s="8">
        <f t="shared" si="59"/>
        <v>-0.10167736591426796</v>
      </c>
      <c r="BH115" s="6" t="s">
        <v>1653</v>
      </c>
      <c r="BI115" s="6" t="str">
        <f t="shared" si="60"/>
        <v>=4.829*100000000</v>
      </c>
      <c r="BJ115" s="1">
        <f>4.829*100000000</f>
        <v>482900000</v>
      </c>
      <c r="BK115" s="6" t="s">
        <v>1654</v>
      </c>
      <c r="BL115" s="1" t="str">
        <f t="shared" si="32"/>
        <v>=2.568*100000000</v>
      </c>
      <c r="BM115" s="16">
        <f t="shared" si="61"/>
        <v>0.88045171339563866</v>
      </c>
      <c r="BN115" s="1">
        <f>2.568*100000000</f>
        <v>256800000</v>
      </c>
    </row>
    <row r="116" spans="1:66">
      <c r="A116" s="18"/>
      <c r="B116">
        <v>600073</v>
      </c>
      <c r="C116" t="s">
        <v>58</v>
      </c>
      <c r="D116" s="6" t="s">
        <v>1655</v>
      </c>
      <c r="E116" s="7" t="str">
        <f t="shared" si="31"/>
        <v>=1.326*100000000</v>
      </c>
      <c r="F116" s="1">
        <f>1.326*100000000</f>
        <v>132600000</v>
      </c>
      <c r="G116" s="8">
        <f t="shared" si="33"/>
        <v>-0.74371859296482412</v>
      </c>
      <c r="H116" s="6" t="s">
        <v>1656</v>
      </c>
      <c r="I116" s="6" t="str">
        <f t="shared" si="34"/>
        <v>=5.174*100000000</v>
      </c>
      <c r="J116" s="1">
        <f>5.174*100000000</f>
        <v>517400000.00000006</v>
      </c>
      <c r="K116" s="10">
        <f t="shared" si="35"/>
        <v>-0.1721599999999999</v>
      </c>
      <c r="L116" s="6" t="s">
        <v>1657</v>
      </c>
      <c r="M116" s="6" t="str">
        <f t="shared" si="36"/>
        <v>=6.250*100000000</v>
      </c>
      <c r="N116" s="1">
        <f>6.25*100000000</f>
        <v>625000000</v>
      </c>
      <c r="O116" s="8">
        <f t="shared" si="37"/>
        <v>0.88821752265861031</v>
      </c>
      <c r="P116" s="6" t="s">
        <v>1658</v>
      </c>
      <c r="Q116" s="6" t="str">
        <f t="shared" si="38"/>
        <v>=3.310*100000000</v>
      </c>
      <c r="R116" s="11">
        <f>3.31*100000000</f>
        <v>331000000</v>
      </c>
      <c r="S116" s="8">
        <f t="shared" si="39"/>
        <v>-0.67195242814667988</v>
      </c>
      <c r="T116" s="6" t="s">
        <v>340</v>
      </c>
      <c r="U116" s="6" t="str">
        <f t="shared" si="40"/>
        <v>=10.09*100000000</v>
      </c>
      <c r="V116" s="1">
        <f>10.09*100000000</f>
        <v>1009000000</v>
      </c>
      <c r="W116" s="8">
        <f t="shared" si="41"/>
        <v>8.447979363714532E-2</v>
      </c>
      <c r="X116" s="6" t="s">
        <v>1414</v>
      </c>
      <c r="Y116" s="6" t="str">
        <f t="shared" si="42"/>
        <v>=9.304*100000000</v>
      </c>
      <c r="Z116" s="1">
        <f>9.304*100000000</f>
        <v>930400000</v>
      </c>
      <c r="AA116" s="8">
        <f t="shared" si="43"/>
        <v>0.1131849724814549</v>
      </c>
      <c r="AB116" s="6" t="s">
        <v>1659</v>
      </c>
      <c r="AC116" s="6" t="str">
        <f t="shared" si="44"/>
        <v>=8.358*100000000</v>
      </c>
      <c r="AD116" s="1">
        <f>8.358*100000000</f>
        <v>835800000</v>
      </c>
      <c r="AE116" s="8">
        <f t="shared" si="45"/>
        <v>1.3630195080576759</v>
      </c>
      <c r="AF116" s="6" t="s">
        <v>1660</v>
      </c>
      <c r="AG116" s="6" t="str">
        <f t="shared" si="46"/>
        <v>=3.537*100000000</v>
      </c>
      <c r="AH116" s="1">
        <f>3.537*100000000</f>
        <v>353700000</v>
      </c>
      <c r="AI116" s="8">
        <f t="shared" si="47"/>
        <v>-0.50552215853488047</v>
      </c>
      <c r="AJ116" s="6" t="s">
        <v>1661</v>
      </c>
      <c r="AK116" s="6" t="str">
        <f t="shared" si="48"/>
        <v>=7.153*100000000</v>
      </c>
      <c r="AL116" s="1">
        <f>7.153*100000000</f>
        <v>715300000</v>
      </c>
      <c r="AM116" s="8">
        <f t="shared" si="49"/>
        <v>0.16290034140790116</v>
      </c>
      <c r="AN116" s="6" t="s">
        <v>1662</v>
      </c>
      <c r="AO116" s="6" t="str">
        <f t="shared" si="50"/>
        <v>=6.151*100000000</v>
      </c>
      <c r="AP116" s="1">
        <f>6.151*100000000</f>
        <v>615100000</v>
      </c>
      <c r="AQ116" s="8">
        <f t="shared" si="51"/>
        <v>5.3614251455978076E-2</v>
      </c>
      <c r="AR116" s="6" t="s">
        <v>1221</v>
      </c>
      <c r="AS116" s="6" t="str">
        <f t="shared" si="52"/>
        <v>=5.838*100000000</v>
      </c>
      <c r="AT116" s="1">
        <f>5.838*100000000</f>
        <v>583800000</v>
      </c>
      <c r="AU116" s="8">
        <f t="shared" si="53"/>
        <v>0.81191806331471139</v>
      </c>
      <c r="AV116" s="6" t="s">
        <v>1663</v>
      </c>
      <c r="AW116" s="6" t="str">
        <f t="shared" si="54"/>
        <v>=3.222*100000000</v>
      </c>
      <c r="AX116" s="1">
        <f>3.222*100000000</f>
        <v>322200000</v>
      </c>
      <c r="AY116" s="10">
        <f t="shared" si="55"/>
        <v>-0.3595706618962432</v>
      </c>
      <c r="AZ116" s="6" t="s">
        <v>1664</v>
      </c>
      <c r="BA116" s="6" t="str">
        <f t="shared" si="56"/>
        <v>=5.031*100000000</v>
      </c>
      <c r="BB116" s="1">
        <f>5.031*100000000</f>
        <v>503099999.99999994</v>
      </c>
      <c r="BC116" s="8">
        <f t="shared" si="57"/>
        <v>0.13336337012840715</v>
      </c>
      <c r="BD116" s="6" t="s">
        <v>1665</v>
      </c>
      <c r="BE116" s="6" t="str">
        <f t="shared" si="58"/>
        <v>=4.439*100000000</v>
      </c>
      <c r="BF116" s="1">
        <f>4.439*100000000</f>
        <v>443900000</v>
      </c>
      <c r="BG116" s="8">
        <f t="shared" si="59"/>
        <v>-9.6110771736917011E-2</v>
      </c>
      <c r="BH116" s="6" t="s">
        <v>1666</v>
      </c>
      <c r="BI116" s="6" t="str">
        <f t="shared" si="60"/>
        <v>=4.911*100000000</v>
      </c>
      <c r="BJ116" s="1">
        <f>4.911*100000000</f>
        <v>491099999.99999994</v>
      </c>
      <c r="BK116" s="6" t="s">
        <v>1667</v>
      </c>
      <c r="BL116" s="1" t="str">
        <f t="shared" si="32"/>
        <v>=2.588*100000000</v>
      </c>
      <c r="BM116" s="16">
        <f t="shared" si="61"/>
        <v>0.89760432766615128</v>
      </c>
      <c r="BN116" s="1">
        <f>2.588*100000000</f>
        <v>258800000</v>
      </c>
    </row>
    <row r="117" spans="1:66">
      <c r="A117" s="19"/>
      <c r="B117">
        <v>600073</v>
      </c>
      <c r="C117" t="s">
        <v>68</v>
      </c>
      <c r="D117" s="6">
        <f>-1.021*100000000</f>
        <v>-102099999.99999999</v>
      </c>
      <c r="E117" s="7" t="str">
        <f t="shared" si="31"/>
        <v>=-102100000</v>
      </c>
      <c r="F117" s="1">
        <f>-102100000</f>
        <v>-102100000</v>
      </c>
      <c r="G117" s="8">
        <f t="shared" si="33"/>
        <v>-1.3931459376203312</v>
      </c>
      <c r="H117" s="6" t="s">
        <v>1668</v>
      </c>
      <c r="I117" s="6" t="str">
        <f t="shared" si="34"/>
        <v>=2.597*100000000</v>
      </c>
      <c r="J117" s="1">
        <f>2.597*100000000</f>
        <v>259700000</v>
      </c>
      <c r="K117" s="10">
        <f t="shared" si="35"/>
        <v>-0.30468540829986612</v>
      </c>
      <c r="L117" s="6" t="s">
        <v>1669</v>
      </c>
      <c r="M117" s="6" t="str">
        <f t="shared" si="36"/>
        <v>=3.735*100000000</v>
      </c>
      <c r="N117" s="1">
        <f>3.735*100000000</f>
        <v>373500000</v>
      </c>
      <c r="O117" s="8">
        <f t="shared" si="37"/>
        <v>0.62887047535979046</v>
      </c>
      <c r="P117" s="6" t="s">
        <v>1670</v>
      </c>
      <c r="Q117" s="6" t="str">
        <f t="shared" si="38"/>
        <v>=2.293*100000000</v>
      </c>
      <c r="R117" s="11">
        <f>2.293*100000000</f>
        <v>229300000.00000003</v>
      </c>
      <c r="S117" s="8">
        <f t="shared" si="39"/>
        <v>-0.69495809498470129</v>
      </c>
      <c r="T117" s="6" t="s">
        <v>1671</v>
      </c>
      <c r="U117" s="6" t="str">
        <f t="shared" si="40"/>
        <v>=7.517*100000000</v>
      </c>
      <c r="V117" s="1">
        <f>7.517*100000000</f>
        <v>751700000</v>
      </c>
      <c r="W117" s="8">
        <f t="shared" si="41"/>
        <v>6.0076152869835003E-2</v>
      </c>
      <c r="X117" s="6" t="s">
        <v>1672</v>
      </c>
      <c r="Y117" s="6" t="str">
        <f t="shared" si="42"/>
        <v>=7.091*100000000</v>
      </c>
      <c r="Z117" s="1">
        <f>7.091*100000000</f>
        <v>709100000</v>
      </c>
      <c r="AA117" s="8">
        <f t="shared" si="43"/>
        <v>0.12234884457106679</v>
      </c>
      <c r="AB117" s="6" t="s">
        <v>1673</v>
      </c>
      <c r="AC117" s="6" t="str">
        <f t="shared" si="44"/>
        <v>=6.318*100000000</v>
      </c>
      <c r="AD117" s="1">
        <f>6.318*100000000</f>
        <v>631800000</v>
      </c>
      <c r="AE117" s="8">
        <f t="shared" si="45"/>
        <v>1.4650799843932889</v>
      </c>
      <c r="AF117" s="6" t="s">
        <v>1674</v>
      </c>
      <c r="AG117" s="6" t="str">
        <f t="shared" si="46"/>
        <v>=2.563*100000000</v>
      </c>
      <c r="AH117" s="1">
        <f>2.563*100000000</f>
        <v>256300000.00000003</v>
      </c>
      <c r="AI117" s="8">
        <f t="shared" si="47"/>
        <v>-0.54297432239657628</v>
      </c>
      <c r="AJ117" s="6" t="s">
        <v>1675</v>
      </c>
      <c r="AK117" s="6" t="str">
        <f t="shared" si="48"/>
        <v>=5.608*100000000</v>
      </c>
      <c r="AL117" s="1">
        <f>5.608*100000000</f>
        <v>560800000</v>
      </c>
      <c r="AM117" s="8">
        <f t="shared" si="49"/>
        <v>0.14565883554647613</v>
      </c>
      <c r="AN117" s="6" t="s">
        <v>1676</v>
      </c>
      <c r="AO117" s="6" t="str">
        <f t="shared" si="50"/>
        <v>=4.895*100000000</v>
      </c>
      <c r="AP117" s="1">
        <f>4.895*100000000</f>
        <v>489499999.99999994</v>
      </c>
      <c r="AQ117" s="8">
        <f t="shared" si="51"/>
        <v>5.2688172043010489E-2</v>
      </c>
      <c r="AR117" s="6" t="s">
        <v>1677</v>
      </c>
      <c r="AS117" s="6" t="str">
        <f t="shared" si="52"/>
        <v>=4.650*100000000</v>
      </c>
      <c r="AT117" s="1">
        <f>4.65*100000000</f>
        <v>465000000.00000006</v>
      </c>
      <c r="AU117" s="8">
        <f t="shared" si="53"/>
        <v>0.67266187050359738</v>
      </c>
      <c r="AV117" s="6" t="s">
        <v>1678</v>
      </c>
      <c r="AW117" s="6" t="str">
        <f t="shared" si="54"/>
        <v>=2.780*100000000</v>
      </c>
      <c r="AX117" s="1">
        <f>2.78*100000000</f>
        <v>278000000</v>
      </c>
      <c r="AY117" s="10">
        <f t="shared" si="55"/>
        <v>-0.27547563200416991</v>
      </c>
      <c r="AZ117" s="6" t="s">
        <v>1679</v>
      </c>
      <c r="BA117" s="6" t="str">
        <f t="shared" si="56"/>
        <v>=3.837*100000000</v>
      </c>
      <c r="BB117" s="1">
        <f>3.837*100000000</f>
        <v>383700000</v>
      </c>
      <c r="BC117" s="8">
        <f t="shared" si="57"/>
        <v>1.2134001582695859E-2</v>
      </c>
      <c r="BD117" s="6" t="s">
        <v>1680</v>
      </c>
      <c r="BE117" s="6" t="str">
        <f t="shared" si="58"/>
        <v>=3.791*100000000</v>
      </c>
      <c r="BF117" s="1">
        <f>3.791*100000000</f>
        <v>379100000</v>
      </c>
      <c r="BG117" s="8">
        <f t="shared" si="59"/>
        <v>-2.7200410572235052E-2</v>
      </c>
      <c r="BH117" s="6" t="s">
        <v>1207</v>
      </c>
      <c r="BI117" s="6" t="str">
        <f t="shared" si="60"/>
        <v>=3.897*100000000</v>
      </c>
      <c r="BJ117" s="1">
        <f>3.897*100000000</f>
        <v>389700000</v>
      </c>
      <c r="BK117" s="6" t="s">
        <v>1681</v>
      </c>
      <c r="BL117" s="1" t="str">
        <f t="shared" si="32"/>
        <v>=2.387*100000000</v>
      </c>
      <c r="BM117" s="16">
        <f t="shared" si="61"/>
        <v>0.63259321323837447</v>
      </c>
      <c r="BN117" s="1">
        <f>2.387*100000000</f>
        <v>238700000</v>
      </c>
    </row>
    <row r="118" spans="1:66">
      <c r="A118" s="17">
        <v>30</v>
      </c>
      <c r="B118">
        <v>600076</v>
      </c>
      <c r="C118" t="s">
        <v>31</v>
      </c>
      <c r="D118" s="6" t="s">
        <v>1682</v>
      </c>
      <c r="E118" s="7" t="str">
        <f t="shared" si="31"/>
        <v>=12.86*100000000</v>
      </c>
      <c r="F118" s="1">
        <f>12.86*100000000</f>
        <v>1286000000</v>
      </c>
      <c r="G118" s="8">
        <f t="shared" si="33"/>
        <v>0.25341130604288498</v>
      </c>
      <c r="H118" s="6" t="s">
        <v>1683</v>
      </c>
      <c r="I118" s="6" t="str">
        <f t="shared" si="34"/>
        <v>=10.26*100000000</v>
      </c>
      <c r="J118" s="1">
        <f>10.26*100000000</f>
        <v>1026000000</v>
      </c>
      <c r="K118" s="10">
        <f t="shared" si="35"/>
        <v>0.35124456736467802</v>
      </c>
      <c r="L118" s="6" t="s">
        <v>1684</v>
      </c>
      <c r="M118" s="6" t="str">
        <f t="shared" si="36"/>
        <v>=7.593*100000000</v>
      </c>
      <c r="N118" s="1">
        <f>7.593*100000000</f>
        <v>759300000</v>
      </c>
      <c r="O118" s="8">
        <f t="shared" si="37"/>
        <v>0.87111877772301627</v>
      </c>
      <c r="P118" s="6" t="s">
        <v>1685</v>
      </c>
      <c r="Q118" s="6" t="str">
        <f t="shared" si="38"/>
        <v>=4.058*100000000</v>
      </c>
      <c r="R118" s="11">
        <f>4.058*100000000</f>
        <v>405800000</v>
      </c>
      <c r="S118" s="8">
        <f t="shared" si="39"/>
        <v>-0.60332355816226779</v>
      </c>
      <c r="T118" s="6" t="s">
        <v>1403</v>
      </c>
      <c r="U118" s="6" t="str">
        <f t="shared" si="40"/>
        <v>=10.23*100000000</v>
      </c>
      <c r="V118" s="1">
        <f>10.23*100000000</f>
        <v>1023000000</v>
      </c>
      <c r="W118" s="8">
        <f t="shared" si="41"/>
        <v>0.53950338600451464</v>
      </c>
      <c r="X118" s="6" t="s">
        <v>1686</v>
      </c>
      <c r="Y118" s="6" t="str">
        <f t="shared" si="42"/>
        <v>=6.645*100000000</v>
      </c>
      <c r="Z118" s="1">
        <f>6.645*100000000</f>
        <v>664500000</v>
      </c>
      <c r="AA118" s="8">
        <f t="shared" si="43"/>
        <v>0.4786381842456609</v>
      </c>
      <c r="AB118" s="6" t="s">
        <v>1687</v>
      </c>
      <c r="AC118" s="6" t="str">
        <f t="shared" si="44"/>
        <v>=4.494*100000000</v>
      </c>
      <c r="AD118" s="1">
        <f>4.494*100000000</f>
        <v>449400000</v>
      </c>
      <c r="AE118" s="8">
        <f t="shared" si="45"/>
        <v>1.7419158023184869</v>
      </c>
      <c r="AF118" s="6" t="s">
        <v>1688</v>
      </c>
      <c r="AG118" s="6" t="str">
        <f t="shared" si="46"/>
        <v>=1.639*100000000</v>
      </c>
      <c r="AH118" s="1">
        <f>1.639*100000000</f>
        <v>163900000</v>
      </c>
      <c r="AI118" s="8">
        <f t="shared" si="47"/>
        <v>-0.91857923497267757</v>
      </c>
      <c r="AJ118" s="6" t="s">
        <v>1689</v>
      </c>
      <c r="AK118" s="6" t="str">
        <f t="shared" si="48"/>
        <v>=20.13*100000000</v>
      </c>
      <c r="AL118" s="1">
        <f>20.13*100000000</f>
        <v>2013000000</v>
      </c>
      <c r="AM118" s="8">
        <f t="shared" si="49"/>
        <v>0.30122818358112474</v>
      </c>
      <c r="AN118" s="6" t="s">
        <v>349</v>
      </c>
      <c r="AO118" s="6" t="str">
        <f t="shared" si="50"/>
        <v>=15.47*100000000</v>
      </c>
      <c r="AP118" s="1">
        <f>15.47*100000000</f>
        <v>1547000000</v>
      </c>
      <c r="AQ118" s="8">
        <f t="shared" si="51"/>
        <v>0.46219281663516071</v>
      </c>
      <c r="AR118" s="6" t="s">
        <v>1383</v>
      </c>
      <c r="AS118" s="6" t="str">
        <f t="shared" si="52"/>
        <v>=10.58*100000000</v>
      </c>
      <c r="AT118" s="1">
        <f>10.58*100000000</f>
        <v>1058000000</v>
      </c>
      <c r="AU118" s="8">
        <f t="shared" si="53"/>
        <v>0.98909569467945102</v>
      </c>
      <c r="AV118" s="6" t="s">
        <v>1690</v>
      </c>
      <c r="AW118" s="6" t="str">
        <f t="shared" si="54"/>
        <v>=5.319*100000000</v>
      </c>
      <c r="AX118" s="1">
        <f>5.319*100000000</f>
        <v>531900000</v>
      </c>
      <c r="AY118" s="10">
        <f t="shared" si="55"/>
        <v>-0.76772925764192135</v>
      </c>
      <c r="AZ118" s="6" t="s">
        <v>1691</v>
      </c>
      <c r="BA118" s="6" t="str">
        <f t="shared" si="56"/>
        <v>=22.90*100000000</v>
      </c>
      <c r="BB118" s="1">
        <f>22.9*100000000</f>
        <v>2290000000</v>
      </c>
      <c r="BC118" s="8">
        <f t="shared" si="57"/>
        <v>0.216144450345194</v>
      </c>
      <c r="BD118" s="6" t="s">
        <v>1692</v>
      </c>
      <c r="BE118" s="6" t="str">
        <f t="shared" si="58"/>
        <v>=18.83*100000000</v>
      </c>
      <c r="BF118" s="1">
        <f>18.83*100000000</f>
        <v>1882999999.9999998</v>
      </c>
      <c r="BG118" s="8">
        <f t="shared" si="59"/>
        <v>0.5100240577385724</v>
      </c>
      <c r="BH118" s="6" t="s">
        <v>55</v>
      </c>
      <c r="BI118" s="6" t="str">
        <f t="shared" si="60"/>
        <v>=12.47*100000000</v>
      </c>
      <c r="BJ118" s="1">
        <f>12.47*100000000</f>
        <v>1247000000</v>
      </c>
      <c r="BK118" s="6" t="s">
        <v>1693</v>
      </c>
      <c r="BL118" s="1" t="str">
        <f t="shared" si="32"/>
        <v>=6.130*100000000</v>
      </c>
      <c r="BM118" s="16">
        <f t="shared" si="61"/>
        <v>1.034257748776509</v>
      </c>
      <c r="BN118" s="1">
        <f>6.13*100000000</f>
        <v>613000000</v>
      </c>
    </row>
    <row r="119" spans="1:66">
      <c r="A119" s="18"/>
      <c r="B119">
        <v>600076</v>
      </c>
      <c r="C119" t="s">
        <v>48</v>
      </c>
      <c r="D119" s="7" t="s">
        <v>1694</v>
      </c>
      <c r="E119" s="7" t="str">
        <f t="shared" si="31"/>
        <v>=2744*10000</v>
      </c>
      <c r="F119" s="1">
        <f>2744*10000</f>
        <v>27440000</v>
      </c>
      <c r="G119" s="8">
        <f t="shared" si="33"/>
        <v>-0.38086642599277976</v>
      </c>
      <c r="H119" s="7" t="s">
        <v>1695</v>
      </c>
      <c r="I119" s="6" t="str">
        <f t="shared" si="34"/>
        <v>=4432*10000</v>
      </c>
      <c r="J119" s="1">
        <f>4432*10000</f>
        <v>44320000</v>
      </c>
      <c r="K119" s="10">
        <f t="shared" si="35"/>
        <v>-0.45337937839171188</v>
      </c>
      <c r="L119" s="7" t="s">
        <v>1696</v>
      </c>
      <c r="M119" s="6" t="str">
        <f t="shared" si="36"/>
        <v>=8108*10000</v>
      </c>
      <c r="N119" s="1">
        <f>8108*10000</f>
        <v>81080000</v>
      </c>
      <c r="O119" s="8">
        <f t="shared" si="37"/>
        <v>0.6509875789045001</v>
      </c>
      <c r="P119" s="7" t="s">
        <v>1697</v>
      </c>
      <c r="Q119" s="6" t="str">
        <f t="shared" si="38"/>
        <v>=4911*10000</v>
      </c>
      <c r="R119" s="11">
        <f>4911*10000</f>
        <v>49110000</v>
      </c>
      <c r="S119" s="8">
        <f t="shared" si="39"/>
        <v>-1.2590189873417721</v>
      </c>
      <c r="T119" s="6">
        <f>-1.896*100000000</f>
        <v>-189600000</v>
      </c>
      <c r="U119" s="6" t="str">
        <f t="shared" si="40"/>
        <v>=-189600000</v>
      </c>
      <c r="V119" s="1">
        <f>-189600000</f>
        <v>-189600000</v>
      </c>
      <c r="W119" s="8">
        <f t="shared" si="41"/>
        <v>0.1575091575091575</v>
      </c>
      <c r="X119" s="6">
        <f>-1.638*100000000</f>
        <v>-163800000</v>
      </c>
      <c r="Y119" s="6" t="str">
        <f t="shared" si="42"/>
        <v>=-163800000</v>
      </c>
      <c r="Z119" s="1">
        <f>-163800000</f>
        <v>-163800000</v>
      </c>
      <c r="AA119" s="8">
        <f t="shared" si="43"/>
        <v>2.1140684410646386</v>
      </c>
      <c r="AB119" s="7">
        <f>-5260*10000</f>
        <v>-52600000</v>
      </c>
      <c r="AC119" s="6" t="str">
        <f t="shared" si="44"/>
        <v>=-52600000</v>
      </c>
      <c r="AD119" s="1">
        <f>-52600000</f>
        <v>-52600000</v>
      </c>
      <c r="AE119" s="8">
        <f t="shared" si="45"/>
        <v>0.87455452601568073</v>
      </c>
      <c r="AF119" s="7">
        <f>-2806*10000</f>
        <v>-28060000</v>
      </c>
      <c r="AG119" s="6" t="str">
        <f t="shared" si="46"/>
        <v>=-28060000</v>
      </c>
      <c r="AH119" s="1">
        <f>-28060000</f>
        <v>-28060000</v>
      </c>
      <c r="AI119" s="8">
        <f t="shared" si="47"/>
        <v>-1.0702202202202202</v>
      </c>
      <c r="AJ119" s="6" t="s">
        <v>1698</v>
      </c>
      <c r="AK119" s="6" t="str">
        <f t="shared" si="48"/>
        <v>=3.996*100000000</v>
      </c>
      <c r="AL119" s="1">
        <f>3.996*100000000</f>
        <v>399600000</v>
      </c>
      <c r="AM119" s="8">
        <f t="shared" si="49"/>
        <v>8.3807973962571197E-2</v>
      </c>
      <c r="AN119" s="6" t="s">
        <v>1699</v>
      </c>
      <c r="AO119" s="6" t="str">
        <f t="shared" si="50"/>
        <v>=3.687*100000000</v>
      </c>
      <c r="AP119" s="1">
        <f>3.687*100000000</f>
        <v>368700000</v>
      </c>
      <c r="AQ119" s="8">
        <f t="shared" si="51"/>
        <v>0.35551470588235295</v>
      </c>
      <c r="AR119" s="6" t="s">
        <v>1700</v>
      </c>
      <c r="AS119" s="6" t="str">
        <f t="shared" si="52"/>
        <v>=2.720*100000000</v>
      </c>
      <c r="AT119" s="1">
        <f>2.72*100000000</f>
        <v>272000000</v>
      </c>
      <c r="AU119" s="8">
        <f t="shared" si="53"/>
        <v>0.83783783783783783</v>
      </c>
      <c r="AV119" s="6" t="s">
        <v>1701</v>
      </c>
      <c r="AW119" s="6" t="str">
        <f t="shared" si="54"/>
        <v>=1.480*100000000</v>
      </c>
      <c r="AX119" s="1">
        <f>1.48*100000000</f>
        <v>148000000</v>
      </c>
      <c r="AY119" s="10">
        <f t="shared" si="55"/>
        <v>-0.69160241717024384</v>
      </c>
      <c r="AZ119" s="6" t="s">
        <v>1702</v>
      </c>
      <c r="BA119" s="6" t="str">
        <f t="shared" si="56"/>
        <v>=4.799*100000000</v>
      </c>
      <c r="BB119" s="1">
        <f>4.799*100000000</f>
        <v>479900000.00000006</v>
      </c>
      <c r="BC119" s="8">
        <f t="shared" si="57"/>
        <v>0.24005167958656345</v>
      </c>
      <c r="BD119" s="6" t="s">
        <v>1703</v>
      </c>
      <c r="BE119" s="6" t="str">
        <f t="shared" si="58"/>
        <v>=3.870*100000000</v>
      </c>
      <c r="BF119" s="1">
        <f>3.87*100000000</f>
        <v>387000000</v>
      </c>
      <c r="BG119" s="8">
        <f t="shared" si="59"/>
        <v>0.36075949367088606</v>
      </c>
      <c r="BH119" s="6" t="s">
        <v>1704</v>
      </c>
      <c r="BI119" s="6" t="str">
        <f t="shared" si="60"/>
        <v>=2.844*100000000</v>
      </c>
      <c r="BJ119" s="1">
        <f>2.844*100000000</f>
        <v>284400000</v>
      </c>
      <c r="BK119" s="6" t="s">
        <v>1705</v>
      </c>
      <c r="BL119" s="1" t="str">
        <f t="shared" si="32"/>
        <v>=1.577*100000000</v>
      </c>
      <c r="BM119" s="16">
        <f t="shared" si="61"/>
        <v>0.80342422320862394</v>
      </c>
      <c r="BN119" s="1">
        <f>1.577*100000000</f>
        <v>157700000</v>
      </c>
    </row>
    <row r="120" spans="1:66">
      <c r="A120" s="18"/>
      <c r="B120">
        <v>600076</v>
      </c>
      <c r="C120" t="s">
        <v>58</v>
      </c>
      <c r="D120" s="7" t="s">
        <v>1706</v>
      </c>
      <c r="E120" s="7" t="str">
        <f t="shared" si="31"/>
        <v>=2864*10000</v>
      </c>
      <c r="F120" s="1">
        <f>2864*10000</f>
        <v>28640000</v>
      </c>
      <c r="G120" s="8">
        <f t="shared" si="33"/>
        <v>-0.39257688229056203</v>
      </c>
      <c r="H120" s="7" t="s">
        <v>1707</v>
      </c>
      <c r="I120" s="6" t="str">
        <f t="shared" si="34"/>
        <v>=4715*10000</v>
      </c>
      <c r="J120" s="1">
        <f>4715*10000</f>
        <v>47150000</v>
      </c>
      <c r="K120" s="10">
        <f t="shared" si="35"/>
        <v>-0.41202144905848609</v>
      </c>
      <c r="L120" s="7" t="s">
        <v>1708</v>
      </c>
      <c r="M120" s="6" t="str">
        <f t="shared" si="36"/>
        <v>=8019*10000</v>
      </c>
      <c r="N120" s="1">
        <f>8019*10000</f>
        <v>80190000</v>
      </c>
      <c r="O120" s="8">
        <f t="shared" si="37"/>
        <v>0.61608222490931075</v>
      </c>
      <c r="P120" s="7" t="s">
        <v>1709</v>
      </c>
      <c r="Q120" s="6" t="str">
        <f t="shared" si="38"/>
        <v>=4962*10000</v>
      </c>
      <c r="R120" s="11">
        <f>4962*10000</f>
        <v>49620000</v>
      </c>
      <c r="S120" s="8">
        <f t="shared" si="39"/>
        <v>-1.2452792881858625</v>
      </c>
      <c r="T120" s="6">
        <f>-2.023*100000000</f>
        <v>-202300000</v>
      </c>
      <c r="U120" s="6" t="str">
        <f t="shared" si="40"/>
        <v>=-202300000</v>
      </c>
      <c r="V120" s="1">
        <f>-202300000</f>
        <v>-202300000</v>
      </c>
      <c r="W120" s="8">
        <f t="shared" si="41"/>
        <v>0.1553398058252427</v>
      </c>
      <c r="X120" s="6">
        <f>-1.751*100000000</f>
        <v>-175100000</v>
      </c>
      <c r="Y120" s="6" t="str">
        <f t="shared" si="42"/>
        <v>=-175100000</v>
      </c>
      <c r="Z120" s="1">
        <f>-175100000</f>
        <v>-175100000</v>
      </c>
      <c r="AA120" s="8">
        <f t="shared" si="43"/>
        <v>2.3358734997142312</v>
      </c>
      <c r="AB120" s="7">
        <f>-5249*10000</f>
        <v>-52490000</v>
      </c>
      <c r="AC120" s="6" t="str">
        <f t="shared" si="44"/>
        <v>=-52490000</v>
      </c>
      <c r="AD120" s="1">
        <f>-52490000</f>
        <v>-52490000</v>
      </c>
      <c r="AE120" s="8">
        <f t="shared" si="45"/>
        <v>0.88001432664756452</v>
      </c>
      <c r="AF120" s="7">
        <f>-2792*10000</f>
        <v>-27920000</v>
      </c>
      <c r="AG120" s="6" t="str">
        <f t="shared" si="46"/>
        <v>=-27920000</v>
      </c>
      <c r="AH120" s="1">
        <f>-27920000</f>
        <v>-27920000</v>
      </c>
      <c r="AI120" s="8">
        <f t="shared" si="47"/>
        <v>-1.0668262326471996</v>
      </c>
      <c r="AJ120" s="6" t="s">
        <v>1710</v>
      </c>
      <c r="AK120" s="6" t="str">
        <f t="shared" si="48"/>
        <v>=4.178*100000000</v>
      </c>
      <c r="AL120" s="1">
        <f>4.178*100000000</f>
        <v>417800000</v>
      </c>
      <c r="AM120" s="8">
        <f t="shared" si="49"/>
        <v>0.13194256299105933</v>
      </c>
      <c r="AN120" s="6" t="s">
        <v>1711</v>
      </c>
      <c r="AO120" s="6" t="str">
        <f t="shared" si="50"/>
        <v>=3.691*100000000</v>
      </c>
      <c r="AP120" s="1">
        <f>3.691*100000000</f>
        <v>369100000</v>
      </c>
      <c r="AQ120" s="8">
        <f t="shared" si="51"/>
        <v>0.33877402974247373</v>
      </c>
      <c r="AR120" s="6" t="s">
        <v>1712</v>
      </c>
      <c r="AS120" s="6" t="str">
        <f t="shared" si="52"/>
        <v>=2.757*100000000</v>
      </c>
      <c r="AT120" s="1">
        <f>2.757*100000000</f>
        <v>275700000</v>
      </c>
      <c r="AU120" s="8">
        <f t="shared" si="53"/>
        <v>0.86283783783783785</v>
      </c>
      <c r="AV120" s="6" t="s">
        <v>1701</v>
      </c>
      <c r="AW120" s="6" t="str">
        <f t="shared" si="54"/>
        <v>=1.480*100000000</v>
      </c>
      <c r="AX120" s="1">
        <f>1.48*100000000</f>
        <v>148000000</v>
      </c>
      <c r="AY120" s="10">
        <f t="shared" si="55"/>
        <v>-0.71110677337497563</v>
      </c>
      <c r="AZ120" s="6" t="s">
        <v>1713</v>
      </c>
      <c r="BA120" s="6" t="str">
        <f t="shared" si="56"/>
        <v>=5.123*100000000</v>
      </c>
      <c r="BB120" s="1">
        <f>5.123*100000000</f>
        <v>512300000</v>
      </c>
      <c r="BC120" s="8">
        <f t="shared" si="57"/>
        <v>0.28524836929252384</v>
      </c>
      <c r="BD120" s="6" t="s">
        <v>1714</v>
      </c>
      <c r="BE120" s="6" t="str">
        <f t="shared" si="58"/>
        <v>=3.986*100000000</v>
      </c>
      <c r="BF120" s="1">
        <f>3.986*100000000</f>
        <v>398600000</v>
      </c>
      <c r="BG120" s="8">
        <f t="shared" si="59"/>
        <v>0.34253957561468507</v>
      </c>
      <c r="BH120" s="6" t="s">
        <v>1715</v>
      </c>
      <c r="BI120" s="6" t="str">
        <f t="shared" si="60"/>
        <v>=2.969*100000000</v>
      </c>
      <c r="BJ120" s="1">
        <f>2.969*100000000</f>
        <v>296900000</v>
      </c>
      <c r="BK120" s="6" t="s">
        <v>1716</v>
      </c>
      <c r="BL120" s="1" t="str">
        <f t="shared" si="32"/>
        <v>=1.579*100000000</v>
      </c>
      <c r="BM120" s="16">
        <f t="shared" si="61"/>
        <v>0.88030398986700442</v>
      </c>
      <c r="BN120" s="1">
        <f>1.579*100000000</f>
        <v>157900000</v>
      </c>
    </row>
    <row r="121" spans="1:66">
      <c r="A121" s="19"/>
      <c r="B121">
        <v>600076</v>
      </c>
      <c r="C121" t="s">
        <v>68</v>
      </c>
      <c r="D121" s="7" t="s">
        <v>1717</v>
      </c>
      <c r="E121" s="7" t="str">
        <f t="shared" si="31"/>
        <v>=2754*10000</v>
      </c>
      <c r="F121" s="1">
        <f>2754*10000</f>
        <v>27540000</v>
      </c>
      <c r="G121" s="8">
        <f t="shared" si="33"/>
        <v>-0.33606557377049179</v>
      </c>
      <c r="H121" s="7" t="s">
        <v>1718</v>
      </c>
      <c r="I121" s="6" t="str">
        <f t="shared" si="34"/>
        <v>=4148*10000</v>
      </c>
      <c r="J121" s="1">
        <f>4148*10000</f>
        <v>41480000</v>
      </c>
      <c r="K121" s="10">
        <f t="shared" si="35"/>
        <v>-0.38946128937297614</v>
      </c>
      <c r="L121" s="7" t="s">
        <v>1719</v>
      </c>
      <c r="M121" s="6" t="str">
        <f t="shared" si="36"/>
        <v>=6794*10000</v>
      </c>
      <c r="N121" s="1">
        <f>6794*10000</f>
        <v>67940000</v>
      </c>
      <c r="O121" s="8">
        <f t="shared" si="37"/>
        <v>0.62964739745742382</v>
      </c>
      <c r="P121" s="7" t="s">
        <v>1720</v>
      </c>
      <c r="Q121" s="6" t="str">
        <f t="shared" si="38"/>
        <v>=4169*10000</v>
      </c>
      <c r="R121" s="11">
        <f>4169*10000</f>
        <v>41690000</v>
      </c>
      <c r="S121" s="8">
        <f t="shared" si="39"/>
        <v>-1.2560810810810812</v>
      </c>
      <c r="T121" s="6">
        <f>-1.628*100000000</f>
        <v>-162800000</v>
      </c>
      <c r="U121" s="6" t="str">
        <f t="shared" si="40"/>
        <v>=-162800000</v>
      </c>
      <c r="V121" s="1">
        <f>-162800000</f>
        <v>-162800000</v>
      </c>
      <c r="W121" s="8">
        <f t="shared" si="41"/>
        <v>-7.6049943246311008E-2</v>
      </c>
      <c r="X121" s="6">
        <f>-1.762*100000000</f>
        <v>-176200000</v>
      </c>
      <c r="Y121" s="6" t="str">
        <f t="shared" si="42"/>
        <v>=-176200000</v>
      </c>
      <c r="Z121" s="1">
        <f>-176200000</f>
        <v>-176200000</v>
      </c>
      <c r="AA121" s="8">
        <f t="shared" si="43"/>
        <v>2.2503228186681423</v>
      </c>
      <c r="AB121" s="7">
        <f>-5421*10000</f>
        <v>-54210000</v>
      </c>
      <c r="AC121" s="6" t="str">
        <f t="shared" si="44"/>
        <v>=-54210000</v>
      </c>
      <c r="AD121" s="1">
        <f>-54210000</f>
        <v>-54210000</v>
      </c>
      <c r="AE121" s="8">
        <f t="shared" si="45"/>
        <v>0.93330955777460767</v>
      </c>
      <c r="AF121" s="7">
        <f>-2804*10000</f>
        <v>-28040000</v>
      </c>
      <c r="AG121" s="6" t="str">
        <f t="shared" si="46"/>
        <v>=-28040000</v>
      </c>
      <c r="AH121" s="1">
        <f>-28040000</f>
        <v>-28040000</v>
      </c>
      <c r="AI121" s="8">
        <f t="shared" si="47"/>
        <v>-1.0723239618261542</v>
      </c>
      <c r="AJ121" s="6" t="s">
        <v>1721</v>
      </c>
      <c r="AK121" s="6" t="str">
        <f t="shared" si="48"/>
        <v>=3.877*100000000</v>
      </c>
      <c r="AL121" s="1">
        <f>3.877*100000000</f>
        <v>387700000</v>
      </c>
      <c r="AM121" s="8">
        <f t="shared" si="49"/>
        <v>0.12246670526925305</v>
      </c>
      <c r="AN121" s="6" t="s">
        <v>1722</v>
      </c>
      <c r="AO121" s="6" t="str">
        <f t="shared" si="50"/>
        <v>=3.454*100000000</v>
      </c>
      <c r="AP121" s="1">
        <f>3.454*100000000</f>
        <v>345400000</v>
      </c>
      <c r="AQ121" s="8">
        <f t="shared" si="51"/>
        <v>0.33565351894818252</v>
      </c>
      <c r="AR121" s="6" t="s">
        <v>1723</v>
      </c>
      <c r="AS121" s="6" t="str">
        <f t="shared" si="52"/>
        <v>=2.586*100000000</v>
      </c>
      <c r="AT121" s="1">
        <f>2.586*100000000</f>
        <v>258600000</v>
      </c>
      <c r="AU121" s="8">
        <f t="shared" si="53"/>
        <v>0.87255611875452566</v>
      </c>
      <c r="AV121" s="6" t="s">
        <v>1479</v>
      </c>
      <c r="AW121" s="6" t="str">
        <f t="shared" si="54"/>
        <v>=1.381*100000000</v>
      </c>
      <c r="AX121" s="1">
        <f>1.381*100000000</f>
        <v>138100000</v>
      </c>
      <c r="AY121" s="10">
        <f t="shared" si="55"/>
        <v>-0.70409256481679883</v>
      </c>
      <c r="AZ121" s="6" t="s">
        <v>1724</v>
      </c>
      <c r="BA121" s="6" t="str">
        <f t="shared" si="56"/>
        <v>=4.667*100000000</v>
      </c>
      <c r="BB121" s="1">
        <f>4.667*100000000</f>
        <v>466700000</v>
      </c>
      <c r="BC121" s="8">
        <f t="shared" si="57"/>
        <v>0.29279778393351802</v>
      </c>
      <c r="BD121" s="6" t="s">
        <v>1725</v>
      </c>
      <c r="BE121" s="6" t="str">
        <f t="shared" si="58"/>
        <v>=3.610*100000000</v>
      </c>
      <c r="BF121" s="1">
        <f>3.61*100000000</f>
        <v>361000000</v>
      </c>
      <c r="BG121" s="8">
        <f t="shared" si="59"/>
        <v>0.34450651769087526</v>
      </c>
      <c r="BH121" s="6" t="s">
        <v>1726</v>
      </c>
      <c r="BI121" s="6" t="str">
        <f t="shared" si="60"/>
        <v>=2.685*100000000</v>
      </c>
      <c r="BJ121" s="1">
        <f>2.685*100000000</f>
        <v>268500000</v>
      </c>
      <c r="BK121" s="6" t="s">
        <v>1727</v>
      </c>
      <c r="BL121" s="1" t="str">
        <f t="shared" si="32"/>
        <v>=1.380*100000000</v>
      </c>
      <c r="BM121" s="16">
        <f t="shared" si="61"/>
        <v>0.94565217391304346</v>
      </c>
      <c r="BN121" s="1">
        <f>1.38*100000000</f>
        <v>138000000</v>
      </c>
    </row>
    <row r="122" spans="1:66">
      <c r="A122" s="17">
        <v>31</v>
      </c>
      <c r="B122">
        <v>600081</v>
      </c>
      <c r="C122" t="s">
        <v>31</v>
      </c>
      <c r="D122" s="6" t="s">
        <v>1728</v>
      </c>
      <c r="E122" s="7" t="str">
        <f t="shared" si="31"/>
        <v>=78.61*100000000</v>
      </c>
      <c r="F122" s="1">
        <f>78.61*100000000</f>
        <v>7861000000</v>
      </c>
      <c r="G122" s="8">
        <f t="shared" si="33"/>
        <v>0.37984904335615238</v>
      </c>
      <c r="H122" s="6" t="s">
        <v>1729</v>
      </c>
      <c r="I122" s="6" t="str">
        <f t="shared" si="34"/>
        <v>=56.97*100000000</v>
      </c>
      <c r="J122" s="1">
        <f>56.97*100000000</f>
        <v>5697000000</v>
      </c>
      <c r="K122" s="10">
        <f t="shared" si="35"/>
        <v>0.57767931320963717</v>
      </c>
      <c r="L122" s="6" t="s">
        <v>1730</v>
      </c>
      <c r="M122" s="6" t="str">
        <f t="shared" si="36"/>
        <v>=36.11*100000000</v>
      </c>
      <c r="N122" s="1">
        <f>36.11*100000000</f>
        <v>3611000000</v>
      </c>
      <c r="O122" s="8">
        <f t="shared" si="37"/>
        <v>1.0072262367982214</v>
      </c>
      <c r="P122" s="6" t="s">
        <v>1731</v>
      </c>
      <c r="Q122" s="6" t="str">
        <f t="shared" si="38"/>
        <v>=17.99*100000000</v>
      </c>
      <c r="R122" s="11">
        <f>17.99*100000000</f>
        <v>1798999999.9999998</v>
      </c>
      <c r="S122" s="8">
        <f t="shared" si="39"/>
        <v>-0.76093023255813952</v>
      </c>
      <c r="T122" s="6" t="s">
        <v>1732</v>
      </c>
      <c r="U122" s="6" t="str">
        <f t="shared" si="40"/>
        <v>=75.25*100000000</v>
      </c>
      <c r="V122" s="1">
        <f>75.25*100000000</f>
        <v>7525000000</v>
      </c>
      <c r="W122" s="8">
        <f t="shared" si="41"/>
        <v>0.46003104384943733</v>
      </c>
      <c r="X122" s="6" t="s">
        <v>1733</v>
      </c>
      <c r="Y122" s="6" t="str">
        <f t="shared" si="42"/>
        <v>=51.54*100000000</v>
      </c>
      <c r="Z122" s="1">
        <f>51.54*100000000</f>
        <v>5154000000</v>
      </c>
      <c r="AA122" s="8">
        <f t="shared" si="43"/>
        <v>0.76930998970133879</v>
      </c>
      <c r="AB122" s="6" t="s">
        <v>591</v>
      </c>
      <c r="AC122" s="6" t="str">
        <f t="shared" si="44"/>
        <v>=29.13*100000000</v>
      </c>
      <c r="AD122" s="1">
        <f>29.13*100000000</f>
        <v>2913000000</v>
      </c>
      <c r="AE122" s="8">
        <f t="shared" si="45"/>
        <v>2.1839545305497872</v>
      </c>
      <c r="AF122" s="6" t="s">
        <v>1734</v>
      </c>
      <c r="AG122" s="6" t="str">
        <f t="shared" si="46"/>
        <v>=9.149*100000000</v>
      </c>
      <c r="AH122" s="1">
        <f>9.149*100000000</f>
        <v>914899999.99999988</v>
      </c>
      <c r="AI122" s="8">
        <f t="shared" si="47"/>
        <v>-0.85991425509110397</v>
      </c>
      <c r="AJ122" s="6" t="s">
        <v>1735</v>
      </c>
      <c r="AK122" s="6" t="str">
        <f t="shared" si="48"/>
        <v>=65.31*100000000</v>
      </c>
      <c r="AL122" s="1">
        <f>65.31*100000000</f>
        <v>6531000000</v>
      </c>
      <c r="AM122" s="8">
        <f t="shared" si="49"/>
        <v>0.39105431309904154</v>
      </c>
      <c r="AN122" s="6" t="s">
        <v>1736</v>
      </c>
      <c r="AO122" s="6" t="str">
        <f t="shared" si="50"/>
        <v>=46.95*100000000</v>
      </c>
      <c r="AP122" s="1">
        <f>46.95*100000000</f>
        <v>4695000000</v>
      </c>
      <c r="AQ122" s="8">
        <f t="shared" si="51"/>
        <v>0.45943425551756295</v>
      </c>
      <c r="AR122" s="6" t="s">
        <v>1737</v>
      </c>
      <c r="AS122" s="6" t="str">
        <f t="shared" si="52"/>
        <v>=32.17*100000000</v>
      </c>
      <c r="AT122" s="1">
        <f>32.17*100000000</f>
        <v>3217000000</v>
      </c>
      <c r="AU122" s="8">
        <f t="shared" si="53"/>
        <v>1.1489645958583834</v>
      </c>
      <c r="AV122" s="6" t="s">
        <v>1738</v>
      </c>
      <c r="AW122" s="6" t="str">
        <f t="shared" si="54"/>
        <v>=14.97*100000000</v>
      </c>
      <c r="AX122" s="1">
        <f>14.97*100000000</f>
        <v>1497000000</v>
      </c>
      <c r="AY122" s="10">
        <f t="shared" si="55"/>
        <v>-0.77566312003596583</v>
      </c>
      <c r="AZ122" s="6" t="s">
        <v>1739</v>
      </c>
      <c r="BA122" s="6" t="str">
        <f t="shared" si="56"/>
        <v>=66.73*100000000</v>
      </c>
      <c r="BB122" s="1">
        <f>66.73*100000000</f>
        <v>6673000000</v>
      </c>
      <c r="BC122" s="8">
        <f t="shared" si="57"/>
        <v>0.3604485219164118</v>
      </c>
      <c r="BD122" s="6" t="s">
        <v>1740</v>
      </c>
      <c r="BE122" s="6" t="str">
        <f t="shared" si="58"/>
        <v>=49.05*100000000</v>
      </c>
      <c r="BF122" s="1">
        <f>49.05*100000000</f>
        <v>4905000000</v>
      </c>
      <c r="BG122" s="8">
        <f t="shared" si="59"/>
        <v>0.41558441558441561</v>
      </c>
      <c r="BH122" s="6" t="s">
        <v>1741</v>
      </c>
      <c r="BI122" s="6" t="str">
        <f t="shared" si="60"/>
        <v>=34.65*100000000</v>
      </c>
      <c r="BJ122" s="1">
        <f>34.65*100000000</f>
        <v>3465000000</v>
      </c>
      <c r="BK122" s="6" t="s">
        <v>1742</v>
      </c>
      <c r="BL122" s="1" t="str">
        <f t="shared" si="32"/>
        <v>=17.25*100000000</v>
      </c>
      <c r="BM122" s="16">
        <f t="shared" si="61"/>
        <v>1.008695652173913</v>
      </c>
      <c r="BN122" s="1">
        <f>17.25*100000000</f>
        <v>1725000000</v>
      </c>
    </row>
    <row r="123" spans="1:66">
      <c r="A123" s="18"/>
      <c r="B123">
        <v>600081</v>
      </c>
      <c r="C123" t="s">
        <v>48</v>
      </c>
      <c r="D123" s="6" t="s">
        <v>1743</v>
      </c>
      <c r="E123" s="7" t="str">
        <f t="shared" si="31"/>
        <v>=4.805*100000000</v>
      </c>
      <c r="F123" s="1">
        <f>4.805*100000000</f>
        <v>480500000</v>
      </c>
      <c r="G123" s="8">
        <f t="shared" si="33"/>
        <v>0.76071821179919386</v>
      </c>
      <c r="H123" s="6" t="s">
        <v>1744</v>
      </c>
      <c r="I123" s="6" t="str">
        <f t="shared" si="34"/>
        <v>=2.729*100000000</v>
      </c>
      <c r="J123" s="1">
        <f>2.729*100000000</f>
        <v>272900000</v>
      </c>
      <c r="K123" s="10">
        <f t="shared" si="35"/>
        <v>0.52458100558659215</v>
      </c>
      <c r="L123" s="6" t="s">
        <v>1745</v>
      </c>
      <c r="M123" s="6" t="str">
        <f t="shared" si="36"/>
        <v>=1.790*100000000</v>
      </c>
      <c r="N123" s="1">
        <f>1.79*100000000</f>
        <v>179000000</v>
      </c>
      <c r="O123" s="8">
        <f t="shared" si="37"/>
        <v>1.1056346312198564</v>
      </c>
      <c r="P123" s="7" t="s">
        <v>1746</v>
      </c>
      <c r="Q123" s="6" t="str">
        <f t="shared" si="38"/>
        <v>=8501*10000</v>
      </c>
      <c r="R123" s="11">
        <f>8501*10000</f>
        <v>85010000</v>
      </c>
      <c r="S123" s="8">
        <f t="shared" si="39"/>
        <v>-0.78978733926805145</v>
      </c>
      <c r="T123" s="6" t="s">
        <v>1747</v>
      </c>
      <c r="U123" s="6" t="str">
        <f t="shared" si="40"/>
        <v>=4.044*100000000</v>
      </c>
      <c r="V123" s="1">
        <f>4.044*100000000</f>
        <v>404399999.99999994</v>
      </c>
      <c r="W123" s="8">
        <f t="shared" si="41"/>
        <v>0.38969072164948432</v>
      </c>
      <c r="X123" s="6" t="s">
        <v>107</v>
      </c>
      <c r="Y123" s="6" t="str">
        <f t="shared" si="42"/>
        <v>=2.910*100000000</v>
      </c>
      <c r="Z123" s="1">
        <f>2.91*100000000</f>
        <v>291000000</v>
      </c>
      <c r="AA123" s="8">
        <f t="shared" si="43"/>
        <v>1.1846846846846846</v>
      </c>
      <c r="AB123" s="6" t="s">
        <v>1748</v>
      </c>
      <c r="AC123" s="6" t="str">
        <f t="shared" si="44"/>
        <v>=1.332*100000000</v>
      </c>
      <c r="AD123" s="1">
        <f>1.332*100000000</f>
        <v>133200000</v>
      </c>
      <c r="AE123" s="8">
        <f t="shared" si="45"/>
        <v>-5.1417910447761193</v>
      </c>
      <c r="AF123" s="7">
        <f>-3216*10000</f>
        <v>-32160000</v>
      </c>
      <c r="AG123" s="6" t="str">
        <f t="shared" si="46"/>
        <v>=-32160000</v>
      </c>
      <c r="AH123" s="1">
        <f>-32160000</f>
        <v>-32160000</v>
      </c>
      <c r="AI123" s="8">
        <f t="shared" si="47"/>
        <v>-1.0964317841079461</v>
      </c>
      <c r="AJ123" s="6" t="s">
        <v>1749</v>
      </c>
      <c r="AK123" s="6" t="str">
        <f t="shared" si="48"/>
        <v>=3.335*100000000</v>
      </c>
      <c r="AL123" s="1">
        <f>3.335*100000000</f>
        <v>333500000</v>
      </c>
      <c r="AM123" s="8">
        <f t="shared" si="49"/>
        <v>0.33613782051282054</v>
      </c>
      <c r="AN123" s="6" t="s">
        <v>1750</v>
      </c>
      <c r="AO123" s="6" t="str">
        <f t="shared" si="50"/>
        <v>=2.496*100000000</v>
      </c>
      <c r="AP123" s="1">
        <f>2.496*100000000</f>
        <v>249600000</v>
      </c>
      <c r="AQ123" s="8">
        <f t="shared" si="51"/>
        <v>0.39052924791086352</v>
      </c>
      <c r="AR123" s="6" t="s">
        <v>1585</v>
      </c>
      <c r="AS123" s="6" t="str">
        <f t="shared" si="52"/>
        <v>=1.795*100000000</v>
      </c>
      <c r="AT123" s="1">
        <f>1.795*100000000</f>
        <v>179500000</v>
      </c>
      <c r="AU123" s="8">
        <f t="shared" si="53"/>
        <v>2.2577132486388383</v>
      </c>
      <c r="AV123" s="7" t="s">
        <v>1751</v>
      </c>
      <c r="AW123" s="6" t="str">
        <f t="shared" si="54"/>
        <v>=5510*10000</v>
      </c>
      <c r="AX123" s="1">
        <f>5510*10000</f>
        <v>55100000</v>
      </c>
      <c r="AY123" s="10">
        <f t="shared" si="55"/>
        <v>-0.84685936631461922</v>
      </c>
      <c r="AZ123" s="6" t="s">
        <v>1752</v>
      </c>
      <c r="BA123" s="6" t="str">
        <f t="shared" si="56"/>
        <v>=3.598*100000000</v>
      </c>
      <c r="BB123" s="1">
        <f>3.598*100000000</f>
        <v>359800000</v>
      </c>
      <c r="BC123" s="8">
        <f t="shared" si="57"/>
        <v>0.32085168869309838</v>
      </c>
      <c r="BD123" s="6" t="s">
        <v>330</v>
      </c>
      <c r="BE123" s="6" t="str">
        <f t="shared" si="58"/>
        <v>=2.724*100000000</v>
      </c>
      <c r="BF123" s="1">
        <f>2.724*100000000</f>
        <v>272400000</v>
      </c>
      <c r="BG123" s="8">
        <f t="shared" si="59"/>
        <v>0.26169522927281164</v>
      </c>
      <c r="BH123" s="6" t="s">
        <v>1753</v>
      </c>
      <c r="BI123" s="6" t="str">
        <f t="shared" si="60"/>
        <v>=2.159*100000000</v>
      </c>
      <c r="BJ123" s="1">
        <f>2.159*100000000</f>
        <v>215899999.99999997</v>
      </c>
      <c r="BK123" s="7" t="s">
        <v>1754</v>
      </c>
      <c r="BL123" s="1" t="str">
        <f t="shared" si="32"/>
        <v>=9488*10000</v>
      </c>
      <c r="BM123" s="16">
        <f t="shared" si="61"/>
        <v>1.2755059021922426</v>
      </c>
      <c r="BN123" s="1">
        <f>9488*10000</f>
        <v>94880000</v>
      </c>
    </row>
    <row r="124" spans="1:66">
      <c r="A124" s="18"/>
      <c r="B124">
        <v>600081</v>
      </c>
      <c r="C124" t="s">
        <v>58</v>
      </c>
      <c r="D124" s="6" t="s">
        <v>1755</v>
      </c>
      <c r="E124" s="7" t="str">
        <f t="shared" si="31"/>
        <v>=4.835*100000000</v>
      </c>
      <c r="F124" s="1">
        <f>4.835*100000000</f>
        <v>483500000</v>
      </c>
      <c r="G124" s="8">
        <f t="shared" si="33"/>
        <v>0.7665327000365364</v>
      </c>
      <c r="H124" s="6" t="s">
        <v>1756</v>
      </c>
      <c r="I124" s="6" t="str">
        <f t="shared" si="34"/>
        <v>=2.737*100000000</v>
      </c>
      <c r="J124" s="1">
        <f>2.737*100000000</f>
        <v>273700000</v>
      </c>
      <c r="K124" s="10">
        <f t="shared" si="35"/>
        <v>0.52224694104560621</v>
      </c>
      <c r="L124" s="6" t="s">
        <v>1757</v>
      </c>
      <c r="M124" s="6" t="str">
        <f t="shared" si="36"/>
        <v>=1.798*100000000</v>
      </c>
      <c r="N124" s="1">
        <f>1.798*100000000</f>
        <v>179800000</v>
      </c>
      <c r="O124" s="8">
        <f t="shared" si="37"/>
        <v>1.1155430050594188</v>
      </c>
      <c r="P124" s="7" t="s">
        <v>1758</v>
      </c>
      <c r="Q124" s="6" t="str">
        <f t="shared" si="38"/>
        <v>=8499*10000</v>
      </c>
      <c r="R124" s="11">
        <f>8499*10000</f>
        <v>84990000</v>
      </c>
      <c r="S124" s="8">
        <f t="shared" si="39"/>
        <v>-0.73061806656101425</v>
      </c>
      <c r="T124" s="6" t="s">
        <v>1759</v>
      </c>
      <c r="U124" s="6" t="str">
        <f t="shared" si="40"/>
        <v>=3.155*100000000</v>
      </c>
      <c r="V124" s="1">
        <f>3.155*100000000</f>
        <v>315500000</v>
      </c>
      <c r="W124" s="8">
        <f t="shared" si="41"/>
        <v>0.36167457919723761</v>
      </c>
      <c r="X124" s="6" t="s">
        <v>1760</v>
      </c>
      <c r="Y124" s="6" t="str">
        <f t="shared" si="42"/>
        <v>=2.317*100000000</v>
      </c>
      <c r="Z124" s="1">
        <f>2.317*100000000</f>
        <v>231700000.00000003</v>
      </c>
      <c r="AA124" s="8">
        <f t="shared" si="43"/>
        <v>2.0676552363299354</v>
      </c>
      <c r="AB124" s="7" t="s">
        <v>1761</v>
      </c>
      <c r="AC124" s="6" t="str">
        <f t="shared" si="44"/>
        <v>=7553*10000</v>
      </c>
      <c r="AD124" s="1">
        <f>7553*10000</f>
        <v>75530000</v>
      </c>
      <c r="AE124" s="8">
        <f t="shared" si="45"/>
        <v>-1.8437220732797139</v>
      </c>
      <c r="AF124" s="7">
        <f>-8952*10000</f>
        <v>-89520000</v>
      </c>
      <c r="AG124" s="6" t="str">
        <f t="shared" si="46"/>
        <v>=-89520000</v>
      </c>
      <c r="AH124" s="1">
        <f>-89520000</f>
        <v>-89520000</v>
      </c>
      <c r="AI124" s="8">
        <f t="shared" si="47"/>
        <v>-1.26778342805863</v>
      </c>
      <c r="AJ124" s="6" t="s">
        <v>1762</v>
      </c>
      <c r="AK124" s="6" t="str">
        <f t="shared" si="48"/>
        <v>=3.343*100000000</v>
      </c>
      <c r="AL124" s="1">
        <f>3.343*100000000</f>
        <v>334300000</v>
      </c>
      <c r="AM124" s="8">
        <f t="shared" si="49"/>
        <v>0.3382706164931944</v>
      </c>
      <c r="AN124" s="6" t="s">
        <v>1763</v>
      </c>
      <c r="AO124" s="6" t="str">
        <f t="shared" si="50"/>
        <v>=2.498*100000000</v>
      </c>
      <c r="AP124" s="1">
        <f>2.498*100000000</f>
        <v>249800000.00000003</v>
      </c>
      <c r="AQ124" s="8">
        <f t="shared" si="51"/>
        <v>0.39241917502787083</v>
      </c>
      <c r="AR124" s="6" t="s">
        <v>1764</v>
      </c>
      <c r="AS124" s="6" t="str">
        <f t="shared" si="52"/>
        <v>=1.794*100000000</v>
      </c>
      <c r="AT124" s="1">
        <f>1.794*100000000</f>
        <v>179400000</v>
      </c>
      <c r="AU124" s="8">
        <f t="shared" si="53"/>
        <v>2.2447097124253932</v>
      </c>
      <c r="AV124" s="7" t="s">
        <v>1765</v>
      </c>
      <c r="AW124" s="6" t="str">
        <f t="shared" si="54"/>
        <v>=5529*10000</v>
      </c>
      <c r="AX124" s="1">
        <f>5529*10000</f>
        <v>55290000</v>
      </c>
      <c r="AY124" s="10">
        <f t="shared" si="55"/>
        <v>-0.83416316736652674</v>
      </c>
      <c r="AZ124" s="6" t="s">
        <v>1766</v>
      </c>
      <c r="BA124" s="6" t="str">
        <f t="shared" si="56"/>
        <v>=3.334*100000000</v>
      </c>
      <c r="BB124" s="1">
        <f>3.334*100000000</f>
        <v>333400000</v>
      </c>
      <c r="BC124" s="8">
        <f t="shared" si="57"/>
        <v>0.23710575139146567</v>
      </c>
      <c r="BD124" s="6" t="s">
        <v>1767</v>
      </c>
      <c r="BE124" s="6" t="str">
        <f t="shared" si="58"/>
        <v>=2.695*100000000</v>
      </c>
      <c r="BF124" s="1">
        <f>2.695*100000000</f>
        <v>269500000</v>
      </c>
      <c r="BG124" s="8">
        <f t="shared" si="59"/>
        <v>0.25523986958546829</v>
      </c>
      <c r="BH124" s="6" t="s">
        <v>1768</v>
      </c>
      <c r="BI124" s="6" t="str">
        <f t="shared" si="60"/>
        <v>=2.147*100000000</v>
      </c>
      <c r="BJ124" s="1">
        <f>2.147*100000000</f>
        <v>214699999.99999997</v>
      </c>
      <c r="BK124" s="7" t="s">
        <v>1769</v>
      </c>
      <c r="BL124" s="1" t="str">
        <f t="shared" si="32"/>
        <v>=9307*10000</v>
      </c>
      <c r="BM124" s="16">
        <f t="shared" si="61"/>
        <v>1.306865799935532</v>
      </c>
      <c r="BN124" s="1">
        <f>9307*10000</f>
        <v>93070000</v>
      </c>
    </row>
    <row r="125" spans="1:66">
      <c r="A125" s="19"/>
      <c r="B125">
        <v>600081</v>
      </c>
      <c r="C125" t="s">
        <v>68</v>
      </c>
      <c r="D125" s="6" t="s">
        <v>1770</v>
      </c>
      <c r="E125" s="7" t="str">
        <f t="shared" si="31"/>
        <v>=4.352*100000000</v>
      </c>
      <c r="F125" s="1">
        <f>4.352*100000000</f>
        <v>435200000.00000006</v>
      </c>
      <c r="G125" s="8">
        <f t="shared" si="33"/>
        <v>0.87424633936261864</v>
      </c>
      <c r="H125" s="6" t="s">
        <v>1771</v>
      </c>
      <c r="I125" s="6" t="str">
        <f t="shared" si="34"/>
        <v>=2.322*100000000</v>
      </c>
      <c r="J125" s="1">
        <f>2.322*100000000</f>
        <v>232200000</v>
      </c>
      <c r="K125" s="10">
        <f t="shared" si="35"/>
        <v>0.48465473145780052</v>
      </c>
      <c r="L125" s="6" t="s">
        <v>1772</v>
      </c>
      <c r="M125" s="6" t="str">
        <f t="shared" si="36"/>
        <v>=1.564*100000000</v>
      </c>
      <c r="N125" s="1">
        <f>1.564*100000000</f>
        <v>156400000</v>
      </c>
      <c r="O125" s="8">
        <f t="shared" si="37"/>
        <v>1.1377802077638053</v>
      </c>
      <c r="P125" s="7" t="s">
        <v>1773</v>
      </c>
      <c r="Q125" s="6" t="str">
        <f t="shared" si="38"/>
        <v>=7316*10000</v>
      </c>
      <c r="R125" s="11">
        <f>7316*10000</f>
        <v>73160000</v>
      </c>
      <c r="S125" s="8">
        <f t="shared" si="39"/>
        <v>-0.73740129217516148</v>
      </c>
      <c r="T125" s="6" t="s">
        <v>1774</v>
      </c>
      <c r="U125" s="6" t="str">
        <f t="shared" si="40"/>
        <v>=2.786*100000000</v>
      </c>
      <c r="V125" s="1">
        <f>2.786*100000000</f>
        <v>278600000</v>
      </c>
      <c r="W125" s="8">
        <f t="shared" si="41"/>
        <v>0.37241379310344846</v>
      </c>
      <c r="X125" s="6" t="s">
        <v>1775</v>
      </c>
      <c r="Y125" s="6" t="str">
        <f t="shared" si="42"/>
        <v>=2.030*100000000</v>
      </c>
      <c r="Z125" s="1">
        <f>2.03*100000000</f>
        <v>202999999.99999997</v>
      </c>
      <c r="AA125" s="8">
        <f t="shared" si="43"/>
        <v>2.1182795698924726</v>
      </c>
      <c r="AB125" s="7" t="s">
        <v>1776</v>
      </c>
      <c r="AC125" s="6" t="str">
        <f t="shared" si="44"/>
        <v>=6510*10000</v>
      </c>
      <c r="AD125" s="1">
        <f>6510*10000</f>
        <v>65100000</v>
      </c>
      <c r="AE125" s="8">
        <f t="shared" si="45"/>
        <v>-1.6741223982603293</v>
      </c>
      <c r="AF125" s="7">
        <f>-9657*10000</f>
        <v>-96570000</v>
      </c>
      <c r="AG125" s="6" t="str">
        <f t="shared" si="46"/>
        <v>=-96570000</v>
      </c>
      <c r="AH125" s="1">
        <f>-96570000</f>
        <v>-96570000</v>
      </c>
      <c r="AI125" s="8">
        <f t="shared" si="47"/>
        <v>-1.330041011619959</v>
      </c>
      <c r="AJ125" s="6" t="s">
        <v>1777</v>
      </c>
      <c r="AK125" s="6" t="str">
        <f t="shared" si="48"/>
        <v>=2.926*100000000</v>
      </c>
      <c r="AL125" s="1">
        <f>2.926*100000000</f>
        <v>292600000</v>
      </c>
      <c r="AM125" s="8">
        <f t="shared" si="49"/>
        <v>0.3239819004524887</v>
      </c>
      <c r="AN125" s="6" t="s">
        <v>1778</v>
      </c>
      <c r="AO125" s="6" t="str">
        <f t="shared" si="50"/>
        <v>=2.210*100000000</v>
      </c>
      <c r="AP125" s="1">
        <f>2.21*100000000</f>
        <v>221000000</v>
      </c>
      <c r="AQ125" s="8">
        <f t="shared" si="51"/>
        <v>0.36588380716934488</v>
      </c>
      <c r="AR125" s="6" t="s">
        <v>1779</v>
      </c>
      <c r="AS125" s="6" t="str">
        <f t="shared" si="52"/>
        <v>=1.618*100000000</v>
      </c>
      <c r="AT125" s="1">
        <f>1.618*100000000</f>
        <v>161800000</v>
      </c>
      <c r="AU125" s="8">
        <f t="shared" si="53"/>
        <v>2.682294037323623</v>
      </c>
      <c r="AV125" s="7" t="s">
        <v>1780</v>
      </c>
      <c r="AW125" s="6" t="str">
        <f t="shared" si="54"/>
        <v>=4394*10000</v>
      </c>
      <c r="AX125" s="1">
        <f>4394*10000</f>
        <v>43940000</v>
      </c>
      <c r="AY125" s="10">
        <f t="shared" si="55"/>
        <v>-0.84721835883171071</v>
      </c>
      <c r="AZ125" s="6" t="s">
        <v>1781</v>
      </c>
      <c r="BA125" s="6" t="str">
        <f t="shared" si="56"/>
        <v>=2.876*100000000</v>
      </c>
      <c r="BB125" s="1">
        <f>2.876*100000000</f>
        <v>287600000</v>
      </c>
      <c r="BC125" s="8">
        <f t="shared" si="57"/>
        <v>0.22591645353793691</v>
      </c>
      <c r="BD125" s="6" t="s">
        <v>1782</v>
      </c>
      <c r="BE125" s="6" t="str">
        <f t="shared" si="58"/>
        <v>=2.346*100000000</v>
      </c>
      <c r="BF125" s="1">
        <f>2.346*100000000</f>
        <v>234600000</v>
      </c>
      <c r="BG125" s="8">
        <f t="shared" si="59"/>
        <v>0.26673866090712745</v>
      </c>
      <c r="BH125" s="6" t="s">
        <v>1783</v>
      </c>
      <c r="BI125" s="6" t="str">
        <f t="shared" si="60"/>
        <v>=1.852*100000000</v>
      </c>
      <c r="BJ125" s="1">
        <f>1.852*100000000</f>
        <v>185200000</v>
      </c>
      <c r="BK125" s="7" t="s">
        <v>1784</v>
      </c>
      <c r="BL125" s="1" t="str">
        <f t="shared" si="32"/>
        <v>=8033*10000</v>
      </c>
      <c r="BM125" s="16">
        <f t="shared" si="61"/>
        <v>1.3054898543508029</v>
      </c>
      <c r="BN125" s="1">
        <f>8033*10000</f>
        <v>80330000</v>
      </c>
    </row>
    <row r="126" spans="1:66">
      <c r="A126" s="17">
        <v>32</v>
      </c>
      <c r="B126">
        <v>600085</v>
      </c>
      <c r="C126" t="s">
        <v>31</v>
      </c>
      <c r="D126" s="6" t="s">
        <v>1785</v>
      </c>
      <c r="E126" s="7" t="str">
        <f t="shared" si="31"/>
        <v>=146.0*100000000</v>
      </c>
      <c r="F126" s="1">
        <f>146*100000000</f>
        <v>14600000000</v>
      </c>
      <c r="G126" s="8">
        <f t="shared" si="33"/>
        <v>0.36704119850187267</v>
      </c>
      <c r="H126" s="6" t="s">
        <v>1786</v>
      </c>
      <c r="I126" s="6" t="str">
        <f t="shared" si="34"/>
        <v>=106.8*100000000</v>
      </c>
      <c r="J126" s="1">
        <f>106.8*100000000</f>
        <v>10680000000</v>
      </c>
      <c r="K126" s="10">
        <f t="shared" si="35"/>
        <v>0.45128414186710153</v>
      </c>
      <c r="L126" s="6" t="s">
        <v>1787</v>
      </c>
      <c r="M126" s="6" t="str">
        <f t="shared" si="36"/>
        <v>=73.59*100000000</v>
      </c>
      <c r="N126" s="1">
        <f>73.59*100000000</f>
        <v>7359000000</v>
      </c>
      <c r="O126" s="8">
        <f t="shared" si="37"/>
        <v>0.98569886670264439</v>
      </c>
      <c r="P126" s="6" t="s">
        <v>1788</v>
      </c>
      <c r="Q126" s="6" t="str">
        <f t="shared" si="38"/>
        <v>=37.06*100000000</v>
      </c>
      <c r="R126" s="11">
        <f>37.06*100000000</f>
        <v>3706000000</v>
      </c>
      <c r="S126" s="8">
        <f t="shared" si="39"/>
        <v>-0.71114575214341391</v>
      </c>
      <c r="T126" s="6" t="s">
        <v>1626</v>
      </c>
      <c r="U126" s="6" t="str">
        <f t="shared" si="40"/>
        <v>=128.3*100000000</v>
      </c>
      <c r="V126" s="1">
        <f>128.3*100000000</f>
        <v>12830000000.000002</v>
      </c>
      <c r="W126" s="8">
        <f t="shared" si="41"/>
        <v>0.41720976471887794</v>
      </c>
      <c r="X126" s="6" t="s">
        <v>1789</v>
      </c>
      <c r="Y126" s="6" t="str">
        <f t="shared" si="42"/>
        <v>=90.53*100000000</v>
      </c>
      <c r="Z126" s="1">
        <f>90.53*100000000</f>
        <v>9053000000</v>
      </c>
      <c r="AA126" s="8">
        <f t="shared" si="43"/>
        <v>0.50782811459027311</v>
      </c>
      <c r="AB126" s="6" t="s">
        <v>1790</v>
      </c>
      <c r="AC126" s="6" t="str">
        <f t="shared" si="44"/>
        <v>=60.04*100000000</v>
      </c>
      <c r="AD126" s="1">
        <f>60.04*100000000</f>
        <v>6004000000</v>
      </c>
      <c r="AE126" s="8">
        <f t="shared" si="45"/>
        <v>0.98151815181518154</v>
      </c>
      <c r="AF126" s="6" t="s">
        <v>1791</v>
      </c>
      <c r="AG126" s="6" t="str">
        <f t="shared" si="46"/>
        <v>=30.30*100000000</v>
      </c>
      <c r="AH126" s="1">
        <f>30.3*100000000</f>
        <v>3030000000</v>
      </c>
      <c r="AI126" s="8">
        <f t="shared" si="47"/>
        <v>-0.77183734939759041</v>
      </c>
      <c r="AJ126" s="6" t="s">
        <v>1792</v>
      </c>
      <c r="AK126" s="6" t="str">
        <f t="shared" si="48"/>
        <v>=132.8*100000000</v>
      </c>
      <c r="AL126" s="1">
        <f>132.8*100000000</f>
        <v>13280000000.000002</v>
      </c>
      <c r="AM126" s="8">
        <f t="shared" si="49"/>
        <v>0.33346721558389414</v>
      </c>
      <c r="AN126" s="6" t="s">
        <v>1793</v>
      </c>
      <c r="AO126" s="6" t="str">
        <f t="shared" si="50"/>
        <v>=99.59*100000000</v>
      </c>
      <c r="AP126" s="1">
        <f>99.59*100000000</f>
        <v>9959000000</v>
      </c>
      <c r="AQ126" s="8">
        <f t="shared" si="51"/>
        <v>0.39150482045549828</v>
      </c>
      <c r="AR126" s="6" t="s">
        <v>1794</v>
      </c>
      <c r="AS126" s="6" t="str">
        <f t="shared" si="52"/>
        <v>=71.57*100000000</v>
      </c>
      <c r="AT126" s="1">
        <f>71.57*100000000</f>
        <v>7156999999.999999</v>
      </c>
      <c r="AU126" s="8">
        <f t="shared" si="53"/>
        <v>0.82996676041932982</v>
      </c>
      <c r="AV126" s="6" t="s">
        <v>1795</v>
      </c>
      <c r="AW126" s="6" t="str">
        <f t="shared" si="54"/>
        <v>=39.11*100000000</v>
      </c>
      <c r="AX126" s="1">
        <f>39.11*100000000</f>
        <v>3911000000</v>
      </c>
      <c r="AY126" s="10">
        <f t="shared" si="55"/>
        <v>-0.72477128782547506</v>
      </c>
      <c r="AZ126" s="6" t="s">
        <v>1796</v>
      </c>
      <c r="BA126" s="6" t="str">
        <f t="shared" si="56"/>
        <v>=142.1*100000000</v>
      </c>
      <c r="BB126" s="1">
        <f>142.1*100000000</f>
        <v>14210000000</v>
      </c>
      <c r="BC126" s="8">
        <f t="shared" si="57"/>
        <v>0.35591603053435117</v>
      </c>
      <c r="BD126" s="6" t="s">
        <v>1263</v>
      </c>
      <c r="BE126" s="6" t="str">
        <f t="shared" si="58"/>
        <v>=104.8*100000000</v>
      </c>
      <c r="BF126" s="1">
        <f>104.8*100000000</f>
        <v>10480000000</v>
      </c>
      <c r="BG126" s="8">
        <f t="shared" si="59"/>
        <v>0.44213568184945645</v>
      </c>
      <c r="BH126" s="6" t="s">
        <v>1797</v>
      </c>
      <c r="BI126" s="6" t="str">
        <f t="shared" si="60"/>
        <v>=72.67*100000000</v>
      </c>
      <c r="BJ126" s="1">
        <f>72.67*100000000</f>
        <v>7267000000</v>
      </c>
      <c r="BK126" s="6" t="s">
        <v>1798</v>
      </c>
      <c r="BL126" s="1" t="str">
        <f t="shared" si="32"/>
        <v>=36.64*100000000</v>
      </c>
      <c r="BM126" s="16">
        <f t="shared" si="61"/>
        <v>0.98335152838427953</v>
      </c>
      <c r="BN126" s="1">
        <f>36.64*100000000</f>
        <v>3664000000</v>
      </c>
    </row>
    <row r="127" spans="1:66">
      <c r="A127" s="18"/>
      <c r="B127">
        <v>600085</v>
      </c>
      <c r="C127" t="s">
        <v>48</v>
      </c>
      <c r="D127" s="6" t="s">
        <v>1531</v>
      </c>
      <c r="E127" s="7" t="str">
        <f t="shared" si="31"/>
        <v>=23.28*100000000</v>
      </c>
      <c r="F127" s="1">
        <f>23.28*100000000</f>
        <v>2328000000</v>
      </c>
      <c r="G127" s="8">
        <f t="shared" si="33"/>
        <v>0.35427574171029652</v>
      </c>
      <c r="H127" s="6" t="s">
        <v>1799</v>
      </c>
      <c r="I127" s="6" t="str">
        <f t="shared" si="34"/>
        <v>=17.19*100000000</v>
      </c>
      <c r="J127" s="1">
        <f>17.19*100000000</f>
        <v>1719000000.0000002</v>
      </c>
      <c r="K127" s="10">
        <f t="shared" si="35"/>
        <v>0.39077669902912643</v>
      </c>
      <c r="L127" s="6" t="s">
        <v>1800</v>
      </c>
      <c r="M127" s="6" t="str">
        <f t="shared" si="36"/>
        <v>=12.36*100000000</v>
      </c>
      <c r="N127" s="1">
        <f>12.36*100000000</f>
        <v>1236000000</v>
      </c>
      <c r="O127" s="8">
        <f t="shared" si="37"/>
        <v>1.0641282565130261</v>
      </c>
      <c r="P127" s="6" t="s">
        <v>1801</v>
      </c>
      <c r="Q127" s="6" t="str">
        <f t="shared" si="38"/>
        <v>=5.988*100000000</v>
      </c>
      <c r="R127" s="11">
        <f>5.988*100000000</f>
        <v>598800000</v>
      </c>
      <c r="S127" s="8">
        <f t="shared" si="39"/>
        <v>-0.70134663341645886</v>
      </c>
      <c r="T127" s="6" t="s">
        <v>1802</v>
      </c>
      <c r="U127" s="6" t="str">
        <f t="shared" si="40"/>
        <v>=20.05*100000000</v>
      </c>
      <c r="V127" s="1">
        <f>20.05*100000000</f>
        <v>2005000000</v>
      </c>
      <c r="W127" s="8">
        <f t="shared" si="41"/>
        <v>0.42704626334519574</v>
      </c>
      <c r="X127" s="6" t="s">
        <v>1803</v>
      </c>
      <c r="Y127" s="6" t="str">
        <f t="shared" si="42"/>
        <v>=14.05*100000000</v>
      </c>
      <c r="Z127" s="1">
        <f>14.05*100000000</f>
        <v>1405000000</v>
      </c>
      <c r="AA127" s="8">
        <f t="shared" si="43"/>
        <v>0.51010318142734312</v>
      </c>
      <c r="AB127" s="6" t="s">
        <v>1414</v>
      </c>
      <c r="AC127" s="6" t="str">
        <f t="shared" si="44"/>
        <v>=9.304*100000000</v>
      </c>
      <c r="AD127" s="1">
        <f>9.304*100000000</f>
        <v>930400000</v>
      </c>
      <c r="AE127" s="8">
        <f t="shared" si="45"/>
        <v>1.0680151144698824</v>
      </c>
      <c r="AF127" s="6" t="s">
        <v>1804</v>
      </c>
      <c r="AG127" s="6" t="str">
        <f t="shared" si="46"/>
        <v>=4.499*100000000</v>
      </c>
      <c r="AH127" s="1">
        <f>4.499*100000000</f>
        <v>449899999.99999994</v>
      </c>
      <c r="AI127" s="8">
        <f t="shared" si="47"/>
        <v>-0.7713922764227642</v>
      </c>
      <c r="AJ127" s="6" t="s">
        <v>1805</v>
      </c>
      <c r="AK127" s="6" t="str">
        <f t="shared" si="48"/>
        <v>=19.68*100000000</v>
      </c>
      <c r="AL127" s="1">
        <f>19.68*100000000</f>
        <v>1968000000</v>
      </c>
      <c r="AM127" s="8">
        <f t="shared" si="49"/>
        <v>0.1562867215041128</v>
      </c>
      <c r="AN127" s="6" t="s">
        <v>1806</v>
      </c>
      <c r="AO127" s="6" t="str">
        <f t="shared" si="50"/>
        <v>=17.02*100000000</v>
      </c>
      <c r="AP127" s="1">
        <f>17.02*100000000</f>
        <v>1702000000</v>
      </c>
      <c r="AQ127" s="8">
        <f t="shared" si="51"/>
        <v>0.29037149355572406</v>
      </c>
      <c r="AR127" s="6" t="s">
        <v>1807</v>
      </c>
      <c r="AS127" s="6" t="str">
        <f t="shared" si="52"/>
        <v>=13.19*100000000</v>
      </c>
      <c r="AT127" s="1">
        <f>13.19*100000000</f>
        <v>1319000000</v>
      </c>
      <c r="AU127" s="8">
        <f t="shared" si="53"/>
        <v>0.92779888921368026</v>
      </c>
      <c r="AV127" s="6" t="s">
        <v>1808</v>
      </c>
      <c r="AW127" s="6" t="str">
        <f t="shared" si="54"/>
        <v>=6.842*100000000</v>
      </c>
      <c r="AX127" s="1">
        <f>6.842*100000000</f>
        <v>684200000</v>
      </c>
      <c r="AY127" s="10">
        <f t="shared" si="55"/>
        <v>-0.69951690821256041</v>
      </c>
      <c r="AZ127" s="6" t="s">
        <v>1809</v>
      </c>
      <c r="BA127" s="6" t="str">
        <f t="shared" si="56"/>
        <v>=22.77*100000000</v>
      </c>
      <c r="BB127" s="1">
        <f>22.77*100000000</f>
        <v>2277000000</v>
      </c>
      <c r="BC127" s="8">
        <f t="shared" si="57"/>
        <v>0.28281690140845073</v>
      </c>
      <c r="BD127" s="6" t="s">
        <v>1810</v>
      </c>
      <c r="BE127" s="6" t="str">
        <f t="shared" si="58"/>
        <v>=17.75*100000000</v>
      </c>
      <c r="BF127" s="1">
        <f>17.75*100000000</f>
        <v>1775000000</v>
      </c>
      <c r="BG127" s="8">
        <f t="shared" si="59"/>
        <v>0.34980988593155893</v>
      </c>
      <c r="BH127" s="6" t="s">
        <v>1571</v>
      </c>
      <c r="BI127" s="6" t="str">
        <f t="shared" si="60"/>
        <v>=13.15*100000000</v>
      </c>
      <c r="BJ127" s="1">
        <f>13.15*100000000</f>
        <v>1315000000</v>
      </c>
      <c r="BK127" s="6" t="s">
        <v>1811</v>
      </c>
      <c r="BL127" s="1" t="str">
        <f t="shared" si="32"/>
        <v>=6.539*100000000</v>
      </c>
      <c r="BM127" s="16">
        <f t="shared" si="61"/>
        <v>1.0110108579293471</v>
      </c>
      <c r="BN127" s="1">
        <f>6.539*100000000</f>
        <v>653900000</v>
      </c>
    </row>
    <row r="128" spans="1:66">
      <c r="A128" s="18"/>
      <c r="B128">
        <v>600085</v>
      </c>
      <c r="C128" t="s">
        <v>58</v>
      </c>
      <c r="D128" s="6" t="s">
        <v>1812</v>
      </c>
      <c r="E128" s="7" t="str">
        <f t="shared" si="31"/>
        <v>=23.27*100000000</v>
      </c>
      <c r="F128" s="1">
        <f>23.27*100000000</f>
        <v>2327000000</v>
      </c>
      <c r="G128" s="8">
        <f t="shared" si="33"/>
        <v>0.34898550724637684</v>
      </c>
      <c r="H128" s="6" t="s">
        <v>1742</v>
      </c>
      <c r="I128" s="6" t="str">
        <f t="shared" si="34"/>
        <v>=17.25*100000000</v>
      </c>
      <c r="J128" s="1">
        <f>17.25*100000000</f>
        <v>1725000000</v>
      </c>
      <c r="K128" s="10">
        <f t="shared" si="35"/>
        <v>0.39000805801772764</v>
      </c>
      <c r="L128" s="6" t="s">
        <v>1813</v>
      </c>
      <c r="M128" s="6" t="str">
        <f t="shared" si="36"/>
        <v>=12.41*100000000</v>
      </c>
      <c r="N128" s="1">
        <f>12.41*100000000</f>
        <v>1241000000</v>
      </c>
      <c r="O128" s="8">
        <f t="shared" si="37"/>
        <v>1.0752508361204014</v>
      </c>
      <c r="P128" s="6" t="s">
        <v>1814</v>
      </c>
      <c r="Q128" s="6" t="str">
        <f t="shared" si="38"/>
        <v>=5.980*100000000</v>
      </c>
      <c r="R128" s="11">
        <f>5.98*100000000</f>
        <v>598000000</v>
      </c>
      <c r="S128" s="8">
        <f t="shared" si="39"/>
        <v>-0.69843671205244573</v>
      </c>
      <c r="T128" s="6" t="s">
        <v>1815</v>
      </c>
      <c r="U128" s="6" t="str">
        <f t="shared" si="40"/>
        <v>=19.83*100000000</v>
      </c>
      <c r="V128" s="1">
        <f>19.83*100000000</f>
        <v>1982999999.9999998</v>
      </c>
      <c r="W128" s="8">
        <f t="shared" si="41"/>
        <v>0.42970439798125432</v>
      </c>
      <c r="X128" s="6" t="s">
        <v>1193</v>
      </c>
      <c r="Y128" s="6" t="str">
        <f t="shared" si="42"/>
        <v>=13.87*100000000</v>
      </c>
      <c r="Z128" s="1">
        <f>13.87*100000000</f>
        <v>1387000000</v>
      </c>
      <c r="AA128" s="8">
        <f t="shared" si="43"/>
        <v>0.51650994970478881</v>
      </c>
      <c r="AB128" s="6" t="s">
        <v>1816</v>
      </c>
      <c r="AC128" s="6" t="str">
        <f t="shared" si="44"/>
        <v>=9.146*100000000</v>
      </c>
      <c r="AD128" s="1">
        <f>9.146*100000000</f>
        <v>914600000.00000012</v>
      </c>
      <c r="AE128" s="8">
        <f t="shared" si="45"/>
        <v>1.073452731806847</v>
      </c>
      <c r="AF128" s="6" t="s">
        <v>1817</v>
      </c>
      <c r="AG128" s="6" t="str">
        <f t="shared" si="46"/>
        <v>=4.411*100000000</v>
      </c>
      <c r="AH128" s="1">
        <f>4.411*100000000</f>
        <v>441099999.99999994</v>
      </c>
      <c r="AI128" s="8">
        <f t="shared" si="47"/>
        <v>-0.77574987290289787</v>
      </c>
      <c r="AJ128" s="6" t="s">
        <v>1818</v>
      </c>
      <c r="AK128" s="6" t="str">
        <f t="shared" si="48"/>
        <v>=19.67*100000000</v>
      </c>
      <c r="AL128" s="1">
        <f>19.67*100000000</f>
        <v>1967000000.0000002</v>
      </c>
      <c r="AM128" s="8">
        <f t="shared" si="49"/>
        <v>0.15705882352941192</v>
      </c>
      <c r="AN128" s="6" t="s">
        <v>1424</v>
      </c>
      <c r="AO128" s="6" t="str">
        <f t="shared" si="50"/>
        <v>=17.00*100000000</v>
      </c>
      <c r="AP128" s="1">
        <f>17*100000000</f>
        <v>1700000000</v>
      </c>
      <c r="AQ128" s="8">
        <f t="shared" si="51"/>
        <v>0.2878787878787879</v>
      </c>
      <c r="AR128" s="6" t="s">
        <v>1819</v>
      </c>
      <c r="AS128" s="6" t="str">
        <f t="shared" si="52"/>
        <v>=13.20*100000000</v>
      </c>
      <c r="AT128" s="1">
        <f>13.2*100000000</f>
        <v>1320000000</v>
      </c>
      <c r="AU128" s="8">
        <f t="shared" si="53"/>
        <v>0.92363742349169342</v>
      </c>
      <c r="AV128" s="6" t="s">
        <v>1820</v>
      </c>
      <c r="AW128" s="6" t="str">
        <f t="shared" si="54"/>
        <v>=6.862*100000000</v>
      </c>
      <c r="AX128" s="1">
        <f>6.862*100000000</f>
        <v>686200000</v>
      </c>
      <c r="AY128" s="10">
        <f t="shared" si="55"/>
        <v>-0.69569844789356983</v>
      </c>
      <c r="AZ128" s="6" t="s">
        <v>1821</v>
      </c>
      <c r="BA128" s="6" t="str">
        <f t="shared" si="56"/>
        <v>=22.55*100000000</v>
      </c>
      <c r="BB128" s="1">
        <f>22.55*100000000</f>
        <v>2255000000</v>
      </c>
      <c r="BC128" s="8">
        <f t="shared" si="57"/>
        <v>0.26970720720720703</v>
      </c>
      <c r="BD128" s="6" t="s">
        <v>1822</v>
      </c>
      <c r="BE128" s="6" t="str">
        <f t="shared" si="58"/>
        <v>=17.76*100000000</v>
      </c>
      <c r="BF128" s="1">
        <f>17.76*100000000</f>
        <v>1776000000.0000002</v>
      </c>
      <c r="BG128" s="8">
        <f t="shared" si="59"/>
        <v>0.34851936218678836</v>
      </c>
      <c r="BH128" s="6" t="s">
        <v>1823</v>
      </c>
      <c r="BI128" s="6" t="str">
        <f t="shared" si="60"/>
        <v>=13.17*100000000</v>
      </c>
      <c r="BJ128" s="1">
        <f>13.17*100000000</f>
        <v>1317000000</v>
      </c>
      <c r="BK128" s="6" t="s">
        <v>1824</v>
      </c>
      <c r="BL128" s="1" t="str">
        <f t="shared" si="32"/>
        <v>=6.538*100000000</v>
      </c>
      <c r="BM128" s="16">
        <f t="shared" si="61"/>
        <v>1.0143774854695626</v>
      </c>
      <c r="BN128" s="1">
        <f>6.538*100000000</f>
        <v>653800000</v>
      </c>
    </row>
    <row r="129" spans="1:66">
      <c r="A129" s="19"/>
      <c r="B129">
        <v>600085</v>
      </c>
      <c r="C129" t="s">
        <v>68</v>
      </c>
      <c r="D129" s="6" t="s">
        <v>1825</v>
      </c>
      <c r="E129" s="7" t="str">
        <f t="shared" si="31"/>
        <v>=18.91*100000000</v>
      </c>
      <c r="F129" s="1">
        <f>18.91*100000000</f>
        <v>1891000000</v>
      </c>
      <c r="G129" s="8">
        <f t="shared" si="33"/>
        <v>0.34686609686609687</v>
      </c>
      <c r="H129" s="6" t="s">
        <v>1826</v>
      </c>
      <c r="I129" s="6" t="str">
        <f t="shared" si="34"/>
        <v>=14.04*100000000</v>
      </c>
      <c r="J129" s="1">
        <f>14.04*100000000</f>
        <v>1404000000</v>
      </c>
      <c r="K129" s="10">
        <f t="shared" si="35"/>
        <v>0.41789537467178367</v>
      </c>
      <c r="L129" s="6" t="s">
        <v>1827</v>
      </c>
      <c r="M129" s="6" t="str">
        <f t="shared" si="36"/>
        <v>=9.902*100000000</v>
      </c>
      <c r="N129" s="1">
        <f>9.902*100000000</f>
        <v>990199999.99999988</v>
      </c>
      <c r="O129" s="8">
        <f t="shared" si="37"/>
        <v>1.0328474645863268</v>
      </c>
      <c r="P129" s="6" t="s">
        <v>1828</v>
      </c>
      <c r="Q129" s="6" t="str">
        <f t="shared" si="38"/>
        <v>=4.871*100000000</v>
      </c>
      <c r="R129" s="11">
        <f>4.871*100000000</f>
        <v>487100000.00000006</v>
      </c>
      <c r="S129" s="8">
        <f t="shared" si="39"/>
        <v>-0.69857673267326736</v>
      </c>
      <c r="T129" s="6" t="s">
        <v>1829</v>
      </c>
      <c r="U129" s="6" t="str">
        <f t="shared" si="40"/>
        <v>=16.16*100000000</v>
      </c>
      <c r="V129" s="1">
        <f>16.16*100000000</f>
        <v>1616000000</v>
      </c>
      <c r="W129" s="8">
        <f t="shared" si="41"/>
        <v>0.43135518157661645</v>
      </c>
      <c r="X129" s="6" t="s">
        <v>1830</v>
      </c>
      <c r="Y129" s="6" t="str">
        <f t="shared" si="42"/>
        <v>=11.29*100000000</v>
      </c>
      <c r="Z129" s="1">
        <f>11.29*100000000</f>
        <v>1129000000</v>
      </c>
      <c r="AA129" s="8">
        <f t="shared" si="43"/>
        <v>0.52443964353227113</v>
      </c>
      <c r="AB129" s="6" t="s">
        <v>1831</v>
      </c>
      <c r="AC129" s="6" t="str">
        <f t="shared" si="44"/>
        <v>=7.406*100000000</v>
      </c>
      <c r="AD129" s="1">
        <f>7.406*100000000</f>
        <v>740600000</v>
      </c>
      <c r="AE129" s="8">
        <f t="shared" si="45"/>
        <v>1.0681373917900028</v>
      </c>
      <c r="AF129" s="6" t="s">
        <v>1832</v>
      </c>
      <c r="AG129" s="6" t="str">
        <f t="shared" si="46"/>
        <v>=3.581*100000000</v>
      </c>
      <c r="AH129" s="1">
        <f>3.581*100000000</f>
        <v>358100000</v>
      </c>
      <c r="AI129" s="8">
        <f t="shared" si="47"/>
        <v>-0.77074263764404605</v>
      </c>
      <c r="AJ129" s="6" t="s">
        <v>1833</v>
      </c>
      <c r="AK129" s="6" t="str">
        <f t="shared" si="48"/>
        <v>=15.62*100000000</v>
      </c>
      <c r="AL129" s="1">
        <f>15.62*100000000</f>
        <v>1562000000</v>
      </c>
      <c r="AM129" s="8">
        <f t="shared" si="49"/>
        <v>0.12536023054755044</v>
      </c>
      <c r="AN129" s="6" t="s">
        <v>1834</v>
      </c>
      <c r="AO129" s="6" t="str">
        <f t="shared" si="50"/>
        <v>=13.88*100000000</v>
      </c>
      <c r="AP129" s="1">
        <f>13.88*100000000</f>
        <v>1388000000</v>
      </c>
      <c r="AQ129" s="8">
        <f t="shared" si="51"/>
        <v>0.28637627432808155</v>
      </c>
      <c r="AR129" s="6" t="s">
        <v>1835</v>
      </c>
      <c r="AS129" s="6" t="str">
        <f t="shared" si="52"/>
        <v>=10.79*100000000</v>
      </c>
      <c r="AT129" s="1">
        <f>10.79*100000000</f>
        <v>1079000000</v>
      </c>
      <c r="AU129" s="8">
        <f t="shared" si="53"/>
        <v>0.89897923266455471</v>
      </c>
      <c r="AV129" s="6" t="s">
        <v>1836</v>
      </c>
      <c r="AW129" s="6" t="str">
        <f t="shared" si="54"/>
        <v>=5.682*100000000</v>
      </c>
      <c r="AX129" s="1">
        <f>5.682*100000000</f>
        <v>568200000</v>
      </c>
      <c r="AY129" s="10">
        <f t="shared" si="55"/>
        <v>-0.68831596269884809</v>
      </c>
      <c r="AZ129" s="6" t="s">
        <v>1837</v>
      </c>
      <c r="BA129" s="6" t="str">
        <f t="shared" si="56"/>
        <v>=18.23*100000000</v>
      </c>
      <c r="BB129" s="1">
        <f>18.23*100000000</f>
        <v>1823000000</v>
      </c>
      <c r="BC129" s="8">
        <f t="shared" si="57"/>
        <v>0.25810904071773638</v>
      </c>
      <c r="BD129" s="6" t="s">
        <v>1838</v>
      </c>
      <c r="BE129" s="6" t="str">
        <f t="shared" si="58"/>
        <v>=14.49*100000000</v>
      </c>
      <c r="BF129" s="1">
        <f>14.49*100000000</f>
        <v>1449000000</v>
      </c>
      <c r="BG129" s="8">
        <f t="shared" si="59"/>
        <v>0.34665427509293678</v>
      </c>
      <c r="BH129" s="6" t="s">
        <v>649</v>
      </c>
      <c r="BI129" s="6" t="str">
        <f t="shared" si="60"/>
        <v>=10.76*100000000</v>
      </c>
      <c r="BJ129" s="1">
        <f>10.76*100000000</f>
        <v>1076000000</v>
      </c>
      <c r="BK129" s="6" t="s">
        <v>1839</v>
      </c>
      <c r="BL129" s="1" t="str">
        <f t="shared" si="32"/>
        <v>=5.383*100000000</v>
      </c>
      <c r="BM129" s="16">
        <f t="shared" si="61"/>
        <v>0.99888537989968418</v>
      </c>
      <c r="BN129" s="1">
        <f>5.383*100000000</f>
        <v>538300000</v>
      </c>
    </row>
    <row r="130" spans="1:66">
      <c r="A130" s="17">
        <v>33</v>
      </c>
      <c r="B130">
        <v>600089</v>
      </c>
      <c r="C130" t="s">
        <v>31</v>
      </c>
      <c r="D130" s="6" t="s">
        <v>1840</v>
      </c>
      <c r="E130" s="7" t="str">
        <f t="shared" ref="E130:E193" si="62">"="&amp;D130</f>
        <v>=612.8*100000000</v>
      </c>
      <c r="F130" s="1">
        <f>612.8*100000000</f>
        <v>61279999999.999992</v>
      </c>
      <c r="G130" s="8">
        <f t="shared" si="33"/>
        <v>0.56686269496292485</v>
      </c>
      <c r="H130" s="6" t="s">
        <v>1841</v>
      </c>
      <c r="I130" s="6" t="str">
        <f t="shared" si="34"/>
        <v>=391.1*100000000</v>
      </c>
      <c r="J130" s="1">
        <f>391.1*100000000</f>
        <v>39110000000</v>
      </c>
      <c r="K130" s="10">
        <f t="shared" si="35"/>
        <v>0.73899510893730547</v>
      </c>
      <c r="L130" s="6" t="s">
        <v>1842</v>
      </c>
      <c r="M130" s="6" t="str">
        <f t="shared" si="36"/>
        <v>=224.9*100000000</v>
      </c>
      <c r="N130" s="1">
        <f>224.9*100000000</f>
        <v>22490000000</v>
      </c>
      <c r="O130" s="8">
        <f t="shared" si="37"/>
        <v>1.3829201101928374</v>
      </c>
      <c r="P130" s="6" t="s">
        <v>1843</v>
      </c>
      <c r="Q130" s="6" t="str">
        <f t="shared" si="38"/>
        <v>=94.38*100000000</v>
      </c>
      <c r="R130" s="11">
        <f>94.38*100000000</f>
        <v>9438000000</v>
      </c>
      <c r="S130" s="8">
        <f t="shared" si="39"/>
        <v>-0.78838565022421525</v>
      </c>
      <c r="T130" s="6" t="s">
        <v>1844</v>
      </c>
      <c r="U130" s="6" t="str">
        <f t="shared" si="40"/>
        <v>=446.0*100000000</v>
      </c>
      <c r="V130" s="1">
        <f>446*100000000</f>
        <v>44600000000</v>
      </c>
      <c r="W130" s="8">
        <f t="shared" si="41"/>
        <v>0.51289009497964722</v>
      </c>
      <c r="X130" s="6" t="s">
        <v>1845</v>
      </c>
      <c r="Y130" s="6" t="str">
        <f t="shared" si="42"/>
        <v>=294.8*100000000</v>
      </c>
      <c r="Z130" s="1">
        <f>294.8*100000000</f>
        <v>29480000000</v>
      </c>
      <c r="AA130" s="8">
        <f t="shared" si="43"/>
        <v>0.64051196438508629</v>
      </c>
      <c r="AB130" s="6" t="s">
        <v>1846</v>
      </c>
      <c r="AC130" s="6" t="str">
        <f t="shared" si="44"/>
        <v>=179.7*100000000</v>
      </c>
      <c r="AD130" s="1">
        <f>179.7*100000000</f>
        <v>17970000000</v>
      </c>
      <c r="AE130" s="8">
        <f t="shared" si="45"/>
        <v>1.2807462875999491</v>
      </c>
      <c r="AF130" s="6" t="s">
        <v>1847</v>
      </c>
      <c r="AG130" s="6" t="str">
        <f t="shared" si="46"/>
        <v>=78.79*100000000</v>
      </c>
      <c r="AH130" s="1">
        <f>78.79*100000000</f>
        <v>7879000000.000001</v>
      </c>
      <c r="AI130" s="8">
        <f t="shared" si="47"/>
        <v>-0.78693888588426175</v>
      </c>
      <c r="AJ130" s="6" t="s">
        <v>1848</v>
      </c>
      <c r="AK130" s="6" t="str">
        <f t="shared" si="48"/>
        <v>=369.8*100000000</v>
      </c>
      <c r="AL130" s="1">
        <f>369.8*100000000</f>
        <v>36980000000</v>
      </c>
      <c r="AM130" s="8">
        <f t="shared" si="49"/>
        <v>0.4530451866404715</v>
      </c>
      <c r="AN130" s="6" t="s">
        <v>1849</v>
      </c>
      <c r="AO130" s="6" t="str">
        <f t="shared" si="50"/>
        <v>=254.5*100000000</v>
      </c>
      <c r="AP130" s="1">
        <f>254.5*100000000</f>
        <v>25450000000</v>
      </c>
      <c r="AQ130" s="8">
        <f t="shared" si="51"/>
        <v>0.49266862170087977</v>
      </c>
      <c r="AR130" s="6" t="s">
        <v>1850</v>
      </c>
      <c r="AS130" s="6" t="str">
        <f t="shared" si="52"/>
        <v>=170.5*100000000</v>
      </c>
      <c r="AT130" s="1">
        <f>170.5*100000000</f>
        <v>17050000000</v>
      </c>
      <c r="AU130" s="8">
        <f t="shared" si="53"/>
        <v>1.127526828050911</v>
      </c>
      <c r="AV130" s="6" t="s">
        <v>1851</v>
      </c>
      <c r="AW130" s="6" t="str">
        <f t="shared" si="54"/>
        <v>=80.14*100000000</v>
      </c>
      <c r="AX130" s="1">
        <f>80.14*100000000</f>
        <v>8014000000</v>
      </c>
      <c r="AY130" s="10">
        <f t="shared" si="55"/>
        <v>-0.79793242561775091</v>
      </c>
      <c r="AZ130" s="6" t="s">
        <v>1261</v>
      </c>
      <c r="BA130" s="6" t="str">
        <f t="shared" si="56"/>
        <v>=396.6*100000000</v>
      </c>
      <c r="BB130" s="1">
        <f>396.6*100000000</f>
        <v>39660000000</v>
      </c>
      <c r="BC130" s="8">
        <f t="shared" si="57"/>
        <v>0.40538625088589653</v>
      </c>
      <c r="BD130" s="6" t="s">
        <v>1852</v>
      </c>
      <c r="BE130" s="6" t="str">
        <f t="shared" si="58"/>
        <v>=282.2*100000000</v>
      </c>
      <c r="BF130" s="1">
        <f>282.2*100000000</f>
        <v>28220000000</v>
      </c>
      <c r="BG130" s="8">
        <f t="shared" si="59"/>
        <v>0.51638903815153148</v>
      </c>
      <c r="BH130" s="6" t="s">
        <v>1853</v>
      </c>
      <c r="BI130" s="6" t="str">
        <f t="shared" si="60"/>
        <v>=186.1*100000000</v>
      </c>
      <c r="BJ130" s="1">
        <f>186.1*100000000</f>
        <v>18610000000</v>
      </c>
      <c r="BK130" s="6" t="s">
        <v>1854</v>
      </c>
      <c r="BL130" s="1" t="str">
        <f t="shared" ref="BL130:BL193" si="63">"="&amp;BK130</f>
        <v>=80.07*100000000</v>
      </c>
      <c r="BM130" s="16">
        <f t="shared" si="61"/>
        <v>1.3242163107281131</v>
      </c>
      <c r="BN130" s="1">
        <f>80.07*100000000</f>
        <v>8006999999.999999</v>
      </c>
    </row>
    <row r="131" spans="1:66">
      <c r="A131" s="18"/>
      <c r="B131">
        <v>600089</v>
      </c>
      <c r="C131" t="s">
        <v>48</v>
      </c>
      <c r="D131" s="6" t="s">
        <v>1855</v>
      </c>
      <c r="E131" s="7" t="str">
        <f t="shared" si="62"/>
        <v>=115.5*100000000</v>
      </c>
      <c r="F131" s="1">
        <f>115.5*100000000</f>
        <v>11550000000</v>
      </c>
      <c r="G131" s="8">
        <f t="shared" ref="G131:G194" si="64">(F131-J131)/J131</f>
        <v>0.457045540557588</v>
      </c>
      <c r="H131" s="6" t="s">
        <v>1856</v>
      </c>
      <c r="I131" s="6" t="str">
        <f t="shared" ref="I131:I194" si="65">"="&amp;H131</f>
        <v>=79.27*100000000</v>
      </c>
      <c r="J131" s="1">
        <f>79.27*100000000</f>
        <v>7927000000</v>
      </c>
      <c r="K131" s="10">
        <f t="shared" ref="K131:K194" si="66">(J131-N131)/N131</f>
        <v>0.77218868768164539</v>
      </c>
      <c r="L131" s="6" t="s">
        <v>1857</v>
      </c>
      <c r="M131" s="6" t="str">
        <f t="shared" ref="M131:M194" si="67">"="&amp;L131</f>
        <v>=44.73*100000000</v>
      </c>
      <c r="N131" s="1">
        <f>44.73*100000000</f>
        <v>4473000000</v>
      </c>
      <c r="O131" s="8">
        <f t="shared" ref="O131:O194" si="68">(N131-R131)/R131</f>
        <v>0.65728047424972214</v>
      </c>
      <c r="P131" s="6" t="s">
        <v>1858</v>
      </c>
      <c r="Q131" s="6" t="str">
        <f t="shared" ref="Q131:Q194" si="69">"="&amp;P131</f>
        <v>=26.99*100000000</v>
      </c>
      <c r="R131" s="11">
        <f>26.99*100000000</f>
        <v>2699000000</v>
      </c>
      <c r="S131" s="8">
        <f t="shared" ref="S131:S194" si="70">(R131-V131)/V131</f>
        <v>-0.2677699403147043</v>
      </c>
      <c r="T131" s="6" t="s">
        <v>1859</v>
      </c>
      <c r="U131" s="6" t="str">
        <f t="shared" ref="U131:U194" si="71">"="&amp;T131</f>
        <v>=36.86*100000000</v>
      </c>
      <c r="V131" s="1">
        <f>36.86*100000000</f>
        <v>3686000000</v>
      </c>
      <c r="W131" s="8">
        <f t="shared" ref="W131:W194" si="72">(V131-Z131)/Z131</f>
        <v>0.76110845676063066</v>
      </c>
      <c r="X131" s="6" t="s">
        <v>1860</v>
      </c>
      <c r="Y131" s="6" t="str">
        <f t="shared" ref="Y131:Y194" si="73">"="&amp;X131</f>
        <v>=20.93*100000000</v>
      </c>
      <c r="Z131" s="1">
        <f>20.93*100000000</f>
        <v>2093000000</v>
      </c>
      <c r="AA131" s="8">
        <f t="shared" ref="AA131:AA194" si="74">(Z131-AD131)/AD131</f>
        <v>0.7226337448559671</v>
      </c>
      <c r="AB131" s="6" t="s">
        <v>1396</v>
      </c>
      <c r="AC131" s="6" t="str">
        <f t="shared" ref="AC131:AC194" si="75">"="&amp;AB131</f>
        <v>=12.15*100000000</v>
      </c>
      <c r="AD131" s="1">
        <f>12.15*100000000</f>
        <v>1215000000</v>
      </c>
      <c r="AE131" s="8">
        <f t="shared" ref="AE131:AE194" si="76">(AD131-AH131)/AH131</f>
        <v>1.2244599047967777</v>
      </c>
      <c r="AF131" s="6" t="s">
        <v>1861</v>
      </c>
      <c r="AG131" s="6" t="str">
        <f t="shared" ref="AG131:AG194" si="77">"="&amp;AF131</f>
        <v>=5.462*100000000</v>
      </c>
      <c r="AH131" s="1">
        <f>5.462*100000000</f>
        <v>546200000</v>
      </c>
      <c r="AI131" s="8">
        <f t="shared" ref="AI131:AI194" si="78">(AH131-AL131)/AL131</f>
        <v>-0.80875350140056024</v>
      </c>
      <c r="AJ131" s="6" t="s">
        <v>1862</v>
      </c>
      <c r="AK131" s="6" t="str">
        <f t="shared" ref="AK131:AK194" si="79">"="&amp;AJ131</f>
        <v>=28.56*100000000</v>
      </c>
      <c r="AL131" s="1">
        <f>28.56*100000000</f>
        <v>2856000000</v>
      </c>
      <c r="AM131" s="8">
        <f t="shared" ref="AM131:AM194" si="80">(AL131-AP131)/AP131</f>
        <v>0.32590529247910865</v>
      </c>
      <c r="AN131" s="6" t="s">
        <v>1863</v>
      </c>
      <c r="AO131" s="6" t="str">
        <f t="shared" ref="AO131:AO194" si="81">"="&amp;AN131</f>
        <v>=21.54*100000000</v>
      </c>
      <c r="AP131" s="1">
        <f>21.54*100000000</f>
        <v>2154000000</v>
      </c>
      <c r="AQ131" s="8">
        <f t="shared" ref="AQ131:AQ194" si="82">(AP131-AT131)/AT131</f>
        <v>0.56200145032632343</v>
      </c>
      <c r="AR131" s="6" t="s">
        <v>1864</v>
      </c>
      <c r="AS131" s="6" t="str">
        <f t="shared" ref="AS131:AS194" si="83">"="&amp;AR131</f>
        <v>=13.79*100000000</v>
      </c>
      <c r="AT131" s="1">
        <f>13.79*100000000</f>
        <v>1379000000</v>
      </c>
      <c r="AU131" s="8">
        <f t="shared" ref="AU131:AU194" si="84">(AT131-AX131)/AX131</f>
        <v>1.4295278365045807</v>
      </c>
      <c r="AV131" s="6" t="s">
        <v>1865</v>
      </c>
      <c r="AW131" s="6" t="str">
        <f t="shared" ref="AW131:AW194" si="85">"="&amp;AV131</f>
        <v>=5.676*100000000</v>
      </c>
      <c r="AX131" s="1">
        <f>5.676*100000000</f>
        <v>567600000</v>
      </c>
      <c r="AY131" s="10">
        <f t="shared" ref="AY131:AY194" si="86">(AX131-BB131)/BB131</f>
        <v>-0.79523809523809519</v>
      </c>
      <c r="AZ131" s="6" t="s">
        <v>1866</v>
      </c>
      <c r="BA131" s="6" t="str">
        <f t="shared" ref="BA131:BA194" si="87">"="&amp;AZ131</f>
        <v>=27.72*100000000</v>
      </c>
      <c r="BB131" s="1">
        <f>27.72*100000000</f>
        <v>2772000000</v>
      </c>
      <c r="BC131" s="8">
        <f t="shared" ref="BC131:BC194" si="88">(BB131-BF131)/BF131</f>
        <v>0.10879999999999999</v>
      </c>
      <c r="BD131" s="6" t="s">
        <v>1867</v>
      </c>
      <c r="BE131" s="6" t="str">
        <f t="shared" ref="BE131:BE194" si="89">"="&amp;BD131</f>
        <v>=25.00*100000000</v>
      </c>
      <c r="BF131" s="1">
        <f>25*100000000</f>
        <v>2500000000</v>
      </c>
      <c r="BG131" s="8">
        <f t="shared" ref="BG131:BG194" si="90">(BF131-BJ131)/BJ131</f>
        <v>0.34553283100107662</v>
      </c>
      <c r="BH131" s="6" t="s">
        <v>1868</v>
      </c>
      <c r="BI131" s="6" t="str">
        <f t="shared" ref="BI131:BI194" si="91">"="&amp;BH131</f>
        <v>=18.58*100000000</v>
      </c>
      <c r="BJ131" s="1">
        <f>18.58*100000000</f>
        <v>1857999999.9999998</v>
      </c>
      <c r="BK131" s="6" t="s">
        <v>1869</v>
      </c>
      <c r="BL131" s="1" t="str">
        <f t="shared" si="63"/>
        <v>=7.841*100000000</v>
      </c>
      <c r="BM131" s="16">
        <f t="shared" ref="BM131:BM194" si="92">(BJ131-BN131)/BN131</f>
        <v>1.3695957148322915</v>
      </c>
      <c r="BN131" s="1">
        <f>7.841*100000000</f>
        <v>784100000</v>
      </c>
    </row>
    <row r="132" spans="1:66">
      <c r="A132" s="18"/>
      <c r="B132">
        <v>600089</v>
      </c>
      <c r="C132" t="s">
        <v>58</v>
      </c>
      <c r="D132" s="6" t="s">
        <v>1870</v>
      </c>
      <c r="E132" s="7" t="str">
        <f t="shared" si="62"/>
        <v>=115.4*100000000</v>
      </c>
      <c r="F132" s="1">
        <f>115.4*100000000</f>
        <v>11540000000</v>
      </c>
      <c r="G132" s="8">
        <f t="shared" si="64"/>
        <v>0.44665914504199572</v>
      </c>
      <c r="H132" s="6" t="s">
        <v>1871</v>
      </c>
      <c r="I132" s="6" t="str">
        <f t="shared" si="65"/>
        <v>=79.77*100000000</v>
      </c>
      <c r="J132" s="1">
        <f>79.77*100000000</f>
        <v>7977000000</v>
      </c>
      <c r="K132" s="10">
        <f t="shared" si="66"/>
        <v>0.76756038112120539</v>
      </c>
      <c r="L132" s="6" t="s">
        <v>1872</v>
      </c>
      <c r="M132" s="6" t="str">
        <f t="shared" si="67"/>
        <v>=45.13*100000000</v>
      </c>
      <c r="N132" s="1">
        <f>45.13*100000000</f>
        <v>4513000000</v>
      </c>
      <c r="O132" s="8">
        <f t="shared" si="68"/>
        <v>0.6610231873389768</v>
      </c>
      <c r="P132" s="6" t="s">
        <v>1873</v>
      </c>
      <c r="Q132" s="6" t="str">
        <f t="shared" si="69"/>
        <v>=27.17*100000000</v>
      </c>
      <c r="R132" s="11">
        <f>27.17*100000000</f>
        <v>2717000000</v>
      </c>
      <c r="S132" s="8">
        <f t="shared" si="70"/>
        <v>-0.2427536231884059</v>
      </c>
      <c r="T132" s="6" t="s">
        <v>1874</v>
      </c>
      <c r="U132" s="6" t="str">
        <f t="shared" si="71"/>
        <v>=35.88*100000000</v>
      </c>
      <c r="V132" s="1">
        <f>35.88*100000000</f>
        <v>3588000000.0000005</v>
      </c>
      <c r="W132" s="8">
        <f t="shared" si="72"/>
        <v>0.68450704225352133</v>
      </c>
      <c r="X132" s="6" t="s">
        <v>1875</v>
      </c>
      <c r="Y132" s="6" t="str">
        <f t="shared" si="73"/>
        <v>=21.30*100000000</v>
      </c>
      <c r="Z132" s="1">
        <f>21.3*100000000</f>
        <v>2130000000</v>
      </c>
      <c r="AA132" s="8">
        <f t="shared" si="74"/>
        <v>0.71359613837489944</v>
      </c>
      <c r="AB132" s="6" t="s">
        <v>1876</v>
      </c>
      <c r="AC132" s="6" t="str">
        <f t="shared" si="75"/>
        <v>=12.43*100000000</v>
      </c>
      <c r="AD132" s="1">
        <f>12.43*100000000</f>
        <v>1243000000</v>
      </c>
      <c r="AE132" s="8">
        <f t="shared" si="76"/>
        <v>1.2156862745098038</v>
      </c>
      <c r="AF132" s="6" t="s">
        <v>1877</v>
      </c>
      <c r="AG132" s="6" t="str">
        <f t="shared" si="77"/>
        <v>=5.610*100000000</v>
      </c>
      <c r="AH132" s="1">
        <f>5.61*100000000</f>
        <v>561000000</v>
      </c>
      <c r="AI132" s="8">
        <f t="shared" si="78"/>
        <v>-0.80042689434365</v>
      </c>
      <c r="AJ132" s="6" t="s">
        <v>1878</v>
      </c>
      <c r="AK132" s="6" t="str">
        <f t="shared" si="79"/>
        <v>=28.11*100000000</v>
      </c>
      <c r="AL132" s="1">
        <f>28.11*100000000</f>
        <v>2811000000</v>
      </c>
      <c r="AM132" s="8">
        <f t="shared" si="80"/>
        <v>0.29181985294117646</v>
      </c>
      <c r="AN132" s="6" t="s">
        <v>1879</v>
      </c>
      <c r="AO132" s="6" t="str">
        <f t="shared" si="81"/>
        <v>=21.76*100000000</v>
      </c>
      <c r="AP132" s="1">
        <f>21.76*100000000</f>
        <v>2176000000</v>
      </c>
      <c r="AQ132" s="8">
        <f t="shared" si="82"/>
        <v>0.55539671193709794</v>
      </c>
      <c r="AR132" s="6" t="s">
        <v>1880</v>
      </c>
      <c r="AS132" s="6" t="str">
        <f t="shared" si="83"/>
        <v>=13.99*100000000</v>
      </c>
      <c r="AT132" s="1">
        <f>13.99*100000000</f>
        <v>1399000000</v>
      </c>
      <c r="AU132" s="8">
        <f t="shared" si="84"/>
        <v>1.3824931880108993</v>
      </c>
      <c r="AV132" s="6" t="s">
        <v>1881</v>
      </c>
      <c r="AW132" s="6" t="str">
        <f t="shared" si="85"/>
        <v>=5.872*100000000</v>
      </c>
      <c r="AX132" s="1">
        <f>5.872*100000000</f>
        <v>587200000</v>
      </c>
      <c r="AY132" s="10">
        <f t="shared" si="86"/>
        <v>-0.78930749910297815</v>
      </c>
      <c r="AZ132" s="6" t="s">
        <v>1882</v>
      </c>
      <c r="BA132" s="6" t="str">
        <f t="shared" si="87"/>
        <v>=27.87*100000000</v>
      </c>
      <c r="BB132" s="1">
        <f>27.87*100000000</f>
        <v>2787000000</v>
      </c>
      <c r="BC132" s="8">
        <f t="shared" si="88"/>
        <v>8.4435797665369655E-2</v>
      </c>
      <c r="BD132" s="6" t="s">
        <v>1883</v>
      </c>
      <c r="BE132" s="6" t="str">
        <f t="shared" si="89"/>
        <v>=25.70*100000000</v>
      </c>
      <c r="BF132" s="1">
        <f>25.7*100000000</f>
        <v>2570000000</v>
      </c>
      <c r="BG132" s="8">
        <f t="shared" si="90"/>
        <v>0.33714880332986474</v>
      </c>
      <c r="BH132" s="6" t="s">
        <v>1884</v>
      </c>
      <c r="BI132" s="6" t="str">
        <f t="shared" si="91"/>
        <v>=19.22*100000000</v>
      </c>
      <c r="BJ132" s="1">
        <f>19.22*100000000</f>
        <v>1922000000</v>
      </c>
      <c r="BK132" s="6" t="s">
        <v>1885</v>
      </c>
      <c r="BL132" s="1" t="str">
        <f t="shared" si="63"/>
        <v>=8.071*100000000</v>
      </c>
      <c r="BM132" s="16">
        <f t="shared" si="92"/>
        <v>1.381365382232685</v>
      </c>
      <c r="BN132" s="1">
        <f>8.071*100000000</f>
        <v>807100000</v>
      </c>
    </row>
    <row r="133" spans="1:66">
      <c r="A133" s="19"/>
      <c r="B133">
        <v>600089</v>
      </c>
      <c r="C133" t="s">
        <v>68</v>
      </c>
      <c r="D133" s="6" t="s">
        <v>1886</v>
      </c>
      <c r="E133" s="7" t="str">
        <f t="shared" si="62"/>
        <v>=98.14*100000000</v>
      </c>
      <c r="F133" s="1">
        <f>98.14*100000000</f>
        <v>9814000000</v>
      </c>
      <c r="G133" s="8">
        <f t="shared" si="64"/>
        <v>0.44557372219767272</v>
      </c>
      <c r="H133" s="6" t="s">
        <v>1887</v>
      </c>
      <c r="I133" s="6" t="str">
        <f t="shared" si="65"/>
        <v>=67.89*100000000</v>
      </c>
      <c r="J133" s="1">
        <f>67.89*100000000</f>
        <v>6789000000</v>
      </c>
      <c r="K133" s="10">
        <f t="shared" si="66"/>
        <v>0.77769049489395126</v>
      </c>
      <c r="L133" s="6" t="s">
        <v>1888</v>
      </c>
      <c r="M133" s="6" t="str">
        <f t="shared" si="67"/>
        <v>=38.19*100000000</v>
      </c>
      <c r="N133" s="1">
        <f>38.19*100000000</f>
        <v>3819000000</v>
      </c>
      <c r="O133" s="8">
        <f t="shared" si="68"/>
        <v>0.6503889369057908</v>
      </c>
      <c r="P133" s="6" t="s">
        <v>1889</v>
      </c>
      <c r="Q133" s="6" t="str">
        <f t="shared" si="69"/>
        <v>=23.14*100000000</v>
      </c>
      <c r="R133" s="11">
        <f>23.14*100000000</f>
        <v>2314000000</v>
      </c>
      <c r="S133" s="8">
        <f t="shared" si="70"/>
        <v>-0.2611749680715198</v>
      </c>
      <c r="T133" s="6" t="s">
        <v>1890</v>
      </c>
      <c r="U133" s="6" t="str">
        <f t="shared" si="71"/>
        <v>=31.32*100000000</v>
      </c>
      <c r="V133" s="1">
        <f>31.32*100000000</f>
        <v>3132000000</v>
      </c>
      <c r="W133" s="8">
        <f t="shared" si="72"/>
        <v>0.7218251786695985</v>
      </c>
      <c r="X133" s="6" t="s">
        <v>1891</v>
      </c>
      <c r="Y133" s="6" t="str">
        <f t="shared" si="73"/>
        <v>=18.19*100000000</v>
      </c>
      <c r="Z133" s="1">
        <f>18.19*100000000</f>
        <v>1819000000.0000002</v>
      </c>
      <c r="AA133" s="8">
        <f t="shared" si="74"/>
        <v>0.72580645161290369</v>
      </c>
      <c r="AB133" s="6" t="s">
        <v>1892</v>
      </c>
      <c r="AC133" s="6" t="str">
        <f t="shared" si="75"/>
        <v>=10.54*100000000</v>
      </c>
      <c r="AD133" s="1">
        <f>10.54*100000000</f>
        <v>1053999999.9999999</v>
      </c>
      <c r="AE133" s="8">
        <f t="shared" si="76"/>
        <v>1.0394736842105261</v>
      </c>
      <c r="AF133" s="6" t="s">
        <v>1893</v>
      </c>
      <c r="AG133" s="6" t="str">
        <f t="shared" si="77"/>
        <v>=5.168*100000000</v>
      </c>
      <c r="AH133" s="1">
        <f>5.168*100000000</f>
        <v>516800000</v>
      </c>
      <c r="AI133" s="8">
        <f t="shared" si="78"/>
        <v>-0.78376569037656907</v>
      </c>
      <c r="AJ133" s="6" t="s">
        <v>1894</v>
      </c>
      <c r="AK133" s="6" t="str">
        <f t="shared" si="79"/>
        <v>=23.90*100000000</v>
      </c>
      <c r="AL133" s="1">
        <f>23.9*100000000</f>
        <v>2390000000</v>
      </c>
      <c r="AM133" s="8">
        <f t="shared" si="80"/>
        <v>0.24414367516918273</v>
      </c>
      <c r="AN133" s="6" t="s">
        <v>1895</v>
      </c>
      <c r="AO133" s="6" t="str">
        <f t="shared" si="81"/>
        <v>=19.21*100000000</v>
      </c>
      <c r="AP133" s="1">
        <f>19.21*100000000</f>
        <v>1921000000</v>
      </c>
      <c r="AQ133" s="8">
        <f t="shared" si="82"/>
        <v>0.54669887278582929</v>
      </c>
      <c r="AR133" s="6" t="s">
        <v>1896</v>
      </c>
      <c r="AS133" s="6" t="str">
        <f t="shared" si="83"/>
        <v>=12.42*100000000</v>
      </c>
      <c r="AT133" s="1">
        <f>12.42*100000000</f>
        <v>1242000000</v>
      </c>
      <c r="AU133" s="8">
        <f t="shared" si="84"/>
        <v>1.357630979498861</v>
      </c>
      <c r="AV133" s="6" t="s">
        <v>1897</v>
      </c>
      <c r="AW133" s="6" t="str">
        <f t="shared" si="85"/>
        <v>=5.268*100000000</v>
      </c>
      <c r="AX133" s="1">
        <f>5.268*100000000</f>
        <v>526800000</v>
      </c>
      <c r="AY133" s="10">
        <f t="shared" si="86"/>
        <v>-0.79210734017363849</v>
      </c>
      <c r="AZ133" s="6" t="s">
        <v>1898</v>
      </c>
      <c r="BA133" s="6" t="str">
        <f t="shared" si="87"/>
        <v>=25.34*100000000</v>
      </c>
      <c r="BB133" s="1">
        <f>25.34*100000000</f>
        <v>2534000000</v>
      </c>
      <c r="BC133" s="8">
        <f t="shared" si="88"/>
        <v>8.9892473118279567E-2</v>
      </c>
      <c r="BD133" s="6" t="s">
        <v>1899</v>
      </c>
      <c r="BE133" s="6" t="str">
        <f t="shared" si="89"/>
        <v>=23.25*100000000</v>
      </c>
      <c r="BF133" s="1">
        <f>23.25*100000000</f>
        <v>2325000000</v>
      </c>
      <c r="BG133" s="8">
        <f t="shared" si="90"/>
        <v>0.29960871995528227</v>
      </c>
      <c r="BH133" s="6" t="s">
        <v>1900</v>
      </c>
      <c r="BI133" s="6" t="str">
        <f t="shared" si="91"/>
        <v>=17.89*100000000</v>
      </c>
      <c r="BJ133" s="1">
        <f>17.89*100000000</f>
        <v>1789000000</v>
      </c>
      <c r="BK133" s="6" t="s">
        <v>1901</v>
      </c>
      <c r="BL133" s="1" t="str">
        <f t="shared" si="63"/>
        <v>=6.869*100000000</v>
      </c>
      <c r="BM133" s="16">
        <f t="shared" si="92"/>
        <v>1.6044547969136702</v>
      </c>
      <c r="BN133" s="1">
        <f>6.869*100000000</f>
        <v>686900000</v>
      </c>
    </row>
    <row r="134" spans="1:66">
      <c r="A134" s="17">
        <v>34</v>
      </c>
      <c r="B134">
        <v>600096</v>
      </c>
      <c r="C134" t="s">
        <v>31</v>
      </c>
      <c r="D134" s="6" t="s">
        <v>1902</v>
      </c>
      <c r="E134" s="7" t="str">
        <f t="shared" si="62"/>
        <v>=632.5*100000000</v>
      </c>
      <c r="F134" s="1">
        <f>632.5*100000000</f>
        <v>63250000000</v>
      </c>
      <c r="G134" s="8">
        <f t="shared" si="64"/>
        <v>0.32794457274826788</v>
      </c>
      <c r="H134" s="6" t="s">
        <v>1903</v>
      </c>
      <c r="I134" s="6" t="str">
        <f t="shared" si="65"/>
        <v>=476.3*100000000</v>
      </c>
      <c r="J134" s="1">
        <f>476.3*100000000</f>
        <v>47630000000</v>
      </c>
      <c r="K134" s="10">
        <f t="shared" si="66"/>
        <v>0.53992887164565151</v>
      </c>
      <c r="L134" s="6" t="s">
        <v>1904</v>
      </c>
      <c r="M134" s="6" t="str">
        <f t="shared" si="67"/>
        <v>=309.3*100000000</v>
      </c>
      <c r="N134" s="1">
        <f>309.3*100000000</f>
        <v>30930000000</v>
      </c>
      <c r="O134" s="8">
        <f t="shared" si="68"/>
        <v>1.3414080242240727</v>
      </c>
      <c r="P134" s="6" t="s">
        <v>1905</v>
      </c>
      <c r="Q134" s="6" t="str">
        <f t="shared" si="69"/>
        <v>=132.1*100000000</v>
      </c>
      <c r="R134" s="11">
        <f>132.1*100000000</f>
        <v>13210000000</v>
      </c>
      <c r="S134" s="8">
        <f t="shared" si="70"/>
        <v>-0.74649779312991749</v>
      </c>
      <c r="T134" s="6" t="s">
        <v>1906</v>
      </c>
      <c r="U134" s="6" t="str">
        <f t="shared" si="71"/>
        <v>=521.1*100000000</v>
      </c>
      <c r="V134" s="1">
        <f>521.1*100000000</f>
        <v>52110000000</v>
      </c>
      <c r="W134" s="8">
        <f t="shared" si="72"/>
        <v>0.30568779754447506</v>
      </c>
      <c r="X134" s="6" t="s">
        <v>1907</v>
      </c>
      <c r="Y134" s="6" t="str">
        <f t="shared" si="73"/>
        <v>=399.1*100000000</v>
      </c>
      <c r="Z134" s="1">
        <f>399.1*100000000</f>
        <v>39910000000</v>
      </c>
      <c r="AA134" s="8">
        <f t="shared" si="74"/>
        <v>0.55533904910366305</v>
      </c>
      <c r="AB134" s="6" t="s">
        <v>1908</v>
      </c>
      <c r="AC134" s="6" t="str">
        <f t="shared" si="75"/>
        <v>=256.6*100000000</v>
      </c>
      <c r="AD134" s="1">
        <f>256.6*100000000</f>
        <v>25660000000.000004</v>
      </c>
      <c r="AE134" s="8">
        <f t="shared" si="76"/>
        <v>1.2992831541218641</v>
      </c>
      <c r="AF134" s="6" t="s">
        <v>1909</v>
      </c>
      <c r="AG134" s="6" t="str">
        <f t="shared" si="77"/>
        <v>=111.6*100000000</v>
      </c>
      <c r="AH134" s="1">
        <f>111.6*100000000</f>
        <v>11160000000</v>
      </c>
      <c r="AI134" s="8">
        <f t="shared" si="78"/>
        <v>-0.79325676176361615</v>
      </c>
      <c r="AJ134" s="6" t="s">
        <v>1910</v>
      </c>
      <c r="AK134" s="6" t="str">
        <f t="shared" si="79"/>
        <v>=539.8*100000000</v>
      </c>
      <c r="AL134" s="1">
        <f>539.8*100000000</f>
        <v>53979999999.999992</v>
      </c>
      <c r="AM134" s="8">
        <f t="shared" si="80"/>
        <v>0.31402142161635815</v>
      </c>
      <c r="AN134" s="6" t="s">
        <v>1911</v>
      </c>
      <c r="AO134" s="6" t="str">
        <f t="shared" si="81"/>
        <v>=410.8*100000000</v>
      </c>
      <c r="AP134" s="1">
        <f>410.8*100000000</f>
        <v>41080000000</v>
      </c>
      <c r="AQ134" s="8">
        <f t="shared" si="82"/>
        <v>0.44647887323943664</v>
      </c>
      <c r="AR134" s="6" t="s">
        <v>1912</v>
      </c>
      <c r="AS134" s="6" t="str">
        <f t="shared" si="83"/>
        <v>=284.0*100000000</v>
      </c>
      <c r="AT134" s="1">
        <f>284*100000000</f>
        <v>28400000000</v>
      </c>
      <c r="AU134" s="8">
        <f t="shared" si="84"/>
        <v>1.0594633792603336</v>
      </c>
      <c r="AV134" s="6" t="s">
        <v>1913</v>
      </c>
      <c r="AW134" s="6" t="str">
        <f t="shared" si="85"/>
        <v>=137.9*100000000</v>
      </c>
      <c r="AX134" s="1">
        <f>137.9*100000000</f>
        <v>13790000000</v>
      </c>
      <c r="AY134" s="10">
        <f t="shared" si="86"/>
        <v>-0.7397130992827482</v>
      </c>
      <c r="AZ134" s="6" t="s">
        <v>572</v>
      </c>
      <c r="BA134" s="6" t="str">
        <f t="shared" si="87"/>
        <v>=529.8*100000000</v>
      </c>
      <c r="BB134" s="1">
        <f>529.8*100000000</f>
        <v>52979999999.999992</v>
      </c>
      <c r="BC134" s="8">
        <f t="shared" si="88"/>
        <v>0.44281045751633968</v>
      </c>
      <c r="BD134" s="6" t="s">
        <v>1914</v>
      </c>
      <c r="BE134" s="6" t="str">
        <f t="shared" si="89"/>
        <v>=367.2*100000000</v>
      </c>
      <c r="BF134" s="1">
        <f>367.2*100000000</f>
        <v>36720000000</v>
      </c>
      <c r="BG134" s="8">
        <f t="shared" si="90"/>
        <v>0.58480794130340963</v>
      </c>
      <c r="BH134" s="6" t="s">
        <v>1915</v>
      </c>
      <c r="BI134" s="6" t="str">
        <f t="shared" si="91"/>
        <v>=231.7*100000000</v>
      </c>
      <c r="BJ134" s="1">
        <f>231.7*100000000</f>
        <v>23170000000</v>
      </c>
      <c r="BK134" s="6" t="s">
        <v>1916</v>
      </c>
      <c r="BL134" s="1" t="str">
        <f t="shared" si="63"/>
        <v>=101.5*100000000</v>
      </c>
      <c r="BM134" s="16">
        <f t="shared" si="92"/>
        <v>1.2827586206896551</v>
      </c>
      <c r="BN134" s="1">
        <f>101.5*100000000</f>
        <v>10150000000</v>
      </c>
    </row>
    <row r="135" spans="1:66">
      <c r="A135" s="18"/>
      <c r="B135">
        <v>600096</v>
      </c>
      <c r="C135" t="s">
        <v>48</v>
      </c>
      <c r="D135" s="6" t="s">
        <v>1917</v>
      </c>
      <c r="E135" s="7" t="str">
        <f t="shared" si="62"/>
        <v>=51.33*100000000</v>
      </c>
      <c r="F135" s="1">
        <f>51.33*100000000</f>
        <v>5133000000</v>
      </c>
      <c r="G135" s="8">
        <f t="shared" si="64"/>
        <v>0.33846153846153848</v>
      </c>
      <c r="H135" s="6" t="s">
        <v>697</v>
      </c>
      <c r="I135" s="6" t="str">
        <f t="shared" si="65"/>
        <v>=38.35*100000000</v>
      </c>
      <c r="J135" s="1">
        <f>38.35*100000000</f>
        <v>3835000000</v>
      </c>
      <c r="K135" s="10">
        <f t="shared" si="66"/>
        <v>0.81925996204933604</v>
      </c>
      <c r="L135" s="6" t="s">
        <v>1918</v>
      </c>
      <c r="M135" s="6" t="str">
        <f t="shared" si="67"/>
        <v>=21.08*100000000</v>
      </c>
      <c r="N135" s="1">
        <f>21.08*100000000</f>
        <v>2107999999.9999998</v>
      </c>
      <c r="O135" s="8">
        <f t="shared" si="68"/>
        <v>1.6108496408223927</v>
      </c>
      <c r="P135" s="6" t="s">
        <v>1919</v>
      </c>
      <c r="Q135" s="6" t="str">
        <f t="shared" si="69"/>
        <v>=8.074*100000000</v>
      </c>
      <c r="R135" s="11">
        <f>8.074*100000000</f>
        <v>807400000</v>
      </c>
      <c r="S135" s="8">
        <f t="shared" si="70"/>
        <v>0.19863420427553444</v>
      </c>
      <c r="T135" s="6" t="s">
        <v>1920</v>
      </c>
      <c r="U135" s="6" t="str">
        <f t="shared" si="71"/>
        <v>=6.736*100000000</v>
      </c>
      <c r="V135" s="1">
        <f>6.736*100000000</f>
        <v>673600000</v>
      </c>
      <c r="W135" s="8">
        <f t="shared" si="72"/>
        <v>0.87841606246514226</v>
      </c>
      <c r="X135" s="6" t="s">
        <v>1921</v>
      </c>
      <c r="Y135" s="6" t="str">
        <f t="shared" si="73"/>
        <v>=3.586*100000000</v>
      </c>
      <c r="Z135" s="1">
        <f>3.586*100000000</f>
        <v>358600000</v>
      </c>
      <c r="AA135" s="8">
        <f t="shared" si="74"/>
        <v>1.3453237410071943</v>
      </c>
      <c r="AB135" s="6" t="s">
        <v>1922</v>
      </c>
      <c r="AC135" s="6" t="str">
        <f t="shared" si="75"/>
        <v>=1.529*100000000</v>
      </c>
      <c r="AD135" s="1">
        <f>1.529*100000000</f>
        <v>152900000</v>
      </c>
      <c r="AE135" s="8">
        <f t="shared" si="76"/>
        <v>0.31470335339638866</v>
      </c>
      <c r="AF135" s="6" t="s">
        <v>1923</v>
      </c>
      <c r="AG135" s="6" t="str">
        <f t="shared" si="77"/>
        <v>=1.163*100000000</v>
      </c>
      <c r="AH135" s="1">
        <f>1.163*100000000</f>
        <v>116300000</v>
      </c>
      <c r="AI135" s="8">
        <f t="shared" si="78"/>
        <v>-0.66484149855907781</v>
      </c>
      <c r="AJ135" s="6" t="s">
        <v>1924</v>
      </c>
      <c r="AK135" s="6" t="str">
        <f t="shared" si="79"/>
        <v>=3.470*100000000</v>
      </c>
      <c r="AL135" s="1">
        <f>3.47*100000000</f>
        <v>347000000</v>
      </c>
      <c r="AM135" s="8">
        <f t="shared" si="80"/>
        <v>0.44523115368596439</v>
      </c>
      <c r="AN135" s="6" t="s">
        <v>1925</v>
      </c>
      <c r="AO135" s="6" t="str">
        <f t="shared" si="81"/>
        <v>=2.401*100000000</v>
      </c>
      <c r="AP135" s="1">
        <f>2.401*100000000</f>
        <v>240099999.99999997</v>
      </c>
      <c r="AQ135" s="8">
        <f t="shared" si="82"/>
        <v>0.12723004694835666</v>
      </c>
      <c r="AR135" s="6" t="s">
        <v>1926</v>
      </c>
      <c r="AS135" s="6" t="str">
        <f t="shared" si="83"/>
        <v>=2.130*100000000</v>
      </c>
      <c r="AT135" s="1">
        <f>2.13*100000000</f>
        <v>213000000</v>
      </c>
      <c r="AU135" s="8">
        <f t="shared" si="84"/>
        <v>0.60150375939849621</v>
      </c>
      <c r="AV135" s="6" t="s">
        <v>1927</v>
      </c>
      <c r="AW135" s="6" t="str">
        <f t="shared" si="85"/>
        <v>=1.330*100000000</v>
      </c>
      <c r="AX135" s="1">
        <f>1.33*100000000</f>
        <v>133000000</v>
      </c>
      <c r="AY135" s="10">
        <f t="shared" si="86"/>
        <v>-0.71629692832764502</v>
      </c>
      <c r="AZ135" s="6" t="s">
        <v>1928</v>
      </c>
      <c r="BA135" s="6" t="str">
        <f t="shared" si="87"/>
        <v>=4.688*100000000</v>
      </c>
      <c r="BB135" s="1">
        <f>4.688*100000000</f>
        <v>468800000</v>
      </c>
      <c r="BC135" s="8">
        <f t="shared" si="88"/>
        <v>0.40823069990988287</v>
      </c>
      <c r="BD135" s="6" t="s">
        <v>1929</v>
      </c>
      <c r="BE135" s="6" t="str">
        <f t="shared" si="89"/>
        <v>=3.329*100000000</v>
      </c>
      <c r="BF135" s="1">
        <f>3.329*100000000</f>
        <v>332900000</v>
      </c>
      <c r="BG135" s="8">
        <f t="shared" si="90"/>
        <v>0.28532818532818532</v>
      </c>
      <c r="BH135" s="6" t="s">
        <v>96</v>
      </c>
      <c r="BI135" s="6" t="str">
        <f t="shared" si="91"/>
        <v>=2.590*100000000</v>
      </c>
      <c r="BJ135" s="1">
        <f>2.59*100000000</f>
        <v>259000000</v>
      </c>
      <c r="BK135" s="6" t="s">
        <v>1930</v>
      </c>
      <c r="BL135" s="1" t="str">
        <f t="shared" si="63"/>
        <v>=1.443*100000000</v>
      </c>
      <c r="BM135" s="16">
        <f t="shared" si="92"/>
        <v>0.79487179487179482</v>
      </c>
      <c r="BN135" s="1">
        <f>1.443*100000000</f>
        <v>144300000</v>
      </c>
    </row>
    <row r="136" spans="1:66">
      <c r="A136" s="18"/>
      <c r="B136">
        <v>600096</v>
      </c>
      <c r="C136" t="s">
        <v>58</v>
      </c>
      <c r="D136" s="6" t="s">
        <v>1931</v>
      </c>
      <c r="E136" s="7" t="str">
        <f t="shared" si="62"/>
        <v>=48.70*100000000</v>
      </c>
      <c r="F136" s="1">
        <f>48.7*100000000</f>
        <v>4870000000</v>
      </c>
      <c r="G136" s="8">
        <f t="shared" si="64"/>
        <v>0.28124177847934756</v>
      </c>
      <c r="H136" s="6" t="s">
        <v>1932</v>
      </c>
      <c r="I136" s="6" t="str">
        <f t="shared" si="65"/>
        <v>=38.01*100000000</v>
      </c>
      <c r="J136" s="1">
        <f>38.01*100000000</f>
        <v>3801000000</v>
      </c>
      <c r="K136" s="10">
        <f t="shared" si="66"/>
        <v>0.8274038461538461</v>
      </c>
      <c r="L136" s="6" t="s">
        <v>1933</v>
      </c>
      <c r="M136" s="6" t="str">
        <f t="shared" si="67"/>
        <v>=20.80*100000000</v>
      </c>
      <c r="N136" s="1">
        <f>20.8*100000000</f>
        <v>2080000000</v>
      </c>
      <c r="O136" s="8">
        <f t="shared" si="68"/>
        <v>1.5835299962737548</v>
      </c>
      <c r="P136" s="6" t="s">
        <v>160</v>
      </c>
      <c r="Q136" s="6" t="str">
        <f t="shared" si="69"/>
        <v>=8.051*100000000</v>
      </c>
      <c r="R136" s="11">
        <f>8.051*100000000</f>
        <v>805100000</v>
      </c>
      <c r="S136" s="8">
        <f t="shared" si="70"/>
        <v>0.26151676590410528</v>
      </c>
      <c r="T136" s="6" t="s">
        <v>1934</v>
      </c>
      <c r="U136" s="6" t="str">
        <f t="shared" si="71"/>
        <v>=6.382*100000000</v>
      </c>
      <c r="V136" s="1">
        <f>6.382*100000000</f>
        <v>638200000</v>
      </c>
      <c r="W136" s="8">
        <f t="shared" si="72"/>
        <v>0.90393794749403344</v>
      </c>
      <c r="X136" s="6" t="s">
        <v>1935</v>
      </c>
      <c r="Y136" s="6" t="str">
        <f t="shared" si="73"/>
        <v>=3.352*100000000</v>
      </c>
      <c r="Z136" s="1">
        <f>3.352*100000000</f>
        <v>335200000</v>
      </c>
      <c r="AA136" s="8">
        <f t="shared" si="74"/>
        <v>1.4395924308588064</v>
      </c>
      <c r="AB136" s="6" t="s">
        <v>1936</v>
      </c>
      <c r="AC136" s="6" t="str">
        <f t="shared" si="75"/>
        <v>=1.374*100000000</v>
      </c>
      <c r="AD136" s="1">
        <f>1.374*100000000</f>
        <v>137400000</v>
      </c>
      <c r="AE136" s="8">
        <f t="shared" si="76"/>
        <v>0.28772258669165884</v>
      </c>
      <c r="AF136" s="6" t="s">
        <v>1937</v>
      </c>
      <c r="AG136" s="6" t="str">
        <f t="shared" si="77"/>
        <v>=1.067*100000000</v>
      </c>
      <c r="AH136" s="1">
        <f>1.067*100000000</f>
        <v>106700000</v>
      </c>
      <c r="AI136" s="8">
        <f t="shared" si="78"/>
        <v>-0.73873653281096963</v>
      </c>
      <c r="AJ136" s="6" t="s">
        <v>1938</v>
      </c>
      <c r="AK136" s="6" t="str">
        <f t="shared" si="79"/>
        <v>=4.084*100000000</v>
      </c>
      <c r="AL136" s="1">
        <f>4.084*100000000</f>
        <v>408399999.99999994</v>
      </c>
      <c r="AM136" s="8">
        <f t="shared" si="80"/>
        <v>0.35636001328462286</v>
      </c>
      <c r="AN136" s="6" t="s">
        <v>1475</v>
      </c>
      <c r="AO136" s="6" t="str">
        <f t="shared" si="81"/>
        <v>=3.011*100000000</v>
      </c>
      <c r="AP136" s="1">
        <f>3.011*100000000</f>
        <v>301100000</v>
      </c>
      <c r="AQ136" s="8">
        <f t="shared" si="82"/>
        <v>0.27692960135708228</v>
      </c>
      <c r="AR136" s="6" t="s">
        <v>1939</v>
      </c>
      <c r="AS136" s="6" t="str">
        <f t="shared" si="83"/>
        <v>=2.358*100000000</v>
      </c>
      <c r="AT136" s="1">
        <f>2.358*100000000</f>
        <v>235800000</v>
      </c>
      <c r="AU136" s="8">
        <f t="shared" si="84"/>
        <v>0.43517954960438221</v>
      </c>
      <c r="AV136" s="6" t="s">
        <v>1940</v>
      </c>
      <c r="AW136" s="6" t="str">
        <f t="shared" si="85"/>
        <v>=1.643*100000000</v>
      </c>
      <c r="AX136" s="1">
        <f>1.643*100000000</f>
        <v>164300000</v>
      </c>
      <c r="AY136" s="10">
        <f t="shared" si="86"/>
        <v>-0.68103280916326925</v>
      </c>
      <c r="AZ136" s="6" t="s">
        <v>1941</v>
      </c>
      <c r="BA136" s="6" t="str">
        <f t="shared" si="87"/>
        <v>=5.151*100000000</v>
      </c>
      <c r="BB136" s="1">
        <f>5.151*100000000</f>
        <v>515100000</v>
      </c>
      <c r="BC136" s="8">
        <f t="shared" si="88"/>
        <v>0.46169125993189558</v>
      </c>
      <c r="BD136" s="6" t="s">
        <v>1942</v>
      </c>
      <c r="BE136" s="6" t="str">
        <f t="shared" si="89"/>
        <v>=3.524*100000000</v>
      </c>
      <c r="BF136" s="1">
        <f>3.524*100000000</f>
        <v>352400000</v>
      </c>
      <c r="BG136" s="8">
        <f t="shared" si="90"/>
        <v>0.33383800151400456</v>
      </c>
      <c r="BH136" s="6" t="s">
        <v>1943</v>
      </c>
      <c r="BI136" s="6" t="str">
        <f t="shared" si="91"/>
        <v>=2.642*100000000</v>
      </c>
      <c r="BJ136" s="1">
        <f>2.642*100000000</f>
        <v>264200000</v>
      </c>
      <c r="BK136" s="6" t="s">
        <v>1944</v>
      </c>
      <c r="BL136" s="1" t="str">
        <f t="shared" si="63"/>
        <v>=1.525*100000000</v>
      </c>
      <c r="BM136" s="16">
        <f t="shared" si="92"/>
        <v>0.73245901639344257</v>
      </c>
      <c r="BN136" s="1">
        <f>1.525*100000000</f>
        <v>152500000</v>
      </c>
    </row>
    <row r="137" spans="1:66">
      <c r="A137" s="19"/>
      <c r="B137">
        <v>600096</v>
      </c>
      <c r="C137" t="s">
        <v>68</v>
      </c>
      <c r="D137" s="6" t="s">
        <v>1945</v>
      </c>
      <c r="E137" s="7" t="str">
        <f t="shared" si="62"/>
        <v>=42.07*100000000</v>
      </c>
      <c r="F137" s="1">
        <f>42.07*100000000</f>
        <v>4207000000</v>
      </c>
      <c r="G137" s="8">
        <f t="shared" si="64"/>
        <v>0.26450255485422286</v>
      </c>
      <c r="H137" s="6" t="s">
        <v>1946</v>
      </c>
      <c r="I137" s="6" t="str">
        <f t="shared" si="65"/>
        <v>=33.27*100000000</v>
      </c>
      <c r="J137" s="1">
        <f>33.27*100000000</f>
        <v>3327000000.0000005</v>
      </c>
      <c r="K137" s="10">
        <f t="shared" si="66"/>
        <v>0.79159935379644619</v>
      </c>
      <c r="L137" s="6" t="s">
        <v>1947</v>
      </c>
      <c r="M137" s="6" t="str">
        <f t="shared" si="67"/>
        <v>=18.57*100000000</v>
      </c>
      <c r="N137" s="1">
        <f>18.57*100000000</f>
        <v>1857000000</v>
      </c>
      <c r="O137" s="8">
        <f t="shared" si="68"/>
        <v>1.7077865266841645</v>
      </c>
      <c r="P137" s="6" t="s">
        <v>1948</v>
      </c>
      <c r="Q137" s="6" t="str">
        <f t="shared" si="69"/>
        <v>=6.858*100000000</v>
      </c>
      <c r="R137" s="11">
        <f>6.858*100000000</f>
        <v>685800000</v>
      </c>
      <c r="S137" s="8">
        <f t="shared" si="70"/>
        <v>0.73752216873574872</v>
      </c>
      <c r="T137" s="6" t="s">
        <v>1949</v>
      </c>
      <c r="U137" s="6" t="str">
        <f t="shared" si="71"/>
        <v>=3.947*100000000</v>
      </c>
      <c r="V137" s="1">
        <f>3.947*100000000</f>
        <v>394700000</v>
      </c>
      <c r="W137" s="8">
        <f t="shared" si="72"/>
        <v>1.1854928017718716</v>
      </c>
      <c r="X137" s="6" t="s">
        <v>1950</v>
      </c>
      <c r="Y137" s="6" t="str">
        <f t="shared" si="73"/>
        <v>=1.806*100000000</v>
      </c>
      <c r="Z137" s="1">
        <f>1.806*100000000</f>
        <v>180600000</v>
      </c>
      <c r="AA137" s="8">
        <f t="shared" si="74"/>
        <v>3.7803070407623083</v>
      </c>
      <c r="AB137" s="7" t="s">
        <v>1951</v>
      </c>
      <c r="AC137" s="6" t="str">
        <f t="shared" si="75"/>
        <v>=3778*10000</v>
      </c>
      <c r="AD137" s="1">
        <f>3778*10000</f>
        <v>37780000</v>
      </c>
      <c r="AE137" s="8">
        <f t="shared" si="76"/>
        <v>-4.4795783926218705E-3</v>
      </c>
      <c r="AF137" s="7" t="s">
        <v>1952</v>
      </c>
      <c r="AG137" s="6" t="str">
        <f t="shared" si="77"/>
        <v>=3795*10000</v>
      </c>
      <c r="AH137" s="1">
        <f>3795*10000</f>
        <v>37950000</v>
      </c>
      <c r="AI137" s="8">
        <f t="shared" si="78"/>
        <v>-0.78631756756756754</v>
      </c>
      <c r="AJ137" s="6" t="s">
        <v>1953</v>
      </c>
      <c r="AK137" s="6" t="str">
        <f t="shared" si="79"/>
        <v>=1.776*100000000</v>
      </c>
      <c r="AL137" s="1">
        <f>1.776*100000000</f>
        <v>177600000</v>
      </c>
      <c r="AM137" s="8">
        <f t="shared" si="80"/>
        <v>7.2463768115942032E-2</v>
      </c>
      <c r="AN137" s="6" t="s">
        <v>1954</v>
      </c>
      <c r="AO137" s="6" t="str">
        <f t="shared" si="81"/>
        <v>=1.656*100000000</v>
      </c>
      <c r="AP137" s="1">
        <f>1.656*100000000</f>
        <v>165600000</v>
      </c>
      <c r="AQ137" s="8">
        <f t="shared" si="82"/>
        <v>9.4514210178453406E-2</v>
      </c>
      <c r="AR137" s="6" t="s">
        <v>1955</v>
      </c>
      <c r="AS137" s="6" t="str">
        <f t="shared" si="83"/>
        <v>=1.513*100000000</v>
      </c>
      <c r="AT137" s="1">
        <f>1.513*100000000</f>
        <v>151300000</v>
      </c>
      <c r="AU137" s="8">
        <f t="shared" si="84"/>
        <v>0.27356902356902357</v>
      </c>
      <c r="AV137" s="6" t="s">
        <v>1956</v>
      </c>
      <c r="AW137" s="6" t="str">
        <f t="shared" si="85"/>
        <v>=1.188*100000000</v>
      </c>
      <c r="AX137" s="1">
        <f>1.188*100000000</f>
        <v>118800000</v>
      </c>
      <c r="AY137" s="10">
        <f t="shared" si="86"/>
        <v>-0.52763419483101393</v>
      </c>
      <c r="AZ137" s="6" t="s">
        <v>1957</v>
      </c>
      <c r="BA137" s="6" t="str">
        <f t="shared" si="87"/>
        <v>=2.515*100000000</v>
      </c>
      <c r="BB137" s="1">
        <f>2.515*100000000</f>
        <v>251500000</v>
      </c>
      <c r="BC137" s="8">
        <f t="shared" si="88"/>
        <v>1.1134453781512605</v>
      </c>
      <c r="BD137" s="6" t="s">
        <v>1958</v>
      </c>
      <c r="BE137" s="6" t="str">
        <f t="shared" si="89"/>
        <v>=1.190*100000000</v>
      </c>
      <c r="BF137" s="1">
        <f>1.19*100000000</f>
        <v>119000000</v>
      </c>
      <c r="BG137" s="8">
        <f t="shared" si="90"/>
        <v>-0.11127707244212098</v>
      </c>
      <c r="BH137" s="6" t="s">
        <v>1959</v>
      </c>
      <c r="BI137" s="6" t="str">
        <f t="shared" si="91"/>
        <v>=1.339*100000000</v>
      </c>
      <c r="BJ137" s="1">
        <f>1.339*100000000</f>
        <v>133900000</v>
      </c>
      <c r="BK137" s="7" t="s">
        <v>1960</v>
      </c>
      <c r="BL137" s="1" t="str">
        <f t="shared" si="63"/>
        <v>=8568*10000</v>
      </c>
      <c r="BM137" s="16">
        <f t="shared" si="92"/>
        <v>0.56279178338001867</v>
      </c>
      <c r="BN137" s="1">
        <f>8568*10000</f>
        <v>85680000</v>
      </c>
    </row>
    <row r="138" spans="1:66">
      <c r="A138" s="17">
        <v>35</v>
      </c>
      <c r="B138">
        <v>600097</v>
      </c>
      <c r="C138" t="s">
        <v>31</v>
      </c>
      <c r="D138" s="6" t="s">
        <v>1961</v>
      </c>
      <c r="E138" s="7" t="str">
        <f t="shared" si="62"/>
        <v>=19.80*100000000</v>
      </c>
      <c r="F138" s="1">
        <f>19.8*100000000</f>
        <v>1980000000</v>
      </c>
      <c r="G138" s="8">
        <f t="shared" si="64"/>
        <v>0.3129973474801061</v>
      </c>
      <c r="H138" s="6" t="s">
        <v>1962</v>
      </c>
      <c r="I138" s="6" t="str">
        <f t="shared" si="65"/>
        <v>=15.08*100000000</v>
      </c>
      <c r="J138" s="1">
        <f>15.08*100000000</f>
        <v>1508000000</v>
      </c>
      <c r="K138" s="10">
        <f t="shared" si="66"/>
        <v>0.54255319148936165</v>
      </c>
      <c r="L138" s="6" t="s">
        <v>1963</v>
      </c>
      <c r="M138" s="6" t="str">
        <f t="shared" si="67"/>
        <v>=9.776*100000000</v>
      </c>
      <c r="N138" s="1">
        <f>9.776*100000000</f>
        <v>977600000</v>
      </c>
      <c r="O138" s="8">
        <f t="shared" si="68"/>
        <v>1.5665529010238908</v>
      </c>
      <c r="P138" s="6" t="s">
        <v>1964</v>
      </c>
      <c r="Q138" s="6" t="str">
        <f t="shared" si="69"/>
        <v>=3.809*100000000</v>
      </c>
      <c r="R138" s="11">
        <f>3.809*100000000</f>
        <v>380900000</v>
      </c>
      <c r="S138" s="8">
        <f t="shared" si="70"/>
        <v>-0.80655154900964954</v>
      </c>
      <c r="T138" s="6" t="s">
        <v>1965</v>
      </c>
      <c r="U138" s="6" t="str">
        <f t="shared" si="71"/>
        <v>=19.69*100000000</v>
      </c>
      <c r="V138" s="1">
        <f>19.69*100000000</f>
        <v>1969000000.0000002</v>
      </c>
      <c r="W138" s="8">
        <f t="shared" si="72"/>
        <v>0.30397350993377498</v>
      </c>
      <c r="X138" s="6" t="s">
        <v>1966</v>
      </c>
      <c r="Y138" s="6" t="str">
        <f t="shared" si="73"/>
        <v>=15.10*100000000</v>
      </c>
      <c r="Z138" s="1">
        <f>15.1*100000000</f>
        <v>1510000000</v>
      </c>
      <c r="AA138" s="8">
        <f t="shared" si="74"/>
        <v>0.49801587301587302</v>
      </c>
      <c r="AB138" s="6" t="s">
        <v>1967</v>
      </c>
      <c r="AC138" s="6" t="str">
        <f t="shared" si="75"/>
        <v>=10.08*100000000</v>
      </c>
      <c r="AD138" s="1">
        <f>10.08*100000000</f>
        <v>1008000000</v>
      </c>
      <c r="AE138" s="8">
        <f t="shared" si="76"/>
        <v>1.7235882194001622</v>
      </c>
      <c r="AF138" s="6" t="s">
        <v>1968</v>
      </c>
      <c r="AG138" s="6" t="str">
        <f t="shared" si="77"/>
        <v>=3.701*100000000</v>
      </c>
      <c r="AH138" s="1">
        <f>3.701*100000000</f>
        <v>370100000</v>
      </c>
      <c r="AI138" s="8">
        <f t="shared" si="78"/>
        <v>-0.83268535262206145</v>
      </c>
      <c r="AJ138" s="6" t="s">
        <v>1969</v>
      </c>
      <c r="AK138" s="6" t="str">
        <f t="shared" si="79"/>
        <v>=22.12*100000000</v>
      </c>
      <c r="AL138" s="1">
        <f>22.12*100000000</f>
        <v>2212000000</v>
      </c>
      <c r="AM138" s="8">
        <f t="shared" si="80"/>
        <v>0.31902206320810972</v>
      </c>
      <c r="AN138" s="6" t="s">
        <v>1970</v>
      </c>
      <c r="AO138" s="6" t="str">
        <f t="shared" si="81"/>
        <v>=16.77*100000000</v>
      </c>
      <c r="AP138" s="1">
        <f>16.77*100000000</f>
        <v>1677000000</v>
      </c>
      <c r="AQ138" s="8">
        <f t="shared" si="82"/>
        <v>0.594106463878327</v>
      </c>
      <c r="AR138" s="6" t="s">
        <v>1971</v>
      </c>
      <c r="AS138" s="6" t="str">
        <f t="shared" si="83"/>
        <v>=10.52*100000000</v>
      </c>
      <c r="AT138" s="1">
        <f>10.52*100000000</f>
        <v>1052000000</v>
      </c>
      <c r="AU138" s="8">
        <f t="shared" si="84"/>
        <v>1.7474536432488901</v>
      </c>
      <c r="AV138" s="6" t="s">
        <v>1972</v>
      </c>
      <c r="AW138" s="6" t="str">
        <f t="shared" si="85"/>
        <v>=3.829*100000000</v>
      </c>
      <c r="AX138" s="1">
        <f>3.829*100000000</f>
        <v>382900000</v>
      </c>
      <c r="AY138" s="10">
        <f t="shared" si="86"/>
        <v>-0.79952879581151837</v>
      </c>
      <c r="AZ138" s="6" t="s">
        <v>1973</v>
      </c>
      <c r="BA138" s="6" t="str">
        <f t="shared" si="87"/>
        <v>=19.10*100000000</v>
      </c>
      <c r="BB138" s="1">
        <f>19.1*100000000</f>
        <v>1910000000.0000002</v>
      </c>
      <c r="BC138" s="8">
        <f t="shared" si="88"/>
        <v>0.33847231955150681</v>
      </c>
      <c r="BD138" s="6" t="s">
        <v>1974</v>
      </c>
      <c r="BE138" s="6" t="str">
        <f t="shared" si="89"/>
        <v>=14.27*100000000</v>
      </c>
      <c r="BF138" s="1">
        <f>14.27*100000000</f>
        <v>1427000000</v>
      </c>
      <c r="BG138" s="8">
        <f t="shared" si="90"/>
        <v>0.52555056660252319</v>
      </c>
      <c r="BH138" s="6" t="s">
        <v>1975</v>
      </c>
      <c r="BI138" s="6" t="str">
        <f t="shared" si="91"/>
        <v>=9.354*100000000</v>
      </c>
      <c r="BJ138" s="1">
        <f>9.354*100000000</f>
        <v>935399999.99999988</v>
      </c>
      <c r="BK138" s="6" t="s">
        <v>1976</v>
      </c>
      <c r="BL138" s="1" t="str">
        <f t="shared" si="63"/>
        <v>=3.719*100000000</v>
      </c>
      <c r="BM138" s="16">
        <f t="shared" si="92"/>
        <v>1.5151922559827908</v>
      </c>
      <c r="BN138" s="1">
        <f>3.719*100000000</f>
        <v>371900000</v>
      </c>
    </row>
    <row r="139" spans="1:66">
      <c r="A139" s="18"/>
      <c r="B139">
        <v>600097</v>
      </c>
      <c r="C139" t="s">
        <v>48</v>
      </c>
      <c r="D139" s="6" t="s">
        <v>1977</v>
      </c>
      <c r="E139" s="7" t="str">
        <f t="shared" si="62"/>
        <v>=2.413*100000000</v>
      </c>
      <c r="F139" s="1">
        <f>2.413*100000000</f>
        <v>241299999.99999997</v>
      </c>
      <c r="G139" s="8">
        <f t="shared" si="64"/>
        <v>-1.3894564773191785E-2</v>
      </c>
      <c r="H139" s="6" t="s">
        <v>1978</v>
      </c>
      <c r="I139" s="6" t="str">
        <f t="shared" si="65"/>
        <v>=2.447*100000000</v>
      </c>
      <c r="J139" s="1">
        <f>2.447*100000000</f>
        <v>244700000</v>
      </c>
      <c r="K139" s="10">
        <f t="shared" si="66"/>
        <v>0.2503832396525294</v>
      </c>
      <c r="L139" s="6" t="s">
        <v>1979</v>
      </c>
      <c r="M139" s="6" t="str">
        <f t="shared" si="67"/>
        <v>=1.957*100000000</v>
      </c>
      <c r="N139" s="1">
        <f>1.957*100000000</f>
        <v>195700000</v>
      </c>
      <c r="O139" s="8">
        <f t="shared" si="68"/>
        <v>11.99468791500664</v>
      </c>
      <c r="P139" s="7" t="s">
        <v>1980</v>
      </c>
      <c r="Q139" s="6" t="str">
        <f t="shared" si="69"/>
        <v>=1506*10000</v>
      </c>
      <c r="R139" s="11">
        <f>1506*10000</f>
        <v>15060000</v>
      </c>
      <c r="S139" s="8">
        <f t="shared" si="70"/>
        <v>-0.90271317829457365</v>
      </c>
      <c r="T139" s="6" t="s">
        <v>1981</v>
      </c>
      <c r="U139" s="6" t="str">
        <f t="shared" si="71"/>
        <v>=1.548*100000000</v>
      </c>
      <c r="V139" s="1">
        <f>1.548*100000000</f>
        <v>154800000</v>
      </c>
      <c r="W139" s="8">
        <f t="shared" si="72"/>
        <v>0.35196506550218343</v>
      </c>
      <c r="X139" s="6" t="s">
        <v>1982</v>
      </c>
      <c r="Y139" s="6" t="str">
        <f t="shared" si="73"/>
        <v>=1.145*100000000</v>
      </c>
      <c r="Z139" s="1">
        <f>1.145*100000000</f>
        <v>114500000</v>
      </c>
      <c r="AA139" s="8">
        <f t="shared" si="74"/>
        <v>3.4089333846746244</v>
      </c>
      <c r="AB139" s="7" t="s">
        <v>1983</v>
      </c>
      <c r="AC139" s="6" t="str">
        <f t="shared" si="75"/>
        <v>=2597*10000</v>
      </c>
      <c r="AD139" s="1">
        <f>2597*10000</f>
        <v>25970000</v>
      </c>
      <c r="AE139" s="8">
        <f t="shared" si="76"/>
        <v>-2.4622747747747749</v>
      </c>
      <c r="AF139" s="7">
        <f>-1776*10000</f>
        <v>-17760000</v>
      </c>
      <c r="AG139" s="6" t="str">
        <f t="shared" si="77"/>
        <v>=-17760000</v>
      </c>
      <c r="AH139" s="1">
        <f>-17760000</f>
        <v>-17760000</v>
      </c>
      <c r="AI139" s="8">
        <f t="shared" si="78"/>
        <v>-1.0761904761904761</v>
      </c>
      <c r="AJ139" s="6" t="s">
        <v>1984</v>
      </c>
      <c r="AK139" s="6" t="str">
        <f t="shared" si="79"/>
        <v>=2.331*100000000</v>
      </c>
      <c r="AL139" s="1">
        <f>2.331*100000000</f>
        <v>233100000</v>
      </c>
      <c r="AM139" s="8">
        <f t="shared" si="80"/>
        <v>0.79861111111111116</v>
      </c>
      <c r="AN139" s="6" t="s">
        <v>1985</v>
      </c>
      <c r="AO139" s="6" t="str">
        <f t="shared" si="81"/>
        <v>=1.296*100000000</v>
      </c>
      <c r="AP139" s="1">
        <f>1.296*100000000</f>
        <v>129600000</v>
      </c>
      <c r="AQ139" s="8">
        <f t="shared" si="82"/>
        <v>3.0806045340050376</v>
      </c>
      <c r="AR139" s="7" t="s">
        <v>1986</v>
      </c>
      <c r="AS139" s="6" t="str">
        <f t="shared" si="83"/>
        <v>=3176*10000</v>
      </c>
      <c r="AT139" s="1">
        <f>3176*10000</f>
        <v>31760000</v>
      </c>
      <c r="AU139" s="8">
        <f t="shared" si="84"/>
        <v>-2.6813128639491794</v>
      </c>
      <c r="AV139" s="7">
        <f>-1889*10000</f>
        <v>-18890000</v>
      </c>
      <c r="AW139" s="6" t="str">
        <f t="shared" si="85"/>
        <v>=-18890000</v>
      </c>
      <c r="AX139" s="1">
        <f>-18890000</f>
        <v>-18890000</v>
      </c>
      <c r="AY139" s="10">
        <f t="shared" si="86"/>
        <v>-1.1178415470991889</v>
      </c>
      <c r="AZ139" s="6" t="s">
        <v>1987</v>
      </c>
      <c r="BA139" s="6" t="str">
        <f t="shared" si="87"/>
        <v>=1.603*100000000</v>
      </c>
      <c r="BB139" s="1">
        <f>1.603*100000000</f>
        <v>160300000</v>
      </c>
      <c r="BC139" s="8">
        <f t="shared" si="88"/>
        <v>0.12649332396345747</v>
      </c>
      <c r="BD139" s="6" t="s">
        <v>1988</v>
      </c>
      <c r="BE139" s="6" t="str">
        <f t="shared" si="89"/>
        <v>=1.423*100000000</v>
      </c>
      <c r="BF139" s="1">
        <f>1.423*100000000</f>
        <v>142300000</v>
      </c>
      <c r="BG139" s="8">
        <f t="shared" si="90"/>
        <v>3.6201298701298703</v>
      </c>
      <c r="BH139" s="7" t="s">
        <v>1989</v>
      </c>
      <c r="BI139" s="6" t="str">
        <f t="shared" si="91"/>
        <v>=3080*10000</v>
      </c>
      <c r="BJ139" s="1">
        <f>3080*10000</f>
        <v>30800000</v>
      </c>
      <c r="BK139" s="7">
        <f>-2269*10000</f>
        <v>-22690000</v>
      </c>
      <c r="BL139" s="1" t="str">
        <f t="shared" si="63"/>
        <v>=-22690000</v>
      </c>
      <c r="BM139" s="16">
        <f t="shared" si="92"/>
        <v>-2.357426178933451</v>
      </c>
      <c r="BN139" s="1">
        <f>-22690000</f>
        <v>-22690000</v>
      </c>
    </row>
    <row r="140" spans="1:66">
      <c r="A140" s="18"/>
      <c r="B140">
        <v>600097</v>
      </c>
      <c r="C140" t="s">
        <v>58</v>
      </c>
      <c r="D140" s="6" t="s">
        <v>1990</v>
      </c>
      <c r="E140" s="7" t="str">
        <f t="shared" si="62"/>
        <v>=2.405*100000000</v>
      </c>
      <c r="F140" s="1">
        <f>2.405*100000000</f>
        <v>240499999.99999997</v>
      </c>
      <c r="G140" s="8">
        <f t="shared" si="64"/>
        <v>-1.4344262295082089E-2</v>
      </c>
      <c r="H140" s="6" t="s">
        <v>1991</v>
      </c>
      <c r="I140" s="6" t="str">
        <f t="shared" si="65"/>
        <v>=2.440*100000000</v>
      </c>
      <c r="J140" s="1">
        <f>2.44*100000000</f>
        <v>244000000</v>
      </c>
      <c r="K140" s="10">
        <f t="shared" si="66"/>
        <v>0.24808184143222506</v>
      </c>
      <c r="L140" s="6" t="s">
        <v>1992</v>
      </c>
      <c r="M140" s="6" t="str">
        <f t="shared" si="67"/>
        <v>=1.955*100000000</v>
      </c>
      <c r="N140" s="1">
        <f>1.955*100000000</f>
        <v>195500000</v>
      </c>
      <c r="O140" s="8">
        <f t="shared" si="68"/>
        <v>12.094440723375753</v>
      </c>
      <c r="P140" s="7" t="s">
        <v>1993</v>
      </c>
      <c r="Q140" s="6" t="str">
        <f t="shared" si="69"/>
        <v>=1493*10000</v>
      </c>
      <c r="R140" s="11">
        <f>1493*10000</f>
        <v>14930000</v>
      </c>
      <c r="S140" s="8">
        <f t="shared" si="70"/>
        <v>-0.89918973666441593</v>
      </c>
      <c r="T140" s="6" t="s">
        <v>1994</v>
      </c>
      <c r="U140" s="6" t="str">
        <f t="shared" si="71"/>
        <v>=1.481*100000000</v>
      </c>
      <c r="V140" s="1">
        <f>1.481*100000000</f>
        <v>148100000</v>
      </c>
      <c r="W140" s="8">
        <f t="shared" si="72"/>
        <v>0.36497695852534562</v>
      </c>
      <c r="X140" s="6" t="s">
        <v>1995</v>
      </c>
      <c r="Y140" s="6" t="str">
        <f t="shared" si="73"/>
        <v>=1.085*100000000</v>
      </c>
      <c r="Z140" s="1">
        <f>1.085*100000000</f>
        <v>108500000</v>
      </c>
      <c r="AA140" s="8">
        <f t="shared" si="74"/>
        <v>4.239014968614196</v>
      </c>
      <c r="AB140" s="7" t="s">
        <v>1996</v>
      </c>
      <c r="AC140" s="6" t="str">
        <f t="shared" si="75"/>
        <v>=2071*10000</v>
      </c>
      <c r="AD140" s="1">
        <f>2071*10000</f>
        <v>20710000</v>
      </c>
      <c r="AE140" s="8">
        <f t="shared" si="76"/>
        <v>-2.1391639163916389</v>
      </c>
      <c r="AF140" s="7">
        <f>-1818*10000</f>
        <v>-18180000</v>
      </c>
      <c r="AG140" s="6" t="str">
        <f t="shared" si="77"/>
        <v>=-18180000</v>
      </c>
      <c r="AH140" s="1">
        <f>-18180000</f>
        <v>-18180000</v>
      </c>
      <c r="AI140" s="8">
        <f t="shared" si="78"/>
        <v>-1.0783958602846053</v>
      </c>
      <c r="AJ140" s="6" t="s">
        <v>1997</v>
      </c>
      <c r="AK140" s="6" t="str">
        <f t="shared" si="79"/>
        <v>=2.319*100000000</v>
      </c>
      <c r="AL140" s="1">
        <f>2.319*100000000</f>
        <v>231900000</v>
      </c>
      <c r="AM140" s="8">
        <f t="shared" si="80"/>
        <v>0.7990690457719164</v>
      </c>
      <c r="AN140" s="6" t="s">
        <v>1998</v>
      </c>
      <c r="AO140" s="6" t="str">
        <f t="shared" si="81"/>
        <v>=1.289*100000000</v>
      </c>
      <c r="AP140" s="1">
        <f>1.289*100000000</f>
        <v>128899999.99999999</v>
      </c>
      <c r="AQ140" s="8">
        <f t="shared" si="82"/>
        <v>3.1353865896695536</v>
      </c>
      <c r="AR140" s="7" t="s">
        <v>1999</v>
      </c>
      <c r="AS140" s="6" t="str">
        <f t="shared" si="83"/>
        <v>=3117*10000</v>
      </c>
      <c r="AT140" s="1">
        <f>3117*10000</f>
        <v>31170000</v>
      </c>
      <c r="AU140" s="8">
        <f t="shared" si="84"/>
        <v>-2.6327920377160816</v>
      </c>
      <c r="AV140" s="7">
        <f>-1909*10000</f>
        <v>-19090000</v>
      </c>
      <c r="AW140" s="6" t="str">
        <f t="shared" si="85"/>
        <v>=-19090000</v>
      </c>
      <c r="AX140" s="1">
        <f>-19090000</f>
        <v>-19090000</v>
      </c>
      <c r="AY140" s="10">
        <f t="shared" si="86"/>
        <v>-1.1217474489795918</v>
      </c>
      <c r="AZ140" s="6" t="s">
        <v>617</v>
      </c>
      <c r="BA140" s="6" t="str">
        <f t="shared" si="87"/>
        <v>=1.568*100000000</v>
      </c>
      <c r="BB140" s="1">
        <f>1.568*100000000</f>
        <v>156800000</v>
      </c>
      <c r="BC140" s="8">
        <f t="shared" si="88"/>
        <v>0.12482065997130559</v>
      </c>
      <c r="BD140" s="6" t="s">
        <v>2000</v>
      </c>
      <c r="BE140" s="6" t="str">
        <f t="shared" si="89"/>
        <v>=1.394*100000000</v>
      </c>
      <c r="BF140" s="1">
        <f>1.394*100000000</f>
        <v>139400000</v>
      </c>
      <c r="BG140" s="8">
        <f t="shared" si="90"/>
        <v>4.1306588148693413</v>
      </c>
      <c r="BH140" s="7" t="s">
        <v>2001</v>
      </c>
      <c r="BI140" s="6" t="str">
        <f t="shared" si="91"/>
        <v>=2717*10000</v>
      </c>
      <c r="BJ140" s="1">
        <f>2717*10000</f>
        <v>27170000</v>
      </c>
      <c r="BK140" s="7">
        <f>-2253*10000</f>
        <v>-22530000</v>
      </c>
      <c r="BL140" s="1" t="str">
        <f t="shared" si="63"/>
        <v>=-22530000</v>
      </c>
      <c r="BM140" s="16">
        <f t="shared" si="92"/>
        <v>-2.205947625388371</v>
      </c>
      <c r="BN140" s="1">
        <f>-22530000</f>
        <v>-22530000</v>
      </c>
    </row>
    <row r="141" spans="1:66">
      <c r="A141" s="19"/>
      <c r="B141">
        <v>600097</v>
      </c>
      <c r="C141" t="s">
        <v>68</v>
      </c>
      <c r="D141" s="6" t="s">
        <v>2002</v>
      </c>
      <c r="E141" s="7" t="str">
        <f t="shared" si="62"/>
        <v>=1.980*100000000</v>
      </c>
      <c r="F141" s="1">
        <f>1.98*100000000</f>
        <v>198000000</v>
      </c>
      <c r="G141" s="8">
        <f t="shared" si="64"/>
        <v>-1.7857142857142856E-2</v>
      </c>
      <c r="H141" s="6" t="s">
        <v>2003</v>
      </c>
      <c r="I141" s="6" t="str">
        <f t="shared" si="65"/>
        <v>=2.016*100000000</v>
      </c>
      <c r="J141" s="1">
        <f>2.016*100000000</f>
        <v>201600000</v>
      </c>
      <c r="K141" s="10">
        <f t="shared" si="66"/>
        <v>0.30824140168721609</v>
      </c>
      <c r="L141" s="6" t="s">
        <v>2004</v>
      </c>
      <c r="M141" s="6" t="str">
        <f t="shared" si="67"/>
        <v>=1.541*100000000</v>
      </c>
      <c r="N141" s="1">
        <f>1.541*100000000</f>
        <v>154100000</v>
      </c>
      <c r="O141" s="8">
        <f t="shared" si="68"/>
        <v>11.820299500831947</v>
      </c>
      <c r="P141" s="7" t="s">
        <v>2005</v>
      </c>
      <c r="Q141" s="6" t="str">
        <f t="shared" si="69"/>
        <v>=1202*10000</v>
      </c>
      <c r="R141" s="11">
        <f>1202*10000</f>
        <v>12020000</v>
      </c>
      <c r="S141" s="8">
        <f t="shared" si="70"/>
        <v>-0.91772758384668041</v>
      </c>
      <c r="T141" s="6" t="s">
        <v>2006</v>
      </c>
      <c r="U141" s="6" t="str">
        <f t="shared" si="71"/>
        <v>=1.461*100000000</v>
      </c>
      <c r="V141" s="1">
        <f>1.461*100000000</f>
        <v>146100000</v>
      </c>
      <c r="W141" s="8">
        <f t="shared" si="72"/>
        <v>0.4843035659859799</v>
      </c>
      <c r="X141" s="7" t="s">
        <v>2007</v>
      </c>
      <c r="Y141" s="6" t="str">
        <f t="shared" si="73"/>
        <v>=9843*10000</v>
      </c>
      <c r="Z141" s="1">
        <f>9843*10000</f>
        <v>98430000</v>
      </c>
      <c r="AA141" s="8">
        <f t="shared" si="74"/>
        <v>5.4927440633245386</v>
      </c>
      <c r="AB141" s="7" t="s">
        <v>2008</v>
      </c>
      <c r="AC141" s="6" t="str">
        <f t="shared" si="75"/>
        <v>=1516*10000</v>
      </c>
      <c r="AD141" s="1">
        <f>1516*10000</f>
        <v>15160000</v>
      </c>
      <c r="AE141" s="8">
        <f t="shared" si="76"/>
        <v>-1.7501237011380504</v>
      </c>
      <c r="AF141" s="7">
        <f>-2021*10000</f>
        <v>-20210000</v>
      </c>
      <c r="AG141" s="6" t="str">
        <f t="shared" si="77"/>
        <v>=-20210000</v>
      </c>
      <c r="AH141" s="1">
        <f>-20210000</f>
        <v>-20210000</v>
      </c>
      <c r="AI141" s="8">
        <f t="shared" si="78"/>
        <v>-1.1107397260273972</v>
      </c>
      <c r="AJ141" s="6" t="s">
        <v>2009</v>
      </c>
      <c r="AK141" s="6" t="str">
        <f t="shared" si="79"/>
        <v>=1.825*100000000</v>
      </c>
      <c r="AL141" s="1">
        <f>1.825*100000000</f>
        <v>182500000</v>
      </c>
      <c r="AM141" s="8">
        <f t="shared" si="80"/>
        <v>0.57327586206896575</v>
      </c>
      <c r="AN141" s="6" t="s">
        <v>2010</v>
      </c>
      <c r="AO141" s="6" t="str">
        <f t="shared" si="81"/>
        <v>=1.160*100000000</v>
      </c>
      <c r="AP141" s="1">
        <f>1.16*100000000</f>
        <v>115999999.99999999</v>
      </c>
      <c r="AQ141" s="8">
        <f t="shared" si="82"/>
        <v>4.6092843326885875</v>
      </c>
      <c r="AR141" s="7" t="s">
        <v>2011</v>
      </c>
      <c r="AS141" s="6" t="str">
        <f t="shared" si="83"/>
        <v>=2068*10000</v>
      </c>
      <c r="AT141" s="1">
        <f>2068*10000</f>
        <v>20680000</v>
      </c>
      <c r="AU141" s="8">
        <f t="shared" si="84"/>
        <v>-1.9374433363553945</v>
      </c>
      <c r="AV141" s="7">
        <f>-2206*10000</f>
        <v>-22060000</v>
      </c>
      <c r="AW141" s="6" t="str">
        <f t="shared" si="85"/>
        <v>=-22060000</v>
      </c>
      <c r="AX141" s="1">
        <f>-22060000</f>
        <v>-22060000</v>
      </c>
      <c r="AY141" s="10">
        <f t="shared" si="86"/>
        <v>-1.1510958904109589</v>
      </c>
      <c r="AZ141" s="6" t="s">
        <v>2012</v>
      </c>
      <c r="BA141" s="6" t="str">
        <f t="shared" si="87"/>
        <v>=1.460*100000000</v>
      </c>
      <c r="BB141" s="1">
        <f>1.46*100000000</f>
        <v>146000000</v>
      </c>
      <c r="BC141" s="8">
        <f t="shared" si="88"/>
        <v>0.12915699922660479</v>
      </c>
      <c r="BD141" s="6" t="s">
        <v>2013</v>
      </c>
      <c r="BE141" s="6" t="str">
        <f t="shared" si="89"/>
        <v>=1.293*100000000</v>
      </c>
      <c r="BF141" s="1">
        <f>1.293*100000000</f>
        <v>129300000</v>
      </c>
      <c r="BG141" s="8">
        <f t="shared" si="90"/>
        <v>4.9420955882352944</v>
      </c>
      <c r="BH141" s="7" t="s">
        <v>2014</v>
      </c>
      <c r="BI141" s="6" t="str">
        <f t="shared" si="91"/>
        <v>=2176*10000</v>
      </c>
      <c r="BJ141" s="1">
        <f>2176*10000</f>
        <v>21760000</v>
      </c>
      <c r="BK141" s="7">
        <f>-2285*10000</f>
        <v>-22850000</v>
      </c>
      <c r="BL141" s="1" t="str">
        <f t="shared" si="63"/>
        <v>=-22850000</v>
      </c>
      <c r="BM141" s="16">
        <f t="shared" si="92"/>
        <v>-1.9522975929978119</v>
      </c>
      <c r="BN141" s="1">
        <f>-22850000</f>
        <v>-22850000</v>
      </c>
    </row>
    <row r="142" spans="1:66">
      <c r="A142" s="17">
        <v>36</v>
      </c>
      <c r="B142">
        <v>600098</v>
      </c>
      <c r="C142" t="s">
        <v>31</v>
      </c>
      <c r="D142" s="6" t="s">
        <v>2015</v>
      </c>
      <c r="E142" s="7" t="str">
        <f t="shared" si="62"/>
        <v>=379.1*100000000</v>
      </c>
      <c r="F142" s="1">
        <f>379.1*100000000</f>
        <v>37910000000</v>
      </c>
      <c r="G142" s="8">
        <f t="shared" si="64"/>
        <v>0.34863038064745622</v>
      </c>
      <c r="H142" s="6" t="s">
        <v>2016</v>
      </c>
      <c r="I142" s="6" t="str">
        <f t="shared" si="65"/>
        <v>=281.1*100000000</v>
      </c>
      <c r="J142" s="1">
        <f>281.1*100000000</f>
        <v>28110000000.000004</v>
      </c>
      <c r="K142" s="10">
        <f t="shared" si="66"/>
        <v>0.57478991596638673</v>
      </c>
      <c r="L142" s="6" t="s">
        <v>2017</v>
      </c>
      <c r="M142" s="6" t="str">
        <f t="shared" si="67"/>
        <v>=178.5*100000000</v>
      </c>
      <c r="N142" s="1">
        <f>178.5*100000000</f>
        <v>17850000000</v>
      </c>
      <c r="O142" s="8">
        <f t="shared" si="68"/>
        <v>0.98863636363636365</v>
      </c>
      <c r="P142" s="6" t="s">
        <v>2018</v>
      </c>
      <c r="Q142" s="6" t="str">
        <f t="shared" si="69"/>
        <v>=89.76*100000000</v>
      </c>
      <c r="R142" s="11">
        <f>89.76*100000000</f>
        <v>8976000000</v>
      </c>
      <c r="S142" s="8">
        <f t="shared" si="70"/>
        <v>-0.71639810426540285</v>
      </c>
      <c r="T142" s="6" t="s">
        <v>2019</v>
      </c>
      <c r="U142" s="6" t="str">
        <f t="shared" si="71"/>
        <v>=316.5*100000000</v>
      </c>
      <c r="V142" s="1">
        <f>316.5*100000000</f>
        <v>31650000000</v>
      </c>
      <c r="W142" s="8">
        <f t="shared" si="72"/>
        <v>0.39182058047493401</v>
      </c>
      <c r="X142" s="6" t="s">
        <v>2020</v>
      </c>
      <c r="Y142" s="6" t="str">
        <f t="shared" si="73"/>
        <v>=227.4*100000000</v>
      </c>
      <c r="Z142" s="1">
        <f>227.4*100000000</f>
        <v>22740000000</v>
      </c>
      <c r="AA142" s="8">
        <f t="shared" si="74"/>
        <v>0.62196861626248234</v>
      </c>
      <c r="AB142" s="6" t="s">
        <v>2021</v>
      </c>
      <c r="AC142" s="6" t="str">
        <f t="shared" si="75"/>
        <v>=140.2*100000000</v>
      </c>
      <c r="AD142" s="1">
        <f>140.2*100000000</f>
        <v>14019999999.999998</v>
      </c>
      <c r="AE142" s="8">
        <f t="shared" si="76"/>
        <v>1.2421237805853187</v>
      </c>
      <c r="AF142" s="6" t="s">
        <v>2022</v>
      </c>
      <c r="AG142" s="6" t="str">
        <f t="shared" si="77"/>
        <v>=62.53*100000000</v>
      </c>
      <c r="AH142" s="1">
        <f>62.53*100000000</f>
        <v>6253000000</v>
      </c>
      <c r="AI142" s="8">
        <f t="shared" si="78"/>
        <v>-0.78824923806298675</v>
      </c>
      <c r="AJ142" s="6" t="s">
        <v>2023</v>
      </c>
      <c r="AK142" s="6" t="str">
        <f t="shared" si="79"/>
        <v>=295.3*100000000</v>
      </c>
      <c r="AL142" s="1">
        <f>295.3*100000000</f>
        <v>29530000000</v>
      </c>
      <c r="AM142" s="8">
        <f t="shared" si="80"/>
        <v>0.38249063670411987</v>
      </c>
      <c r="AN142" s="6" t="s">
        <v>2024</v>
      </c>
      <c r="AO142" s="6" t="str">
        <f t="shared" si="81"/>
        <v>=213.6*100000000</v>
      </c>
      <c r="AP142" s="1">
        <f>213.6*100000000</f>
        <v>21360000000</v>
      </c>
      <c r="AQ142" s="8">
        <f t="shared" si="82"/>
        <v>0.65453137103020909</v>
      </c>
      <c r="AR142" s="6" t="s">
        <v>2025</v>
      </c>
      <c r="AS142" s="6" t="str">
        <f t="shared" si="83"/>
        <v>=129.1*100000000</v>
      </c>
      <c r="AT142" s="1">
        <f>129.1*100000000</f>
        <v>12910000000</v>
      </c>
      <c r="AU142" s="8">
        <f t="shared" si="84"/>
        <v>1.0279610430411561</v>
      </c>
      <c r="AV142" s="6" t="s">
        <v>2026</v>
      </c>
      <c r="AW142" s="6" t="str">
        <f t="shared" si="85"/>
        <v>=63.66*100000000</v>
      </c>
      <c r="AX142" s="1">
        <f>63.66*100000000</f>
        <v>6366000000</v>
      </c>
      <c r="AY142" s="10">
        <f t="shared" si="86"/>
        <v>-0.75496535796766739</v>
      </c>
      <c r="AZ142" s="6" t="s">
        <v>2027</v>
      </c>
      <c r="BA142" s="6" t="str">
        <f t="shared" si="87"/>
        <v>=259.8*100000000</v>
      </c>
      <c r="BB142" s="1">
        <f>259.8*100000000</f>
        <v>25980000000</v>
      </c>
      <c r="BC142" s="8">
        <f t="shared" si="88"/>
        <v>0.39302949061662196</v>
      </c>
      <c r="BD142" s="6" t="s">
        <v>2028</v>
      </c>
      <c r="BE142" s="6" t="str">
        <f t="shared" si="89"/>
        <v>=186.5*100000000</v>
      </c>
      <c r="BF142" s="1">
        <f>186.5*100000000</f>
        <v>18650000000</v>
      </c>
      <c r="BG142" s="8">
        <f t="shared" si="90"/>
        <v>0.51626016260162599</v>
      </c>
      <c r="BH142" s="6" t="s">
        <v>2029</v>
      </c>
      <c r="BI142" s="6" t="str">
        <f t="shared" si="91"/>
        <v>=123.0*100000000</v>
      </c>
      <c r="BJ142" s="1">
        <f>123*100000000</f>
        <v>12300000000</v>
      </c>
      <c r="BK142" s="6" t="s">
        <v>2030</v>
      </c>
      <c r="BL142" s="1" t="str">
        <f t="shared" si="63"/>
        <v>=60.64*100000000</v>
      </c>
      <c r="BM142" s="16">
        <f t="shared" si="92"/>
        <v>1.0283641160949868</v>
      </c>
      <c r="BN142" s="1">
        <f>60.64*100000000</f>
        <v>6064000000</v>
      </c>
    </row>
    <row r="143" spans="1:66">
      <c r="A143" s="18"/>
      <c r="B143">
        <v>600098</v>
      </c>
      <c r="C143" t="s">
        <v>48</v>
      </c>
      <c r="D143" s="6">
        <f>-3.543*100000000</f>
        <v>-354300000</v>
      </c>
      <c r="E143" s="7" t="str">
        <f t="shared" si="62"/>
        <v>=-354300000</v>
      </c>
      <c r="F143" s="1">
        <f>-354300000</f>
        <v>-354300000</v>
      </c>
      <c r="G143" s="8">
        <f t="shared" si="64"/>
        <v>-1.6194055944055945</v>
      </c>
      <c r="H143" s="6" t="s">
        <v>2031</v>
      </c>
      <c r="I143" s="6" t="str">
        <f t="shared" si="65"/>
        <v>=5.720*100000000</v>
      </c>
      <c r="J143" s="1">
        <f>5.72*100000000</f>
        <v>572000000</v>
      </c>
      <c r="K143" s="10">
        <f t="shared" si="66"/>
        <v>-0.1363430469575721</v>
      </c>
      <c r="L143" s="6" t="s">
        <v>2032</v>
      </c>
      <c r="M143" s="6" t="str">
        <f t="shared" si="67"/>
        <v>=6.623*100000000</v>
      </c>
      <c r="N143" s="1">
        <f>6.623*100000000</f>
        <v>662300000</v>
      </c>
      <c r="O143" s="8">
        <f t="shared" si="68"/>
        <v>3.5300957592339262</v>
      </c>
      <c r="P143" s="6" t="s">
        <v>2033</v>
      </c>
      <c r="Q143" s="6" t="str">
        <f t="shared" si="69"/>
        <v>=1.462*100000000</v>
      </c>
      <c r="R143" s="11">
        <f>1.462*100000000</f>
        <v>146200000</v>
      </c>
      <c r="S143" s="8">
        <f t="shared" si="70"/>
        <v>-0.88907435508345978</v>
      </c>
      <c r="T143" s="6" t="s">
        <v>2034</v>
      </c>
      <c r="U143" s="6" t="str">
        <f t="shared" si="71"/>
        <v>=13.18*100000000</v>
      </c>
      <c r="V143" s="1">
        <f>13.18*100000000</f>
        <v>1318000000</v>
      </c>
      <c r="W143" s="8">
        <f t="shared" si="72"/>
        <v>0.11884550084889643</v>
      </c>
      <c r="X143" s="6" t="s">
        <v>2035</v>
      </c>
      <c r="Y143" s="6" t="str">
        <f t="shared" si="73"/>
        <v>=11.78*100000000</v>
      </c>
      <c r="Z143" s="1">
        <f>11.78*100000000</f>
        <v>1178000000</v>
      </c>
      <c r="AA143" s="8">
        <f t="shared" si="74"/>
        <v>0.77089597113650032</v>
      </c>
      <c r="AB143" s="6" t="s">
        <v>2036</v>
      </c>
      <c r="AC143" s="6" t="str">
        <f t="shared" si="75"/>
        <v>=6.652*100000000</v>
      </c>
      <c r="AD143" s="1">
        <f>6.652*100000000</f>
        <v>665200000</v>
      </c>
      <c r="AE143" s="8">
        <f t="shared" si="76"/>
        <v>6.5104437168341427</v>
      </c>
      <c r="AF143" s="7" t="s">
        <v>2037</v>
      </c>
      <c r="AG143" s="6" t="str">
        <f t="shared" si="77"/>
        <v>=8857*10000</v>
      </c>
      <c r="AH143" s="1">
        <f>8857*10000</f>
        <v>88570000</v>
      </c>
      <c r="AI143" s="8">
        <f t="shared" si="78"/>
        <v>-0.9232495667244367</v>
      </c>
      <c r="AJ143" s="6" t="s">
        <v>2038</v>
      </c>
      <c r="AK143" s="6" t="str">
        <f t="shared" si="79"/>
        <v>=11.54*100000000</v>
      </c>
      <c r="AL143" s="1">
        <f>11.54*100000000</f>
        <v>1154000000</v>
      </c>
      <c r="AM143" s="8">
        <f t="shared" si="80"/>
        <v>0.20522193211488265</v>
      </c>
      <c r="AN143" s="6" t="s">
        <v>2039</v>
      </c>
      <c r="AO143" s="6" t="str">
        <f t="shared" si="81"/>
        <v>=9.575*100000000</v>
      </c>
      <c r="AP143" s="1">
        <f>9.575*100000000</f>
        <v>957499999.99999988</v>
      </c>
      <c r="AQ143" s="8">
        <f t="shared" si="82"/>
        <v>0.67219699615787609</v>
      </c>
      <c r="AR143" s="6" t="s">
        <v>2040</v>
      </c>
      <c r="AS143" s="6" t="str">
        <f t="shared" si="83"/>
        <v>=5.726*100000000</v>
      </c>
      <c r="AT143" s="1">
        <f>5.726*100000000</f>
        <v>572600000</v>
      </c>
      <c r="AU143" s="8">
        <f t="shared" si="84"/>
        <v>2.1478834524463992</v>
      </c>
      <c r="AV143" s="6" t="s">
        <v>2041</v>
      </c>
      <c r="AW143" s="6" t="str">
        <f t="shared" si="85"/>
        <v>=1.819*100000000</v>
      </c>
      <c r="AX143" s="1">
        <f>1.819*100000000</f>
        <v>181900000</v>
      </c>
      <c r="AY143" s="10">
        <f t="shared" si="86"/>
        <v>-0.83388127853881278</v>
      </c>
      <c r="AZ143" s="6" t="s">
        <v>2042</v>
      </c>
      <c r="BA143" s="6" t="str">
        <f t="shared" si="87"/>
        <v>=10.95*100000000</v>
      </c>
      <c r="BB143" s="1">
        <f>10.95*100000000</f>
        <v>1095000000</v>
      </c>
      <c r="BC143" s="8">
        <f t="shared" si="88"/>
        <v>0.13248526217809495</v>
      </c>
      <c r="BD143" s="6" t="s">
        <v>2043</v>
      </c>
      <c r="BE143" s="6" t="str">
        <f t="shared" si="89"/>
        <v>=9.669*100000000</v>
      </c>
      <c r="BF143" s="1">
        <f>9.669*100000000</f>
        <v>966900000</v>
      </c>
      <c r="BG143" s="8">
        <f t="shared" si="90"/>
        <v>0.50490272373540857</v>
      </c>
      <c r="BH143" s="6" t="s">
        <v>2044</v>
      </c>
      <c r="BI143" s="6" t="str">
        <f t="shared" si="91"/>
        <v>=6.425*100000000</v>
      </c>
      <c r="BJ143" s="1">
        <f>6.425*100000000</f>
        <v>642500000</v>
      </c>
      <c r="BK143" s="6" t="s">
        <v>2045</v>
      </c>
      <c r="BL143" s="1" t="str">
        <f t="shared" si="63"/>
        <v>=1.646*100000000</v>
      </c>
      <c r="BM143" s="16">
        <f t="shared" si="92"/>
        <v>2.9034021871202915</v>
      </c>
      <c r="BN143" s="1">
        <f>1.646*100000000</f>
        <v>164600000</v>
      </c>
    </row>
    <row r="144" spans="1:66">
      <c r="A144" s="18"/>
      <c r="B144">
        <v>600098</v>
      </c>
      <c r="C144" t="s">
        <v>58</v>
      </c>
      <c r="D144" s="6">
        <f>-3.21*100000000</f>
        <v>-321000000</v>
      </c>
      <c r="E144" s="7" t="str">
        <f t="shared" si="62"/>
        <v>=-321000000</v>
      </c>
      <c r="F144" s="1">
        <f>-321000000</f>
        <v>-321000000</v>
      </c>
      <c r="G144" s="8">
        <f t="shared" si="64"/>
        <v>-1.5045583149952846</v>
      </c>
      <c r="H144" s="6" t="s">
        <v>2046</v>
      </c>
      <c r="I144" s="6" t="str">
        <f t="shared" si="65"/>
        <v>=6.362*100000000</v>
      </c>
      <c r="J144" s="1">
        <f>6.362*100000000</f>
        <v>636200000</v>
      </c>
      <c r="K144" s="10">
        <f t="shared" si="66"/>
        <v>-0.14108275955177535</v>
      </c>
      <c r="L144" s="6" t="s">
        <v>2047</v>
      </c>
      <c r="M144" s="6" t="str">
        <f t="shared" si="67"/>
        <v>=7.407*100000000</v>
      </c>
      <c r="N144" s="1">
        <f>7.407*100000000</f>
        <v>740700000</v>
      </c>
      <c r="O144" s="8">
        <f t="shared" si="68"/>
        <v>2.3744874715261961</v>
      </c>
      <c r="P144" s="6" t="s">
        <v>2048</v>
      </c>
      <c r="Q144" s="6" t="str">
        <f t="shared" si="69"/>
        <v>=2.195*100000000</v>
      </c>
      <c r="R144" s="11">
        <f>2.195*100000000</f>
        <v>219499999.99999997</v>
      </c>
      <c r="S144" s="8">
        <f t="shared" si="70"/>
        <v>-0.83704528582034154</v>
      </c>
      <c r="T144" s="6" t="s">
        <v>2049</v>
      </c>
      <c r="U144" s="6" t="str">
        <f t="shared" si="71"/>
        <v>=13.47*100000000</v>
      </c>
      <c r="V144" s="1">
        <f>13.47*100000000</f>
        <v>1347000000</v>
      </c>
      <c r="W144" s="8">
        <f t="shared" si="72"/>
        <v>0.11230388109000826</v>
      </c>
      <c r="X144" s="6" t="s">
        <v>2050</v>
      </c>
      <c r="Y144" s="6" t="str">
        <f t="shared" si="73"/>
        <v>=12.11*100000000</v>
      </c>
      <c r="Z144" s="1">
        <f>12.11*100000000</f>
        <v>1211000000</v>
      </c>
      <c r="AA144" s="8">
        <f t="shared" si="74"/>
        <v>0.74319850295091405</v>
      </c>
      <c r="AB144" s="6" t="s">
        <v>2051</v>
      </c>
      <c r="AC144" s="6" t="str">
        <f t="shared" si="75"/>
        <v>=6.947*100000000</v>
      </c>
      <c r="AD144" s="1">
        <f>6.947*100000000</f>
        <v>694700000</v>
      </c>
      <c r="AE144" s="8">
        <f t="shared" si="76"/>
        <v>4.4916996047430837</v>
      </c>
      <c r="AF144" s="6" t="s">
        <v>2052</v>
      </c>
      <c r="AG144" s="6" t="str">
        <f t="shared" si="77"/>
        <v>=1.265*100000000</v>
      </c>
      <c r="AH144" s="1">
        <f>1.265*100000000</f>
        <v>126499999.99999999</v>
      </c>
      <c r="AI144" s="8">
        <f t="shared" si="78"/>
        <v>-0.89104220499569342</v>
      </c>
      <c r="AJ144" s="6" t="s">
        <v>2053</v>
      </c>
      <c r="AK144" s="6" t="str">
        <f t="shared" si="79"/>
        <v>=11.61*100000000</v>
      </c>
      <c r="AL144" s="1">
        <f>11.61*100000000</f>
        <v>1161000000</v>
      </c>
      <c r="AM144" s="8">
        <f t="shared" si="80"/>
        <v>0.19469026548672566</v>
      </c>
      <c r="AN144" s="6" t="s">
        <v>2054</v>
      </c>
      <c r="AO144" s="6" t="str">
        <f t="shared" si="81"/>
        <v>=9.718*100000000</v>
      </c>
      <c r="AP144" s="1">
        <f>9.718*100000000</f>
        <v>971800000</v>
      </c>
      <c r="AQ144" s="8">
        <f t="shared" si="82"/>
        <v>0.66947259920975777</v>
      </c>
      <c r="AR144" s="6" t="s">
        <v>2055</v>
      </c>
      <c r="AS144" s="6" t="str">
        <f t="shared" si="83"/>
        <v>=5.821*100000000</v>
      </c>
      <c r="AT144" s="1">
        <f>5.821*100000000</f>
        <v>582100000</v>
      </c>
      <c r="AU144" s="8">
        <f t="shared" si="84"/>
        <v>2.1533044420368364</v>
      </c>
      <c r="AV144" s="6" t="s">
        <v>1570</v>
      </c>
      <c r="AW144" s="6" t="str">
        <f t="shared" si="85"/>
        <v>=1.846*100000000</v>
      </c>
      <c r="AX144" s="1">
        <f>1.846*100000000</f>
        <v>184600000</v>
      </c>
      <c r="AY144" s="10">
        <f t="shared" si="86"/>
        <v>-0.82232916265640044</v>
      </c>
      <c r="AZ144" s="6" t="s">
        <v>2056</v>
      </c>
      <c r="BA144" s="6" t="str">
        <f t="shared" si="87"/>
        <v>=10.39*100000000</v>
      </c>
      <c r="BB144" s="1">
        <f>10.39*100000000</f>
        <v>1039000000</v>
      </c>
      <c r="BC144" s="8">
        <f t="shared" si="88"/>
        <v>7.6126359399275118E-2</v>
      </c>
      <c r="BD144" s="6" t="s">
        <v>2057</v>
      </c>
      <c r="BE144" s="6" t="str">
        <f t="shared" si="89"/>
        <v>=9.655*100000000</v>
      </c>
      <c r="BF144" s="1">
        <f>9.655*100000000</f>
        <v>965499999.99999988</v>
      </c>
      <c r="BG144" s="8">
        <f t="shared" si="90"/>
        <v>0.49713133819196759</v>
      </c>
      <c r="BH144" s="6" t="s">
        <v>2058</v>
      </c>
      <c r="BI144" s="6" t="str">
        <f t="shared" si="91"/>
        <v>=6.449*100000000</v>
      </c>
      <c r="BJ144" s="1">
        <f>6.449*100000000</f>
        <v>644900000</v>
      </c>
      <c r="BK144" s="6" t="s">
        <v>2059</v>
      </c>
      <c r="BL144" s="1" t="str">
        <f t="shared" si="63"/>
        <v>=1.664*100000000</v>
      </c>
      <c r="BM144" s="16">
        <f t="shared" si="92"/>
        <v>2.8756009615384617</v>
      </c>
      <c r="BN144" s="1">
        <f>1.664*100000000</f>
        <v>166400000</v>
      </c>
    </row>
    <row r="145" spans="1:66">
      <c r="A145" s="19"/>
      <c r="B145">
        <v>600098</v>
      </c>
      <c r="C145" t="s">
        <v>68</v>
      </c>
      <c r="D145" s="7">
        <f>-7169*10000</f>
        <v>-71690000</v>
      </c>
      <c r="E145" s="7" t="str">
        <f t="shared" si="62"/>
        <v>=-71690000</v>
      </c>
      <c r="F145" s="1">
        <f>-71690000</f>
        <v>-71690000</v>
      </c>
      <c r="G145" s="8">
        <f t="shared" si="64"/>
        <v>-1.0975374149659864</v>
      </c>
      <c r="H145" s="6" t="s">
        <v>2060</v>
      </c>
      <c r="I145" s="6" t="str">
        <f t="shared" si="65"/>
        <v>=7.350*100000000</v>
      </c>
      <c r="J145" s="1">
        <f>7.35*100000000</f>
        <v>735000000</v>
      </c>
      <c r="K145" s="10">
        <f t="shared" si="66"/>
        <v>9.4401429422275168E-2</v>
      </c>
      <c r="L145" s="6" t="s">
        <v>2061</v>
      </c>
      <c r="M145" s="6" t="str">
        <f t="shared" si="67"/>
        <v>=6.716*100000000</v>
      </c>
      <c r="N145" s="1">
        <f>6.716*100000000</f>
        <v>671600000</v>
      </c>
      <c r="O145" s="8">
        <f t="shared" si="68"/>
        <v>2.6088124664159054</v>
      </c>
      <c r="P145" s="6" t="s">
        <v>2062</v>
      </c>
      <c r="Q145" s="6" t="str">
        <f t="shared" si="69"/>
        <v>=1.861*100000000</v>
      </c>
      <c r="R145" s="11">
        <f>1.861*100000000</f>
        <v>186100000</v>
      </c>
      <c r="S145" s="8">
        <f t="shared" si="70"/>
        <v>-0.82957875457875463</v>
      </c>
      <c r="T145" s="6" t="s">
        <v>254</v>
      </c>
      <c r="U145" s="6" t="str">
        <f t="shared" si="71"/>
        <v>=10.92*100000000</v>
      </c>
      <c r="V145" s="1">
        <f>10.92*100000000</f>
        <v>1092000000</v>
      </c>
      <c r="W145" s="8">
        <f t="shared" si="72"/>
        <v>9.0909090909090912E-2</v>
      </c>
      <c r="X145" s="6" t="s">
        <v>2063</v>
      </c>
      <c r="Y145" s="6" t="str">
        <f t="shared" si="73"/>
        <v>=10.01*100000000</v>
      </c>
      <c r="Z145" s="1">
        <f>10.01*100000000</f>
        <v>1001000000</v>
      </c>
      <c r="AA145" s="8">
        <f t="shared" si="74"/>
        <v>0.68094038623005881</v>
      </c>
      <c r="AB145" s="6" t="s">
        <v>2064</v>
      </c>
      <c r="AC145" s="6" t="str">
        <f t="shared" si="75"/>
        <v>=5.955*100000000</v>
      </c>
      <c r="AD145" s="1">
        <f>5.955*100000000</f>
        <v>595500000</v>
      </c>
      <c r="AE145" s="8">
        <f t="shared" si="76"/>
        <v>4.7647628267182967</v>
      </c>
      <c r="AF145" s="6" t="s">
        <v>2065</v>
      </c>
      <c r="AG145" s="6" t="str">
        <f t="shared" si="77"/>
        <v>=1.033*100000000</v>
      </c>
      <c r="AH145" s="1">
        <f>1.033*100000000</f>
        <v>103299999.99999999</v>
      </c>
      <c r="AI145" s="8">
        <f t="shared" si="78"/>
        <v>-0.89256370254810191</v>
      </c>
      <c r="AJ145" s="6" t="s">
        <v>2066</v>
      </c>
      <c r="AK145" s="6" t="str">
        <f t="shared" si="79"/>
        <v>=9.615*100000000</v>
      </c>
      <c r="AL145" s="1">
        <f>9.615*100000000</f>
        <v>961500000</v>
      </c>
      <c r="AM145" s="8">
        <f t="shared" si="80"/>
        <v>0.21126228269085412</v>
      </c>
      <c r="AN145" s="6" t="s">
        <v>2067</v>
      </c>
      <c r="AO145" s="6" t="str">
        <f t="shared" si="81"/>
        <v>=7.938*100000000</v>
      </c>
      <c r="AP145" s="1">
        <f>7.938*100000000</f>
        <v>793800000</v>
      </c>
      <c r="AQ145" s="8">
        <f t="shared" si="82"/>
        <v>0.59237713139418235</v>
      </c>
      <c r="AR145" s="6" t="s">
        <v>2068</v>
      </c>
      <c r="AS145" s="6" t="str">
        <f t="shared" si="83"/>
        <v>=4.985*100000000</v>
      </c>
      <c r="AT145" s="1">
        <f>4.985*100000000</f>
        <v>498500000.00000006</v>
      </c>
      <c r="AU145" s="8">
        <f t="shared" si="84"/>
        <v>2.3322192513368987</v>
      </c>
      <c r="AV145" s="6" t="s">
        <v>2069</v>
      </c>
      <c r="AW145" s="6" t="str">
        <f t="shared" si="85"/>
        <v>=1.496*100000000</v>
      </c>
      <c r="AX145" s="1">
        <f>1.496*100000000</f>
        <v>149600000</v>
      </c>
      <c r="AY145" s="10">
        <f t="shared" si="86"/>
        <v>-0.81158690176322423</v>
      </c>
      <c r="AZ145" s="6" t="s">
        <v>2070</v>
      </c>
      <c r="BA145" s="6" t="str">
        <f t="shared" si="87"/>
        <v>=7.940*100000000</v>
      </c>
      <c r="BB145" s="1">
        <f>7.94*100000000</f>
        <v>794000000</v>
      </c>
      <c r="BC145" s="8">
        <f t="shared" si="88"/>
        <v>8.7075575027382252E-2</v>
      </c>
      <c r="BD145" s="6" t="s">
        <v>2071</v>
      </c>
      <c r="BE145" s="6" t="str">
        <f t="shared" si="89"/>
        <v>=7.304*100000000</v>
      </c>
      <c r="BF145" s="1">
        <f>7.304*100000000</f>
        <v>730400000</v>
      </c>
      <c r="BG145" s="8">
        <f t="shared" si="90"/>
        <v>0.48455284552845529</v>
      </c>
      <c r="BH145" s="6" t="s">
        <v>120</v>
      </c>
      <c r="BI145" s="6" t="str">
        <f t="shared" si="91"/>
        <v>=4.920*100000000</v>
      </c>
      <c r="BJ145" s="1">
        <f>4.92*100000000</f>
        <v>492000000</v>
      </c>
      <c r="BK145" s="6" t="s">
        <v>2072</v>
      </c>
      <c r="BL145" s="1" t="str">
        <f t="shared" si="63"/>
        <v>=1.167*100000000</v>
      </c>
      <c r="BM145" s="16">
        <f t="shared" si="92"/>
        <v>3.2159383033419022</v>
      </c>
      <c r="BN145" s="1">
        <f>1.167*100000000</f>
        <v>116700000</v>
      </c>
    </row>
    <row r="146" spans="1:66">
      <c r="A146" s="17">
        <v>37</v>
      </c>
      <c r="B146">
        <v>600101</v>
      </c>
      <c r="C146" t="s">
        <v>31</v>
      </c>
      <c r="D146" s="6" t="s">
        <v>2073</v>
      </c>
      <c r="E146" s="7" t="str">
        <f t="shared" si="62"/>
        <v>=19.28*100000000</v>
      </c>
      <c r="F146" s="1">
        <f>19.28*100000000</f>
        <v>1928000000</v>
      </c>
      <c r="G146" s="8">
        <f t="shared" si="64"/>
        <v>0.4166054371785452</v>
      </c>
      <c r="H146" s="6" t="s">
        <v>2074</v>
      </c>
      <c r="I146" s="6" t="str">
        <f t="shared" si="65"/>
        <v>=13.61*100000000</v>
      </c>
      <c r="J146" s="1">
        <f>13.61*100000000</f>
        <v>1361000000</v>
      </c>
      <c r="K146" s="10">
        <f t="shared" si="66"/>
        <v>0.65169902912621358</v>
      </c>
      <c r="L146" s="6" t="s">
        <v>2075</v>
      </c>
      <c r="M146" s="6" t="str">
        <f t="shared" si="67"/>
        <v>=8.240*100000000</v>
      </c>
      <c r="N146" s="1">
        <f>8.24*100000000</f>
        <v>824000000</v>
      </c>
      <c r="O146" s="8">
        <f t="shared" si="68"/>
        <v>1.1198868021610497</v>
      </c>
      <c r="P146" s="6" t="s">
        <v>2076</v>
      </c>
      <c r="Q146" s="6" t="str">
        <f t="shared" si="69"/>
        <v>=3.887*100000000</v>
      </c>
      <c r="R146" s="11">
        <f>3.887*100000000</f>
        <v>388700000</v>
      </c>
      <c r="S146" s="8">
        <f t="shared" si="70"/>
        <v>-0.76696642685851324</v>
      </c>
      <c r="T146" s="6" t="s">
        <v>2077</v>
      </c>
      <c r="U146" s="6" t="str">
        <f t="shared" si="71"/>
        <v>=16.68*100000000</v>
      </c>
      <c r="V146" s="1">
        <f>16.68*100000000</f>
        <v>1668000000</v>
      </c>
      <c r="W146" s="8">
        <f t="shared" si="72"/>
        <v>0.37737407101568954</v>
      </c>
      <c r="X146" s="6" t="s">
        <v>2050</v>
      </c>
      <c r="Y146" s="6" t="str">
        <f t="shared" si="73"/>
        <v>=12.11*100000000</v>
      </c>
      <c r="Z146" s="1">
        <f>12.11*100000000</f>
        <v>1211000000</v>
      </c>
      <c r="AA146" s="8">
        <f t="shared" si="74"/>
        <v>0.57990867579908678</v>
      </c>
      <c r="AB146" s="6" t="s">
        <v>1206</v>
      </c>
      <c r="AC146" s="6" t="str">
        <f t="shared" si="75"/>
        <v>=7.665*100000000</v>
      </c>
      <c r="AD146" s="1">
        <f>7.665*100000000</f>
        <v>766500000</v>
      </c>
      <c r="AE146" s="8">
        <f t="shared" si="76"/>
        <v>1.105190881625927</v>
      </c>
      <c r="AF146" s="6" t="s">
        <v>2078</v>
      </c>
      <c r="AG146" s="6" t="str">
        <f t="shared" si="77"/>
        <v>=3.641*100000000</v>
      </c>
      <c r="AH146" s="1">
        <f>3.641*100000000</f>
        <v>364100000</v>
      </c>
      <c r="AI146" s="8">
        <f t="shared" si="78"/>
        <v>-0.77356965174129355</v>
      </c>
      <c r="AJ146" s="6" t="s">
        <v>2079</v>
      </c>
      <c r="AK146" s="6" t="str">
        <f t="shared" si="79"/>
        <v>=16.08*100000000</v>
      </c>
      <c r="AL146" s="1">
        <f>16.08*100000000</f>
        <v>1607999999.9999998</v>
      </c>
      <c r="AM146" s="8">
        <f t="shared" si="80"/>
        <v>0.32892561983471053</v>
      </c>
      <c r="AN146" s="6" t="s">
        <v>733</v>
      </c>
      <c r="AO146" s="6" t="str">
        <f t="shared" si="81"/>
        <v>=12.10*100000000</v>
      </c>
      <c r="AP146" s="1">
        <f>12.1*100000000</f>
        <v>1210000000</v>
      </c>
      <c r="AQ146" s="8">
        <f t="shared" si="82"/>
        <v>0.514772158237356</v>
      </c>
      <c r="AR146" s="6" t="s">
        <v>2080</v>
      </c>
      <c r="AS146" s="6" t="str">
        <f t="shared" si="83"/>
        <v>=7.988*100000000</v>
      </c>
      <c r="AT146" s="1">
        <f>7.988*100000000</f>
        <v>798800000</v>
      </c>
      <c r="AU146" s="8">
        <f t="shared" si="84"/>
        <v>0.83632183908045998</v>
      </c>
      <c r="AV146" s="6" t="s">
        <v>2081</v>
      </c>
      <c r="AW146" s="6" t="str">
        <f t="shared" si="85"/>
        <v>=4.350*100000000</v>
      </c>
      <c r="AX146" s="1">
        <f>4.35*100000000</f>
        <v>434999999.99999994</v>
      </c>
      <c r="AY146" s="10">
        <f t="shared" si="86"/>
        <v>-0.72812500000000002</v>
      </c>
      <c r="AZ146" s="6" t="s">
        <v>727</v>
      </c>
      <c r="BA146" s="6" t="str">
        <f t="shared" si="87"/>
        <v>=16.00*100000000</v>
      </c>
      <c r="BB146" s="1">
        <f>16*100000000</f>
        <v>1600000000</v>
      </c>
      <c r="BC146" s="8">
        <f t="shared" si="88"/>
        <v>0.31795716639209226</v>
      </c>
      <c r="BD146" s="6" t="s">
        <v>2082</v>
      </c>
      <c r="BE146" s="6" t="str">
        <f t="shared" si="89"/>
        <v>=12.14*100000000</v>
      </c>
      <c r="BF146" s="1">
        <f>12.14*100000000</f>
        <v>1214000000</v>
      </c>
      <c r="BG146" s="8">
        <f t="shared" si="90"/>
        <v>0.58796599084368872</v>
      </c>
      <c r="BH146" s="6" t="s">
        <v>2083</v>
      </c>
      <c r="BI146" s="6" t="str">
        <f t="shared" si="91"/>
        <v>=7.645*100000000</v>
      </c>
      <c r="BJ146" s="1">
        <f>7.645*100000000</f>
        <v>764500000</v>
      </c>
      <c r="BK146" s="6" t="s">
        <v>2084</v>
      </c>
      <c r="BL146" s="1" t="str">
        <f t="shared" si="63"/>
        <v>=4.019*100000000</v>
      </c>
      <c r="BM146" s="16">
        <f t="shared" si="92"/>
        <v>0.90221448121423242</v>
      </c>
      <c r="BN146" s="1">
        <f>4.019*100000000</f>
        <v>401900000</v>
      </c>
    </row>
    <row r="147" spans="1:66">
      <c r="A147" s="18"/>
      <c r="B147">
        <v>600101</v>
      </c>
      <c r="C147" t="s">
        <v>48</v>
      </c>
      <c r="D147" s="6" t="s">
        <v>2085</v>
      </c>
      <c r="E147" s="7" t="str">
        <f t="shared" si="62"/>
        <v>=1.534*100000000</v>
      </c>
      <c r="F147" s="1">
        <f>1.534*100000000</f>
        <v>153400000</v>
      </c>
      <c r="G147" s="8">
        <f t="shared" si="64"/>
        <v>0.193774319066148</v>
      </c>
      <c r="H147" s="6" t="s">
        <v>2086</v>
      </c>
      <c r="I147" s="6" t="str">
        <f t="shared" si="65"/>
        <v>=1.285*100000000</v>
      </c>
      <c r="J147" s="1">
        <f>1.285*100000000</f>
        <v>128499999.99999999</v>
      </c>
      <c r="K147" s="10">
        <f t="shared" si="66"/>
        <v>0.71150772509323368</v>
      </c>
      <c r="L147" s="7" t="s">
        <v>2087</v>
      </c>
      <c r="M147" s="6" t="str">
        <f t="shared" si="67"/>
        <v>=7508*10000</v>
      </c>
      <c r="N147" s="1">
        <f>7508*10000</f>
        <v>75080000</v>
      </c>
      <c r="O147" s="8">
        <f t="shared" si="68"/>
        <v>0.92020460358056266</v>
      </c>
      <c r="P147" s="7" t="s">
        <v>2088</v>
      </c>
      <c r="Q147" s="6" t="str">
        <f t="shared" si="69"/>
        <v>=3910*10000</v>
      </c>
      <c r="R147" s="11">
        <f>3910*10000</f>
        <v>39100000</v>
      </c>
      <c r="S147" s="8">
        <f t="shared" si="70"/>
        <v>-0.57504619063145312</v>
      </c>
      <c r="T147" s="7" t="s">
        <v>2089</v>
      </c>
      <c r="U147" s="6" t="str">
        <f t="shared" si="71"/>
        <v>=9201*10000</v>
      </c>
      <c r="V147" s="1">
        <f>9201*10000</f>
        <v>92010000</v>
      </c>
      <c r="W147" s="8">
        <f t="shared" si="72"/>
        <v>-5.2029672367607666E-2</v>
      </c>
      <c r="X147" s="7" t="s">
        <v>2090</v>
      </c>
      <c r="Y147" s="6" t="str">
        <f t="shared" si="73"/>
        <v>=9706*10000</v>
      </c>
      <c r="Z147" s="1">
        <f>9706*10000</f>
        <v>97060000</v>
      </c>
      <c r="AA147" s="8">
        <f t="shared" si="74"/>
        <v>0.84665144596651443</v>
      </c>
      <c r="AB147" s="7" t="s">
        <v>2091</v>
      </c>
      <c r="AC147" s="6" t="str">
        <f t="shared" si="75"/>
        <v>=5256*10000</v>
      </c>
      <c r="AD147" s="1">
        <f>5256*10000</f>
        <v>52560000</v>
      </c>
      <c r="AE147" s="8">
        <f t="shared" si="76"/>
        <v>0.9766829635201203</v>
      </c>
      <c r="AF147" s="7" t="s">
        <v>2092</v>
      </c>
      <c r="AG147" s="6" t="str">
        <f t="shared" si="77"/>
        <v>=2659*10000</v>
      </c>
      <c r="AH147" s="1">
        <f>2659*10000</f>
        <v>26590000</v>
      </c>
      <c r="AI147" s="8">
        <f t="shared" si="78"/>
        <v>-0.78258381030253477</v>
      </c>
      <c r="AJ147" s="6" t="s">
        <v>2093</v>
      </c>
      <c r="AK147" s="6" t="str">
        <f t="shared" si="79"/>
        <v>=1.223*100000000</v>
      </c>
      <c r="AL147" s="1">
        <f>1.223*100000000</f>
        <v>122300000.00000001</v>
      </c>
      <c r="AM147" s="8">
        <f t="shared" si="80"/>
        <v>0.12822878228782286</v>
      </c>
      <c r="AN147" s="6" t="s">
        <v>2094</v>
      </c>
      <c r="AO147" s="6" t="str">
        <f t="shared" si="81"/>
        <v>=1.084*100000000</v>
      </c>
      <c r="AP147" s="1">
        <f>1.084*100000000</f>
        <v>108400000.00000001</v>
      </c>
      <c r="AQ147" s="8">
        <f t="shared" si="82"/>
        <v>0.82676103808560863</v>
      </c>
      <c r="AR147" s="7" t="s">
        <v>2095</v>
      </c>
      <c r="AS147" s="6" t="str">
        <f t="shared" si="83"/>
        <v>=5934*10000</v>
      </c>
      <c r="AT147" s="1">
        <f>5934*10000</f>
        <v>59340000</v>
      </c>
      <c r="AU147" s="8">
        <f t="shared" si="84"/>
        <v>0.71552471812662621</v>
      </c>
      <c r="AV147" s="7" t="s">
        <v>2096</v>
      </c>
      <c r="AW147" s="6" t="str">
        <f t="shared" si="85"/>
        <v>=3459*10000</v>
      </c>
      <c r="AX147" s="1">
        <f>3459*10000</f>
        <v>34590000</v>
      </c>
      <c r="AY147" s="10">
        <f t="shared" si="86"/>
        <v>-0.71005867560771163</v>
      </c>
      <c r="AZ147" s="6" t="s">
        <v>2097</v>
      </c>
      <c r="BA147" s="6" t="str">
        <f t="shared" si="87"/>
        <v>=1.193*100000000</v>
      </c>
      <c r="BB147" s="1">
        <f>1.193*100000000</f>
        <v>119300000</v>
      </c>
      <c r="BC147" s="8">
        <f t="shared" si="88"/>
        <v>3.1114952463267068E-2</v>
      </c>
      <c r="BD147" s="6" t="s">
        <v>2098</v>
      </c>
      <c r="BE147" s="6" t="str">
        <f t="shared" si="89"/>
        <v>=1.157*100000000</v>
      </c>
      <c r="BF147" s="1">
        <f>1.157*100000000</f>
        <v>115700000</v>
      </c>
      <c r="BG147" s="8">
        <f t="shared" si="90"/>
        <v>1.0892018779342723</v>
      </c>
      <c r="BH147" s="7" t="s">
        <v>2099</v>
      </c>
      <c r="BI147" s="6" t="str">
        <f t="shared" si="91"/>
        <v>=5538*10000</v>
      </c>
      <c r="BJ147" s="1">
        <f>5538*10000</f>
        <v>55380000</v>
      </c>
      <c r="BK147" s="7" t="s">
        <v>2100</v>
      </c>
      <c r="BL147" s="1" t="str">
        <f t="shared" si="63"/>
        <v>=3098*10000</v>
      </c>
      <c r="BM147" s="16">
        <f t="shared" si="92"/>
        <v>0.78760490639122016</v>
      </c>
      <c r="BN147" s="1">
        <f>3098*10000</f>
        <v>30980000</v>
      </c>
    </row>
    <row r="148" spans="1:66">
      <c r="A148" s="18"/>
      <c r="B148">
        <v>600101</v>
      </c>
      <c r="C148" t="s">
        <v>58</v>
      </c>
      <c r="D148" s="6" t="s">
        <v>2101</v>
      </c>
      <c r="E148" s="7" t="str">
        <f t="shared" si="62"/>
        <v>=1.514*100000000</v>
      </c>
      <c r="F148" s="1">
        <f>1.514*100000000</f>
        <v>151400000</v>
      </c>
      <c r="G148" s="8">
        <f t="shared" si="64"/>
        <v>0.20349761526232116</v>
      </c>
      <c r="H148" s="6" t="s">
        <v>2102</v>
      </c>
      <c r="I148" s="6" t="str">
        <f t="shared" si="65"/>
        <v>=1.258*100000000</v>
      </c>
      <c r="J148" s="1">
        <f>1.258*100000000</f>
        <v>125800000</v>
      </c>
      <c r="K148" s="10">
        <f t="shared" si="66"/>
        <v>0.73111325168570251</v>
      </c>
      <c r="L148" s="7" t="s">
        <v>2103</v>
      </c>
      <c r="M148" s="6" t="str">
        <f t="shared" si="67"/>
        <v>=7267*10000</v>
      </c>
      <c r="N148" s="1">
        <f>7267*10000</f>
        <v>72670000</v>
      </c>
      <c r="O148" s="8">
        <f t="shared" si="68"/>
        <v>0.90734908136482939</v>
      </c>
      <c r="P148" s="7" t="s">
        <v>2104</v>
      </c>
      <c r="Q148" s="6" t="str">
        <f t="shared" si="69"/>
        <v>=3810*10000</v>
      </c>
      <c r="R148" s="11">
        <f>3810*10000</f>
        <v>38100000</v>
      </c>
      <c r="S148" s="8">
        <f t="shared" si="70"/>
        <v>-0.57591273374888696</v>
      </c>
      <c r="T148" s="7" t="s">
        <v>2105</v>
      </c>
      <c r="U148" s="6" t="str">
        <f t="shared" si="71"/>
        <v>=8984*10000</v>
      </c>
      <c r="V148" s="1">
        <f>8984*10000</f>
        <v>89840000</v>
      </c>
      <c r="W148" s="8">
        <f t="shared" si="72"/>
        <v>-6.8339728300321478E-2</v>
      </c>
      <c r="X148" s="7" t="s">
        <v>2106</v>
      </c>
      <c r="Y148" s="6" t="str">
        <f t="shared" si="73"/>
        <v>=9643*10000</v>
      </c>
      <c r="Z148" s="1">
        <f>9643*10000</f>
        <v>96430000</v>
      </c>
      <c r="AA148" s="8">
        <f t="shared" si="74"/>
        <v>0.87680031140521608</v>
      </c>
      <c r="AB148" s="7" t="s">
        <v>2107</v>
      </c>
      <c r="AC148" s="6" t="str">
        <f t="shared" si="75"/>
        <v>=5138*10000</v>
      </c>
      <c r="AD148" s="1">
        <f>5138*10000</f>
        <v>51380000</v>
      </c>
      <c r="AE148" s="8">
        <f t="shared" si="76"/>
        <v>0.9595728451563692</v>
      </c>
      <c r="AF148" s="7" t="s">
        <v>2108</v>
      </c>
      <c r="AG148" s="6" t="str">
        <f t="shared" si="77"/>
        <v>=2622*10000</v>
      </c>
      <c r="AH148" s="1">
        <f>2622*10000</f>
        <v>26220000</v>
      </c>
      <c r="AI148" s="8">
        <f t="shared" si="78"/>
        <v>-0.77416020671834629</v>
      </c>
      <c r="AJ148" s="6" t="s">
        <v>2109</v>
      </c>
      <c r="AK148" s="6" t="str">
        <f t="shared" si="79"/>
        <v>=1.161*100000000</v>
      </c>
      <c r="AL148" s="1">
        <f>1.161*100000000</f>
        <v>116100000</v>
      </c>
      <c r="AM148" s="8">
        <f t="shared" si="80"/>
        <v>8.2013047530288916E-2</v>
      </c>
      <c r="AN148" s="6" t="s">
        <v>2110</v>
      </c>
      <c r="AO148" s="6" t="str">
        <f t="shared" si="81"/>
        <v>=1.073*100000000</v>
      </c>
      <c r="AP148" s="1">
        <f>1.073*100000000</f>
        <v>107300000</v>
      </c>
      <c r="AQ148" s="8">
        <f t="shared" si="82"/>
        <v>0.78952635090060042</v>
      </c>
      <c r="AR148" s="7" t="s">
        <v>2111</v>
      </c>
      <c r="AS148" s="6" t="str">
        <f t="shared" si="83"/>
        <v>=5996*10000</v>
      </c>
      <c r="AT148" s="1">
        <f>5996*10000</f>
        <v>59960000</v>
      </c>
      <c r="AU148" s="8">
        <f t="shared" si="84"/>
        <v>0.71021106674272672</v>
      </c>
      <c r="AV148" s="7" t="s">
        <v>2112</v>
      </c>
      <c r="AW148" s="6" t="str">
        <f t="shared" si="85"/>
        <v>=3506*10000</v>
      </c>
      <c r="AX148" s="1">
        <f>3506*10000</f>
        <v>35060000</v>
      </c>
      <c r="AY148" s="10">
        <f t="shared" si="86"/>
        <v>-0.70363482671174982</v>
      </c>
      <c r="AZ148" s="6" t="s">
        <v>2113</v>
      </c>
      <c r="BA148" s="6" t="str">
        <f t="shared" si="87"/>
        <v>=1.183*100000000</v>
      </c>
      <c r="BB148" s="1">
        <f>1.183*100000000</f>
        <v>118300000</v>
      </c>
      <c r="BC148" s="8">
        <f t="shared" si="88"/>
        <v>3.2286212914485302E-2</v>
      </c>
      <c r="BD148" s="6" t="s">
        <v>2114</v>
      </c>
      <c r="BE148" s="6" t="str">
        <f t="shared" si="89"/>
        <v>=1.146*100000000</v>
      </c>
      <c r="BF148" s="1">
        <f>1.146*100000000</f>
        <v>114599999.99999999</v>
      </c>
      <c r="BG148" s="8">
        <f t="shared" si="90"/>
        <v>1.1210438645197109</v>
      </c>
      <c r="BH148" s="7" t="s">
        <v>2115</v>
      </c>
      <c r="BI148" s="6" t="str">
        <f t="shared" si="91"/>
        <v>=5403*10000</v>
      </c>
      <c r="BJ148" s="1">
        <f>5403*10000</f>
        <v>54030000</v>
      </c>
      <c r="BK148" s="7" t="s">
        <v>2116</v>
      </c>
      <c r="BL148" s="1" t="str">
        <f t="shared" si="63"/>
        <v>=3110*10000</v>
      </c>
      <c r="BM148" s="16">
        <f t="shared" si="92"/>
        <v>0.73729903536977492</v>
      </c>
      <c r="BN148" s="1">
        <f>3110*10000</f>
        <v>31100000</v>
      </c>
    </row>
    <row r="149" spans="1:66">
      <c r="A149" s="19"/>
      <c r="B149">
        <v>600101</v>
      </c>
      <c r="C149" t="s">
        <v>68</v>
      </c>
      <c r="D149" s="6" t="s">
        <v>2117</v>
      </c>
      <c r="E149" s="7" t="str">
        <f t="shared" si="62"/>
        <v>=1.241*100000000</v>
      </c>
      <c r="F149" s="1">
        <f>1.241*100000000</f>
        <v>124100000.00000001</v>
      </c>
      <c r="G149" s="8">
        <f t="shared" si="64"/>
        <v>0.2178606476938178</v>
      </c>
      <c r="H149" s="6" t="s">
        <v>2118</v>
      </c>
      <c r="I149" s="6" t="str">
        <f t="shared" si="65"/>
        <v>=1.019*100000000</v>
      </c>
      <c r="J149" s="1">
        <f>1.019*100000000</f>
        <v>101899999.99999999</v>
      </c>
      <c r="K149" s="10">
        <f t="shared" si="66"/>
        <v>0.67433453828458734</v>
      </c>
      <c r="L149" s="7" t="s">
        <v>2119</v>
      </c>
      <c r="M149" s="6" t="str">
        <f t="shared" si="67"/>
        <v>=6086*10000</v>
      </c>
      <c r="N149" s="1">
        <f>6086*10000</f>
        <v>60860000</v>
      </c>
      <c r="O149" s="8">
        <f t="shared" si="68"/>
        <v>0.81725888324873097</v>
      </c>
      <c r="P149" s="7" t="s">
        <v>2120</v>
      </c>
      <c r="Q149" s="6" t="str">
        <f t="shared" si="69"/>
        <v>=3349*10000</v>
      </c>
      <c r="R149" s="11">
        <f>3349*10000</f>
        <v>33490000</v>
      </c>
      <c r="S149" s="8">
        <f t="shared" si="70"/>
        <v>-0.56003678402522328</v>
      </c>
      <c r="T149" s="7" t="s">
        <v>2121</v>
      </c>
      <c r="U149" s="6" t="str">
        <f t="shared" si="71"/>
        <v>=7612*10000</v>
      </c>
      <c r="V149" s="1">
        <f>7612*10000</f>
        <v>76120000</v>
      </c>
      <c r="W149" s="8">
        <f t="shared" si="72"/>
        <v>-6.8640646029609689E-2</v>
      </c>
      <c r="X149" s="7" t="s">
        <v>2122</v>
      </c>
      <c r="Y149" s="6" t="str">
        <f t="shared" si="73"/>
        <v>=8173*10000</v>
      </c>
      <c r="Z149" s="1">
        <f>8173*10000</f>
        <v>81730000</v>
      </c>
      <c r="AA149" s="8">
        <f t="shared" si="74"/>
        <v>0.87885057471264372</v>
      </c>
      <c r="AB149" s="7" t="s">
        <v>2123</v>
      </c>
      <c r="AC149" s="6" t="str">
        <f t="shared" si="75"/>
        <v>=4350*10000</v>
      </c>
      <c r="AD149" s="1">
        <f>4350*10000</f>
        <v>43500000</v>
      </c>
      <c r="AE149" s="8">
        <f t="shared" si="76"/>
        <v>0.66093928980526917</v>
      </c>
      <c r="AF149" s="7" t="s">
        <v>2124</v>
      </c>
      <c r="AG149" s="6" t="str">
        <f t="shared" si="77"/>
        <v>=2619*10000</v>
      </c>
      <c r="AH149" s="1">
        <f>2619*10000</f>
        <v>26190000</v>
      </c>
      <c r="AI149" s="8">
        <f t="shared" si="78"/>
        <v>-0.73992055610724927</v>
      </c>
      <c r="AJ149" s="6" t="s">
        <v>2125</v>
      </c>
      <c r="AK149" s="6" t="str">
        <f t="shared" si="79"/>
        <v>=1.007*100000000</v>
      </c>
      <c r="AL149" s="1">
        <f>1.007*100000000</f>
        <v>100699999.99999999</v>
      </c>
      <c r="AM149" s="8">
        <f t="shared" si="80"/>
        <v>6.2012233705969047E-2</v>
      </c>
      <c r="AN149" s="7" t="s">
        <v>2126</v>
      </c>
      <c r="AO149" s="6" t="str">
        <f t="shared" si="81"/>
        <v>=9482*10000</v>
      </c>
      <c r="AP149" s="1">
        <f>9482*10000</f>
        <v>94820000</v>
      </c>
      <c r="AQ149" s="8">
        <f t="shared" si="82"/>
        <v>0.86177105831533474</v>
      </c>
      <c r="AR149" s="7" t="s">
        <v>2127</v>
      </c>
      <c r="AS149" s="6" t="str">
        <f t="shared" si="83"/>
        <v>=5093*10000</v>
      </c>
      <c r="AT149" s="1">
        <f>5093*10000</f>
        <v>50930000</v>
      </c>
      <c r="AU149" s="8">
        <f t="shared" si="84"/>
        <v>0.68419312169312174</v>
      </c>
      <c r="AV149" s="7" t="s">
        <v>2128</v>
      </c>
      <c r="AW149" s="6" t="str">
        <f t="shared" si="85"/>
        <v>=3024*10000</v>
      </c>
      <c r="AX149" s="1">
        <f>3024*10000</f>
        <v>30240000</v>
      </c>
      <c r="AY149" s="10">
        <f t="shared" si="86"/>
        <v>-0.68633959132870037</v>
      </c>
      <c r="AZ149" s="7" t="s">
        <v>2129</v>
      </c>
      <c r="BA149" s="6" t="str">
        <f t="shared" si="87"/>
        <v>=9641*10000</v>
      </c>
      <c r="BB149" s="1">
        <f>9641*10000</f>
        <v>96410000</v>
      </c>
      <c r="BC149" s="8">
        <f t="shared" si="88"/>
        <v>-2.3399513776337116E-2</v>
      </c>
      <c r="BD149" s="7" t="s">
        <v>2130</v>
      </c>
      <c r="BE149" s="6" t="str">
        <f t="shared" si="89"/>
        <v>=9872*10000</v>
      </c>
      <c r="BF149" s="1">
        <f>9872*10000</f>
        <v>98720000</v>
      </c>
      <c r="BG149" s="8">
        <f t="shared" si="90"/>
        <v>1.0570952281725359</v>
      </c>
      <c r="BH149" s="7" t="s">
        <v>2131</v>
      </c>
      <c r="BI149" s="6" t="str">
        <f t="shared" si="91"/>
        <v>=4799*10000</v>
      </c>
      <c r="BJ149" s="1">
        <f>4799*10000</f>
        <v>47990000</v>
      </c>
      <c r="BK149" s="7" t="s">
        <v>2132</v>
      </c>
      <c r="BL149" s="1" t="str">
        <f t="shared" si="63"/>
        <v>=2662*10000</v>
      </c>
      <c r="BM149" s="16">
        <f t="shared" si="92"/>
        <v>0.80277986476333585</v>
      </c>
      <c r="BN149" s="1">
        <f>2662*10000</f>
        <v>26620000</v>
      </c>
    </row>
    <row r="150" spans="1:66">
      <c r="A150" s="17">
        <v>38</v>
      </c>
      <c r="B150">
        <v>600103</v>
      </c>
      <c r="C150" t="s">
        <v>31</v>
      </c>
      <c r="D150" s="6" t="s">
        <v>2133</v>
      </c>
      <c r="E150" s="7" t="str">
        <f t="shared" si="62"/>
        <v>=28.67*100000000</v>
      </c>
      <c r="F150" s="1">
        <f>28.67*100000000</f>
        <v>2867000000</v>
      </c>
      <c r="G150" s="8">
        <f t="shared" si="64"/>
        <v>0.35427491733585248</v>
      </c>
      <c r="H150" s="6" t="s">
        <v>214</v>
      </c>
      <c r="I150" s="6" t="str">
        <f t="shared" si="65"/>
        <v>=21.17*100000000</v>
      </c>
      <c r="J150" s="1">
        <f>21.17*100000000</f>
        <v>2117000000.0000002</v>
      </c>
      <c r="K150" s="10">
        <f t="shared" si="66"/>
        <v>0.48770203794799738</v>
      </c>
      <c r="L150" s="6" t="s">
        <v>2134</v>
      </c>
      <c r="M150" s="6" t="str">
        <f t="shared" si="67"/>
        <v>=14.23*100000000</v>
      </c>
      <c r="N150" s="1">
        <f>14.23*100000000</f>
        <v>1423000000</v>
      </c>
      <c r="O150" s="8">
        <f t="shared" si="68"/>
        <v>1.0566555860673508</v>
      </c>
      <c r="P150" s="6" t="s">
        <v>2135</v>
      </c>
      <c r="Q150" s="6" t="str">
        <f t="shared" si="69"/>
        <v>=6.919*100000000</v>
      </c>
      <c r="R150" s="11">
        <f>6.919*100000000</f>
        <v>691900000</v>
      </c>
      <c r="S150" s="8">
        <f t="shared" si="70"/>
        <v>-0.72268537074148298</v>
      </c>
      <c r="T150" s="6" t="s">
        <v>2136</v>
      </c>
      <c r="U150" s="6" t="str">
        <f t="shared" si="71"/>
        <v>=24.95*100000000</v>
      </c>
      <c r="V150" s="1">
        <f>24.95*100000000</f>
        <v>2495000000</v>
      </c>
      <c r="W150" s="8">
        <f t="shared" si="72"/>
        <v>0.35377102550189909</v>
      </c>
      <c r="X150" s="6" t="s">
        <v>2137</v>
      </c>
      <c r="Y150" s="6" t="str">
        <f t="shared" si="73"/>
        <v>=18.43*100000000</v>
      </c>
      <c r="Z150" s="1">
        <f>18.43*100000000</f>
        <v>1843000000</v>
      </c>
      <c r="AA150" s="8">
        <f t="shared" si="74"/>
        <v>0.71761416589002791</v>
      </c>
      <c r="AB150" s="6" t="s">
        <v>2138</v>
      </c>
      <c r="AC150" s="6" t="str">
        <f t="shared" si="75"/>
        <v>=10.73*100000000</v>
      </c>
      <c r="AD150" s="1">
        <f>10.73*100000000</f>
        <v>1073000000</v>
      </c>
      <c r="AE150" s="8">
        <f t="shared" si="76"/>
        <v>1.6665009940357853</v>
      </c>
      <c r="AF150" s="6" t="s">
        <v>1388</v>
      </c>
      <c r="AG150" s="6" t="str">
        <f t="shared" si="77"/>
        <v>=4.024*100000000</v>
      </c>
      <c r="AH150" s="1">
        <f>4.024*100000000</f>
        <v>402400000</v>
      </c>
      <c r="AI150" s="8">
        <f t="shared" si="78"/>
        <v>-0.84928838951310859</v>
      </c>
      <c r="AJ150" s="6" t="s">
        <v>2139</v>
      </c>
      <c r="AK150" s="6" t="str">
        <f t="shared" si="79"/>
        <v>=26.70*100000000</v>
      </c>
      <c r="AL150" s="1">
        <f>26.7*100000000</f>
        <v>2670000000</v>
      </c>
      <c r="AM150" s="8">
        <f t="shared" si="80"/>
        <v>0.37204522096608428</v>
      </c>
      <c r="AN150" s="6" t="s">
        <v>2140</v>
      </c>
      <c r="AO150" s="6" t="str">
        <f t="shared" si="81"/>
        <v>=19.46*100000000</v>
      </c>
      <c r="AP150" s="1">
        <f>19.46*100000000</f>
        <v>1946000000</v>
      </c>
      <c r="AQ150" s="8">
        <f t="shared" si="82"/>
        <v>0.43088235294117649</v>
      </c>
      <c r="AR150" s="6" t="s">
        <v>2141</v>
      </c>
      <c r="AS150" s="6" t="str">
        <f t="shared" si="83"/>
        <v>=13.60*100000000</v>
      </c>
      <c r="AT150" s="1">
        <f>13.6*100000000</f>
        <v>1360000000</v>
      </c>
      <c r="AU150" s="8">
        <f t="shared" si="84"/>
        <v>0.95318110010053136</v>
      </c>
      <c r="AV150" s="6" t="s">
        <v>2142</v>
      </c>
      <c r="AW150" s="6" t="str">
        <f t="shared" si="85"/>
        <v>=6.963*100000000</v>
      </c>
      <c r="AX150" s="1">
        <f>6.963*100000000</f>
        <v>696300000</v>
      </c>
      <c r="AY150" s="10">
        <f t="shared" si="86"/>
        <v>-0.75662355819643479</v>
      </c>
      <c r="AZ150" s="6" t="s">
        <v>2143</v>
      </c>
      <c r="BA150" s="6" t="str">
        <f t="shared" si="87"/>
        <v>=28.61*100000000</v>
      </c>
      <c r="BB150" s="1">
        <f>28.61*100000000</f>
        <v>2861000000</v>
      </c>
      <c r="BC150" s="8">
        <f t="shared" si="88"/>
        <v>0.26592920353982302</v>
      </c>
      <c r="BD150" s="6" t="s">
        <v>2144</v>
      </c>
      <c r="BE150" s="6" t="str">
        <f t="shared" si="89"/>
        <v>=22.60*100000000</v>
      </c>
      <c r="BF150" s="1">
        <f>22.6*100000000</f>
        <v>2260000000</v>
      </c>
      <c r="BG150" s="8">
        <f t="shared" si="90"/>
        <v>0.4627831715210356</v>
      </c>
      <c r="BH150" s="6" t="s">
        <v>362</v>
      </c>
      <c r="BI150" s="6" t="str">
        <f t="shared" si="91"/>
        <v>=15.45*100000000</v>
      </c>
      <c r="BJ150" s="1">
        <f>15.45*100000000</f>
        <v>1545000000</v>
      </c>
      <c r="BK150" s="6" t="s">
        <v>2145</v>
      </c>
      <c r="BL150" s="1" t="str">
        <f t="shared" si="63"/>
        <v>=6.685*100000000</v>
      </c>
      <c r="BM150" s="16">
        <f t="shared" si="92"/>
        <v>1.3111443530291698</v>
      </c>
      <c r="BN150" s="1">
        <f>6.685*100000000</f>
        <v>668500000</v>
      </c>
    </row>
    <row r="151" spans="1:66">
      <c r="A151" s="18"/>
      <c r="B151">
        <v>600103</v>
      </c>
      <c r="C151" t="s">
        <v>48</v>
      </c>
      <c r="D151" s="6" t="s">
        <v>2146</v>
      </c>
      <c r="E151" s="7" t="str">
        <f t="shared" si="62"/>
        <v>=2.382*100000000</v>
      </c>
      <c r="F151" s="1">
        <f>2.382*100000000</f>
        <v>238200000</v>
      </c>
      <c r="G151" s="8">
        <f t="shared" si="64"/>
        <v>0.18981018981018999</v>
      </c>
      <c r="H151" s="6" t="s">
        <v>2147</v>
      </c>
      <c r="I151" s="6" t="str">
        <f t="shared" si="65"/>
        <v>=2.002*100000000</v>
      </c>
      <c r="J151" s="1">
        <f>2.002*100000000</f>
        <v>200199999.99999997</v>
      </c>
      <c r="K151" s="10">
        <f t="shared" si="66"/>
        <v>0.44132469402447783</v>
      </c>
      <c r="L151" s="6" t="s">
        <v>2148</v>
      </c>
      <c r="M151" s="6" t="str">
        <f t="shared" si="67"/>
        <v>=1.389*100000000</v>
      </c>
      <c r="N151" s="1">
        <f>1.389*100000000</f>
        <v>138900000</v>
      </c>
      <c r="O151" s="8">
        <f t="shared" si="68"/>
        <v>1.0136271383009567</v>
      </c>
      <c r="P151" s="7" t="s">
        <v>2149</v>
      </c>
      <c r="Q151" s="6" t="str">
        <f t="shared" si="69"/>
        <v>=6898*10000</v>
      </c>
      <c r="R151" s="11">
        <f>6898*10000</f>
        <v>68980000</v>
      </c>
      <c r="S151" s="8">
        <f t="shared" si="70"/>
        <v>-0.35832558139534881</v>
      </c>
      <c r="T151" s="6" t="s">
        <v>2150</v>
      </c>
      <c r="U151" s="6" t="str">
        <f t="shared" si="71"/>
        <v>=1.075*100000000</v>
      </c>
      <c r="V151" s="1">
        <f>1.075*100000000</f>
        <v>107500000</v>
      </c>
      <c r="W151" s="8">
        <f t="shared" si="72"/>
        <v>5.8910256410256414</v>
      </c>
      <c r="X151" s="7" t="s">
        <v>2151</v>
      </c>
      <c r="Y151" s="6" t="str">
        <f t="shared" si="73"/>
        <v>=1560*10000</v>
      </c>
      <c r="Z151" s="1">
        <f>1560*10000</f>
        <v>15600000</v>
      </c>
      <c r="AA151" s="8">
        <f t="shared" si="74"/>
        <v>4.2</v>
      </c>
      <c r="AB151" s="7" t="s">
        <v>2152</v>
      </c>
      <c r="AC151" s="6" t="str">
        <f t="shared" si="75"/>
        <v>=300.0*10000</v>
      </c>
      <c r="AD151" s="1">
        <f>300*10000</f>
        <v>3000000</v>
      </c>
      <c r="AE151" s="8">
        <f t="shared" si="76"/>
        <v>-1.244100895036615</v>
      </c>
      <c r="AF151" s="7">
        <f>-1229*10000</f>
        <v>-12290000</v>
      </c>
      <c r="AG151" s="6" t="str">
        <f t="shared" si="77"/>
        <v>=-12290000</v>
      </c>
      <c r="AH151" s="1">
        <f>-12290000</f>
        <v>-12290000</v>
      </c>
      <c r="AI151" s="8">
        <f t="shared" si="78"/>
        <v>-1.0803793328973186</v>
      </c>
      <c r="AJ151" s="6" t="s">
        <v>1922</v>
      </c>
      <c r="AK151" s="6" t="str">
        <f t="shared" si="79"/>
        <v>=1.529*100000000</v>
      </c>
      <c r="AL151" s="1">
        <f>1.529*100000000</f>
        <v>152900000</v>
      </c>
      <c r="AM151" s="8">
        <f t="shared" si="80"/>
        <v>0.1478978978978979</v>
      </c>
      <c r="AN151" s="6" t="s">
        <v>1748</v>
      </c>
      <c r="AO151" s="6" t="str">
        <f t="shared" si="81"/>
        <v>=1.332*100000000</v>
      </c>
      <c r="AP151" s="1">
        <f>1.332*100000000</f>
        <v>133200000</v>
      </c>
      <c r="AQ151" s="8">
        <f t="shared" si="82"/>
        <v>0.23562152133580705</v>
      </c>
      <c r="AR151" s="6" t="s">
        <v>2153</v>
      </c>
      <c r="AS151" s="6" t="str">
        <f t="shared" si="83"/>
        <v>=1.078*100000000</v>
      </c>
      <c r="AT151" s="1">
        <f>1.078*100000000</f>
        <v>107800000</v>
      </c>
      <c r="AU151" s="8">
        <f t="shared" si="84"/>
        <v>0.74292643492320132</v>
      </c>
      <c r="AV151" s="7" t="s">
        <v>2154</v>
      </c>
      <c r="AW151" s="6" t="str">
        <f t="shared" si="85"/>
        <v>=6185*10000</v>
      </c>
      <c r="AX151" s="1">
        <f>6185*10000</f>
        <v>61850000</v>
      </c>
      <c r="AY151" s="10">
        <f t="shared" si="86"/>
        <v>-0.7129930394431554</v>
      </c>
      <c r="AZ151" s="6" t="s">
        <v>2155</v>
      </c>
      <c r="BA151" s="6" t="str">
        <f t="shared" si="87"/>
        <v>=2.155*100000000</v>
      </c>
      <c r="BB151" s="1">
        <f>2.155*100000000</f>
        <v>215499999.99999997</v>
      </c>
      <c r="BC151" s="8">
        <f t="shared" si="88"/>
        <v>-5.316344463971881E-2</v>
      </c>
      <c r="BD151" s="6" t="s">
        <v>2156</v>
      </c>
      <c r="BE151" s="6" t="str">
        <f t="shared" si="89"/>
        <v>=2.276*100000000</v>
      </c>
      <c r="BF151" s="1">
        <f>2.276*100000000</f>
        <v>227599999.99999997</v>
      </c>
      <c r="BG151" s="8">
        <f t="shared" si="90"/>
        <v>0.38106796116504837</v>
      </c>
      <c r="BH151" s="6" t="s">
        <v>2157</v>
      </c>
      <c r="BI151" s="6" t="str">
        <f t="shared" si="91"/>
        <v>=1.648*100000000</v>
      </c>
      <c r="BJ151" s="1">
        <f>1.648*100000000</f>
        <v>164800000</v>
      </c>
      <c r="BK151" s="7" t="s">
        <v>2158</v>
      </c>
      <c r="BL151" s="1" t="str">
        <f t="shared" si="63"/>
        <v>=6412*10000</v>
      </c>
      <c r="BM151" s="16">
        <f t="shared" si="92"/>
        <v>1.5701809107922644</v>
      </c>
      <c r="BN151" s="1">
        <f>6412*10000</f>
        <v>64120000</v>
      </c>
    </row>
    <row r="152" spans="1:66">
      <c r="A152" s="18"/>
      <c r="B152">
        <v>600103</v>
      </c>
      <c r="C152" t="s">
        <v>58</v>
      </c>
      <c r="D152" s="6" t="s">
        <v>115</v>
      </c>
      <c r="E152" s="7" t="str">
        <f t="shared" si="62"/>
        <v>=2.408*100000000</v>
      </c>
      <c r="F152" s="1">
        <f>2.408*100000000</f>
        <v>240800000</v>
      </c>
      <c r="G152" s="8">
        <f t="shared" si="64"/>
        <v>0.22982635342185903</v>
      </c>
      <c r="H152" s="6" t="s">
        <v>2159</v>
      </c>
      <c r="I152" s="6" t="str">
        <f t="shared" si="65"/>
        <v>=1.958*100000000</v>
      </c>
      <c r="J152" s="1">
        <f>1.958*100000000</f>
        <v>195800000</v>
      </c>
      <c r="K152" s="10">
        <f t="shared" si="66"/>
        <v>0.41167988464311461</v>
      </c>
      <c r="L152" s="6" t="s">
        <v>2160</v>
      </c>
      <c r="M152" s="6" t="str">
        <f t="shared" si="67"/>
        <v>=1.387*100000000</v>
      </c>
      <c r="N152" s="1">
        <f>1.387*100000000</f>
        <v>138700000</v>
      </c>
      <c r="O152" s="8">
        <f t="shared" si="68"/>
        <v>1.012186275932105</v>
      </c>
      <c r="P152" s="7" t="s">
        <v>2161</v>
      </c>
      <c r="Q152" s="6" t="str">
        <f t="shared" si="69"/>
        <v>=6893*10000</v>
      </c>
      <c r="R152" s="11">
        <f>6893*10000</f>
        <v>68930000</v>
      </c>
      <c r="S152" s="8">
        <f t="shared" si="70"/>
        <v>-0.42172818791946309</v>
      </c>
      <c r="T152" s="6" t="s">
        <v>2162</v>
      </c>
      <c r="U152" s="6" t="str">
        <f t="shared" si="71"/>
        <v>=1.192*100000000</v>
      </c>
      <c r="V152" s="1">
        <f>1.192*100000000</f>
        <v>119200000</v>
      </c>
      <c r="W152" s="8">
        <f t="shared" si="72"/>
        <v>7.3182135380321007</v>
      </c>
      <c r="X152" s="7" t="s">
        <v>2163</v>
      </c>
      <c r="Y152" s="6" t="str">
        <f t="shared" si="73"/>
        <v>=1433*10000</v>
      </c>
      <c r="Z152" s="1">
        <f>1433*10000</f>
        <v>14330000</v>
      </c>
      <c r="AA152" s="8">
        <f t="shared" si="74"/>
        <v>8.3051948051948052</v>
      </c>
      <c r="AB152" s="7" t="s">
        <v>2164</v>
      </c>
      <c r="AC152" s="6" t="str">
        <f t="shared" si="75"/>
        <v>=154.0*10000</v>
      </c>
      <c r="AD152" s="1">
        <f>154*10000</f>
        <v>1540000</v>
      </c>
      <c r="AE152" s="8">
        <f t="shared" si="76"/>
        <v>-1.1197511664074651</v>
      </c>
      <c r="AF152" s="7">
        <f>-1286*10000</f>
        <v>-12860000</v>
      </c>
      <c r="AG152" s="6" t="str">
        <f t="shared" si="77"/>
        <v>=-12860000</v>
      </c>
      <c r="AH152" s="1">
        <f>-12860000</f>
        <v>-12860000</v>
      </c>
      <c r="AI152" s="8">
        <f t="shared" si="78"/>
        <v>-1.0809314033983637</v>
      </c>
      <c r="AJ152" s="6" t="s">
        <v>2165</v>
      </c>
      <c r="AK152" s="6" t="str">
        <f t="shared" si="79"/>
        <v>=1.589*100000000</v>
      </c>
      <c r="AL152" s="1">
        <f>1.589*100000000</f>
        <v>158900000</v>
      </c>
      <c r="AM152" s="8">
        <f t="shared" si="80"/>
        <v>0.13581129378127232</v>
      </c>
      <c r="AN152" s="6" t="s">
        <v>2166</v>
      </c>
      <c r="AO152" s="6" t="str">
        <f t="shared" si="81"/>
        <v>=1.399*100000000</v>
      </c>
      <c r="AP152" s="1">
        <f>1.399*100000000</f>
        <v>139900000</v>
      </c>
      <c r="AQ152" s="8">
        <f t="shared" si="82"/>
        <v>0.21440972222222238</v>
      </c>
      <c r="AR152" s="6" t="s">
        <v>2167</v>
      </c>
      <c r="AS152" s="6" t="str">
        <f t="shared" si="83"/>
        <v>=1.152*100000000</v>
      </c>
      <c r="AT152" s="1">
        <f>1.152*100000000</f>
        <v>115199999.99999999</v>
      </c>
      <c r="AU152" s="8">
        <f t="shared" si="84"/>
        <v>0.66546190545033956</v>
      </c>
      <c r="AV152" s="7" t="s">
        <v>2168</v>
      </c>
      <c r="AW152" s="6" t="str">
        <f t="shared" si="85"/>
        <v>=6917*10000</v>
      </c>
      <c r="AX152" s="1">
        <f>6917*10000</f>
        <v>69170000</v>
      </c>
      <c r="AY152" s="10">
        <f t="shared" si="86"/>
        <v>-0.64727180010198881</v>
      </c>
      <c r="AZ152" s="6" t="s">
        <v>2169</v>
      </c>
      <c r="BA152" s="6" t="str">
        <f t="shared" si="87"/>
        <v>=1.961*100000000</v>
      </c>
      <c r="BB152" s="1">
        <f>1.961*100000000</f>
        <v>196100000</v>
      </c>
      <c r="BC152" s="8">
        <f t="shared" si="88"/>
        <v>-0.10660592255125273</v>
      </c>
      <c r="BD152" s="6" t="s">
        <v>2048</v>
      </c>
      <c r="BE152" s="6" t="str">
        <f t="shared" si="89"/>
        <v>=2.195*100000000</v>
      </c>
      <c r="BF152" s="1">
        <f>2.195*100000000</f>
        <v>219499999.99999997</v>
      </c>
      <c r="BG152" s="8">
        <f t="shared" si="90"/>
        <v>0.40076579451180583</v>
      </c>
      <c r="BH152" s="6" t="s">
        <v>2170</v>
      </c>
      <c r="BI152" s="6" t="str">
        <f t="shared" si="91"/>
        <v>=1.567*100000000</v>
      </c>
      <c r="BJ152" s="1">
        <f>1.567*100000000</f>
        <v>156700000</v>
      </c>
      <c r="BK152" s="7" t="s">
        <v>2171</v>
      </c>
      <c r="BL152" s="1" t="str">
        <f t="shared" si="63"/>
        <v>=6415*10000</v>
      </c>
      <c r="BM152" s="16">
        <f t="shared" si="92"/>
        <v>1.4427123928293064</v>
      </c>
      <c r="BN152" s="1">
        <f>6415*10000</f>
        <v>64150000</v>
      </c>
    </row>
    <row r="153" spans="1:66">
      <c r="A153" s="19"/>
      <c r="B153">
        <v>600103</v>
      </c>
      <c r="C153" t="s">
        <v>68</v>
      </c>
      <c r="D153" s="6" t="s">
        <v>2172</v>
      </c>
      <c r="E153" s="7" t="str">
        <f t="shared" si="62"/>
        <v>=2.065*100000000</v>
      </c>
      <c r="F153" s="1">
        <f>2.065*100000000</f>
        <v>206500000</v>
      </c>
      <c r="G153" s="8">
        <f t="shared" si="64"/>
        <v>0.22770511296076099</v>
      </c>
      <c r="H153" s="6" t="s">
        <v>2173</v>
      </c>
      <c r="I153" s="6" t="str">
        <f t="shared" si="65"/>
        <v>=1.682*100000000</v>
      </c>
      <c r="J153" s="1">
        <f>1.682*100000000</f>
        <v>168200000</v>
      </c>
      <c r="K153" s="10">
        <f t="shared" si="66"/>
        <v>0.37306122448979573</v>
      </c>
      <c r="L153" s="6" t="s">
        <v>2174</v>
      </c>
      <c r="M153" s="6" t="str">
        <f t="shared" si="67"/>
        <v>=1.225*100000000</v>
      </c>
      <c r="N153" s="1">
        <f>1.225*100000000</f>
        <v>122500000.00000001</v>
      </c>
      <c r="O153" s="8">
        <f t="shared" si="68"/>
        <v>0.85944140862173668</v>
      </c>
      <c r="P153" s="7" t="s">
        <v>2175</v>
      </c>
      <c r="Q153" s="6" t="str">
        <f t="shared" si="69"/>
        <v>=6588*10000</v>
      </c>
      <c r="R153" s="11">
        <f>6588*10000</f>
        <v>65880000</v>
      </c>
      <c r="S153" s="8">
        <f t="shared" si="70"/>
        <v>-0.25441376188320508</v>
      </c>
      <c r="T153" s="7" t="s">
        <v>2176</v>
      </c>
      <c r="U153" s="6" t="str">
        <f t="shared" si="71"/>
        <v>=8836*10000</v>
      </c>
      <c r="V153" s="1">
        <f>8836*10000</f>
        <v>88360000</v>
      </c>
      <c r="W153" s="8">
        <f t="shared" si="72"/>
        <v>17.953238953238952</v>
      </c>
      <c r="X153" s="7" t="s">
        <v>2177</v>
      </c>
      <c r="Y153" s="6" t="str">
        <f t="shared" si="73"/>
        <v>=466.2*10000</v>
      </c>
      <c r="Z153" s="1">
        <f>466.2*10000</f>
        <v>4662000</v>
      </c>
      <c r="AA153" s="8">
        <f t="shared" si="74"/>
        <v>-1.9893887945670627</v>
      </c>
      <c r="AB153" s="7">
        <f>-471.2*10000</f>
        <v>-4712000</v>
      </c>
      <c r="AC153" s="6" t="str">
        <f t="shared" si="75"/>
        <v>=-4712000</v>
      </c>
      <c r="AD153" s="1">
        <f>-4712000</f>
        <v>-4712000</v>
      </c>
      <c r="AE153" s="8">
        <f t="shared" si="76"/>
        <v>-0.68097494922139468</v>
      </c>
      <c r="AF153" s="7">
        <f>-1477*10000</f>
        <v>-14770000</v>
      </c>
      <c r="AG153" s="6" t="str">
        <f t="shared" si="77"/>
        <v>=-14770000</v>
      </c>
      <c r="AH153" s="1">
        <f>-14770000</f>
        <v>-14770000</v>
      </c>
      <c r="AI153" s="8">
        <f t="shared" si="78"/>
        <v>-1.1018620689655172</v>
      </c>
      <c r="AJ153" s="6" t="s">
        <v>2178</v>
      </c>
      <c r="AK153" s="6" t="str">
        <f t="shared" si="79"/>
        <v>=1.450*100000000</v>
      </c>
      <c r="AL153" s="1">
        <f>1.45*100000000</f>
        <v>145000000</v>
      </c>
      <c r="AM153" s="8">
        <f t="shared" si="80"/>
        <v>0.15262321144674085</v>
      </c>
      <c r="AN153" s="6" t="s">
        <v>2102</v>
      </c>
      <c r="AO153" s="6" t="str">
        <f t="shared" si="81"/>
        <v>=1.258*100000000</v>
      </c>
      <c r="AP153" s="1">
        <f>1.258*100000000</f>
        <v>125800000</v>
      </c>
      <c r="AQ153" s="8">
        <f t="shared" si="82"/>
        <v>0.21663442940038685</v>
      </c>
      <c r="AR153" s="6" t="s">
        <v>2179</v>
      </c>
      <c r="AS153" s="6" t="str">
        <f t="shared" si="83"/>
        <v>=1.034*100000000</v>
      </c>
      <c r="AT153" s="1">
        <f>1.034*100000000</f>
        <v>103400000</v>
      </c>
      <c r="AU153" s="8">
        <f t="shared" si="84"/>
        <v>0.65096599073926231</v>
      </c>
      <c r="AV153" s="7" t="s">
        <v>2180</v>
      </c>
      <c r="AW153" s="6" t="str">
        <f t="shared" si="85"/>
        <v>=6263*10000</v>
      </c>
      <c r="AX153" s="1">
        <f>6263*10000</f>
        <v>62630000</v>
      </c>
      <c r="AY153" s="10">
        <f t="shared" si="86"/>
        <v>-0.64535673839184593</v>
      </c>
      <c r="AZ153" s="6" t="s">
        <v>2181</v>
      </c>
      <c r="BA153" s="6" t="str">
        <f t="shared" si="87"/>
        <v>=1.766*100000000</v>
      </c>
      <c r="BB153" s="1">
        <f>1.766*100000000</f>
        <v>176600000</v>
      </c>
      <c r="BC153" s="8">
        <f t="shared" si="88"/>
        <v>-8.7338501291989667E-2</v>
      </c>
      <c r="BD153" s="6" t="s">
        <v>2182</v>
      </c>
      <c r="BE153" s="6" t="str">
        <f t="shared" si="89"/>
        <v>=1.935*100000000</v>
      </c>
      <c r="BF153" s="1">
        <f>1.935*100000000</f>
        <v>193500000</v>
      </c>
      <c r="BG153" s="8">
        <f t="shared" si="90"/>
        <v>0.39108554996405465</v>
      </c>
      <c r="BH153" s="6" t="s">
        <v>123</v>
      </c>
      <c r="BI153" s="6" t="str">
        <f t="shared" si="91"/>
        <v>=1.391*100000000</v>
      </c>
      <c r="BJ153" s="1">
        <f>1.391*100000000</f>
        <v>139100000</v>
      </c>
      <c r="BK153" s="7" t="s">
        <v>2183</v>
      </c>
      <c r="BL153" s="1" t="str">
        <f t="shared" si="63"/>
        <v>=5671*10000</v>
      </c>
      <c r="BM153" s="16">
        <f t="shared" si="92"/>
        <v>1.4528301886792452</v>
      </c>
      <c r="BN153" s="1">
        <f>5671*10000</f>
        <v>56710000</v>
      </c>
    </row>
    <row r="154" spans="1:66">
      <c r="A154" s="17">
        <v>39</v>
      </c>
      <c r="B154">
        <v>600113</v>
      </c>
      <c r="C154" t="s">
        <v>31</v>
      </c>
      <c r="D154" s="6" t="s">
        <v>2184</v>
      </c>
      <c r="E154" s="7" t="str">
        <f t="shared" si="62"/>
        <v>=6.454*100000000</v>
      </c>
      <c r="F154" s="1">
        <f>6.454*100000000</f>
        <v>645400000</v>
      </c>
      <c r="G154" s="8">
        <f t="shared" si="64"/>
        <v>0.41163604549431321</v>
      </c>
      <c r="H154" s="6" t="s">
        <v>2185</v>
      </c>
      <c r="I154" s="6" t="str">
        <f t="shared" si="65"/>
        <v>=4.572*100000000</v>
      </c>
      <c r="J154" s="1">
        <f>4.572*100000000</f>
        <v>457200000</v>
      </c>
      <c r="K154" s="10">
        <f t="shared" si="66"/>
        <v>0.54983050847457626</v>
      </c>
      <c r="L154" s="6" t="s">
        <v>2186</v>
      </c>
      <c r="M154" s="6" t="str">
        <f t="shared" si="67"/>
        <v>=2.950*100000000</v>
      </c>
      <c r="N154" s="1">
        <f>2.95*100000000</f>
        <v>295000000</v>
      </c>
      <c r="O154" s="8">
        <f t="shared" si="68"/>
        <v>1.1611721611721613</v>
      </c>
      <c r="P154" s="6" t="s">
        <v>2187</v>
      </c>
      <c r="Q154" s="6" t="str">
        <f t="shared" si="69"/>
        <v>=1.365*100000000</v>
      </c>
      <c r="R154" s="11">
        <f>1.365*100000000</f>
        <v>136500000</v>
      </c>
      <c r="S154" s="8">
        <f t="shared" si="70"/>
        <v>-0.74908088235294112</v>
      </c>
      <c r="T154" s="6" t="s">
        <v>2188</v>
      </c>
      <c r="U154" s="6" t="str">
        <f t="shared" si="71"/>
        <v>=5.440*100000000</v>
      </c>
      <c r="V154" s="1">
        <f>5.44*100000000</f>
        <v>544000000</v>
      </c>
      <c r="W154" s="8">
        <f t="shared" si="72"/>
        <v>0.56636913331413763</v>
      </c>
      <c r="X154" s="6" t="s">
        <v>2189</v>
      </c>
      <c r="Y154" s="6" t="str">
        <f t="shared" si="73"/>
        <v>=3.473*100000000</v>
      </c>
      <c r="Z154" s="1">
        <f>3.473*100000000</f>
        <v>347300000</v>
      </c>
      <c r="AA154" s="8">
        <f t="shared" si="74"/>
        <v>0.67292870905587665</v>
      </c>
      <c r="AB154" s="6" t="s">
        <v>2190</v>
      </c>
      <c r="AC154" s="6" t="str">
        <f t="shared" si="75"/>
        <v>=2.076*100000000</v>
      </c>
      <c r="AD154" s="1">
        <f>2.076*100000000</f>
        <v>207600000</v>
      </c>
      <c r="AE154" s="8">
        <f t="shared" si="76"/>
        <v>1.5075492209204011</v>
      </c>
      <c r="AF154" s="7" t="s">
        <v>2191</v>
      </c>
      <c r="AG154" s="6" t="str">
        <f t="shared" si="77"/>
        <v>=8279*10000</v>
      </c>
      <c r="AH154" s="1">
        <f>8279*10000</f>
        <v>82790000</v>
      </c>
      <c r="AI154" s="8">
        <f t="shared" si="78"/>
        <v>-0.83388844301765652</v>
      </c>
      <c r="AJ154" s="6" t="s">
        <v>1651</v>
      </c>
      <c r="AK154" s="6" t="str">
        <f t="shared" si="79"/>
        <v>=4.984*100000000</v>
      </c>
      <c r="AL154" s="1">
        <f>4.984*100000000</f>
        <v>498400000</v>
      </c>
      <c r="AM154" s="8">
        <f t="shared" si="80"/>
        <v>0.39140145170295926</v>
      </c>
      <c r="AN154" s="6" t="s">
        <v>2192</v>
      </c>
      <c r="AO154" s="6" t="str">
        <f t="shared" si="81"/>
        <v>=3.582*100000000</v>
      </c>
      <c r="AP154" s="1">
        <f>3.582*100000000</f>
        <v>358200000</v>
      </c>
      <c r="AQ154" s="8">
        <f t="shared" si="82"/>
        <v>0.57450549450549449</v>
      </c>
      <c r="AR154" s="6" t="s">
        <v>2193</v>
      </c>
      <c r="AS154" s="6" t="str">
        <f t="shared" si="83"/>
        <v>=2.275*100000000</v>
      </c>
      <c r="AT154" s="1">
        <f>2.275*100000000</f>
        <v>227500000</v>
      </c>
      <c r="AU154" s="8">
        <f t="shared" si="84"/>
        <v>1.1938283510125365</v>
      </c>
      <c r="AV154" s="6" t="s">
        <v>2194</v>
      </c>
      <c r="AW154" s="6" t="str">
        <f t="shared" si="85"/>
        <v>=1.037*100000000</v>
      </c>
      <c r="AX154" s="1">
        <f>1.037*100000000</f>
        <v>103699999.99999999</v>
      </c>
      <c r="AY154" s="10">
        <f t="shared" si="86"/>
        <v>-0.75185451064848052</v>
      </c>
      <c r="AZ154" s="6" t="s">
        <v>2195</v>
      </c>
      <c r="BA154" s="6" t="str">
        <f t="shared" si="87"/>
        <v>=4.179*100000000</v>
      </c>
      <c r="BB154" s="1">
        <f>4.179*100000000</f>
        <v>417900000</v>
      </c>
      <c r="BC154" s="8">
        <f t="shared" si="88"/>
        <v>0.39253582139286902</v>
      </c>
      <c r="BD154" s="6" t="s">
        <v>2196</v>
      </c>
      <c r="BE154" s="6" t="str">
        <f t="shared" si="89"/>
        <v>=3.001*100000000</v>
      </c>
      <c r="BF154" s="1">
        <f>3.001*100000000</f>
        <v>300100000</v>
      </c>
      <c r="BG154" s="8">
        <f t="shared" si="90"/>
        <v>0.61517761033369212</v>
      </c>
      <c r="BH154" s="6" t="s">
        <v>2197</v>
      </c>
      <c r="BI154" s="6" t="str">
        <f t="shared" si="91"/>
        <v>=1.858*100000000</v>
      </c>
      <c r="BJ154" s="1">
        <f>1.858*100000000</f>
        <v>185800000</v>
      </c>
      <c r="BK154" s="7" t="s">
        <v>2198</v>
      </c>
      <c r="BL154" s="1" t="str">
        <f t="shared" si="63"/>
        <v>=7415*10000</v>
      </c>
      <c r="BM154" s="16">
        <f t="shared" si="92"/>
        <v>1.5057316250842887</v>
      </c>
      <c r="BN154" s="1">
        <f>7415*10000</f>
        <v>74150000</v>
      </c>
    </row>
    <row r="155" spans="1:66">
      <c r="A155" s="18"/>
      <c r="B155">
        <v>600113</v>
      </c>
      <c r="C155" t="s">
        <v>48</v>
      </c>
      <c r="D155" s="6" t="s">
        <v>2199</v>
      </c>
      <c r="E155" s="7" t="str">
        <f t="shared" si="62"/>
        <v>=7.160*100000000</v>
      </c>
      <c r="F155" s="1">
        <f>7.16*100000000</f>
        <v>716000000</v>
      </c>
      <c r="G155" s="8">
        <f t="shared" si="64"/>
        <v>4.2377468910021943</v>
      </c>
      <c r="H155" s="6" t="s">
        <v>2200</v>
      </c>
      <c r="I155" s="6" t="str">
        <f t="shared" si="65"/>
        <v>=1.367*100000000</v>
      </c>
      <c r="J155" s="1">
        <f>1.367*100000000</f>
        <v>136700000</v>
      </c>
      <c r="K155" s="10">
        <f t="shared" si="66"/>
        <v>0.57524775293846508</v>
      </c>
      <c r="L155" s="7" t="s">
        <v>2201</v>
      </c>
      <c r="M155" s="6" t="str">
        <f t="shared" si="67"/>
        <v>=8678*10000</v>
      </c>
      <c r="N155" s="1">
        <f>8678*10000</f>
        <v>86780000</v>
      </c>
      <c r="O155" s="8">
        <f t="shared" si="68"/>
        <v>1.4165970481759955</v>
      </c>
      <c r="P155" s="7" t="s">
        <v>2202</v>
      </c>
      <c r="Q155" s="6" t="str">
        <f t="shared" si="69"/>
        <v>=3591*10000</v>
      </c>
      <c r="R155" s="11">
        <f>3591*10000</f>
        <v>35910000</v>
      </c>
      <c r="S155" s="8">
        <f t="shared" si="70"/>
        <v>-0.38139534883720932</v>
      </c>
      <c r="T155" s="7" t="s">
        <v>2203</v>
      </c>
      <c r="U155" s="6" t="str">
        <f t="shared" si="71"/>
        <v>=5805*10000</v>
      </c>
      <c r="V155" s="1">
        <f>5805*10000</f>
        <v>58050000</v>
      </c>
      <c r="W155" s="8">
        <f t="shared" si="72"/>
        <v>-0.6082995951417004</v>
      </c>
      <c r="X155" s="6" t="s">
        <v>2204</v>
      </c>
      <c r="Y155" s="6" t="str">
        <f t="shared" si="73"/>
        <v>=1.482*100000000</v>
      </c>
      <c r="Z155" s="1">
        <f>1.482*100000000</f>
        <v>148200000</v>
      </c>
      <c r="AA155" s="8">
        <f t="shared" si="74"/>
        <v>0.52641878669275932</v>
      </c>
      <c r="AB155" s="7" t="s">
        <v>2205</v>
      </c>
      <c r="AC155" s="6" t="str">
        <f t="shared" si="75"/>
        <v>=9709*10000</v>
      </c>
      <c r="AD155" s="1">
        <f>9709*10000</f>
        <v>97090000</v>
      </c>
      <c r="AE155" s="8">
        <f t="shared" si="76"/>
        <v>3.3324408746095493</v>
      </c>
      <c r="AF155" s="7" t="s">
        <v>2206</v>
      </c>
      <c r="AG155" s="6" t="str">
        <f t="shared" si="77"/>
        <v>=2241*10000</v>
      </c>
      <c r="AH155" s="1">
        <f>2241*10000</f>
        <v>22410000</v>
      </c>
      <c r="AI155" s="8">
        <f t="shared" si="78"/>
        <v>-0.87639271924986206</v>
      </c>
      <c r="AJ155" s="6" t="s">
        <v>1501</v>
      </c>
      <c r="AK155" s="6" t="str">
        <f t="shared" si="79"/>
        <v>=1.813*100000000</v>
      </c>
      <c r="AL155" s="1">
        <f>1.813*100000000</f>
        <v>181300000</v>
      </c>
      <c r="AM155" s="8">
        <f t="shared" si="80"/>
        <v>0.14168765743073047</v>
      </c>
      <c r="AN155" s="6" t="s">
        <v>2207</v>
      </c>
      <c r="AO155" s="6" t="str">
        <f t="shared" si="81"/>
        <v>=1.588*100000000</v>
      </c>
      <c r="AP155" s="1">
        <f>1.588*100000000</f>
        <v>158800000</v>
      </c>
      <c r="AQ155" s="8">
        <f t="shared" si="82"/>
        <v>0.54775828460038989</v>
      </c>
      <c r="AR155" s="6" t="s">
        <v>2208</v>
      </c>
      <c r="AS155" s="6" t="str">
        <f t="shared" si="83"/>
        <v>=1.026*100000000</v>
      </c>
      <c r="AT155" s="1">
        <f>1.026*100000000</f>
        <v>102600000</v>
      </c>
      <c r="AU155" s="8">
        <f t="shared" si="84"/>
        <v>1.7986906710310966</v>
      </c>
      <c r="AV155" s="7" t="s">
        <v>2209</v>
      </c>
      <c r="AW155" s="6" t="str">
        <f t="shared" si="85"/>
        <v>=3666*10000</v>
      </c>
      <c r="AX155" s="1">
        <f>3666*10000</f>
        <v>36660000</v>
      </c>
      <c r="AY155" s="10">
        <f t="shared" si="86"/>
        <v>-0.73944562899786781</v>
      </c>
      <c r="AZ155" s="6" t="s">
        <v>2210</v>
      </c>
      <c r="BA155" s="6" t="str">
        <f t="shared" si="87"/>
        <v>=1.407*100000000</v>
      </c>
      <c r="BB155" s="1">
        <f>1.407*100000000</f>
        <v>140700000</v>
      </c>
      <c r="BC155" s="8">
        <f t="shared" si="88"/>
        <v>0.23097112860892388</v>
      </c>
      <c r="BD155" s="6" t="s">
        <v>2211</v>
      </c>
      <c r="BE155" s="6" t="str">
        <f t="shared" si="89"/>
        <v>=1.143*100000000</v>
      </c>
      <c r="BF155" s="1">
        <f>1.143*100000000</f>
        <v>114300000</v>
      </c>
      <c r="BG155" s="8">
        <f t="shared" si="90"/>
        <v>0.72945982750794369</v>
      </c>
      <c r="BH155" s="7" t="s">
        <v>2212</v>
      </c>
      <c r="BI155" s="6" t="str">
        <f t="shared" si="91"/>
        <v>=6609*10000</v>
      </c>
      <c r="BJ155" s="1">
        <f>6609*10000</f>
        <v>66090000</v>
      </c>
      <c r="BK155" s="7" t="s">
        <v>2213</v>
      </c>
      <c r="BL155" s="1" t="str">
        <f t="shared" si="63"/>
        <v>=2348*10000</v>
      </c>
      <c r="BM155" s="16">
        <f t="shared" si="92"/>
        <v>1.8147359454855196</v>
      </c>
      <c r="BN155" s="1">
        <f>2348*10000</f>
        <v>23480000</v>
      </c>
    </row>
    <row r="156" spans="1:66">
      <c r="A156" s="18"/>
      <c r="B156">
        <v>600113</v>
      </c>
      <c r="C156" t="s">
        <v>58</v>
      </c>
      <c r="D156" s="6" t="s">
        <v>2214</v>
      </c>
      <c r="E156" s="7" t="str">
        <f t="shared" si="62"/>
        <v>=8.721*100000000</v>
      </c>
      <c r="F156" s="1">
        <f>8.721*100000000</f>
        <v>872100000</v>
      </c>
      <c r="G156" s="8">
        <f t="shared" si="64"/>
        <v>5.3703433162892624</v>
      </c>
      <c r="H156" s="6" t="s">
        <v>2215</v>
      </c>
      <c r="I156" s="6" t="str">
        <f t="shared" si="65"/>
        <v>=1.369*100000000</v>
      </c>
      <c r="J156" s="1">
        <f>1.369*100000000</f>
        <v>136900000</v>
      </c>
      <c r="K156" s="10">
        <f t="shared" si="66"/>
        <v>0.57864391143911442</v>
      </c>
      <c r="L156" s="7" t="s">
        <v>2216</v>
      </c>
      <c r="M156" s="6" t="str">
        <f t="shared" si="67"/>
        <v>=8672*10000</v>
      </c>
      <c r="N156" s="1">
        <f>8672*10000</f>
        <v>86720000</v>
      </c>
      <c r="O156" s="8">
        <f t="shared" si="68"/>
        <v>1.4216699246020665</v>
      </c>
      <c r="P156" s="7" t="s">
        <v>2217</v>
      </c>
      <c r="Q156" s="6" t="str">
        <f t="shared" si="69"/>
        <v>=3581*10000</v>
      </c>
      <c r="R156" s="11">
        <f>3581*10000</f>
        <v>35810000</v>
      </c>
      <c r="S156" s="8">
        <f t="shared" si="70"/>
        <v>-0.38491927172792856</v>
      </c>
      <c r="T156" s="7" t="s">
        <v>2218</v>
      </c>
      <c r="U156" s="6" t="str">
        <f t="shared" si="71"/>
        <v>=5822*10000</v>
      </c>
      <c r="V156" s="1">
        <f>5822*10000</f>
        <v>58220000</v>
      </c>
      <c r="W156" s="8">
        <f t="shared" si="72"/>
        <v>-0.6079461279461279</v>
      </c>
      <c r="X156" s="6" t="s">
        <v>2219</v>
      </c>
      <c r="Y156" s="6" t="str">
        <f t="shared" si="73"/>
        <v>=1.485*100000000</v>
      </c>
      <c r="Z156" s="1">
        <f>1.485*100000000</f>
        <v>148500000</v>
      </c>
      <c r="AA156" s="8">
        <f t="shared" si="74"/>
        <v>0.52558043969591128</v>
      </c>
      <c r="AB156" s="7" t="s">
        <v>2220</v>
      </c>
      <c r="AC156" s="6" t="str">
        <f t="shared" si="75"/>
        <v>=9734*10000</v>
      </c>
      <c r="AD156" s="1">
        <f>9734*10000</f>
        <v>97340000</v>
      </c>
      <c r="AE156" s="8">
        <f t="shared" si="76"/>
        <v>3.3533094812164581</v>
      </c>
      <c r="AF156" s="7" t="s">
        <v>2221</v>
      </c>
      <c r="AG156" s="6" t="str">
        <f t="shared" si="77"/>
        <v>=2236*10000</v>
      </c>
      <c r="AH156" s="1">
        <f>2236*10000</f>
        <v>22360000</v>
      </c>
      <c r="AI156" s="8">
        <f t="shared" si="78"/>
        <v>-0.87680440771349866</v>
      </c>
      <c r="AJ156" s="6" t="s">
        <v>2222</v>
      </c>
      <c r="AK156" s="6" t="str">
        <f t="shared" si="79"/>
        <v>=1.815*100000000</v>
      </c>
      <c r="AL156" s="1">
        <f>1.815*100000000</f>
        <v>181500000</v>
      </c>
      <c r="AM156" s="8">
        <f t="shared" si="80"/>
        <v>0.14438839848675913</v>
      </c>
      <c r="AN156" s="6" t="s">
        <v>2223</v>
      </c>
      <c r="AO156" s="6" t="str">
        <f t="shared" si="81"/>
        <v>=1.586*100000000</v>
      </c>
      <c r="AP156" s="1">
        <f>1.586*100000000</f>
        <v>158600000</v>
      </c>
      <c r="AQ156" s="8">
        <f t="shared" si="82"/>
        <v>0.54580896686159841</v>
      </c>
      <c r="AR156" s="6" t="s">
        <v>2208</v>
      </c>
      <c r="AS156" s="6" t="str">
        <f t="shared" si="83"/>
        <v>=1.026*100000000</v>
      </c>
      <c r="AT156" s="1">
        <f>1.026*100000000</f>
        <v>102600000</v>
      </c>
      <c r="AU156" s="8">
        <f t="shared" si="84"/>
        <v>1.7979274611398963</v>
      </c>
      <c r="AV156" s="7" t="s">
        <v>2224</v>
      </c>
      <c r="AW156" s="6" t="str">
        <f t="shared" si="85"/>
        <v>=3667*10000</v>
      </c>
      <c r="AX156" s="1">
        <f>3667*10000</f>
        <v>36670000</v>
      </c>
      <c r="AY156" s="10">
        <f t="shared" si="86"/>
        <v>-0.73918918918918919</v>
      </c>
      <c r="AZ156" s="6" t="s">
        <v>2225</v>
      </c>
      <c r="BA156" s="6" t="str">
        <f t="shared" si="87"/>
        <v>=1.406*100000000</v>
      </c>
      <c r="BB156" s="1">
        <f>1.406*100000000</f>
        <v>140600000</v>
      </c>
      <c r="BC156" s="8">
        <f t="shared" si="88"/>
        <v>0.23117338003502644</v>
      </c>
      <c r="BD156" s="6" t="s">
        <v>2226</v>
      </c>
      <c r="BE156" s="6" t="str">
        <f t="shared" si="89"/>
        <v>=1.142*100000000</v>
      </c>
      <c r="BF156" s="1">
        <f>1.142*100000000</f>
        <v>114199999.99999999</v>
      </c>
      <c r="BG156" s="8">
        <f t="shared" si="90"/>
        <v>0.730827523491967</v>
      </c>
      <c r="BH156" s="7" t="s">
        <v>2227</v>
      </c>
      <c r="BI156" s="6" t="str">
        <f t="shared" si="91"/>
        <v>=6598*10000</v>
      </c>
      <c r="BJ156" s="1">
        <f>6598*10000</f>
        <v>65980000</v>
      </c>
      <c r="BK156" s="7" t="s">
        <v>2228</v>
      </c>
      <c r="BL156" s="1" t="str">
        <f t="shared" si="63"/>
        <v>=2349*10000</v>
      </c>
      <c r="BM156" s="16">
        <f t="shared" si="92"/>
        <v>1.8088548318433375</v>
      </c>
      <c r="BN156" s="1">
        <f>2349*10000</f>
        <v>23490000</v>
      </c>
    </row>
    <row r="157" spans="1:66">
      <c r="A157" s="19"/>
      <c r="B157">
        <v>600113</v>
      </c>
      <c r="C157" t="s">
        <v>68</v>
      </c>
      <c r="D157" s="6" t="s">
        <v>2229</v>
      </c>
      <c r="E157" s="7" t="str">
        <f t="shared" si="62"/>
        <v>=6.482*100000000</v>
      </c>
      <c r="F157" s="1">
        <f>6.482*100000000</f>
        <v>648200000</v>
      </c>
      <c r="G157" s="8">
        <f t="shared" si="64"/>
        <v>5.4114737883283883</v>
      </c>
      <c r="H157" s="6" t="s">
        <v>2230</v>
      </c>
      <c r="I157" s="6" t="str">
        <f t="shared" si="65"/>
        <v>=1.011*100000000</v>
      </c>
      <c r="J157" s="1">
        <f>1.011*100000000</f>
        <v>101099999.99999999</v>
      </c>
      <c r="K157" s="10">
        <f t="shared" si="66"/>
        <v>0.59187529522909754</v>
      </c>
      <c r="L157" s="7" t="s">
        <v>2231</v>
      </c>
      <c r="M157" s="6" t="str">
        <f t="shared" si="67"/>
        <v>=6351*10000</v>
      </c>
      <c r="N157" s="1">
        <f>6351*10000</f>
        <v>63510000</v>
      </c>
      <c r="O157" s="8">
        <f t="shared" si="68"/>
        <v>1.5152475247524753</v>
      </c>
      <c r="P157" s="7" t="s">
        <v>2232</v>
      </c>
      <c r="Q157" s="6" t="str">
        <f t="shared" si="69"/>
        <v>=2525*10000</v>
      </c>
      <c r="R157" s="11">
        <f>2525*10000</f>
        <v>25250000</v>
      </c>
      <c r="S157" s="8">
        <f t="shared" si="70"/>
        <v>-0.19483418367346939</v>
      </c>
      <c r="T157" s="7" t="s">
        <v>2233</v>
      </c>
      <c r="U157" s="6" t="str">
        <f t="shared" si="71"/>
        <v>=3136*10000</v>
      </c>
      <c r="V157" s="1">
        <f>3136*10000</f>
        <v>31360000</v>
      </c>
      <c r="W157" s="8">
        <f t="shared" si="72"/>
        <v>-0.69194499017681732</v>
      </c>
      <c r="X157" s="6" t="s">
        <v>2234</v>
      </c>
      <c r="Y157" s="6" t="str">
        <f t="shared" si="73"/>
        <v>=1.018*100000000</v>
      </c>
      <c r="Z157" s="1">
        <f>1.018*100000000</f>
        <v>101800000</v>
      </c>
      <c r="AA157" s="8">
        <f t="shared" si="74"/>
        <v>0.58049992237230241</v>
      </c>
      <c r="AB157" s="7" t="s">
        <v>2235</v>
      </c>
      <c r="AC157" s="6" t="str">
        <f t="shared" si="75"/>
        <v>=6441*10000</v>
      </c>
      <c r="AD157" s="1">
        <f>6441*10000</f>
        <v>64410000</v>
      </c>
      <c r="AE157" s="8">
        <f t="shared" si="76"/>
        <v>2.9759259259259259</v>
      </c>
      <c r="AF157" s="7" t="s">
        <v>2236</v>
      </c>
      <c r="AG157" s="6" t="str">
        <f t="shared" si="77"/>
        <v>=1620*10000</v>
      </c>
      <c r="AH157" s="1">
        <f>1620*10000</f>
        <v>16200000</v>
      </c>
      <c r="AI157" s="8">
        <f t="shared" si="78"/>
        <v>-0.88061901252763453</v>
      </c>
      <c r="AJ157" s="6" t="s">
        <v>2237</v>
      </c>
      <c r="AK157" s="6" t="str">
        <f t="shared" si="79"/>
        <v>=1.357*100000000</v>
      </c>
      <c r="AL157" s="1">
        <f>1.357*100000000</f>
        <v>135700000</v>
      </c>
      <c r="AM157" s="8">
        <f t="shared" si="80"/>
        <v>0.14321819713563605</v>
      </c>
      <c r="AN157" s="6" t="s">
        <v>2238</v>
      </c>
      <c r="AO157" s="6" t="str">
        <f t="shared" si="81"/>
        <v>=1.187*100000000</v>
      </c>
      <c r="AP157" s="1">
        <f>1.187*100000000</f>
        <v>118700000</v>
      </c>
      <c r="AQ157" s="8">
        <f t="shared" si="82"/>
        <v>0.53955901426718544</v>
      </c>
      <c r="AR157" s="7" t="s">
        <v>2239</v>
      </c>
      <c r="AS157" s="6" t="str">
        <f t="shared" si="83"/>
        <v>=7710*10000</v>
      </c>
      <c r="AT157" s="1">
        <f>7710*10000</f>
        <v>77100000</v>
      </c>
      <c r="AU157" s="8">
        <f t="shared" si="84"/>
        <v>1.8138686131386861</v>
      </c>
      <c r="AV157" s="7" t="s">
        <v>2240</v>
      </c>
      <c r="AW157" s="6" t="str">
        <f t="shared" si="85"/>
        <v>=2740*10000</v>
      </c>
      <c r="AX157" s="1">
        <f>2740*10000</f>
        <v>27400000</v>
      </c>
      <c r="AY157" s="10">
        <f t="shared" si="86"/>
        <v>-0.73904761904761906</v>
      </c>
      <c r="AZ157" s="6" t="s">
        <v>2241</v>
      </c>
      <c r="BA157" s="6" t="str">
        <f t="shared" si="87"/>
        <v>=1.050*100000000</v>
      </c>
      <c r="BB157" s="1">
        <f>1.05*100000000</f>
        <v>105000000</v>
      </c>
      <c r="BC157" s="8">
        <f t="shared" si="88"/>
        <v>0.22835751052877867</v>
      </c>
      <c r="BD157" s="7" t="s">
        <v>2242</v>
      </c>
      <c r="BE157" s="6" t="str">
        <f t="shared" si="89"/>
        <v>=8548*10000</v>
      </c>
      <c r="BF157" s="1">
        <f>8548*10000</f>
        <v>85480000</v>
      </c>
      <c r="BG157" s="8">
        <f t="shared" si="90"/>
        <v>0.72026564701147111</v>
      </c>
      <c r="BH157" s="7" t="s">
        <v>2243</v>
      </c>
      <c r="BI157" s="6" t="str">
        <f t="shared" si="91"/>
        <v>=4969*10000</v>
      </c>
      <c r="BJ157" s="1">
        <f>4969*10000</f>
        <v>49690000</v>
      </c>
      <c r="BK157" s="7" t="s">
        <v>2244</v>
      </c>
      <c r="BL157" s="1" t="str">
        <f t="shared" si="63"/>
        <v>=1755*10000</v>
      </c>
      <c r="BM157" s="16">
        <f t="shared" si="92"/>
        <v>1.8313390313390314</v>
      </c>
      <c r="BN157" s="1">
        <f>1755*10000</f>
        <v>17550000</v>
      </c>
    </row>
    <row r="158" spans="1:66">
      <c r="A158" s="17">
        <v>40</v>
      </c>
      <c r="B158">
        <v>600115</v>
      </c>
      <c r="C158" t="s">
        <v>31</v>
      </c>
      <c r="D158" s="6" t="s">
        <v>2245</v>
      </c>
      <c r="E158" s="7" t="str">
        <f t="shared" si="62"/>
        <v>=671.3*100000000</v>
      </c>
      <c r="F158" s="1">
        <f>671.3*100000000</f>
        <v>67129999999.999992</v>
      </c>
      <c r="G158" s="8">
        <f t="shared" si="64"/>
        <v>0.27866666666666651</v>
      </c>
      <c r="H158" s="6" t="s">
        <v>2246</v>
      </c>
      <c r="I158" s="6" t="str">
        <f t="shared" si="65"/>
        <v>=525.0*100000000</v>
      </c>
      <c r="J158" s="1">
        <f>525*100000000</f>
        <v>52500000000</v>
      </c>
      <c r="K158" s="10">
        <f t="shared" si="66"/>
        <v>0.51253241140881589</v>
      </c>
      <c r="L158" s="6" t="s">
        <v>2247</v>
      </c>
      <c r="M158" s="6" t="str">
        <f t="shared" si="67"/>
        <v>=347.1*100000000</v>
      </c>
      <c r="N158" s="1">
        <f>347.1*100000000</f>
        <v>34710000000</v>
      </c>
      <c r="O158" s="8">
        <f t="shared" si="68"/>
        <v>1.5902985074626865</v>
      </c>
      <c r="P158" s="6" t="s">
        <v>2248</v>
      </c>
      <c r="Q158" s="6" t="str">
        <f t="shared" si="69"/>
        <v>=134.0*100000000</v>
      </c>
      <c r="R158" s="11">
        <f>134*100000000</f>
        <v>13400000000</v>
      </c>
      <c r="S158" s="8">
        <f t="shared" si="70"/>
        <v>-0.77148703956343789</v>
      </c>
      <c r="T158" s="6" t="s">
        <v>2249</v>
      </c>
      <c r="U158" s="6" t="str">
        <f t="shared" si="71"/>
        <v>=586.4*100000000</v>
      </c>
      <c r="V158" s="1">
        <f>586.4*100000000</f>
        <v>58640000000</v>
      </c>
      <c r="W158" s="8">
        <f t="shared" si="72"/>
        <v>0.38628841607565012</v>
      </c>
      <c r="X158" s="6" t="s">
        <v>2250</v>
      </c>
      <c r="Y158" s="6" t="str">
        <f t="shared" si="73"/>
        <v>=423.0*100000000</v>
      </c>
      <c r="Z158" s="1">
        <f>423*100000000</f>
        <v>42300000000</v>
      </c>
      <c r="AA158" s="8">
        <f t="shared" si="74"/>
        <v>0.68324711500198965</v>
      </c>
      <c r="AB158" s="6" t="s">
        <v>2251</v>
      </c>
      <c r="AC158" s="6" t="str">
        <f t="shared" si="75"/>
        <v>=251.3*100000000</v>
      </c>
      <c r="AD158" s="1">
        <f>251.3*100000000</f>
        <v>25130000000</v>
      </c>
      <c r="AE158" s="8">
        <f t="shared" si="76"/>
        <v>0.62653721682847896</v>
      </c>
      <c r="AF158" s="6" t="s">
        <v>2252</v>
      </c>
      <c r="AG158" s="6" t="str">
        <f t="shared" si="77"/>
        <v>=154.5*100000000</v>
      </c>
      <c r="AH158" s="1">
        <f>154.5*100000000</f>
        <v>15450000000</v>
      </c>
      <c r="AI158" s="8">
        <f t="shared" si="78"/>
        <v>-0.87220843672456572</v>
      </c>
      <c r="AJ158" s="6" t="s">
        <v>2253</v>
      </c>
      <c r="AK158" s="6" t="str">
        <f t="shared" si="79"/>
        <v>=1209*100000000</v>
      </c>
      <c r="AL158" s="1">
        <f>1209*100000000</f>
        <v>120900000000</v>
      </c>
      <c r="AM158" s="8">
        <f t="shared" si="80"/>
        <v>0.29443254817987152</v>
      </c>
      <c r="AN158" s="6" t="s">
        <v>2254</v>
      </c>
      <c r="AO158" s="6" t="str">
        <f t="shared" si="81"/>
        <v>=934.0*100000000</v>
      </c>
      <c r="AP158" s="1">
        <f>934*100000000</f>
        <v>93400000000</v>
      </c>
      <c r="AQ158" s="8">
        <f t="shared" si="82"/>
        <v>0.58897584212317133</v>
      </c>
      <c r="AR158" s="6" t="s">
        <v>2255</v>
      </c>
      <c r="AS158" s="6" t="str">
        <f t="shared" si="83"/>
        <v>=587.8*100000000</v>
      </c>
      <c r="AT158" s="1">
        <f>587.8*100000000</f>
        <v>58779999999.999992</v>
      </c>
      <c r="AU158" s="8">
        <f t="shared" si="84"/>
        <v>0.95607321131447565</v>
      </c>
      <c r="AV158" s="6" t="s">
        <v>2256</v>
      </c>
      <c r="AW158" s="6" t="str">
        <f t="shared" si="85"/>
        <v>=300.5*100000000</v>
      </c>
      <c r="AX158" s="1">
        <f>300.5*100000000</f>
        <v>30050000000</v>
      </c>
      <c r="AY158" s="10">
        <f t="shared" si="86"/>
        <v>-0.73846823324630118</v>
      </c>
      <c r="AZ158" s="6" t="s">
        <v>2257</v>
      </c>
      <c r="BA158" s="6" t="str">
        <f t="shared" si="87"/>
        <v>=1149*100000000</v>
      </c>
      <c r="BB158" s="1">
        <f>1149*100000000</f>
        <v>114900000000</v>
      </c>
      <c r="BC158" s="8">
        <f t="shared" si="88"/>
        <v>0.30746472462448793</v>
      </c>
      <c r="BD158" s="6" t="s">
        <v>2258</v>
      </c>
      <c r="BE158" s="6" t="str">
        <f t="shared" si="89"/>
        <v>=878.8*100000000</v>
      </c>
      <c r="BF158" s="1">
        <f>878.8*100000000</f>
        <v>87880000000</v>
      </c>
      <c r="BG158" s="8">
        <f t="shared" si="90"/>
        <v>0.61484748254318244</v>
      </c>
      <c r="BH158" s="6" t="s">
        <v>2259</v>
      </c>
      <c r="BI158" s="6" t="str">
        <f t="shared" si="91"/>
        <v>=544.2*100000000</v>
      </c>
      <c r="BJ158" s="1">
        <f>544.2*100000000</f>
        <v>54420000000.000008</v>
      </c>
      <c r="BK158" s="6" t="s">
        <v>2260</v>
      </c>
      <c r="BL158" s="1" t="str">
        <f t="shared" si="63"/>
        <v>=267.5*100000000</v>
      </c>
      <c r="BM158" s="16">
        <f t="shared" si="92"/>
        <v>1.0343925233644862</v>
      </c>
      <c r="BN158" s="1">
        <f>267.5*100000000</f>
        <v>26750000000</v>
      </c>
    </row>
    <row r="159" spans="1:66">
      <c r="A159" s="18"/>
      <c r="B159">
        <v>600115</v>
      </c>
      <c r="C159" t="s">
        <v>48</v>
      </c>
      <c r="D159" s="6">
        <f>-177.9*100000000</f>
        <v>-17790000000</v>
      </c>
      <c r="E159" s="7" t="str">
        <f t="shared" si="62"/>
        <v>=-17790000000</v>
      </c>
      <c r="F159" s="1">
        <f>-17790000000</f>
        <v>-17790000000</v>
      </c>
      <c r="G159" s="8">
        <f t="shared" si="64"/>
        <v>0.5336206896551724</v>
      </c>
      <c r="H159" s="6">
        <f>-116*100000000</f>
        <v>-11600000000</v>
      </c>
      <c r="I159" s="6" t="str">
        <f t="shared" si="65"/>
        <v>=-11600000000</v>
      </c>
      <c r="J159" s="1">
        <f>-11600000000</f>
        <v>-11600000000</v>
      </c>
      <c r="K159" s="10">
        <f t="shared" si="66"/>
        <v>0.57181571815718157</v>
      </c>
      <c r="L159" s="6">
        <f>-73.8*100000000</f>
        <v>-7380000000</v>
      </c>
      <c r="M159" s="6" t="str">
        <f t="shared" si="67"/>
        <v>=-7380000000</v>
      </c>
      <c r="N159" s="1">
        <f>-7380000000</f>
        <v>-7380000000</v>
      </c>
      <c r="O159" s="8">
        <f t="shared" si="68"/>
        <v>0.312</v>
      </c>
      <c r="P159" s="6">
        <f>-56.25*100000000</f>
        <v>-5625000000</v>
      </c>
      <c r="Q159" s="6" t="str">
        <f t="shared" si="69"/>
        <v>=-5625000000</v>
      </c>
      <c r="R159" s="11">
        <f>-5625000000</f>
        <v>-5625000000</v>
      </c>
      <c r="S159" s="8">
        <f t="shared" si="70"/>
        <v>-0.6651785714285714</v>
      </c>
      <c r="T159" s="6">
        <f>-168*100000000</f>
        <v>-16800000000</v>
      </c>
      <c r="U159" s="6" t="str">
        <f t="shared" si="71"/>
        <v>=-16800000000</v>
      </c>
      <c r="V159" s="1">
        <f>-16800000000</f>
        <v>-16800000000</v>
      </c>
      <c r="W159" s="8">
        <f t="shared" si="72"/>
        <v>0.28538638102524866</v>
      </c>
      <c r="X159" s="6">
        <f>-130.7*100000000</f>
        <v>-13069999999.999998</v>
      </c>
      <c r="Y159" s="6" t="str">
        <f t="shared" si="73"/>
        <v>=-13070000000</v>
      </c>
      <c r="Z159" s="1">
        <f>-13070000000</f>
        <v>-13070000000</v>
      </c>
      <c r="AA159" s="8">
        <f t="shared" si="74"/>
        <v>7.4835526315789477E-2</v>
      </c>
      <c r="AB159" s="6">
        <f>-121.6*100000000</f>
        <v>-12160000000</v>
      </c>
      <c r="AC159" s="6" t="str">
        <f t="shared" si="75"/>
        <v>=-12160000000</v>
      </c>
      <c r="AD159" s="1">
        <f>-12160000000</f>
        <v>-12160000000</v>
      </c>
      <c r="AE159" s="8">
        <f t="shared" si="76"/>
        <v>1.1378340365682138</v>
      </c>
      <c r="AF159" s="6">
        <f>-56.88*100000000</f>
        <v>-5688000000</v>
      </c>
      <c r="AG159" s="6" t="str">
        <f t="shared" si="77"/>
        <v>=-5688000000</v>
      </c>
      <c r="AH159" s="1">
        <f>-5688000000</f>
        <v>-5688000000</v>
      </c>
      <c r="AI159" s="8">
        <f t="shared" si="78"/>
        <v>-2.6420323325635104</v>
      </c>
      <c r="AJ159" s="6" t="s">
        <v>2261</v>
      </c>
      <c r="AK159" s="6" t="str">
        <f t="shared" si="79"/>
        <v>=34.64*100000000</v>
      </c>
      <c r="AL159" s="1">
        <f>34.64*100000000</f>
        <v>3464000000</v>
      </c>
      <c r="AM159" s="8">
        <f t="shared" si="80"/>
        <v>-0.37291817523533671</v>
      </c>
      <c r="AN159" s="6" t="s">
        <v>2262</v>
      </c>
      <c r="AO159" s="6" t="str">
        <f t="shared" si="81"/>
        <v>=55.24*100000000</v>
      </c>
      <c r="AP159" s="1">
        <f>55.24*100000000</f>
        <v>5524000000</v>
      </c>
      <c r="AQ159" s="8">
        <f t="shared" si="82"/>
        <v>1.4143356643356644</v>
      </c>
      <c r="AR159" s="6" t="s">
        <v>2263</v>
      </c>
      <c r="AS159" s="6" t="str">
        <f t="shared" si="83"/>
        <v>=22.88*100000000</v>
      </c>
      <c r="AT159" s="1">
        <f>22.88*100000000</f>
        <v>2288000000</v>
      </c>
      <c r="AU159" s="8">
        <f t="shared" si="84"/>
        <v>-0.18576512455516014</v>
      </c>
      <c r="AV159" s="6" t="s">
        <v>1355</v>
      </c>
      <c r="AW159" s="6" t="str">
        <f t="shared" si="85"/>
        <v>=28.10*100000000</v>
      </c>
      <c r="AX159" s="1">
        <f>28.1*100000000</f>
        <v>2810000000</v>
      </c>
      <c r="AY159" s="10">
        <f t="shared" si="86"/>
        <v>-5.0033806626098715E-2</v>
      </c>
      <c r="AZ159" s="6" t="s">
        <v>2264</v>
      </c>
      <c r="BA159" s="6" t="str">
        <f t="shared" si="87"/>
        <v>=29.58*100000000</v>
      </c>
      <c r="BB159" s="1">
        <f>29.58*100000000</f>
        <v>2958000000</v>
      </c>
      <c r="BC159" s="8">
        <f t="shared" si="88"/>
        <v>-0.48636916131272789</v>
      </c>
      <c r="BD159" s="6" t="s">
        <v>2265</v>
      </c>
      <c r="BE159" s="6" t="str">
        <f t="shared" si="89"/>
        <v>=57.59*100000000</v>
      </c>
      <c r="BF159" s="1">
        <f>57.59*100000000</f>
        <v>5759000000</v>
      </c>
      <c r="BG159" s="8">
        <f t="shared" si="90"/>
        <v>1.0494661921708186</v>
      </c>
      <c r="BH159" s="6" t="s">
        <v>1355</v>
      </c>
      <c r="BI159" s="6" t="str">
        <f t="shared" si="91"/>
        <v>=28.10*100000000</v>
      </c>
      <c r="BJ159" s="1">
        <f>28.1*100000000</f>
        <v>2810000000</v>
      </c>
      <c r="BK159" s="6" t="s">
        <v>2266</v>
      </c>
      <c r="BL159" s="1" t="str">
        <f t="shared" si="63"/>
        <v>=25.80*100000000</v>
      </c>
      <c r="BM159" s="16">
        <f t="shared" si="92"/>
        <v>8.9147286821705432E-2</v>
      </c>
      <c r="BN159" s="1">
        <f>25.8*100000000</f>
        <v>2580000000</v>
      </c>
    </row>
    <row r="160" spans="1:66">
      <c r="A160" s="18"/>
      <c r="B160">
        <v>600115</v>
      </c>
      <c r="C160" t="s">
        <v>58</v>
      </c>
      <c r="D160" s="6">
        <f>-175.1*100000000</f>
        <v>-17510000000</v>
      </c>
      <c r="E160" s="7" t="str">
        <f t="shared" si="62"/>
        <v>=-17510000000</v>
      </c>
      <c r="F160" s="1">
        <f>-17510000000</f>
        <v>-17510000000</v>
      </c>
      <c r="G160" s="8">
        <f t="shared" si="64"/>
        <v>0.52792321116928442</v>
      </c>
      <c r="H160" s="6">
        <f>-114.6*100000000</f>
        <v>-11460000000</v>
      </c>
      <c r="I160" s="6" t="str">
        <f t="shared" si="65"/>
        <v>=-11460000000</v>
      </c>
      <c r="J160" s="1">
        <f>-11460000000</f>
        <v>-11460000000</v>
      </c>
      <c r="K160" s="10">
        <f t="shared" si="66"/>
        <v>0.57417582417582413</v>
      </c>
      <c r="L160" s="6">
        <f>-72.8*100000000</f>
        <v>-7280000000</v>
      </c>
      <c r="M160" s="6" t="str">
        <f t="shared" si="67"/>
        <v>=-7280000000</v>
      </c>
      <c r="N160" s="1">
        <f>-7280000000</f>
        <v>-7280000000</v>
      </c>
      <c r="O160" s="8">
        <f t="shared" si="68"/>
        <v>0.30185979971387694</v>
      </c>
      <c r="P160" s="6">
        <f>-55.92*100000000</f>
        <v>-5592000000</v>
      </c>
      <c r="Q160" s="6" t="str">
        <f t="shared" si="69"/>
        <v>=-5592000000</v>
      </c>
      <c r="R160" s="11">
        <f>-5592000000</f>
        <v>-5592000000</v>
      </c>
      <c r="S160" s="8">
        <f t="shared" si="70"/>
        <v>-0.66067961165048539</v>
      </c>
      <c r="T160" s="6">
        <f>-164.8*100000000</f>
        <v>-16480000000.000002</v>
      </c>
      <c r="U160" s="6" t="str">
        <f t="shared" si="71"/>
        <v>=-16480000000</v>
      </c>
      <c r="V160" s="1">
        <f>-16480000000</f>
        <v>-16480000000</v>
      </c>
      <c r="W160" s="8">
        <f t="shared" si="72"/>
        <v>0.2834890965732087</v>
      </c>
      <c r="X160" s="6">
        <f>-128.4*100000000</f>
        <v>-12840000000</v>
      </c>
      <c r="Y160" s="6" t="str">
        <f t="shared" si="73"/>
        <v>=-12840000000</v>
      </c>
      <c r="Z160" s="1">
        <f>-12840000000</f>
        <v>-12840000000</v>
      </c>
      <c r="AA160" s="8">
        <f t="shared" si="74"/>
        <v>6.7331670822942641E-2</v>
      </c>
      <c r="AB160" s="6">
        <f>-120.3*100000000</f>
        <v>-12030000000</v>
      </c>
      <c r="AC160" s="6" t="str">
        <f t="shared" si="75"/>
        <v>=-12030000000</v>
      </c>
      <c r="AD160" s="1">
        <f>-12030000000</f>
        <v>-12030000000</v>
      </c>
      <c r="AE160" s="8">
        <f t="shared" si="76"/>
        <v>1.1375266524520256</v>
      </c>
      <c r="AF160" s="6">
        <f>-56.28*100000000</f>
        <v>-5628000000</v>
      </c>
      <c r="AG160" s="6" t="str">
        <f t="shared" si="77"/>
        <v>=-5628000000</v>
      </c>
      <c r="AH160" s="1">
        <f>-5628000000</f>
        <v>-5628000000</v>
      </c>
      <c r="AI160" s="8">
        <f t="shared" si="78"/>
        <v>-2.3082287308228731</v>
      </c>
      <c r="AJ160" s="6" t="s">
        <v>2267</v>
      </c>
      <c r="AK160" s="6" t="str">
        <f t="shared" si="79"/>
        <v>=43.02*100000000</v>
      </c>
      <c r="AL160" s="1">
        <f>43.02*100000000</f>
        <v>4302000000</v>
      </c>
      <c r="AM160" s="8">
        <f t="shared" si="80"/>
        <v>-0.29417555373256765</v>
      </c>
      <c r="AN160" s="6" t="s">
        <v>2268</v>
      </c>
      <c r="AO160" s="6" t="str">
        <f t="shared" si="81"/>
        <v>=60.95*100000000</v>
      </c>
      <c r="AP160" s="1">
        <f>60.95*100000000</f>
        <v>6095000000</v>
      </c>
      <c r="AQ160" s="8">
        <f t="shared" si="82"/>
        <v>1.2490774907749078</v>
      </c>
      <c r="AR160" s="6" t="s">
        <v>2269</v>
      </c>
      <c r="AS160" s="6" t="str">
        <f t="shared" si="83"/>
        <v>=27.10*100000000</v>
      </c>
      <c r="AT160" s="1">
        <f>27.1*100000000</f>
        <v>2710000000</v>
      </c>
      <c r="AU160" s="8">
        <f t="shared" si="84"/>
        <v>-5.7391304347826085E-2</v>
      </c>
      <c r="AV160" s="6" t="s">
        <v>2270</v>
      </c>
      <c r="AW160" s="6" t="str">
        <f t="shared" si="85"/>
        <v>=28.75*100000000</v>
      </c>
      <c r="AX160" s="1">
        <f>28.75*100000000</f>
        <v>2875000000</v>
      </c>
      <c r="AY160" s="10">
        <f t="shared" si="86"/>
        <v>-0.25652960951642101</v>
      </c>
      <c r="AZ160" s="6" t="s">
        <v>2271</v>
      </c>
      <c r="BA160" s="6" t="str">
        <f t="shared" si="87"/>
        <v>=38.67*100000000</v>
      </c>
      <c r="BB160" s="1">
        <f>38.67*100000000</f>
        <v>3867000000</v>
      </c>
      <c r="BC160" s="8">
        <f t="shared" si="88"/>
        <v>-0.38706609605325726</v>
      </c>
      <c r="BD160" s="6" t="s">
        <v>2272</v>
      </c>
      <c r="BE160" s="6" t="str">
        <f t="shared" si="89"/>
        <v>=63.09*100000000</v>
      </c>
      <c r="BF160" s="1">
        <f>63.09*100000000</f>
        <v>6309000000</v>
      </c>
      <c r="BG160" s="8">
        <f t="shared" si="90"/>
        <v>0.98959318826868492</v>
      </c>
      <c r="BH160" s="6" t="s">
        <v>151</v>
      </c>
      <c r="BI160" s="6" t="str">
        <f t="shared" si="91"/>
        <v>=31.71*100000000</v>
      </c>
      <c r="BJ160" s="1">
        <f>31.71*100000000</f>
        <v>3171000000</v>
      </c>
      <c r="BK160" s="6" t="s">
        <v>2273</v>
      </c>
      <c r="BL160" s="1" t="str">
        <f t="shared" si="63"/>
        <v>=27.66*100000000</v>
      </c>
      <c r="BM160" s="16">
        <f t="shared" si="92"/>
        <v>0.14642082429501085</v>
      </c>
      <c r="BN160" s="1">
        <f>27.66*100000000</f>
        <v>2766000000</v>
      </c>
    </row>
    <row r="161" spans="1:66">
      <c r="A161" s="19"/>
      <c r="B161">
        <v>600115</v>
      </c>
      <c r="C161" t="s">
        <v>68</v>
      </c>
      <c r="D161" s="6">
        <f>-132.8*100000000</f>
        <v>-13280000000.000002</v>
      </c>
      <c r="E161" s="7" t="str">
        <f t="shared" si="62"/>
        <v>=-13280000000</v>
      </c>
      <c r="F161" s="1">
        <f>-13280000000</f>
        <v>-13280000000</v>
      </c>
      <c r="G161" s="8">
        <f t="shared" si="64"/>
        <v>0.54778554778554778</v>
      </c>
      <c r="H161" s="6">
        <f>-85.8*100000000</f>
        <v>-8580000000</v>
      </c>
      <c r="I161" s="6" t="str">
        <f t="shared" si="65"/>
        <v>=-8580000000</v>
      </c>
      <c r="J161" s="1">
        <f>-8580000000</f>
        <v>-8580000000</v>
      </c>
      <c r="K161" s="10">
        <f t="shared" si="66"/>
        <v>0.58947758429047792</v>
      </c>
      <c r="L161" s="6">
        <f>-53.98*100000000</f>
        <v>-5398000000</v>
      </c>
      <c r="M161" s="6" t="str">
        <f t="shared" si="67"/>
        <v>=-5398000000</v>
      </c>
      <c r="N161" s="1">
        <f>-5398000000</f>
        <v>-5398000000</v>
      </c>
      <c r="O161" s="8">
        <f t="shared" si="68"/>
        <v>0.31242402139557501</v>
      </c>
      <c r="P161" s="6">
        <f>-41.13*100000000</f>
        <v>-4113000000.0000005</v>
      </c>
      <c r="Q161" s="6" t="str">
        <f t="shared" si="69"/>
        <v>=-4113000000</v>
      </c>
      <c r="R161" s="11">
        <f>-4113000000</f>
        <v>-4113000000</v>
      </c>
      <c r="S161" s="8">
        <f t="shared" si="70"/>
        <v>-0.67227091633466141</v>
      </c>
      <c r="T161" s="6">
        <f>-125.5*100000000</f>
        <v>-12550000000</v>
      </c>
      <c r="U161" s="6" t="str">
        <f t="shared" si="71"/>
        <v>=-12550000000</v>
      </c>
      <c r="V161" s="1">
        <f>-12550000000</f>
        <v>-12550000000</v>
      </c>
      <c r="W161" s="8">
        <f t="shared" si="72"/>
        <v>0.29635368247081911</v>
      </c>
      <c r="X161" s="6">
        <f>-96.81*100000000</f>
        <v>-9681000000</v>
      </c>
      <c r="Y161" s="6" t="str">
        <f t="shared" si="73"/>
        <v>=-9681000000</v>
      </c>
      <c r="Z161" s="1">
        <f>-9681000000</f>
        <v>-9681000000</v>
      </c>
      <c r="AA161" s="8">
        <f t="shared" si="74"/>
        <v>6.7129629629629636E-2</v>
      </c>
      <c r="AB161" s="6">
        <f>-90.72*100000000</f>
        <v>-9072000000</v>
      </c>
      <c r="AC161" s="6" t="str">
        <f t="shared" si="75"/>
        <v>=-9072000000</v>
      </c>
      <c r="AD161" s="1">
        <f>-9072000000</f>
        <v>-9072000000</v>
      </c>
      <c r="AE161" s="8">
        <f t="shared" si="76"/>
        <v>1.164638511095204</v>
      </c>
      <c r="AF161" s="6">
        <f>-41.91*100000000</f>
        <v>-4190999999.9999995</v>
      </c>
      <c r="AG161" s="6" t="str">
        <f t="shared" si="77"/>
        <v>=-4191000000</v>
      </c>
      <c r="AH161" s="1">
        <f>-4191000000</f>
        <v>-4191000000</v>
      </c>
      <c r="AI161" s="8">
        <f t="shared" si="78"/>
        <v>-2.2032730404823426</v>
      </c>
      <c r="AJ161" s="6" t="s">
        <v>2274</v>
      </c>
      <c r="AK161" s="6" t="str">
        <f t="shared" si="79"/>
        <v>=34.83*100000000</v>
      </c>
      <c r="AL161" s="1">
        <f>34.83*100000000</f>
        <v>3483000000</v>
      </c>
      <c r="AM161" s="8">
        <f t="shared" si="80"/>
        <v>-0.27149131980757163</v>
      </c>
      <c r="AN161" s="6" t="s">
        <v>2275</v>
      </c>
      <c r="AO161" s="6" t="str">
        <f t="shared" si="81"/>
        <v>=47.81*100000000</v>
      </c>
      <c r="AP161" s="1">
        <f>47.81*100000000</f>
        <v>4781000000</v>
      </c>
      <c r="AQ161" s="8">
        <f t="shared" si="82"/>
        <v>1.2403936269915652</v>
      </c>
      <c r="AR161" s="6" t="s">
        <v>2276</v>
      </c>
      <c r="AS161" s="6" t="str">
        <f t="shared" si="83"/>
        <v>=21.34*100000000</v>
      </c>
      <c r="AT161" s="1">
        <f>21.34*100000000</f>
        <v>2134000000</v>
      </c>
      <c r="AU161" s="8">
        <f t="shared" si="84"/>
        <v>-1.6589861751152075E-2</v>
      </c>
      <c r="AV161" s="6" t="s">
        <v>2277</v>
      </c>
      <c r="AW161" s="6" t="str">
        <f t="shared" si="85"/>
        <v>=21.70*100000000</v>
      </c>
      <c r="AX161" s="1">
        <f>21.7*100000000</f>
        <v>2170000000</v>
      </c>
      <c r="AY161" s="10">
        <f t="shared" si="86"/>
        <v>-0.26215572934376064</v>
      </c>
      <c r="AZ161" s="6" t="s">
        <v>2278</v>
      </c>
      <c r="BA161" s="6" t="str">
        <f t="shared" si="87"/>
        <v>=29.41*100000000</v>
      </c>
      <c r="BB161" s="1">
        <f>29.41*100000000</f>
        <v>2941000000</v>
      </c>
      <c r="BC161" s="8">
        <f t="shared" si="88"/>
        <v>-0.4044147428108546</v>
      </c>
      <c r="BD161" s="6" t="s">
        <v>1547</v>
      </c>
      <c r="BE161" s="6" t="str">
        <f t="shared" si="89"/>
        <v>=49.38*100000000</v>
      </c>
      <c r="BF161" s="1">
        <f>49.38*100000000</f>
        <v>4938000000</v>
      </c>
      <c r="BG161" s="8">
        <f t="shared" si="90"/>
        <v>0.97047086991221065</v>
      </c>
      <c r="BH161" s="6" t="s">
        <v>2279</v>
      </c>
      <c r="BI161" s="6" t="str">
        <f t="shared" si="91"/>
        <v>=25.06*100000000</v>
      </c>
      <c r="BJ161" s="1">
        <f>25.06*100000000</f>
        <v>2506000000</v>
      </c>
      <c r="BK161" s="6" t="s">
        <v>2280</v>
      </c>
      <c r="BL161" s="1" t="str">
        <f t="shared" si="63"/>
        <v>=21.58*100000000</v>
      </c>
      <c r="BM161" s="16">
        <f t="shared" si="92"/>
        <v>0.16126042632066728</v>
      </c>
      <c r="BN161" s="1">
        <f>21.58*100000000</f>
        <v>2158000000</v>
      </c>
    </row>
    <row r="162" spans="1:66">
      <c r="A162" s="17">
        <v>41</v>
      </c>
      <c r="B162">
        <v>600118</v>
      </c>
      <c r="C162" t="s">
        <v>31</v>
      </c>
      <c r="D162" s="6" t="s">
        <v>2281</v>
      </c>
      <c r="E162" s="7" t="str">
        <f t="shared" si="62"/>
        <v>=70.59*100000000</v>
      </c>
      <c r="F162" s="1">
        <f>70.59*100000000</f>
        <v>7059000000</v>
      </c>
      <c r="G162" s="8">
        <f t="shared" si="64"/>
        <v>0.65859962406015038</v>
      </c>
      <c r="H162" s="6" t="s">
        <v>2282</v>
      </c>
      <c r="I162" s="6" t="str">
        <f t="shared" si="65"/>
        <v>=42.56*100000000</v>
      </c>
      <c r="J162" s="1">
        <f>42.56*100000000</f>
        <v>4256000000</v>
      </c>
      <c r="K162" s="10">
        <f t="shared" si="66"/>
        <v>0.39130434782608697</v>
      </c>
      <c r="L162" s="6" t="s">
        <v>1102</v>
      </c>
      <c r="M162" s="6" t="str">
        <f t="shared" si="67"/>
        <v>=30.59*100000000</v>
      </c>
      <c r="N162" s="1">
        <f>30.59*100000000</f>
        <v>3059000000</v>
      </c>
      <c r="O162" s="8">
        <f t="shared" si="68"/>
        <v>1.2542372881355932</v>
      </c>
      <c r="P162" s="6" t="s">
        <v>2283</v>
      </c>
      <c r="Q162" s="6" t="str">
        <f t="shared" si="69"/>
        <v>=13.57*100000000</v>
      </c>
      <c r="R162" s="11">
        <f>13.57*100000000</f>
        <v>1357000000</v>
      </c>
      <c r="S162" s="8">
        <f t="shared" si="70"/>
        <v>-0.80633652062223493</v>
      </c>
      <c r="T162" s="6" t="s">
        <v>2284</v>
      </c>
      <c r="U162" s="6" t="str">
        <f t="shared" si="71"/>
        <v>=70.07*100000000</v>
      </c>
      <c r="V162" s="1">
        <f>70.07*100000000</f>
        <v>7006999999.999999</v>
      </c>
      <c r="W162" s="8">
        <f t="shared" si="72"/>
        <v>0.60563703024747917</v>
      </c>
      <c r="X162" s="6" t="s">
        <v>2285</v>
      </c>
      <c r="Y162" s="6" t="str">
        <f t="shared" si="73"/>
        <v>=43.64*100000000</v>
      </c>
      <c r="Z162" s="1">
        <f>43.64*100000000</f>
        <v>4364000000</v>
      </c>
      <c r="AA162" s="8">
        <f t="shared" si="74"/>
        <v>0.5967800951335529</v>
      </c>
      <c r="AB162" s="6" t="s">
        <v>2286</v>
      </c>
      <c r="AC162" s="6" t="str">
        <f t="shared" si="75"/>
        <v>=27.33*100000000</v>
      </c>
      <c r="AD162" s="1">
        <f>27.33*100000000</f>
        <v>2733000000</v>
      </c>
      <c r="AE162" s="8">
        <f t="shared" si="76"/>
        <v>1.4621621621621621</v>
      </c>
      <c r="AF162" s="6" t="s">
        <v>2287</v>
      </c>
      <c r="AG162" s="6" t="str">
        <f t="shared" si="77"/>
        <v>=11.10*100000000</v>
      </c>
      <c r="AH162" s="1">
        <f>11.1*100000000</f>
        <v>1110000000</v>
      </c>
      <c r="AI162" s="8">
        <f t="shared" si="78"/>
        <v>-0.82825313321986693</v>
      </c>
      <c r="AJ162" s="6" t="s">
        <v>2288</v>
      </c>
      <c r="AK162" s="6" t="str">
        <f t="shared" si="79"/>
        <v>=64.63*100000000</v>
      </c>
      <c r="AL162" s="1">
        <f>64.63*100000000</f>
        <v>6463000000</v>
      </c>
      <c r="AM162" s="8">
        <f t="shared" si="80"/>
        <v>0.47120418848167539</v>
      </c>
      <c r="AN162" s="6" t="s">
        <v>2289</v>
      </c>
      <c r="AO162" s="6" t="str">
        <f t="shared" si="81"/>
        <v>=43.93*100000000</v>
      </c>
      <c r="AP162" s="1">
        <f>43.93*100000000</f>
        <v>4393000000</v>
      </c>
      <c r="AQ162" s="8">
        <f t="shared" si="82"/>
        <v>0.39949028352978655</v>
      </c>
      <c r="AR162" s="6" t="s">
        <v>2290</v>
      </c>
      <c r="AS162" s="6" t="str">
        <f t="shared" si="83"/>
        <v>=31.39*100000000</v>
      </c>
      <c r="AT162" s="1">
        <f>31.39*100000000</f>
        <v>3139000000</v>
      </c>
      <c r="AU162" s="8">
        <f t="shared" si="84"/>
        <v>1.3583771600300525</v>
      </c>
      <c r="AV162" s="6" t="s">
        <v>2291</v>
      </c>
      <c r="AW162" s="6" t="str">
        <f t="shared" si="85"/>
        <v>=13.31*100000000</v>
      </c>
      <c r="AX162" s="1">
        <f>13.31*100000000</f>
        <v>1331000000</v>
      </c>
      <c r="AY162" s="10">
        <f t="shared" si="86"/>
        <v>-0.82447580113411578</v>
      </c>
      <c r="AZ162" s="6" t="s">
        <v>2292</v>
      </c>
      <c r="BA162" s="6" t="str">
        <f t="shared" si="87"/>
        <v>=75.83*100000000</v>
      </c>
      <c r="BB162" s="1">
        <f>75.83*100000000</f>
        <v>7583000000</v>
      </c>
      <c r="BC162" s="8">
        <f t="shared" si="88"/>
        <v>0.67247463608292901</v>
      </c>
      <c r="BD162" s="6" t="s">
        <v>2293</v>
      </c>
      <c r="BE162" s="6" t="str">
        <f t="shared" si="89"/>
        <v>=45.34*100000000</v>
      </c>
      <c r="BF162" s="1">
        <f>45.34*100000000</f>
        <v>4534000000</v>
      </c>
      <c r="BG162" s="8">
        <f t="shared" si="90"/>
        <v>0.41202117720336345</v>
      </c>
      <c r="BH162" s="6" t="s">
        <v>2294</v>
      </c>
      <c r="BI162" s="6" t="str">
        <f t="shared" si="91"/>
        <v>=32.11*100000000</v>
      </c>
      <c r="BJ162" s="1">
        <f>32.11*100000000</f>
        <v>3211000000</v>
      </c>
      <c r="BK162" s="6" t="s">
        <v>1106</v>
      </c>
      <c r="BL162" s="1" t="str">
        <f t="shared" si="63"/>
        <v>=12.74*100000000</v>
      </c>
      <c r="BM162" s="16">
        <f t="shared" si="92"/>
        <v>1.5204081632653061</v>
      </c>
      <c r="BN162" s="1">
        <f>12.74*100000000</f>
        <v>1274000000</v>
      </c>
    </row>
    <row r="163" spans="1:66">
      <c r="A163" s="18"/>
      <c r="B163">
        <v>600118</v>
      </c>
      <c r="C163" t="s">
        <v>48</v>
      </c>
      <c r="D163" s="6" t="s">
        <v>2295</v>
      </c>
      <c r="E163" s="7" t="str">
        <f t="shared" si="62"/>
        <v>=3.423*100000000</v>
      </c>
      <c r="F163" s="1">
        <f>3.423*100000000</f>
        <v>342300000</v>
      </c>
      <c r="G163" s="8">
        <f t="shared" si="64"/>
        <v>0.25109649122807015</v>
      </c>
      <c r="H163" s="6" t="s">
        <v>2296</v>
      </c>
      <c r="I163" s="6" t="str">
        <f t="shared" si="65"/>
        <v>=2.736*100000000</v>
      </c>
      <c r="J163" s="1">
        <f>2.736*100000000</f>
        <v>273600000</v>
      </c>
      <c r="K163" s="10">
        <f t="shared" si="66"/>
        <v>0.49019607843137253</v>
      </c>
      <c r="L163" s="6" t="s">
        <v>2297</v>
      </c>
      <c r="M163" s="6" t="str">
        <f t="shared" si="67"/>
        <v>=1.836*100000000</v>
      </c>
      <c r="N163" s="1">
        <f>1.836*100000000</f>
        <v>183600000</v>
      </c>
      <c r="O163" s="8">
        <f t="shared" si="68"/>
        <v>1.288991397581349</v>
      </c>
      <c r="P163" s="7" t="s">
        <v>1306</v>
      </c>
      <c r="Q163" s="6" t="str">
        <f t="shared" si="69"/>
        <v>=8021*10000</v>
      </c>
      <c r="R163" s="11">
        <f>8021*10000</f>
        <v>80210000</v>
      </c>
      <c r="S163" s="8">
        <f t="shared" si="70"/>
        <v>-0.83188010899182563</v>
      </c>
      <c r="T163" s="6" t="s">
        <v>2298</v>
      </c>
      <c r="U163" s="6" t="str">
        <f t="shared" si="71"/>
        <v>=4.771*100000000</v>
      </c>
      <c r="V163" s="1">
        <f>4.771*100000000</f>
        <v>477100000</v>
      </c>
      <c r="W163" s="8">
        <f t="shared" si="72"/>
        <v>0.52671999999999997</v>
      </c>
      <c r="X163" s="6" t="s">
        <v>2299</v>
      </c>
      <c r="Y163" s="6" t="str">
        <f t="shared" si="73"/>
        <v>=3.125*100000000</v>
      </c>
      <c r="Z163" s="1">
        <f>3.125*100000000</f>
        <v>312500000</v>
      </c>
      <c r="AA163" s="8">
        <f t="shared" si="74"/>
        <v>0.72938572219147757</v>
      </c>
      <c r="AB163" s="6" t="s">
        <v>2300</v>
      </c>
      <c r="AC163" s="6" t="str">
        <f t="shared" si="75"/>
        <v>=1.807*100000000</v>
      </c>
      <c r="AD163" s="1">
        <f>1.807*100000000</f>
        <v>180700000</v>
      </c>
      <c r="AE163" s="8">
        <f t="shared" si="76"/>
        <v>1.8673437004125675</v>
      </c>
      <c r="AF163" s="7" t="s">
        <v>2301</v>
      </c>
      <c r="AG163" s="6" t="str">
        <f t="shared" si="77"/>
        <v>=6302*10000</v>
      </c>
      <c r="AH163" s="1">
        <f>6302*10000</f>
        <v>63020000</v>
      </c>
      <c r="AI163" s="8">
        <f t="shared" si="78"/>
        <v>-0.84766739182982831</v>
      </c>
      <c r="AJ163" s="6" t="s">
        <v>1578</v>
      </c>
      <c r="AK163" s="6" t="str">
        <f t="shared" si="79"/>
        <v>=4.137*100000000</v>
      </c>
      <c r="AL163" s="1">
        <f>4.137*100000000</f>
        <v>413699999.99999994</v>
      </c>
      <c r="AM163" s="8">
        <f t="shared" si="80"/>
        <v>0.30381342578001874</v>
      </c>
      <c r="AN163" s="6" t="s">
        <v>2302</v>
      </c>
      <c r="AO163" s="6" t="str">
        <f t="shared" si="81"/>
        <v>=3.173*100000000</v>
      </c>
      <c r="AP163" s="1">
        <f>3.173*100000000</f>
        <v>317300000</v>
      </c>
      <c r="AQ163" s="8">
        <f t="shared" si="82"/>
        <v>0.39166666666666683</v>
      </c>
      <c r="AR163" s="6" t="s">
        <v>2303</v>
      </c>
      <c r="AS163" s="6" t="str">
        <f t="shared" si="83"/>
        <v>=2.280*100000000</v>
      </c>
      <c r="AT163" s="1">
        <f>2.28*100000000</f>
        <v>227999999.99999997</v>
      </c>
      <c r="AU163" s="8">
        <f t="shared" si="84"/>
        <v>1.6905829596412552</v>
      </c>
      <c r="AV163" s="7" t="s">
        <v>2304</v>
      </c>
      <c r="AW163" s="6" t="str">
        <f t="shared" si="85"/>
        <v>=8474*10000</v>
      </c>
      <c r="AX163" s="1">
        <f>8474*10000</f>
        <v>84740000</v>
      </c>
      <c r="AY163" s="10">
        <f t="shared" si="86"/>
        <v>-0.84017351942663143</v>
      </c>
      <c r="AZ163" s="6" t="s">
        <v>2305</v>
      </c>
      <c r="BA163" s="6" t="str">
        <f t="shared" si="87"/>
        <v>=5.302*100000000</v>
      </c>
      <c r="BB163" s="1">
        <f>5.302*100000000</f>
        <v>530199999.99999994</v>
      </c>
      <c r="BC163" s="8">
        <f t="shared" si="88"/>
        <v>0.59314903846153832</v>
      </c>
      <c r="BD163" s="6" t="s">
        <v>2306</v>
      </c>
      <c r="BE163" s="6" t="str">
        <f t="shared" si="89"/>
        <v>=3.328*100000000</v>
      </c>
      <c r="BF163" s="1">
        <f>3.328*100000000</f>
        <v>332800000</v>
      </c>
      <c r="BG163" s="8">
        <f t="shared" si="90"/>
        <v>0.47517730496453919</v>
      </c>
      <c r="BH163" s="6" t="s">
        <v>2307</v>
      </c>
      <c r="BI163" s="6" t="str">
        <f t="shared" si="91"/>
        <v>=2.256*100000000</v>
      </c>
      <c r="BJ163" s="1">
        <f>2.256*100000000</f>
        <v>225599999.99999997</v>
      </c>
      <c r="BK163" s="7" t="s">
        <v>2308</v>
      </c>
      <c r="BL163" s="1" t="str">
        <f t="shared" si="63"/>
        <v>=8318*10000</v>
      </c>
      <c r="BM163" s="16">
        <f t="shared" si="92"/>
        <v>1.7121904303919209</v>
      </c>
      <c r="BN163" s="1">
        <f>8318*10000</f>
        <v>83180000</v>
      </c>
    </row>
    <row r="164" spans="1:66">
      <c r="A164" s="18"/>
      <c r="B164">
        <v>600118</v>
      </c>
      <c r="C164" t="s">
        <v>58</v>
      </c>
      <c r="D164" s="6" t="s">
        <v>2309</v>
      </c>
      <c r="E164" s="7" t="str">
        <f t="shared" si="62"/>
        <v>=3.412*100000000</v>
      </c>
      <c r="F164" s="1">
        <f>3.412*100000000</f>
        <v>341200000</v>
      </c>
      <c r="G164" s="8">
        <f t="shared" si="64"/>
        <v>0.24844493230881814</v>
      </c>
      <c r="H164" s="6" t="s">
        <v>2310</v>
      </c>
      <c r="I164" s="6" t="str">
        <f t="shared" si="65"/>
        <v>=2.733*100000000</v>
      </c>
      <c r="J164" s="1">
        <f>2.733*100000000</f>
        <v>273300000</v>
      </c>
      <c r="K164" s="10">
        <f t="shared" si="66"/>
        <v>0.49018538713195203</v>
      </c>
      <c r="L164" s="6" t="s">
        <v>2311</v>
      </c>
      <c r="M164" s="6" t="str">
        <f t="shared" si="67"/>
        <v>=1.834*100000000</v>
      </c>
      <c r="N164" s="1">
        <f>1.834*100000000</f>
        <v>183400000</v>
      </c>
      <c r="O164" s="8">
        <f t="shared" si="68"/>
        <v>1.2962313759859772</v>
      </c>
      <c r="P164" s="7" t="s">
        <v>2312</v>
      </c>
      <c r="Q164" s="6" t="str">
        <f t="shared" si="69"/>
        <v>=7987*10000</v>
      </c>
      <c r="R164" s="11">
        <f>7987*10000</f>
        <v>79870000</v>
      </c>
      <c r="S164" s="8">
        <f t="shared" si="70"/>
        <v>-0.83255765199161424</v>
      </c>
      <c r="T164" s="6" t="s">
        <v>2313</v>
      </c>
      <c r="U164" s="6" t="str">
        <f t="shared" si="71"/>
        <v>=4.770*100000000</v>
      </c>
      <c r="V164" s="1">
        <f>4.77*100000000</f>
        <v>476999999.99999994</v>
      </c>
      <c r="W164" s="8">
        <f t="shared" si="72"/>
        <v>0.5229885057471263</v>
      </c>
      <c r="X164" s="6" t="s">
        <v>2314</v>
      </c>
      <c r="Y164" s="6" t="str">
        <f t="shared" si="73"/>
        <v>=3.132*100000000</v>
      </c>
      <c r="Z164" s="1">
        <f>3.132*100000000</f>
        <v>313200000</v>
      </c>
      <c r="AA164" s="8">
        <f t="shared" si="74"/>
        <v>0.72561983471074376</v>
      </c>
      <c r="AB164" s="6" t="s">
        <v>2222</v>
      </c>
      <c r="AC164" s="6" t="str">
        <f t="shared" si="75"/>
        <v>=1.815*100000000</v>
      </c>
      <c r="AD164" s="1">
        <f>1.815*100000000</f>
        <v>181500000</v>
      </c>
      <c r="AE164" s="8">
        <f t="shared" si="76"/>
        <v>1.8240236502256106</v>
      </c>
      <c r="AF164" s="7" t="s">
        <v>2315</v>
      </c>
      <c r="AG164" s="6" t="str">
        <f t="shared" si="77"/>
        <v>=6427*10000</v>
      </c>
      <c r="AH164" s="1">
        <f>6427*10000</f>
        <v>64270000</v>
      </c>
      <c r="AI164" s="8">
        <f t="shared" si="78"/>
        <v>-0.84516983859311012</v>
      </c>
      <c r="AJ164" s="6" t="s">
        <v>2316</v>
      </c>
      <c r="AK164" s="6" t="str">
        <f t="shared" si="79"/>
        <v>=4.151*100000000</v>
      </c>
      <c r="AL164" s="1">
        <f>4.151*100000000</f>
        <v>415100000</v>
      </c>
      <c r="AM164" s="8">
        <f t="shared" si="80"/>
        <v>0.30003131850923898</v>
      </c>
      <c r="AN164" s="6" t="s">
        <v>2317</v>
      </c>
      <c r="AO164" s="6" t="str">
        <f t="shared" si="81"/>
        <v>=3.193*100000000</v>
      </c>
      <c r="AP164" s="1">
        <f>3.193*100000000</f>
        <v>319300000</v>
      </c>
      <c r="AQ164" s="8">
        <f t="shared" si="82"/>
        <v>0.38946910356832026</v>
      </c>
      <c r="AR164" s="6" t="s">
        <v>2318</v>
      </c>
      <c r="AS164" s="6" t="str">
        <f t="shared" si="83"/>
        <v>=2.298*100000000</v>
      </c>
      <c r="AT164" s="1">
        <f>2.298*100000000</f>
        <v>229800000</v>
      </c>
      <c r="AU164" s="8">
        <f t="shared" si="84"/>
        <v>1.6758267349790406</v>
      </c>
      <c r="AV164" s="7" t="s">
        <v>2319</v>
      </c>
      <c r="AW164" s="6" t="str">
        <f t="shared" si="85"/>
        <v>=8588*10000</v>
      </c>
      <c r="AX164" s="1">
        <f>8588*10000</f>
        <v>85880000</v>
      </c>
      <c r="AY164" s="10">
        <f t="shared" si="86"/>
        <v>-0.83854107915021625</v>
      </c>
      <c r="AZ164" s="6" t="s">
        <v>1690</v>
      </c>
      <c r="BA164" s="6" t="str">
        <f t="shared" si="87"/>
        <v>=5.319*100000000</v>
      </c>
      <c r="BB164" s="1">
        <f>5.319*100000000</f>
        <v>531900000</v>
      </c>
      <c r="BC164" s="8">
        <f t="shared" si="88"/>
        <v>0.59156193895870735</v>
      </c>
      <c r="BD164" s="6" t="s">
        <v>2320</v>
      </c>
      <c r="BE164" s="6" t="str">
        <f t="shared" si="89"/>
        <v>=3.342*100000000</v>
      </c>
      <c r="BF164" s="1">
        <f>3.342*100000000</f>
        <v>334200000</v>
      </c>
      <c r="BG164" s="8">
        <f t="shared" si="90"/>
        <v>0.47289554869986777</v>
      </c>
      <c r="BH164" s="6" t="s">
        <v>2321</v>
      </c>
      <c r="BI164" s="6" t="str">
        <f t="shared" si="91"/>
        <v>=2.269*100000000</v>
      </c>
      <c r="BJ164" s="1">
        <f>2.269*100000000</f>
        <v>226900000</v>
      </c>
      <c r="BK164" s="7" t="s">
        <v>2322</v>
      </c>
      <c r="BL164" s="1" t="str">
        <f t="shared" si="63"/>
        <v>=8400*10000</v>
      </c>
      <c r="BM164" s="16">
        <f t="shared" si="92"/>
        <v>1.7011904761904761</v>
      </c>
      <c r="BN164" s="1">
        <f>8400*10000</f>
        <v>84000000</v>
      </c>
    </row>
    <row r="165" spans="1:66">
      <c r="A165" s="19"/>
      <c r="B165">
        <v>600118</v>
      </c>
      <c r="C165" t="s">
        <v>68</v>
      </c>
      <c r="D165" s="6" t="s">
        <v>2323</v>
      </c>
      <c r="E165" s="7" t="str">
        <f t="shared" si="62"/>
        <v>=3.203*100000000</v>
      </c>
      <c r="F165" s="1">
        <f>3.203*100000000</f>
        <v>320300000</v>
      </c>
      <c r="G165" s="8">
        <f t="shared" si="64"/>
        <v>0.23097617217524979</v>
      </c>
      <c r="H165" s="6" t="s">
        <v>2324</v>
      </c>
      <c r="I165" s="6" t="str">
        <f t="shared" si="65"/>
        <v>=2.602*100000000</v>
      </c>
      <c r="J165" s="1">
        <f>2.602*100000000</f>
        <v>260200000</v>
      </c>
      <c r="K165" s="10">
        <f t="shared" si="66"/>
        <v>0.41106290672451196</v>
      </c>
      <c r="L165" s="6" t="s">
        <v>2325</v>
      </c>
      <c r="M165" s="6" t="str">
        <f t="shared" si="67"/>
        <v>=1.844*100000000</v>
      </c>
      <c r="N165" s="1">
        <f>1.844*100000000</f>
        <v>184400000</v>
      </c>
      <c r="O165" s="8">
        <f t="shared" si="68"/>
        <v>1.7354991840973149</v>
      </c>
      <c r="P165" s="7" t="s">
        <v>2326</v>
      </c>
      <c r="Q165" s="6" t="str">
        <f t="shared" si="69"/>
        <v>=6741*10000</v>
      </c>
      <c r="R165" s="11">
        <f>6741*10000</f>
        <v>67410000</v>
      </c>
      <c r="S165" s="8">
        <f t="shared" si="70"/>
        <v>-0.84194607268464239</v>
      </c>
      <c r="T165" s="6" t="s">
        <v>2327</v>
      </c>
      <c r="U165" s="6" t="str">
        <f t="shared" si="71"/>
        <v>=4.265*100000000</v>
      </c>
      <c r="V165" s="1">
        <f>4.265*100000000</f>
        <v>426499999.99999994</v>
      </c>
      <c r="W165" s="8">
        <f t="shared" si="72"/>
        <v>0.47987508674531554</v>
      </c>
      <c r="X165" s="6" t="s">
        <v>2328</v>
      </c>
      <c r="Y165" s="6" t="str">
        <f t="shared" si="73"/>
        <v>=2.882*100000000</v>
      </c>
      <c r="Z165" s="1">
        <f>2.882*100000000</f>
        <v>288200000</v>
      </c>
      <c r="AA165" s="8">
        <f t="shared" si="74"/>
        <v>0.64968517458500286</v>
      </c>
      <c r="AB165" s="6" t="s">
        <v>2329</v>
      </c>
      <c r="AC165" s="6" t="str">
        <f t="shared" si="75"/>
        <v>=1.747*100000000</v>
      </c>
      <c r="AD165" s="1">
        <f>1.747*100000000</f>
        <v>174700000</v>
      </c>
      <c r="AE165" s="8">
        <f t="shared" si="76"/>
        <v>2.3187689969604861</v>
      </c>
      <c r="AF165" s="7" t="s">
        <v>2330</v>
      </c>
      <c r="AG165" s="6" t="str">
        <f t="shared" si="77"/>
        <v>=5264*10000</v>
      </c>
      <c r="AH165" s="1">
        <f>5264*10000</f>
        <v>52640000</v>
      </c>
      <c r="AI165" s="8">
        <f t="shared" si="78"/>
        <v>-0.8626304801670146</v>
      </c>
      <c r="AJ165" s="6" t="s">
        <v>2331</v>
      </c>
      <c r="AK165" s="6" t="str">
        <f t="shared" si="79"/>
        <v>=3.832*100000000</v>
      </c>
      <c r="AL165" s="1">
        <f>3.832*100000000</f>
        <v>383200000</v>
      </c>
      <c r="AM165" s="8">
        <f t="shared" si="80"/>
        <v>0.27393617021276595</v>
      </c>
      <c r="AN165" s="6" t="s">
        <v>2332</v>
      </c>
      <c r="AO165" s="6" t="str">
        <f t="shared" si="81"/>
        <v>=3.008*100000000</v>
      </c>
      <c r="AP165" s="1">
        <f>3.008*100000000</f>
        <v>300800000</v>
      </c>
      <c r="AQ165" s="8">
        <f t="shared" si="82"/>
        <v>0.45384243595940066</v>
      </c>
      <c r="AR165" s="6" t="s">
        <v>2333</v>
      </c>
      <c r="AS165" s="6" t="str">
        <f t="shared" si="83"/>
        <v>=2.069*100000000</v>
      </c>
      <c r="AT165" s="1">
        <f>2.069*100000000</f>
        <v>206900000</v>
      </c>
      <c r="AU165" s="8">
        <f t="shared" si="84"/>
        <v>1.8933016361348063</v>
      </c>
      <c r="AV165" s="7" t="s">
        <v>2334</v>
      </c>
      <c r="AW165" s="6" t="str">
        <f t="shared" si="85"/>
        <v>=7151*10000</v>
      </c>
      <c r="AX165" s="1">
        <f>7151*10000</f>
        <v>71510000</v>
      </c>
      <c r="AY165" s="10">
        <f t="shared" si="86"/>
        <v>-0.84755915583031338</v>
      </c>
      <c r="AZ165" s="6" t="s">
        <v>2335</v>
      </c>
      <c r="BA165" s="6" t="str">
        <f t="shared" si="87"/>
        <v>=4.691*100000000</v>
      </c>
      <c r="BB165" s="1">
        <f>4.691*100000000</f>
        <v>469100000</v>
      </c>
      <c r="BC165" s="8">
        <f t="shared" si="88"/>
        <v>0.63734729493891795</v>
      </c>
      <c r="BD165" s="6" t="s">
        <v>2336</v>
      </c>
      <c r="BE165" s="6" t="str">
        <f t="shared" si="89"/>
        <v>=2.865*100000000</v>
      </c>
      <c r="BF165" s="1">
        <f>2.865*100000000</f>
        <v>286500000</v>
      </c>
      <c r="BG165" s="8">
        <f t="shared" si="90"/>
        <v>0.456532791052364</v>
      </c>
      <c r="BH165" s="6" t="s">
        <v>2337</v>
      </c>
      <c r="BI165" s="6" t="str">
        <f t="shared" si="91"/>
        <v>=1.967*100000000</v>
      </c>
      <c r="BJ165" s="1">
        <f>1.967*100000000</f>
        <v>196700000</v>
      </c>
      <c r="BK165" s="7" t="s">
        <v>2338</v>
      </c>
      <c r="BL165" s="1" t="str">
        <f t="shared" si="63"/>
        <v>=6764*10000</v>
      </c>
      <c r="BM165" s="16">
        <f t="shared" si="92"/>
        <v>1.9080425783560024</v>
      </c>
      <c r="BN165" s="1">
        <f>6764*10000</f>
        <v>67640000</v>
      </c>
    </row>
    <row r="166" spans="1:66">
      <c r="A166" s="17">
        <v>42</v>
      </c>
      <c r="B166">
        <v>600125</v>
      </c>
      <c r="C166" t="s">
        <v>31</v>
      </c>
      <c r="D166" s="6" t="s">
        <v>2339</v>
      </c>
      <c r="E166" s="7" t="str">
        <f t="shared" si="62"/>
        <v>=178.9*100000000</v>
      </c>
      <c r="F166" s="1">
        <f>178.9*100000000</f>
        <v>17890000000</v>
      </c>
      <c r="G166" s="8">
        <f t="shared" si="64"/>
        <v>0.29450072358900165</v>
      </c>
      <c r="H166" s="6" t="s">
        <v>2340</v>
      </c>
      <c r="I166" s="6" t="str">
        <f t="shared" si="65"/>
        <v>=138.2*100000000</v>
      </c>
      <c r="J166" s="1">
        <f>138.2*100000000</f>
        <v>13819999999.999998</v>
      </c>
      <c r="K166" s="10">
        <f t="shared" si="66"/>
        <v>0.52320070538961738</v>
      </c>
      <c r="L166" s="6" t="s">
        <v>2341</v>
      </c>
      <c r="M166" s="6" t="str">
        <f t="shared" si="67"/>
        <v>=90.73*100000000</v>
      </c>
      <c r="N166" s="1">
        <f>90.73*100000000</f>
        <v>9073000000</v>
      </c>
      <c r="O166" s="8">
        <f t="shared" si="68"/>
        <v>1.0997454292987734</v>
      </c>
      <c r="P166" s="6" t="s">
        <v>2342</v>
      </c>
      <c r="Q166" s="6" t="str">
        <f t="shared" si="69"/>
        <v>=43.21*100000000</v>
      </c>
      <c r="R166" s="11">
        <f>43.21*100000000</f>
        <v>4321000000</v>
      </c>
      <c r="S166" s="8">
        <f t="shared" si="70"/>
        <v>-0.71516150296638092</v>
      </c>
      <c r="T166" s="6" t="s">
        <v>2343</v>
      </c>
      <c r="U166" s="6" t="str">
        <f t="shared" si="71"/>
        <v>=151.7*100000000</v>
      </c>
      <c r="V166" s="1">
        <f>151.7*100000000</f>
        <v>15169999999.999998</v>
      </c>
      <c r="W166" s="8">
        <f t="shared" si="72"/>
        <v>6.9816643159379133E-2</v>
      </c>
      <c r="X166" s="6" t="s">
        <v>2344</v>
      </c>
      <c r="Y166" s="6" t="str">
        <f t="shared" si="73"/>
        <v>=141.8*100000000</v>
      </c>
      <c r="Z166" s="1">
        <f>141.8*100000000</f>
        <v>14180000000.000002</v>
      </c>
      <c r="AA166" s="8">
        <f t="shared" si="74"/>
        <v>0.61356395084205761</v>
      </c>
      <c r="AB166" s="6" t="s">
        <v>2345</v>
      </c>
      <c r="AC166" s="6" t="str">
        <f t="shared" si="75"/>
        <v>=87.88*100000000</v>
      </c>
      <c r="AD166" s="1">
        <f>87.88*100000000</f>
        <v>8788000000</v>
      </c>
      <c r="AE166" s="8">
        <f t="shared" si="76"/>
        <v>1.0795078088026502</v>
      </c>
      <c r="AF166" s="6" t="s">
        <v>2346</v>
      </c>
      <c r="AG166" s="6" t="str">
        <f t="shared" si="77"/>
        <v>=42.26*100000000</v>
      </c>
      <c r="AH166" s="1">
        <f>42.26*100000000</f>
        <v>4226000000</v>
      </c>
      <c r="AI166" s="8">
        <f t="shared" si="78"/>
        <v>-0.74184483811850943</v>
      </c>
      <c r="AJ166" s="6" t="s">
        <v>2347</v>
      </c>
      <c r="AK166" s="6" t="str">
        <f t="shared" si="79"/>
        <v>=163.7*100000000</v>
      </c>
      <c r="AL166" s="1">
        <f>163.7*100000000</f>
        <v>16369999999.999998</v>
      </c>
      <c r="AM166" s="8">
        <f t="shared" si="80"/>
        <v>0.35513245033112567</v>
      </c>
      <c r="AN166" s="6" t="s">
        <v>1170</v>
      </c>
      <c r="AO166" s="6" t="str">
        <f t="shared" si="81"/>
        <v>=120.8*100000000</v>
      </c>
      <c r="AP166" s="1">
        <f>120.8*100000000</f>
        <v>12080000000</v>
      </c>
      <c r="AQ166" s="8">
        <f t="shared" si="82"/>
        <v>0.55449749067044163</v>
      </c>
      <c r="AR166" s="6" t="s">
        <v>2348</v>
      </c>
      <c r="AS166" s="6" t="str">
        <f t="shared" si="83"/>
        <v>=77.71*100000000</v>
      </c>
      <c r="AT166" s="1">
        <f>77.71*100000000</f>
        <v>7770999999.999999</v>
      </c>
      <c r="AU166" s="8">
        <f t="shared" si="84"/>
        <v>1.2835733176608872</v>
      </c>
      <c r="AV166" s="6" t="s">
        <v>2349</v>
      </c>
      <c r="AW166" s="6" t="str">
        <f t="shared" si="85"/>
        <v>=34.03*100000000</v>
      </c>
      <c r="AX166" s="1">
        <f>34.03*100000000</f>
        <v>3403000000</v>
      </c>
      <c r="AY166" s="10">
        <f t="shared" si="86"/>
        <v>-0.78241687979539642</v>
      </c>
      <c r="AZ166" s="6" t="s">
        <v>2350</v>
      </c>
      <c r="BA166" s="6" t="str">
        <f t="shared" si="87"/>
        <v>=156.4*100000000</v>
      </c>
      <c r="BB166" s="1">
        <f>156.4*100000000</f>
        <v>15640000000</v>
      </c>
      <c r="BC166" s="8">
        <f t="shared" si="88"/>
        <v>0.29900332225913623</v>
      </c>
      <c r="BD166" s="6" t="s">
        <v>509</v>
      </c>
      <c r="BE166" s="6" t="str">
        <f t="shared" si="89"/>
        <v>=120.4*100000000</v>
      </c>
      <c r="BF166" s="1">
        <f>120.4*100000000</f>
        <v>12040000000</v>
      </c>
      <c r="BG166" s="8">
        <f t="shared" si="90"/>
        <v>0.56934306569343063</v>
      </c>
      <c r="BH166" s="6" t="s">
        <v>2351</v>
      </c>
      <c r="BI166" s="6" t="str">
        <f t="shared" si="91"/>
        <v>=76.72*100000000</v>
      </c>
      <c r="BJ166" s="1">
        <f>76.72*100000000</f>
        <v>7672000000</v>
      </c>
      <c r="BK166" s="6" t="s">
        <v>2352</v>
      </c>
      <c r="BL166" s="1" t="str">
        <f t="shared" si="63"/>
        <v>=28.83*100000000</v>
      </c>
      <c r="BM166" s="16">
        <f t="shared" si="92"/>
        <v>1.6611168921262573</v>
      </c>
      <c r="BN166" s="1">
        <f>28.83*100000000</f>
        <v>2883000000</v>
      </c>
    </row>
    <row r="167" spans="1:66">
      <c r="A167" s="18"/>
      <c r="B167">
        <v>600125</v>
      </c>
      <c r="C167" t="s">
        <v>48</v>
      </c>
      <c r="D167" s="6" t="s">
        <v>2353</v>
      </c>
      <c r="E167" s="7" t="str">
        <f t="shared" si="62"/>
        <v>=4.883*100000000</v>
      </c>
      <c r="F167" s="1">
        <f>4.883*100000000</f>
        <v>488300000</v>
      </c>
      <c r="G167" s="8">
        <f t="shared" si="64"/>
        <v>6.1291023690502065E-2</v>
      </c>
      <c r="H167" s="6" t="s">
        <v>2354</v>
      </c>
      <c r="I167" s="6" t="str">
        <f t="shared" si="65"/>
        <v>=4.601*100000000</v>
      </c>
      <c r="J167" s="1">
        <f>4.601*100000000</f>
        <v>460100000</v>
      </c>
      <c r="K167" s="10">
        <f t="shared" si="66"/>
        <v>0.56443386603196188</v>
      </c>
      <c r="L167" s="6" t="s">
        <v>2355</v>
      </c>
      <c r="M167" s="6" t="str">
        <f t="shared" si="67"/>
        <v>=2.941*100000000</v>
      </c>
      <c r="N167" s="1">
        <f>2.941*100000000</f>
        <v>294100000</v>
      </c>
      <c r="O167" s="8">
        <f t="shared" si="68"/>
        <v>0.79110840438489649</v>
      </c>
      <c r="P167" s="6" t="s">
        <v>2356</v>
      </c>
      <c r="Q167" s="6" t="str">
        <f t="shared" si="69"/>
        <v>=1.642*100000000</v>
      </c>
      <c r="R167" s="11">
        <f>1.642*100000000</f>
        <v>164200000</v>
      </c>
      <c r="S167" s="8">
        <f t="shared" si="70"/>
        <v>-0.71902806297056809</v>
      </c>
      <c r="T167" s="6" t="s">
        <v>2357</v>
      </c>
      <c r="U167" s="6" t="str">
        <f t="shared" si="71"/>
        <v>=5.844*100000000</v>
      </c>
      <c r="V167" s="1">
        <f>5.844*100000000</f>
        <v>584400000</v>
      </c>
      <c r="W167" s="8">
        <f t="shared" si="72"/>
        <v>0.14363992172211337</v>
      </c>
      <c r="X167" s="6" t="s">
        <v>2358</v>
      </c>
      <c r="Y167" s="6" t="str">
        <f t="shared" si="73"/>
        <v>=5.110*100000000</v>
      </c>
      <c r="Z167" s="1">
        <f>5.11*100000000</f>
        <v>511000000.00000006</v>
      </c>
      <c r="AA167" s="8">
        <f t="shared" si="74"/>
        <v>0.45294284901905052</v>
      </c>
      <c r="AB167" s="6" t="s">
        <v>53</v>
      </c>
      <c r="AC167" s="6" t="str">
        <f t="shared" si="75"/>
        <v>=3.517*100000000</v>
      </c>
      <c r="AD167" s="1">
        <f>3.517*100000000</f>
        <v>351700000</v>
      </c>
      <c r="AE167" s="8">
        <f t="shared" si="76"/>
        <v>0.85789751716851559</v>
      </c>
      <c r="AF167" s="6" t="s">
        <v>2359</v>
      </c>
      <c r="AG167" s="6" t="str">
        <f t="shared" si="77"/>
        <v>=1.893*100000000</v>
      </c>
      <c r="AH167" s="1">
        <f>1.893*100000000</f>
        <v>189300000</v>
      </c>
      <c r="AI167" s="8">
        <f t="shared" si="78"/>
        <v>-0.69765213224724487</v>
      </c>
      <c r="AJ167" s="6" t="s">
        <v>2360</v>
      </c>
      <c r="AK167" s="6" t="str">
        <f t="shared" si="79"/>
        <v>=6.261*100000000</v>
      </c>
      <c r="AL167" s="1">
        <f>6.261*100000000</f>
        <v>626100000</v>
      </c>
      <c r="AM167" s="8">
        <f t="shared" si="80"/>
        <v>0.17776523702031602</v>
      </c>
      <c r="AN167" s="6" t="s">
        <v>2361</v>
      </c>
      <c r="AO167" s="6" t="str">
        <f t="shared" si="81"/>
        <v>=5.316*100000000</v>
      </c>
      <c r="AP167" s="1">
        <f>5.316*100000000</f>
        <v>531600000</v>
      </c>
      <c r="AQ167" s="8">
        <f t="shared" si="82"/>
        <v>0.46043956043956041</v>
      </c>
      <c r="AR167" s="6" t="s">
        <v>2362</v>
      </c>
      <c r="AS167" s="6" t="str">
        <f t="shared" si="83"/>
        <v>=3.640*100000000</v>
      </c>
      <c r="AT167" s="1">
        <f>3.64*100000000</f>
        <v>364000000</v>
      </c>
      <c r="AU167" s="8">
        <f t="shared" si="84"/>
        <v>1.1386603995299647</v>
      </c>
      <c r="AV167" s="6" t="s">
        <v>1294</v>
      </c>
      <c r="AW167" s="6" t="str">
        <f t="shared" si="85"/>
        <v>=1.702*100000000</v>
      </c>
      <c r="AX167" s="1">
        <f>1.702*100000000</f>
        <v>170200000</v>
      </c>
      <c r="AY167" s="10">
        <f t="shared" si="86"/>
        <v>-0.75358332126827854</v>
      </c>
      <c r="AZ167" s="6" t="s">
        <v>2363</v>
      </c>
      <c r="BA167" s="6" t="str">
        <f t="shared" si="87"/>
        <v>=6.907*100000000</v>
      </c>
      <c r="BB167" s="1">
        <f>6.907*100000000</f>
        <v>690700000</v>
      </c>
      <c r="BC167" s="8">
        <f t="shared" si="88"/>
        <v>0.27623798965262381</v>
      </c>
      <c r="BD167" s="6" t="s">
        <v>2364</v>
      </c>
      <c r="BE167" s="6" t="str">
        <f t="shared" si="89"/>
        <v>=5.412*100000000</v>
      </c>
      <c r="BF167" s="1">
        <f>5.412*100000000</f>
        <v>541200000</v>
      </c>
      <c r="BG167" s="8">
        <f t="shared" si="90"/>
        <v>0.48071135430916551</v>
      </c>
      <c r="BH167" s="6" t="s">
        <v>2365</v>
      </c>
      <c r="BI167" s="6" t="str">
        <f t="shared" si="91"/>
        <v>=3.655*100000000</v>
      </c>
      <c r="BJ167" s="1">
        <f>3.655*100000000</f>
        <v>365500000</v>
      </c>
      <c r="BK167" s="6" t="s">
        <v>2366</v>
      </c>
      <c r="BL167" s="1" t="str">
        <f t="shared" si="63"/>
        <v>=1.726*100000000</v>
      </c>
      <c r="BM167" s="16">
        <f t="shared" si="92"/>
        <v>1.1176129779837776</v>
      </c>
      <c r="BN167" s="1">
        <f>1.726*100000000</f>
        <v>172600000</v>
      </c>
    </row>
    <row r="168" spans="1:66">
      <c r="A168" s="18"/>
      <c r="B168">
        <v>600125</v>
      </c>
      <c r="C168" t="s">
        <v>58</v>
      </c>
      <c r="D168" s="6" t="s">
        <v>2367</v>
      </c>
      <c r="E168" s="7" t="str">
        <f t="shared" si="62"/>
        <v>=4.896*100000000</v>
      </c>
      <c r="F168" s="1">
        <f>4.896*100000000</f>
        <v>489600000</v>
      </c>
      <c r="G168" s="8">
        <f t="shared" si="64"/>
        <v>6.157849089332177E-2</v>
      </c>
      <c r="H168" s="6" t="s">
        <v>2368</v>
      </c>
      <c r="I168" s="6" t="str">
        <f t="shared" si="65"/>
        <v>=4.612*100000000</v>
      </c>
      <c r="J168" s="1">
        <f>4.612*100000000</f>
        <v>461200000</v>
      </c>
      <c r="K168" s="10">
        <f t="shared" si="66"/>
        <v>0.56657608695652173</v>
      </c>
      <c r="L168" s="6" t="s">
        <v>2369</v>
      </c>
      <c r="M168" s="6" t="str">
        <f t="shared" si="67"/>
        <v>=2.944*100000000</v>
      </c>
      <c r="N168" s="1">
        <f>2.944*100000000</f>
        <v>294400000</v>
      </c>
      <c r="O168" s="8">
        <f t="shared" si="68"/>
        <v>0.79075425790754261</v>
      </c>
      <c r="P168" s="6" t="s">
        <v>2370</v>
      </c>
      <c r="Q168" s="6" t="str">
        <f t="shared" si="69"/>
        <v>=1.644*100000000</v>
      </c>
      <c r="R168" s="11">
        <f>1.644*100000000</f>
        <v>164400000</v>
      </c>
      <c r="S168" s="8">
        <f t="shared" si="70"/>
        <v>-0.71157894736842109</v>
      </c>
      <c r="T168" s="6" t="s">
        <v>2371</v>
      </c>
      <c r="U168" s="6" t="str">
        <f t="shared" si="71"/>
        <v>=5.700*100000000</v>
      </c>
      <c r="V168" s="1">
        <f>5.7*100000000</f>
        <v>570000000</v>
      </c>
      <c r="W168" s="8">
        <f t="shared" si="72"/>
        <v>0.11524163568773234</v>
      </c>
      <c r="X168" s="6" t="s">
        <v>2372</v>
      </c>
      <c r="Y168" s="6" t="str">
        <f t="shared" si="73"/>
        <v>=5.111*100000000</v>
      </c>
      <c r="Z168" s="1">
        <f>5.111*100000000</f>
        <v>511100000</v>
      </c>
      <c r="AA168" s="8">
        <f t="shared" si="74"/>
        <v>0.45364050056882821</v>
      </c>
      <c r="AB168" s="6" t="s">
        <v>2373</v>
      </c>
      <c r="AC168" s="6" t="str">
        <f t="shared" si="75"/>
        <v>=3.516*100000000</v>
      </c>
      <c r="AD168" s="1">
        <f>3.516*100000000</f>
        <v>351600000</v>
      </c>
      <c r="AE168" s="8">
        <f t="shared" si="76"/>
        <v>0.85835095137420714</v>
      </c>
      <c r="AF168" s="6" t="s">
        <v>2374</v>
      </c>
      <c r="AG168" s="6" t="str">
        <f t="shared" si="77"/>
        <v>=1.892*100000000</v>
      </c>
      <c r="AH168" s="1">
        <f>1.892*100000000</f>
        <v>189200000</v>
      </c>
      <c r="AI168" s="8">
        <f t="shared" si="78"/>
        <v>-0.69776357827476043</v>
      </c>
      <c r="AJ168" s="6" t="s">
        <v>2375</v>
      </c>
      <c r="AK168" s="6" t="str">
        <f t="shared" si="79"/>
        <v>=6.260*100000000</v>
      </c>
      <c r="AL168" s="1">
        <f>6.26*100000000</f>
        <v>626000000</v>
      </c>
      <c r="AM168" s="8">
        <f t="shared" si="80"/>
        <v>0.17868574656373565</v>
      </c>
      <c r="AN168" s="6" t="s">
        <v>2376</v>
      </c>
      <c r="AO168" s="6" t="str">
        <f t="shared" si="81"/>
        <v>=5.311*100000000</v>
      </c>
      <c r="AP168" s="1">
        <f>5.311*100000000</f>
        <v>531100000</v>
      </c>
      <c r="AQ168" s="8">
        <f t="shared" si="82"/>
        <v>0.45946688650728224</v>
      </c>
      <c r="AR168" s="6" t="s">
        <v>2377</v>
      </c>
      <c r="AS168" s="6" t="str">
        <f t="shared" si="83"/>
        <v>=3.639*100000000</v>
      </c>
      <c r="AT168" s="1">
        <f>3.639*100000000</f>
        <v>363900000</v>
      </c>
      <c r="AU168" s="8">
        <f t="shared" si="84"/>
        <v>1.1368173810921902</v>
      </c>
      <c r="AV168" s="6" t="s">
        <v>2378</v>
      </c>
      <c r="AW168" s="6" t="str">
        <f t="shared" si="85"/>
        <v>=1.703*100000000</v>
      </c>
      <c r="AX168" s="1">
        <f>1.703*100000000</f>
        <v>170300000</v>
      </c>
      <c r="AY168" s="10">
        <f t="shared" si="86"/>
        <v>-0.75407942238267145</v>
      </c>
      <c r="AZ168" s="6" t="s">
        <v>2379</v>
      </c>
      <c r="BA168" s="6" t="str">
        <f t="shared" si="87"/>
        <v>=6.925*100000000</v>
      </c>
      <c r="BB168" s="1">
        <f>6.925*100000000</f>
        <v>692500000</v>
      </c>
      <c r="BC168" s="8">
        <f t="shared" si="88"/>
        <v>0.25203399023684686</v>
      </c>
      <c r="BD168" s="6" t="s">
        <v>2380</v>
      </c>
      <c r="BE168" s="6" t="str">
        <f t="shared" si="89"/>
        <v>=5.531*100000000</v>
      </c>
      <c r="BF168" s="1">
        <f>5.531*100000000</f>
        <v>553100000</v>
      </c>
      <c r="BG168" s="8">
        <f t="shared" si="90"/>
        <v>0.47257720979765711</v>
      </c>
      <c r="BH168" s="6" t="s">
        <v>2381</v>
      </c>
      <c r="BI168" s="6" t="str">
        <f t="shared" si="91"/>
        <v>=3.756*100000000</v>
      </c>
      <c r="BJ168" s="1">
        <f>3.756*100000000</f>
        <v>375600000</v>
      </c>
      <c r="BK168" s="6" t="s">
        <v>2382</v>
      </c>
      <c r="BL168" s="1" t="str">
        <f t="shared" si="63"/>
        <v>=1.740*100000000</v>
      </c>
      <c r="BM168" s="16">
        <f t="shared" si="92"/>
        <v>1.1586206896551725</v>
      </c>
      <c r="BN168" s="1">
        <f>1.74*100000000</f>
        <v>174000000</v>
      </c>
    </row>
    <row r="169" spans="1:66">
      <c r="A169" s="19"/>
      <c r="B169">
        <v>600125</v>
      </c>
      <c r="C169" t="s">
        <v>68</v>
      </c>
      <c r="D169" s="6" t="s">
        <v>2383</v>
      </c>
      <c r="E169" s="7" t="str">
        <f t="shared" si="62"/>
        <v>=3.400*100000000</v>
      </c>
      <c r="F169" s="1">
        <f>3.4*100000000</f>
        <v>340000000</v>
      </c>
      <c r="G169" s="8">
        <f t="shared" si="64"/>
        <v>2.9678982434887948E-2</v>
      </c>
      <c r="H169" s="6" t="s">
        <v>2384</v>
      </c>
      <c r="I169" s="6" t="str">
        <f t="shared" si="65"/>
        <v>=3.302*100000000</v>
      </c>
      <c r="J169" s="1">
        <f>3.302*100000000</f>
        <v>330200000</v>
      </c>
      <c r="K169" s="10">
        <f t="shared" si="66"/>
        <v>0.5731300619342542</v>
      </c>
      <c r="L169" s="6" t="s">
        <v>2385</v>
      </c>
      <c r="M169" s="6" t="str">
        <f t="shared" si="67"/>
        <v>=2.099*100000000</v>
      </c>
      <c r="N169" s="1">
        <f>2.099*100000000</f>
        <v>209900000.00000003</v>
      </c>
      <c r="O169" s="8">
        <f t="shared" si="68"/>
        <v>0.78486394557823158</v>
      </c>
      <c r="P169" s="6" t="s">
        <v>2386</v>
      </c>
      <c r="Q169" s="6" t="str">
        <f t="shared" si="69"/>
        <v>=1.176*100000000</v>
      </c>
      <c r="R169" s="11">
        <f>1.176*100000000</f>
        <v>117600000</v>
      </c>
      <c r="S169" s="8">
        <f t="shared" si="70"/>
        <v>-0.70753543894553594</v>
      </c>
      <c r="T169" s="6" t="s">
        <v>2387</v>
      </c>
      <c r="U169" s="6" t="str">
        <f t="shared" si="71"/>
        <v>=4.021*100000000</v>
      </c>
      <c r="V169" s="1">
        <f>4.021*100000000</f>
        <v>402100000</v>
      </c>
      <c r="W169" s="8">
        <f t="shared" si="72"/>
        <v>7.0838881491344874E-2</v>
      </c>
      <c r="X169" s="6" t="s">
        <v>2388</v>
      </c>
      <c r="Y169" s="6" t="str">
        <f t="shared" si="73"/>
        <v>=3.755*100000000</v>
      </c>
      <c r="Z169" s="1">
        <f>3.755*100000000</f>
        <v>375500000</v>
      </c>
      <c r="AA169" s="8">
        <f t="shared" si="74"/>
        <v>0.45373596593108773</v>
      </c>
      <c r="AB169" s="6" t="s">
        <v>2389</v>
      </c>
      <c r="AC169" s="6" t="str">
        <f t="shared" si="75"/>
        <v>=2.583*100000000</v>
      </c>
      <c r="AD169" s="1">
        <f>2.583*100000000</f>
        <v>258300000.00000003</v>
      </c>
      <c r="AE169" s="8">
        <f t="shared" si="76"/>
        <v>0.85161290322580663</v>
      </c>
      <c r="AF169" s="6" t="s">
        <v>2390</v>
      </c>
      <c r="AG169" s="6" t="str">
        <f t="shared" si="77"/>
        <v>=1.395*100000000</v>
      </c>
      <c r="AH169" s="1">
        <f>1.395*100000000</f>
        <v>139500000</v>
      </c>
      <c r="AI169" s="8">
        <f t="shared" si="78"/>
        <v>-0.69273127753303965</v>
      </c>
      <c r="AJ169" s="6" t="s">
        <v>2391</v>
      </c>
      <c r="AK169" s="6" t="str">
        <f t="shared" si="79"/>
        <v>=4.540*100000000</v>
      </c>
      <c r="AL169" s="1">
        <f>4.54*100000000</f>
        <v>454000000</v>
      </c>
      <c r="AM169" s="8">
        <f t="shared" si="80"/>
        <v>0.17040474349059037</v>
      </c>
      <c r="AN169" s="6" t="s">
        <v>2392</v>
      </c>
      <c r="AO169" s="6" t="str">
        <f t="shared" si="81"/>
        <v>=3.879*100000000</v>
      </c>
      <c r="AP169" s="1">
        <f>3.879*100000000</f>
        <v>387900000</v>
      </c>
      <c r="AQ169" s="8">
        <f t="shared" si="82"/>
        <v>0.45936794582392776</v>
      </c>
      <c r="AR169" s="6" t="s">
        <v>1282</v>
      </c>
      <c r="AS169" s="6" t="str">
        <f t="shared" si="83"/>
        <v>=2.658*100000000</v>
      </c>
      <c r="AT169" s="1">
        <f>2.658*100000000</f>
        <v>265800000</v>
      </c>
      <c r="AU169" s="8">
        <f t="shared" si="84"/>
        <v>1.1487469684721099</v>
      </c>
      <c r="AV169" s="6" t="s">
        <v>2393</v>
      </c>
      <c r="AW169" s="6" t="str">
        <f t="shared" si="85"/>
        <v>=1.237*100000000</v>
      </c>
      <c r="AX169" s="1">
        <f>1.237*100000000</f>
        <v>123700000.00000001</v>
      </c>
      <c r="AY169" s="10">
        <f t="shared" si="86"/>
        <v>-0.75687893081761004</v>
      </c>
      <c r="AZ169" s="6" t="s">
        <v>2394</v>
      </c>
      <c r="BA169" s="6" t="str">
        <f t="shared" si="87"/>
        <v>=5.088*100000000</v>
      </c>
      <c r="BB169" s="1">
        <f>5.088*100000000</f>
        <v>508800000</v>
      </c>
      <c r="BC169" s="8">
        <f t="shared" si="88"/>
        <v>0.24889543446244478</v>
      </c>
      <c r="BD169" s="6" t="s">
        <v>2395</v>
      </c>
      <c r="BE169" s="6" t="str">
        <f t="shared" si="89"/>
        <v>=4.074*100000000</v>
      </c>
      <c r="BF169" s="1">
        <f>4.074*100000000</f>
        <v>407400000</v>
      </c>
      <c r="BG169" s="8">
        <f t="shared" si="90"/>
        <v>0.47128927410617549</v>
      </c>
      <c r="BH169" s="6" t="s">
        <v>2396</v>
      </c>
      <c r="BI169" s="6" t="str">
        <f t="shared" si="91"/>
        <v>=2.769*100000000</v>
      </c>
      <c r="BJ169" s="1">
        <f>2.769*100000000</f>
        <v>276900000</v>
      </c>
      <c r="BK169" s="6" t="s">
        <v>1266</v>
      </c>
      <c r="BL169" s="1" t="str">
        <f t="shared" si="63"/>
        <v>=1.275*100000000</v>
      </c>
      <c r="BM169" s="16">
        <f t="shared" si="92"/>
        <v>1.171764705882353</v>
      </c>
      <c r="BN169" s="1">
        <f>1.275*100000000</f>
        <v>127499999.99999999</v>
      </c>
    </row>
    <row r="170" spans="1:66">
      <c r="A170" s="17">
        <v>43</v>
      </c>
      <c r="B170">
        <v>600126</v>
      </c>
      <c r="C170" t="s">
        <v>31</v>
      </c>
      <c r="D170" s="6" t="s">
        <v>2397</v>
      </c>
      <c r="E170" s="7" t="str">
        <f t="shared" si="62"/>
        <v>=499.6*100000000</v>
      </c>
      <c r="F170" s="1">
        <f>499.6*100000000</f>
        <v>49960000000</v>
      </c>
      <c r="G170" s="8">
        <f t="shared" si="64"/>
        <v>0.2856407617086979</v>
      </c>
      <c r="H170" s="6" t="s">
        <v>2398</v>
      </c>
      <c r="I170" s="6" t="str">
        <f t="shared" si="65"/>
        <v>=388.6*100000000</v>
      </c>
      <c r="J170" s="1">
        <f>388.6*100000000</f>
        <v>38860000000</v>
      </c>
      <c r="K170" s="10">
        <f t="shared" si="66"/>
        <v>0.52631578947368418</v>
      </c>
      <c r="L170" s="6" t="s">
        <v>2399</v>
      </c>
      <c r="M170" s="6" t="str">
        <f t="shared" si="67"/>
        <v>=254.6*100000000</v>
      </c>
      <c r="N170" s="1">
        <f>254.6*100000000</f>
        <v>25460000000</v>
      </c>
      <c r="O170" s="8">
        <f t="shared" si="68"/>
        <v>1.427073403241182</v>
      </c>
      <c r="P170" s="6" t="s">
        <v>2400</v>
      </c>
      <c r="Q170" s="6" t="str">
        <f t="shared" si="69"/>
        <v>=104.9*100000000</v>
      </c>
      <c r="R170" s="11">
        <f>104.9*100000000</f>
        <v>10490000000</v>
      </c>
      <c r="S170" s="8">
        <f t="shared" si="70"/>
        <v>-0.68105807236242011</v>
      </c>
      <c r="T170" s="6" t="s">
        <v>2401</v>
      </c>
      <c r="U170" s="6" t="str">
        <f t="shared" si="71"/>
        <v>=328.9*100000000</v>
      </c>
      <c r="V170" s="1">
        <f>328.9*100000000</f>
        <v>32889999999.999996</v>
      </c>
      <c r="W170" s="8">
        <f t="shared" si="72"/>
        <v>0.43311546840958587</v>
      </c>
      <c r="X170" s="6" t="s">
        <v>2402</v>
      </c>
      <c r="Y170" s="6" t="str">
        <f t="shared" si="73"/>
        <v>=229.5*100000000</v>
      </c>
      <c r="Z170" s="1">
        <f>229.5*100000000</f>
        <v>22950000000</v>
      </c>
      <c r="AA170" s="8">
        <f t="shared" si="74"/>
        <v>0.71013412816691535</v>
      </c>
      <c r="AB170" s="6" t="s">
        <v>2403</v>
      </c>
      <c r="AC170" s="6" t="str">
        <f t="shared" si="75"/>
        <v>=134.2*100000000</v>
      </c>
      <c r="AD170" s="1">
        <f>134.2*100000000</f>
        <v>13419999999.999998</v>
      </c>
      <c r="AE170" s="8">
        <f t="shared" si="76"/>
        <v>1.2707275803722502</v>
      </c>
      <c r="AF170" s="6" t="s">
        <v>2404</v>
      </c>
      <c r="AG170" s="6" t="str">
        <f t="shared" si="77"/>
        <v>=59.10*100000000</v>
      </c>
      <c r="AH170" s="1">
        <f>59.1*100000000</f>
        <v>5910000000</v>
      </c>
      <c r="AI170" s="8">
        <f t="shared" si="78"/>
        <v>-0.77898279730740461</v>
      </c>
      <c r="AJ170" s="6" t="s">
        <v>426</v>
      </c>
      <c r="AK170" s="6" t="str">
        <f t="shared" si="79"/>
        <v>=267.4*100000000</v>
      </c>
      <c r="AL170" s="1">
        <f>267.4*100000000</f>
        <v>26739999999.999996</v>
      </c>
      <c r="AM170" s="8">
        <f t="shared" si="80"/>
        <v>0.37128205128205111</v>
      </c>
      <c r="AN170" s="6" t="s">
        <v>2405</v>
      </c>
      <c r="AO170" s="6" t="str">
        <f t="shared" si="81"/>
        <v>=195.0*100000000</v>
      </c>
      <c r="AP170" s="1">
        <f>195*100000000</f>
        <v>19500000000</v>
      </c>
      <c r="AQ170" s="8">
        <f t="shared" si="82"/>
        <v>0.5625</v>
      </c>
      <c r="AR170" s="6" t="s">
        <v>2406</v>
      </c>
      <c r="AS170" s="6" t="str">
        <f t="shared" si="83"/>
        <v>=124.8*100000000</v>
      </c>
      <c r="AT170" s="1">
        <f>124.8*100000000</f>
        <v>12480000000</v>
      </c>
      <c r="AU170" s="8">
        <f t="shared" si="84"/>
        <v>0.91381689924858178</v>
      </c>
      <c r="AV170" s="6" t="s">
        <v>2407</v>
      </c>
      <c r="AW170" s="6" t="str">
        <f t="shared" si="85"/>
        <v>=65.21*100000000</v>
      </c>
      <c r="AX170" s="1">
        <f>65.21*100000000</f>
        <v>6520999999.999999</v>
      </c>
      <c r="AY170" s="10">
        <f t="shared" si="86"/>
        <v>-0.75345935727788282</v>
      </c>
      <c r="AZ170" s="6" t="s">
        <v>2408</v>
      </c>
      <c r="BA170" s="6" t="str">
        <f t="shared" si="87"/>
        <v>=264.5*100000000</v>
      </c>
      <c r="BB170" s="1">
        <f>264.5*100000000</f>
        <v>26450000000</v>
      </c>
      <c r="BC170" s="8">
        <f t="shared" si="88"/>
        <v>0.3392405063291139</v>
      </c>
      <c r="BD170" s="6" t="s">
        <v>2409</v>
      </c>
      <c r="BE170" s="6" t="str">
        <f t="shared" si="89"/>
        <v>=197.5*100000000</v>
      </c>
      <c r="BF170" s="1">
        <f>197.5*100000000</f>
        <v>19750000000</v>
      </c>
      <c r="BG170" s="8">
        <f t="shared" si="90"/>
        <v>0.49848254931714697</v>
      </c>
      <c r="BH170" s="6" t="s">
        <v>2410</v>
      </c>
      <c r="BI170" s="6" t="str">
        <f t="shared" si="91"/>
        <v>=131.8*100000000</v>
      </c>
      <c r="BJ170" s="1">
        <f>131.8*100000000</f>
        <v>13180000000.000002</v>
      </c>
      <c r="BK170" s="6" t="s">
        <v>2411</v>
      </c>
      <c r="BL170" s="1" t="str">
        <f t="shared" si="63"/>
        <v>=65.42*100000000</v>
      </c>
      <c r="BM170" s="16">
        <f t="shared" si="92"/>
        <v>1.014674411494956</v>
      </c>
      <c r="BN170" s="1">
        <f>65.42*100000000</f>
        <v>6542000000</v>
      </c>
    </row>
    <row r="171" spans="1:66">
      <c r="A171" s="18"/>
      <c r="B171">
        <v>600126</v>
      </c>
      <c r="C171" t="s">
        <v>48</v>
      </c>
      <c r="D171" s="6" t="s">
        <v>1879</v>
      </c>
      <c r="E171" s="7" t="str">
        <f t="shared" si="62"/>
        <v>=21.76*100000000</v>
      </c>
      <c r="F171" s="1">
        <f>21.76*100000000</f>
        <v>2176000000</v>
      </c>
      <c r="G171" s="8">
        <f t="shared" si="64"/>
        <v>4.7664901299951851E-2</v>
      </c>
      <c r="H171" s="6" t="s">
        <v>2412</v>
      </c>
      <c r="I171" s="6" t="str">
        <f t="shared" si="65"/>
        <v>=20.77*100000000</v>
      </c>
      <c r="J171" s="1">
        <f>20.77*100000000</f>
        <v>2077000000</v>
      </c>
      <c r="K171" s="10">
        <f t="shared" si="66"/>
        <v>0.5442379182156134</v>
      </c>
      <c r="L171" s="6" t="s">
        <v>2413</v>
      </c>
      <c r="M171" s="6" t="str">
        <f t="shared" si="67"/>
        <v>=13.45*100000000</v>
      </c>
      <c r="N171" s="1">
        <f>13.45*100000000</f>
        <v>1345000000</v>
      </c>
      <c r="O171" s="8">
        <f t="shared" si="68"/>
        <v>1.6905381076215245</v>
      </c>
      <c r="P171" s="6" t="s">
        <v>2414</v>
      </c>
      <c r="Q171" s="6" t="str">
        <f t="shared" si="69"/>
        <v>=4.999*100000000</v>
      </c>
      <c r="R171" s="11">
        <f>4.999*100000000</f>
        <v>499899999.99999994</v>
      </c>
      <c r="S171" s="8">
        <f t="shared" si="70"/>
        <v>-0.6547651933701657</v>
      </c>
      <c r="T171" s="6" t="s">
        <v>916</v>
      </c>
      <c r="U171" s="6" t="str">
        <f t="shared" si="71"/>
        <v>=14.48*100000000</v>
      </c>
      <c r="V171" s="1">
        <f>14.48*100000000</f>
        <v>1448000000</v>
      </c>
      <c r="W171" s="8">
        <f t="shared" si="72"/>
        <v>0.48223973794656566</v>
      </c>
      <c r="X171" s="6" t="s">
        <v>2415</v>
      </c>
      <c r="Y171" s="6" t="str">
        <f t="shared" si="73"/>
        <v>=9.769*100000000</v>
      </c>
      <c r="Z171" s="1">
        <f>9.769*100000000</f>
        <v>976900000</v>
      </c>
      <c r="AA171" s="8">
        <f t="shared" si="74"/>
        <v>1.0171381375180673</v>
      </c>
      <c r="AB171" s="6" t="s">
        <v>2416</v>
      </c>
      <c r="AC171" s="6" t="str">
        <f t="shared" si="75"/>
        <v>=4.843*100000000</v>
      </c>
      <c r="AD171" s="1">
        <f>4.843*100000000</f>
        <v>484300000</v>
      </c>
      <c r="AE171" s="8">
        <f t="shared" si="76"/>
        <v>1.8505002942907594</v>
      </c>
      <c r="AF171" s="6" t="s">
        <v>2417</v>
      </c>
      <c r="AG171" s="6" t="str">
        <f t="shared" si="77"/>
        <v>=1.699*100000000</v>
      </c>
      <c r="AH171" s="1">
        <f>1.699*100000000</f>
        <v>169900000</v>
      </c>
      <c r="AI171" s="8">
        <f t="shared" si="78"/>
        <v>-0.86141924959216964</v>
      </c>
      <c r="AJ171" s="6" t="s">
        <v>2418</v>
      </c>
      <c r="AK171" s="6" t="str">
        <f t="shared" si="79"/>
        <v>=12.26*100000000</v>
      </c>
      <c r="AL171" s="1">
        <f>12.26*100000000</f>
        <v>1226000000</v>
      </c>
      <c r="AM171" s="8">
        <f t="shared" si="80"/>
        <v>0.10152740341419586</v>
      </c>
      <c r="AN171" s="6" t="s">
        <v>2419</v>
      </c>
      <c r="AO171" s="6" t="str">
        <f t="shared" si="81"/>
        <v>=11.13*100000000</v>
      </c>
      <c r="AP171" s="1">
        <f>11.13*100000000</f>
        <v>1113000000</v>
      </c>
      <c r="AQ171" s="8">
        <f t="shared" si="82"/>
        <v>0.17802709568162575</v>
      </c>
      <c r="AR171" s="6" t="s">
        <v>2420</v>
      </c>
      <c r="AS171" s="6" t="str">
        <f t="shared" si="83"/>
        <v>=9.448*100000000</v>
      </c>
      <c r="AT171" s="1">
        <f>9.448*100000000</f>
        <v>944800000</v>
      </c>
      <c r="AU171" s="8">
        <f t="shared" si="84"/>
        <v>0.6796444444444445</v>
      </c>
      <c r="AV171" s="6" t="s">
        <v>2421</v>
      </c>
      <c r="AW171" s="6" t="str">
        <f t="shared" si="85"/>
        <v>=5.625*100000000</v>
      </c>
      <c r="AX171" s="1">
        <f>5.625*100000000</f>
        <v>562500000</v>
      </c>
      <c r="AY171" s="10">
        <f t="shared" si="86"/>
        <v>-0.79011194029850751</v>
      </c>
      <c r="AZ171" s="6" t="s">
        <v>2422</v>
      </c>
      <c r="BA171" s="6" t="str">
        <f t="shared" si="87"/>
        <v>=26.80*100000000</v>
      </c>
      <c r="BB171" s="1">
        <f>26.8*100000000</f>
        <v>2680000000</v>
      </c>
      <c r="BC171" s="8">
        <f t="shared" si="88"/>
        <v>0.22598353156450138</v>
      </c>
      <c r="BD171" s="6" t="s">
        <v>2423</v>
      </c>
      <c r="BE171" s="6" t="str">
        <f t="shared" si="89"/>
        <v>=21.86*100000000</v>
      </c>
      <c r="BF171" s="1">
        <f>21.86*100000000</f>
        <v>2186000000</v>
      </c>
      <c r="BG171" s="8">
        <f t="shared" si="90"/>
        <v>0.39769820971867009</v>
      </c>
      <c r="BH171" s="6" t="s">
        <v>2424</v>
      </c>
      <c r="BI171" s="6" t="str">
        <f t="shared" si="91"/>
        <v>=15.64*100000000</v>
      </c>
      <c r="BJ171" s="1">
        <f>15.64*100000000</f>
        <v>1564000000</v>
      </c>
      <c r="BK171" s="6" t="s">
        <v>2425</v>
      </c>
      <c r="BL171" s="1" t="str">
        <f t="shared" si="63"/>
        <v>=6.823*100000000</v>
      </c>
      <c r="BM171" s="16">
        <f t="shared" si="92"/>
        <v>1.2922468122526747</v>
      </c>
      <c r="BN171" s="1">
        <f>6.823*100000000</f>
        <v>682300000</v>
      </c>
    </row>
    <row r="172" spans="1:66">
      <c r="A172" s="18"/>
      <c r="B172">
        <v>600126</v>
      </c>
      <c r="C172" t="s">
        <v>58</v>
      </c>
      <c r="D172" s="6" t="s">
        <v>2426</v>
      </c>
      <c r="E172" s="7" t="str">
        <f t="shared" si="62"/>
        <v>=21.40*100000000</v>
      </c>
      <c r="F172" s="1">
        <f>21.4*100000000</f>
        <v>2139999999.9999998</v>
      </c>
      <c r="G172" s="8">
        <f t="shared" si="64"/>
        <v>2.8846153846153733E-2</v>
      </c>
      <c r="H172" s="6" t="s">
        <v>1933</v>
      </c>
      <c r="I172" s="6" t="str">
        <f t="shared" si="65"/>
        <v>=20.80*100000000</v>
      </c>
      <c r="J172" s="1">
        <f>20.8*100000000</f>
        <v>2080000000</v>
      </c>
      <c r="K172" s="10">
        <f t="shared" si="66"/>
        <v>0.54074074074074074</v>
      </c>
      <c r="L172" s="6" t="s">
        <v>2427</v>
      </c>
      <c r="M172" s="6" t="str">
        <f t="shared" si="67"/>
        <v>=13.50*100000000</v>
      </c>
      <c r="N172" s="1">
        <f>13.5*100000000</f>
        <v>1350000000</v>
      </c>
      <c r="O172" s="8">
        <f t="shared" si="68"/>
        <v>1.6833631484794278</v>
      </c>
      <c r="P172" s="6" t="s">
        <v>1664</v>
      </c>
      <c r="Q172" s="6" t="str">
        <f t="shared" si="69"/>
        <v>=5.031*100000000</v>
      </c>
      <c r="R172" s="11">
        <f>5.031*100000000</f>
        <v>503099999.99999994</v>
      </c>
      <c r="S172" s="8">
        <f t="shared" si="70"/>
        <v>-0.6434443656980865</v>
      </c>
      <c r="T172" s="6" t="s">
        <v>2428</v>
      </c>
      <c r="U172" s="6" t="str">
        <f t="shared" si="71"/>
        <v>=14.11*100000000</v>
      </c>
      <c r="V172" s="1">
        <f>14.11*100000000</f>
        <v>1411000000</v>
      </c>
      <c r="W172" s="8">
        <f t="shared" si="72"/>
        <v>0.44881404661669561</v>
      </c>
      <c r="X172" s="6" t="s">
        <v>2429</v>
      </c>
      <c r="Y172" s="6" t="str">
        <f t="shared" si="73"/>
        <v>=9.739*100000000</v>
      </c>
      <c r="Z172" s="1">
        <f>9.739*100000000</f>
        <v>973900000.00000012</v>
      </c>
      <c r="AA172" s="8">
        <f t="shared" si="74"/>
        <v>1.0247401247401253</v>
      </c>
      <c r="AB172" s="6" t="s">
        <v>2430</v>
      </c>
      <c r="AC172" s="6" t="str">
        <f t="shared" si="75"/>
        <v>=4.810*100000000</v>
      </c>
      <c r="AD172" s="1">
        <f>4.81*100000000</f>
        <v>480999999.99999994</v>
      </c>
      <c r="AE172" s="8">
        <f t="shared" si="76"/>
        <v>1.881965248651887</v>
      </c>
      <c r="AF172" s="6" t="s">
        <v>2431</v>
      </c>
      <c r="AG172" s="6" t="str">
        <f t="shared" si="77"/>
        <v>=1.669*100000000</v>
      </c>
      <c r="AH172" s="1">
        <f>1.669*100000000</f>
        <v>166900000</v>
      </c>
      <c r="AI172" s="8">
        <f t="shared" si="78"/>
        <v>-0.86308449548810495</v>
      </c>
      <c r="AJ172" s="6" t="s">
        <v>2432</v>
      </c>
      <c r="AK172" s="6" t="str">
        <f t="shared" si="79"/>
        <v>=12.19*100000000</v>
      </c>
      <c r="AL172" s="1">
        <f>12.19*100000000</f>
        <v>1219000000</v>
      </c>
      <c r="AM172" s="8">
        <f t="shared" si="80"/>
        <v>8.6452762923351162E-2</v>
      </c>
      <c r="AN172" s="6" t="s">
        <v>2433</v>
      </c>
      <c r="AO172" s="6" t="str">
        <f t="shared" si="81"/>
        <v>=11.22*100000000</v>
      </c>
      <c r="AP172" s="1">
        <f>11.22*100000000</f>
        <v>1122000000</v>
      </c>
      <c r="AQ172" s="8">
        <f t="shared" si="82"/>
        <v>0.17523829475227806</v>
      </c>
      <c r="AR172" s="6" t="s">
        <v>2434</v>
      </c>
      <c r="AS172" s="6" t="str">
        <f t="shared" si="83"/>
        <v>=9.547*100000000</v>
      </c>
      <c r="AT172" s="1">
        <f>9.547*100000000</f>
        <v>954700000.00000012</v>
      </c>
      <c r="AU172" s="8">
        <f t="shared" si="84"/>
        <v>0.66411016210563034</v>
      </c>
      <c r="AV172" s="6" t="s">
        <v>2435</v>
      </c>
      <c r="AW172" s="6" t="str">
        <f t="shared" si="85"/>
        <v>=5.737*100000000</v>
      </c>
      <c r="AX172" s="1">
        <f>5.737*100000000</f>
        <v>573700000</v>
      </c>
      <c r="AY172" s="10">
        <f t="shared" si="86"/>
        <v>-0.78440435926343477</v>
      </c>
      <c r="AZ172" s="6" t="s">
        <v>2436</v>
      </c>
      <c r="BA172" s="6" t="str">
        <f t="shared" si="87"/>
        <v>=26.61*100000000</v>
      </c>
      <c r="BB172" s="1">
        <f>26.61*100000000</f>
        <v>2661000000</v>
      </c>
      <c r="BC172" s="8">
        <f t="shared" si="88"/>
        <v>0.22064220183486238</v>
      </c>
      <c r="BD172" s="6" t="s">
        <v>2437</v>
      </c>
      <c r="BE172" s="6" t="str">
        <f t="shared" si="89"/>
        <v>=21.80*100000000</v>
      </c>
      <c r="BF172" s="1">
        <f>21.8*100000000</f>
        <v>2180000000</v>
      </c>
      <c r="BG172" s="8">
        <f t="shared" si="90"/>
        <v>0.38942001274697258</v>
      </c>
      <c r="BH172" s="6" t="s">
        <v>2438</v>
      </c>
      <c r="BI172" s="6" t="str">
        <f t="shared" si="91"/>
        <v>=15.69*100000000</v>
      </c>
      <c r="BJ172" s="1">
        <f>15.69*100000000</f>
        <v>1569000000</v>
      </c>
      <c r="BK172" s="6" t="s">
        <v>2439</v>
      </c>
      <c r="BL172" s="1" t="str">
        <f t="shared" si="63"/>
        <v>=6.824*100000000</v>
      </c>
      <c r="BM172" s="16">
        <f t="shared" si="92"/>
        <v>1.2992379835873389</v>
      </c>
      <c r="BN172" s="1">
        <f>6.824*100000000</f>
        <v>682400000</v>
      </c>
    </row>
    <row r="173" spans="1:66">
      <c r="A173" s="19"/>
      <c r="B173">
        <v>600126</v>
      </c>
      <c r="C173" t="s">
        <v>68</v>
      </c>
      <c r="D173" s="6" t="s">
        <v>2440</v>
      </c>
      <c r="E173" s="7" t="str">
        <f t="shared" si="62"/>
        <v>=16.40*100000000</v>
      </c>
      <c r="F173" s="1">
        <f>16.4*100000000</f>
        <v>1639999999.9999998</v>
      </c>
      <c r="G173" s="8">
        <f t="shared" si="64"/>
        <v>1.1721159777914721E-2</v>
      </c>
      <c r="H173" s="6" t="s">
        <v>2441</v>
      </c>
      <c r="I173" s="6" t="str">
        <f t="shared" si="65"/>
        <v>=16.21*100000000</v>
      </c>
      <c r="J173" s="1">
        <f>16.21*100000000</f>
        <v>1621000000</v>
      </c>
      <c r="K173" s="10">
        <f t="shared" si="66"/>
        <v>0.64301642002838033</v>
      </c>
      <c r="L173" s="6" t="s">
        <v>2442</v>
      </c>
      <c r="M173" s="6" t="str">
        <f t="shared" si="67"/>
        <v>=9.866*100000000</v>
      </c>
      <c r="N173" s="1">
        <f>9.866*100000000</f>
        <v>986600000</v>
      </c>
      <c r="O173" s="8">
        <f t="shared" si="68"/>
        <v>1.7337212524244943</v>
      </c>
      <c r="P173" s="6" t="s">
        <v>2443</v>
      </c>
      <c r="Q173" s="6" t="str">
        <f t="shared" si="69"/>
        <v>=3.609*100000000</v>
      </c>
      <c r="R173" s="11">
        <f>3.609*100000000</f>
        <v>360900000</v>
      </c>
      <c r="S173" s="8">
        <f t="shared" si="70"/>
        <v>-0.68369851007887816</v>
      </c>
      <c r="T173" s="6" t="s">
        <v>2444</v>
      </c>
      <c r="U173" s="6" t="str">
        <f t="shared" si="71"/>
        <v>=11.41*100000000</v>
      </c>
      <c r="V173" s="1">
        <f>11.41*100000000</f>
        <v>1141000000</v>
      </c>
      <c r="W173" s="8">
        <f t="shared" si="72"/>
        <v>0.50846113167636176</v>
      </c>
      <c r="X173" s="6" t="s">
        <v>2445</v>
      </c>
      <c r="Y173" s="6" t="str">
        <f t="shared" si="73"/>
        <v>=7.564*100000000</v>
      </c>
      <c r="Z173" s="1">
        <f>7.564*100000000</f>
        <v>756400000</v>
      </c>
      <c r="AA173" s="8">
        <f t="shared" si="74"/>
        <v>0.93502174469173704</v>
      </c>
      <c r="AB173" s="6" t="s">
        <v>2446</v>
      </c>
      <c r="AC173" s="6" t="str">
        <f t="shared" si="75"/>
        <v>=3.909*100000000</v>
      </c>
      <c r="AD173" s="1">
        <f>3.909*100000000</f>
        <v>390900000</v>
      </c>
      <c r="AE173" s="8">
        <f t="shared" si="76"/>
        <v>1.7861724875267284</v>
      </c>
      <c r="AF173" s="6" t="s">
        <v>2447</v>
      </c>
      <c r="AG173" s="6" t="str">
        <f t="shared" si="77"/>
        <v>=1.403*100000000</v>
      </c>
      <c r="AH173" s="1">
        <f>1.403*100000000</f>
        <v>140300000</v>
      </c>
      <c r="AI173" s="8">
        <f t="shared" si="78"/>
        <v>-0.84960874691821209</v>
      </c>
      <c r="AJ173" s="6" t="s">
        <v>2448</v>
      </c>
      <c r="AK173" s="6" t="str">
        <f t="shared" si="79"/>
        <v>=9.329*100000000</v>
      </c>
      <c r="AL173" s="1">
        <f>9.329*100000000</f>
        <v>932900000.00000012</v>
      </c>
      <c r="AM173" s="8">
        <f t="shared" si="80"/>
        <v>0.10743114909781591</v>
      </c>
      <c r="AN173" s="6" t="s">
        <v>2449</v>
      </c>
      <c r="AO173" s="6" t="str">
        <f t="shared" si="81"/>
        <v>=8.424*100000000</v>
      </c>
      <c r="AP173" s="1">
        <f>8.424*100000000</f>
        <v>842400000</v>
      </c>
      <c r="AQ173" s="8">
        <f t="shared" si="82"/>
        <v>0.1632145816072908</v>
      </c>
      <c r="AR173" s="6" t="s">
        <v>2450</v>
      </c>
      <c r="AS173" s="6" t="str">
        <f t="shared" si="83"/>
        <v>=7.242*100000000</v>
      </c>
      <c r="AT173" s="1">
        <f>7.242*100000000</f>
        <v>724200000</v>
      </c>
      <c r="AU173" s="8">
        <f t="shared" si="84"/>
        <v>0.63957437174552867</v>
      </c>
      <c r="AV173" s="6" t="s">
        <v>2451</v>
      </c>
      <c r="AW173" s="6" t="str">
        <f t="shared" si="85"/>
        <v>=4.417*100000000</v>
      </c>
      <c r="AX173" s="1">
        <f>4.417*100000000</f>
        <v>441700000</v>
      </c>
      <c r="AY173" s="10">
        <f t="shared" si="86"/>
        <v>-0.7741820040899795</v>
      </c>
      <c r="AZ173" s="6" t="s">
        <v>2452</v>
      </c>
      <c r="BA173" s="6" t="str">
        <f t="shared" si="87"/>
        <v>=19.56*100000000</v>
      </c>
      <c r="BB173" s="1">
        <f>19.56*100000000</f>
        <v>1955999999.9999998</v>
      </c>
      <c r="BC173" s="8">
        <f t="shared" si="88"/>
        <v>0.20740740740740726</v>
      </c>
      <c r="BD173" s="6" t="s">
        <v>2453</v>
      </c>
      <c r="BE173" s="6" t="str">
        <f t="shared" si="89"/>
        <v>=16.20*100000000</v>
      </c>
      <c r="BF173" s="1">
        <f>16.2*100000000</f>
        <v>1620000000</v>
      </c>
      <c r="BG173" s="8">
        <f t="shared" si="90"/>
        <v>0.39175257731958762</v>
      </c>
      <c r="BH173" s="6" t="s">
        <v>2454</v>
      </c>
      <c r="BI173" s="6" t="str">
        <f t="shared" si="91"/>
        <v>=11.64*100000000</v>
      </c>
      <c r="BJ173" s="1">
        <f>11.64*100000000</f>
        <v>1164000000</v>
      </c>
      <c r="BK173" s="6" t="s">
        <v>2455</v>
      </c>
      <c r="BL173" s="1" t="str">
        <f t="shared" si="63"/>
        <v>=5.055*100000000</v>
      </c>
      <c r="BM173" s="16">
        <f t="shared" si="92"/>
        <v>1.3026706231454006</v>
      </c>
      <c r="BN173" s="1">
        <f>5.055*100000000</f>
        <v>505500000</v>
      </c>
    </row>
    <row r="174" spans="1:66">
      <c r="A174" s="17">
        <v>44</v>
      </c>
      <c r="B174">
        <v>600127</v>
      </c>
      <c r="C174" t="s">
        <v>31</v>
      </c>
      <c r="D174" s="6" t="s">
        <v>2456</v>
      </c>
      <c r="E174" s="7" t="str">
        <f t="shared" si="62"/>
        <v>=67.06*100000000</v>
      </c>
      <c r="F174" s="1">
        <f>67.06*100000000</f>
        <v>6706000000</v>
      </c>
      <c r="G174" s="8">
        <f t="shared" si="64"/>
        <v>0.4008773762272822</v>
      </c>
      <c r="H174" s="6" t="s">
        <v>2457</v>
      </c>
      <c r="I174" s="6" t="str">
        <f t="shared" si="65"/>
        <v>=47.87*100000000</v>
      </c>
      <c r="J174" s="1">
        <f>47.87*100000000</f>
        <v>4787000000</v>
      </c>
      <c r="K174" s="10">
        <f t="shared" si="66"/>
        <v>0.45678636640292147</v>
      </c>
      <c r="L174" s="6" t="s">
        <v>2458</v>
      </c>
      <c r="M174" s="6" t="str">
        <f t="shared" si="67"/>
        <v>=32.86*100000000</v>
      </c>
      <c r="N174" s="1">
        <f>32.86*100000000</f>
        <v>3286000000</v>
      </c>
      <c r="O174" s="8">
        <f t="shared" si="68"/>
        <v>0.94437869822485232</v>
      </c>
      <c r="P174" s="6" t="s">
        <v>2459</v>
      </c>
      <c r="Q174" s="6" t="str">
        <f t="shared" si="69"/>
        <v>=16.90*100000000</v>
      </c>
      <c r="R174" s="11">
        <f>16.9*100000000</f>
        <v>1689999999.9999998</v>
      </c>
      <c r="S174" s="8">
        <f t="shared" si="70"/>
        <v>-0.70433869839048291</v>
      </c>
      <c r="T174" s="6" t="s">
        <v>2460</v>
      </c>
      <c r="U174" s="6" t="str">
        <f t="shared" si="71"/>
        <v>=57.16*100000000</v>
      </c>
      <c r="V174" s="1">
        <f>57.16*100000000</f>
        <v>5716000000</v>
      </c>
      <c r="W174" s="8">
        <f t="shared" si="72"/>
        <v>0.40098039215686293</v>
      </c>
      <c r="X174" s="6" t="s">
        <v>2461</v>
      </c>
      <c r="Y174" s="6" t="str">
        <f t="shared" si="73"/>
        <v>=40.80*100000000</v>
      </c>
      <c r="Z174" s="1">
        <f>40.8*100000000</f>
        <v>4079999999.9999995</v>
      </c>
      <c r="AA174" s="8">
        <f t="shared" si="74"/>
        <v>0.57346702661010396</v>
      </c>
      <c r="AB174" s="6" t="s">
        <v>2462</v>
      </c>
      <c r="AC174" s="6" t="str">
        <f t="shared" si="75"/>
        <v>=25.93*100000000</v>
      </c>
      <c r="AD174" s="1">
        <f>25.93*100000000</f>
        <v>2593000000</v>
      </c>
      <c r="AE174" s="8">
        <f t="shared" si="76"/>
        <v>1.5521653543307086</v>
      </c>
      <c r="AF174" s="6" t="s">
        <v>603</v>
      </c>
      <c r="AG174" s="6" t="str">
        <f t="shared" si="77"/>
        <v>=10.16*100000000</v>
      </c>
      <c r="AH174" s="1">
        <f>10.16*100000000</f>
        <v>1016000000</v>
      </c>
      <c r="AI174" s="8">
        <f t="shared" si="78"/>
        <v>-0.75267770204479068</v>
      </c>
      <c r="AJ174" s="6" t="s">
        <v>2463</v>
      </c>
      <c r="AK174" s="6" t="str">
        <f t="shared" si="79"/>
        <v>=41.08*100000000</v>
      </c>
      <c r="AL174" s="1">
        <f>41.08*100000000</f>
        <v>4108000000</v>
      </c>
      <c r="AM174" s="8">
        <f t="shared" si="80"/>
        <v>0.38877620013522651</v>
      </c>
      <c r="AN174" s="6" t="s">
        <v>2264</v>
      </c>
      <c r="AO174" s="6" t="str">
        <f t="shared" si="81"/>
        <v>=29.58*100000000</v>
      </c>
      <c r="AP174" s="1">
        <f>29.58*100000000</f>
        <v>2958000000</v>
      </c>
      <c r="AQ174" s="8">
        <f t="shared" si="82"/>
        <v>0.46871896722939427</v>
      </c>
      <c r="AR174" s="6" t="s">
        <v>2464</v>
      </c>
      <c r="AS174" s="6" t="str">
        <f t="shared" si="83"/>
        <v>=20.14*100000000</v>
      </c>
      <c r="AT174" s="1">
        <f>20.14*100000000</f>
        <v>2014000000</v>
      </c>
      <c r="AU174" s="8">
        <f t="shared" si="84"/>
        <v>1.2192837465564741</v>
      </c>
      <c r="AV174" s="6" t="s">
        <v>2465</v>
      </c>
      <c r="AW174" s="6" t="str">
        <f t="shared" si="85"/>
        <v>=9.075*100000000</v>
      </c>
      <c r="AX174" s="1">
        <f>9.075*100000000</f>
        <v>907499999.99999988</v>
      </c>
      <c r="AY174" s="10">
        <f t="shared" si="86"/>
        <v>-0.69860511457987384</v>
      </c>
      <c r="AZ174" s="6" t="s">
        <v>2466</v>
      </c>
      <c r="BA174" s="6" t="str">
        <f t="shared" si="87"/>
        <v>=30.11*100000000</v>
      </c>
      <c r="BB174" s="1">
        <f>30.11*100000000</f>
        <v>3011000000</v>
      </c>
      <c r="BC174" s="8">
        <f t="shared" si="88"/>
        <v>0.37363138686131386</v>
      </c>
      <c r="BD174" s="6" t="s">
        <v>2467</v>
      </c>
      <c r="BE174" s="6" t="str">
        <f t="shared" si="89"/>
        <v>=21.92*100000000</v>
      </c>
      <c r="BF174" s="1">
        <f>21.92*100000000</f>
        <v>2192000000</v>
      </c>
      <c r="BG174" s="8">
        <f t="shared" si="90"/>
        <v>0.54257565095003524</v>
      </c>
      <c r="BH174" s="6" t="s">
        <v>2468</v>
      </c>
      <c r="BI174" s="6" t="str">
        <f t="shared" si="91"/>
        <v>=14.21*100000000</v>
      </c>
      <c r="BJ174" s="1">
        <f>14.21*100000000</f>
        <v>1421000000</v>
      </c>
      <c r="BK174" s="6" t="s">
        <v>2469</v>
      </c>
      <c r="BL174" s="1" t="str">
        <f t="shared" si="63"/>
        <v>=6.747*100000000</v>
      </c>
      <c r="BM174" s="16">
        <f t="shared" si="92"/>
        <v>1.1061212390692159</v>
      </c>
      <c r="BN174" s="1">
        <f>6.747*100000000</f>
        <v>674700000</v>
      </c>
    </row>
    <row r="175" spans="1:66">
      <c r="A175" s="18"/>
      <c r="B175">
        <v>600127</v>
      </c>
      <c r="C175" t="s">
        <v>48</v>
      </c>
      <c r="D175" s="7">
        <f>-2559*10000</f>
        <v>-25590000</v>
      </c>
      <c r="E175" s="7" t="str">
        <f t="shared" si="62"/>
        <v>=-25590000</v>
      </c>
      <c r="F175" s="1">
        <f>-25590000</f>
        <v>-25590000</v>
      </c>
      <c r="G175" s="8">
        <f t="shared" si="64"/>
        <v>-2.5565693430656933</v>
      </c>
      <c r="H175" s="7" t="s">
        <v>2470</v>
      </c>
      <c r="I175" s="6" t="str">
        <f t="shared" si="65"/>
        <v>=1644*10000</v>
      </c>
      <c r="J175" s="1">
        <f>1644*10000</f>
        <v>16440000</v>
      </c>
      <c r="K175" s="10">
        <f t="shared" si="66"/>
        <v>4.0506329113924051E-2</v>
      </c>
      <c r="L175" s="7" t="s">
        <v>2471</v>
      </c>
      <c r="M175" s="6" t="str">
        <f t="shared" si="67"/>
        <v>=1580*10000</v>
      </c>
      <c r="N175" s="1">
        <f>1580*10000</f>
        <v>15800000</v>
      </c>
      <c r="O175" s="8">
        <f t="shared" si="68"/>
        <v>0.22766122766122765</v>
      </c>
      <c r="P175" s="7" t="s">
        <v>2472</v>
      </c>
      <c r="Q175" s="6" t="str">
        <f t="shared" si="69"/>
        <v>=1287*10000</v>
      </c>
      <c r="R175" s="11">
        <f>1287*10000</f>
        <v>12870000</v>
      </c>
      <c r="S175" s="8">
        <f t="shared" si="70"/>
        <v>-0.6193433895297249</v>
      </c>
      <c r="T175" s="7" t="s">
        <v>2473</v>
      </c>
      <c r="U175" s="6" t="str">
        <f t="shared" si="71"/>
        <v>=3381*10000</v>
      </c>
      <c r="V175" s="1">
        <f>3381*10000</f>
        <v>33810000</v>
      </c>
      <c r="W175" s="8">
        <f t="shared" si="72"/>
        <v>-0.13418693982074265</v>
      </c>
      <c r="X175" s="7" t="s">
        <v>2474</v>
      </c>
      <c r="Y175" s="6" t="str">
        <f t="shared" si="73"/>
        <v>=3905*10000</v>
      </c>
      <c r="Z175" s="1">
        <f>3905*10000</f>
        <v>39050000</v>
      </c>
      <c r="AA175" s="8">
        <f t="shared" si="74"/>
        <v>1.2037246049661399</v>
      </c>
      <c r="AB175" s="7" t="s">
        <v>2475</v>
      </c>
      <c r="AC175" s="6" t="str">
        <f t="shared" si="75"/>
        <v>=1772*10000</v>
      </c>
      <c r="AD175" s="1">
        <f>1772*10000</f>
        <v>17720000</v>
      </c>
      <c r="AE175" s="8">
        <f t="shared" si="76"/>
        <v>1.10077059869591</v>
      </c>
      <c r="AF175" s="7" t="s">
        <v>2476</v>
      </c>
      <c r="AG175" s="6" t="str">
        <f t="shared" si="77"/>
        <v>=843.5*10000</v>
      </c>
      <c r="AH175" s="1">
        <f>843.5*10000</f>
        <v>8435000</v>
      </c>
      <c r="AI175" s="8">
        <f t="shared" si="78"/>
        <v>-0.62326931665922292</v>
      </c>
      <c r="AJ175" s="7" t="s">
        <v>2477</v>
      </c>
      <c r="AK175" s="6" t="str">
        <f t="shared" si="79"/>
        <v>=2239*10000</v>
      </c>
      <c r="AL175" s="1">
        <f>2239*10000</f>
        <v>22390000</v>
      </c>
      <c r="AM175" s="8">
        <f t="shared" si="80"/>
        <v>-0.55759731278403479</v>
      </c>
      <c r="AN175" s="7" t="s">
        <v>2478</v>
      </c>
      <c r="AO175" s="6" t="str">
        <f t="shared" si="81"/>
        <v>=5061*10000</v>
      </c>
      <c r="AP175" s="1">
        <f>5061*10000</f>
        <v>50610000</v>
      </c>
      <c r="AQ175" s="8">
        <f t="shared" si="82"/>
        <v>-5.6311765802722354E-2</v>
      </c>
      <c r="AR175" s="7" t="s">
        <v>2479</v>
      </c>
      <c r="AS175" s="6" t="str">
        <f t="shared" si="83"/>
        <v>=5363*10000</v>
      </c>
      <c r="AT175" s="1">
        <f>5363*10000</f>
        <v>53630000</v>
      </c>
      <c r="AU175" s="8">
        <f t="shared" si="84"/>
        <v>-0.12225859247135842</v>
      </c>
      <c r="AV175" s="7" t="s">
        <v>2480</v>
      </c>
      <c r="AW175" s="6" t="str">
        <f t="shared" si="85"/>
        <v>=6110*10000</v>
      </c>
      <c r="AX175" s="1">
        <f>6110*10000</f>
        <v>61100000</v>
      </c>
      <c r="AY175" s="10">
        <f t="shared" si="86"/>
        <v>-2.3297062023939064</v>
      </c>
      <c r="AZ175" s="7">
        <f>-4595*10000</f>
        <v>-45950000</v>
      </c>
      <c r="BA175" s="6" t="str">
        <f t="shared" si="87"/>
        <v>=-45950000</v>
      </c>
      <c r="BB175" s="1">
        <f>-45950000</f>
        <v>-45950000</v>
      </c>
      <c r="BC175" s="8">
        <f t="shared" si="88"/>
        <v>1.3230535894843276</v>
      </c>
      <c r="BD175" s="7">
        <f>-1978*10000</f>
        <v>-19780000</v>
      </c>
      <c r="BE175" s="6" t="str">
        <f t="shared" si="89"/>
        <v>=-19780000</v>
      </c>
      <c r="BF175" s="1">
        <f>-19780000</f>
        <v>-19780000</v>
      </c>
      <c r="BG175" s="8">
        <f t="shared" si="90"/>
        <v>-7.1716068642745707</v>
      </c>
      <c r="BH175" s="7" t="s">
        <v>2481</v>
      </c>
      <c r="BI175" s="6" t="str">
        <f t="shared" si="91"/>
        <v>=320.5*10000</v>
      </c>
      <c r="BJ175" s="1">
        <f>320.5*10000</f>
        <v>3205000</v>
      </c>
      <c r="BK175" s="7" t="s">
        <v>2482</v>
      </c>
      <c r="BL175" s="1" t="str">
        <f t="shared" si="63"/>
        <v>=188.6*10000</v>
      </c>
      <c r="BM175" s="16">
        <f t="shared" si="92"/>
        <v>0.69936373276776242</v>
      </c>
      <c r="BN175" s="1">
        <f>188.6*10000</f>
        <v>1886000</v>
      </c>
    </row>
    <row r="176" spans="1:66">
      <c r="A176" s="18"/>
      <c r="B176">
        <v>600127</v>
      </c>
      <c r="C176" t="s">
        <v>58</v>
      </c>
      <c r="D176" s="7">
        <f>-2598*10000</f>
        <v>-25980000</v>
      </c>
      <c r="E176" s="7" t="str">
        <f t="shared" si="62"/>
        <v>=-25980000</v>
      </c>
      <c r="F176" s="1">
        <f>-25980000</f>
        <v>-25980000</v>
      </c>
      <c r="G176" s="8">
        <f t="shared" si="64"/>
        <v>-2.5510447761194031</v>
      </c>
      <c r="H176" s="7" t="s">
        <v>2483</v>
      </c>
      <c r="I176" s="6" t="str">
        <f t="shared" si="65"/>
        <v>=1675*10000</v>
      </c>
      <c r="J176" s="1">
        <f>1675*10000</f>
        <v>16750000</v>
      </c>
      <c r="K176" s="10">
        <f t="shared" si="66"/>
        <v>5.478589420654912E-2</v>
      </c>
      <c r="L176" s="7" t="s">
        <v>1286</v>
      </c>
      <c r="M176" s="6" t="str">
        <f t="shared" si="67"/>
        <v>=1588*10000</v>
      </c>
      <c r="N176" s="1">
        <f>1588*10000</f>
        <v>15880000</v>
      </c>
      <c r="O176" s="8">
        <f t="shared" si="68"/>
        <v>0.23100775193798451</v>
      </c>
      <c r="P176" s="7" t="s">
        <v>2484</v>
      </c>
      <c r="Q176" s="6" t="str">
        <f t="shared" si="69"/>
        <v>=1290*10000</v>
      </c>
      <c r="R176" s="11">
        <f>1290*10000</f>
        <v>12900000</v>
      </c>
      <c r="S176" s="8">
        <f t="shared" si="70"/>
        <v>-0.61969339622641506</v>
      </c>
      <c r="T176" s="7" t="s">
        <v>2485</v>
      </c>
      <c r="U176" s="6" t="str">
        <f t="shared" si="71"/>
        <v>=3392*10000</v>
      </c>
      <c r="V176" s="1">
        <f>3392*10000</f>
        <v>33920000</v>
      </c>
      <c r="W176" s="8">
        <f t="shared" si="72"/>
        <v>-0.12734756881914072</v>
      </c>
      <c r="X176" s="7" t="s">
        <v>2486</v>
      </c>
      <c r="Y176" s="6" t="str">
        <f t="shared" si="73"/>
        <v>=3887*10000</v>
      </c>
      <c r="Z176" s="1">
        <f>3887*10000</f>
        <v>38870000</v>
      </c>
      <c r="AA176" s="8">
        <f t="shared" si="74"/>
        <v>1.1837078651685393</v>
      </c>
      <c r="AB176" s="7" t="s">
        <v>2487</v>
      </c>
      <c r="AC176" s="6" t="str">
        <f t="shared" si="75"/>
        <v>=1780*10000</v>
      </c>
      <c r="AD176" s="1">
        <f>1780*10000</f>
        <v>17800000</v>
      </c>
      <c r="AE176" s="8">
        <f t="shared" si="76"/>
        <v>1.1607186210245206</v>
      </c>
      <c r="AF176" s="7" t="s">
        <v>2488</v>
      </c>
      <c r="AG176" s="6" t="str">
        <f t="shared" si="77"/>
        <v>=823.8*10000</v>
      </c>
      <c r="AH176" s="1">
        <f>823.8*10000</f>
        <v>8238000</v>
      </c>
      <c r="AI176" s="8">
        <f t="shared" si="78"/>
        <v>-0.40733812949640286</v>
      </c>
      <c r="AJ176" s="7" t="s">
        <v>2489</v>
      </c>
      <c r="AK176" s="6" t="str">
        <f t="shared" si="79"/>
        <v>=1390*10000</v>
      </c>
      <c r="AL176" s="1">
        <f>1390*10000</f>
        <v>13900000</v>
      </c>
      <c r="AM176" s="8">
        <f t="shared" si="80"/>
        <v>-0.72310756972111556</v>
      </c>
      <c r="AN176" s="7" t="s">
        <v>2490</v>
      </c>
      <c r="AO176" s="6" t="str">
        <f t="shared" si="81"/>
        <v>=5020*10000</v>
      </c>
      <c r="AP176" s="1">
        <f>5020*10000</f>
        <v>50200000</v>
      </c>
      <c r="AQ176" s="8">
        <f t="shared" si="82"/>
        <v>-6.150682370536549E-2</v>
      </c>
      <c r="AR176" s="7" t="s">
        <v>2491</v>
      </c>
      <c r="AS176" s="6" t="str">
        <f t="shared" si="83"/>
        <v>=5349*10000</v>
      </c>
      <c r="AT176" s="1">
        <f>5349*10000</f>
        <v>53490000</v>
      </c>
      <c r="AU176" s="8">
        <f t="shared" si="84"/>
        <v>-0.12483638743455497</v>
      </c>
      <c r="AV176" s="7" t="s">
        <v>2492</v>
      </c>
      <c r="AW176" s="6" t="str">
        <f t="shared" si="85"/>
        <v>=6112*10000</v>
      </c>
      <c r="AX176" s="1">
        <f>6112*10000</f>
        <v>61120000</v>
      </c>
      <c r="AY176" s="10">
        <f t="shared" si="86"/>
        <v>-2.302087771623349</v>
      </c>
      <c r="AZ176" s="7">
        <f>-4694*10000</f>
        <v>-46940000</v>
      </c>
      <c r="BA176" s="6" t="str">
        <f t="shared" si="87"/>
        <v>=-46940000</v>
      </c>
      <c r="BB176" s="1">
        <f>-46940000</f>
        <v>-46940000</v>
      </c>
      <c r="BC176" s="8">
        <f t="shared" si="88"/>
        <v>2.0283870967741935</v>
      </c>
      <c r="BD176" s="7">
        <f>-1550*10000</f>
        <v>-15500000</v>
      </c>
      <c r="BE176" s="6" t="str">
        <f t="shared" si="89"/>
        <v>=-15500000</v>
      </c>
      <c r="BF176" s="1">
        <f>-15500000</f>
        <v>-15500000</v>
      </c>
      <c r="BG176" s="8">
        <f t="shared" si="90"/>
        <v>-3.4646207664175543</v>
      </c>
      <c r="BH176" s="7" t="s">
        <v>2493</v>
      </c>
      <c r="BI176" s="6" t="str">
        <f t="shared" si="91"/>
        <v>=628.9*10000</v>
      </c>
      <c r="BJ176" s="1">
        <f>628.9*10000</f>
        <v>6289000</v>
      </c>
      <c r="BK176" s="7" t="s">
        <v>2494</v>
      </c>
      <c r="BL176" s="1" t="str">
        <f t="shared" si="63"/>
        <v>=475.5*10000</v>
      </c>
      <c r="BM176" s="16">
        <f t="shared" si="92"/>
        <v>0.32260778128286016</v>
      </c>
      <c r="BN176" s="1">
        <f>475.5*10000</f>
        <v>4755000</v>
      </c>
    </row>
    <row r="177" spans="1:66">
      <c r="A177" s="19"/>
      <c r="B177">
        <v>600127</v>
      </c>
      <c r="C177" t="s">
        <v>68</v>
      </c>
      <c r="D177" s="7">
        <f>-3851*10000</f>
        <v>-38510000</v>
      </c>
      <c r="E177" s="7" t="str">
        <f t="shared" si="62"/>
        <v>=-38510000</v>
      </c>
      <c r="F177" s="1">
        <f>-38510000</f>
        <v>-38510000</v>
      </c>
      <c r="G177" s="8">
        <f t="shared" si="64"/>
        <v>-4.3516100957354222</v>
      </c>
      <c r="H177" s="7" t="s">
        <v>2495</v>
      </c>
      <c r="I177" s="6" t="str">
        <f t="shared" si="65"/>
        <v>=1149*10000</v>
      </c>
      <c r="J177" s="1">
        <f>1149*10000</f>
        <v>11490000</v>
      </c>
      <c r="K177" s="10">
        <f t="shared" si="66"/>
        <v>-6.5853658536585369E-2</v>
      </c>
      <c r="L177" s="7" t="s">
        <v>2496</v>
      </c>
      <c r="M177" s="6" t="str">
        <f t="shared" si="67"/>
        <v>=1230*10000</v>
      </c>
      <c r="N177" s="1">
        <f>1230*10000</f>
        <v>12300000</v>
      </c>
      <c r="O177" s="8">
        <f t="shared" si="68"/>
        <v>6.7708333333333329E-2</v>
      </c>
      <c r="P177" s="7" t="s">
        <v>2497</v>
      </c>
      <c r="Q177" s="6" t="str">
        <f t="shared" si="69"/>
        <v>=1152*10000</v>
      </c>
      <c r="R177" s="11">
        <f>1152*10000</f>
        <v>11520000</v>
      </c>
      <c r="S177" s="8">
        <f t="shared" si="70"/>
        <v>-0.49362637362637363</v>
      </c>
      <c r="T177" s="7" t="s">
        <v>2498</v>
      </c>
      <c r="U177" s="6" t="str">
        <f t="shared" si="71"/>
        <v>=2275*10000</v>
      </c>
      <c r="V177" s="1">
        <f>2275*10000</f>
        <v>22750000</v>
      </c>
      <c r="W177" s="8">
        <f t="shared" si="72"/>
        <v>-0.34944237918215615</v>
      </c>
      <c r="X177" s="7" t="s">
        <v>2499</v>
      </c>
      <c r="Y177" s="6" t="str">
        <f t="shared" si="73"/>
        <v>=3497*10000</v>
      </c>
      <c r="Z177" s="1">
        <f>3497*10000</f>
        <v>34970000</v>
      </c>
      <c r="AA177" s="8">
        <f t="shared" si="74"/>
        <v>1.2416666666666667</v>
      </c>
      <c r="AB177" s="7" t="s">
        <v>2151</v>
      </c>
      <c r="AC177" s="6" t="str">
        <f t="shared" si="75"/>
        <v>=1560*10000</v>
      </c>
      <c r="AD177" s="1">
        <f>1560*10000</f>
        <v>15600000</v>
      </c>
      <c r="AE177" s="8">
        <f t="shared" si="76"/>
        <v>1.0970560559214948</v>
      </c>
      <c r="AF177" s="7" t="s">
        <v>2500</v>
      </c>
      <c r="AG177" s="6" t="str">
        <f t="shared" si="77"/>
        <v>=743.9*10000</v>
      </c>
      <c r="AH177" s="1">
        <f>743.9*10000</f>
        <v>7439000</v>
      </c>
      <c r="AI177" s="8">
        <f t="shared" si="78"/>
        <v>-0.21054865754006155</v>
      </c>
      <c r="AJ177" s="7" t="s">
        <v>2501</v>
      </c>
      <c r="AK177" s="6" t="str">
        <f t="shared" si="79"/>
        <v>=942.3*10000</v>
      </c>
      <c r="AL177" s="1">
        <f>942.3*10000</f>
        <v>9423000</v>
      </c>
      <c r="AM177" s="8">
        <f t="shared" si="80"/>
        <v>-0.80286610878661091</v>
      </c>
      <c r="AN177" s="7" t="s">
        <v>2502</v>
      </c>
      <c r="AO177" s="6" t="str">
        <f t="shared" si="81"/>
        <v>=4780*10000</v>
      </c>
      <c r="AP177" s="1">
        <f>4780*10000</f>
        <v>47800000</v>
      </c>
      <c r="AQ177" s="8">
        <f t="shared" si="82"/>
        <v>-7.4898393652022444E-2</v>
      </c>
      <c r="AR177" s="7" t="s">
        <v>2503</v>
      </c>
      <c r="AS177" s="6" t="str">
        <f t="shared" si="83"/>
        <v>=5167*10000</v>
      </c>
      <c r="AT177" s="1">
        <f>5167*10000</f>
        <v>51670000</v>
      </c>
      <c r="AU177" s="8">
        <f t="shared" si="84"/>
        <v>-0.14269122283059565</v>
      </c>
      <c r="AV177" s="7" t="s">
        <v>2504</v>
      </c>
      <c r="AW177" s="6" t="str">
        <f t="shared" si="85"/>
        <v>=6027*10000</v>
      </c>
      <c r="AX177" s="1">
        <f>6027*10000</f>
        <v>60270000</v>
      </c>
      <c r="AY177" s="10">
        <f t="shared" si="86"/>
        <v>-2.1097403793039957</v>
      </c>
      <c r="AZ177" s="7">
        <f>-5431*10000</f>
        <v>-54310000</v>
      </c>
      <c r="BA177" s="6" t="str">
        <f t="shared" si="87"/>
        <v>=-54310000</v>
      </c>
      <c r="BB177" s="1">
        <f>-54310000</f>
        <v>-54310000</v>
      </c>
      <c r="BC177" s="8">
        <f t="shared" si="88"/>
        <v>2.0273132664437012</v>
      </c>
      <c r="BD177" s="7">
        <f>-1794*10000</f>
        <v>-17940000</v>
      </c>
      <c r="BE177" s="6" t="str">
        <f t="shared" si="89"/>
        <v>=-17940000</v>
      </c>
      <c r="BF177" s="1">
        <f>-17940000</f>
        <v>-17940000</v>
      </c>
      <c r="BG177" s="8">
        <f t="shared" si="90"/>
        <v>-4.6784908755382411</v>
      </c>
      <c r="BH177" s="7" t="s">
        <v>2505</v>
      </c>
      <c r="BI177" s="6" t="str">
        <f t="shared" si="91"/>
        <v>=487.7*10000</v>
      </c>
      <c r="BJ177" s="1">
        <f>487.7*10000</f>
        <v>4877000</v>
      </c>
      <c r="BK177" s="7" t="s">
        <v>2506</v>
      </c>
      <c r="BL177" s="1" t="str">
        <f t="shared" si="63"/>
        <v>=452.2*10000</v>
      </c>
      <c r="BM177" s="16">
        <f t="shared" si="92"/>
        <v>7.8505086245024322E-2</v>
      </c>
      <c r="BN177" s="1">
        <f>452.2*10000</f>
        <v>4522000</v>
      </c>
    </row>
    <row r="178" spans="1:66">
      <c r="A178" s="17">
        <v>45</v>
      </c>
      <c r="B178">
        <v>600129</v>
      </c>
      <c r="C178" t="s">
        <v>31</v>
      </c>
      <c r="D178" s="6" t="s">
        <v>2507</v>
      </c>
      <c r="E178" s="7" t="str">
        <f t="shared" si="62"/>
        <v>=121.5*100000000</v>
      </c>
      <c r="F178" s="1">
        <f>121.5*100000000</f>
        <v>12150000000</v>
      </c>
      <c r="G178" s="8">
        <f t="shared" si="64"/>
        <v>0.26959247648902823</v>
      </c>
      <c r="H178" s="6" t="s">
        <v>2508</v>
      </c>
      <c r="I178" s="6" t="str">
        <f t="shared" si="65"/>
        <v>=95.70*100000000</v>
      </c>
      <c r="J178" s="1">
        <f>95.7*100000000</f>
        <v>9570000000</v>
      </c>
      <c r="K178" s="10">
        <f t="shared" si="66"/>
        <v>0.48533291944746215</v>
      </c>
      <c r="L178" s="6" t="s">
        <v>2509</v>
      </c>
      <c r="M178" s="6" t="str">
        <f t="shared" si="67"/>
        <v>=64.43*100000000</v>
      </c>
      <c r="N178" s="1">
        <f>64.43*100000000</f>
        <v>6443000000.000001</v>
      </c>
      <c r="O178" s="8">
        <f t="shared" si="68"/>
        <v>0.95420078859569335</v>
      </c>
      <c r="P178" s="6" t="s">
        <v>2510</v>
      </c>
      <c r="Q178" s="6" t="str">
        <f t="shared" si="69"/>
        <v>=32.97*100000000</v>
      </c>
      <c r="R178" s="11">
        <f>32.97*100000000</f>
        <v>3297000000</v>
      </c>
      <c r="S178" s="8">
        <f t="shared" si="70"/>
        <v>-0.7058876003568243</v>
      </c>
      <c r="T178" s="6" t="s">
        <v>312</v>
      </c>
      <c r="U178" s="6" t="str">
        <f t="shared" si="71"/>
        <v>=112.1*100000000</v>
      </c>
      <c r="V178" s="1">
        <f>112.1*100000000</f>
        <v>11210000000</v>
      </c>
      <c r="W178" s="8">
        <f t="shared" si="72"/>
        <v>0.2967032967032967</v>
      </c>
      <c r="X178" s="6" t="s">
        <v>2511</v>
      </c>
      <c r="Y178" s="6" t="str">
        <f t="shared" si="73"/>
        <v>=86.45*100000000</v>
      </c>
      <c r="Z178" s="1">
        <f>86.45*100000000</f>
        <v>8645000000</v>
      </c>
      <c r="AA178" s="8">
        <f t="shared" si="74"/>
        <v>0.5024330900243309</v>
      </c>
      <c r="AB178" s="6" t="s">
        <v>2512</v>
      </c>
      <c r="AC178" s="6" t="str">
        <f t="shared" si="75"/>
        <v>=57.54*100000000</v>
      </c>
      <c r="AD178" s="1">
        <f>57.54*100000000</f>
        <v>5754000000</v>
      </c>
      <c r="AE178" s="8">
        <f t="shared" si="76"/>
        <v>1.1446142377935147</v>
      </c>
      <c r="AF178" s="6" t="s">
        <v>2513</v>
      </c>
      <c r="AG178" s="6" t="str">
        <f t="shared" si="77"/>
        <v>=26.83*100000000</v>
      </c>
      <c r="AH178" s="1">
        <f>26.83*100000000</f>
        <v>2683000000</v>
      </c>
      <c r="AI178" s="8">
        <f t="shared" si="78"/>
        <v>-0.76950171821305846</v>
      </c>
      <c r="AJ178" s="6" t="s">
        <v>2514</v>
      </c>
      <c r="AK178" s="6" t="str">
        <f t="shared" si="79"/>
        <v>=116.4*100000000</v>
      </c>
      <c r="AL178" s="1">
        <f>116.4*100000000</f>
        <v>11640000000</v>
      </c>
      <c r="AM178" s="8">
        <f t="shared" si="80"/>
        <v>0.29462796129462798</v>
      </c>
      <c r="AN178" s="6" t="s">
        <v>2515</v>
      </c>
      <c r="AO178" s="6" t="str">
        <f t="shared" si="81"/>
        <v>=89.91*100000000</v>
      </c>
      <c r="AP178" s="1">
        <f>89.91*100000000</f>
        <v>8991000000</v>
      </c>
      <c r="AQ178" s="8">
        <f t="shared" si="82"/>
        <v>0.46218897381688079</v>
      </c>
      <c r="AR178" s="6" t="s">
        <v>2516</v>
      </c>
      <c r="AS178" s="6" t="str">
        <f t="shared" si="83"/>
        <v>=61.49*100000000</v>
      </c>
      <c r="AT178" s="1">
        <f>61.49*100000000</f>
        <v>6149000000</v>
      </c>
      <c r="AU178" s="8">
        <f t="shared" si="84"/>
        <v>0.97907949790794979</v>
      </c>
      <c r="AV178" s="6" t="s">
        <v>2517</v>
      </c>
      <c r="AW178" s="6" t="str">
        <f t="shared" si="85"/>
        <v>=31.07*100000000</v>
      </c>
      <c r="AX178" s="1">
        <f>31.07*100000000</f>
        <v>3107000000</v>
      </c>
      <c r="AY178" s="10">
        <f t="shared" si="86"/>
        <v>-0.70935453695042094</v>
      </c>
      <c r="AZ178" s="6" t="s">
        <v>2518</v>
      </c>
      <c r="BA178" s="6" t="str">
        <f t="shared" si="87"/>
        <v>=106.9*100000000</v>
      </c>
      <c r="BB178" s="1">
        <f>106.9*100000000</f>
        <v>10690000000</v>
      </c>
      <c r="BC178" s="8">
        <f t="shared" si="88"/>
        <v>0.38060183391450325</v>
      </c>
      <c r="BD178" s="6" t="s">
        <v>2519</v>
      </c>
      <c r="BE178" s="6" t="str">
        <f t="shared" si="89"/>
        <v>=77.43*100000000</v>
      </c>
      <c r="BF178" s="1">
        <f>77.43*100000000</f>
        <v>7743000000.000001</v>
      </c>
      <c r="BG178" s="8">
        <f t="shared" si="90"/>
        <v>0.50466381655654902</v>
      </c>
      <c r="BH178" s="6" t="s">
        <v>2520</v>
      </c>
      <c r="BI178" s="6" t="str">
        <f t="shared" si="91"/>
        <v>=51.46*100000000</v>
      </c>
      <c r="BJ178" s="1">
        <f>51.46*100000000</f>
        <v>5146000000</v>
      </c>
      <c r="BK178" s="6" t="s">
        <v>2521</v>
      </c>
      <c r="BL178" s="1" t="str">
        <f t="shared" si="63"/>
        <v>=22.50*100000000</v>
      </c>
      <c r="BM178" s="16">
        <f t="shared" si="92"/>
        <v>1.2871111111111111</v>
      </c>
      <c r="BN178" s="1">
        <f>22.5*100000000</f>
        <v>2250000000</v>
      </c>
    </row>
    <row r="179" spans="1:66">
      <c r="A179" s="18"/>
      <c r="B179">
        <v>600129</v>
      </c>
      <c r="C179" t="s">
        <v>48</v>
      </c>
      <c r="D179" s="6">
        <f>-4.974*100000000</f>
        <v>-497400000</v>
      </c>
      <c r="E179" s="7" t="str">
        <f t="shared" si="62"/>
        <v>=-497400000</v>
      </c>
      <c r="F179" s="1">
        <f>-497400000</f>
        <v>-497400000</v>
      </c>
      <c r="G179" s="8">
        <f t="shared" si="64"/>
        <v>-2.4742145820983996</v>
      </c>
      <c r="H179" s="6" t="s">
        <v>2522</v>
      </c>
      <c r="I179" s="6" t="str">
        <f t="shared" si="65"/>
        <v>=3.374*100000000</v>
      </c>
      <c r="J179" s="1">
        <f>3.374*100000000</f>
        <v>337400000</v>
      </c>
      <c r="K179" s="10">
        <f t="shared" si="66"/>
        <v>2.3672654690618762</v>
      </c>
      <c r="L179" s="6" t="s">
        <v>2523</v>
      </c>
      <c r="M179" s="6" t="str">
        <f t="shared" si="67"/>
        <v>=1.002*100000000</v>
      </c>
      <c r="N179" s="1">
        <f>1.002*100000000</f>
        <v>100200000</v>
      </c>
      <c r="O179" s="8">
        <f t="shared" si="68"/>
        <v>2.0271903323262839</v>
      </c>
      <c r="P179" s="7" t="s">
        <v>2524</v>
      </c>
      <c r="Q179" s="6" t="str">
        <f t="shared" si="69"/>
        <v>=3310*10000</v>
      </c>
      <c r="R179" s="11">
        <f>3310*10000</f>
        <v>33100000</v>
      </c>
      <c r="S179" s="8">
        <f t="shared" si="70"/>
        <v>-0.78876834716017874</v>
      </c>
      <c r="T179" s="6" t="s">
        <v>2170</v>
      </c>
      <c r="U179" s="6" t="str">
        <f t="shared" si="71"/>
        <v>=1.567*100000000</v>
      </c>
      <c r="V179" s="1">
        <f>1.567*100000000</f>
        <v>156700000</v>
      </c>
      <c r="W179" s="8">
        <f t="shared" si="72"/>
        <v>0.84396328547893618</v>
      </c>
      <c r="X179" s="7" t="s">
        <v>2525</v>
      </c>
      <c r="Y179" s="6" t="str">
        <f t="shared" si="73"/>
        <v>=8498*10000</v>
      </c>
      <c r="Z179" s="1">
        <f>8498*10000</f>
        <v>84980000</v>
      </c>
      <c r="AA179" s="8">
        <f t="shared" si="74"/>
        <v>0.62144628887616871</v>
      </c>
      <c r="AB179" s="7" t="s">
        <v>2526</v>
      </c>
      <c r="AC179" s="6" t="str">
        <f t="shared" si="75"/>
        <v>=5241*10000</v>
      </c>
      <c r="AD179" s="1">
        <f>5241*10000</f>
        <v>52410000</v>
      </c>
      <c r="AE179" s="8">
        <f t="shared" si="76"/>
        <v>-3.0838966202783302</v>
      </c>
      <c r="AF179" s="7">
        <f>-2515*10000</f>
        <v>-25150000</v>
      </c>
      <c r="AG179" s="6" t="str">
        <f t="shared" si="77"/>
        <v>=-25150000</v>
      </c>
      <c r="AH179" s="1">
        <f>-25150000</f>
        <v>-25150000</v>
      </c>
      <c r="AI179" s="8">
        <f t="shared" si="78"/>
        <v>-1.3139433279241044</v>
      </c>
      <c r="AJ179" s="7" t="s">
        <v>2527</v>
      </c>
      <c r="AK179" s="6" t="str">
        <f t="shared" si="79"/>
        <v>=8011*10000</v>
      </c>
      <c r="AL179" s="1">
        <f>8011*10000</f>
        <v>80110000</v>
      </c>
      <c r="AM179" s="8">
        <f t="shared" si="80"/>
        <v>-0.67355338223308892</v>
      </c>
      <c r="AN179" s="6" t="s">
        <v>2528</v>
      </c>
      <c r="AO179" s="6" t="str">
        <f t="shared" si="81"/>
        <v>=2.454*100000000</v>
      </c>
      <c r="AP179" s="1">
        <f>2.454*100000000</f>
        <v>245400000.00000003</v>
      </c>
      <c r="AQ179" s="8">
        <f t="shared" si="82"/>
        <v>0.42260869565217407</v>
      </c>
      <c r="AR179" s="6" t="s">
        <v>2529</v>
      </c>
      <c r="AS179" s="6" t="str">
        <f t="shared" si="83"/>
        <v>=1.725*100000000</v>
      </c>
      <c r="AT179" s="1">
        <f>1.725*100000000</f>
        <v>172500000</v>
      </c>
      <c r="AU179" s="8">
        <f t="shared" si="84"/>
        <v>0.2618873445501097</v>
      </c>
      <c r="AV179" s="6" t="s">
        <v>2200</v>
      </c>
      <c r="AW179" s="6" t="str">
        <f t="shared" si="85"/>
        <v>=1.367*100000000</v>
      </c>
      <c r="AX179" s="1">
        <f>1.367*100000000</f>
        <v>136700000</v>
      </c>
      <c r="AY179" s="10">
        <f t="shared" si="86"/>
        <v>-8.3780160857908847E-2</v>
      </c>
      <c r="AZ179" s="6" t="s">
        <v>2530</v>
      </c>
      <c r="BA179" s="6" t="str">
        <f t="shared" si="87"/>
        <v>=1.492*100000000</v>
      </c>
      <c r="BB179" s="1">
        <f>1.492*100000000</f>
        <v>149200000</v>
      </c>
      <c r="BC179" s="8">
        <f t="shared" si="88"/>
        <v>-0.41282959464777647</v>
      </c>
      <c r="BD179" s="6" t="s">
        <v>2531</v>
      </c>
      <c r="BE179" s="6" t="str">
        <f t="shared" si="89"/>
        <v>=2.541*100000000</v>
      </c>
      <c r="BF179" s="1">
        <f>2.541*100000000</f>
        <v>254100000</v>
      </c>
      <c r="BG179" s="8">
        <f t="shared" si="90"/>
        <v>1.1122194513715711</v>
      </c>
      <c r="BH179" s="6" t="s">
        <v>2532</v>
      </c>
      <c r="BI179" s="6" t="str">
        <f t="shared" si="91"/>
        <v>=1.203*100000000</v>
      </c>
      <c r="BJ179" s="1">
        <f>1.203*100000000</f>
        <v>120300000</v>
      </c>
      <c r="BK179" s="7" t="s">
        <v>2533</v>
      </c>
      <c r="BL179" s="1" t="str">
        <f t="shared" si="63"/>
        <v>=2290*10000</v>
      </c>
      <c r="BM179" s="16">
        <f t="shared" si="92"/>
        <v>4.253275109170306</v>
      </c>
      <c r="BN179" s="1">
        <f>2290*10000</f>
        <v>22900000</v>
      </c>
    </row>
    <row r="180" spans="1:66">
      <c r="A180" s="18"/>
      <c r="B180">
        <v>600129</v>
      </c>
      <c r="C180" t="s">
        <v>58</v>
      </c>
      <c r="D180" s="6">
        <f>-4.941*100000000</f>
        <v>-494100000</v>
      </c>
      <c r="E180" s="7" t="str">
        <f t="shared" si="62"/>
        <v>=-494100000</v>
      </c>
      <c r="F180" s="1">
        <f>-494100000</f>
        <v>-494100000</v>
      </c>
      <c r="G180" s="8">
        <f t="shared" si="64"/>
        <v>-2.4511013215859032</v>
      </c>
      <c r="H180" s="6" t="s">
        <v>2534</v>
      </c>
      <c r="I180" s="6" t="str">
        <f t="shared" si="65"/>
        <v>=3.405*100000000</v>
      </c>
      <c r="J180" s="1">
        <f>3.405*100000000</f>
        <v>340500000</v>
      </c>
      <c r="K180" s="10">
        <f t="shared" si="66"/>
        <v>2.3712871287128712</v>
      </c>
      <c r="L180" s="6" t="s">
        <v>908</v>
      </c>
      <c r="M180" s="6" t="str">
        <f t="shared" si="67"/>
        <v>=1.010*100000000</v>
      </c>
      <c r="N180" s="1">
        <f>1.01*100000000</f>
        <v>101000000</v>
      </c>
      <c r="O180" s="8">
        <f t="shared" si="68"/>
        <v>1.9471841260577765</v>
      </c>
      <c r="P180" s="7" t="s">
        <v>2535</v>
      </c>
      <c r="Q180" s="6" t="str">
        <f t="shared" si="69"/>
        <v>=3427*10000</v>
      </c>
      <c r="R180" s="11">
        <f>3427*10000</f>
        <v>34270000</v>
      </c>
      <c r="S180" s="8">
        <f t="shared" si="70"/>
        <v>-0.77557301899148656</v>
      </c>
      <c r="T180" s="6" t="s">
        <v>2536</v>
      </c>
      <c r="U180" s="6" t="str">
        <f t="shared" si="71"/>
        <v>=1.527*100000000</v>
      </c>
      <c r="V180" s="1">
        <f>1.527*100000000</f>
        <v>152700000</v>
      </c>
      <c r="W180" s="8">
        <f t="shared" si="72"/>
        <v>0.83071574151780359</v>
      </c>
      <c r="X180" s="7" t="s">
        <v>2537</v>
      </c>
      <c r="Y180" s="6" t="str">
        <f t="shared" si="73"/>
        <v>=8341*10000</v>
      </c>
      <c r="Z180" s="1">
        <f>8341*10000</f>
        <v>83410000</v>
      </c>
      <c r="AA180" s="8">
        <f t="shared" si="74"/>
        <v>0.51986151603498543</v>
      </c>
      <c r="AB180" s="7" t="s">
        <v>2538</v>
      </c>
      <c r="AC180" s="6" t="str">
        <f t="shared" si="75"/>
        <v>=5488*10000</v>
      </c>
      <c r="AD180" s="1">
        <f>5488*10000</f>
        <v>54880000</v>
      </c>
      <c r="AE180" s="8">
        <f t="shared" si="76"/>
        <v>-3.2762339278307757</v>
      </c>
      <c r="AF180" s="7">
        <f>-2411*10000</f>
        <v>-24110000</v>
      </c>
      <c r="AG180" s="6" t="str">
        <f t="shared" si="77"/>
        <v>=-24110000</v>
      </c>
      <c r="AH180" s="1">
        <f>-24110000</f>
        <v>-24110000</v>
      </c>
      <c r="AI180" s="8">
        <f t="shared" si="78"/>
        <v>-1.3421314034340854</v>
      </c>
      <c r="AJ180" s="7" t="s">
        <v>2539</v>
      </c>
      <c r="AK180" s="6" t="str">
        <f t="shared" si="79"/>
        <v>=7047*10000</v>
      </c>
      <c r="AL180" s="1">
        <f>7047*10000</f>
        <v>70470000</v>
      </c>
      <c r="AM180" s="8">
        <f t="shared" si="80"/>
        <v>-0.69320853286895956</v>
      </c>
      <c r="AN180" s="6" t="s">
        <v>2540</v>
      </c>
      <c r="AO180" s="6" t="str">
        <f t="shared" si="81"/>
        <v>=2.297*100000000</v>
      </c>
      <c r="AP180" s="1">
        <f>2.297*100000000</f>
        <v>229700000.00000003</v>
      </c>
      <c r="AQ180" s="8">
        <f t="shared" si="82"/>
        <v>0.41440886699507407</v>
      </c>
      <c r="AR180" s="6" t="s">
        <v>2541</v>
      </c>
      <c r="AS180" s="6" t="str">
        <f t="shared" si="83"/>
        <v>=1.624*100000000</v>
      </c>
      <c r="AT180" s="1">
        <f>1.624*100000000</f>
        <v>162400000</v>
      </c>
      <c r="AU180" s="8">
        <f t="shared" si="84"/>
        <v>0.18453683442742524</v>
      </c>
      <c r="AV180" s="6" t="s">
        <v>2542</v>
      </c>
      <c r="AW180" s="6" t="str">
        <f t="shared" si="85"/>
        <v>=1.371*100000000</v>
      </c>
      <c r="AX180" s="1">
        <f>1.371*100000000</f>
        <v>137100000</v>
      </c>
      <c r="AY180" s="10">
        <f t="shared" si="86"/>
        <v>-2.2111269614835949E-2</v>
      </c>
      <c r="AZ180" s="6" t="s">
        <v>2543</v>
      </c>
      <c r="BA180" s="6" t="str">
        <f t="shared" si="87"/>
        <v>=1.402*100000000</v>
      </c>
      <c r="BB180" s="1">
        <f>1.402*100000000</f>
        <v>140200000</v>
      </c>
      <c r="BC180" s="8">
        <f t="shared" si="88"/>
        <v>-0.43717382577278202</v>
      </c>
      <c r="BD180" s="6" t="s">
        <v>2544</v>
      </c>
      <c r="BE180" s="6" t="str">
        <f t="shared" si="89"/>
        <v>=2.491*100000000</v>
      </c>
      <c r="BF180" s="1">
        <f>2.491*100000000</f>
        <v>249100000</v>
      </c>
      <c r="BG180" s="8">
        <f t="shared" si="90"/>
        <v>1.1254266211604096</v>
      </c>
      <c r="BH180" s="6" t="s">
        <v>2545</v>
      </c>
      <c r="BI180" s="6" t="str">
        <f t="shared" si="91"/>
        <v>=1.172*100000000</v>
      </c>
      <c r="BJ180" s="1">
        <f>1.172*100000000</f>
        <v>117200000</v>
      </c>
      <c r="BK180" s="7" t="s">
        <v>2546</v>
      </c>
      <c r="BL180" s="1" t="str">
        <f t="shared" si="63"/>
        <v>=1927*10000</v>
      </c>
      <c r="BM180" s="16">
        <f t="shared" si="92"/>
        <v>5.0819927348209655</v>
      </c>
      <c r="BN180" s="1">
        <f>1927*10000</f>
        <v>19270000</v>
      </c>
    </row>
    <row r="181" spans="1:66">
      <c r="A181" s="19"/>
      <c r="B181">
        <v>600129</v>
      </c>
      <c r="C181" t="s">
        <v>68</v>
      </c>
      <c r="D181" s="6">
        <f>-5.772*100000000</f>
        <v>-577200000</v>
      </c>
      <c r="E181" s="7" t="str">
        <f t="shared" si="62"/>
        <v>=-577200000</v>
      </c>
      <c r="F181" s="1">
        <f>-577200000</f>
        <v>-577200000</v>
      </c>
      <c r="G181" s="8">
        <f t="shared" si="64"/>
        <v>-3.49438202247191</v>
      </c>
      <c r="H181" s="6" t="s">
        <v>2547</v>
      </c>
      <c r="I181" s="6" t="str">
        <f t="shared" si="65"/>
        <v>=2.314*100000000</v>
      </c>
      <c r="J181" s="1">
        <f>2.314*100000000</f>
        <v>231400000</v>
      </c>
      <c r="K181" s="10">
        <f t="shared" si="66"/>
        <v>2.2327465772562167</v>
      </c>
      <c r="L181" s="7" t="s">
        <v>2548</v>
      </c>
      <c r="M181" s="6" t="str">
        <f t="shared" si="67"/>
        <v>=7158*10000</v>
      </c>
      <c r="N181" s="1">
        <f>7158*10000</f>
        <v>71580000</v>
      </c>
      <c r="O181" s="8">
        <f t="shared" si="68"/>
        <v>2.5682951146560318</v>
      </c>
      <c r="P181" s="7" t="s">
        <v>2549</v>
      </c>
      <c r="Q181" s="6" t="str">
        <f t="shared" si="69"/>
        <v>=2006*10000</v>
      </c>
      <c r="R181" s="11">
        <f>2006*10000</f>
        <v>20060000</v>
      </c>
      <c r="S181" s="8">
        <f t="shared" si="70"/>
        <v>-0.37488314116547211</v>
      </c>
      <c r="T181" s="7" t="s">
        <v>2550</v>
      </c>
      <c r="U181" s="6" t="str">
        <f t="shared" si="71"/>
        <v>=3209*10000</v>
      </c>
      <c r="V181" s="1">
        <f>3209*10000</f>
        <v>32090000</v>
      </c>
      <c r="W181" s="8">
        <f t="shared" si="72"/>
        <v>1.552903739061257</v>
      </c>
      <c r="X181" s="7" t="s">
        <v>2551</v>
      </c>
      <c r="Y181" s="6" t="str">
        <f t="shared" si="73"/>
        <v>=1257*10000</v>
      </c>
      <c r="Z181" s="1">
        <f>1257*10000</f>
        <v>12570000</v>
      </c>
      <c r="AA181" s="8">
        <f t="shared" si="74"/>
        <v>0.3906405575838035</v>
      </c>
      <c r="AB181" s="7" t="s">
        <v>2552</v>
      </c>
      <c r="AC181" s="6" t="str">
        <f t="shared" si="75"/>
        <v>=903.9*10000</v>
      </c>
      <c r="AD181" s="1">
        <f>903.9*10000</f>
        <v>9039000</v>
      </c>
      <c r="AE181" s="8">
        <f t="shared" si="76"/>
        <v>-1.2735774818401937</v>
      </c>
      <c r="AF181" s="7">
        <f>-3304*10000</f>
        <v>-33040000</v>
      </c>
      <c r="AG181" s="6" t="str">
        <f t="shared" si="77"/>
        <v>=-33040000</v>
      </c>
      <c r="AH181" s="1">
        <f>-33040000</f>
        <v>-33040000</v>
      </c>
      <c r="AI181" s="8">
        <f t="shared" si="78"/>
        <v>-0.68291746641074857</v>
      </c>
      <c r="AJ181" s="6">
        <f>-1.042*100000000</f>
        <v>-104200000</v>
      </c>
      <c r="AK181" s="6" t="str">
        <f t="shared" si="79"/>
        <v>=-104200000</v>
      </c>
      <c r="AL181" s="1">
        <f>-104200000</f>
        <v>-104200000</v>
      </c>
      <c r="AM181" s="8">
        <f t="shared" si="80"/>
        <v>-1.8527004909983633</v>
      </c>
      <c r="AN181" s="6" t="s">
        <v>2553</v>
      </c>
      <c r="AO181" s="6" t="str">
        <f t="shared" si="81"/>
        <v>=1.222*100000000</v>
      </c>
      <c r="AP181" s="1">
        <f>1.222*100000000</f>
        <v>122200000</v>
      </c>
      <c r="AQ181" s="8">
        <f t="shared" si="82"/>
        <v>0.31313131313131315</v>
      </c>
      <c r="AR181" s="7" t="s">
        <v>2554</v>
      </c>
      <c r="AS181" s="6" t="str">
        <f t="shared" si="83"/>
        <v>=9306*10000</v>
      </c>
      <c r="AT181" s="1">
        <f>9306*10000</f>
        <v>93060000</v>
      </c>
      <c r="AU181" s="8">
        <f t="shared" si="84"/>
        <v>-0.14780219780219792</v>
      </c>
      <c r="AV181" s="6" t="s">
        <v>2555</v>
      </c>
      <c r="AW181" s="6" t="str">
        <f t="shared" si="85"/>
        <v>=1.092*100000000</v>
      </c>
      <c r="AX181" s="1">
        <f>1.092*100000000</f>
        <v>109200000.00000001</v>
      </c>
      <c r="AY181" s="10">
        <f t="shared" si="86"/>
        <v>0.75987107171635804</v>
      </c>
      <c r="AZ181" s="7" t="s">
        <v>2556</v>
      </c>
      <c r="BA181" s="6" t="str">
        <f t="shared" si="87"/>
        <v>=6205*10000</v>
      </c>
      <c r="BB181" s="1">
        <f>6205*10000</f>
        <v>62050000</v>
      </c>
      <c r="BC181" s="8">
        <f t="shared" si="88"/>
        <v>-0.62575392038600719</v>
      </c>
      <c r="BD181" s="6" t="s">
        <v>2557</v>
      </c>
      <c r="BE181" s="6" t="str">
        <f t="shared" si="89"/>
        <v>=1.658*100000000</v>
      </c>
      <c r="BF181" s="1">
        <f>1.658*100000000</f>
        <v>165800000</v>
      </c>
      <c r="BG181" s="8">
        <f t="shared" si="90"/>
        <v>1.6468710089399745</v>
      </c>
      <c r="BH181" s="7" t="s">
        <v>2558</v>
      </c>
      <c r="BI181" s="6" t="str">
        <f t="shared" si="91"/>
        <v>=6264*10000</v>
      </c>
      <c r="BJ181" s="1">
        <f>6264*10000</f>
        <v>62640000</v>
      </c>
      <c r="BK181" s="7" t="s">
        <v>2559</v>
      </c>
      <c r="BL181" s="1" t="str">
        <f t="shared" si="63"/>
        <v>=691.5*10000</v>
      </c>
      <c r="BM181" s="16">
        <f t="shared" si="92"/>
        <v>8.0585683297180051</v>
      </c>
      <c r="BN181" s="1">
        <f>691.5*10000</f>
        <v>6915000</v>
      </c>
    </row>
    <row r="182" spans="1:66">
      <c r="A182" s="17">
        <v>46</v>
      </c>
      <c r="B182">
        <v>600130</v>
      </c>
      <c r="C182" t="s">
        <v>31</v>
      </c>
      <c r="D182" s="6" t="s">
        <v>2560</v>
      </c>
      <c r="E182" s="7" t="str">
        <f t="shared" si="62"/>
        <v>=7.874*100000000</v>
      </c>
      <c r="F182" s="1">
        <f>7.874*100000000</f>
        <v>787400000</v>
      </c>
      <c r="G182" s="8">
        <f t="shared" si="64"/>
        <v>0.38773352132534367</v>
      </c>
      <c r="H182" s="6" t="s">
        <v>2561</v>
      </c>
      <c r="I182" s="6" t="str">
        <f t="shared" si="65"/>
        <v>=5.674*100000000</v>
      </c>
      <c r="J182" s="1">
        <f>5.674*100000000</f>
        <v>567400000</v>
      </c>
      <c r="K182" s="10">
        <f t="shared" si="66"/>
        <v>0.36197791646663446</v>
      </c>
      <c r="L182" s="6" t="s">
        <v>2562</v>
      </c>
      <c r="M182" s="6" t="str">
        <f t="shared" si="67"/>
        <v>=4.166*100000000</v>
      </c>
      <c r="N182" s="1">
        <f>4.166*100000000</f>
        <v>416600000.00000006</v>
      </c>
      <c r="O182" s="8">
        <f t="shared" si="68"/>
        <v>0.91188618632400242</v>
      </c>
      <c r="P182" s="6" t="s">
        <v>2563</v>
      </c>
      <c r="Q182" s="6" t="str">
        <f t="shared" si="69"/>
        <v>=2.179*100000000</v>
      </c>
      <c r="R182" s="11">
        <f>2.179*100000000</f>
        <v>217899999.99999997</v>
      </c>
      <c r="S182" s="8">
        <f t="shared" si="70"/>
        <v>-0.69524475524475526</v>
      </c>
      <c r="T182" s="6" t="s">
        <v>2564</v>
      </c>
      <c r="U182" s="6" t="str">
        <f t="shared" si="71"/>
        <v>=7.150*100000000</v>
      </c>
      <c r="V182" s="1">
        <f>7.15*100000000</f>
        <v>715000000</v>
      </c>
      <c r="W182" s="8">
        <f t="shared" si="72"/>
        <v>0.76980198019801982</v>
      </c>
      <c r="X182" s="6" t="s">
        <v>2565</v>
      </c>
      <c r="Y182" s="6" t="str">
        <f t="shared" si="73"/>
        <v>=4.040*100000000</v>
      </c>
      <c r="Z182" s="1">
        <f>4.04*100000000</f>
        <v>404000000</v>
      </c>
      <c r="AA182" s="8">
        <f t="shared" si="74"/>
        <v>2.1761006289308176</v>
      </c>
      <c r="AB182" s="6" t="s">
        <v>2566</v>
      </c>
      <c r="AC182" s="6" t="str">
        <f t="shared" si="75"/>
        <v>=1.272*100000000</v>
      </c>
      <c r="AD182" s="1">
        <f>1.272*100000000</f>
        <v>127200000</v>
      </c>
      <c r="AE182" s="8">
        <f t="shared" si="76"/>
        <v>2.3150899139953087</v>
      </c>
      <c r="AF182" s="7" t="s">
        <v>2567</v>
      </c>
      <c r="AG182" s="6" t="str">
        <f t="shared" si="77"/>
        <v>=3837*10000</v>
      </c>
      <c r="AH182" s="1">
        <f>3837*10000</f>
        <v>38370000</v>
      </c>
      <c r="AI182" s="8">
        <f t="shared" si="78"/>
        <v>-0.92857408786299334</v>
      </c>
      <c r="AJ182" s="6" t="s">
        <v>2568</v>
      </c>
      <c r="AK182" s="6" t="str">
        <f t="shared" si="79"/>
        <v>=5.372*100000000</v>
      </c>
      <c r="AL182" s="1">
        <f>5.372*100000000</f>
        <v>537200000</v>
      </c>
      <c r="AM182" s="8">
        <f t="shared" si="80"/>
        <v>0.32315270935960611</v>
      </c>
      <c r="AN182" s="6" t="s">
        <v>2569</v>
      </c>
      <c r="AO182" s="6" t="str">
        <f t="shared" si="81"/>
        <v>=4.060*100000000</v>
      </c>
      <c r="AP182" s="1">
        <f>4.06*100000000</f>
        <v>405999999.99999994</v>
      </c>
      <c r="AQ182" s="8">
        <f t="shared" si="82"/>
        <v>0.6902581182348041</v>
      </c>
      <c r="AR182" s="6" t="s">
        <v>2570</v>
      </c>
      <c r="AS182" s="6" t="str">
        <f t="shared" si="83"/>
        <v>=2.402*100000000</v>
      </c>
      <c r="AT182" s="1">
        <f>2.402*100000000</f>
        <v>240200000</v>
      </c>
      <c r="AU182" s="8">
        <f t="shared" si="84"/>
        <v>0.77531411677753137</v>
      </c>
      <c r="AV182" s="6" t="s">
        <v>2571</v>
      </c>
      <c r="AW182" s="6" t="str">
        <f t="shared" si="85"/>
        <v>=1.353*100000000</v>
      </c>
      <c r="AX182" s="1">
        <f>1.353*100000000</f>
        <v>135300000</v>
      </c>
      <c r="AY182" s="10">
        <f t="shared" si="86"/>
        <v>-0.7772472835034574</v>
      </c>
      <c r="AZ182" s="6" t="s">
        <v>2572</v>
      </c>
      <c r="BA182" s="6" t="str">
        <f t="shared" si="87"/>
        <v>=6.074*100000000</v>
      </c>
      <c r="BB182" s="1">
        <f>6.074*100000000</f>
        <v>607400000</v>
      </c>
      <c r="BC182" s="8">
        <f t="shared" si="88"/>
        <v>0.49458661417322836</v>
      </c>
      <c r="BD182" s="6" t="s">
        <v>114</v>
      </c>
      <c r="BE182" s="6" t="str">
        <f t="shared" si="89"/>
        <v>=4.064*100000000</v>
      </c>
      <c r="BF182" s="1">
        <f>4.064*100000000</f>
        <v>406400000</v>
      </c>
      <c r="BG182" s="8">
        <f t="shared" si="90"/>
        <v>0.38419618528610355</v>
      </c>
      <c r="BH182" s="6" t="s">
        <v>2573</v>
      </c>
      <c r="BI182" s="6" t="str">
        <f t="shared" si="91"/>
        <v>=2.936*100000000</v>
      </c>
      <c r="BJ182" s="1">
        <f>2.936*100000000</f>
        <v>293600000</v>
      </c>
      <c r="BK182" s="6" t="s">
        <v>2574</v>
      </c>
      <c r="BL182" s="1" t="str">
        <f t="shared" si="63"/>
        <v>=1.623*100000000</v>
      </c>
      <c r="BM182" s="16">
        <f t="shared" si="92"/>
        <v>0.80899568699938385</v>
      </c>
      <c r="BN182" s="1">
        <f>1.623*100000000</f>
        <v>162300000</v>
      </c>
    </row>
    <row r="183" spans="1:66">
      <c r="A183" s="18"/>
      <c r="B183">
        <v>600130</v>
      </c>
      <c r="C183" t="s">
        <v>48</v>
      </c>
      <c r="D183" s="7" t="s">
        <v>2575</v>
      </c>
      <c r="E183" s="7" t="str">
        <f t="shared" si="62"/>
        <v>=5710*10000</v>
      </c>
      <c r="F183" s="1">
        <f>5710*10000</f>
        <v>57100000</v>
      </c>
      <c r="G183" s="8">
        <f t="shared" si="64"/>
        <v>0.50263157894736843</v>
      </c>
      <c r="H183" s="7" t="s">
        <v>2576</v>
      </c>
      <c r="I183" s="6" t="str">
        <f t="shared" si="65"/>
        <v>=3800*10000</v>
      </c>
      <c r="J183" s="1">
        <f>3800*10000</f>
        <v>38000000</v>
      </c>
      <c r="K183" s="10">
        <f t="shared" si="66"/>
        <v>2.813852813852814E-2</v>
      </c>
      <c r="L183" s="7" t="s">
        <v>2577</v>
      </c>
      <c r="M183" s="6" t="str">
        <f t="shared" si="67"/>
        <v>=3696*10000</v>
      </c>
      <c r="N183" s="1">
        <f>3696*10000</f>
        <v>36960000</v>
      </c>
      <c r="O183" s="8">
        <f t="shared" si="68"/>
        <v>4.7373486494877364</v>
      </c>
      <c r="P183" s="7" t="s">
        <v>2578</v>
      </c>
      <c r="Q183" s="6" t="str">
        <f t="shared" si="69"/>
        <v>=644.2*10000</v>
      </c>
      <c r="R183" s="11">
        <f>644.2*10000</f>
        <v>6442000</v>
      </c>
      <c r="S183" s="8">
        <f t="shared" si="70"/>
        <v>-0.86466386554621844</v>
      </c>
      <c r="T183" s="7" t="s">
        <v>2579</v>
      </c>
      <c r="U183" s="6" t="str">
        <f t="shared" si="71"/>
        <v>=4760*10000</v>
      </c>
      <c r="V183" s="1">
        <f>4760*10000</f>
        <v>47600000</v>
      </c>
      <c r="W183" s="8">
        <f t="shared" si="72"/>
        <v>7.0384528895884868E-2</v>
      </c>
      <c r="X183" s="7" t="s">
        <v>2580</v>
      </c>
      <c r="Y183" s="6" t="str">
        <f t="shared" si="73"/>
        <v>=4447*10000</v>
      </c>
      <c r="Z183" s="1">
        <f>4447*10000</f>
        <v>44470000</v>
      </c>
      <c r="AA183" s="8">
        <f t="shared" si="74"/>
        <v>0.18428761651131825</v>
      </c>
      <c r="AB183" s="7" t="s">
        <v>2581</v>
      </c>
      <c r="AC183" s="6" t="str">
        <f t="shared" si="75"/>
        <v>=3755*10000</v>
      </c>
      <c r="AD183" s="1">
        <f>3755*10000</f>
        <v>37550000</v>
      </c>
      <c r="AE183" s="8">
        <f t="shared" si="76"/>
        <v>-11.827566320645905</v>
      </c>
      <c r="AF183" s="7">
        <f>-346.8*10000</f>
        <v>-3468000</v>
      </c>
      <c r="AG183" s="6" t="str">
        <f t="shared" si="77"/>
        <v>=-3468000</v>
      </c>
      <c r="AH183" s="1">
        <f>-3468000</f>
        <v>-3468000</v>
      </c>
      <c r="AI183" s="8">
        <f t="shared" si="78"/>
        <v>-1.1213435969209238</v>
      </c>
      <c r="AJ183" s="7" t="s">
        <v>2582</v>
      </c>
      <c r="AK183" s="6" t="str">
        <f t="shared" si="79"/>
        <v>=2858*10000</v>
      </c>
      <c r="AL183" s="1">
        <f>2858*10000</f>
        <v>28580000</v>
      </c>
      <c r="AM183" s="8">
        <f t="shared" si="80"/>
        <v>1.4766031195840554</v>
      </c>
      <c r="AN183" s="7" t="s">
        <v>2583</v>
      </c>
      <c r="AO183" s="6" t="str">
        <f t="shared" si="81"/>
        <v>=1154*10000</v>
      </c>
      <c r="AP183" s="1">
        <f>1154*10000</f>
        <v>11540000</v>
      </c>
      <c r="AQ183" s="8">
        <f t="shared" si="82"/>
        <v>1.6008564345278342</v>
      </c>
      <c r="AR183" s="7" t="s">
        <v>2584</v>
      </c>
      <c r="AS183" s="6" t="str">
        <f t="shared" si="83"/>
        <v>=443.7*10000</v>
      </c>
      <c r="AT183" s="1">
        <f>443.7*10000</f>
        <v>4437000</v>
      </c>
      <c r="AU183" s="8">
        <f t="shared" si="84"/>
        <v>-2.2014622258326564</v>
      </c>
      <c r="AV183" s="7">
        <f>-369.3*10000</f>
        <v>-3693000</v>
      </c>
      <c r="AW183" s="6" t="str">
        <f t="shared" si="85"/>
        <v>=-3693000</v>
      </c>
      <c r="AX183" s="1">
        <f>-3693000</f>
        <v>-3693000</v>
      </c>
      <c r="AY183" s="10">
        <f t="shared" si="86"/>
        <v>-1.1173871582962491</v>
      </c>
      <c r="AZ183" s="7" t="s">
        <v>2585</v>
      </c>
      <c r="BA183" s="6" t="str">
        <f t="shared" si="87"/>
        <v>=3146*10000</v>
      </c>
      <c r="BB183" s="1">
        <f>3146*10000</f>
        <v>31460000</v>
      </c>
      <c r="BC183" s="8">
        <f t="shared" si="88"/>
        <v>-8.7057457922228673E-2</v>
      </c>
      <c r="BD183" s="7" t="s">
        <v>2586</v>
      </c>
      <c r="BE183" s="6" t="str">
        <f t="shared" si="89"/>
        <v>=3446*10000</v>
      </c>
      <c r="BF183" s="1">
        <f>3446*10000</f>
        <v>34460000</v>
      </c>
      <c r="BG183" s="8">
        <f t="shared" si="90"/>
        <v>0.10236724248240563</v>
      </c>
      <c r="BH183" s="7" t="s">
        <v>2587</v>
      </c>
      <c r="BI183" s="6" t="str">
        <f t="shared" si="91"/>
        <v>=3126*10000</v>
      </c>
      <c r="BJ183" s="1">
        <f>3126*10000</f>
        <v>31260000</v>
      </c>
      <c r="BK183" s="7" t="s">
        <v>2588</v>
      </c>
      <c r="BL183" s="1" t="str">
        <f t="shared" si="63"/>
        <v>=681.2*10000</v>
      </c>
      <c r="BM183" s="16">
        <f t="shared" si="92"/>
        <v>3.5889606576629478</v>
      </c>
      <c r="BN183" s="1">
        <f>681.2*10000</f>
        <v>6812000</v>
      </c>
    </row>
    <row r="184" spans="1:66">
      <c r="A184" s="18"/>
      <c r="B184">
        <v>600130</v>
      </c>
      <c r="C184" t="s">
        <v>58</v>
      </c>
      <c r="D184" s="7" t="s">
        <v>2589</v>
      </c>
      <c r="E184" s="7" t="str">
        <f t="shared" si="62"/>
        <v>=5971*10000</v>
      </c>
      <c r="F184" s="1">
        <f>5971*10000</f>
        <v>59710000</v>
      </c>
      <c r="G184" s="8">
        <f t="shared" si="64"/>
        <v>0.55171517671517667</v>
      </c>
      <c r="H184" s="7" t="s">
        <v>2590</v>
      </c>
      <c r="I184" s="6" t="str">
        <f t="shared" si="65"/>
        <v>=3848*10000</v>
      </c>
      <c r="J184" s="1">
        <f>3848*10000</f>
        <v>38480000</v>
      </c>
      <c r="K184" s="10">
        <f t="shared" si="66"/>
        <v>3.1082529474812434E-2</v>
      </c>
      <c r="L184" s="7" t="s">
        <v>2591</v>
      </c>
      <c r="M184" s="6" t="str">
        <f t="shared" si="67"/>
        <v>=3732*10000</v>
      </c>
      <c r="N184" s="1">
        <f>3732*10000</f>
        <v>37320000</v>
      </c>
      <c r="O184" s="8">
        <f t="shared" si="68"/>
        <v>4.7914338919925514</v>
      </c>
      <c r="P184" s="7" t="s">
        <v>2592</v>
      </c>
      <c r="Q184" s="6" t="str">
        <f t="shared" si="69"/>
        <v>=644.4*10000</v>
      </c>
      <c r="R184" s="11">
        <f>644.4*10000</f>
        <v>6444000</v>
      </c>
      <c r="S184" s="8">
        <f t="shared" si="70"/>
        <v>-0.87055042185616716</v>
      </c>
      <c r="T184" s="7" t="s">
        <v>2593</v>
      </c>
      <c r="U184" s="6" t="str">
        <f t="shared" si="71"/>
        <v>=4978*10000</v>
      </c>
      <c r="V184" s="1">
        <f>4978*10000</f>
        <v>49780000</v>
      </c>
      <c r="W184" s="8">
        <f t="shared" si="72"/>
        <v>7.9358196010407639E-2</v>
      </c>
      <c r="X184" s="7" t="s">
        <v>2594</v>
      </c>
      <c r="Y184" s="6" t="str">
        <f t="shared" si="73"/>
        <v>=4612*10000</v>
      </c>
      <c r="Z184" s="1">
        <f>4612*10000</f>
        <v>46120000</v>
      </c>
      <c r="AA184" s="8">
        <f t="shared" si="74"/>
        <v>0.22757519297311685</v>
      </c>
      <c r="AB184" s="7" t="s">
        <v>2595</v>
      </c>
      <c r="AC184" s="6" t="str">
        <f t="shared" si="75"/>
        <v>=3757*10000</v>
      </c>
      <c r="AD184" s="1">
        <f>3757*10000</f>
        <v>37570000</v>
      </c>
      <c r="AE184" s="8">
        <f t="shared" si="76"/>
        <v>-11.839584535487594</v>
      </c>
      <c r="AF184" s="7">
        <f>-346.6*10000</f>
        <v>-3466000</v>
      </c>
      <c r="AG184" s="6" t="str">
        <f t="shared" si="77"/>
        <v>=-3466000</v>
      </c>
      <c r="AH184" s="1">
        <f>-3466000</f>
        <v>-3466000</v>
      </c>
      <c r="AI184" s="8">
        <f t="shared" si="78"/>
        <v>-1.1074395536267825</v>
      </c>
      <c r="AJ184" s="7" t="s">
        <v>2596</v>
      </c>
      <c r="AK184" s="6" t="str">
        <f t="shared" si="79"/>
        <v>=3226*10000</v>
      </c>
      <c r="AL184" s="1">
        <f>3226*10000</f>
        <v>32260000</v>
      </c>
      <c r="AM184" s="8">
        <f t="shared" si="80"/>
        <v>1.1636485580147553</v>
      </c>
      <c r="AN184" s="7" t="s">
        <v>2597</v>
      </c>
      <c r="AO184" s="6" t="str">
        <f t="shared" si="81"/>
        <v>=1491*10000</v>
      </c>
      <c r="AP184" s="1">
        <f>1491*10000</f>
        <v>14910000</v>
      </c>
      <c r="AQ184" s="8">
        <f t="shared" si="82"/>
        <v>2.1043098063710182</v>
      </c>
      <c r="AR184" s="7" t="s">
        <v>2598</v>
      </c>
      <c r="AS184" s="6" t="str">
        <f t="shared" si="83"/>
        <v>=480.3*10000</v>
      </c>
      <c r="AT184" s="1">
        <f>480.3*10000</f>
        <v>4803000</v>
      </c>
      <c r="AU184" s="8">
        <f t="shared" si="84"/>
        <v>-2.3746422438465942</v>
      </c>
      <c r="AV184" s="7">
        <f>-349.4*10000</f>
        <v>-3494000</v>
      </c>
      <c r="AW184" s="6" t="str">
        <f t="shared" si="85"/>
        <v>=-3494000</v>
      </c>
      <c r="AX184" s="1">
        <f>-3494000</f>
        <v>-3494000</v>
      </c>
      <c r="AY184" s="10">
        <f t="shared" si="86"/>
        <v>-1.1053996983408747</v>
      </c>
      <c r="AZ184" s="7" t="s">
        <v>2599</v>
      </c>
      <c r="BA184" s="6" t="str">
        <f t="shared" si="87"/>
        <v>=3315*10000</v>
      </c>
      <c r="BB184" s="1">
        <f>3315*10000</f>
        <v>33150000</v>
      </c>
      <c r="BC184" s="8">
        <f t="shared" si="88"/>
        <v>-5.3127677806341048E-2</v>
      </c>
      <c r="BD184" s="7" t="s">
        <v>2600</v>
      </c>
      <c r="BE184" s="6" t="str">
        <f t="shared" si="89"/>
        <v>=3501*10000</v>
      </c>
      <c r="BF184" s="1">
        <f>3501*10000</f>
        <v>35010000</v>
      </c>
      <c r="BG184" s="8">
        <f t="shared" si="90"/>
        <v>0.11354961832061068</v>
      </c>
      <c r="BH184" s="7" t="s">
        <v>2601</v>
      </c>
      <c r="BI184" s="6" t="str">
        <f t="shared" si="91"/>
        <v>=3144*10000</v>
      </c>
      <c r="BJ184" s="1">
        <f>3144*10000</f>
        <v>31440000</v>
      </c>
      <c r="BK184" s="7" t="s">
        <v>2602</v>
      </c>
      <c r="BL184" s="1" t="str">
        <f t="shared" si="63"/>
        <v>=681.5*10000</v>
      </c>
      <c r="BM184" s="16">
        <f t="shared" si="92"/>
        <v>3.6133528980190754</v>
      </c>
      <c r="BN184" s="1">
        <f>681.5*10000</f>
        <v>6815000</v>
      </c>
    </row>
    <row r="185" spans="1:66">
      <c r="A185" s="19"/>
      <c r="B185">
        <v>600130</v>
      </c>
      <c r="C185" t="s">
        <v>68</v>
      </c>
      <c r="D185" s="7" t="s">
        <v>2603</v>
      </c>
      <c r="E185" s="7" t="str">
        <f t="shared" si="62"/>
        <v>=5728*10000</v>
      </c>
      <c r="F185" s="1">
        <f>5728*10000</f>
        <v>57280000</v>
      </c>
      <c r="G185" s="8">
        <f t="shared" si="64"/>
        <v>0.61579689703808183</v>
      </c>
      <c r="H185" s="7" t="s">
        <v>2604</v>
      </c>
      <c r="I185" s="6" t="str">
        <f t="shared" si="65"/>
        <v>=3545*10000</v>
      </c>
      <c r="J185" s="1">
        <f>3545*10000</f>
        <v>35450000</v>
      </c>
      <c r="K185" s="10">
        <f t="shared" si="66"/>
        <v>-4.2134831460674156E-3</v>
      </c>
      <c r="L185" s="7" t="s">
        <v>2605</v>
      </c>
      <c r="M185" s="6" t="str">
        <f t="shared" si="67"/>
        <v>=3560*10000</v>
      </c>
      <c r="N185" s="1">
        <f>3560*10000</f>
        <v>35600000</v>
      </c>
      <c r="O185" s="8">
        <f t="shared" si="68"/>
        <v>4.5288088212455353</v>
      </c>
      <c r="P185" s="7" t="s">
        <v>2606</v>
      </c>
      <c r="Q185" s="6" t="str">
        <f t="shared" si="69"/>
        <v>=643.9*10000</v>
      </c>
      <c r="R185" s="11">
        <f>643.9*10000</f>
        <v>6439000</v>
      </c>
      <c r="S185" s="8">
        <f t="shared" si="70"/>
        <v>-0.8352775645945254</v>
      </c>
      <c r="T185" s="7" t="s">
        <v>2607</v>
      </c>
      <c r="U185" s="6" t="str">
        <f t="shared" si="71"/>
        <v>=3909*10000</v>
      </c>
      <c r="V185" s="1">
        <f>3909*10000</f>
        <v>39090000</v>
      </c>
      <c r="W185" s="8">
        <f t="shared" si="72"/>
        <v>0.11019596705481398</v>
      </c>
      <c r="X185" s="7" t="s">
        <v>2608</v>
      </c>
      <c r="Y185" s="6" t="str">
        <f t="shared" si="73"/>
        <v>=3521*10000</v>
      </c>
      <c r="Z185" s="1">
        <f>3521*10000</f>
        <v>35210000</v>
      </c>
      <c r="AA185" s="8">
        <f t="shared" si="74"/>
        <v>0.29782528566162919</v>
      </c>
      <c r="AB185" s="7" t="s">
        <v>2609</v>
      </c>
      <c r="AC185" s="6" t="str">
        <f t="shared" si="75"/>
        <v>=2713*10000</v>
      </c>
      <c r="AD185" s="1">
        <f>2713*10000</f>
        <v>27130000</v>
      </c>
      <c r="AE185" s="8">
        <f t="shared" si="76"/>
        <v>-8.4471589349437277</v>
      </c>
      <c r="AF185" s="7">
        <f>-364.3*10000</f>
        <v>-3643000</v>
      </c>
      <c r="AG185" s="6" t="str">
        <f t="shared" si="77"/>
        <v>=-3643000</v>
      </c>
      <c r="AH185" s="1">
        <f>-3643000</f>
        <v>-3643000</v>
      </c>
      <c r="AI185" s="8">
        <f t="shared" si="78"/>
        <v>-1.1304799426934098</v>
      </c>
      <c r="AJ185" s="7" t="s">
        <v>2610</v>
      </c>
      <c r="AK185" s="6" t="str">
        <f t="shared" si="79"/>
        <v>=2792*10000</v>
      </c>
      <c r="AL185" s="1">
        <f>2792*10000</f>
        <v>27920000</v>
      </c>
      <c r="AM185" s="8">
        <f t="shared" si="80"/>
        <v>1.0043072505384063</v>
      </c>
      <c r="AN185" s="7" t="s">
        <v>2611</v>
      </c>
      <c r="AO185" s="6" t="str">
        <f t="shared" si="81"/>
        <v>=1393*10000</v>
      </c>
      <c r="AP185" s="1">
        <f>1393*10000</f>
        <v>13930000</v>
      </c>
      <c r="AQ185" s="8">
        <f t="shared" si="82"/>
        <v>1.9002706641682281</v>
      </c>
      <c r="AR185" s="7" t="s">
        <v>2598</v>
      </c>
      <c r="AS185" s="6" t="str">
        <f t="shared" si="83"/>
        <v>=480.3*10000</v>
      </c>
      <c r="AT185" s="1">
        <f>480.3*10000</f>
        <v>4803000</v>
      </c>
      <c r="AU185" s="8">
        <f t="shared" si="84"/>
        <v>-2.3746422438465942</v>
      </c>
      <c r="AV185" s="7">
        <f>-349.4*10000</f>
        <v>-3494000</v>
      </c>
      <c r="AW185" s="6" t="str">
        <f t="shared" si="85"/>
        <v>=-3494000</v>
      </c>
      <c r="AX185" s="1">
        <f>-3494000</f>
        <v>-3494000</v>
      </c>
      <c r="AY185" s="10">
        <f t="shared" si="86"/>
        <v>-1.1055589123867069</v>
      </c>
      <c r="AZ185" s="7" t="s">
        <v>2524</v>
      </c>
      <c r="BA185" s="6" t="str">
        <f t="shared" si="87"/>
        <v>=3310*10000</v>
      </c>
      <c r="BB185" s="1">
        <f>3310*10000</f>
        <v>33100000</v>
      </c>
      <c r="BC185" s="8">
        <f t="shared" si="88"/>
        <v>-5.4555841188231931E-2</v>
      </c>
      <c r="BD185" s="7" t="s">
        <v>2600</v>
      </c>
      <c r="BE185" s="6" t="str">
        <f t="shared" si="89"/>
        <v>=3501*10000</v>
      </c>
      <c r="BF185" s="1">
        <f>3501*10000</f>
        <v>35010000</v>
      </c>
      <c r="BG185" s="8">
        <f t="shared" si="90"/>
        <v>0.11354961832061068</v>
      </c>
      <c r="BH185" s="7" t="s">
        <v>2601</v>
      </c>
      <c r="BI185" s="6" t="str">
        <f t="shared" si="91"/>
        <v>=3144*10000</v>
      </c>
      <c r="BJ185" s="1">
        <f>3144*10000</f>
        <v>31440000</v>
      </c>
      <c r="BK185" s="7" t="s">
        <v>2602</v>
      </c>
      <c r="BL185" s="1" t="str">
        <f t="shared" si="63"/>
        <v>=681.5*10000</v>
      </c>
      <c r="BM185" s="16">
        <f t="shared" si="92"/>
        <v>3.6133528980190754</v>
      </c>
      <c r="BN185" s="1">
        <f>681.5*10000</f>
        <v>6815000</v>
      </c>
    </row>
    <row r="186" spans="1:66">
      <c r="A186" s="17">
        <v>47</v>
      </c>
      <c r="B186">
        <v>600132</v>
      </c>
      <c r="C186" t="s">
        <v>31</v>
      </c>
      <c r="D186" s="6" t="s">
        <v>2612</v>
      </c>
      <c r="E186" s="7" t="str">
        <f t="shared" si="62"/>
        <v>=131.2*100000000</v>
      </c>
      <c r="F186" s="1">
        <f>131.2*100000000</f>
        <v>13119999999.999998</v>
      </c>
      <c r="G186" s="8">
        <f t="shared" si="64"/>
        <v>0.17247542448614817</v>
      </c>
      <c r="H186" s="6" t="s">
        <v>2613</v>
      </c>
      <c r="I186" s="6" t="str">
        <f t="shared" si="65"/>
        <v>=111.9*100000000</v>
      </c>
      <c r="J186" s="1">
        <f>111.9*100000000</f>
        <v>11190000000</v>
      </c>
      <c r="K186" s="10">
        <f t="shared" si="66"/>
        <v>0.56744642106737642</v>
      </c>
      <c r="L186" s="6" t="s">
        <v>2614</v>
      </c>
      <c r="M186" s="6" t="str">
        <f t="shared" si="67"/>
        <v>=71.39*100000000</v>
      </c>
      <c r="N186" s="1">
        <f>71.39*100000000</f>
        <v>7139000000</v>
      </c>
      <c r="O186" s="8">
        <f t="shared" si="68"/>
        <v>1.1818459657701712</v>
      </c>
      <c r="P186" s="6" t="s">
        <v>2615</v>
      </c>
      <c r="Q186" s="6" t="str">
        <f t="shared" si="69"/>
        <v>=32.72*100000000</v>
      </c>
      <c r="R186" s="11">
        <f>32.72*100000000</f>
        <v>3272000000</v>
      </c>
      <c r="S186" s="8">
        <f t="shared" si="70"/>
        <v>-0.70091407678244977</v>
      </c>
      <c r="T186" s="6" t="s">
        <v>2616</v>
      </c>
      <c r="U186" s="6" t="str">
        <f t="shared" si="71"/>
        <v>=109.4*100000000</v>
      </c>
      <c r="V186" s="1">
        <f>109.4*100000000</f>
        <v>10940000000</v>
      </c>
      <c r="W186" s="8">
        <f t="shared" si="72"/>
        <v>0.21151716500553711</v>
      </c>
      <c r="X186" s="6" t="s">
        <v>2617</v>
      </c>
      <c r="Y186" s="6" t="str">
        <f t="shared" si="73"/>
        <v>=90.30*100000000</v>
      </c>
      <c r="Z186" s="1">
        <f>90.3*100000000</f>
        <v>9030000000</v>
      </c>
      <c r="AA186" s="8">
        <f t="shared" si="74"/>
        <v>0.61307609860664525</v>
      </c>
      <c r="AB186" s="6" t="s">
        <v>2618</v>
      </c>
      <c r="AC186" s="6" t="str">
        <f t="shared" si="75"/>
        <v>=55.98*100000000</v>
      </c>
      <c r="AD186" s="1">
        <f>55.98*100000000</f>
        <v>5598000000</v>
      </c>
      <c r="AE186" s="8">
        <f t="shared" si="76"/>
        <v>1.6836049856184085</v>
      </c>
      <c r="AF186" s="6" t="s">
        <v>2619</v>
      </c>
      <c r="AG186" s="6" t="str">
        <f t="shared" si="77"/>
        <v>=20.86*100000000</v>
      </c>
      <c r="AH186" s="1">
        <f>20.86*100000000</f>
        <v>2086000000</v>
      </c>
      <c r="AI186" s="8">
        <f t="shared" si="78"/>
        <v>-0.79569049951028403</v>
      </c>
      <c r="AJ186" s="6" t="s">
        <v>2620</v>
      </c>
      <c r="AK186" s="6" t="str">
        <f t="shared" si="79"/>
        <v>=102.1*100000000</v>
      </c>
      <c r="AL186" s="1">
        <f>102.1*100000000</f>
        <v>10210000000</v>
      </c>
      <c r="AM186" s="8">
        <f t="shared" si="80"/>
        <v>2.3752066115702481</v>
      </c>
      <c r="AN186" s="6" t="s">
        <v>2621</v>
      </c>
      <c r="AO186" s="6" t="str">
        <f t="shared" si="81"/>
        <v>=30.25*100000000</v>
      </c>
      <c r="AP186" s="1">
        <f>30.25*100000000</f>
        <v>3025000000</v>
      </c>
      <c r="AQ186" s="8">
        <f t="shared" si="82"/>
        <v>0.65030005455537387</v>
      </c>
      <c r="AR186" s="6" t="s">
        <v>2622</v>
      </c>
      <c r="AS186" s="6" t="str">
        <f t="shared" si="83"/>
        <v>=18.33*100000000</v>
      </c>
      <c r="AT186" s="1">
        <f>18.33*100000000</f>
        <v>1832999999.9999998</v>
      </c>
      <c r="AU186" s="8">
        <f t="shared" si="84"/>
        <v>1.1996879875195006</v>
      </c>
      <c r="AV186" s="6" t="s">
        <v>2623</v>
      </c>
      <c r="AW186" s="6" t="str">
        <f t="shared" si="85"/>
        <v>=8.333*100000000</v>
      </c>
      <c r="AX186" s="1">
        <f>8.333*100000000</f>
        <v>833300000</v>
      </c>
      <c r="AY186" s="10">
        <f t="shared" si="86"/>
        <v>-0.75964811075858085</v>
      </c>
      <c r="AZ186" s="6" t="s">
        <v>2624</v>
      </c>
      <c r="BA186" s="6" t="str">
        <f t="shared" si="87"/>
        <v>=34.67*100000000</v>
      </c>
      <c r="BB186" s="1">
        <f>34.67*100000000</f>
        <v>3467000000</v>
      </c>
      <c r="BC186" s="8">
        <f t="shared" si="88"/>
        <v>0.18570451436388508</v>
      </c>
      <c r="BD186" s="6" t="s">
        <v>2625</v>
      </c>
      <c r="BE186" s="6" t="str">
        <f t="shared" si="89"/>
        <v>=29.24*100000000</v>
      </c>
      <c r="BF186" s="1">
        <f>29.24*100000000</f>
        <v>2924000000</v>
      </c>
      <c r="BG186" s="8">
        <f t="shared" si="90"/>
        <v>0.65759637188208619</v>
      </c>
      <c r="BH186" s="6" t="s">
        <v>2626</v>
      </c>
      <c r="BI186" s="6" t="str">
        <f t="shared" si="91"/>
        <v>=17.64*100000000</v>
      </c>
      <c r="BJ186" s="1">
        <f>17.64*100000000</f>
        <v>1764000000</v>
      </c>
      <c r="BK186" s="6" t="s">
        <v>2627</v>
      </c>
      <c r="BL186" s="1" t="str">
        <f t="shared" si="63"/>
        <v>=8.127*100000000</v>
      </c>
      <c r="BM186" s="16">
        <f t="shared" si="92"/>
        <v>1.1705426356589144</v>
      </c>
      <c r="BN186" s="1">
        <f>8.127*100000000</f>
        <v>812700000.00000012</v>
      </c>
    </row>
    <row r="187" spans="1:66">
      <c r="A187" s="18"/>
      <c r="B187">
        <v>600132</v>
      </c>
      <c r="C187" t="s">
        <v>48</v>
      </c>
      <c r="D187" s="6" t="s">
        <v>2628</v>
      </c>
      <c r="E187" s="7" t="str">
        <f t="shared" si="62"/>
        <v>=29.48*100000000</v>
      </c>
      <c r="F187" s="1">
        <f>29.48*100000000</f>
        <v>2948000000</v>
      </c>
      <c r="G187" s="8">
        <f t="shared" si="64"/>
        <v>9.5503530286138977E-2</v>
      </c>
      <c r="H187" s="6" t="s">
        <v>2629</v>
      </c>
      <c r="I187" s="6" t="str">
        <f t="shared" si="65"/>
        <v>=26.91*100000000</v>
      </c>
      <c r="J187" s="1">
        <f>26.91*100000000</f>
        <v>2691000000</v>
      </c>
      <c r="K187" s="10">
        <f t="shared" si="66"/>
        <v>0.61621621621621647</v>
      </c>
      <c r="L187" s="6" t="s">
        <v>2630</v>
      </c>
      <c r="M187" s="6" t="str">
        <f t="shared" si="67"/>
        <v>=16.65*100000000</v>
      </c>
      <c r="N187" s="1">
        <f>16.65*100000000</f>
        <v>1664999999.9999998</v>
      </c>
      <c r="O187" s="8">
        <f t="shared" si="68"/>
        <v>1.1713615023474175</v>
      </c>
      <c r="P187" s="6" t="s">
        <v>2631</v>
      </c>
      <c r="Q187" s="6" t="str">
        <f t="shared" si="69"/>
        <v>=7.668*100000000</v>
      </c>
      <c r="R187" s="11">
        <f>7.668*100000000</f>
        <v>766800000</v>
      </c>
      <c r="S187" s="8">
        <f t="shared" si="70"/>
        <v>-0.60957230142566188</v>
      </c>
      <c r="T187" s="6" t="s">
        <v>2632</v>
      </c>
      <c r="U187" s="6" t="str">
        <f t="shared" si="71"/>
        <v>=19.64*100000000</v>
      </c>
      <c r="V187" s="1">
        <f>19.64*100000000</f>
        <v>1964000000</v>
      </c>
      <c r="W187" s="8">
        <f t="shared" si="72"/>
        <v>-3.536345776031434E-2</v>
      </c>
      <c r="X187" s="6" t="s">
        <v>2633</v>
      </c>
      <c r="Y187" s="6" t="str">
        <f t="shared" si="73"/>
        <v>=20.36*100000000</v>
      </c>
      <c r="Z187" s="1">
        <f>20.36*100000000</f>
        <v>2036000000</v>
      </c>
      <c r="AA187" s="8">
        <f t="shared" si="74"/>
        <v>0.47429398986241855</v>
      </c>
      <c r="AB187" s="6" t="s">
        <v>2634</v>
      </c>
      <c r="AC187" s="6" t="str">
        <f t="shared" si="75"/>
        <v>=13.81*100000000</v>
      </c>
      <c r="AD187" s="1">
        <f>13.81*100000000</f>
        <v>1381000000</v>
      </c>
      <c r="AE187" s="8">
        <f t="shared" si="76"/>
        <v>3.028588098016336</v>
      </c>
      <c r="AF187" s="6" t="s">
        <v>2635</v>
      </c>
      <c r="AG187" s="6" t="str">
        <f t="shared" si="77"/>
        <v>=3.428*100000000</v>
      </c>
      <c r="AH187" s="1">
        <f>3.428*100000000</f>
        <v>342800000</v>
      </c>
      <c r="AI187" s="8">
        <f t="shared" si="78"/>
        <v>-0.78930547019053476</v>
      </c>
      <c r="AJ187" s="6" t="s">
        <v>2636</v>
      </c>
      <c r="AK187" s="6" t="str">
        <f t="shared" si="79"/>
        <v>=16.27*100000000</v>
      </c>
      <c r="AL187" s="1">
        <f>16.27*100000000</f>
        <v>1627000000</v>
      </c>
      <c r="AM187" s="8">
        <f t="shared" si="80"/>
        <v>1.848389355742297</v>
      </c>
      <c r="AN187" s="6" t="s">
        <v>2637</v>
      </c>
      <c r="AO187" s="6" t="str">
        <f t="shared" si="81"/>
        <v>=5.712*100000000</v>
      </c>
      <c r="AP187" s="1">
        <f>5.712*100000000</f>
        <v>571200000</v>
      </c>
      <c r="AQ187" s="8">
        <f t="shared" si="82"/>
        <v>0.82259093809827699</v>
      </c>
      <c r="AR187" s="6" t="s">
        <v>2638</v>
      </c>
      <c r="AS187" s="6" t="str">
        <f t="shared" si="83"/>
        <v>=3.134*100000000</v>
      </c>
      <c r="AT187" s="1">
        <f>3.134*100000000</f>
        <v>313400000</v>
      </c>
      <c r="AU187" s="8">
        <f t="shared" si="84"/>
        <v>1.7157712305025998</v>
      </c>
      <c r="AV187" s="6" t="s">
        <v>2639</v>
      </c>
      <c r="AW187" s="6" t="str">
        <f t="shared" si="85"/>
        <v>=1.154*100000000</v>
      </c>
      <c r="AX187" s="1">
        <f>1.154*100000000</f>
        <v>115399999.99999999</v>
      </c>
      <c r="AY187" s="10">
        <f t="shared" si="86"/>
        <v>-0.75983350676378769</v>
      </c>
      <c r="AZ187" s="6" t="s">
        <v>1743</v>
      </c>
      <c r="BA187" s="6" t="str">
        <f t="shared" si="87"/>
        <v>=4.805*100000000</v>
      </c>
      <c r="BB187" s="1">
        <f>4.805*100000000</f>
        <v>480500000</v>
      </c>
      <c r="BC187" s="8">
        <f t="shared" si="88"/>
        <v>-1.0094767202307375E-2</v>
      </c>
      <c r="BD187" s="6" t="s">
        <v>2640</v>
      </c>
      <c r="BE187" s="6" t="str">
        <f t="shared" si="89"/>
        <v>=4.854*100000000</v>
      </c>
      <c r="BF187" s="1">
        <f>4.854*100000000</f>
        <v>485400000</v>
      </c>
      <c r="BG187" s="8">
        <f t="shared" si="90"/>
        <v>0.94705174488567989</v>
      </c>
      <c r="BH187" s="6" t="s">
        <v>2641</v>
      </c>
      <c r="BI187" s="6" t="str">
        <f t="shared" si="91"/>
        <v>=2.493*100000000</v>
      </c>
      <c r="BJ187" s="1">
        <f>2.493*100000000</f>
        <v>249300000</v>
      </c>
      <c r="BK187" s="7" t="s">
        <v>2642</v>
      </c>
      <c r="BL187" s="1" t="str">
        <f t="shared" si="63"/>
        <v>=9093*10000</v>
      </c>
      <c r="BM187" s="16">
        <f t="shared" si="92"/>
        <v>1.741669416034312</v>
      </c>
      <c r="BN187" s="1">
        <f>9093*10000</f>
        <v>90930000</v>
      </c>
    </row>
    <row r="188" spans="1:66">
      <c r="A188" s="18"/>
      <c r="B188">
        <v>600132</v>
      </c>
      <c r="C188" t="s">
        <v>58</v>
      </c>
      <c r="D188" s="6" t="s">
        <v>2278</v>
      </c>
      <c r="E188" s="7" t="str">
        <f t="shared" si="62"/>
        <v>=29.41*100000000</v>
      </c>
      <c r="F188" s="1">
        <f>29.41*100000000</f>
        <v>2941000000</v>
      </c>
      <c r="G188" s="8">
        <f t="shared" si="64"/>
        <v>9.2496285289747404E-2</v>
      </c>
      <c r="H188" s="6" t="s">
        <v>2643</v>
      </c>
      <c r="I188" s="6" t="str">
        <f t="shared" si="65"/>
        <v>=26.92*100000000</v>
      </c>
      <c r="J188" s="1">
        <f>26.92*100000000</f>
        <v>2692000000</v>
      </c>
      <c r="K188" s="10">
        <f t="shared" si="66"/>
        <v>0.61197604790419158</v>
      </c>
      <c r="L188" s="6" t="s">
        <v>2644</v>
      </c>
      <c r="M188" s="6" t="str">
        <f t="shared" si="67"/>
        <v>=16.70*100000000</v>
      </c>
      <c r="N188" s="1">
        <f>16.7*100000000</f>
        <v>1670000000</v>
      </c>
      <c r="O188" s="8">
        <f t="shared" si="68"/>
        <v>1.1756122980719124</v>
      </c>
      <c r="P188" s="6" t="s">
        <v>2645</v>
      </c>
      <c r="Q188" s="6" t="str">
        <f t="shared" si="69"/>
        <v>=7.676*100000000</v>
      </c>
      <c r="R188" s="11">
        <f>7.676*100000000</f>
        <v>767600000</v>
      </c>
      <c r="S188" s="8">
        <f t="shared" si="70"/>
        <v>-0.6397935241670577</v>
      </c>
      <c r="T188" s="6" t="s">
        <v>2646</v>
      </c>
      <c r="U188" s="6" t="str">
        <f t="shared" si="71"/>
        <v>=21.31*100000000</v>
      </c>
      <c r="V188" s="1">
        <f>21.31*100000000</f>
        <v>2130999999.9999998</v>
      </c>
      <c r="W188" s="8">
        <f t="shared" si="72"/>
        <v>-3.6618444846293056E-2</v>
      </c>
      <c r="X188" s="6" t="s">
        <v>1969</v>
      </c>
      <c r="Y188" s="6" t="str">
        <f t="shared" si="73"/>
        <v>=22.12*100000000</v>
      </c>
      <c r="Z188" s="1">
        <f>22.12*100000000</f>
        <v>2212000000</v>
      </c>
      <c r="AA188" s="8">
        <f t="shared" si="74"/>
        <v>0.61107064821558632</v>
      </c>
      <c r="AB188" s="6" t="s">
        <v>2647</v>
      </c>
      <c r="AC188" s="6" t="str">
        <f t="shared" si="75"/>
        <v>=13.73*100000000</v>
      </c>
      <c r="AD188" s="1">
        <f>13.73*100000000</f>
        <v>1373000000</v>
      </c>
      <c r="AE188" s="8">
        <f t="shared" si="76"/>
        <v>3.065738821439147</v>
      </c>
      <c r="AF188" s="6" t="s">
        <v>2648</v>
      </c>
      <c r="AG188" s="6" t="str">
        <f t="shared" si="77"/>
        <v>=3.377*100000000</v>
      </c>
      <c r="AH188" s="1">
        <f>3.377*100000000</f>
        <v>337700000</v>
      </c>
      <c r="AI188" s="8">
        <f t="shared" si="78"/>
        <v>-0.81186629526462395</v>
      </c>
      <c r="AJ188" s="6" t="s">
        <v>2649</v>
      </c>
      <c r="AK188" s="6" t="str">
        <f t="shared" si="79"/>
        <v>=17.95*100000000</v>
      </c>
      <c r="AL188" s="1">
        <f>17.95*100000000</f>
        <v>1795000000</v>
      </c>
      <c r="AM188" s="8">
        <f t="shared" si="80"/>
        <v>1.4224021592442646</v>
      </c>
      <c r="AN188" s="6" t="s">
        <v>2650</v>
      </c>
      <c r="AO188" s="6" t="str">
        <f t="shared" si="81"/>
        <v>=7.410*100000000</v>
      </c>
      <c r="AP188" s="1">
        <f>7.41*100000000</f>
        <v>741000000</v>
      </c>
      <c r="AQ188" s="8">
        <f t="shared" si="82"/>
        <v>1.3659003831417624</v>
      </c>
      <c r="AR188" s="6" t="s">
        <v>2314</v>
      </c>
      <c r="AS188" s="6" t="str">
        <f t="shared" si="83"/>
        <v>=3.132*100000000</v>
      </c>
      <c r="AT188" s="1">
        <f>3.132*100000000</f>
        <v>313200000</v>
      </c>
      <c r="AU188" s="8">
        <f t="shared" si="84"/>
        <v>1.7140381282495669</v>
      </c>
      <c r="AV188" s="6" t="s">
        <v>2639</v>
      </c>
      <c r="AW188" s="6" t="str">
        <f t="shared" si="85"/>
        <v>=1.154*100000000</v>
      </c>
      <c r="AX188" s="1">
        <f>1.154*100000000</f>
        <v>115399999.99999999</v>
      </c>
      <c r="AY188" s="10">
        <f t="shared" si="86"/>
        <v>-0.76072983620153434</v>
      </c>
      <c r="AZ188" s="6" t="s">
        <v>2651</v>
      </c>
      <c r="BA188" s="6" t="str">
        <f t="shared" si="87"/>
        <v>=4.823*100000000</v>
      </c>
      <c r="BB188" s="1">
        <f>4.823*100000000</f>
        <v>482300000.00000006</v>
      </c>
      <c r="BC188" s="8">
        <f t="shared" si="88"/>
        <v>-9.6509240246405344E-3</v>
      </c>
      <c r="BD188" s="6" t="s">
        <v>2652</v>
      </c>
      <c r="BE188" s="6" t="str">
        <f t="shared" si="89"/>
        <v>=4.870*100000000</v>
      </c>
      <c r="BF188" s="1">
        <f>4.87*100000000</f>
        <v>487000000</v>
      </c>
      <c r="BG188" s="8">
        <f t="shared" si="90"/>
        <v>0.9433359936153235</v>
      </c>
      <c r="BH188" s="6" t="s">
        <v>2653</v>
      </c>
      <c r="BI188" s="6" t="str">
        <f t="shared" si="91"/>
        <v>=2.506*100000000</v>
      </c>
      <c r="BJ188" s="1">
        <f>2.506*100000000</f>
        <v>250599999.99999997</v>
      </c>
      <c r="BK188" s="7" t="s">
        <v>2654</v>
      </c>
      <c r="BL188" s="1" t="str">
        <f t="shared" si="63"/>
        <v>=9103*10000</v>
      </c>
      <c r="BM188" s="16">
        <f t="shared" si="92"/>
        <v>1.7529385916730744</v>
      </c>
      <c r="BN188" s="1">
        <f>9103*10000</f>
        <v>91030000</v>
      </c>
    </row>
    <row r="189" spans="1:66">
      <c r="A189" s="19"/>
      <c r="B189">
        <v>600132</v>
      </c>
      <c r="C189" t="s">
        <v>68</v>
      </c>
      <c r="D189" s="6" t="s">
        <v>2655</v>
      </c>
      <c r="E189" s="7" t="str">
        <f t="shared" si="62"/>
        <v>=23.99*100000000</v>
      </c>
      <c r="F189" s="1">
        <f>23.99*100000000</f>
        <v>2399000000</v>
      </c>
      <c r="G189" s="8">
        <f t="shared" si="64"/>
        <v>0.11013419713095789</v>
      </c>
      <c r="H189" s="6" t="s">
        <v>2656</v>
      </c>
      <c r="I189" s="6" t="str">
        <f t="shared" si="65"/>
        <v>=21.61*100000000</v>
      </c>
      <c r="J189" s="1">
        <f>21.61*100000000</f>
        <v>2161000000</v>
      </c>
      <c r="K189" s="10">
        <f t="shared" si="66"/>
        <v>0.66615265998457984</v>
      </c>
      <c r="L189" s="6" t="s">
        <v>2657</v>
      </c>
      <c r="M189" s="6" t="str">
        <f t="shared" si="67"/>
        <v>=12.97*100000000</v>
      </c>
      <c r="N189" s="1">
        <f>12.97*100000000</f>
        <v>1297000000</v>
      </c>
      <c r="O189" s="8">
        <f t="shared" si="68"/>
        <v>1.1048360921778644</v>
      </c>
      <c r="P189" s="6" t="s">
        <v>2658</v>
      </c>
      <c r="Q189" s="6" t="str">
        <f t="shared" si="69"/>
        <v>=6.162*100000000</v>
      </c>
      <c r="R189" s="11">
        <f>6.162*100000000</f>
        <v>616200000</v>
      </c>
      <c r="S189" s="8">
        <f t="shared" si="70"/>
        <v>-0.64828767123287667</v>
      </c>
      <c r="T189" s="6" t="s">
        <v>322</v>
      </c>
      <c r="U189" s="6" t="str">
        <f t="shared" si="71"/>
        <v>=17.52*100000000</v>
      </c>
      <c r="V189" s="1">
        <f>17.52*100000000</f>
        <v>1752000000</v>
      </c>
      <c r="W189" s="8">
        <f t="shared" si="72"/>
        <v>-1.3513513513513646E-2</v>
      </c>
      <c r="X189" s="6" t="s">
        <v>1822</v>
      </c>
      <c r="Y189" s="6" t="str">
        <f t="shared" si="73"/>
        <v>=17.76*100000000</v>
      </c>
      <c r="Z189" s="1">
        <f>17.76*100000000</f>
        <v>1776000000.0000002</v>
      </c>
      <c r="AA189" s="8">
        <f t="shared" si="74"/>
        <v>0.61748633879781445</v>
      </c>
      <c r="AB189" s="6" t="s">
        <v>2659</v>
      </c>
      <c r="AC189" s="6" t="str">
        <f t="shared" si="75"/>
        <v>=10.98*100000000</v>
      </c>
      <c r="AD189" s="1">
        <f>10.98*100000000</f>
        <v>1098000000</v>
      </c>
      <c r="AE189" s="8">
        <f t="shared" si="76"/>
        <v>3.3245372193777079</v>
      </c>
      <c r="AF189" s="6" t="s">
        <v>2660</v>
      </c>
      <c r="AG189" s="6" t="str">
        <f t="shared" si="77"/>
        <v>=2.539*100000000</v>
      </c>
      <c r="AH189" s="1">
        <f>2.539*100000000</f>
        <v>253900000</v>
      </c>
      <c r="AI189" s="8">
        <f t="shared" si="78"/>
        <v>-0.83328956007879185</v>
      </c>
      <c r="AJ189" s="6" t="s">
        <v>2661</v>
      </c>
      <c r="AK189" s="6" t="str">
        <f t="shared" si="79"/>
        <v>=15.23*100000000</v>
      </c>
      <c r="AL189" s="1">
        <f>15.23*100000000</f>
        <v>1523000000</v>
      </c>
      <c r="AM189" s="8">
        <f t="shared" si="80"/>
        <v>1.3054798667877687</v>
      </c>
      <c r="AN189" s="6" t="s">
        <v>2662</v>
      </c>
      <c r="AO189" s="6" t="str">
        <f t="shared" si="81"/>
        <v>=6.606*100000000</v>
      </c>
      <c r="AP189" s="1">
        <f>6.606*100000000</f>
        <v>660600000</v>
      </c>
      <c r="AQ189" s="8">
        <f t="shared" si="82"/>
        <v>1.4403398596231991</v>
      </c>
      <c r="AR189" s="6" t="s">
        <v>2663</v>
      </c>
      <c r="AS189" s="6" t="str">
        <f t="shared" si="83"/>
        <v>=2.707*100000000</v>
      </c>
      <c r="AT189" s="1">
        <f>2.707*100000000</f>
        <v>270700000</v>
      </c>
      <c r="AU189" s="8">
        <f t="shared" si="84"/>
        <v>1.6828543111992074</v>
      </c>
      <c r="AV189" s="6" t="s">
        <v>2664</v>
      </c>
      <c r="AW189" s="6" t="str">
        <f t="shared" si="85"/>
        <v>=1.009*100000000</v>
      </c>
      <c r="AX189" s="1">
        <f>1.009*100000000</f>
        <v>100899999.99999999</v>
      </c>
      <c r="AY189" s="10">
        <f t="shared" si="86"/>
        <v>-0.76050320436743413</v>
      </c>
      <c r="AZ189" s="6" t="s">
        <v>245</v>
      </c>
      <c r="BA189" s="6" t="str">
        <f t="shared" si="87"/>
        <v>=4.213*100000000</v>
      </c>
      <c r="BB189" s="1">
        <f>4.213*100000000</f>
        <v>421300000</v>
      </c>
      <c r="BC189" s="8">
        <f t="shared" si="88"/>
        <v>-3.3120416370950069E-3</v>
      </c>
      <c r="BD189" s="6" t="s">
        <v>2665</v>
      </c>
      <c r="BE189" s="6" t="str">
        <f t="shared" si="89"/>
        <v>=4.227*100000000</v>
      </c>
      <c r="BF189" s="1">
        <f>4.227*100000000</f>
        <v>422700000.00000006</v>
      </c>
      <c r="BG189" s="8">
        <f t="shared" si="90"/>
        <v>0.8048676345004272</v>
      </c>
      <c r="BH189" s="6" t="s">
        <v>2666</v>
      </c>
      <c r="BI189" s="6" t="str">
        <f t="shared" si="91"/>
        <v>=2.342*100000000</v>
      </c>
      <c r="BJ189" s="1">
        <f>2.342*100000000</f>
        <v>234200000</v>
      </c>
      <c r="BK189" s="7" t="s">
        <v>2667</v>
      </c>
      <c r="BL189" s="1" t="str">
        <f t="shared" si="63"/>
        <v>=8596*10000</v>
      </c>
      <c r="BM189" s="16">
        <f t="shared" si="92"/>
        <v>1.7245230339692881</v>
      </c>
      <c r="BN189" s="1">
        <f>8596*10000</f>
        <v>85960000</v>
      </c>
    </row>
    <row r="190" spans="1:66">
      <c r="A190" s="17">
        <v>48</v>
      </c>
      <c r="B190">
        <v>600135</v>
      </c>
      <c r="C190" t="s">
        <v>31</v>
      </c>
      <c r="D190" s="6" t="s">
        <v>144</v>
      </c>
      <c r="E190" s="7" t="str">
        <f t="shared" si="62"/>
        <v>=22.35*100000000</v>
      </c>
      <c r="F190" s="1">
        <f>22.35*100000000</f>
        <v>2235000000</v>
      </c>
      <c r="G190" s="8">
        <f t="shared" si="64"/>
        <v>0.29340277777777779</v>
      </c>
      <c r="H190" s="6" t="s">
        <v>2668</v>
      </c>
      <c r="I190" s="6" t="str">
        <f t="shared" si="65"/>
        <v>=17.28*100000000</v>
      </c>
      <c r="J190" s="1">
        <f>17.28*100000000</f>
        <v>1728000000</v>
      </c>
      <c r="K190" s="10">
        <f t="shared" si="66"/>
        <v>0.49222797927461137</v>
      </c>
      <c r="L190" s="6" t="s">
        <v>2669</v>
      </c>
      <c r="M190" s="6" t="str">
        <f t="shared" si="67"/>
        <v>=11.58*100000000</v>
      </c>
      <c r="N190" s="1">
        <f>11.58*100000000</f>
        <v>1158000000</v>
      </c>
      <c r="O190" s="8">
        <f t="shared" si="68"/>
        <v>1.0405286343612334</v>
      </c>
      <c r="P190" s="6" t="s">
        <v>2670</v>
      </c>
      <c r="Q190" s="6" t="str">
        <f t="shared" si="69"/>
        <v>=5.675*100000000</v>
      </c>
      <c r="R190" s="11">
        <f>5.675*100000000</f>
        <v>567500000</v>
      </c>
      <c r="S190" s="8">
        <f t="shared" si="70"/>
        <v>-0.72370983446932813</v>
      </c>
      <c r="T190" s="6" t="s">
        <v>2671</v>
      </c>
      <c r="U190" s="6" t="str">
        <f t="shared" si="71"/>
        <v>=20.54*100000000</v>
      </c>
      <c r="V190" s="1">
        <f>20.54*100000000</f>
        <v>2054000000</v>
      </c>
      <c r="W190" s="8">
        <f t="shared" si="72"/>
        <v>0.47451543431442927</v>
      </c>
      <c r="X190" s="6" t="s">
        <v>1345</v>
      </c>
      <c r="Y190" s="6" t="str">
        <f t="shared" si="73"/>
        <v>=13.93*100000000</v>
      </c>
      <c r="Z190" s="1">
        <f>13.93*100000000</f>
        <v>1393000000</v>
      </c>
      <c r="AA190" s="8">
        <f t="shared" si="74"/>
        <v>0.60354552780016135</v>
      </c>
      <c r="AB190" s="6" t="s">
        <v>2672</v>
      </c>
      <c r="AC190" s="6" t="str">
        <f t="shared" si="75"/>
        <v>=8.687*100000000</v>
      </c>
      <c r="AD190" s="1">
        <f>8.687*100000000</f>
        <v>868699999.99999988</v>
      </c>
      <c r="AE190" s="8">
        <f t="shared" si="76"/>
        <v>1.3264595607927152</v>
      </c>
      <c r="AF190" s="6" t="s">
        <v>2673</v>
      </c>
      <c r="AG190" s="6" t="str">
        <f t="shared" si="77"/>
        <v>=3.734*100000000</v>
      </c>
      <c r="AH190" s="1">
        <f>3.734*100000000</f>
        <v>373400000</v>
      </c>
      <c r="AI190" s="8">
        <f t="shared" si="78"/>
        <v>-0.82518726591760294</v>
      </c>
      <c r="AJ190" s="6" t="s">
        <v>2674</v>
      </c>
      <c r="AK190" s="6" t="str">
        <f t="shared" si="79"/>
        <v>=21.36*100000000</v>
      </c>
      <c r="AL190" s="1">
        <f>21.36*100000000</f>
        <v>2136000000</v>
      </c>
      <c r="AM190" s="8">
        <f t="shared" si="80"/>
        <v>0.30323367907260523</v>
      </c>
      <c r="AN190" s="6" t="s">
        <v>2675</v>
      </c>
      <c r="AO190" s="6" t="str">
        <f t="shared" si="81"/>
        <v>=16.39*100000000</v>
      </c>
      <c r="AP190" s="1">
        <f>16.39*100000000</f>
        <v>1639000000</v>
      </c>
      <c r="AQ190" s="8">
        <f t="shared" si="82"/>
        <v>0.5175925925925926</v>
      </c>
      <c r="AR190" s="6" t="s">
        <v>2676</v>
      </c>
      <c r="AS190" s="6" t="str">
        <f t="shared" si="83"/>
        <v>=10.80*100000000</v>
      </c>
      <c r="AT190" s="1">
        <f>10.8*100000000</f>
        <v>1080000000</v>
      </c>
      <c r="AU190" s="8">
        <f t="shared" si="84"/>
        <v>0.91421481744062394</v>
      </c>
      <c r="AV190" s="6" t="s">
        <v>2677</v>
      </c>
      <c r="AW190" s="6" t="str">
        <f t="shared" si="85"/>
        <v>=5.642*100000000</v>
      </c>
      <c r="AX190" s="1">
        <f>5.642*100000000</f>
        <v>564200000</v>
      </c>
      <c r="AY190" s="10">
        <f t="shared" si="86"/>
        <v>-0.75046439628482975</v>
      </c>
      <c r="AZ190" s="6" t="s">
        <v>2678</v>
      </c>
      <c r="BA190" s="6" t="str">
        <f t="shared" si="87"/>
        <v>=22.61*100000000</v>
      </c>
      <c r="BB190" s="1">
        <f>22.61*100000000</f>
        <v>2261000000</v>
      </c>
      <c r="BC190" s="8">
        <f t="shared" si="88"/>
        <v>0.31836734693877572</v>
      </c>
      <c r="BD190" s="6" t="s">
        <v>2679</v>
      </c>
      <c r="BE190" s="6" t="str">
        <f t="shared" si="89"/>
        <v>=17.15*100000000</v>
      </c>
      <c r="BF190" s="1">
        <f>17.15*100000000</f>
        <v>1714999999.9999998</v>
      </c>
      <c r="BG190" s="8">
        <f t="shared" si="90"/>
        <v>0.80602358887952796</v>
      </c>
      <c r="BH190" s="6" t="s">
        <v>2680</v>
      </c>
      <c r="BI190" s="6" t="str">
        <f t="shared" si="91"/>
        <v>=9.496*100000000</v>
      </c>
      <c r="BJ190" s="1">
        <f>9.496*100000000</f>
        <v>949600000</v>
      </c>
      <c r="BK190" s="6" t="s">
        <v>2681</v>
      </c>
      <c r="BL190" s="1" t="str">
        <f t="shared" si="63"/>
        <v>=4.703*100000000</v>
      </c>
      <c r="BM190" s="16">
        <f t="shared" si="92"/>
        <v>1.0191367212417606</v>
      </c>
      <c r="BN190" s="1">
        <f>4.703*100000000</f>
        <v>470300000</v>
      </c>
    </row>
    <row r="191" spans="1:66">
      <c r="A191" s="18"/>
      <c r="B191">
        <v>600135</v>
      </c>
      <c r="C191" t="s">
        <v>48</v>
      </c>
      <c r="D191" s="7" t="s">
        <v>2682</v>
      </c>
      <c r="E191" s="7" t="str">
        <f t="shared" si="62"/>
        <v>=6398*10000</v>
      </c>
      <c r="F191" s="1">
        <f>6398*10000</f>
        <v>63980000</v>
      </c>
      <c r="G191" s="8">
        <f t="shared" si="64"/>
        <v>-2.8250303766707167E-2</v>
      </c>
      <c r="H191" s="7" t="s">
        <v>2683</v>
      </c>
      <c r="I191" s="6" t="str">
        <f t="shared" si="65"/>
        <v>=6584*10000</v>
      </c>
      <c r="J191" s="1">
        <f>6584*10000</f>
        <v>65840000</v>
      </c>
      <c r="K191" s="10">
        <f t="shared" si="66"/>
        <v>0.25624880747948864</v>
      </c>
      <c r="L191" s="7" t="s">
        <v>2526</v>
      </c>
      <c r="M191" s="6" t="str">
        <f t="shared" si="67"/>
        <v>=5241*10000</v>
      </c>
      <c r="N191" s="1">
        <f>5241*10000</f>
        <v>52410000</v>
      </c>
      <c r="O191" s="8">
        <f t="shared" si="68"/>
        <v>1.1755915317559154</v>
      </c>
      <c r="P191" s="7" t="s">
        <v>2684</v>
      </c>
      <c r="Q191" s="6" t="str">
        <f t="shared" si="69"/>
        <v>=2409*10000</v>
      </c>
      <c r="R191" s="11">
        <f>2409*10000</f>
        <v>24090000</v>
      </c>
      <c r="S191" s="8">
        <f t="shared" si="70"/>
        <v>-0.55297828910744107</v>
      </c>
      <c r="T191" s="7" t="s">
        <v>2685</v>
      </c>
      <c r="U191" s="6" t="str">
        <f t="shared" si="71"/>
        <v>=5389*10000</v>
      </c>
      <c r="V191" s="1">
        <f>5389*10000</f>
        <v>53890000</v>
      </c>
      <c r="W191" s="8">
        <f t="shared" si="72"/>
        <v>0.23233478161445231</v>
      </c>
      <c r="X191" s="7" t="s">
        <v>2686</v>
      </c>
      <c r="Y191" s="6" t="str">
        <f t="shared" si="73"/>
        <v>=4373*10000</v>
      </c>
      <c r="Z191" s="1">
        <f>4373*10000</f>
        <v>43730000</v>
      </c>
      <c r="AA191" s="8">
        <f t="shared" si="74"/>
        <v>0.30732436472346786</v>
      </c>
      <c r="AB191" s="7" t="s">
        <v>2687</v>
      </c>
      <c r="AC191" s="6" t="str">
        <f t="shared" si="75"/>
        <v>=3345*10000</v>
      </c>
      <c r="AD191" s="1">
        <f>3345*10000</f>
        <v>33450000</v>
      </c>
      <c r="AE191" s="8">
        <f t="shared" si="76"/>
        <v>6.8135949544498953</v>
      </c>
      <c r="AF191" s="7" t="s">
        <v>2688</v>
      </c>
      <c r="AG191" s="6" t="str">
        <f t="shared" si="77"/>
        <v>=428.1*10000</v>
      </c>
      <c r="AH191" s="1">
        <f>428.1*10000</f>
        <v>4281000</v>
      </c>
      <c r="AI191" s="8">
        <f t="shared" si="78"/>
        <v>-0.95539695769952071</v>
      </c>
      <c r="AJ191" s="7" t="s">
        <v>2689</v>
      </c>
      <c r="AK191" s="6" t="str">
        <f t="shared" si="79"/>
        <v>=9598*10000</v>
      </c>
      <c r="AL191" s="1">
        <f>9598*10000</f>
        <v>95980000</v>
      </c>
      <c r="AM191" s="8">
        <f t="shared" si="80"/>
        <v>9.1301876065946558E-2</v>
      </c>
      <c r="AN191" s="7" t="s">
        <v>2690</v>
      </c>
      <c r="AO191" s="6" t="str">
        <f t="shared" si="81"/>
        <v>=8795*10000</v>
      </c>
      <c r="AP191" s="1">
        <f>8795*10000</f>
        <v>87950000</v>
      </c>
      <c r="AQ191" s="8">
        <f t="shared" si="82"/>
        <v>0.72214607401605635</v>
      </c>
      <c r="AR191" s="7" t="s">
        <v>2691</v>
      </c>
      <c r="AS191" s="6" t="str">
        <f t="shared" si="83"/>
        <v>=5107*10000</v>
      </c>
      <c r="AT191" s="1">
        <f>5107*10000</f>
        <v>51070000</v>
      </c>
      <c r="AU191" s="8">
        <f t="shared" si="84"/>
        <v>0.68994043679682326</v>
      </c>
      <c r="AV191" s="7" t="s">
        <v>2692</v>
      </c>
      <c r="AW191" s="6" t="str">
        <f t="shared" si="85"/>
        <v>=3022*10000</v>
      </c>
      <c r="AX191" s="1">
        <f>3022*10000</f>
        <v>30220000</v>
      </c>
      <c r="AY191" s="10">
        <f t="shared" si="86"/>
        <v>-0.61463912267278753</v>
      </c>
      <c r="AZ191" s="7" t="s">
        <v>2693</v>
      </c>
      <c r="BA191" s="6" t="str">
        <f t="shared" si="87"/>
        <v>=7842*10000</v>
      </c>
      <c r="BB191" s="1">
        <f>7842*10000</f>
        <v>78420000</v>
      </c>
      <c r="BC191" s="8">
        <f t="shared" si="88"/>
        <v>0.10016835016835017</v>
      </c>
      <c r="BD191" s="7" t="s">
        <v>2694</v>
      </c>
      <c r="BE191" s="6" t="str">
        <f t="shared" si="89"/>
        <v>=7128*10000</v>
      </c>
      <c r="BF191" s="1">
        <f>7128*10000</f>
        <v>71280000</v>
      </c>
      <c r="BG191" s="8">
        <f t="shared" si="90"/>
        <v>1.5294535131298794</v>
      </c>
      <c r="BH191" s="7" t="s">
        <v>2695</v>
      </c>
      <c r="BI191" s="6" t="str">
        <f t="shared" si="91"/>
        <v>=2818*10000</v>
      </c>
      <c r="BJ191" s="1">
        <f>2818*10000</f>
        <v>28180000</v>
      </c>
      <c r="BK191" s="7" t="s">
        <v>2696</v>
      </c>
      <c r="BL191" s="1" t="str">
        <f t="shared" si="63"/>
        <v>=2003*10000</v>
      </c>
      <c r="BM191" s="16">
        <f t="shared" si="92"/>
        <v>0.40688966550174738</v>
      </c>
      <c r="BN191" s="1">
        <f>2003*10000</f>
        <v>20030000</v>
      </c>
    </row>
    <row r="192" spans="1:66">
      <c r="A192" s="18"/>
      <c r="B192">
        <v>600135</v>
      </c>
      <c r="C192" t="s">
        <v>58</v>
      </c>
      <c r="D192" s="7" t="s">
        <v>2697</v>
      </c>
      <c r="E192" s="7" t="str">
        <f t="shared" si="62"/>
        <v>=6571*10000</v>
      </c>
      <c r="F192" s="1">
        <f>6571*10000</f>
        <v>65710000</v>
      </c>
      <c r="G192" s="8">
        <f t="shared" si="64"/>
        <v>-1.5433023673958645E-2</v>
      </c>
      <c r="H192" s="7" t="s">
        <v>2698</v>
      </c>
      <c r="I192" s="6" t="str">
        <f t="shared" si="65"/>
        <v>=6674*10000</v>
      </c>
      <c r="J192" s="1">
        <f>6674*10000</f>
        <v>66740000</v>
      </c>
      <c r="K192" s="10">
        <f t="shared" si="66"/>
        <v>0.26234159258558731</v>
      </c>
      <c r="L192" s="7" t="s">
        <v>2699</v>
      </c>
      <c r="M192" s="6" t="str">
        <f t="shared" si="67"/>
        <v>=5287*10000</v>
      </c>
      <c r="N192" s="1">
        <f>5287*10000</f>
        <v>52870000</v>
      </c>
      <c r="O192" s="8">
        <f t="shared" si="68"/>
        <v>1.1802061855670103</v>
      </c>
      <c r="P192" s="7" t="s">
        <v>2700</v>
      </c>
      <c r="Q192" s="6" t="str">
        <f t="shared" si="69"/>
        <v>=2425*10000</v>
      </c>
      <c r="R192" s="11">
        <f>2425*10000</f>
        <v>24250000</v>
      </c>
      <c r="S192" s="8">
        <f t="shared" si="70"/>
        <v>-0.56005079825834547</v>
      </c>
      <c r="T192" s="7" t="s">
        <v>2701</v>
      </c>
      <c r="U192" s="6" t="str">
        <f t="shared" si="71"/>
        <v>=5512*10000</v>
      </c>
      <c r="V192" s="1">
        <f>5512*10000</f>
        <v>55120000</v>
      </c>
      <c r="W192" s="8">
        <f t="shared" si="72"/>
        <v>0.24536827835517397</v>
      </c>
      <c r="X192" s="7" t="s">
        <v>2702</v>
      </c>
      <c r="Y192" s="6" t="str">
        <f t="shared" si="73"/>
        <v>=4426*10000</v>
      </c>
      <c r="Z192" s="1">
        <f>4426*10000</f>
        <v>44260000</v>
      </c>
      <c r="AA192" s="8">
        <f t="shared" si="74"/>
        <v>0.3071470761961016</v>
      </c>
      <c r="AB192" s="7" t="s">
        <v>2703</v>
      </c>
      <c r="AC192" s="6" t="str">
        <f t="shared" si="75"/>
        <v>=3386*10000</v>
      </c>
      <c r="AD192" s="1">
        <f>3386*10000</f>
        <v>33860000</v>
      </c>
      <c r="AE192" s="8">
        <f t="shared" si="76"/>
        <v>3.2687846696923852</v>
      </c>
      <c r="AF192" s="7" t="s">
        <v>2704</v>
      </c>
      <c r="AG192" s="6" t="str">
        <f t="shared" si="77"/>
        <v>=793.2*10000</v>
      </c>
      <c r="AH192" s="1">
        <f>793.2*10000</f>
        <v>7932000</v>
      </c>
      <c r="AI192" s="8">
        <f t="shared" si="78"/>
        <v>-0.92215897939156033</v>
      </c>
      <c r="AJ192" s="6" t="s">
        <v>2118</v>
      </c>
      <c r="AK192" s="6" t="str">
        <f t="shared" si="79"/>
        <v>=1.019*100000000</v>
      </c>
      <c r="AL192" s="1">
        <f>1.019*100000000</f>
        <v>101899999.99999999</v>
      </c>
      <c r="AM192" s="8">
        <f t="shared" si="80"/>
        <v>0.12983701075507245</v>
      </c>
      <c r="AN192" s="7" t="s">
        <v>2705</v>
      </c>
      <c r="AO192" s="6" t="str">
        <f t="shared" si="81"/>
        <v>=9019*10000</v>
      </c>
      <c r="AP192" s="1">
        <f>9019*10000</f>
        <v>90190000</v>
      </c>
      <c r="AQ192" s="8">
        <f t="shared" si="82"/>
        <v>0.7029833836858006</v>
      </c>
      <c r="AR192" s="7" t="s">
        <v>2706</v>
      </c>
      <c r="AS192" s="6" t="str">
        <f t="shared" si="83"/>
        <v>=5296*10000</v>
      </c>
      <c r="AT192" s="1">
        <f>5296*10000</f>
        <v>52960000</v>
      </c>
      <c r="AU192" s="8">
        <f t="shared" si="84"/>
        <v>0.65862824929533359</v>
      </c>
      <c r="AV192" s="7" t="s">
        <v>2707</v>
      </c>
      <c r="AW192" s="6" t="str">
        <f t="shared" si="85"/>
        <v>=3193*10000</v>
      </c>
      <c r="AX192" s="1">
        <f>3193*10000</f>
        <v>31930000</v>
      </c>
      <c r="AY192" s="10">
        <f t="shared" si="86"/>
        <v>-0.63595941169763992</v>
      </c>
      <c r="AZ192" s="7" t="s">
        <v>2708</v>
      </c>
      <c r="BA192" s="6" t="str">
        <f t="shared" si="87"/>
        <v>=8771*10000</v>
      </c>
      <c r="BB192" s="1">
        <f>8771*10000</f>
        <v>87710000</v>
      </c>
      <c r="BC192" s="8">
        <f t="shared" si="88"/>
        <v>0.11974977658623771</v>
      </c>
      <c r="BD192" s="7" t="s">
        <v>2709</v>
      </c>
      <c r="BE192" s="6" t="str">
        <f t="shared" si="89"/>
        <v>=7833*10000</v>
      </c>
      <c r="BF192" s="1">
        <f>7833*10000</f>
        <v>78330000</v>
      </c>
      <c r="BG192" s="8">
        <f t="shared" si="90"/>
        <v>1.4570263488080302</v>
      </c>
      <c r="BH192" s="7" t="s">
        <v>2710</v>
      </c>
      <c r="BI192" s="6" t="str">
        <f t="shared" si="91"/>
        <v>=3188*10000</v>
      </c>
      <c r="BJ192" s="1">
        <f>3188*10000</f>
        <v>31880000</v>
      </c>
      <c r="BK192" s="7" t="s">
        <v>2711</v>
      </c>
      <c r="BL192" s="1" t="str">
        <f t="shared" si="63"/>
        <v>=2013*10000</v>
      </c>
      <c r="BM192" s="16">
        <f t="shared" si="92"/>
        <v>0.58370591157476404</v>
      </c>
      <c r="BN192" s="1">
        <f>2013*10000</f>
        <v>20130000</v>
      </c>
    </row>
    <row r="193" spans="1:66">
      <c r="A193" s="19"/>
      <c r="B193">
        <v>600135</v>
      </c>
      <c r="C193" t="s">
        <v>68</v>
      </c>
      <c r="D193" s="7" t="s">
        <v>2712</v>
      </c>
      <c r="E193" s="7" t="str">
        <f t="shared" si="62"/>
        <v>=5702*10000</v>
      </c>
      <c r="F193" s="1">
        <f>5702*10000</f>
        <v>57020000</v>
      </c>
      <c r="G193" s="8">
        <f t="shared" si="64"/>
        <v>1.51326330781556E-2</v>
      </c>
      <c r="H193" s="7" t="s">
        <v>2713</v>
      </c>
      <c r="I193" s="6" t="str">
        <f t="shared" si="65"/>
        <v>=5617*10000</v>
      </c>
      <c r="J193" s="1">
        <f>5617*10000</f>
        <v>56170000</v>
      </c>
      <c r="K193" s="10">
        <f t="shared" si="66"/>
        <v>0.2844729018980105</v>
      </c>
      <c r="L193" s="7" t="s">
        <v>2686</v>
      </c>
      <c r="M193" s="6" t="str">
        <f t="shared" si="67"/>
        <v>=4373*10000</v>
      </c>
      <c r="N193" s="1">
        <f>4373*10000</f>
        <v>43730000</v>
      </c>
      <c r="O193" s="8">
        <f t="shared" si="68"/>
        <v>1.510332950631458</v>
      </c>
      <c r="P193" s="7" t="s">
        <v>2714</v>
      </c>
      <c r="Q193" s="6" t="str">
        <f t="shared" si="69"/>
        <v>=1742*10000</v>
      </c>
      <c r="R193" s="11">
        <f>1742*10000</f>
        <v>17420000</v>
      </c>
      <c r="S193" s="8">
        <f t="shared" si="70"/>
        <v>-0.57902368293861772</v>
      </c>
      <c r="T193" s="7" t="s">
        <v>2715</v>
      </c>
      <c r="U193" s="6" t="str">
        <f t="shared" si="71"/>
        <v>=4138*10000</v>
      </c>
      <c r="V193" s="1">
        <f>4138*10000</f>
        <v>41380000</v>
      </c>
      <c r="W193" s="8">
        <f t="shared" si="72"/>
        <v>9.3551797040169138E-2</v>
      </c>
      <c r="X193" s="7" t="s">
        <v>2716</v>
      </c>
      <c r="Y193" s="6" t="str">
        <f t="shared" si="73"/>
        <v>=3784*10000</v>
      </c>
      <c r="Z193" s="1">
        <f>3784*10000</f>
        <v>37840000</v>
      </c>
      <c r="AA193" s="8">
        <f t="shared" si="74"/>
        <v>0.271505376344086</v>
      </c>
      <c r="AB193" s="7" t="s">
        <v>2717</v>
      </c>
      <c r="AC193" s="6" t="str">
        <f t="shared" si="75"/>
        <v>=2976*10000</v>
      </c>
      <c r="AD193" s="1">
        <f>2976*10000</f>
        <v>29760000</v>
      </c>
      <c r="AE193" s="8">
        <f t="shared" si="76"/>
        <v>3.1235970624913398</v>
      </c>
      <c r="AF193" s="7" t="s">
        <v>2718</v>
      </c>
      <c r="AG193" s="6" t="str">
        <f t="shared" si="77"/>
        <v>=721.7*10000</v>
      </c>
      <c r="AH193" s="1">
        <f>721.7*10000</f>
        <v>7217000</v>
      </c>
      <c r="AI193" s="8">
        <f t="shared" si="78"/>
        <v>-0.92005981391227298</v>
      </c>
      <c r="AJ193" s="7" t="s">
        <v>2719</v>
      </c>
      <c r="AK193" s="6" t="str">
        <f t="shared" si="79"/>
        <v>=9028*10000</v>
      </c>
      <c r="AL193" s="1">
        <f>9028*10000</f>
        <v>90280000</v>
      </c>
      <c r="AM193" s="8">
        <f t="shared" si="80"/>
        <v>0.10326286203103996</v>
      </c>
      <c r="AN193" s="7" t="s">
        <v>2720</v>
      </c>
      <c r="AO193" s="6" t="str">
        <f t="shared" si="81"/>
        <v>=8183*10000</v>
      </c>
      <c r="AP193" s="1">
        <f>8183*10000</f>
        <v>81830000</v>
      </c>
      <c r="AQ193" s="8">
        <f t="shared" si="82"/>
        <v>0.6963101160862355</v>
      </c>
      <c r="AR193" s="7" t="s">
        <v>2721</v>
      </c>
      <c r="AS193" s="6" t="str">
        <f t="shared" si="83"/>
        <v>=4824*10000</v>
      </c>
      <c r="AT193" s="1">
        <f>4824*10000</f>
        <v>48240000</v>
      </c>
      <c r="AU193" s="8">
        <f t="shared" si="84"/>
        <v>0.7027885633603953</v>
      </c>
      <c r="AV193" s="7" t="s">
        <v>2722</v>
      </c>
      <c r="AW193" s="6" t="str">
        <f t="shared" si="85"/>
        <v>=2833*10000</v>
      </c>
      <c r="AX193" s="1">
        <f>2833*10000</f>
        <v>28330000</v>
      </c>
      <c r="AY193" s="10">
        <f t="shared" si="86"/>
        <v>-0.63435725348477023</v>
      </c>
      <c r="AZ193" s="7" t="s">
        <v>2723</v>
      </c>
      <c r="BA193" s="6" t="str">
        <f t="shared" si="87"/>
        <v>=7748*10000</v>
      </c>
      <c r="BB193" s="1">
        <f>7748*10000</f>
        <v>77480000</v>
      </c>
      <c r="BC193" s="8">
        <f t="shared" si="88"/>
        <v>0.14887307236061684</v>
      </c>
      <c r="BD193" s="7" t="s">
        <v>2724</v>
      </c>
      <c r="BE193" s="6" t="str">
        <f t="shared" si="89"/>
        <v>=6744*10000</v>
      </c>
      <c r="BF193" s="1">
        <f>6744*10000</f>
        <v>67440000</v>
      </c>
      <c r="BG193" s="8">
        <f t="shared" si="90"/>
        <v>1.3531053733426379</v>
      </c>
      <c r="BH193" s="7" t="s">
        <v>2725</v>
      </c>
      <c r="BI193" s="6" t="str">
        <f t="shared" si="91"/>
        <v>=2866*10000</v>
      </c>
      <c r="BJ193" s="1">
        <f>2866*10000</f>
        <v>28660000</v>
      </c>
      <c r="BK193" s="7" t="s">
        <v>2726</v>
      </c>
      <c r="BL193" s="1" t="str">
        <f t="shared" si="63"/>
        <v>=1888*10000</v>
      </c>
      <c r="BM193" s="16">
        <f t="shared" si="92"/>
        <v>0.51800847457627119</v>
      </c>
      <c r="BN193" s="1">
        <f>1888*10000</f>
        <v>18880000</v>
      </c>
    </row>
    <row r="194" spans="1:66">
      <c r="A194" s="17">
        <v>49</v>
      </c>
      <c r="B194">
        <v>600138</v>
      </c>
      <c r="C194" t="s">
        <v>31</v>
      </c>
      <c r="D194" s="6" t="s">
        <v>2727</v>
      </c>
      <c r="E194" s="7" t="str">
        <f t="shared" ref="E194:E257" si="93">"="&amp;D194</f>
        <v>=86.35*100000000</v>
      </c>
      <c r="F194" s="1">
        <f>86.35*100000000</f>
        <v>8635000000</v>
      </c>
      <c r="G194" s="8">
        <f t="shared" si="64"/>
        <v>0.38581287112822982</v>
      </c>
      <c r="H194" s="6" t="s">
        <v>2728</v>
      </c>
      <c r="I194" s="6" t="str">
        <f t="shared" si="65"/>
        <v>=62.31*100000000</v>
      </c>
      <c r="J194" s="1">
        <f>62.31*100000000</f>
        <v>6231000000</v>
      </c>
      <c r="K194" s="10">
        <f t="shared" si="66"/>
        <v>0.7701704545454543</v>
      </c>
      <c r="L194" s="6" t="s">
        <v>2729</v>
      </c>
      <c r="M194" s="6" t="str">
        <f t="shared" si="67"/>
        <v>=35.20*100000000</v>
      </c>
      <c r="N194" s="1">
        <f>35.2*100000000</f>
        <v>3520000000.0000005</v>
      </c>
      <c r="O194" s="8">
        <f t="shared" si="68"/>
        <v>1.5178826895565096</v>
      </c>
      <c r="P194" s="6" t="s">
        <v>702</v>
      </c>
      <c r="Q194" s="6" t="str">
        <f t="shared" si="69"/>
        <v>=13.98*100000000</v>
      </c>
      <c r="R194" s="11">
        <f>13.98*100000000</f>
        <v>1398000000</v>
      </c>
      <c r="S194" s="8">
        <f t="shared" si="70"/>
        <v>-0.80450286673192561</v>
      </c>
      <c r="T194" s="6" t="s">
        <v>2730</v>
      </c>
      <c r="U194" s="6" t="str">
        <f t="shared" si="71"/>
        <v>=71.51*100000000</v>
      </c>
      <c r="V194" s="1">
        <f>71.51*100000000</f>
        <v>7151000000.000001</v>
      </c>
      <c r="W194" s="8">
        <f t="shared" si="72"/>
        <v>0.53884226382612455</v>
      </c>
      <c r="X194" s="6" t="s">
        <v>303</v>
      </c>
      <c r="Y194" s="6" t="str">
        <f t="shared" si="73"/>
        <v>=46.47*100000000</v>
      </c>
      <c r="Z194" s="1">
        <f>46.47*100000000</f>
        <v>4647000000</v>
      </c>
      <c r="AA194" s="8">
        <f t="shared" si="74"/>
        <v>0.8187866927592955</v>
      </c>
      <c r="AB194" s="6" t="s">
        <v>1117</v>
      </c>
      <c r="AC194" s="6" t="str">
        <f t="shared" si="75"/>
        <v>=25.55*100000000</v>
      </c>
      <c r="AD194" s="1">
        <f>25.55*100000000</f>
        <v>2555000000</v>
      </c>
      <c r="AE194" s="8">
        <f t="shared" si="76"/>
        <v>1.1273938384679434</v>
      </c>
      <c r="AF194" s="6" t="s">
        <v>2731</v>
      </c>
      <c r="AG194" s="6" t="str">
        <f t="shared" si="77"/>
        <v>=12.01*100000000</v>
      </c>
      <c r="AH194" s="1">
        <f>12.01*100000000</f>
        <v>1201000000</v>
      </c>
      <c r="AI194" s="8">
        <f t="shared" si="78"/>
        <v>-0.91451957295373665</v>
      </c>
      <c r="AJ194" s="6" t="s">
        <v>2732</v>
      </c>
      <c r="AK194" s="6" t="str">
        <f t="shared" si="79"/>
        <v>=140.5*100000000</v>
      </c>
      <c r="AL194" s="1">
        <f>140.5*100000000</f>
        <v>14050000000</v>
      </c>
      <c r="AM194" s="8">
        <f t="shared" si="80"/>
        <v>0.47197485594552119</v>
      </c>
      <c r="AN194" s="6" t="s">
        <v>2733</v>
      </c>
      <c r="AO194" s="6" t="str">
        <f t="shared" si="81"/>
        <v>=95.45*100000000</v>
      </c>
      <c r="AP194" s="1">
        <f>95.45*100000000</f>
        <v>9545000000</v>
      </c>
      <c r="AQ194" s="8">
        <f t="shared" si="82"/>
        <v>0.63078763027507256</v>
      </c>
      <c r="AR194" s="6" t="s">
        <v>2734</v>
      </c>
      <c r="AS194" s="6" t="str">
        <f t="shared" si="83"/>
        <v>=58.53*100000000</v>
      </c>
      <c r="AT194" s="1">
        <f>58.53*100000000</f>
        <v>5853000000</v>
      </c>
      <c r="AU194" s="8">
        <f t="shared" si="84"/>
        <v>1.3016122689736531</v>
      </c>
      <c r="AV194" s="6" t="s">
        <v>2735</v>
      </c>
      <c r="AW194" s="6" t="str">
        <f t="shared" si="85"/>
        <v>=25.43*100000000</v>
      </c>
      <c r="AX194" s="1">
        <f>25.43*100000000</f>
        <v>2543000000</v>
      </c>
      <c r="AY194" s="10">
        <f t="shared" si="86"/>
        <v>-0.79257748776508974</v>
      </c>
      <c r="AZ194" s="6" t="s">
        <v>2736</v>
      </c>
      <c r="BA194" s="6" t="str">
        <f t="shared" si="87"/>
        <v>=122.6*100000000</v>
      </c>
      <c r="BB194" s="1">
        <f>122.6*100000000</f>
        <v>12260000000</v>
      </c>
      <c r="BC194" s="8">
        <f t="shared" si="88"/>
        <v>0.37305409340351664</v>
      </c>
      <c r="BD194" s="6" t="s">
        <v>2737</v>
      </c>
      <c r="BE194" s="6" t="str">
        <f t="shared" si="89"/>
        <v>=89.29*100000000</v>
      </c>
      <c r="BF194" s="1">
        <f>89.29*100000000</f>
        <v>8929000000</v>
      </c>
      <c r="BG194" s="8">
        <f t="shared" si="90"/>
        <v>0.60391593317765402</v>
      </c>
      <c r="BH194" s="6" t="s">
        <v>2738</v>
      </c>
      <c r="BI194" s="6" t="str">
        <f t="shared" si="91"/>
        <v>=55.67*100000000</v>
      </c>
      <c r="BJ194" s="1">
        <f>55.67*100000000</f>
        <v>5567000000</v>
      </c>
      <c r="BK194" s="6" t="s">
        <v>2739</v>
      </c>
      <c r="BL194" s="1" t="str">
        <f t="shared" ref="BL194:BL257" si="94">"="&amp;BK194</f>
        <v>=25.07*100000000</v>
      </c>
      <c r="BM194" s="16">
        <f t="shared" si="92"/>
        <v>1.2205823693657758</v>
      </c>
      <c r="BN194" s="1">
        <f>25.07*100000000</f>
        <v>2507000000</v>
      </c>
    </row>
    <row r="195" spans="1:66">
      <c r="A195" s="18"/>
      <c r="B195">
        <v>600138</v>
      </c>
      <c r="C195" t="s">
        <v>48</v>
      </c>
      <c r="D195" s="7" t="s">
        <v>2740</v>
      </c>
      <c r="E195" s="7" t="str">
        <f t="shared" si="93"/>
        <v>=7573*10000</v>
      </c>
      <c r="F195" s="1">
        <f>7573*10000</f>
        <v>75730000</v>
      </c>
      <c r="G195" s="8">
        <f t="shared" ref="G195:G258" si="95">(F195-J195)/J195</f>
        <v>-0.27252641690682028</v>
      </c>
      <c r="H195" s="6" t="s">
        <v>2741</v>
      </c>
      <c r="I195" s="6" t="str">
        <f t="shared" ref="I195:I258" si="96">"="&amp;H195</f>
        <v>=1.041*100000000</v>
      </c>
      <c r="J195" s="1">
        <f>1.041*100000000</f>
        <v>104099999.99999999</v>
      </c>
      <c r="K195" s="10">
        <f t="shared" ref="K195:K258" si="97">(J195-N195)/N195</f>
        <v>-0.15020408163265328</v>
      </c>
      <c r="L195" s="6" t="s">
        <v>2174</v>
      </c>
      <c r="M195" s="6" t="str">
        <f t="shared" ref="M195:M258" si="98">"="&amp;L195</f>
        <v>=1.225*100000000</v>
      </c>
      <c r="N195" s="1">
        <f>1.225*100000000</f>
        <v>122500000.00000001</v>
      </c>
      <c r="O195" s="8">
        <f t="shared" ref="O195:O258" si="99">(N195-R195)/R195</f>
        <v>-2.437793427230047</v>
      </c>
      <c r="P195" s="7">
        <f>-8520*10000</f>
        <v>-85200000</v>
      </c>
      <c r="Q195" s="6" t="str">
        <f t="shared" ref="Q195:Q258" si="100">"="&amp;P195</f>
        <v>=-85200000</v>
      </c>
      <c r="R195" s="11">
        <f>-85200000</f>
        <v>-85200000</v>
      </c>
      <c r="S195" s="8">
        <f t="shared" ref="S195:S258" si="101">(R195-V195)/V195</f>
        <v>-0.49704840613931522</v>
      </c>
      <c r="T195" s="6">
        <f>-1.694*100000000</f>
        <v>-169400000</v>
      </c>
      <c r="U195" s="6" t="str">
        <f t="shared" ref="U195:U258" si="102">"="&amp;T195</f>
        <v>=-169400000</v>
      </c>
      <c r="V195" s="1">
        <f>-169400000</f>
        <v>-169400000</v>
      </c>
      <c r="W195" s="8">
        <f t="shared" ref="W195:W258" si="103">(V195-Z195)/Z195</f>
        <v>0.44786324786324788</v>
      </c>
      <c r="X195" s="6">
        <f>-1.17*100000000</f>
        <v>-117000000</v>
      </c>
      <c r="Y195" s="6" t="str">
        <f t="shared" ref="Y195:Y258" si="104">"="&amp;X195</f>
        <v>=-117000000</v>
      </c>
      <c r="Z195" s="1">
        <f>-117000000</f>
        <v>-117000000</v>
      </c>
      <c r="AA195" s="8">
        <f t="shared" ref="AA195:AA258" si="105">(Z195-AD195)/AD195</f>
        <v>-0.32134570765661252</v>
      </c>
      <c r="AB195" s="6">
        <f>-1.724*100000000</f>
        <v>-172400000</v>
      </c>
      <c r="AC195" s="6" t="str">
        <f t="shared" ref="AC195:AC258" si="106">"="&amp;AB195</f>
        <v>=-172400000</v>
      </c>
      <c r="AD195" s="1">
        <f>-172400000</f>
        <v>-172400000</v>
      </c>
      <c r="AE195" s="8">
        <f t="shared" ref="AE195:AE258" si="107">(AD195-AH195)/AH195</f>
        <v>-0.40346020761245677</v>
      </c>
      <c r="AF195" s="6">
        <f>-2.89*100000000</f>
        <v>-289000000</v>
      </c>
      <c r="AG195" s="6" t="str">
        <f t="shared" ref="AG195:AG258" si="108">"="&amp;AF195</f>
        <v>=-289000000</v>
      </c>
      <c r="AH195" s="1">
        <f>-289000000</f>
        <v>-289000000</v>
      </c>
      <c r="AI195" s="8">
        <f t="shared" ref="AI195:AI258" si="109">(AH195-AL195)/AL195</f>
        <v>-1.2363041700735895</v>
      </c>
      <c r="AJ195" s="6" t="s">
        <v>2742</v>
      </c>
      <c r="AK195" s="6" t="str">
        <f t="shared" ref="AK195:AK258" si="110">"="&amp;AJ195</f>
        <v>=12.23*100000000</v>
      </c>
      <c r="AL195" s="1">
        <f>12.23*100000000</f>
        <v>1223000000</v>
      </c>
      <c r="AM195" s="8">
        <f t="shared" ref="AM195:AM258" si="111">(AL195-AP195)/AP195</f>
        <v>0.1703349282296652</v>
      </c>
      <c r="AN195" s="6" t="s">
        <v>2743</v>
      </c>
      <c r="AO195" s="6" t="str">
        <f t="shared" ref="AO195:AO258" si="112">"="&amp;AN195</f>
        <v>=10.45*100000000</v>
      </c>
      <c r="AP195" s="1">
        <f>10.45*100000000</f>
        <v>1044999999.9999999</v>
      </c>
      <c r="AQ195" s="8">
        <f t="shared" ref="AQ195:AQ258" si="113">(AP195-AT195)/AT195</f>
        <v>0.40155579399141617</v>
      </c>
      <c r="AR195" s="6" t="s">
        <v>2744</v>
      </c>
      <c r="AS195" s="6" t="str">
        <f t="shared" ref="AS195:AS258" si="114">"="&amp;AR195</f>
        <v>=7.456*100000000</v>
      </c>
      <c r="AT195" s="1">
        <f>7.456*100000000</f>
        <v>745600000</v>
      </c>
      <c r="AU195" s="8">
        <f t="shared" ref="AU195:AU258" si="115">(AT195-AX195)/AX195</f>
        <v>4.4944731024318347</v>
      </c>
      <c r="AV195" s="6" t="s">
        <v>2237</v>
      </c>
      <c r="AW195" s="6" t="str">
        <f t="shared" ref="AW195:AW258" si="116">"="&amp;AV195</f>
        <v>=1.357*100000000</v>
      </c>
      <c r="AX195" s="1">
        <f>1.357*100000000</f>
        <v>135700000</v>
      </c>
      <c r="AY195" s="10">
        <f t="shared" ref="AY195:AY258" si="117">(AX195-BB195)/BB195</f>
        <v>-0.89029911075181889</v>
      </c>
      <c r="AZ195" s="6" t="s">
        <v>2745</v>
      </c>
      <c r="BA195" s="6" t="str">
        <f t="shared" ref="BA195:BA258" si="118">"="&amp;AZ195</f>
        <v>=12.37*100000000</v>
      </c>
      <c r="BB195" s="1">
        <f>12.37*100000000</f>
        <v>1237000000</v>
      </c>
      <c r="BC195" s="8">
        <f t="shared" ref="BC195:BC258" si="119">(BB195-BF195)/BF195</f>
        <v>0.18600191754554171</v>
      </c>
      <c r="BD195" s="6" t="s">
        <v>251</v>
      </c>
      <c r="BE195" s="6" t="str">
        <f t="shared" ref="BE195:BE258" si="120">"="&amp;BD195</f>
        <v>=10.43*100000000</v>
      </c>
      <c r="BF195" s="1">
        <f>10.43*100000000</f>
        <v>1043000000</v>
      </c>
      <c r="BG195" s="8">
        <f t="shared" ref="BG195:BG258" si="121">(BF195-BJ195)/BJ195</f>
        <v>0.34928848641655885</v>
      </c>
      <c r="BH195" s="6" t="s">
        <v>2746</v>
      </c>
      <c r="BI195" s="6" t="str">
        <f t="shared" ref="BI195:BI258" si="122">"="&amp;BH195</f>
        <v>=7.730*100000000</v>
      </c>
      <c r="BJ195" s="1">
        <f>7.73*100000000</f>
        <v>773000000</v>
      </c>
      <c r="BK195" s="6" t="s">
        <v>2747</v>
      </c>
      <c r="BL195" s="1" t="str">
        <f t="shared" si="94"/>
        <v>=1.835*100000000</v>
      </c>
      <c r="BM195" s="16">
        <f t="shared" ref="BM195:BM258" si="123">(BJ195-BN195)/BN195</f>
        <v>3.2125340599455039</v>
      </c>
      <c r="BN195" s="1">
        <f>1.835*100000000</f>
        <v>183500000</v>
      </c>
    </row>
    <row r="196" spans="1:66">
      <c r="A196" s="18"/>
      <c r="B196">
        <v>600138</v>
      </c>
      <c r="C196" t="s">
        <v>58</v>
      </c>
      <c r="D196" s="7" t="s">
        <v>2748</v>
      </c>
      <c r="E196" s="7" t="str">
        <f t="shared" si="93"/>
        <v>=9325*10000</v>
      </c>
      <c r="F196" s="1">
        <f>9325*10000</f>
        <v>93250000</v>
      </c>
      <c r="G196" s="8">
        <f t="shared" si="95"/>
        <v>-0.19403630077787382</v>
      </c>
      <c r="H196" s="6" t="s">
        <v>2098</v>
      </c>
      <c r="I196" s="6" t="str">
        <f t="shared" si="96"/>
        <v>=1.157*100000000</v>
      </c>
      <c r="J196" s="1">
        <f>1.157*100000000</f>
        <v>115700000</v>
      </c>
      <c r="K196" s="10">
        <f t="shared" si="97"/>
        <v>-9.9610894941634137E-2</v>
      </c>
      <c r="L196" s="6" t="s">
        <v>2086</v>
      </c>
      <c r="M196" s="6" t="str">
        <f t="shared" si="98"/>
        <v>=1.285*100000000</v>
      </c>
      <c r="N196" s="1">
        <f>1.285*100000000</f>
        <v>128499999.99999999</v>
      </c>
      <c r="O196" s="8">
        <f t="shared" si="99"/>
        <v>-2.5640214216163582</v>
      </c>
      <c r="P196" s="7">
        <f>-8216*10000</f>
        <v>-82160000</v>
      </c>
      <c r="Q196" s="6" t="str">
        <f t="shared" si="100"/>
        <v>=-82160000</v>
      </c>
      <c r="R196" s="11">
        <f>-82160000</f>
        <v>-82160000</v>
      </c>
      <c r="S196" s="8">
        <f t="shared" si="101"/>
        <v>-0.51896955503512876</v>
      </c>
      <c r="T196" s="6">
        <f>-1.708*100000000</f>
        <v>-170800000</v>
      </c>
      <c r="U196" s="6" t="str">
        <f t="shared" si="102"/>
        <v>=-170800000</v>
      </c>
      <c r="V196" s="1">
        <f>-170800000</f>
        <v>-170800000</v>
      </c>
      <c r="W196" s="8">
        <f t="shared" si="103"/>
        <v>0.56267154620311066</v>
      </c>
      <c r="X196" s="6">
        <f>-1.093*100000000</f>
        <v>-109300000</v>
      </c>
      <c r="Y196" s="6" t="str">
        <f t="shared" si="104"/>
        <v>=-109300000</v>
      </c>
      <c r="Z196" s="1">
        <f>-109300000</f>
        <v>-109300000</v>
      </c>
      <c r="AA196" s="8">
        <f t="shared" si="105"/>
        <v>-0.36930178880553954</v>
      </c>
      <c r="AB196" s="6">
        <f>-1.733*100000000</f>
        <v>-173300000</v>
      </c>
      <c r="AC196" s="6" t="str">
        <f t="shared" si="106"/>
        <v>=-173300000</v>
      </c>
      <c r="AD196" s="1">
        <f>-173300000</f>
        <v>-173300000</v>
      </c>
      <c r="AE196" s="8">
        <f t="shared" si="107"/>
        <v>-0.39405594405594407</v>
      </c>
      <c r="AF196" s="6">
        <f>-2.86*100000000</f>
        <v>-286000000</v>
      </c>
      <c r="AG196" s="6" t="str">
        <f t="shared" si="108"/>
        <v>=-286000000</v>
      </c>
      <c r="AH196" s="1">
        <f>-286000000</f>
        <v>-286000000</v>
      </c>
      <c r="AI196" s="8">
        <f t="shared" si="109"/>
        <v>-1.2319545823195459</v>
      </c>
      <c r="AJ196" s="6" t="s">
        <v>2749</v>
      </c>
      <c r="AK196" s="6" t="str">
        <f t="shared" si="110"/>
        <v>=12.33*100000000</v>
      </c>
      <c r="AL196" s="1">
        <f>12.33*100000000</f>
        <v>1233000000</v>
      </c>
      <c r="AM196" s="8">
        <f t="shared" si="111"/>
        <v>0.17652671755725191</v>
      </c>
      <c r="AN196" s="6" t="s">
        <v>2750</v>
      </c>
      <c r="AO196" s="6" t="str">
        <f t="shared" si="112"/>
        <v>=10.48*100000000</v>
      </c>
      <c r="AP196" s="1">
        <f>10.48*100000000</f>
        <v>1048000000</v>
      </c>
      <c r="AQ196" s="8">
        <f t="shared" si="113"/>
        <v>0.39751966928923854</v>
      </c>
      <c r="AR196" s="6" t="s">
        <v>334</v>
      </c>
      <c r="AS196" s="6" t="str">
        <f t="shared" si="114"/>
        <v>=7.499*100000000</v>
      </c>
      <c r="AT196" s="1">
        <f>7.499*100000000</f>
        <v>749900000</v>
      </c>
      <c r="AU196" s="8">
        <f t="shared" si="115"/>
        <v>4.4144404332129961</v>
      </c>
      <c r="AV196" s="6" t="s">
        <v>2751</v>
      </c>
      <c r="AW196" s="6" t="str">
        <f t="shared" si="116"/>
        <v>=1.385*100000000</v>
      </c>
      <c r="AX196" s="1">
        <f>1.385*100000000</f>
        <v>138500000</v>
      </c>
      <c r="AY196" s="10">
        <f t="shared" si="117"/>
        <v>-0.88875502008032126</v>
      </c>
      <c r="AZ196" s="6" t="s">
        <v>455</v>
      </c>
      <c r="BA196" s="6" t="str">
        <f t="shared" si="118"/>
        <v>=12.45*100000000</v>
      </c>
      <c r="BB196" s="1">
        <f>12.45*100000000</f>
        <v>1245000000</v>
      </c>
      <c r="BC196" s="8">
        <f t="shared" si="119"/>
        <v>0.18797709923664122</v>
      </c>
      <c r="BD196" s="6" t="s">
        <v>2750</v>
      </c>
      <c r="BE196" s="6" t="str">
        <f t="shared" si="120"/>
        <v>=10.48*100000000</v>
      </c>
      <c r="BF196" s="1">
        <f>10.48*100000000</f>
        <v>1048000000</v>
      </c>
      <c r="BG196" s="8">
        <f t="shared" si="121"/>
        <v>0.35278172195688656</v>
      </c>
      <c r="BH196" s="6" t="s">
        <v>2752</v>
      </c>
      <c r="BI196" s="6" t="str">
        <f t="shared" si="122"/>
        <v>=7.747*100000000</v>
      </c>
      <c r="BJ196" s="1">
        <f>7.747*100000000</f>
        <v>774700000</v>
      </c>
      <c r="BK196" s="6" t="s">
        <v>2753</v>
      </c>
      <c r="BL196" s="1" t="str">
        <f t="shared" si="94"/>
        <v>=1.838*100000000</v>
      </c>
      <c r="BM196" s="16">
        <f t="shared" si="123"/>
        <v>3.2149075081610445</v>
      </c>
      <c r="BN196" s="1">
        <f>1.838*100000000</f>
        <v>183800000</v>
      </c>
    </row>
    <row r="197" spans="1:66">
      <c r="A197" s="19"/>
      <c r="B197">
        <v>600138</v>
      </c>
      <c r="C197" t="s">
        <v>68</v>
      </c>
      <c r="D197" s="7" t="s">
        <v>2754</v>
      </c>
      <c r="E197" s="7" t="str">
        <f t="shared" si="93"/>
        <v>=4248*10000</v>
      </c>
      <c r="F197" s="1">
        <f>4248*10000</f>
        <v>42480000</v>
      </c>
      <c r="G197" s="8">
        <f t="shared" si="95"/>
        <v>-0.28891864747238033</v>
      </c>
      <c r="H197" s="7" t="s">
        <v>2755</v>
      </c>
      <c r="I197" s="6" t="str">
        <f t="shared" si="96"/>
        <v>=5974*10000</v>
      </c>
      <c r="J197" s="1">
        <f>5974*10000</f>
        <v>59740000</v>
      </c>
      <c r="K197" s="10">
        <f t="shared" si="97"/>
        <v>-0.10689191209448348</v>
      </c>
      <c r="L197" s="7" t="s">
        <v>2756</v>
      </c>
      <c r="M197" s="6" t="str">
        <f t="shared" si="98"/>
        <v>=6689*10000</v>
      </c>
      <c r="N197" s="1">
        <f>6689*10000</f>
        <v>66890000</v>
      </c>
      <c r="O197" s="8">
        <f t="shared" si="99"/>
        <v>-1.7513197798494888</v>
      </c>
      <c r="P197" s="7">
        <f>-8903*10000</f>
        <v>-89030000</v>
      </c>
      <c r="Q197" s="6" t="str">
        <f t="shared" si="100"/>
        <v>=-89030000</v>
      </c>
      <c r="R197" s="11">
        <f>-89030000</f>
        <v>-89030000</v>
      </c>
      <c r="S197" s="8">
        <f t="shared" si="101"/>
        <v>-0.63631535947712414</v>
      </c>
      <c r="T197" s="6">
        <f>-2.448*100000000</f>
        <v>-244800000</v>
      </c>
      <c r="U197" s="6" t="str">
        <f t="shared" si="102"/>
        <v>=-244800000</v>
      </c>
      <c r="V197" s="1">
        <f>-244800000</f>
        <v>-244800000</v>
      </c>
      <c r="W197" s="8">
        <f t="shared" si="103"/>
        <v>0.46236559139784944</v>
      </c>
      <c r="X197" s="6">
        <f>-1.674*100000000</f>
        <v>-167400000</v>
      </c>
      <c r="Y197" s="6" t="str">
        <f t="shared" si="104"/>
        <v>=-167400000</v>
      </c>
      <c r="Z197" s="1">
        <f>-167400000</f>
        <v>-167400000</v>
      </c>
      <c r="AA197" s="8">
        <f t="shared" si="105"/>
        <v>-0.20888468809073724</v>
      </c>
      <c r="AB197" s="6">
        <f>-2.116*100000000</f>
        <v>-211600000</v>
      </c>
      <c r="AC197" s="6" t="str">
        <f t="shared" si="106"/>
        <v>=-211600000</v>
      </c>
      <c r="AD197" s="1">
        <f>-211600000</f>
        <v>-211600000</v>
      </c>
      <c r="AE197" s="8">
        <f t="shared" si="107"/>
        <v>-0.27260226882090066</v>
      </c>
      <c r="AF197" s="6">
        <f>-2.909*100000000</f>
        <v>-290900000</v>
      </c>
      <c r="AG197" s="6" t="str">
        <f t="shared" si="108"/>
        <v>=-290900000</v>
      </c>
      <c r="AH197" s="1">
        <f>-290900000</f>
        <v>-290900000</v>
      </c>
      <c r="AI197" s="8">
        <f t="shared" si="109"/>
        <v>-1.3196703296703296</v>
      </c>
      <c r="AJ197" s="6" t="s">
        <v>2757</v>
      </c>
      <c r="AK197" s="6" t="str">
        <f t="shared" si="110"/>
        <v>=9.100*100000000</v>
      </c>
      <c r="AL197" s="1">
        <f>9.1*100000000</f>
        <v>910000000</v>
      </c>
      <c r="AM197" s="8">
        <f t="shared" si="111"/>
        <v>0.14135206321334504</v>
      </c>
      <c r="AN197" s="6" t="s">
        <v>2758</v>
      </c>
      <c r="AO197" s="6" t="str">
        <f t="shared" si="112"/>
        <v>=7.973*100000000</v>
      </c>
      <c r="AP197" s="1">
        <f>7.973*100000000</f>
        <v>797300000</v>
      </c>
      <c r="AQ197" s="8">
        <f t="shared" si="113"/>
        <v>0.41717028083896196</v>
      </c>
      <c r="AR197" s="6" t="s">
        <v>2759</v>
      </c>
      <c r="AS197" s="6" t="str">
        <f t="shared" si="114"/>
        <v>=5.626*100000000</v>
      </c>
      <c r="AT197" s="1">
        <f>5.626*100000000</f>
        <v>562600000</v>
      </c>
      <c r="AU197" s="8">
        <f t="shared" si="115"/>
        <v>5.0449124315031693</v>
      </c>
      <c r="AV197" s="7" t="s">
        <v>1769</v>
      </c>
      <c r="AW197" s="6" t="str">
        <f t="shared" si="116"/>
        <v>=9307*10000</v>
      </c>
      <c r="AX197" s="1">
        <f>9307*10000</f>
        <v>93070000</v>
      </c>
      <c r="AY197" s="10">
        <f t="shared" si="117"/>
        <v>-0.89859446502505991</v>
      </c>
      <c r="AZ197" s="6" t="s">
        <v>2760</v>
      </c>
      <c r="BA197" s="6" t="str">
        <f t="shared" si="118"/>
        <v>=9.178*100000000</v>
      </c>
      <c r="BB197" s="1">
        <f>9.178*100000000</f>
        <v>917800000.00000012</v>
      </c>
      <c r="BC197" s="8">
        <f t="shared" si="119"/>
        <v>0.1473934241780224</v>
      </c>
      <c r="BD197" s="6" t="s">
        <v>2761</v>
      </c>
      <c r="BE197" s="6" t="str">
        <f t="shared" si="120"/>
        <v>=7.999*100000000</v>
      </c>
      <c r="BF197" s="1">
        <f>7.999*100000000</f>
        <v>799900000</v>
      </c>
      <c r="BG197" s="8">
        <f t="shared" si="121"/>
        <v>0.35668249660786971</v>
      </c>
      <c r="BH197" s="6" t="s">
        <v>2762</v>
      </c>
      <c r="BI197" s="6" t="str">
        <f t="shared" si="122"/>
        <v>=5.896*100000000</v>
      </c>
      <c r="BJ197" s="1">
        <f>5.896*100000000</f>
        <v>589600000</v>
      </c>
      <c r="BK197" s="6" t="s">
        <v>2215</v>
      </c>
      <c r="BL197" s="1" t="str">
        <f t="shared" si="94"/>
        <v>=1.369*100000000</v>
      </c>
      <c r="BM197" s="16">
        <f t="shared" si="123"/>
        <v>3.3067932797662527</v>
      </c>
      <c r="BN197" s="1">
        <f>1.369*100000000</f>
        <v>136900000</v>
      </c>
    </row>
    <row r="198" spans="1:66">
      <c r="A198" s="17">
        <v>50</v>
      </c>
      <c r="B198">
        <v>600141</v>
      </c>
      <c r="C198" t="s">
        <v>31</v>
      </c>
      <c r="D198" s="6" t="s">
        <v>2763</v>
      </c>
      <c r="E198" s="7" t="str">
        <f t="shared" si="93"/>
        <v>=236.1*100000000</v>
      </c>
      <c r="F198" s="1">
        <f>236.1*100000000</f>
        <v>23610000000</v>
      </c>
      <c r="G198" s="8">
        <f t="shared" si="95"/>
        <v>0.42400482509047027</v>
      </c>
      <c r="H198" s="6" t="s">
        <v>2764</v>
      </c>
      <c r="I198" s="6" t="str">
        <f t="shared" si="96"/>
        <v>=165.8*100000000</v>
      </c>
      <c r="J198" s="1">
        <f>165.8*100000000</f>
        <v>16580000000.000002</v>
      </c>
      <c r="K198" s="10">
        <f t="shared" si="97"/>
        <v>0.68273622247031385</v>
      </c>
      <c r="L198" s="6" t="s">
        <v>2765</v>
      </c>
      <c r="M198" s="6" t="str">
        <f t="shared" si="98"/>
        <v>=98.53*100000000</v>
      </c>
      <c r="N198" s="1">
        <f>98.53*100000000</f>
        <v>9853000000</v>
      </c>
      <c r="O198" s="8">
        <f t="shared" si="99"/>
        <v>1.2057309156033131</v>
      </c>
      <c r="P198" s="6" t="s">
        <v>2766</v>
      </c>
      <c r="Q198" s="6" t="str">
        <f t="shared" si="100"/>
        <v>=44.67*100000000</v>
      </c>
      <c r="R198" s="11">
        <f>44.67*100000000</f>
        <v>4467000000</v>
      </c>
      <c r="S198" s="8">
        <f t="shared" si="101"/>
        <v>-0.75616812227074237</v>
      </c>
      <c r="T198" s="6" t="s">
        <v>2767</v>
      </c>
      <c r="U198" s="6" t="str">
        <f t="shared" si="102"/>
        <v>=183.2*100000000</v>
      </c>
      <c r="V198" s="1">
        <f>183.2*100000000</f>
        <v>18320000000</v>
      </c>
      <c r="W198" s="8">
        <f t="shared" si="103"/>
        <v>0.2036793692509857</v>
      </c>
      <c r="X198" s="6" t="s">
        <v>2768</v>
      </c>
      <c r="Y198" s="6" t="str">
        <f t="shared" si="104"/>
        <v>=152.2*100000000</v>
      </c>
      <c r="Z198" s="1">
        <f>152.2*100000000</f>
        <v>15219999999.999998</v>
      </c>
      <c r="AA198" s="8">
        <f t="shared" si="105"/>
        <v>0.62937586982121807</v>
      </c>
      <c r="AB198" s="6" t="s">
        <v>2769</v>
      </c>
      <c r="AC198" s="6" t="str">
        <f t="shared" si="106"/>
        <v>=93.41*100000000</v>
      </c>
      <c r="AD198" s="1">
        <f>93.41*100000000</f>
        <v>9341000000</v>
      </c>
      <c r="AE198" s="8">
        <f t="shared" si="107"/>
        <v>1.3908369593038137</v>
      </c>
      <c r="AF198" s="6" t="s">
        <v>2770</v>
      </c>
      <c r="AG198" s="6" t="str">
        <f t="shared" si="108"/>
        <v>=39.07*100000000</v>
      </c>
      <c r="AH198" s="1">
        <f>39.07*100000000</f>
        <v>3907000000</v>
      </c>
      <c r="AI198" s="8">
        <f t="shared" si="109"/>
        <v>-0.78342572062084259</v>
      </c>
      <c r="AJ198" s="6" t="s">
        <v>2771</v>
      </c>
      <c r="AK198" s="6" t="str">
        <f t="shared" si="110"/>
        <v>=180.4*100000000</v>
      </c>
      <c r="AL198" s="1">
        <f>180.4*100000000</f>
        <v>18040000000</v>
      </c>
      <c r="AM198" s="8">
        <f t="shared" si="111"/>
        <v>0.24844290657439447</v>
      </c>
      <c r="AN198" s="6" t="s">
        <v>856</v>
      </c>
      <c r="AO198" s="6" t="str">
        <f t="shared" si="112"/>
        <v>=144.5*100000000</v>
      </c>
      <c r="AP198" s="1">
        <f>144.5*100000000</f>
        <v>14450000000</v>
      </c>
      <c r="AQ198" s="8">
        <f t="shared" si="113"/>
        <v>0.51993268118228675</v>
      </c>
      <c r="AR198" s="6" t="s">
        <v>2772</v>
      </c>
      <c r="AS198" s="6" t="str">
        <f t="shared" si="114"/>
        <v>=95.07*100000000</v>
      </c>
      <c r="AT198" s="1">
        <f>95.07*100000000</f>
        <v>9507000000</v>
      </c>
      <c r="AU198" s="8">
        <f t="shared" si="115"/>
        <v>1.1835094166283877</v>
      </c>
      <c r="AV198" s="6" t="s">
        <v>2773</v>
      </c>
      <c r="AW198" s="6" t="str">
        <f t="shared" si="116"/>
        <v>=43.54*100000000</v>
      </c>
      <c r="AX198" s="1">
        <f>43.54*100000000</f>
        <v>4354000000</v>
      </c>
      <c r="AY198" s="10">
        <f t="shared" si="117"/>
        <v>-0.75621500559910415</v>
      </c>
      <c r="AZ198" s="6" t="s">
        <v>518</v>
      </c>
      <c r="BA198" s="6" t="str">
        <f t="shared" si="118"/>
        <v>=178.6*100000000</v>
      </c>
      <c r="BB198" s="1">
        <f>178.6*100000000</f>
        <v>17860000000</v>
      </c>
      <c r="BC198" s="8">
        <f t="shared" si="119"/>
        <v>0.24895104895104894</v>
      </c>
      <c r="BD198" s="6" t="s">
        <v>2774</v>
      </c>
      <c r="BE198" s="6" t="str">
        <f t="shared" si="120"/>
        <v>=143.0*100000000</v>
      </c>
      <c r="BF198" s="1">
        <f>143*100000000</f>
        <v>14300000000</v>
      </c>
      <c r="BG198" s="8">
        <f t="shared" si="121"/>
        <v>0.52224824355971899</v>
      </c>
      <c r="BH198" s="6" t="s">
        <v>2775</v>
      </c>
      <c r="BI198" s="6" t="str">
        <f t="shared" si="122"/>
        <v>=93.94*100000000</v>
      </c>
      <c r="BJ198" s="1">
        <f>93.94*100000000</f>
        <v>9394000000</v>
      </c>
      <c r="BK198" s="6" t="s">
        <v>2776</v>
      </c>
      <c r="BL198" s="1" t="str">
        <f t="shared" si="94"/>
        <v>=40.91*100000000</v>
      </c>
      <c r="BM198" s="16">
        <f t="shared" si="123"/>
        <v>1.2962600831092643</v>
      </c>
      <c r="BN198" s="1">
        <f>40.91*100000000</f>
        <v>4090999999.9999995</v>
      </c>
    </row>
    <row r="199" spans="1:66">
      <c r="A199" s="18"/>
      <c r="B199">
        <v>600141</v>
      </c>
      <c r="C199" t="s">
        <v>48</v>
      </c>
      <c r="D199" s="6" t="s">
        <v>2777</v>
      </c>
      <c r="E199" s="7" t="str">
        <f t="shared" si="93"/>
        <v>=59.01*100000000</v>
      </c>
      <c r="F199" s="1">
        <f>59.01*100000000</f>
        <v>5901000000</v>
      </c>
      <c r="G199" s="8">
        <f t="shared" si="95"/>
        <v>0.69812949640287769</v>
      </c>
      <c r="H199" s="6" t="s">
        <v>2778</v>
      </c>
      <c r="I199" s="6" t="str">
        <f t="shared" si="96"/>
        <v>=34.75*100000000</v>
      </c>
      <c r="J199" s="1">
        <f>34.75*100000000</f>
        <v>3475000000</v>
      </c>
      <c r="K199" s="10">
        <f t="shared" si="97"/>
        <v>1.2952443857331573</v>
      </c>
      <c r="L199" s="6" t="s">
        <v>2779</v>
      </c>
      <c r="M199" s="6" t="str">
        <f t="shared" si="98"/>
        <v>=15.14*100000000</v>
      </c>
      <c r="N199" s="1">
        <f>15.14*100000000</f>
        <v>1514000000</v>
      </c>
      <c r="O199" s="8">
        <f t="shared" si="99"/>
        <v>2.262227968110321</v>
      </c>
      <c r="P199" s="6" t="s">
        <v>2780</v>
      </c>
      <c r="Q199" s="6" t="str">
        <f t="shared" si="100"/>
        <v>=4.641*100000000</v>
      </c>
      <c r="R199" s="11">
        <f>4.641*100000000</f>
        <v>464100000</v>
      </c>
      <c r="S199" s="8">
        <f t="shared" si="101"/>
        <v>-0.39703780693776797</v>
      </c>
      <c r="T199" s="6" t="s">
        <v>2781</v>
      </c>
      <c r="U199" s="6" t="str">
        <f t="shared" si="102"/>
        <v>=7.697*100000000</v>
      </c>
      <c r="V199" s="1">
        <f>7.697*100000000</f>
        <v>769700000</v>
      </c>
      <c r="W199" s="8">
        <f t="shared" si="103"/>
        <v>0.61769651113913404</v>
      </c>
      <c r="X199" s="6" t="s">
        <v>2782</v>
      </c>
      <c r="Y199" s="6" t="str">
        <f t="shared" si="104"/>
        <v>=4.758*100000000</v>
      </c>
      <c r="Z199" s="1">
        <f>4.758*100000000</f>
        <v>475800000</v>
      </c>
      <c r="AA199" s="8">
        <f t="shared" si="105"/>
        <v>1.892401215805471</v>
      </c>
      <c r="AB199" s="6" t="s">
        <v>2783</v>
      </c>
      <c r="AC199" s="6" t="str">
        <f t="shared" si="106"/>
        <v>=1.645*100000000</v>
      </c>
      <c r="AD199" s="1">
        <f>1.645*100000000</f>
        <v>164500000</v>
      </c>
      <c r="AE199" s="8">
        <f t="shared" si="107"/>
        <v>53.16529469871584</v>
      </c>
      <c r="AF199" s="7" t="s">
        <v>2784</v>
      </c>
      <c r="AG199" s="6" t="str">
        <f t="shared" si="108"/>
        <v>=303.7*10000</v>
      </c>
      <c r="AH199" s="1">
        <f>303.7*10000</f>
        <v>3037000</v>
      </c>
      <c r="AI199" s="8">
        <f t="shared" si="109"/>
        <v>-0.99371481788079474</v>
      </c>
      <c r="AJ199" s="6" t="s">
        <v>2785</v>
      </c>
      <c r="AK199" s="6" t="str">
        <f t="shared" si="110"/>
        <v>=4.832*100000000</v>
      </c>
      <c r="AL199" s="1">
        <f>4.832*100000000</f>
        <v>483200000</v>
      </c>
      <c r="AM199" s="8">
        <f t="shared" si="111"/>
        <v>1.8660584698319308E-3</v>
      </c>
      <c r="AN199" s="6" t="s">
        <v>2651</v>
      </c>
      <c r="AO199" s="6" t="str">
        <f t="shared" si="112"/>
        <v>=4.823*100000000</v>
      </c>
      <c r="AP199" s="1">
        <f>4.823*100000000</f>
        <v>482300000.00000006</v>
      </c>
      <c r="AQ199" s="8">
        <f t="shared" si="113"/>
        <v>1.0196817420435513</v>
      </c>
      <c r="AR199" s="6" t="s">
        <v>2786</v>
      </c>
      <c r="AS199" s="6" t="str">
        <f t="shared" si="114"/>
        <v>=2.388*100000000</v>
      </c>
      <c r="AT199" s="1">
        <f>2.388*100000000</f>
        <v>238800000</v>
      </c>
      <c r="AU199" s="8">
        <f t="shared" si="115"/>
        <v>1.7543252595155709</v>
      </c>
      <c r="AV199" s="7" t="s">
        <v>2787</v>
      </c>
      <c r="AW199" s="6" t="str">
        <f t="shared" si="116"/>
        <v>=8670*10000</v>
      </c>
      <c r="AX199" s="1">
        <f>8670*10000</f>
        <v>86700000</v>
      </c>
      <c r="AY199" s="10">
        <f t="shared" si="117"/>
        <v>-0.92519413287316654</v>
      </c>
      <c r="AZ199" s="6" t="s">
        <v>2788</v>
      </c>
      <c r="BA199" s="6" t="str">
        <f t="shared" si="118"/>
        <v>=11.59*100000000</v>
      </c>
      <c r="BB199" s="1">
        <f>11.59*100000000</f>
        <v>1159000000</v>
      </c>
      <c r="BC199" s="8">
        <f t="shared" si="119"/>
        <v>7.4142724745134378E-2</v>
      </c>
      <c r="BD199" s="6" t="s">
        <v>1835</v>
      </c>
      <c r="BE199" s="6" t="str">
        <f t="shared" si="120"/>
        <v>=10.79*100000000</v>
      </c>
      <c r="BF199" s="1">
        <f>10.79*100000000</f>
        <v>1079000000</v>
      </c>
      <c r="BG199" s="8">
        <f t="shared" si="121"/>
        <v>0.96718322698268</v>
      </c>
      <c r="BH199" s="6" t="s">
        <v>375</v>
      </c>
      <c r="BI199" s="6" t="str">
        <f t="shared" si="122"/>
        <v>=5.485*100000000</v>
      </c>
      <c r="BJ199" s="1">
        <f>5.485*100000000</f>
        <v>548500000</v>
      </c>
      <c r="BK199" s="6" t="s">
        <v>2003</v>
      </c>
      <c r="BL199" s="1" t="str">
        <f t="shared" si="94"/>
        <v>=2.016*100000000</v>
      </c>
      <c r="BM199" s="16">
        <f t="shared" si="123"/>
        <v>1.720734126984127</v>
      </c>
      <c r="BN199" s="1">
        <f>2.016*100000000</f>
        <v>201600000</v>
      </c>
    </row>
    <row r="200" spans="1:66">
      <c r="A200" s="18"/>
      <c r="B200">
        <v>600141</v>
      </c>
      <c r="C200" t="s">
        <v>58</v>
      </c>
      <c r="D200" s="6" t="s">
        <v>2789</v>
      </c>
      <c r="E200" s="7" t="str">
        <f t="shared" si="93"/>
        <v>=53.90*100000000</v>
      </c>
      <c r="F200" s="1">
        <f>53.9*100000000</f>
        <v>5390000000</v>
      </c>
      <c r="G200" s="8">
        <f t="shared" si="95"/>
        <v>0.72867222578576007</v>
      </c>
      <c r="H200" s="6" t="s">
        <v>2790</v>
      </c>
      <c r="I200" s="6" t="str">
        <f t="shared" si="96"/>
        <v>=31.18*100000000</v>
      </c>
      <c r="J200" s="1">
        <f>31.18*100000000</f>
        <v>3118000000</v>
      </c>
      <c r="K200" s="10">
        <f t="shared" si="97"/>
        <v>1.1804195804195805</v>
      </c>
      <c r="L200" s="6" t="s">
        <v>2791</v>
      </c>
      <c r="M200" s="6" t="str">
        <f t="shared" si="98"/>
        <v>=14.30*100000000</v>
      </c>
      <c r="N200" s="1">
        <f>14.3*100000000</f>
        <v>1430000000</v>
      </c>
      <c r="O200" s="8">
        <f t="shared" si="99"/>
        <v>2.1229526097401181</v>
      </c>
      <c r="P200" s="6" t="s">
        <v>2792</v>
      </c>
      <c r="Q200" s="6" t="str">
        <f t="shared" si="100"/>
        <v>=4.579*100000000</v>
      </c>
      <c r="R200" s="11">
        <f>4.579*100000000</f>
        <v>457900000</v>
      </c>
      <c r="S200" s="8">
        <f t="shared" si="101"/>
        <v>-0.34837057065604099</v>
      </c>
      <c r="T200" s="6" t="s">
        <v>2793</v>
      </c>
      <c r="U200" s="6" t="str">
        <f t="shared" si="102"/>
        <v>=7.027*100000000</v>
      </c>
      <c r="V200" s="1">
        <f>7.027*100000000</f>
        <v>702700000</v>
      </c>
      <c r="W200" s="8">
        <f t="shared" si="103"/>
        <v>0.52462573226296372</v>
      </c>
      <c r="X200" s="6" t="s">
        <v>2794</v>
      </c>
      <c r="Y200" s="6" t="str">
        <f t="shared" si="104"/>
        <v>=4.609*100000000</v>
      </c>
      <c r="Z200" s="1">
        <f>4.609*100000000</f>
        <v>460900000</v>
      </c>
      <c r="AA200" s="8">
        <f t="shared" si="105"/>
        <v>1.6427752293577982</v>
      </c>
      <c r="AB200" s="6" t="s">
        <v>2795</v>
      </c>
      <c r="AC200" s="6" t="str">
        <f t="shared" si="106"/>
        <v>=1.744*100000000</v>
      </c>
      <c r="AD200" s="1">
        <f>1.744*100000000</f>
        <v>174400000</v>
      </c>
      <c r="AE200" s="8">
        <f t="shared" si="107"/>
        <v>27.464174963277298</v>
      </c>
      <c r="AF200" s="7" t="s">
        <v>2796</v>
      </c>
      <c r="AG200" s="6" t="str">
        <f t="shared" si="108"/>
        <v>=612.7*10000</v>
      </c>
      <c r="AH200" s="1">
        <f>612.7*10000</f>
        <v>6127000</v>
      </c>
      <c r="AI200" s="8">
        <f t="shared" si="109"/>
        <v>-0.98657831325301204</v>
      </c>
      <c r="AJ200" s="6" t="s">
        <v>2797</v>
      </c>
      <c r="AK200" s="6" t="str">
        <f t="shared" si="110"/>
        <v>=4.565*100000000</v>
      </c>
      <c r="AL200" s="1">
        <f>4.565*100000000</f>
        <v>456500000.00000006</v>
      </c>
      <c r="AM200" s="8">
        <f t="shared" si="111"/>
        <v>-4.2776263367582175E-2</v>
      </c>
      <c r="AN200" s="6" t="s">
        <v>2798</v>
      </c>
      <c r="AO200" s="6" t="str">
        <f t="shared" si="112"/>
        <v>=4.769*100000000</v>
      </c>
      <c r="AP200" s="1">
        <f>4.769*100000000</f>
        <v>476900000</v>
      </c>
      <c r="AQ200" s="8">
        <f t="shared" si="113"/>
        <v>0.96013152486642028</v>
      </c>
      <c r="AR200" s="6" t="s">
        <v>2799</v>
      </c>
      <c r="AS200" s="6" t="str">
        <f t="shared" si="114"/>
        <v>=2.433*100000000</v>
      </c>
      <c r="AT200" s="1">
        <f>2.433*100000000</f>
        <v>243299999.99999997</v>
      </c>
      <c r="AU200" s="8">
        <f t="shared" si="115"/>
        <v>1.7535083748302396</v>
      </c>
      <c r="AV200" s="7" t="s">
        <v>2176</v>
      </c>
      <c r="AW200" s="6" t="str">
        <f t="shared" si="116"/>
        <v>=8836*10000</v>
      </c>
      <c r="AX200" s="1">
        <f>8836*10000</f>
        <v>88360000</v>
      </c>
      <c r="AY200" s="10">
        <f t="shared" si="117"/>
        <v>-0.90616969310820861</v>
      </c>
      <c r="AZ200" s="6" t="s">
        <v>2800</v>
      </c>
      <c r="BA200" s="6" t="str">
        <f t="shared" si="118"/>
        <v>=9.417*100000000</v>
      </c>
      <c r="BB200" s="1">
        <f>9.417*100000000</f>
        <v>941700000</v>
      </c>
      <c r="BC200" s="8">
        <f t="shared" si="119"/>
        <v>3.8830667402095974E-2</v>
      </c>
      <c r="BD200" s="6" t="s">
        <v>931</v>
      </c>
      <c r="BE200" s="6" t="str">
        <f t="shared" si="120"/>
        <v>=9.065*100000000</v>
      </c>
      <c r="BF200" s="1">
        <f>9.065*100000000</f>
        <v>906500000</v>
      </c>
      <c r="BG200" s="8">
        <f t="shared" si="121"/>
        <v>0.75746413338503271</v>
      </c>
      <c r="BH200" s="6" t="s">
        <v>2801</v>
      </c>
      <c r="BI200" s="6" t="str">
        <f t="shared" si="122"/>
        <v>=5.158*100000000</v>
      </c>
      <c r="BJ200" s="1">
        <f>5.158*100000000</f>
        <v>515800000.00000006</v>
      </c>
      <c r="BK200" s="6" t="s">
        <v>2802</v>
      </c>
      <c r="BL200" s="1" t="str">
        <f t="shared" si="94"/>
        <v>=2.068*100000000</v>
      </c>
      <c r="BM200" s="16">
        <f t="shared" si="123"/>
        <v>1.4941972920696327</v>
      </c>
      <c r="BN200" s="1">
        <f>2.068*100000000</f>
        <v>206800000</v>
      </c>
    </row>
    <row r="201" spans="1:66">
      <c r="A201" s="19"/>
      <c r="B201">
        <v>600141</v>
      </c>
      <c r="C201" t="s">
        <v>68</v>
      </c>
      <c r="D201" s="6" t="s">
        <v>2803</v>
      </c>
      <c r="E201" s="7" t="str">
        <f t="shared" si="93"/>
        <v>=47.02*100000000</v>
      </c>
      <c r="F201" s="1">
        <f>47.02*100000000</f>
        <v>4702000000</v>
      </c>
      <c r="G201" s="8">
        <f t="shared" si="95"/>
        <v>0.73249815770081061</v>
      </c>
      <c r="H201" s="6" t="s">
        <v>2804</v>
      </c>
      <c r="I201" s="6" t="str">
        <f t="shared" si="96"/>
        <v>=27.14*100000000</v>
      </c>
      <c r="J201" s="1">
        <f>27.14*100000000</f>
        <v>2714000000</v>
      </c>
      <c r="K201" s="10">
        <f t="shared" si="97"/>
        <v>1.2173202614379084</v>
      </c>
      <c r="L201" s="6" t="s">
        <v>582</v>
      </c>
      <c r="M201" s="6" t="str">
        <f t="shared" si="98"/>
        <v>=12.24*100000000</v>
      </c>
      <c r="N201" s="1">
        <f>12.24*100000000</f>
        <v>1224000000</v>
      </c>
      <c r="O201" s="8">
        <f t="shared" si="99"/>
        <v>2.2016740779492543</v>
      </c>
      <c r="P201" s="6" t="s">
        <v>2805</v>
      </c>
      <c r="Q201" s="6" t="str">
        <f t="shared" si="100"/>
        <v>=3.823*100000000</v>
      </c>
      <c r="R201" s="11">
        <f>3.823*100000000</f>
        <v>382300000</v>
      </c>
      <c r="S201" s="8">
        <f t="shared" si="101"/>
        <v>-0.36006026113157014</v>
      </c>
      <c r="T201" s="6" t="s">
        <v>2806</v>
      </c>
      <c r="U201" s="6" t="str">
        <f t="shared" si="102"/>
        <v>=5.974*100000000</v>
      </c>
      <c r="V201" s="1">
        <f>5.974*100000000</f>
        <v>597400000</v>
      </c>
      <c r="W201" s="8">
        <f t="shared" si="103"/>
        <v>0.52709611451942739</v>
      </c>
      <c r="X201" s="6" t="s">
        <v>2807</v>
      </c>
      <c r="Y201" s="6" t="str">
        <f t="shared" si="104"/>
        <v>=3.912*100000000</v>
      </c>
      <c r="Z201" s="1">
        <f>3.912*100000000</f>
        <v>391200000</v>
      </c>
      <c r="AA201" s="8">
        <f t="shared" si="105"/>
        <v>1.8083273510409188</v>
      </c>
      <c r="AB201" s="6" t="s">
        <v>2808</v>
      </c>
      <c r="AC201" s="6" t="str">
        <f t="shared" si="106"/>
        <v>=1.393*100000000</v>
      </c>
      <c r="AD201" s="1">
        <f>1.393*100000000</f>
        <v>139300000</v>
      </c>
      <c r="AE201" s="8">
        <f t="shared" si="107"/>
        <v>26.600554785020805</v>
      </c>
      <c r="AF201" s="7" t="s">
        <v>2809</v>
      </c>
      <c r="AG201" s="6" t="str">
        <f t="shared" si="108"/>
        <v>=504.7*10000</v>
      </c>
      <c r="AH201" s="1">
        <f>504.7*10000</f>
        <v>5047000</v>
      </c>
      <c r="AI201" s="8">
        <f t="shared" si="109"/>
        <v>-0.98715449223721052</v>
      </c>
      <c r="AJ201" s="6" t="s">
        <v>2810</v>
      </c>
      <c r="AK201" s="6" t="str">
        <f t="shared" si="110"/>
        <v>=3.929*100000000</v>
      </c>
      <c r="AL201" s="1">
        <f>3.929*100000000</f>
        <v>392900000</v>
      </c>
      <c r="AM201" s="8">
        <f t="shared" si="111"/>
        <v>-5.0877639277537522E-4</v>
      </c>
      <c r="AN201" s="6" t="s">
        <v>2811</v>
      </c>
      <c r="AO201" s="6" t="str">
        <f t="shared" si="112"/>
        <v>=3.931*100000000</v>
      </c>
      <c r="AP201" s="1">
        <f>3.931*100000000</f>
        <v>393100000</v>
      </c>
      <c r="AQ201" s="8">
        <f t="shared" si="113"/>
        <v>0.93264503441494617</v>
      </c>
      <c r="AR201" s="6" t="s">
        <v>2812</v>
      </c>
      <c r="AS201" s="6" t="str">
        <f t="shared" si="114"/>
        <v>=2.034*100000000</v>
      </c>
      <c r="AT201" s="1">
        <f>2.034*100000000</f>
        <v>203399999.99999997</v>
      </c>
      <c r="AU201" s="8">
        <f t="shared" si="115"/>
        <v>1.7134471718249729</v>
      </c>
      <c r="AV201" s="7" t="s">
        <v>2813</v>
      </c>
      <c r="AW201" s="6" t="str">
        <f t="shared" si="116"/>
        <v>=7496*10000</v>
      </c>
      <c r="AX201" s="1">
        <f>7496*10000</f>
        <v>74960000</v>
      </c>
      <c r="AY201" s="10">
        <f t="shared" si="117"/>
        <v>-0.90568696527428283</v>
      </c>
      <c r="AZ201" s="6" t="s">
        <v>2814</v>
      </c>
      <c r="BA201" s="6" t="str">
        <f t="shared" si="118"/>
        <v>=7.948*100000000</v>
      </c>
      <c r="BB201" s="1">
        <f>7.948*100000000</f>
        <v>794800000</v>
      </c>
      <c r="BC201" s="8">
        <f t="shared" si="119"/>
        <v>5.8463177520308961E-2</v>
      </c>
      <c r="BD201" s="6" t="s">
        <v>2815</v>
      </c>
      <c r="BE201" s="6" t="str">
        <f t="shared" si="120"/>
        <v>=7.509*100000000</v>
      </c>
      <c r="BF201" s="1">
        <f>7.509*100000000</f>
        <v>750900000</v>
      </c>
      <c r="BG201" s="8">
        <f t="shared" si="121"/>
        <v>0.78615604186489063</v>
      </c>
      <c r="BH201" s="6" t="s">
        <v>2816</v>
      </c>
      <c r="BI201" s="6" t="str">
        <f t="shared" si="122"/>
        <v>=4.204*100000000</v>
      </c>
      <c r="BJ201" s="1">
        <f>4.204*100000000</f>
        <v>420400000</v>
      </c>
      <c r="BK201" s="6" t="s">
        <v>2817</v>
      </c>
      <c r="BL201" s="1" t="str">
        <f t="shared" si="94"/>
        <v>=1.653*100000000</v>
      </c>
      <c r="BM201" s="16">
        <f t="shared" si="123"/>
        <v>1.5432546884452512</v>
      </c>
      <c r="BN201" s="1">
        <f>1.653*100000000</f>
        <v>165300000</v>
      </c>
    </row>
    <row r="202" spans="1:66">
      <c r="A202" s="17">
        <v>51</v>
      </c>
      <c r="B202">
        <v>600151</v>
      </c>
      <c r="C202" t="s">
        <v>31</v>
      </c>
      <c r="D202" s="6" t="s">
        <v>2818</v>
      </c>
      <c r="E202" s="7" t="str">
        <f t="shared" si="93"/>
        <v>=62.93*100000000</v>
      </c>
      <c r="F202" s="1">
        <f>62.93*100000000</f>
        <v>6293000000</v>
      </c>
      <c r="G202" s="8">
        <f t="shared" si="95"/>
        <v>0.44037537193865872</v>
      </c>
      <c r="H202" s="6" t="s">
        <v>2819</v>
      </c>
      <c r="I202" s="6" t="str">
        <f t="shared" si="96"/>
        <v>=43.69*100000000</v>
      </c>
      <c r="J202" s="1">
        <f>43.69*100000000</f>
        <v>4369000000</v>
      </c>
      <c r="K202" s="10">
        <f t="shared" si="97"/>
        <v>0.57441441441441443</v>
      </c>
      <c r="L202" s="6" t="s">
        <v>2820</v>
      </c>
      <c r="M202" s="6" t="str">
        <f t="shared" si="98"/>
        <v>=27.75*100000000</v>
      </c>
      <c r="N202" s="1">
        <f>27.75*100000000</f>
        <v>2775000000</v>
      </c>
      <c r="O202" s="8">
        <f t="shared" si="99"/>
        <v>1.1329746348962337</v>
      </c>
      <c r="P202" s="6" t="s">
        <v>177</v>
      </c>
      <c r="Q202" s="6" t="str">
        <f t="shared" si="100"/>
        <v>=13.01*100000000</v>
      </c>
      <c r="R202" s="11">
        <f>13.01*100000000</f>
        <v>1301000000</v>
      </c>
      <c r="S202" s="8">
        <f t="shared" si="101"/>
        <v>-0.78647628426062699</v>
      </c>
      <c r="T202" s="6" t="s">
        <v>2821</v>
      </c>
      <c r="U202" s="6" t="str">
        <f t="shared" si="102"/>
        <v>=60.93*100000000</v>
      </c>
      <c r="V202" s="1">
        <f>60.93*100000000</f>
        <v>6093000000</v>
      </c>
      <c r="W202" s="8">
        <f t="shared" si="103"/>
        <v>0.40359364201796821</v>
      </c>
      <c r="X202" s="6" t="s">
        <v>2822</v>
      </c>
      <c r="Y202" s="6" t="str">
        <f t="shared" si="104"/>
        <v>=43.41*100000000</v>
      </c>
      <c r="Z202" s="1">
        <f>43.41*100000000</f>
        <v>4341000000</v>
      </c>
      <c r="AA202" s="8">
        <f t="shared" si="105"/>
        <v>0.5366371681415929</v>
      </c>
      <c r="AB202" s="6" t="s">
        <v>2823</v>
      </c>
      <c r="AC202" s="6" t="str">
        <f t="shared" si="106"/>
        <v>=28.25*100000000</v>
      </c>
      <c r="AD202" s="1">
        <f>28.25*100000000</f>
        <v>2825000000</v>
      </c>
      <c r="AE202" s="8">
        <f t="shared" si="107"/>
        <v>1.0956973293768546</v>
      </c>
      <c r="AF202" s="6" t="s">
        <v>1528</v>
      </c>
      <c r="AG202" s="6" t="str">
        <f t="shared" si="108"/>
        <v>=13.48*100000000</v>
      </c>
      <c r="AH202" s="1">
        <f>13.48*100000000</f>
        <v>1348000000</v>
      </c>
      <c r="AI202" s="8">
        <f t="shared" si="109"/>
        <v>-0.80492040520984076</v>
      </c>
      <c r="AJ202" s="6" t="s">
        <v>2824</v>
      </c>
      <c r="AK202" s="6" t="str">
        <f t="shared" si="110"/>
        <v>=69.10*100000000</v>
      </c>
      <c r="AL202" s="1">
        <f>69.1*100000000</f>
        <v>6909999999.999999</v>
      </c>
      <c r="AM202" s="8">
        <f t="shared" si="111"/>
        <v>0.41685462374410481</v>
      </c>
      <c r="AN202" s="6" t="s">
        <v>2825</v>
      </c>
      <c r="AO202" s="6" t="str">
        <f t="shared" si="112"/>
        <v>=48.77*100000000</v>
      </c>
      <c r="AP202" s="1">
        <f>48.77*100000000</f>
        <v>4877000000</v>
      </c>
      <c r="AQ202" s="8">
        <f t="shared" si="113"/>
        <v>0.50617665225447783</v>
      </c>
      <c r="AR202" s="6" t="s">
        <v>2826</v>
      </c>
      <c r="AS202" s="6" t="str">
        <f t="shared" si="114"/>
        <v>=32.38*100000000</v>
      </c>
      <c r="AT202" s="1">
        <f>32.38*100000000</f>
        <v>3238000000.0000005</v>
      </c>
      <c r="AU202" s="8">
        <f t="shared" si="115"/>
        <v>1.3345349675558764</v>
      </c>
      <c r="AV202" s="6" t="s">
        <v>1193</v>
      </c>
      <c r="AW202" s="6" t="str">
        <f t="shared" si="116"/>
        <v>=13.87*100000000</v>
      </c>
      <c r="AX202" s="1">
        <f>13.87*100000000</f>
        <v>1387000000</v>
      </c>
      <c r="AY202" s="10">
        <f t="shared" si="117"/>
        <v>-0.79301596776600514</v>
      </c>
      <c r="AZ202" s="6" t="s">
        <v>2827</v>
      </c>
      <c r="BA202" s="6" t="str">
        <f t="shared" si="118"/>
        <v>=67.01*100000000</v>
      </c>
      <c r="BB202" s="1">
        <f>67.01*100000000</f>
        <v>6701000000.000001</v>
      </c>
      <c r="BC202" s="8">
        <f t="shared" si="119"/>
        <v>0.33939636218269059</v>
      </c>
      <c r="BD202" s="6" t="s">
        <v>2828</v>
      </c>
      <c r="BE202" s="6" t="str">
        <f t="shared" si="120"/>
        <v>=50.03*100000000</v>
      </c>
      <c r="BF202" s="1">
        <f>50.03*100000000</f>
        <v>5003000000</v>
      </c>
      <c r="BG202" s="8">
        <f t="shared" si="121"/>
        <v>0.49745585154145489</v>
      </c>
      <c r="BH202" s="6" t="s">
        <v>2829</v>
      </c>
      <c r="BI202" s="6" t="str">
        <f t="shared" si="122"/>
        <v>=33.41*100000000</v>
      </c>
      <c r="BJ202" s="1">
        <f>33.41*100000000</f>
        <v>3340999999.9999995</v>
      </c>
      <c r="BK202" s="6" t="s">
        <v>2830</v>
      </c>
      <c r="BL202" s="1" t="str">
        <f t="shared" si="94"/>
        <v>=14.43*100000000</v>
      </c>
      <c r="BM202" s="16">
        <f t="shared" si="123"/>
        <v>1.315315315315315</v>
      </c>
      <c r="BN202" s="1">
        <f>14.43*100000000</f>
        <v>1443000000</v>
      </c>
    </row>
    <row r="203" spans="1:66">
      <c r="A203" s="18"/>
      <c r="B203">
        <v>600151</v>
      </c>
      <c r="C203" t="s">
        <v>48</v>
      </c>
      <c r="D203" s="7" t="s">
        <v>2831</v>
      </c>
      <c r="E203" s="7" t="str">
        <f t="shared" si="93"/>
        <v>=6448*10000</v>
      </c>
      <c r="F203" s="1">
        <f>6448*10000</f>
        <v>64480000</v>
      </c>
      <c r="G203" s="8">
        <f t="shared" si="95"/>
        <v>-3.8992805755395685</v>
      </c>
      <c r="H203" s="7">
        <f>-2224*10000</f>
        <v>-22240000</v>
      </c>
      <c r="I203" s="6" t="str">
        <f t="shared" si="96"/>
        <v>=-22240000</v>
      </c>
      <c r="J203" s="1">
        <f>-22240000</f>
        <v>-22240000</v>
      </c>
      <c r="K203" s="10">
        <f t="shared" si="97"/>
        <v>0.33734215273601925</v>
      </c>
      <c r="L203" s="7">
        <f>-1663*10000</f>
        <v>-16630000</v>
      </c>
      <c r="M203" s="6" t="str">
        <f t="shared" si="98"/>
        <v>=-16630000</v>
      </c>
      <c r="N203" s="1">
        <f>-16630000</f>
        <v>-16630000</v>
      </c>
      <c r="O203" s="8">
        <f t="shared" si="99"/>
        <v>-0.18996590355577203</v>
      </c>
      <c r="P203" s="7">
        <f>-2053*10000</f>
        <v>-20530000</v>
      </c>
      <c r="Q203" s="6" t="str">
        <f t="shared" si="100"/>
        <v>=-20530000</v>
      </c>
      <c r="R203" s="11">
        <f>-20530000</f>
        <v>-20530000</v>
      </c>
      <c r="S203" s="8">
        <f t="shared" si="101"/>
        <v>-1.4409364261168385</v>
      </c>
      <c r="T203" s="7" t="s">
        <v>2832</v>
      </c>
      <c r="U203" s="6" t="str">
        <f t="shared" si="102"/>
        <v>=4656*10000</v>
      </c>
      <c r="V203" s="1">
        <f>4656*10000</f>
        <v>46560000</v>
      </c>
      <c r="W203" s="8">
        <f t="shared" si="103"/>
        <v>-1.3217691776088458</v>
      </c>
      <c r="X203" s="6">
        <f>-1.447*100000000</f>
        <v>-144700000</v>
      </c>
      <c r="Y203" s="6" t="str">
        <f t="shared" si="104"/>
        <v>=-144700000</v>
      </c>
      <c r="Z203" s="1">
        <f>-144700000</f>
        <v>-144700000</v>
      </c>
      <c r="AA203" s="8">
        <f t="shared" si="105"/>
        <v>6.7109144542772864E-2</v>
      </c>
      <c r="AB203" s="6">
        <f>-1.356*100000000</f>
        <v>-135600000</v>
      </c>
      <c r="AC203" s="6" t="str">
        <f t="shared" si="106"/>
        <v>=-135600000</v>
      </c>
      <c r="AD203" s="1">
        <f>-135600000</f>
        <v>-135600000</v>
      </c>
      <c r="AE203" s="8">
        <f t="shared" si="107"/>
        <v>0.31395348837209303</v>
      </c>
      <c r="AF203" s="6">
        <f>-1.032*100000000</f>
        <v>-103200000</v>
      </c>
      <c r="AG203" s="6" t="str">
        <f t="shared" si="108"/>
        <v>=-103200000</v>
      </c>
      <c r="AH203" s="1">
        <f>-103200000</f>
        <v>-103200000</v>
      </c>
      <c r="AI203" s="8">
        <f t="shared" si="109"/>
        <v>-0.86611312921639849</v>
      </c>
      <c r="AJ203" s="6">
        <f>-7.708*100000000</f>
        <v>-770800000</v>
      </c>
      <c r="AK203" s="6" t="str">
        <f t="shared" si="110"/>
        <v>=-770800000</v>
      </c>
      <c r="AL203" s="1">
        <f>-770800000</f>
        <v>-770800000</v>
      </c>
      <c r="AM203" s="8">
        <f t="shared" si="111"/>
        <v>4.9613302397525132</v>
      </c>
      <c r="AN203" s="6">
        <f>-1.293*100000000</f>
        <v>-129300000</v>
      </c>
      <c r="AO203" s="6" t="str">
        <f t="shared" si="112"/>
        <v>=-129300000</v>
      </c>
      <c r="AP203" s="1">
        <f>-129300000</f>
        <v>-129300000</v>
      </c>
      <c r="AQ203" s="8">
        <f t="shared" si="113"/>
        <v>0.2626953125</v>
      </c>
      <c r="AR203" s="6">
        <f>-1.024*100000000</f>
        <v>-102400000</v>
      </c>
      <c r="AS203" s="6" t="str">
        <f t="shared" si="114"/>
        <v>=-102400000</v>
      </c>
      <c r="AT203" s="1">
        <f>-102400000</f>
        <v>-102400000</v>
      </c>
      <c r="AU203" s="8">
        <f t="shared" si="115"/>
        <v>-8.4897229669347637E-2</v>
      </c>
      <c r="AV203" s="6">
        <f>-1.119*100000000</f>
        <v>-111900000</v>
      </c>
      <c r="AW203" s="6" t="str">
        <f t="shared" si="116"/>
        <v>=-111900000</v>
      </c>
      <c r="AX203" s="1">
        <f>-111900000</f>
        <v>-111900000</v>
      </c>
      <c r="AY203" s="10">
        <f t="shared" si="117"/>
        <v>-5.2194570135746607</v>
      </c>
      <c r="AZ203" s="7" t="s">
        <v>2833</v>
      </c>
      <c r="BA203" s="6" t="str">
        <f t="shared" si="118"/>
        <v>=2652*10000</v>
      </c>
      <c r="BB203" s="1">
        <f>2652*10000</f>
        <v>26520000</v>
      </c>
      <c r="BC203" s="8">
        <f t="shared" si="119"/>
        <v>-1.1129471890971039</v>
      </c>
      <c r="BD203" s="6">
        <f>-2.348*100000000</f>
        <v>-234800000</v>
      </c>
      <c r="BE203" s="6" t="str">
        <f t="shared" si="120"/>
        <v>=-234800000</v>
      </c>
      <c r="BF203" s="1">
        <f>-234800000</f>
        <v>-234800000</v>
      </c>
      <c r="BG203" s="8">
        <f t="shared" si="121"/>
        <v>0.51093951093951095</v>
      </c>
      <c r="BH203" s="6">
        <f>-1.554*100000000</f>
        <v>-155400000</v>
      </c>
      <c r="BI203" s="6" t="str">
        <f t="shared" si="122"/>
        <v>=-155400000</v>
      </c>
      <c r="BJ203" s="1">
        <f>-155400000</f>
        <v>-155400000</v>
      </c>
      <c r="BK203" s="6">
        <f>-1.369*100000000</f>
        <v>-136900000</v>
      </c>
      <c r="BL203" s="1" t="str">
        <f t="shared" si="94"/>
        <v>=-136900000</v>
      </c>
      <c r="BM203" s="16">
        <f t="shared" si="123"/>
        <v>0.13513513513513514</v>
      </c>
      <c r="BN203" s="1">
        <f>-136900000</f>
        <v>-136900000</v>
      </c>
    </row>
    <row r="204" spans="1:66">
      <c r="A204" s="18"/>
      <c r="B204">
        <v>600151</v>
      </c>
      <c r="C204" t="s">
        <v>58</v>
      </c>
      <c r="D204" s="7" t="s">
        <v>2834</v>
      </c>
      <c r="E204" s="7" t="str">
        <f t="shared" si="93"/>
        <v>=5845*10000</v>
      </c>
      <c r="F204" s="1">
        <f>5845*10000</f>
        <v>58450000</v>
      </c>
      <c r="G204" s="8">
        <f t="shared" si="95"/>
        <v>-2.8934240362811789</v>
      </c>
      <c r="H204" s="7">
        <f>-3087*10000</f>
        <v>-30870000</v>
      </c>
      <c r="I204" s="6" t="str">
        <f t="shared" si="96"/>
        <v>=-30870000</v>
      </c>
      <c r="J204" s="1">
        <f>-30870000</f>
        <v>-30870000</v>
      </c>
      <c r="K204" s="10">
        <f t="shared" si="97"/>
        <v>7.5609756097560973E-2</v>
      </c>
      <c r="L204" s="7">
        <f>-2870*10000</f>
        <v>-28700000</v>
      </c>
      <c r="M204" s="6" t="str">
        <f t="shared" si="98"/>
        <v>=-28700000</v>
      </c>
      <c r="N204" s="1">
        <f>-28700000</f>
        <v>-28700000</v>
      </c>
      <c r="O204" s="8">
        <f t="shared" si="99"/>
        <v>0.47179487179487178</v>
      </c>
      <c r="P204" s="7">
        <f>-1950*10000</f>
        <v>-19500000</v>
      </c>
      <c r="Q204" s="6" t="str">
        <f t="shared" si="100"/>
        <v>=-19500000</v>
      </c>
      <c r="R204" s="11">
        <f>-19500000</f>
        <v>-19500000</v>
      </c>
      <c r="S204" s="8">
        <f t="shared" si="101"/>
        <v>-1.2278303540133193</v>
      </c>
      <c r="T204" s="7" t="s">
        <v>2835</v>
      </c>
      <c r="U204" s="6" t="str">
        <f t="shared" si="102"/>
        <v>=8559*10000</v>
      </c>
      <c r="V204" s="1">
        <f>8559*10000</f>
        <v>85590000</v>
      </c>
      <c r="W204" s="8">
        <f t="shared" si="103"/>
        <v>-1.591908713692946</v>
      </c>
      <c r="X204" s="6">
        <f>-1.446*100000000</f>
        <v>-144600000</v>
      </c>
      <c r="Y204" s="6" t="str">
        <f t="shared" si="104"/>
        <v>=-144600000</v>
      </c>
      <c r="Z204" s="1">
        <f>-144600000</f>
        <v>-144600000</v>
      </c>
      <c r="AA204" s="8">
        <f t="shared" si="105"/>
        <v>6.4801178203240065E-2</v>
      </c>
      <c r="AB204" s="6">
        <f>-1.358*100000000</f>
        <v>-135800000</v>
      </c>
      <c r="AC204" s="6" t="str">
        <f t="shared" si="106"/>
        <v>=-135800000</v>
      </c>
      <c r="AD204" s="1">
        <f>-135800000</f>
        <v>-135800000</v>
      </c>
      <c r="AE204" s="8">
        <f t="shared" si="107"/>
        <v>0.31589147286821706</v>
      </c>
      <c r="AF204" s="6">
        <f>-1.032*100000000</f>
        <v>-103200000</v>
      </c>
      <c r="AG204" s="6" t="str">
        <f t="shared" si="108"/>
        <v>=-103200000</v>
      </c>
      <c r="AH204" s="1">
        <f>-103200000</f>
        <v>-103200000</v>
      </c>
      <c r="AI204" s="8">
        <f t="shared" si="109"/>
        <v>-0.86351011770929775</v>
      </c>
      <c r="AJ204" s="6">
        <f>-7.561*100000000</f>
        <v>-756100000</v>
      </c>
      <c r="AK204" s="6" t="str">
        <f t="shared" si="110"/>
        <v>=-756100000</v>
      </c>
      <c r="AL204" s="1">
        <f>-756100000</f>
        <v>-756100000</v>
      </c>
      <c r="AM204" s="8">
        <f t="shared" si="111"/>
        <v>5.0151153540175022</v>
      </c>
      <c r="AN204" s="6">
        <f>-1.257*100000000</f>
        <v>-125699999.99999999</v>
      </c>
      <c r="AO204" s="6" t="str">
        <f t="shared" si="112"/>
        <v>=-125700000</v>
      </c>
      <c r="AP204" s="1">
        <f>-125700000</f>
        <v>-125700000</v>
      </c>
      <c r="AQ204" s="8">
        <f t="shared" si="113"/>
        <v>0.23356231599607458</v>
      </c>
      <c r="AR204" s="6">
        <f>-1.019*100000000</f>
        <v>-101899999.99999999</v>
      </c>
      <c r="AS204" s="6" t="str">
        <f t="shared" si="114"/>
        <v>=-101900000</v>
      </c>
      <c r="AT204" s="1">
        <f>-101900000</f>
        <v>-101900000</v>
      </c>
      <c r="AU204" s="8">
        <f t="shared" si="115"/>
        <v>-8.7735004476275733E-2</v>
      </c>
      <c r="AV204" s="6">
        <f>-1.117*100000000</f>
        <v>-111700000</v>
      </c>
      <c r="AW204" s="6" t="str">
        <f t="shared" si="116"/>
        <v>=-111700000</v>
      </c>
      <c r="AX204" s="1">
        <f>-111700000</f>
        <v>-111700000</v>
      </c>
      <c r="AY204" s="10">
        <f t="shared" si="117"/>
        <v>-3.4944171505136223</v>
      </c>
      <c r="AZ204" s="7" t="s">
        <v>2836</v>
      </c>
      <c r="BA204" s="6" t="str">
        <f t="shared" si="118"/>
        <v>=4478*10000</v>
      </c>
      <c r="BB204" s="1">
        <f>4478*10000</f>
        <v>44780000</v>
      </c>
      <c r="BC204" s="8">
        <f t="shared" si="119"/>
        <v>-1.1970083589969203</v>
      </c>
      <c r="BD204" s="6">
        <f>-2.273*100000000</f>
        <v>-227300000</v>
      </c>
      <c r="BE204" s="6" t="str">
        <f t="shared" si="120"/>
        <v>=-227300000</v>
      </c>
      <c r="BF204" s="1">
        <f>-227300000</f>
        <v>-227300000</v>
      </c>
      <c r="BG204" s="8">
        <f t="shared" si="121"/>
        <v>0.51634422948632419</v>
      </c>
      <c r="BH204" s="6">
        <f>-1.499*100000000</f>
        <v>-149900000</v>
      </c>
      <c r="BI204" s="6" t="str">
        <f t="shared" si="122"/>
        <v>=-149900000</v>
      </c>
      <c r="BJ204" s="1">
        <f>-149900000</f>
        <v>-149900000</v>
      </c>
      <c r="BK204" s="6">
        <f>-1.359*100000000</f>
        <v>-135900000</v>
      </c>
      <c r="BL204" s="1" t="str">
        <f t="shared" si="94"/>
        <v>=-135900000</v>
      </c>
      <c r="BM204" s="16">
        <f t="shared" si="123"/>
        <v>0.10301692420897719</v>
      </c>
      <c r="BN204" s="1">
        <f>-135900000</f>
        <v>-135900000</v>
      </c>
    </row>
    <row r="205" spans="1:66">
      <c r="A205" s="19"/>
      <c r="B205">
        <v>600151</v>
      </c>
      <c r="C205" t="s">
        <v>68</v>
      </c>
      <c r="D205" s="7" t="s">
        <v>2837</v>
      </c>
      <c r="E205" s="7" t="str">
        <f t="shared" si="93"/>
        <v>=5258*10000</v>
      </c>
      <c r="F205" s="1">
        <f>5258*10000</f>
        <v>52580000</v>
      </c>
      <c r="G205" s="8">
        <f t="shared" si="95"/>
        <v>-3.3091787439613527</v>
      </c>
      <c r="H205" s="7">
        <f>-2277*10000</f>
        <v>-22770000</v>
      </c>
      <c r="I205" s="6" t="str">
        <f t="shared" si="96"/>
        <v>=-22770000</v>
      </c>
      <c r="J205" s="1">
        <f>-22770000</f>
        <v>-22770000</v>
      </c>
      <c r="K205" s="10">
        <f t="shared" si="97"/>
        <v>0.10856864654333009</v>
      </c>
      <c r="L205" s="7">
        <f>-2054*10000</f>
        <v>-20540000</v>
      </c>
      <c r="M205" s="6" t="str">
        <f t="shared" si="98"/>
        <v>=-20540000</v>
      </c>
      <c r="N205" s="1">
        <f>-20540000</f>
        <v>-20540000</v>
      </c>
      <c r="O205" s="8">
        <f t="shared" si="99"/>
        <v>0.24033816425120774</v>
      </c>
      <c r="P205" s="7">
        <f>-1656*10000</f>
        <v>-16560000</v>
      </c>
      <c r="Q205" s="6" t="str">
        <f t="shared" si="100"/>
        <v>=-16560000</v>
      </c>
      <c r="R205" s="11">
        <f>-16560000</f>
        <v>-16560000</v>
      </c>
      <c r="S205" s="8">
        <f t="shared" si="101"/>
        <v>-1.1324799999999999</v>
      </c>
      <c r="T205" s="6" t="s">
        <v>2838</v>
      </c>
      <c r="U205" s="6" t="str">
        <f t="shared" si="102"/>
        <v>=1.250*100000000</v>
      </c>
      <c r="V205" s="1">
        <f>1.25*100000000</f>
        <v>125000000</v>
      </c>
      <c r="W205" s="8">
        <f t="shared" si="103"/>
        <v>-2.0683760683760686</v>
      </c>
      <c r="X205" s="6">
        <f>-1.17*100000000</f>
        <v>-117000000</v>
      </c>
      <c r="Y205" s="6" t="str">
        <f t="shared" si="104"/>
        <v>=-117000000</v>
      </c>
      <c r="Z205" s="1">
        <f>-117000000</f>
        <v>-117000000</v>
      </c>
      <c r="AA205" s="8">
        <f t="shared" si="105"/>
        <v>-3.9408866995073892E-2</v>
      </c>
      <c r="AB205" s="6">
        <f>-1.218*100000000</f>
        <v>-121800000</v>
      </c>
      <c r="AC205" s="6" t="str">
        <f t="shared" si="106"/>
        <v>=-121800000</v>
      </c>
      <c r="AD205" s="1">
        <f>-121800000</f>
        <v>-121800000</v>
      </c>
      <c r="AE205" s="8">
        <f t="shared" si="107"/>
        <v>0.23705057891529555</v>
      </c>
      <c r="AF205" s="7">
        <f>-9846*10000</f>
        <v>-98460000</v>
      </c>
      <c r="AG205" s="6" t="str">
        <f t="shared" si="108"/>
        <v>=-98460000</v>
      </c>
      <c r="AH205" s="1">
        <f>-98460000</f>
        <v>-98460000</v>
      </c>
      <c r="AI205" s="8">
        <f t="shared" si="109"/>
        <v>-0.87008840216387384</v>
      </c>
      <c r="AJ205" s="6">
        <f>-7.579*100000000</f>
        <v>-757900000</v>
      </c>
      <c r="AK205" s="6" t="str">
        <f t="shared" si="110"/>
        <v>=-757900000</v>
      </c>
      <c r="AL205" s="1">
        <f>-757900000</f>
        <v>-757900000</v>
      </c>
      <c r="AM205" s="8">
        <f t="shared" si="111"/>
        <v>5.1368421052631579</v>
      </c>
      <c r="AN205" s="6">
        <f>-1.235*100000000</f>
        <v>-123500000.00000001</v>
      </c>
      <c r="AO205" s="6" t="str">
        <f t="shared" si="112"/>
        <v>=-123500000</v>
      </c>
      <c r="AP205" s="1">
        <f>-123500000</f>
        <v>-123500000</v>
      </c>
      <c r="AQ205" s="8">
        <f t="shared" si="113"/>
        <v>0.23007968127490039</v>
      </c>
      <c r="AR205" s="6">
        <f>-1.004*100000000</f>
        <v>-100400000</v>
      </c>
      <c r="AS205" s="6" t="str">
        <f t="shared" si="114"/>
        <v>=-100400000</v>
      </c>
      <c r="AT205" s="1">
        <f>-100400000</f>
        <v>-100400000</v>
      </c>
      <c r="AU205" s="8">
        <f t="shared" si="115"/>
        <v>-0.12467306015693112</v>
      </c>
      <c r="AV205" s="6">
        <f>-1.147*100000000</f>
        <v>-114700000</v>
      </c>
      <c r="AW205" s="6" t="str">
        <f t="shared" si="116"/>
        <v>=-114700000</v>
      </c>
      <c r="AX205" s="1">
        <f>-114700000</f>
        <v>-114700000</v>
      </c>
      <c r="AY205" s="10">
        <f t="shared" si="117"/>
        <v>-4.5933583959899753</v>
      </c>
      <c r="AZ205" s="7" t="s">
        <v>2839</v>
      </c>
      <c r="BA205" s="6" t="str">
        <f t="shared" si="118"/>
        <v>=3192*10000</v>
      </c>
      <c r="BB205" s="1">
        <f>3192*10000</f>
        <v>31920000</v>
      </c>
      <c r="BC205" s="8">
        <f t="shared" si="119"/>
        <v>-1.1309807139926138</v>
      </c>
      <c r="BD205" s="6">
        <f>-2.437*100000000</f>
        <v>-243699999.99999997</v>
      </c>
      <c r="BE205" s="6" t="str">
        <f t="shared" si="120"/>
        <v>=-243700000</v>
      </c>
      <c r="BF205" s="1">
        <f>-243700000</f>
        <v>-243700000</v>
      </c>
      <c r="BG205" s="8">
        <f t="shared" si="121"/>
        <v>0.43268665490887714</v>
      </c>
      <c r="BH205" s="6">
        <f>-1.701*100000000</f>
        <v>-170100000</v>
      </c>
      <c r="BI205" s="6" t="str">
        <f t="shared" si="122"/>
        <v>=-170100000</v>
      </c>
      <c r="BJ205" s="1">
        <f>-170100000</f>
        <v>-170100000</v>
      </c>
      <c r="BK205" s="6">
        <f>-1.395*100000000</f>
        <v>-139500000</v>
      </c>
      <c r="BL205" s="1" t="str">
        <f t="shared" si="94"/>
        <v>=-139500000</v>
      </c>
      <c r="BM205" s="16">
        <f t="shared" si="123"/>
        <v>0.21935483870967742</v>
      </c>
      <c r="BN205" s="1">
        <f>-139500000</f>
        <v>-139500000</v>
      </c>
    </row>
    <row r="206" spans="1:66">
      <c r="A206" s="17">
        <v>52</v>
      </c>
      <c r="B206">
        <v>600168</v>
      </c>
      <c r="C206" t="s">
        <v>31</v>
      </c>
      <c r="D206" s="6" t="s">
        <v>2840</v>
      </c>
      <c r="E206" s="7" t="str">
        <f t="shared" si="93"/>
        <v>=20.12*100000000</v>
      </c>
      <c r="F206" s="1">
        <f>20.12*100000000</f>
        <v>2012000000</v>
      </c>
      <c r="G206" s="8">
        <f t="shared" si="95"/>
        <v>0.33954727030625831</v>
      </c>
      <c r="H206" s="6" t="s">
        <v>2841</v>
      </c>
      <c r="I206" s="6" t="str">
        <f t="shared" si="96"/>
        <v>=15.02*100000000</v>
      </c>
      <c r="J206" s="1">
        <f>15.02*100000000</f>
        <v>1502000000</v>
      </c>
      <c r="K206" s="10">
        <f t="shared" si="97"/>
        <v>0.55970924195223237</v>
      </c>
      <c r="L206" s="6" t="s">
        <v>2842</v>
      </c>
      <c r="M206" s="6" t="str">
        <f t="shared" si="98"/>
        <v>=9.630*100000000</v>
      </c>
      <c r="N206" s="1">
        <f>9.63*100000000</f>
        <v>963000000.00000012</v>
      </c>
      <c r="O206" s="8">
        <f t="shared" si="99"/>
        <v>1.0634240411399187</v>
      </c>
      <c r="P206" s="6" t="s">
        <v>1724</v>
      </c>
      <c r="Q206" s="6" t="str">
        <f t="shared" si="100"/>
        <v>=4.667*100000000</v>
      </c>
      <c r="R206" s="11">
        <f>4.667*100000000</f>
        <v>466700000</v>
      </c>
      <c r="S206" s="8">
        <f t="shared" si="101"/>
        <v>-0.71611922141119222</v>
      </c>
      <c r="T206" s="6" t="s">
        <v>2843</v>
      </c>
      <c r="U206" s="6" t="str">
        <f t="shared" si="102"/>
        <v>=16.44*100000000</v>
      </c>
      <c r="V206" s="1">
        <f>16.44*100000000</f>
        <v>1644000000.0000002</v>
      </c>
      <c r="W206" s="8">
        <f t="shared" si="103"/>
        <v>0.3780385582564964</v>
      </c>
      <c r="X206" s="6" t="s">
        <v>2844</v>
      </c>
      <c r="Y206" s="6" t="str">
        <f t="shared" si="104"/>
        <v>=11.93*100000000</v>
      </c>
      <c r="Z206" s="1">
        <f>11.93*100000000</f>
        <v>1193000000</v>
      </c>
      <c r="AA206" s="8">
        <f t="shared" si="105"/>
        <v>0.64961283185840712</v>
      </c>
      <c r="AB206" s="6" t="s">
        <v>2845</v>
      </c>
      <c r="AC206" s="6" t="str">
        <f t="shared" si="106"/>
        <v>=7.232*100000000</v>
      </c>
      <c r="AD206" s="1">
        <f>7.232*100000000</f>
        <v>723200000</v>
      </c>
      <c r="AE206" s="8">
        <f t="shared" si="107"/>
        <v>1.1568744407992841</v>
      </c>
      <c r="AF206" s="6" t="s">
        <v>2846</v>
      </c>
      <c r="AG206" s="6" t="str">
        <f t="shared" si="108"/>
        <v>=3.353*100000000</v>
      </c>
      <c r="AH206" s="1">
        <f>3.353*100000000</f>
        <v>335300000</v>
      </c>
      <c r="AI206" s="8">
        <f t="shared" si="109"/>
        <v>-0.7807063440156965</v>
      </c>
      <c r="AJ206" s="6" t="s">
        <v>2847</v>
      </c>
      <c r="AK206" s="6" t="str">
        <f t="shared" si="110"/>
        <v>=15.29*100000000</v>
      </c>
      <c r="AL206" s="1">
        <f>15.29*100000000</f>
        <v>1529000000</v>
      </c>
      <c r="AM206" s="8">
        <f t="shared" si="111"/>
        <v>0.32495667244367415</v>
      </c>
      <c r="AN206" s="6" t="s">
        <v>2038</v>
      </c>
      <c r="AO206" s="6" t="str">
        <f t="shared" si="112"/>
        <v>=11.54*100000000</v>
      </c>
      <c r="AP206" s="1">
        <f>11.54*100000000</f>
        <v>1154000000</v>
      </c>
      <c r="AQ206" s="8">
        <f t="shared" si="113"/>
        <v>0.56199242014076878</v>
      </c>
      <c r="AR206" s="6" t="s">
        <v>2848</v>
      </c>
      <c r="AS206" s="6" t="str">
        <f t="shared" si="114"/>
        <v>=7.388*100000000</v>
      </c>
      <c r="AT206" s="1">
        <f>7.388*100000000</f>
        <v>738800000</v>
      </c>
      <c r="AU206" s="8">
        <f t="shared" si="115"/>
        <v>1.0905489530277306</v>
      </c>
      <c r="AV206" s="6" t="s">
        <v>2849</v>
      </c>
      <c r="AW206" s="6" t="str">
        <f t="shared" si="116"/>
        <v>=3.534*100000000</v>
      </c>
      <c r="AX206" s="1">
        <f>3.534*100000000</f>
        <v>353400000</v>
      </c>
      <c r="AY206" s="10">
        <f t="shared" si="117"/>
        <v>-0.75644383184011021</v>
      </c>
      <c r="AZ206" s="6" t="s">
        <v>2850</v>
      </c>
      <c r="BA206" s="6" t="str">
        <f t="shared" si="118"/>
        <v>=14.51*100000000</v>
      </c>
      <c r="BB206" s="1">
        <f>14.51*100000000</f>
        <v>1451000000</v>
      </c>
      <c r="BC206" s="8">
        <f t="shared" si="119"/>
        <v>0.38190476190476191</v>
      </c>
      <c r="BD206" s="6" t="s">
        <v>2851</v>
      </c>
      <c r="BE206" s="6" t="str">
        <f t="shared" si="120"/>
        <v>=10.50*100000000</v>
      </c>
      <c r="BF206" s="1">
        <f>10.5*100000000</f>
        <v>1050000000</v>
      </c>
      <c r="BG206" s="8">
        <f t="shared" si="121"/>
        <v>0.5071049232094158</v>
      </c>
      <c r="BH206" s="6" t="s">
        <v>2852</v>
      </c>
      <c r="BI206" s="6" t="str">
        <f t="shared" si="122"/>
        <v>=6.967*100000000</v>
      </c>
      <c r="BJ206" s="1">
        <f>6.967*100000000</f>
        <v>696700000</v>
      </c>
      <c r="BK206" s="6" t="s">
        <v>2853</v>
      </c>
      <c r="BL206" s="1" t="str">
        <f t="shared" si="94"/>
        <v>=3.386*100000000</v>
      </c>
      <c r="BM206" s="16">
        <f t="shared" si="123"/>
        <v>1.057590076786769</v>
      </c>
      <c r="BN206" s="1">
        <f>3.386*100000000</f>
        <v>338600000</v>
      </c>
    </row>
    <row r="207" spans="1:66">
      <c r="A207" s="18"/>
      <c r="B207">
        <v>600168</v>
      </c>
      <c r="C207" t="s">
        <v>48</v>
      </c>
      <c r="D207" s="6" t="s">
        <v>2854</v>
      </c>
      <c r="E207" s="7" t="str">
        <f t="shared" si="93"/>
        <v>=4.259*100000000</v>
      </c>
      <c r="F207" s="1">
        <f>4.259*100000000</f>
        <v>425900000.00000006</v>
      </c>
      <c r="G207" s="8">
        <f t="shared" si="95"/>
        <v>1.0887690044139287</v>
      </c>
      <c r="H207" s="6" t="s">
        <v>190</v>
      </c>
      <c r="I207" s="6" t="str">
        <f t="shared" si="96"/>
        <v>=2.039*100000000</v>
      </c>
      <c r="J207" s="1">
        <f>2.039*100000000</f>
        <v>203900000</v>
      </c>
      <c r="K207" s="10">
        <f t="shared" si="97"/>
        <v>0.44302901627742391</v>
      </c>
      <c r="L207" s="6" t="s">
        <v>2855</v>
      </c>
      <c r="M207" s="6" t="str">
        <f t="shared" si="98"/>
        <v>=1.413*100000000</v>
      </c>
      <c r="N207" s="1">
        <f>1.413*100000000</f>
        <v>141300000</v>
      </c>
      <c r="O207" s="8">
        <f t="shared" si="99"/>
        <v>0.42626425759563946</v>
      </c>
      <c r="P207" s="7" t="s">
        <v>2856</v>
      </c>
      <c r="Q207" s="6" t="str">
        <f t="shared" si="100"/>
        <v>=9907*10000</v>
      </c>
      <c r="R207" s="11">
        <f>9907*10000</f>
        <v>99070000</v>
      </c>
      <c r="S207" s="8">
        <f t="shared" si="101"/>
        <v>-0.63961440523826851</v>
      </c>
      <c r="T207" s="6" t="s">
        <v>2857</v>
      </c>
      <c r="U207" s="6" t="str">
        <f t="shared" si="102"/>
        <v>=2.749*100000000</v>
      </c>
      <c r="V207" s="1">
        <f>2.749*100000000</f>
        <v>274900000</v>
      </c>
      <c r="W207" s="8">
        <f t="shared" si="103"/>
        <v>-0.13444584382871536</v>
      </c>
      <c r="X207" s="6" t="s">
        <v>2858</v>
      </c>
      <c r="Y207" s="6" t="str">
        <f t="shared" si="104"/>
        <v>=3.176*100000000</v>
      </c>
      <c r="Z207" s="1">
        <f>3.176*100000000</f>
        <v>317600000</v>
      </c>
      <c r="AA207" s="8">
        <f t="shared" si="105"/>
        <v>0.87595983461311278</v>
      </c>
      <c r="AB207" s="6" t="s">
        <v>2859</v>
      </c>
      <c r="AC207" s="6" t="str">
        <f t="shared" si="106"/>
        <v>=1.693*100000000</v>
      </c>
      <c r="AD207" s="1">
        <f>1.693*100000000</f>
        <v>169300000</v>
      </c>
      <c r="AE207" s="8">
        <f t="shared" si="107"/>
        <v>2.1781490519992492</v>
      </c>
      <c r="AF207" s="7" t="s">
        <v>2860</v>
      </c>
      <c r="AG207" s="6" t="str">
        <f t="shared" si="108"/>
        <v>=5327*10000</v>
      </c>
      <c r="AH207" s="1">
        <f>5327*10000</f>
        <v>53270000</v>
      </c>
      <c r="AI207" s="8">
        <f t="shared" si="109"/>
        <v>-0.79691193290125817</v>
      </c>
      <c r="AJ207" s="6" t="s">
        <v>2861</v>
      </c>
      <c r="AK207" s="6" t="str">
        <f t="shared" si="110"/>
        <v>=2.623*100000000</v>
      </c>
      <c r="AL207" s="1">
        <f>2.623*100000000</f>
        <v>262300000.00000003</v>
      </c>
      <c r="AM207" s="8">
        <f t="shared" si="111"/>
        <v>2.5009769441187962E-2</v>
      </c>
      <c r="AN207" s="6" t="s">
        <v>2862</v>
      </c>
      <c r="AO207" s="6" t="str">
        <f t="shared" si="112"/>
        <v>=2.559*100000000</v>
      </c>
      <c r="AP207" s="1">
        <f>2.559*100000000</f>
        <v>255900000.00000003</v>
      </c>
      <c r="AQ207" s="8">
        <f t="shared" si="113"/>
        <v>0.25749385749385761</v>
      </c>
      <c r="AR207" s="6" t="s">
        <v>2863</v>
      </c>
      <c r="AS207" s="6" t="str">
        <f t="shared" si="114"/>
        <v>=2.035*100000000</v>
      </c>
      <c r="AT207" s="1">
        <f>2.035*100000000</f>
        <v>203500000</v>
      </c>
      <c r="AU207" s="8">
        <f t="shared" si="115"/>
        <v>0.92708333333333337</v>
      </c>
      <c r="AV207" s="6" t="s">
        <v>2864</v>
      </c>
      <c r="AW207" s="6" t="str">
        <f t="shared" si="116"/>
        <v>=1.056*100000000</v>
      </c>
      <c r="AX207" s="1">
        <f>1.056*100000000</f>
        <v>105600000</v>
      </c>
      <c r="AY207" s="10">
        <f t="shared" si="117"/>
        <v>-0.62379764873530463</v>
      </c>
      <c r="AZ207" s="6" t="s">
        <v>2865</v>
      </c>
      <c r="BA207" s="6" t="str">
        <f t="shared" si="118"/>
        <v>=2.807*100000000</v>
      </c>
      <c r="BB207" s="1">
        <f>2.807*100000000</f>
        <v>280700000</v>
      </c>
      <c r="BC207" s="8">
        <f t="shared" si="119"/>
        <v>0.16473029045643153</v>
      </c>
      <c r="BD207" s="6" t="s">
        <v>944</v>
      </c>
      <c r="BE207" s="6" t="str">
        <f t="shared" si="120"/>
        <v>=2.410*100000000</v>
      </c>
      <c r="BF207" s="1">
        <f>2.41*100000000</f>
        <v>241000000</v>
      </c>
      <c r="BG207" s="8">
        <f t="shared" si="121"/>
        <v>0.32709251101321585</v>
      </c>
      <c r="BH207" s="6" t="s">
        <v>2866</v>
      </c>
      <c r="BI207" s="6" t="str">
        <f t="shared" si="122"/>
        <v>=1.816*100000000</v>
      </c>
      <c r="BJ207" s="1">
        <f>1.816*100000000</f>
        <v>181600000</v>
      </c>
      <c r="BK207" s="6" t="s">
        <v>2867</v>
      </c>
      <c r="BL207" s="1" t="str">
        <f t="shared" si="94"/>
        <v>=1.029*100000000</v>
      </c>
      <c r="BM207" s="16">
        <f t="shared" si="123"/>
        <v>0.76482021379980591</v>
      </c>
      <c r="BN207" s="1">
        <f>1.029*100000000</f>
        <v>102899999.99999999</v>
      </c>
    </row>
    <row r="208" spans="1:66">
      <c r="A208" s="18"/>
      <c r="B208">
        <v>600168</v>
      </c>
      <c r="C208" t="s">
        <v>58</v>
      </c>
      <c r="D208" s="6" t="s">
        <v>2868</v>
      </c>
      <c r="E208" s="7" t="str">
        <f t="shared" si="93"/>
        <v>=4.535*100000000</v>
      </c>
      <c r="F208" s="1">
        <f>4.535*100000000</f>
        <v>453500000</v>
      </c>
      <c r="G208" s="8">
        <f t="shared" si="95"/>
        <v>1.0137655417406752</v>
      </c>
      <c r="H208" s="6" t="s">
        <v>2869</v>
      </c>
      <c r="I208" s="6" t="str">
        <f t="shared" si="96"/>
        <v>=2.252*100000000</v>
      </c>
      <c r="J208" s="1">
        <f>2.252*100000000</f>
        <v>225199999.99999997</v>
      </c>
      <c r="K208" s="10">
        <f t="shared" si="97"/>
        <v>0.44451571520205241</v>
      </c>
      <c r="L208" s="6" t="s">
        <v>2870</v>
      </c>
      <c r="M208" s="6" t="str">
        <f t="shared" si="98"/>
        <v>=1.559*100000000</v>
      </c>
      <c r="N208" s="1">
        <f>1.559*100000000</f>
        <v>155900000</v>
      </c>
      <c r="O208" s="8">
        <f t="shared" si="99"/>
        <v>0.46522556390977443</v>
      </c>
      <c r="P208" s="6" t="s">
        <v>2871</v>
      </c>
      <c r="Q208" s="6" t="str">
        <f t="shared" si="100"/>
        <v>=1.064*100000000</v>
      </c>
      <c r="R208" s="11">
        <f>1.064*100000000</f>
        <v>106400000</v>
      </c>
      <c r="S208" s="8">
        <f t="shared" si="101"/>
        <v>-0.6466290269013617</v>
      </c>
      <c r="T208" s="6" t="s">
        <v>1475</v>
      </c>
      <c r="U208" s="6" t="str">
        <f t="shared" si="102"/>
        <v>=3.011*100000000</v>
      </c>
      <c r="V208" s="1">
        <f>3.011*100000000</f>
        <v>301100000</v>
      </c>
      <c r="W208" s="8">
        <f t="shared" si="103"/>
        <v>-0.10652818991097923</v>
      </c>
      <c r="X208" s="6" t="s">
        <v>2872</v>
      </c>
      <c r="Y208" s="6" t="str">
        <f t="shared" si="104"/>
        <v>=3.370*100000000</v>
      </c>
      <c r="Z208" s="1">
        <f>3.37*100000000</f>
        <v>337000000</v>
      </c>
      <c r="AA208" s="8">
        <f t="shared" si="105"/>
        <v>0.83951965065502188</v>
      </c>
      <c r="AB208" s="6" t="s">
        <v>2873</v>
      </c>
      <c r="AC208" s="6" t="str">
        <f t="shared" si="106"/>
        <v>=1.832*100000000</v>
      </c>
      <c r="AD208" s="1">
        <f>1.832*100000000</f>
        <v>183200000</v>
      </c>
      <c r="AE208" s="8">
        <f t="shared" si="107"/>
        <v>2.0376388658597246</v>
      </c>
      <c r="AF208" s="7" t="s">
        <v>2874</v>
      </c>
      <c r="AG208" s="6" t="str">
        <f t="shared" si="108"/>
        <v>=6031*10000</v>
      </c>
      <c r="AH208" s="1">
        <f>6031*10000</f>
        <v>60310000</v>
      </c>
      <c r="AI208" s="8">
        <f t="shared" si="109"/>
        <v>-0.79059027777777779</v>
      </c>
      <c r="AJ208" s="6" t="s">
        <v>2875</v>
      </c>
      <c r="AK208" s="6" t="str">
        <f t="shared" si="110"/>
        <v>=2.880*100000000</v>
      </c>
      <c r="AL208" s="1">
        <f>2.88*100000000</f>
        <v>288000000</v>
      </c>
      <c r="AM208" s="8">
        <f t="shared" si="111"/>
        <v>3.8586368553912731E-2</v>
      </c>
      <c r="AN208" s="6" t="s">
        <v>2876</v>
      </c>
      <c r="AO208" s="6" t="str">
        <f t="shared" si="112"/>
        <v>=2.773*100000000</v>
      </c>
      <c r="AP208" s="1">
        <f>2.773*100000000</f>
        <v>277300000</v>
      </c>
      <c r="AQ208" s="8">
        <f t="shared" si="113"/>
        <v>0.2726021110601195</v>
      </c>
      <c r="AR208" s="6" t="s">
        <v>2563</v>
      </c>
      <c r="AS208" s="6" t="str">
        <f t="shared" si="114"/>
        <v>=2.179*100000000</v>
      </c>
      <c r="AT208" s="1">
        <f>2.179*100000000</f>
        <v>217899999.99999997</v>
      </c>
      <c r="AU208" s="8">
        <f t="shared" si="115"/>
        <v>0.93345164152617544</v>
      </c>
      <c r="AV208" s="6" t="s">
        <v>2877</v>
      </c>
      <c r="AW208" s="6" t="str">
        <f t="shared" si="116"/>
        <v>=1.127*100000000</v>
      </c>
      <c r="AX208" s="1">
        <f>1.127*100000000</f>
        <v>112700000</v>
      </c>
      <c r="AY208" s="10">
        <f t="shared" si="117"/>
        <v>-0.63409090909090904</v>
      </c>
      <c r="AZ208" s="6" t="s">
        <v>2878</v>
      </c>
      <c r="BA208" s="6" t="str">
        <f t="shared" si="118"/>
        <v>=3.080*100000000</v>
      </c>
      <c r="BB208" s="1">
        <f>3.08*100000000</f>
        <v>308000000</v>
      </c>
      <c r="BC208" s="8">
        <f t="shared" si="119"/>
        <v>0.17557251908396945</v>
      </c>
      <c r="BD208" s="6" t="s">
        <v>2879</v>
      </c>
      <c r="BE208" s="6" t="str">
        <f t="shared" si="120"/>
        <v>=2.620*100000000</v>
      </c>
      <c r="BF208" s="1">
        <f>2.62*100000000</f>
        <v>262000000</v>
      </c>
      <c r="BG208" s="8">
        <f t="shared" si="121"/>
        <v>0.33946830265848671</v>
      </c>
      <c r="BH208" s="6" t="s">
        <v>2880</v>
      </c>
      <c r="BI208" s="6" t="str">
        <f t="shared" si="122"/>
        <v>=1.956*100000000</v>
      </c>
      <c r="BJ208" s="1">
        <f>1.956*100000000</f>
        <v>195600000</v>
      </c>
      <c r="BK208" s="6" t="s">
        <v>2867</v>
      </c>
      <c r="BL208" s="1" t="str">
        <f t="shared" si="94"/>
        <v>=1.029*100000000</v>
      </c>
      <c r="BM208" s="16">
        <f t="shared" si="123"/>
        <v>0.90087463556851344</v>
      </c>
      <c r="BN208" s="1">
        <f>1.029*100000000</f>
        <v>102899999.99999999</v>
      </c>
    </row>
    <row r="209" spans="1:66">
      <c r="A209" s="19"/>
      <c r="B209">
        <v>600168</v>
      </c>
      <c r="C209" t="s">
        <v>68</v>
      </c>
      <c r="D209" s="6" t="s">
        <v>2881</v>
      </c>
      <c r="E209" s="7" t="str">
        <f t="shared" si="93"/>
        <v>=3.904*100000000</v>
      </c>
      <c r="F209" s="1">
        <f>3.904*100000000</f>
        <v>390400000</v>
      </c>
      <c r="G209" s="8">
        <f t="shared" si="95"/>
        <v>0.90531966813079556</v>
      </c>
      <c r="H209" s="6" t="s">
        <v>2882</v>
      </c>
      <c r="I209" s="6" t="str">
        <f t="shared" si="96"/>
        <v>=2.049*100000000</v>
      </c>
      <c r="J209" s="1">
        <f>2.049*100000000</f>
        <v>204900000</v>
      </c>
      <c r="K209" s="10">
        <f t="shared" si="97"/>
        <v>0.45628997867803839</v>
      </c>
      <c r="L209" s="6" t="s">
        <v>2210</v>
      </c>
      <c r="M209" s="6" t="str">
        <f t="shared" si="98"/>
        <v>=1.407*100000000</v>
      </c>
      <c r="N209" s="1">
        <f>1.407*100000000</f>
        <v>140700000</v>
      </c>
      <c r="O209" s="8">
        <f t="shared" si="99"/>
        <v>0.44634046052631576</v>
      </c>
      <c r="P209" s="7" t="s">
        <v>2883</v>
      </c>
      <c r="Q209" s="6" t="str">
        <f t="shared" si="100"/>
        <v>=9728*10000</v>
      </c>
      <c r="R209" s="11">
        <f>9728*10000</f>
        <v>97280000</v>
      </c>
      <c r="S209" s="8">
        <f t="shared" si="101"/>
        <v>-0.61791044776119397</v>
      </c>
      <c r="T209" s="6" t="s">
        <v>2884</v>
      </c>
      <c r="U209" s="6" t="str">
        <f t="shared" si="102"/>
        <v>=2.546*100000000</v>
      </c>
      <c r="V209" s="1">
        <f>2.546*100000000</f>
        <v>254599999.99999997</v>
      </c>
      <c r="W209" s="8">
        <f t="shared" si="103"/>
        <v>-0.10194003527336871</v>
      </c>
      <c r="X209" s="6" t="s">
        <v>2885</v>
      </c>
      <c r="Y209" s="6" t="str">
        <f t="shared" si="104"/>
        <v>=2.835*100000000</v>
      </c>
      <c r="Z209" s="1">
        <f>2.835*100000000</f>
        <v>283500000</v>
      </c>
      <c r="AA209" s="8">
        <f t="shared" si="105"/>
        <v>0.73394495412844041</v>
      </c>
      <c r="AB209" s="6" t="s">
        <v>2886</v>
      </c>
      <c r="AC209" s="6" t="str">
        <f t="shared" si="106"/>
        <v>=1.635*100000000</v>
      </c>
      <c r="AD209" s="1">
        <f>1.635*100000000</f>
        <v>163500000</v>
      </c>
      <c r="AE209" s="8">
        <f t="shared" si="107"/>
        <v>2.2071400549234994</v>
      </c>
      <c r="AF209" s="7" t="s">
        <v>2887</v>
      </c>
      <c r="AG209" s="6" t="str">
        <f t="shared" si="108"/>
        <v>=5098*10000</v>
      </c>
      <c r="AH209" s="1">
        <f>5098*10000</f>
        <v>50980000</v>
      </c>
      <c r="AI209" s="8">
        <f t="shared" si="109"/>
        <v>-0.79656823623304063</v>
      </c>
      <c r="AJ209" s="6" t="s">
        <v>2653</v>
      </c>
      <c r="AK209" s="6" t="str">
        <f t="shared" si="110"/>
        <v>=2.506*100000000</v>
      </c>
      <c r="AL209" s="1">
        <f>2.506*100000000</f>
        <v>250599999.99999997</v>
      </c>
      <c r="AM209" s="8">
        <f t="shared" si="111"/>
        <v>7.9872204472831553E-4</v>
      </c>
      <c r="AN209" s="6" t="s">
        <v>2888</v>
      </c>
      <c r="AO209" s="6" t="str">
        <f t="shared" si="112"/>
        <v>=2.504*100000000</v>
      </c>
      <c r="AP209" s="1">
        <f>2.504*100000000</f>
        <v>250400000</v>
      </c>
      <c r="AQ209" s="8">
        <f t="shared" si="113"/>
        <v>0.26849037487335359</v>
      </c>
      <c r="AR209" s="6" t="s">
        <v>2889</v>
      </c>
      <c r="AS209" s="6" t="str">
        <f t="shared" si="114"/>
        <v>=1.974*100000000</v>
      </c>
      <c r="AT209" s="1">
        <f>1.974*100000000</f>
        <v>197400000</v>
      </c>
      <c r="AU209" s="8">
        <f t="shared" si="115"/>
        <v>1.3413592693630649</v>
      </c>
      <c r="AV209" s="7" t="s">
        <v>2890</v>
      </c>
      <c r="AW209" s="6" t="str">
        <f t="shared" si="116"/>
        <v>=8431*10000</v>
      </c>
      <c r="AX209" s="1">
        <f>8431*10000</f>
        <v>84310000</v>
      </c>
      <c r="AY209" s="10">
        <f t="shared" si="117"/>
        <v>-0.70028439388553143</v>
      </c>
      <c r="AZ209" s="6" t="s">
        <v>2891</v>
      </c>
      <c r="BA209" s="6" t="str">
        <f t="shared" si="118"/>
        <v>=2.813*100000000</v>
      </c>
      <c r="BB209" s="1">
        <f>2.813*100000000</f>
        <v>281300000</v>
      </c>
      <c r="BC209" s="8">
        <f t="shared" si="119"/>
        <v>0.24194260485651214</v>
      </c>
      <c r="BD209" s="6" t="s">
        <v>2892</v>
      </c>
      <c r="BE209" s="6" t="str">
        <f t="shared" si="120"/>
        <v>=2.265*100000000</v>
      </c>
      <c r="BF209" s="1">
        <f>2.265*100000000</f>
        <v>226500000</v>
      </c>
      <c r="BG209" s="8">
        <f t="shared" si="121"/>
        <v>0.34421364985163205</v>
      </c>
      <c r="BH209" s="6" t="s">
        <v>2893</v>
      </c>
      <c r="BI209" s="6" t="str">
        <f t="shared" si="122"/>
        <v>=1.685*100000000</v>
      </c>
      <c r="BJ209" s="1">
        <f>1.685*100000000</f>
        <v>168500000</v>
      </c>
      <c r="BK209" s="7" t="s">
        <v>2894</v>
      </c>
      <c r="BL209" s="1" t="str">
        <f t="shared" si="94"/>
        <v>=7649*10000</v>
      </c>
      <c r="BM209" s="16">
        <f t="shared" si="123"/>
        <v>1.2029023401751864</v>
      </c>
      <c r="BN209" s="1">
        <f>7649*10000</f>
        <v>76490000</v>
      </c>
    </row>
    <row r="210" spans="1:66">
      <c r="A210" s="17">
        <v>53</v>
      </c>
      <c r="B210">
        <v>600171</v>
      </c>
      <c r="C210" t="s">
        <v>31</v>
      </c>
      <c r="D210" s="6" t="s">
        <v>2895</v>
      </c>
      <c r="E210" s="7" t="str">
        <f t="shared" si="93"/>
        <v>=20.24*100000000</v>
      </c>
      <c r="F210" s="1">
        <f>20.24*100000000</f>
        <v>2023999999.9999998</v>
      </c>
      <c r="G210" s="8">
        <f t="shared" si="95"/>
        <v>0.33685601056803155</v>
      </c>
      <c r="H210" s="6" t="s">
        <v>2779</v>
      </c>
      <c r="I210" s="6" t="str">
        <f t="shared" si="96"/>
        <v>=15.14*100000000</v>
      </c>
      <c r="J210" s="1">
        <f>15.14*100000000</f>
        <v>1514000000</v>
      </c>
      <c r="K210" s="10">
        <f t="shared" si="97"/>
        <v>0.48577036310107952</v>
      </c>
      <c r="L210" s="6" t="s">
        <v>2896</v>
      </c>
      <c r="M210" s="6" t="str">
        <f t="shared" si="98"/>
        <v>=10.19*100000000</v>
      </c>
      <c r="N210" s="1">
        <f>10.19*100000000</f>
        <v>1019000000</v>
      </c>
      <c r="O210" s="8">
        <f t="shared" si="99"/>
        <v>1.3741845293569432</v>
      </c>
      <c r="P210" s="6" t="s">
        <v>2897</v>
      </c>
      <c r="Q210" s="6" t="str">
        <f t="shared" si="100"/>
        <v>=4.292*100000000</v>
      </c>
      <c r="R210" s="11">
        <f>4.292*100000000</f>
        <v>429200000</v>
      </c>
      <c r="S210" s="8">
        <f t="shared" si="101"/>
        <v>-0.67777777777777781</v>
      </c>
      <c r="T210" s="6" t="s">
        <v>2898</v>
      </c>
      <c r="U210" s="6" t="str">
        <f t="shared" si="102"/>
        <v>=13.32*100000000</v>
      </c>
      <c r="V210" s="1">
        <f>13.32*100000000</f>
        <v>1332000000</v>
      </c>
      <c r="W210" s="8">
        <f t="shared" si="103"/>
        <v>0.4851153974802096</v>
      </c>
      <c r="X210" s="6" t="s">
        <v>2899</v>
      </c>
      <c r="Y210" s="6" t="str">
        <f t="shared" si="104"/>
        <v>=8.969*100000000</v>
      </c>
      <c r="Z210" s="1">
        <f>8.969*100000000</f>
        <v>896900000</v>
      </c>
      <c r="AA210" s="8">
        <f t="shared" si="105"/>
        <v>0.64689680499449131</v>
      </c>
      <c r="AB210" s="6" t="s">
        <v>2900</v>
      </c>
      <c r="AC210" s="6" t="str">
        <f t="shared" si="106"/>
        <v>=5.446*100000000</v>
      </c>
      <c r="AD210" s="1">
        <f>5.446*100000000</f>
        <v>544600000</v>
      </c>
      <c r="AE210" s="8">
        <f t="shared" si="107"/>
        <v>1.3144921376965575</v>
      </c>
      <c r="AF210" s="6" t="s">
        <v>2901</v>
      </c>
      <c r="AG210" s="6" t="str">
        <f t="shared" si="108"/>
        <v>=2.353*100000000</v>
      </c>
      <c r="AH210" s="1">
        <f>2.353*100000000</f>
        <v>235300000.00000003</v>
      </c>
      <c r="AI210" s="8">
        <f t="shared" si="109"/>
        <v>-0.78570127504553733</v>
      </c>
      <c r="AJ210" s="6" t="s">
        <v>2659</v>
      </c>
      <c r="AK210" s="6" t="str">
        <f t="shared" si="110"/>
        <v>=10.98*100000000</v>
      </c>
      <c r="AL210" s="1">
        <f>10.98*100000000</f>
        <v>1098000000</v>
      </c>
      <c r="AM210" s="8">
        <f t="shared" si="111"/>
        <v>0.39234085721531831</v>
      </c>
      <c r="AN210" s="6" t="s">
        <v>2902</v>
      </c>
      <c r="AO210" s="6" t="str">
        <f t="shared" si="112"/>
        <v>=7.886*100000000</v>
      </c>
      <c r="AP210" s="1">
        <f>7.886*100000000</f>
        <v>788600000</v>
      </c>
      <c r="AQ210" s="8">
        <f t="shared" si="113"/>
        <v>1.0066157760814249</v>
      </c>
      <c r="AR210" s="6" t="s">
        <v>2903</v>
      </c>
      <c r="AS210" s="6" t="str">
        <f t="shared" si="114"/>
        <v>=3.930*100000000</v>
      </c>
      <c r="AT210" s="1">
        <f>3.93*100000000</f>
        <v>393000000</v>
      </c>
      <c r="AU210" s="8">
        <f t="shared" si="115"/>
        <v>1.1095008051529791</v>
      </c>
      <c r="AV210" s="6" t="s">
        <v>2904</v>
      </c>
      <c r="AW210" s="6" t="str">
        <f t="shared" si="116"/>
        <v>=1.863*100000000</v>
      </c>
      <c r="AX210" s="1">
        <f>1.863*100000000</f>
        <v>186300000</v>
      </c>
      <c r="AY210" s="10">
        <f t="shared" si="117"/>
        <v>-0.76246334310850439</v>
      </c>
      <c r="AZ210" s="6" t="s">
        <v>942</v>
      </c>
      <c r="BA210" s="6" t="str">
        <f t="shared" si="118"/>
        <v>=7.843*100000000</v>
      </c>
      <c r="BB210" s="1">
        <f>7.843*100000000</f>
        <v>784300000</v>
      </c>
      <c r="BC210" s="8">
        <f t="shared" si="119"/>
        <v>0.34666895604395603</v>
      </c>
      <c r="BD210" s="6" t="s">
        <v>2905</v>
      </c>
      <c r="BE210" s="6" t="str">
        <f t="shared" si="120"/>
        <v>=5.824*100000000</v>
      </c>
      <c r="BF210" s="1">
        <f>5.824*100000000</f>
        <v>582400000</v>
      </c>
      <c r="BG210" s="8">
        <f t="shared" si="121"/>
        <v>0.50880829015544038</v>
      </c>
      <c r="BH210" s="6" t="s">
        <v>2906</v>
      </c>
      <c r="BI210" s="6" t="str">
        <f t="shared" si="122"/>
        <v>=3.860*100000000</v>
      </c>
      <c r="BJ210" s="1">
        <f>3.86*100000000</f>
        <v>386000000</v>
      </c>
      <c r="BK210" s="6" t="s">
        <v>2783</v>
      </c>
      <c r="BL210" s="1" t="str">
        <f t="shared" si="94"/>
        <v>=1.645*100000000</v>
      </c>
      <c r="BM210" s="16">
        <f t="shared" si="123"/>
        <v>1.3465045592705167</v>
      </c>
      <c r="BN210" s="1">
        <f>1.645*100000000</f>
        <v>164500000</v>
      </c>
    </row>
    <row r="211" spans="1:66">
      <c r="A211" s="18"/>
      <c r="B211">
        <v>600171</v>
      </c>
      <c r="C211" t="s">
        <v>48</v>
      </c>
      <c r="D211" s="6" t="s">
        <v>2907</v>
      </c>
      <c r="E211" s="7" t="str">
        <f t="shared" si="93"/>
        <v>=7.656*100000000</v>
      </c>
      <c r="F211" s="1">
        <f>7.656*100000000</f>
        <v>765600000</v>
      </c>
      <c r="G211" s="8">
        <f t="shared" si="95"/>
        <v>0.33775991612790496</v>
      </c>
      <c r="H211" s="6" t="s">
        <v>2908</v>
      </c>
      <c r="I211" s="6" t="str">
        <f t="shared" si="96"/>
        <v>=5.723*100000000</v>
      </c>
      <c r="J211" s="1">
        <f>5.723*100000000</f>
        <v>572300000</v>
      </c>
      <c r="K211" s="10">
        <f t="shared" si="97"/>
        <v>0.26783340717766946</v>
      </c>
      <c r="L211" s="6" t="s">
        <v>2909</v>
      </c>
      <c r="M211" s="6" t="str">
        <f t="shared" si="98"/>
        <v>=4.514*100000000</v>
      </c>
      <c r="N211" s="1">
        <f>4.514*100000000</f>
        <v>451400000</v>
      </c>
      <c r="O211" s="8">
        <f t="shared" si="99"/>
        <v>1.8194878201124298</v>
      </c>
      <c r="P211" s="6" t="s">
        <v>2910</v>
      </c>
      <c r="Q211" s="6" t="str">
        <f t="shared" si="100"/>
        <v>=1.601*100000000</v>
      </c>
      <c r="R211" s="11">
        <f>1.601*100000000</f>
        <v>160100000</v>
      </c>
      <c r="S211" s="8">
        <f t="shared" si="101"/>
        <v>-0.74102232287285663</v>
      </c>
      <c r="T211" s="6" t="s">
        <v>2911</v>
      </c>
      <c r="U211" s="6" t="str">
        <f t="shared" si="102"/>
        <v>=6.182*100000000</v>
      </c>
      <c r="V211" s="1">
        <f>6.182*100000000</f>
        <v>618200000</v>
      </c>
      <c r="W211" s="8">
        <f t="shared" si="103"/>
        <v>2.8113440197287298</v>
      </c>
      <c r="X211" s="6" t="s">
        <v>2912</v>
      </c>
      <c r="Y211" s="6" t="str">
        <f t="shared" si="104"/>
        <v>=1.622*100000000</v>
      </c>
      <c r="Z211" s="1">
        <f>1.622*100000000</f>
        <v>162200000</v>
      </c>
      <c r="AA211" s="8">
        <f t="shared" si="105"/>
        <v>0.47053490480507704</v>
      </c>
      <c r="AB211" s="6" t="s">
        <v>2913</v>
      </c>
      <c r="AC211" s="6" t="str">
        <f t="shared" si="106"/>
        <v>=1.103*100000000</v>
      </c>
      <c r="AD211" s="1">
        <f>1.103*100000000</f>
        <v>110300000</v>
      </c>
      <c r="AE211" s="8">
        <f t="shared" si="107"/>
        <v>1.349307774227902</v>
      </c>
      <c r="AF211" s="7" t="s">
        <v>2914</v>
      </c>
      <c r="AG211" s="6" t="str">
        <f t="shared" si="108"/>
        <v>=4695*10000</v>
      </c>
      <c r="AH211" s="1">
        <f>4695*10000</f>
        <v>46950000</v>
      </c>
      <c r="AI211" s="8">
        <f t="shared" si="109"/>
        <v>-0.8405772495755518</v>
      </c>
      <c r="AJ211" s="6" t="s">
        <v>2915</v>
      </c>
      <c r="AK211" s="6" t="str">
        <f t="shared" si="110"/>
        <v>=2.945*100000000</v>
      </c>
      <c r="AL211" s="1">
        <f>2.945*100000000</f>
        <v>294500000</v>
      </c>
      <c r="AM211" s="8">
        <f t="shared" si="111"/>
        <v>0.40976543800861659</v>
      </c>
      <c r="AN211" s="6" t="s">
        <v>1281</v>
      </c>
      <c r="AO211" s="6" t="str">
        <f t="shared" si="112"/>
        <v>=2.089*100000000</v>
      </c>
      <c r="AP211" s="1">
        <f>2.089*100000000</f>
        <v>208900000</v>
      </c>
      <c r="AQ211" s="8">
        <f t="shared" si="113"/>
        <v>0.29030265596046945</v>
      </c>
      <c r="AR211" s="6" t="s">
        <v>1514</v>
      </c>
      <c r="AS211" s="6" t="str">
        <f t="shared" si="114"/>
        <v>=1.619*100000000</v>
      </c>
      <c r="AT211" s="1">
        <f>1.619*100000000</f>
        <v>161900000</v>
      </c>
      <c r="AU211" s="8">
        <f t="shared" si="115"/>
        <v>0.42392260334212839</v>
      </c>
      <c r="AV211" s="6" t="s">
        <v>2916</v>
      </c>
      <c r="AW211" s="6" t="str">
        <f t="shared" si="116"/>
        <v>=1.137*100000000</v>
      </c>
      <c r="AX211" s="1">
        <f>1.137*100000000</f>
        <v>113700000</v>
      </c>
      <c r="AY211" s="10">
        <f t="shared" si="117"/>
        <v>-0.26407766990291265</v>
      </c>
      <c r="AZ211" s="6" t="s">
        <v>2917</v>
      </c>
      <c r="BA211" s="6" t="str">
        <f t="shared" si="118"/>
        <v>=1.545*100000000</v>
      </c>
      <c r="BB211" s="1">
        <f>1.545*100000000</f>
        <v>154500000</v>
      </c>
      <c r="BC211" s="8">
        <f t="shared" si="119"/>
        <v>0.54037886340977093</v>
      </c>
      <c r="BD211" s="6" t="s">
        <v>2918</v>
      </c>
      <c r="BE211" s="6" t="str">
        <f t="shared" si="120"/>
        <v>=1.003*100000000</v>
      </c>
      <c r="BF211" s="1">
        <f>1.003*100000000</f>
        <v>100299999.99999999</v>
      </c>
      <c r="BG211" s="8">
        <f t="shared" si="121"/>
        <v>0.34432381718268307</v>
      </c>
      <c r="BH211" s="7" t="s">
        <v>2919</v>
      </c>
      <c r="BI211" s="6" t="str">
        <f t="shared" si="122"/>
        <v>=7461*10000</v>
      </c>
      <c r="BJ211" s="1">
        <f>7461*10000</f>
        <v>74610000</v>
      </c>
      <c r="BK211" s="7" t="s">
        <v>2920</v>
      </c>
      <c r="BL211" s="1" t="str">
        <f t="shared" si="94"/>
        <v>=1857*10000</v>
      </c>
      <c r="BM211" s="16">
        <f t="shared" si="123"/>
        <v>3.0177705977382874</v>
      </c>
      <c r="BN211" s="1">
        <f>1857*10000</f>
        <v>18570000</v>
      </c>
    </row>
    <row r="212" spans="1:66">
      <c r="A212" s="18"/>
      <c r="B212">
        <v>600171</v>
      </c>
      <c r="C212" t="s">
        <v>58</v>
      </c>
      <c r="D212" s="6" t="s">
        <v>2921</v>
      </c>
      <c r="E212" s="7" t="str">
        <f t="shared" si="93"/>
        <v>=7.667*100000000</v>
      </c>
      <c r="F212" s="1">
        <f>7.667*100000000</f>
        <v>766700000</v>
      </c>
      <c r="G212" s="8">
        <f t="shared" si="95"/>
        <v>0.3399161132471164</v>
      </c>
      <c r="H212" s="6" t="s">
        <v>2922</v>
      </c>
      <c r="I212" s="6" t="str">
        <f t="shared" si="96"/>
        <v>=5.722*100000000</v>
      </c>
      <c r="J212" s="1">
        <f>5.722*100000000</f>
        <v>572200000</v>
      </c>
      <c r="K212" s="10">
        <f t="shared" si="97"/>
        <v>0.26845488805142986</v>
      </c>
      <c r="L212" s="6" t="s">
        <v>2923</v>
      </c>
      <c r="M212" s="6" t="str">
        <f t="shared" si="98"/>
        <v>=4.511*100000000</v>
      </c>
      <c r="N212" s="1">
        <f>4.511*100000000</f>
        <v>451100000</v>
      </c>
      <c r="O212" s="8">
        <f t="shared" si="99"/>
        <v>1.8246712586098937</v>
      </c>
      <c r="P212" s="6" t="s">
        <v>2924</v>
      </c>
      <c r="Q212" s="6" t="str">
        <f t="shared" si="100"/>
        <v>=1.597*100000000</v>
      </c>
      <c r="R212" s="11">
        <f>1.597*100000000</f>
        <v>159700000</v>
      </c>
      <c r="S212" s="8">
        <f t="shared" si="101"/>
        <v>-0.74183640478499835</v>
      </c>
      <c r="T212" s="6" t="s">
        <v>2925</v>
      </c>
      <c r="U212" s="6" t="str">
        <f t="shared" si="102"/>
        <v>=6.186*100000000</v>
      </c>
      <c r="V212" s="1">
        <f>6.186*100000000</f>
        <v>618600000</v>
      </c>
      <c r="W212" s="8">
        <f t="shared" si="103"/>
        <v>2.8566084788029924</v>
      </c>
      <c r="X212" s="6" t="s">
        <v>1229</v>
      </c>
      <c r="Y212" s="6" t="str">
        <f t="shared" si="104"/>
        <v>=1.604*100000000</v>
      </c>
      <c r="Z212" s="1">
        <f>1.604*100000000</f>
        <v>160400000</v>
      </c>
      <c r="AA212" s="8">
        <f t="shared" si="105"/>
        <v>0.47834101382488481</v>
      </c>
      <c r="AB212" s="6" t="s">
        <v>1995</v>
      </c>
      <c r="AC212" s="6" t="str">
        <f t="shared" si="106"/>
        <v>=1.085*100000000</v>
      </c>
      <c r="AD212" s="1">
        <f>1.085*100000000</f>
        <v>108500000</v>
      </c>
      <c r="AE212" s="8">
        <f t="shared" si="107"/>
        <v>1.3273273273273274</v>
      </c>
      <c r="AF212" s="7" t="s">
        <v>2926</v>
      </c>
      <c r="AG212" s="6" t="str">
        <f t="shared" si="108"/>
        <v>=4662*10000</v>
      </c>
      <c r="AH212" s="1">
        <f>4662*10000</f>
        <v>46620000</v>
      </c>
      <c r="AI212" s="8">
        <f t="shared" si="109"/>
        <v>-0.8409416581371546</v>
      </c>
      <c r="AJ212" s="6" t="s">
        <v>2927</v>
      </c>
      <c r="AK212" s="6" t="str">
        <f t="shared" si="110"/>
        <v>=2.931*100000000</v>
      </c>
      <c r="AL212" s="1">
        <f>2.931*100000000</f>
        <v>293100000</v>
      </c>
      <c r="AM212" s="8">
        <f t="shared" si="111"/>
        <v>0.41116995666827155</v>
      </c>
      <c r="AN212" s="6" t="s">
        <v>2928</v>
      </c>
      <c r="AO212" s="6" t="str">
        <f t="shared" si="112"/>
        <v>=2.077*100000000</v>
      </c>
      <c r="AP212" s="1">
        <f>2.077*100000000</f>
        <v>207700000</v>
      </c>
      <c r="AQ212" s="8">
        <f t="shared" si="113"/>
        <v>0.28686493184634448</v>
      </c>
      <c r="AR212" s="6" t="s">
        <v>2929</v>
      </c>
      <c r="AS212" s="6" t="str">
        <f t="shared" si="114"/>
        <v>=1.614*100000000</v>
      </c>
      <c r="AT212" s="1">
        <f>1.614*100000000</f>
        <v>161400000</v>
      </c>
      <c r="AU212" s="8">
        <f t="shared" si="115"/>
        <v>0.4170324846356453</v>
      </c>
      <c r="AV212" s="6" t="s">
        <v>2930</v>
      </c>
      <c r="AW212" s="6" t="str">
        <f t="shared" si="116"/>
        <v>=1.139*100000000</v>
      </c>
      <c r="AX212" s="1">
        <f>1.139*100000000</f>
        <v>113900000</v>
      </c>
      <c r="AY212" s="10">
        <f t="shared" si="117"/>
        <v>-0.26658081133290407</v>
      </c>
      <c r="AZ212" s="6" t="s">
        <v>1639</v>
      </c>
      <c r="BA212" s="6" t="str">
        <f t="shared" si="118"/>
        <v>=1.553*100000000</v>
      </c>
      <c r="BB212" s="1">
        <f>1.553*100000000</f>
        <v>155300000</v>
      </c>
      <c r="BC212" s="8">
        <f t="shared" si="119"/>
        <v>0.51956947162426614</v>
      </c>
      <c r="BD212" s="6" t="s">
        <v>2931</v>
      </c>
      <c r="BE212" s="6" t="str">
        <f t="shared" si="120"/>
        <v>=1.022*100000000</v>
      </c>
      <c r="BF212" s="1">
        <f>1.022*100000000</f>
        <v>102200000</v>
      </c>
      <c r="BG212" s="8">
        <f t="shared" si="121"/>
        <v>0.33752126684988876</v>
      </c>
      <c r="BH212" s="7" t="s">
        <v>2932</v>
      </c>
      <c r="BI212" s="6" t="str">
        <f t="shared" si="122"/>
        <v>=7641*10000</v>
      </c>
      <c r="BJ212" s="1">
        <f>7641*10000</f>
        <v>76410000</v>
      </c>
      <c r="BK212" s="7" t="s">
        <v>2933</v>
      </c>
      <c r="BL212" s="1" t="str">
        <f t="shared" si="94"/>
        <v>=1861*10000</v>
      </c>
      <c r="BM212" s="16">
        <f t="shared" si="123"/>
        <v>3.1058570660934981</v>
      </c>
      <c r="BN212" s="1">
        <f>1861*10000</f>
        <v>18610000</v>
      </c>
    </row>
    <row r="213" spans="1:66">
      <c r="A213" s="19"/>
      <c r="B213">
        <v>600171</v>
      </c>
      <c r="C213" t="s">
        <v>68</v>
      </c>
      <c r="D213" s="6" t="s">
        <v>2934</v>
      </c>
      <c r="E213" s="7" t="str">
        <f t="shared" si="93"/>
        <v>=7.376*100000000</v>
      </c>
      <c r="F213" s="1">
        <f>7.376*100000000</f>
        <v>737600000</v>
      </c>
      <c r="G213" s="8">
        <f t="shared" si="95"/>
        <v>0.43613707165109034</v>
      </c>
      <c r="H213" s="6" t="s">
        <v>2935</v>
      </c>
      <c r="I213" s="6" t="str">
        <f t="shared" si="96"/>
        <v>=5.136*100000000</v>
      </c>
      <c r="J213" s="1">
        <f>5.136*100000000</f>
        <v>513600000</v>
      </c>
      <c r="K213" s="10">
        <f t="shared" si="97"/>
        <v>0.2956609485368315</v>
      </c>
      <c r="L213" s="6" t="s">
        <v>2936</v>
      </c>
      <c r="M213" s="6" t="str">
        <f t="shared" si="98"/>
        <v>=3.964*100000000</v>
      </c>
      <c r="N213" s="1">
        <f>3.964*100000000</f>
        <v>396400000</v>
      </c>
      <c r="O213" s="8">
        <f t="shared" si="99"/>
        <v>1.8193456614509247</v>
      </c>
      <c r="P213" s="6" t="s">
        <v>2225</v>
      </c>
      <c r="Q213" s="6" t="str">
        <f t="shared" si="100"/>
        <v>=1.406*100000000</v>
      </c>
      <c r="R213" s="11">
        <f>1.406*100000000</f>
        <v>140600000</v>
      </c>
      <c r="S213" s="8">
        <f t="shared" si="101"/>
        <v>-0.74049464747139171</v>
      </c>
      <c r="T213" s="6" t="s">
        <v>2937</v>
      </c>
      <c r="U213" s="6" t="str">
        <f t="shared" si="102"/>
        <v>=5.418*100000000</v>
      </c>
      <c r="V213" s="1">
        <f>5.418*100000000</f>
        <v>541800000</v>
      </c>
      <c r="W213" s="8">
        <f t="shared" si="103"/>
        <v>2.6932515337423313</v>
      </c>
      <c r="X213" s="6" t="s">
        <v>2938</v>
      </c>
      <c r="Y213" s="6" t="str">
        <f t="shared" si="104"/>
        <v>=1.467*100000000</v>
      </c>
      <c r="Z213" s="1">
        <f>1.467*100000000</f>
        <v>146700000</v>
      </c>
      <c r="AA213" s="8">
        <f t="shared" si="105"/>
        <v>0.47808564231738038</v>
      </c>
      <c r="AB213" s="7" t="s">
        <v>2939</v>
      </c>
      <c r="AC213" s="6" t="str">
        <f t="shared" si="106"/>
        <v>=9925*10000</v>
      </c>
      <c r="AD213" s="1">
        <f>9925*10000</f>
        <v>99250000</v>
      </c>
      <c r="AE213" s="8">
        <f t="shared" si="107"/>
        <v>1.2805606617647058</v>
      </c>
      <c r="AF213" s="7" t="s">
        <v>2940</v>
      </c>
      <c r="AG213" s="6" t="str">
        <f t="shared" si="108"/>
        <v>=4352*10000</v>
      </c>
      <c r="AH213" s="1">
        <f>4352*10000</f>
        <v>43520000</v>
      </c>
      <c r="AI213" s="8">
        <f t="shared" si="109"/>
        <v>-0.83797468354430382</v>
      </c>
      <c r="AJ213" s="6" t="s">
        <v>2941</v>
      </c>
      <c r="AK213" s="6" t="str">
        <f t="shared" si="110"/>
        <v>=2.686*100000000</v>
      </c>
      <c r="AL213" s="1">
        <f>2.686*100000000</f>
        <v>268600000</v>
      </c>
      <c r="AM213" s="8">
        <f t="shared" si="111"/>
        <v>0.43867166577396893</v>
      </c>
      <c r="AN213" s="6" t="s">
        <v>2942</v>
      </c>
      <c r="AO213" s="6" t="str">
        <f t="shared" si="112"/>
        <v>=1.867*100000000</v>
      </c>
      <c r="AP213" s="1">
        <f>1.867*100000000</f>
        <v>186700000</v>
      </c>
      <c r="AQ213" s="8">
        <f t="shared" si="113"/>
        <v>0.29472954230235782</v>
      </c>
      <c r="AR213" s="6" t="s">
        <v>2943</v>
      </c>
      <c r="AS213" s="6" t="str">
        <f t="shared" si="114"/>
        <v>=1.442*100000000</v>
      </c>
      <c r="AT213" s="1">
        <f>1.442*100000000</f>
        <v>144200000</v>
      </c>
      <c r="AU213" s="8">
        <f t="shared" si="115"/>
        <v>0.44880940419973875</v>
      </c>
      <c r="AV213" s="7" t="s">
        <v>2944</v>
      </c>
      <c r="AW213" s="6" t="str">
        <f t="shared" si="116"/>
        <v>=9953*10000</v>
      </c>
      <c r="AX213" s="1">
        <f>9953*10000</f>
        <v>99530000</v>
      </c>
      <c r="AY213" s="10">
        <f t="shared" si="117"/>
        <v>-0.32015027322404371</v>
      </c>
      <c r="AZ213" s="6" t="s">
        <v>2945</v>
      </c>
      <c r="BA213" s="6" t="str">
        <f t="shared" si="118"/>
        <v>=1.464*100000000</v>
      </c>
      <c r="BB213" s="1">
        <f>1.464*100000000</f>
        <v>146400000</v>
      </c>
      <c r="BC213" s="8">
        <f t="shared" si="119"/>
        <v>0.45962113659022952</v>
      </c>
      <c r="BD213" s="6" t="s">
        <v>2918</v>
      </c>
      <c r="BE213" s="6" t="str">
        <f t="shared" si="120"/>
        <v>=1.003*100000000</v>
      </c>
      <c r="BF213" s="1">
        <f>1.003*100000000</f>
        <v>100299999.99999999</v>
      </c>
      <c r="BG213" s="8">
        <f t="shared" si="121"/>
        <v>0.3515698692898529</v>
      </c>
      <c r="BH213" s="7" t="s">
        <v>2946</v>
      </c>
      <c r="BI213" s="6" t="str">
        <f t="shared" si="122"/>
        <v>=7421*10000</v>
      </c>
      <c r="BJ213" s="1">
        <f>7421*10000</f>
        <v>74210000</v>
      </c>
      <c r="BK213" s="7" t="s">
        <v>2947</v>
      </c>
      <c r="BL213" s="1" t="str">
        <f t="shared" si="94"/>
        <v>=1805*10000</v>
      </c>
      <c r="BM213" s="16">
        <f t="shared" si="123"/>
        <v>3.1113573407202217</v>
      </c>
      <c r="BN213" s="1">
        <f>1805*10000</f>
        <v>18050000</v>
      </c>
    </row>
    <row r="214" spans="1:66">
      <c r="A214" s="17">
        <v>54</v>
      </c>
      <c r="B214">
        <v>600173</v>
      </c>
      <c r="C214" t="s">
        <v>31</v>
      </c>
      <c r="D214" s="6" t="s">
        <v>2948</v>
      </c>
      <c r="E214" s="7" t="str">
        <f t="shared" si="93"/>
        <v>=25.03*100000000</v>
      </c>
      <c r="F214" s="1">
        <f>25.03*100000000</f>
        <v>2503000000</v>
      </c>
      <c r="G214" s="8">
        <f t="shared" si="95"/>
        <v>0.14606227106227107</v>
      </c>
      <c r="H214" s="6" t="s">
        <v>2949</v>
      </c>
      <c r="I214" s="6" t="str">
        <f t="shared" si="96"/>
        <v>=21.84*100000000</v>
      </c>
      <c r="J214" s="1">
        <f>21.84*100000000</f>
        <v>2184000000</v>
      </c>
      <c r="K214" s="10">
        <f t="shared" si="97"/>
        <v>0.10582278481012658</v>
      </c>
      <c r="L214" s="6" t="s">
        <v>2950</v>
      </c>
      <c r="M214" s="6" t="str">
        <f t="shared" si="98"/>
        <v>=19.75*100000000</v>
      </c>
      <c r="N214" s="1">
        <f>19.75*100000000</f>
        <v>1975000000</v>
      </c>
      <c r="O214" s="8">
        <f t="shared" si="99"/>
        <v>3.0864887233602318</v>
      </c>
      <c r="P214" s="6" t="s">
        <v>2951</v>
      </c>
      <c r="Q214" s="6" t="str">
        <f t="shared" si="100"/>
        <v>=4.833*100000000</v>
      </c>
      <c r="R214" s="11">
        <f>4.833*100000000</f>
        <v>483300000</v>
      </c>
      <c r="S214" s="8">
        <f t="shared" si="101"/>
        <v>-0.78811924594476102</v>
      </c>
      <c r="T214" s="6" t="s">
        <v>2952</v>
      </c>
      <c r="U214" s="6" t="str">
        <f t="shared" si="102"/>
        <v>=22.81*100000000</v>
      </c>
      <c r="V214" s="1">
        <f>22.81*100000000</f>
        <v>2281000000</v>
      </c>
      <c r="W214" s="8">
        <f t="shared" si="103"/>
        <v>1.4068798142872216</v>
      </c>
      <c r="X214" s="6" t="s">
        <v>2953</v>
      </c>
      <c r="Y214" s="6" t="str">
        <f t="shared" si="104"/>
        <v>=9.477*100000000</v>
      </c>
      <c r="Z214" s="1">
        <f>9.477*100000000</f>
        <v>947700000</v>
      </c>
      <c r="AA214" s="8">
        <f t="shared" si="105"/>
        <v>0.9508027995059698</v>
      </c>
      <c r="AB214" s="6" t="s">
        <v>2954</v>
      </c>
      <c r="AC214" s="6" t="str">
        <f t="shared" si="106"/>
        <v>=4.858*100000000</v>
      </c>
      <c r="AD214" s="1">
        <f>4.858*100000000</f>
        <v>485799999.99999994</v>
      </c>
      <c r="AE214" s="8">
        <f t="shared" si="107"/>
        <v>0.37776517300056706</v>
      </c>
      <c r="AF214" s="6" t="s">
        <v>2955</v>
      </c>
      <c r="AG214" s="6" t="str">
        <f t="shared" si="108"/>
        <v>=3.526*100000000</v>
      </c>
      <c r="AH214" s="1">
        <f>3.526*100000000</f>
        <v>352600000</v>
      </c>
      <c r="AI214" s="8">
        <f t="shared" si="109"/>
        <v>-0.81644976574700678</v>
      </c>
      <c r="AJ214" s="6" t="s">
        <v>1895</v>
      </c>
      <c r="AK214" s="6" t="str">
        <f t="shared" si="110"/>
        <v>=19.21*100000000</v>
      </c>
      <c r="AL214" s="1">
        <f>19.21*100000000</f>
        <v>1921000000</v>
      </c>
      <c r="AM214" s="8">
        <f t="shared" si="111"/>
        <v>0.52945859872611467</v>
      </c>
      <c r="AN214" s="6" t="s">
        <v>2956</v>
      </c>
      <c r="AO214" s="6" t="str">
        <f t="shared" si="112"/>
        <v>=12.56*100000000</v>
      </c>
      <c r="AP214" s="1">
        <f>12.56*100000000</f>
        <v>1256000000</v>
      </c>
      <c r="AQ214" s="8">
        <f t="shared" si="113"/>
        <v>0.60306317804722398</v>
      </c>
      <c r="AR214" s="6" t="s">
        <v>2957</v>
      </c>
      <c r="AS214" s="6" t="str">
        <f t="shared" si="114"/>
        <v>=7.835*100000000</v>
      </c>
      <c r="AT214" s="1">
        <f>7.835*100000000</f>
        <v>783500000</v>
      </c>
      <c r="AU214" s="8">
        <f t="shared" si="115"/>
        <v>0.5530227948463825</v>
      </c>
      <c r="AV214" s="6" t="s">
        <v>2958</v>
      </c>
      <c r="AW214" s="6" t="str">
        <f t="shared" si="116"/>
        <v>=5.045*100000000</v>
      </c>
      <c r="AX214" s="1">
        <f>5.045*100000000</f>
        <v>504500000</v>
      </c>
      <c r="AY214" s="10">
        <f t="shared" si="117"/>
        <v>-0.82173144876325088</v>
      </c>
      <c r="AZ214" s="6" t="s">
        <v>2959</v>
      </c>
      <c r="BA214" s="6" t="str">
        <f t="shared" si="118"/>
        <v>=28.30*100000000</v>
      </c>
      <c r="BB214" s="1">
        <f>28.3*100000000</f>
        <v>2830000000</v>
      </c>
      <c r="BC214" s="8">
        <f t="shared" si="119"/>
        <v>0.41429285357321322</v>
      </c>
      <c r="BD214" s="6" t="s">
        <v>2960</v>
      </c>
      <c r="BE214" s="6" t="str">
        <f t="shared" si="120"/>
        <v>=20.01*100000000</v>
      </c>
      <c r="BF214" s="1">
        <f>20.01*100000000</f>
        <v>2001000000.0000002</v>
      </c>
      <c r="BG214" s="8">
        <f t="shared" si="121"/>
        <v>0.41513437057991531</v>
      </c>
      <c r="BH214" s="6" t="s">
        <v>2961</v>
      </c>
      <c r="BI214" s="6" t="str">
        <f t="shared" si="122"/>
        <v>=14.14*100000000</v>
      </c>
      <c r="BJ214" s="1">
        <f>14.14*100000000</f>
        <v>1414000000</v>
      </c>
      <c r="BK214" s="6" t="s">
        <v>2962</v>
      </c>
      <c r="BL214" s="1" t="str">
        <f t="shared" si="94"/>
        <v>=10.37*100000000</v>
      </c>
      <c r="BM214" s="16">
        <f t="shared" si="123"/>
        <v>0.36354869816779184</v>
      </c>
      <c r="BN214" s="1">
        <f>10.37*100000000</f>
        <v>1036999999.9999999</v>
      </c>
    </row>
    <row r="215" spans="1:66">
      <c r="A215" s="18"/>
      <c r="B215">
        <v>600173</v>
      </c>
      <c r="C215" t="s">
        <v>48</v>
      </c>
      <c r="D215" s="6" t="s">
        <v>2963</v>
      </c>
      <c r="E215" s="7" t="str">
        <f t="shared" si="93"/>
        <v>=6.237*100000000</v>
      </c>
      <c r="F215" s="1">
        <f>6.237*100000000</f>
        <v>623700000</v>
      </c>
      <c r="G215" s="8">
        <f t="shared" si="95"/>
        <v>0.14105378704720087</v>
      </c>
      <c r="H215" s="6" t="s">
        <v>2964</v>
      </c>
      <c r="I215" s="6" t="str">
        <f t="shared" si="96"/>
        <v>=5.466*100000000</v>
      </c>
      <c r="J215" s="1">
        <f>5.466*100000000</f>
        <v>546600000</v>
      </c>
      <c r="K215" s="10">
        <f t="shared" si="97"/>
        <v>0.19842139881604912</v>
      </c>
      <c r="L215" s="6" t="s">
        <v>2965</v>
      </c>
      <c r="M215" s="6" t="str">
        <f t="shared" si="98"/>
        <v>=4.561*100000000</v>
      </c>
      <c r="N215" s="1">
        <f>4.561*100000000</f>
        <v>456100000</v>
      </c>
      <c r="O215" s="8">
        <f t="shared" si="99"/>
        <v>1.7675970873786409</v>
      </c>
      <c r="P215" s="6" t="s">
        <v>2157</v>
      </c>
      <c r="Q215" s="6" t="str">
        <f t="shared" si="100"/>
        <v>=1.648*100000000</v>
      </c>
      <c r="R215" s="11">
        <f>1.648*100000000</f>
        <v>164800000</v>
      </c>
      <c r="S215" s="8">
        <f t="shared" si="101"/>
        <v>-0.75366218236173388</v>
      </c>
      <c r="T215" s="6" t="s">
        <v>2966</v>
      </c>
      <c r="U215" s="6" t="str">
        <f t="shared" si="102"/>
        <v>=6.690*100000000</v>
      </c>
      <c r="V215" s="1">
        <f>6.69*100000000</f>
        <v>669000000</v>
      </c>
      <c r="W215" s="8">
        <f t="shared" si="103"/>
        <v>1.4460694698354661</v>
      </c>
      <c r="X215" s="6" t="s">
        <v>2967</v>
      </c>
      <c r="Y215" s="6" t="str">
        <f t="shared" si="104"/>
        <v>=2.735*100000000</v>
      </c>
      <c r="Z215" s="1">
        <f>2.735*100000000</f>
        <v>273500000</v>
      </c>
      <c r="AA215" s="8">
        <f t="shared" si="105"/>
        <v>0.59661412726211327</v>
      </c>
      <c r="AB215" s="6" t="s">
        <v>2968</v>
      </c>
      <c r="AC215" s="6" t="str">
        <f t="shared" si="106"/>
        <v>=1.713*100000000</v>
      </c>
      <c r="AD215" s="1">
        <f>1.713*100000000</f>
        <v>171300000</v>
      </c>
      <c r="AE215" s="8">
        <f t="shared" si="107"/>
        <v>0.48568950563746749</v>
      </c>
      <c r="AF215" s="6" t="s">
        <v>2969</v>
      </c>
      <c r="AG215" s="6" t="str">
        <f t="shared" si="108"/>
        <v>=1.153*100000000</v>
      </c>
      <c r="AH215" s="1">
        <f>1.153*100000000</f>
        <v>115300000</v>
      </c>
      <c r="AI215" s="8">
        <f t="shared" si="109"/>
        <v>-0.82367334454809604</v>
      </c>
      <c r="AJ215" s="6" t="s">
        <v>1811</v>
      </c>
      <c r="AK215" s="6" t="str">
        <f t="shared" si="110"/>
        <v>=6.539*100000000</v>
      </c>
      <c r="AL215" s="1">
        <f>6.539*100000000</f>
        <v>653900000</v>
      </c>
      <c r="AM215" s="8">
        <f t="shared" si="111"/>
        <v>0.58290970709271361</v>
      </c>
      <c r="AN215" s="6" t="s">
        <v>2970</v>
      </c>
      <c r="AO215" s="6" t="str">
        <f t="shared" si="112"/>
        <v>=4.131*100000000</v>
      </c>
      <c r="AP215" s="1">
        <f>4.131*100000000</f>
        <v>413100000</v>
      </c>
      <c r="AQ215" s="8">
        <f t="shared" si="113"/>
        <v>0.42497412901000348</v>
      </c>
      <c r="AR215" s="6" t="s">
        <v>2971</v>
      </c>
      <c r="AS215" s="6" t="str">
        <f t="shared" si="114"/>
        <v>=2.899*100000000</v>
      </c>
      <c r="AT215" s="1">
        <f>2.899*100000000</f>
        <v>289900000</v>
      </c>
      <c r="AU215" s="8">
        <f t="shared" si="115"/>
        <v>0.49279093717816685</v>
      </c>
      <c r="AV215" s="6" t="s">
        <v>2972</v>
      </c>
      <c r="AW215" s="6" t="str">
        <f t="shared" si="116"/>
        <v>=1.942*100000000</v>
      </c>
      <c r="AX215" s="1">
        <f>1.942*100000000</f>
        <v>194200000</v>
      </c>
      <c r="AY215" s="10">
        <f t="shared" si="117"/>
        <v>-0.76107283464566933</v>
      </c>
      <c r="AZ215" s="6" t="s">
        <v>2973</v>
      </c>
      <c r="BA215" s="6" t="str">
        <f t="shared" si="118"/>
        <v>=8.128*100000000</v>
      </c>
      <c r="BB215" s="1">
        <f>8.128*100000000</f>
        <v>812800000</v>
      </c>
      <c r="BC215" s="8">
        <f t="shared" si="119"/>
        <v>0.68665698277650966</v>
      </c>
      <c r="BD215" s="6" t="s">
        <v>2974</v>
      </c>
      <c r="BE215" s="6" t="str">
        <f t="shared" si="120"/>
        <v>=4.819*100000000</v>
      </c>
      <c r="BF215" s="1">
        <f>4.819*100000000</f>
        <v>481900000</v>
      </c>
      <c r="BG215" s="8">
        <f t="shared" si="121"/>
        <v>0.68673433671683581</v>
      </c>
      <c r="BH215" s="6" t="s">
        <v>459</v>
      </c>
      <c r="BI215" s="6" t="str">
        <f t="shared" si="122"/>
        <v>=2.857*100000000</v>
      </c>
      <c r="BJ215" s="1">
        <f>2.857*100000000</f>
        <v>285700000</v>
      </c>
      <c r="BK215" s="6" t="s">
        <v>2975</v>
      </c>
      <c r="BL215" s="1" t="str">
        <f t="shared" si="94"/>
        <v>=1.803*100000000</v>
      </c>
      <c r="BM215" s="16">
        <f t="shared" si="123"/>
        <v>0.58458125346644485</v>
      </c>
      <c r="BN215" s="1">
        <f>1.803*100000000</f>
        <v>180300000</v>
      </c>
    </row>
    <row r="216" spans="1:66">
      <c r="A216" s="18"/>
      <c r="B216">
        <v>600173</v>
      </c>
      <c r="C216" t="s">
        <v>58</v>
      </c>
      <c r="D216" s="6" t="s">
        <v>2976</v>
      </c>
      <c r="E216" s="7" t="str">
        <f t="shared" si="93"/>
        <v>=6.238*100000000</v>
      </c>
      <c r="F216" s="1">
        <f>6.238*100000000</f>
        <v>623800000</v>
      </c>
      <c r="G216" s="8">
        <f t="shared" si="95"/>
        <v>0.14102798609840864</v>
      </c>
      <c r="H216" s="6" t="s">
        <v>2977</v>
      </c>
      <c r="I216" s="6" t="str">
        <f t="shared" si="96"/>
        <v>=5.467*100000000</v>
      </c>
      <c r="J216" s="1">
        <f>5.467*100000000</f>
        <v>546700000</v>
      </c>
      <c r="K216" s="10">
        <f t="shared" si="97"/>
        <v>0.19864064898048672</v>
      </c>
      <c r="L216" s="6" t="s">
        <v>2965</v>
      </c>
      <c r="M216" s="6" t="str">
        <f t="shared" si="98"/>
        <v>=4.561*100000000</v>
      </c>
      <c r="N216" s="1">
        <f>4.561*100000000</f>
        <v>456100000</v>
      </c>
      <c r="O216" s="8">
        <f t="shared" si="99"/>
        <v>1.7675970873786409</v>
      </c>
      <c r="P216" s="6" t="s">
        <v>2157</v>
      </c>
      <c r="Q216" s="6" t="str">
        <f t="shared" si="100"/>
        <v>=1.648*100000000</v>
      </c>
      <c r="R216" s="11">
        <f>1.648*100000000</f>
        <v>164800000</v>
      </c>
      <c r="S216" s="8">
        <f t="shared" si="101"/>
        <v>-0.7528494301139772</v>
      </c>
      <c r="T216" s="6" t="s">
        <v>2978</v>
      </c>
      <c r="U216" s="6" t="str">
        <f t="shared" si="102"/>
        <v>=6.668*100000000</v>
      </c>
      <c r="V216" s="1">
        <f>6.668*100000000</f>
        <v>666800000</v>
      </c>
      <c r="W216" s="8">
        <f t="shared" si="103"/>
        <v>1.4264919941775838</v>
      </c>
      <c r="X216" s="6" t="s">
        <v>2979</v>
      </c>
      <c r="Y216" s="6" t="str">
        <f t="shared" si="104"/>
        <v>=2.748*100000000</v>
      </c>
      <c r="Z216" s="1">
        <f>2.748*100000000</f>
        <v>274800000</v>
      </c>
      <c r="AA216" s="8">
        <f t="shared" si="105"/>
        <v>0.59119861030689058</v>
      </c>
      <c r="AB216" s="6" t="s">
        <v>2980</v>
      </c>
      <c r="AC216" s="6" t="str">
        <f t="shared" si="106"/>
        <v>=1.727*100000000</v>
      </c>
      <c r="AD216" s="1">
        <f>1.727*100000000</f>
        <v>172700000</v>
      </c>
      <c r="AE216" s="8">
        <f t="shared" si="107"/>
        <v>0.48751076658053405</v>
      </c>
      <c r="AF216" s="6" t="s">
        <v>2109</v>
      </c>
      <c r="AG216" s="6" t="str">
        <f t="shared" si="108"/>
        <v>=1.161*100000000</v>
      </c>
      <c r="AH216" s="1">
        <f>1.161*100000000</f>
        <v>116100000</v>
      </c>
      <c r="AI216" s="8">
        <f t="shared" si="109"/>
        <v>-0.8227480916030534</v>
      </c>
      <c r="AJ216" s="6" t="s">
        <v>2981</v>
      </c>
      <c r="AK216" s="6" t="str">
        <f t="shared" si="110"/>
        <v>=6.550*100000000</v>
      </c>
      <c r="AL216" s="1">
        <f>6.55*100000000</f>
        <v>655000000</v>
      </c>
      <c r="AM216" s="8">
        <f t="shared" si="111"/>
        <v>0.58212560386473455</v>
      </c>
      <c r="AN216" s="6" t="s">
        <v>2982</v>
      </c>
      <c r="AO216" s="6" t="str">
        <f t="shared" si="112"/>
        <v>=4.140*100000000</v>
      </c>
      <c r="AP216" s="1">
        <f>4.14*100000000</f>
        <v>413999999.99999994</v>
      </c>
      <c r="AQ216" s="8">
        <f t="shared" si="113"/>
        <v>0.43401454797367489</v>
      </c>
      <c r="AR216" s="6" t="s">
        <v>2983</v>
      </c>
      <c r="AS216" s="6" t="str">
        <f t="shared" si="114"/>
        <v>=2.887*100000000</v>
      </c>
      <c r="AT216" s="1">
        <f>2.887*100000000</f>
        <v>288700000</v>
      </c>
      <c r="AU216" s="8">
        <f t="shared" si="115"/>
        <v>0.48431876606683805</v>
      </c>
      <c r="AV216" s="6" t="s">
        <v>2984</v>
      </c>
      <c r="AW216" s="6" t="str">
        <f t="shared" si="116"/>
        <v>=1.945*100000000</v>
      </c>
      <c r="AX216" s="1">
        <f>1.945*100000000</f>
        <v>194500000</v>
      </c>
      <c r="AY216" s="10">
        <f t="shared" si="117"/>
        <v>-0.75984689467835531</v>
      </c>
      <c r="AZ216" s="6" t="s">
        <v>2985</v>
      </c>
      <c r="BA216" s="6" t="str">
        <f t="shared" si="118"/>
        <v>=8.099*100000000</v>
      </c>
      <c r="BB216" s="1">
        <f>8.099*100000000</f>
        <v>809900000</v>
      </c>
      <c r="BC216" s="8">
        <f t="shared" si="119"/>
        <v>0.69328873092201526</v>
      </c>
      <c r="BD216" s="6" t="s">
        <v>2986</v>
      </c>
      <c r="BE216" s="6" t="str">
        <f t="shared" si="120"/>
        <v>=4.783*100000000</v>
      </c>
      <c r="BF216" s="1">
        <f>4.783*100000000</f>
        <v>478300000.00000006</v>
      </c>
      <c r="BG216" s="8">
        <f t="shared" si="121"/>
        <v>0.67120894479385063</v>
      </c>
      <c r="BH216" s="6" t="s">
        <v>2987</v>
      </c>
      <c r="BI216" s="6" t="str">
        <f t="shared" si="122"/>
        <v>=2.862*100000000</v>
      </c>
      <c r="BJ216" s="1">
        <f>2.862*100000000</f>
        <v>286200000</v>
      </c>
      <c r="BK216" s="6" t="s">
        <v>2988</v>
      </c>
      <c r="BL216" s="1" t="str">
        <f t="shared" si="94"/>
        <v>=1.804*100000000</v>
      </c>
      <c r="BM216" s="16">
        <f t="shared" si="123"/>
        <v>0.58647450110864741</v>
      </c>
      <c r="BN216" s="1">
        <f>1.804*100000000</f>
        <v>180400000</v>
      </c>
    </row>
    <row r="217" spans="1:66">
      <c r="A217" s="19"/>
      <c r="B217">
        <v>600173</v>
      </c>
      <c r="C217" t="s">
        <v>68</v>
      </c>
      <c r="D217" s="6" t="s">
        <v>2313</v>
      </c>
      <c r="E217" s="7" t="str">
        <f t="shared" si="93"/>
        <v>=4.770*100000000</v>
      </c>
      <c r="F217" s="1">
        <f>4.77*100000000</f>
        <v>476999999.99999994</v>
      </c>
      <c r="G217" s="8">
        <f t="shared" si="95"/>
        <v>0.13924050632911378</v>
      </c>
      <c r="H217" s="6" t="s">
        <v>2989</v>
      </c>
      <c r="I217" s="6" t="str">
        <f t="shared" si="96"/>
        <v>=4.187*100000000</v>
      </c>
      <c r="J217" s="1">
        <f>4.187*100000000</f>
        <v>418700000</v>
      </c>
      <c r="K217" s="10">
        <f t="shared" si="97"/>
        <v>0.20454545454545456</v>
      </c>
      <c r="L217" s="6" t="s">
        <v>249</v>
      </c>
      <c r="M217" s="6" t="str">
        <f t="shared" si="98"/>
        <v>=3.476*100000000</v>
      </c>
      <c r="N217" s="1">
        <f>3.476*100000000</f>
        <v>347600000</v>
      </c>
      <c r="O217" s="8">
        <f t="shared" si="99"/>
        <v>1.8009669621273166</v>
      </c>
      <c r="P217" s="6" t="s">
        <v>2117</v>
      </c>
      <c r="Q217" s="6" t="str">
        <f t="shared" si="100"/>
        <v>=1.241*100000000</v>
      </c>
      <c r="R217" s="11">
        <f>1.241*100000000</f>
        <v>124100000.00000001</v>
      </c>
      <c r="S217" s="8">
        <f t="shared" si="101"/>
        <v>-0.74380677126341865</v>
      </c>
      <c r="T217" s="6" t="s">
        <v>1592</v>
      </c>
      <c r="U217" s="6" t="str">
        <f t="shared" si="102"/>
        <v>=4.844*100000000</v>
      </c>
      <c r="V217" s="1">
        <f>4.844*100000000</f>
        <v>484400000.00000006</v>
      </c>
      <c r="W217" s="8">
        <f t="shared" si="103"/>
        <v>1.3617747440273036</v>
      </c>
      <c r="X217" s="6" t="s">
        <v>2990</v>
      </c>
      <c r="Y217" s="6" t="str">
        <f t="shared" si="104"/>
        <v>=2.051*100000000</v>
      </c>
      <c r="Z217" s="1">
        <f>2.051*100000000</f>
        <v>205100000.00000003</v>
      </c>
      <c r="AA217" s="8">
        <f t="shared" si="105"/>
        <v>0.56326219512195141</v>
      </c>
      <c r="AB217" s="6" t="s">
        <v>2991</v>
      </c>
      <c r="AC217" s="6" t="str">
        <f t="shared" si="106"/>
        <v>=1.312*100000000</v>
      </c>
      <c r="AD217" s="1">
        <f>1.312*100000000</f>
        <v>131200000</v>
      </c>
      <c r="AE217" s="8">
        <f t="shared" si="107"/>
        <v>0.47864307449566101</v>
      </c>
      <c r="AF217" s="7" t="s">
        <v>2992</v>
      </c>
      <c r="AG217" s="6" t="str">
        <f t="shared" si="108"/>
        <v>=8873*10000</v>
      </c>
      <c r="AH217" s="1">
        <f>8873*10000</f>
        <v>88730000</v>
      </c>
      <c r="AI217" s="8">
        <f t="shared" si="109"/>
        <v>-0.82622405013709366</v>
      </c>
      <c r="AJ217" s="6" t="s">
        <v>2993</v>
      </c>
      <c r="AK217" s="6" t="str">
        <f t="shared" si="110"/>
        <v>=5.106*100000000</v>
      </c>
      <c r="AL217" s="1">
        <f>5.106*100000000</f>
        <v>510600000</v>
      </c>
      <c r="AM217" s="8">
        <f t="shared" si="111"/>
        <v>0.56146788990825691</v>
      </c>
      <c r="AN217" s="6" t="s">
        <v>2994</v>
      </c>
      <c r="AO217" s="6" t="str">
        <f t="shared" si="112"/>
        <v>=3.270*100000000</v>
      </c>
      <c r="AP217" s="1">
        <f>3.27*100000000</f>
        <v>327000000</v>
      </c>
      <c r="AQ217" s="8">
        <f t="shared" si="113"/>
        <v>0.45333333333333331</v>
      </c>
      <c r="AR217" s="6" t="s">
        <v>2995</v>
      </c>
      <c r="AS217" s="6" t="str">
        <f t="shared" si="114"/>
        <v>=2.250*100000000</v>
      </c>
      <c r="AT217" s="1">
        <f>2.25*100000000</f>
        <v>225000000</v>
      </c>
      <c r="AU217" s="8">
        <f t="shared" si="115"/>
        <v>0.49204244031830241</v>
      </c>
      <c r="AV217" s="6" t="s">
        <v>2996</v>
      </c>
      <c r="AW217" s="6" t="str">
        <f t="shared" si="116"/>
        <v>=1.508*100000000</v>
      </c>
      <c r="AX217" s="1">
        <f>1.508*100000000</f>
        <v>150800000</v>
      </c>
      <c r="AY217" s="10">
        <f t="shared" si="117"/>
        <v>-0.77629431835039309</v>
      </c>
      <c r="AZ217" s="6" t="s">
        <v>2997</v>
      </c>
      <c r="BA217" s="6" t="str">
        <f t="shared" si="118"/>
        <v>=6.741*100000000</v>
      </c>
      <c r="BB217" s="1">
        <f>6.741*100000000</f>
        <v>674100000</v>
      </c>
      <c r="BC217" s="8">
        <f t="shared" si="119"/>
        <v>0.74501682630080246</v>
      </c>
      <c r="BD217" s="6" t="s">
        <v>2998</v>
      </c>
      <c r="BE217" s="6" t="str">
        <f t="shared" si="120"/>
        <v>=3.863*100000000</v>
      </c>
      <c r="BF217" s="1">
        <f>3.863*100000000</f>
        <v>386300000</v>
      </c>
      <c r="BG217" s="8">
        <f t="shared" si="121"/>
        <v>0.68837412587412605</v>
      </c>
      <c r="BH217" s="6" t="s">
        <v>2999</v>
      </c>
      <c r="BI217" s="6" t="str">
        <f t="shared" si="122"/>
        <v>=2.288*100000000</v>
      </c>
      <c r="BJ217" s="1">
        <f>2.288*100000000</f>
        <v>228799999.99999997</v>
      </c>
      <c r="BK217" s="6" t="s">
        <v>3000</v>
      </c>
      <c r="BL217" s="1" t="str">
        <f t="shared" si="94"/>
        <v>=1.396*100000000</v>
      </c>
      <c r="BM217" s="16">
        <f t="shared" si="123"/>
        <v>0.638968481375358</v>
      </c>
      <c r="BN217" s="1">
        <f>1.396*100000000</f>
        <v>139600000</v>
      </c>
    </row>
    <row r="218" spans="1:66">
      <c r="A218" s="17">
        <v>55</v>
      </c>
      <c r="B218">
        <v>600176</v>
      </c>
      <c r="C218" t="s">
        <v>31</v>
      </c>
      <c r="D218" s="6" t="s">
        <v>3001</v>
      </c>
      <c r="E218" s="7" t="str">
        <f t="shared" si="93"/>
        <v>=197.1*100000000</v>
      </c>
      <c r="F218" s="1">
        <f>197.1*100000000</f>
        <v>19710000000</v>
      </c>
      <c r="G218" s="8">
        <f t="shared" si="95"/>
        <v>0.42413294797687862</v>
      </c>
      <c r="H218" s="6" t="s">
        <v>574</v>
      </c>
      <c r="I218" s="6" t="str">
        <f t="shared" si="96"/>
        <v>=138.4*100000000</v>
      </c>
      <c r="J218" s="1">
        <f>138.4*100000000</f>
        <v>13840000000</v>
      </c>
      <c r="K218" s="10">
        <f t="shared" si="97"/>
        <v>0.61682242990654224</v>
      </c>
      <c r="L218" s="6" t="s">
        <v>3002</v>
      </c>
      <c r="M218" s="6" t="str">
        <f t="shared" si="98"/>
        <v>=85.60*100000000</v>
      </c>
      <c r="N218" s="1">
        <f>85.6*100000000</f>
        <v>8559999999.999999</v>
      </c>
      <c r="O218" s="8">
        <f t="shared" si="99"/>
        <v>1.1421421421421418</v>
      </c>
      <c r="P218" s="6" t="s">
        <v>3003</v>
      </c>
      <c r="Q218" s="6" t="str">
        <f t="shared" si="100"/>
        <v>=39.96*100000000</v>
      </c>
      <c r="R218" s="11">
        <f>39.96*100000000</f>
        <v>3996000000</v>
      </c>
      <c r="S218" s="8">
        <f t="shared" si="101"/>
        <v>-0.65758354755784065</v>
      </c>
      <c r="T218" s="6" t="s">
        <v>3004</v>
      </c>
      <c r="U218" s="6" t="str">
        <f t="shared" si="102"/>
        <v>=116.7*100000000</v>
      </c>
      <c r="V218" s="1">
        <f>116.7*100000000</f>
        <v>11670000000</v>
      </c>
      <c r="W218" s="8">
        <f t="shared" si="103"/>
        <v>0.48171660741493127</v>
      </c>
      <c r="X218" s="6" t="s">
        <v>3005</v>
      </c>
      <c r="Y218" s="6" t="str">
        <f t="shared" si="104"/>
        <v>=78.76*100000000</v>
      </c>
      <c r="Z218" s="1">
        <f>78.76*100000000</f>
        <v>7876000000.000001</v>
      </c>
      <c r="AA218" s="8">
        <f t="shared" si="105"/>
        <v>0.60997547015535591</v>
      </c>
      <c r="AB218" s="6" t="s">
        <v>3006</v>
      </c>
      <c r="AC218" s="6" t="str">
        <f t="shared" si="106"/>
        <v>=48.92*100000000</v>
      </c>
      <c r="AD218" s="1">
        <f>48.92*100000000</f>
        <v>4892000000</v>
      </c>
      <c r="AE218" s="8">
        <f t="shared" si="107"/>
        <v>1.0032760032760033</v>
      </c>
      <c r="AF218" s="6" t="s">
        <v>3007</v>
      </c>
      <c r="AG218" s="6" t="str">
        <f t="shared" si="108"/>
        <v>=24.42*100000000</v>
      </c>
      <c r="AH218" s="1">
        <f>24.42*100000000</f>
        <v>2442000000</v>
      </c>
      <c r="AI218" s="8">
        <f t="shared" si="109"/>
        <v>-0.76720686367969493</v>
      </c>
      <c r="AJ218" s="6" t="s">
        <v>2400</v>
      </c>
      <c r="AK218" s="6" t="str">
        <f t="shared" si="110"/>
        <v>=104.9*100000000</v>
      </c>
      <c r="AL218" s="1">
        <f>104.9*100000000</f>
        <v>10490000000</v>
      </c>
      <c r="AM218" s="8">
        <f t="shared" si="111"/>
        <v>0.35564745412251225</v>
      </c>
      <c r="AN218" s="6" t="s">
        <v>3008</v>
      </c>
      <c r="AO218" s="6" t="str">
        <f t="shared" si="112"/>
        <v>=77.38*100000000</v>
      </c>
      <c r="AP218" s="1">
        <f>77.38*100000000</f>
        <v>7738000000</v>
      </c>
      <c r="AQ218" s="8">
        <f t="shared" si="113"/>
        <v>0.5286448044251284</v>
      </c>
      <c r="AR218" s="6" t="s">
        <v>3009</v>
      </c>
      <c r="AS218" s="6" t="str">
        <f t="shared" si="114"/>
        <v>=50.62*100000000</v>
      </c>
      <c r="AT218" s="1">
        <f>50.62*100000000</f>
        <v>5062000000</v>
      </c>
      <c r="AU218" s="8">
        <f t="shared" si="115"/>
        <v>1.0280448717948718</v>
      </c>
      <c r="AV218" s="6" t="s">
        <v>3010</v>
      </c>
      <c r="AW218" s="6" t="str">
        <f t="shared" si="116"/>
        <v>=24.96*100000000</v>
      </c>
      <c r="AX218" s="1">
        <f>24.96*100000000</f>
        <v>2496000000</v>
      </c>
      <c r="AY218" s="10">
        <f t="shared" si="117"/>
        <v>-0.75114656031904292</v>
      </c>
      <c r="AZ218" s="6" t="s">
        <v>3011</v>
      </c>
      <c r="BA218" s="6" t="str">
        <f t="shared" si="118"/>
        <v>=100.3*100000000</v>
      </c>
      <c r="BB218" s="1">
        <f>100.3*100000000</f>
        <v>10030000000</v>
      </c>
      <c r="BC218" s="8">
        <f t="shared" si="119"/>
        <v>0.31472014680823157</v>
      </c>
      <c r="BD218" s="6" t="s">
        <v>3012</v>
      </c>
      <c r="BE218" s="6" t="str">
        <f t="shared" si="120"/>
        <v>=76.29*100000000</v>
      </c>
      <c r="BF218" s="1">
        <f>76.29*100000000</f>
        <v>7629000000.000001</v>
      </c>
      <c r="BG218" s="8">
        <f t="shared" si="121"/>
        <v>0.52032682343563197</v>
      </c>
      <c r="BH218" s="6" t="s">
        <v>3013</v>
      </c>
      <c r="BI218" s="6" t="str">
        <f t="shared" si="122"/>
        <v>=50.18*100000000</v>
      </c>
      <c r="BJ218" s="1">
        <f>50.18*100000000</f>
        <v>5018000000</v>
      </c>
      <c r="BK218" s="6" t="s">
        <v>2136</v>
      </c>
      <c r="BL218" s="1" t="str">
        <f t="shared" si="94"/>
        <v>=24.95*100000000</v>
      </c>
      <c r="BM218" s="16">
        <f t="shared" si="123"/>
        <v>1.0112224448897795</v>
      </c>
      <c r="BN218" s="1">
        <f>24.95*100000000</f>
        <v>2495000000</v>
      </c>
    </row>
    <row r="219" spans="1:66">
      <c r="A219" s="18"/>
      <c r="B219">
        <v>600176</v>
      </c>
      <c r="C219" t="s">
        <v>48</v>
      </c>
      <c r="D219" s="6" t="s">
        <v>3014</v>
      </c>
      <c r="E219" s="7" t="str">
        <f t="shared" si="93"/>
        <v>=73.11*100000000</v>
      </c>
      <c r="F219" s="1">
        <f>73.11*100000000</f>
        <v>7311000000</v>
      </c>
      <c r="G219" s="8">
        <f t="shared" si="95"/>
        <v>0.40111153698735147</v>
      </c>
      <c r="H219" s="6" t="s">
        <v>3015</v>
      </c>
      <c r="I219" s="6" t="str">
        <f t="shared" si="96"/>
        <v>=52.18*100000000</v>
      </c>
      <c r="J219" s="1">
        <f>52.18*100000000</f>
        <v>5218000000</v>
      </c>
      <c r="K219" s="10">
        <f t="shared" si="97"/>
        <v>0.66284257488846399</v>
      </c>
      <c r="L219" s="6" t="s">
        <v>3016</v>
      </c>
      <c r="M219" s="6" t="str">
        <f t="shared" si="98"/>
        <v>=31.38*100000000</v>
      </c>
      <c r="N219" s="1">
        <f>31.38*100000000</f>
        <v>3138000000</v>
      </c>
      <c r="O219" s="8">
        <f t="shared" si="99"/>
        <v>1.3772727272727272</v>
      </c>
      <c r="P219" s="6" t="s">
        <v>1819</v>
      </c>
      <c r="Q219" s="6" t="str">
        <f t="shared" si="100"/>
        <v>=13.20*100000000</v>
      </c>
      <c r="R219" s="11">
        <f>13.2*100000000</f>
        <v>1320000000</v>
      </c>
      <c r="S219" s="8">
        <f t="shared" si="101"/>
        <v>-0.54022988505747127</v>
      </c>
      <c r="T219" s="6" t="s">
        <v>3017</v>
      </c>
      <c r="U219" s="6" t="str">
        <f t="shared" si="102"/>
        <v>=28.71*100000000</v>
      </c>
      <c r="V219" s="1">
        <f>28.71*100000000</f>
        <v>2871000000</v>
      </c>
      <c r="W219" s="8">
        <f t="shared" si="103"/>
        <v>0.88138925294888593</v>
      </c>
      <c r="X219" s="6" t="s">
        <v>3018</v>
      </c>
      <c r="Y219" s="6" t="str">
        <f t="shared" si="104"/>
        <v>=15.26*100000000</v>
      </c>
      <c r="Z219" s="1">
        <f>15.26*100000000</f>
        <v>1526000000</v>
      </c>
      <c r="AA219" s="8">
        <f t="shared" si="105"/>
        <v>0.67287875465906599</v>
      </c>
      <c r="AB219" s="6" t="s">
        <v>3019</v>
      </c>
      <c r="AC219" s="6" t="str">
        <f t="shared" si="106"/>
        <v>=9.122*100000000</v>
      </c>
      <c r="AD219" s="1">
        <f>9.122*100000000</f>
        <v>912200000</v>
      </c>
      <c r="AE219" s="8">
        <f t="shared" si="107"/>
        <v>1.4687415426251691</v>
      </c>
      <c r="AF219" s="6" t="s">
        <v>3020</v>
      </c>
      <c r="AG219" s="6" t="str">
        <f t="shared" si="108"/>
        <v>=3.695*100000000</v>
      </c>
      <c r="AH219" s="1">
        <f>3.695*100000000</f>
        <v>369500000</v>
      </c>
      <c r="AI219" s="8">
        <f t="shared" si="109"/>
        <v>-0.85360538827258325</v>
      </c>
      <c r="AJ219" s="6" t="s">
        <v>3021</v>
      </c>
      <c r="AK219" s="6" t="str">
        <f t="shared" si="110"/>
        <v>=25.24*100000000</v>
      </c>
      <c r="AL219" s="1">
        <f>25.24*100000000</f>
        <v>2524000000</v>
      </c>
      <c r="AM219" s="8">
        <f t="shared" si="111"/>
        <v>0.35626007522837183</v>
      </c>
      <c r="AN219" s="6" t="s">
        <v>3022</v>
      </c>
      <c r="AO219" s="6" t="str">
        <f t="shared" si="112"/>
        <v>=18.61*100000000</v>
      </c>
      <c r="AP219" s="1">
        <f>18.61*100000000</f>
        <v>1861000000</v>
      </c>
      <c r="AQ219" s="8">
        <f t="shared" si="113"/>
        <v>0.46998420221169035</v>
      </c>
      <c r="AR219" s="6" t="s">
        <v>3023</v>
      </c>
      <c r="AS219" s="6" t="str">
        <f t="shared" si="114"/>
        <v>=12.66*100000000</v>
      </c>
      <c r="AT219" s="1">
        <f>12.66*100000000</f>
        <v>1266000000</v>
      </c>
      <c r="AU219" s="8">
        <f t="shared" si="115"/>
        <v>1.1816301912803722</v>
      </c>
      <c r="AV219" s="6" t="s">
        <v>907</v>
      </c>
      <c r="AW219" s="6" t="str">
        <f t="shared" si="116"/>
        <v>=5.803*100000000</v>
      </c>
      <c r="AX219" s="1">
        <f>5.803*100000000</f>
        <v>580300000</v>
      </c>
      <c r="AY219" s="10">
        <f t="shared" si="117"/>
        <v>-0.79545294324991189</v>
      </c>
      <c r="AZ219" s="6" t="s">
        <v>3024</v>
      </c>
      <c r="BA219" s="6" t="str">
        <f t="shared" si="118"/>
        <v>=28.37*100000000</v>
      </c>
      <c r="BB219" s="1">
        <f>28.37*100000000</f>
        <v>2837000000</v>
      </c>
      <c r="BC219" s="8">
        <f t="shared" si="119"/>
        <v>0.23240660295395307</v>
      </c>
      <c r="BD219" s="6" t="s">
        <v>3025</v>
      </c>
      <c r="BE219" s="6" t="str">
        <f t="shared" si="120"/>
        <v>=23.02*100000000</v>
      </c>
      <c r="BF219" s="1">
        <f>23.02*100000000</f>
        <v>2302000000</v>
      </c>
      <c r="BG219" s="8">
        <f t="shared" si="121"/>
        <v>0.5164690382081687</v>
      </c>
      <c r="BH219" s="6" t="s">
        <v>892</v>
      </c>
      <c r="BI219" s="6" t="str">
        <f t="shared" si="122"/>
        <v>=15.18*100000000</v>
      </c>
      <c r="BJ219" s="1">
        <f>15.18*100000000</f>
        <v>1518000000</v>
      </c>
      <c r="BK219" s="6" t="s">
        <v>3026</v>
      </c>
      <c r="BL219" s="1" t="str">
        <f t="shared" si="94"/>
        <v>=7.285*100000000</v>
      </c>
      <c r="BM219" s="16">
        <f t="shared" si="123"/>
        <v>1.0837336993822924</v>
      </c>
      <c r="BN219" s="1">
        <f>7.285*100000000</f>
        <v>728500000</v>
      </c>
    </row>
    <row r="220" spans="1:66">
      <c r="A220" s="18"/>
      <c r="B220">
        <v>600176</v>
      </c>
      <c r="C220" t="s">
        <v>58</v>
      </c>
      <c r="D220" s="6" t="s">
        <v>3027</v>
      </c>
      <c r="E220" s="7" t="str">
        <f t="shared" si="93"/>
        <v>=73.03*100000000</v>
      </c>
      <c r="F220" s="1">
        <f>73.03*100000000</f>
        <v>7303000000</v>
      </c>
      <c r="G220" s="8">
        <f t="shared" si="95"/>
        <v>0.40685802350221539</v>
      </c>
      <c r="H220" s="6" t="s">
        <v>3028</v>
      </c>
      <c r="I220" s="6" t="str">
        <f t="shared" si="96"/>
        <v>=51.91*100000000</v>
      </c>
      <c r="J220" s="1">
        <f>51.91*100000000</f>
        <v>5191000000</v>
      </c>
      <c r="K220" s="10">
        <f t="shared" si="97"/>
        <v>0.66752328943141659</v>
      </c>
      <c r="L220" s="6" t="s">
        <v>3029</v>
      </c>
      <c r="M220" s="6" t="str">
        <f t="shared" si="98"/>
        <v>=31.13*100000000</v>
      </c>
      <c r="N220" s="1">
        <f>31.13*100000000</f>
        <v>3113000000</v>
      </c>
      <c r="O220" s="8">
        <f t="shared" si="99"/>
        <v>1.4169254658385093</v>
      </c>
      <c r="P220" s="6" t="s">
        <v>3030</v>
      </c>
      <c r="Q220" s="6" t="str">
        <f t="shared" si="100"/>
        <v>=12.88*100000000</v>
      </c>
      <c r="R220" s="11">
        <f>12.88*100000000</f>
        <v>1288000000</v>
      </c>
      <c r="S220" s="8">
        <f t="shared" si="101"/>
        <v>-0.54870357393132441</v>
      </c>
      <c r="T220" s="6" t="s">
        <v>3031</v>
      </c>
      <c r="U220" s="6" t="str">
        <f t="shared" si="102"/>
        <v>=28.54*100000000</v>
      </c>
      <c r="V220" s="1">
        <f>28.54*100000000</f>
        <v>2854000000</v>
      </c>
      <c r="W220" s="8">
        <f t="shared" si="103"/>
        <v>0.88507265521796563</v>
      </c>
      <c r="X220" s="6" t="s">
        <v>2779</v>
      </c>
      <c r="Y220" s="6" t="str">
        <f t="shared" si="104"/>
        <v>=15.14*100000000</v>
      </c>
      <c r="Z220" s="1">
        <f>15.14*100000000</f>
        <v>1514000000</v>
      </c>
      <c r="AA220" s="8">
        <f t="shared" si="105"/>
        <v>0.67905068204502606</v>
      </c>
      <c r="AB220" s="6" t="s">
        <v>3032</v>
      </c>
      <c r="AC220" s="6" t="str">
        <f t="shared" si="106"/>
        <v>=9.017*100000000</v>
      </c>
      <c r="AD220" s="1">
        <f>9.017*100000000</f>
        <v>901700000</v>
      </c>
      <c r="AE220" s="8">
        <f t="shared" si="107"/>
        <v>1.4436314363143632</v>
      </c>
      <c r="AF220" s="6" t="s">
        <v>3033</v>
      </c>
      <c r="AG220" s="6" t="str">
        <f t="shared" si="108"/>
        <v>=3.690*100000000</v>
      </c>
      <c r="AH220" s="1">
        <f>3.69*100000000</f>
        <v>369000000</v>
      </c>
      <c r="AI220" s="8">
        <f t="shared" si="109"/>
        <v>-0.85455262120614894</v>
      </c>
      <c r="AJ220" s="6" t="s">
        <v>3034</v>
      </c>
      <c r="AK220" s="6" t="str">
        <f t="shared" si="110"/>
        <v>=25.37*100000000</v>
      </c>
      <c r="AL220" s="1">
        <f>25.37*100000000</f>
        <v>2537000000</v>
      </c>
      <c r="AM220" s="8">
        <f t="shared" si="111"/>
        <v>0.3559593800106895</v>
      </c>
      <c r="AN220" s="6" t="s">
        <v>3035</v>
      </c>
      <c r="AO220" s="6" t="str">
        <f t="shared" si="112"/>
        <v>=18.71*100000000</v>
      </c>
      <c r="AP220" s="1">
        <f>18.71*100000000</f>
        <v>1871000000</v>
      </c>
      <c r="AQ220" s="8">
        <f t="shared" si="113"/>
        <v>0.47438928289992122</v>
      </c>
      <c r="AR220" s="6" t="s">
        <v>3036</v>
      </c>
      <c r="AS220" s="6" t="str">
        <f t="shared" si="114"/>
        <v>=12.69*100000000</v>
      </c>
      <c r="AT220" s="1">
        <f>12.69*100000000</f>
        <v>1269000000</v>
      </c>
      <c r="AU220" s="8">
        <f t="shared" si="115"/>
        <v>1.1845412291272164</v>
      </c>
      <c r="AV220" s="6" t="s">
        <v>3037</v>
      </c>
      <c r="AW220" s="6" t="str">
        <f t="shared" si="116"/>
        <v>=5.809*100000000</v>
      </c>
      <c r="AX220" s="1">
        <f>5.809*100000000</f>
        <v>580900000</v>
      </c>
      <c r="AY220" s="10">
        <f t="shared" si="117"/>
        <v>-0.79429886685552409</v>
      </c>
      <c r="AZ220" s="6" t="s">
        <v>3038</v>
      </c>
      <c r="BA220" s="6" t="str">
        <f t="shared" si="118"/>
        <v>=28.24*100000000</v>
      </c>
      <c r="BB220" s="1">
        <f>28.24*100000000</f>
        <v>2824000000</v>
      </c>
      <c r="BC220" s="8">
        <f t="shared" si="119"/>
        <v>0.22251082251082252</v>
      </c>
      <c r="BD220" s="6" t="s">
        <v>3039</v>
      </c>
      <c r="BE220" s="6" t="str">
        <f t="shared" si="120"/>
        <v>=23.10*100000000</v>
      </c>
      <c r="BF220" s="1">
        <f>23.1*100000000</f>
        <v>2310000000</v>
      </c>
      <c r="BG220" s="8">
        <f t="shared" si="121"/>
        <v>0.51376146788990829</v>
      </c>
      <c r="BH220" s="6" t="s">
        <v>3018</v>
      </c>
      <c r="BI220" s="6" t="str">
        <f t="shared" si="122"/>
        <v>=15.26*100000000</v>
      </c>
      <c r="BJ220" s="1">
        <f>15.26*100000000</f>
        <v>1526000000</v>
      </c>
      <c r="BK220" s="6" t="s">
        <v>3040</v>
      </c>
      <c r="BL220" s="1" t="str">
        <f t="shared" si="94"/>
        <v>=7.446*100000000</v>
      </c>
      <c r="BM220" s="16">
        <f t="shared" si="123"/>
        <v>1.0494225087295193</v>
      </c>
      <c r="BN220" s="1">
        <f>7.446*100000000</f>
        <v>744600000</v>
      </c>
    </row>
    <row r="221" spans="1:66">
      <c r="A221" s="19"/>
      <c r="B221">
        <v>600176</v>
      </c>
      <c r="C221" t="s">
        <v>68</v>
      </c>
      <c r="D221" s="6" t="s">
        <v>3041</v>
      </c>
      <c r="E221" s="7" t="str">
        <f t="shared" si="93"/>
        <v>=61.38*100000000</v>
      </c>
      <c r="F221" s="1">
        <f>61.38*100000000</f>
        <v>6138000000</v>
      </c>
      <c r="G221" s="8">
        <f t="shared" si="95"/>
        <v>0.40812112869924294</v>
      </c>
      <c r="H221" s="6" t="s">
        <v>3042</v>
      </c>
      <c r="I221" s="6" t="str">
        <f t="shared" si="96"/>
        <v>=43.59*100000000</v>
      </c>
      <c r="J221" s="1">
        <f>43.59*100000000</f>
        <v>4359000000</v>
      </c>
      <c r="K221" s="10">
        <f t="shared" si="97"/>
        <v>0.66564768819258691</v>
      </c>
      <c r="L221" s="6" t="s">
        <v>3043</v>
      </c>
      <c r="M221" s="6" t="str">
        <f t="shared" si="98"/>
        <v>=26.17*100000000</v>
      </c>
      <c r="N221" s="1">
        <f>26.17*100000000</f>
        <v>2617000000</v>
      </c>
      <c r="O221" s="8">
        <f t="shared" si="99"/>
        <v>1.4480823199251638</v>
      </c>
      <c r="P221" s="6" t="s">
        <v>3044</v>
      </c>
      <c r="Q221" s="6" t="str">
        <f t="shared" si="100"/>
        <v>=10.69*100000000</v>
      </c>
      <c r="R221" s="11">
        <f>10.69*100000000</f>
        <v>1069000000</v>
      </c>
      <c r="S221" s="8">
        <f t="shared" si="101"/>
        <v>-0.55643153526970957</v>
      </c>
      <c r="T221" s="6" t="s">
        <v>3045</v>
      </c>
      <c r="U221" s="6" t="str">
        <f t="shared" si="102"/>
        <v>=24.10*100000000</v>
      </c>
      <c r="V221" s="1">
        <f>24.1*100000000</f>
        <v>2410000000</v>
      </c>
      <c r="W221" s="8">
        <f t="shared" si="103"/>
        <v>0.91118160190325137</v>
      </c>
      <c r="X221" s="6" t="s">
        <v>3046</v>
      </c>
      <c r="Y221" s="6" t="str">
        <f t="shared" si="104"/>
        <v>=12.61*100000000</v>
      </c>
      <c r="Z221" s="1">
        <f>12.61*100000000</f>
        <v>1261000000</v>
      </c>
      <c r="AA221" s="8">
        <f t="shared" si="105"/>
        <v>0.70635994587280104</v>
      </c>
      <c r="AB221" s="6" t="s">
        <v>3047</v>
      </c>
      <c r="AC221" s="6" t="str">
        <f t="shared" si="106"/>
        <v>=7.390*100000000</v>
      </c>
      <c r="AD221" s="1">
        <f>7.39*100000000</f>
        <v>739000000</v>
      </c>
      <c r="AE221" s="8">
        <f t="shared" si="107"/>
        <v>1.4543341082696779</v>
      </c>
      <c r="AF221" s="6" t="s">
        <v>1475</v>
      </c>
      <c r="AG221" s="6" t="str">
        <f t="shared" si="108"/>
        <v>=3.011*100000000</v>
      </c>
      <c r="AH221" s="1">
        <f>3.011*100000000</f>
        <v>301100000</v>
      </c>
      <c r="AI221" s="8">
        <f t="shared" si="109"/>
        <v>-0.8575011831519167</v>
      </c>
      <c r="AJ221" s="6" t="s">
        <v>3048</v>
      </c>
      <c r="AK221" s="6" t="str">
        <f t="shared" si="110"/>
        <v>=21.13*100000000</v>
      </c>
      <c r="AL221" s="1">
        <f>21.13*100000000</f>
        <v>2113000000</v>
      </c>
      <c r="AM221" s="8">
        <f t="shared" si="111"/>
        <v>0.36234687298517088</v>
      </c>
      <c r="AN221" s="6" t="s">
        <v>3049</v>
      </c>
      <c r="AO221" s="6" t="str">
        <f t="shared" si="112"/>
        <v>=15.51*100000000</v>
      </c>
      <c r="AP221" s="1">
        <f>15.51*100000000</f>
        <v>1551000000</v>
      </c>
      <c r="AQ221" s="8">
        <f t="shared" si="113"/>
        <v>0.47014218009478659</v>
      </c>
      <c r="AR221" s="6" t="s">
        <v>3050</v>
      </c>
      <c r="AS221" s="6" t="str">
        <f t="shared" si="114"/>
        <v>=10.55*100000000</v>
      </c>
      <c r="AT221" s="1">
        <f>10.55*100000000</f>
        <v>1055000000.0000001</v>
      </c>
      <c r="AU221" s="8">
        <f t="shared" si="115"/>
        <v>1.134763253743424</v>
      </c>
      <c r="AV221" s="6" t="s">
        <v>3051</v>
      </c>
      <c r="AW221" s="6" t="str">
        <f t="shared" si="116"/>
        <v>=4.942*100000000</v>
      </c>
      <c r="AX221" s="1">
        <f>4.942*100000000</f>
        <v>494200000</v>
      </c>
      <c r="AY221" s="10">
        <f t="shared" si="117"/>
        <v>-0.79278825995807123</v>
      </c>
      <c r="AZ221" s="6" t="s">
        <v>3052</v>
      </c>
      <c r="BA221" s="6" t="str">
        <f t="shared" si="118"/>
        <v>=23.85*100000000</v>
      </c>
      <c r="BB221" s="1">
        <f>23.85*100000000</f>
        <v>2385000000</v>
      </c>
      <c r="BC221" s="8">
        <f t="shared" si="119"/>
        <v>0.2434827945776851</v>
      </c>
      <c r="BD221" s="6" t="s">
        <v>3053</v>
      </c>
      <c r="BE221" s="6" t="str">
        <f t="shared" si="120"/>
        <v>=19.18*100000000</v>
      </c>
      <c r="BF221" s="1">
        <f>19.18*100000000</f>
        <v>1918000000</v>
      </c>
      <c r="BG221" s="8">
        <f t="shared" si="121"/>
        <v>0.50786163522012584</v>
      </c>
      <c r="BH221" s="6" t="s">
        <v>3054</v>
      </c>
      <c r="BI221" s="6" t="str">
        <f t="shared" si="122"/>
        <v>=12.72*100000000</v>
      </c>
      <c r="BJ221" s="1">
        <f>12.72*100000000</f>
        <v>1272000000</v>
      </c>
      <c r="BK221" s="6" t="s">
        <v>3055</v>
      </c>
      <c r="BL221" s="1" t="str">
        <f t="shared" si="94"/>
        <v>=6.211*100000000</v>
      </c>
      <c r="BM221" s="16">
        <f t="shared" si="123"/>
        <v>1.0479793914023507</v>
      </c>
      <c r="BN221" s="1">
        <f>6.211*100000000</f>
        <v>621100000</v>
      </c>
    </row>
    <row r="222" spans="1:66">
      <c r="A222" s="17">
        <v>56</v>
      </c>
      <c r="B222">
        <v>600178</v>
      </c>
      <c r="C222" t="s">
        <v>31</v>
      </c>
      <c r="D222" s="6" t="s">
        <v>3056</v>
      </c>
      <c r="E222" s="7" t="str">
        <f t="shared" si="93"/>
        <v>=65.86*100000000</v>
      </c>
      <c r="F222" s="1">
        <f>65.86*100000000</f>
        <v>6586000000</v>
      </c>
      <c r="G222" s="8">
        <f t="shared" si="95"/>
        <v>0.33644480519480519</v>
      </c>
      <c r="H222" s="6" t="s">
        <v>3057</v>
      </c>
      <c r="I222" s="6" t="str">
        <f t="shared" si="96"/>
        <v>=49.28*100000000</v>
      </c>
      <c r="J222" s="1">
        <f>49.28*100000000</f>
        <v>4928000000</v>
      </c>
      <c r="K222" s="10">
        <f t="shared" si="97"/>
        <v>0.44093567251461968</v>
      </c>
      <c r="L222" s="6" t="s">
        <v>3058</v>
      </c>
      <c r="M222" s="6" t="str">
        <f t="shared" si="98"/>
        <v>=34.20*100000000</v>
      </c>
      <c r="N222" s="1">
        <f>34.2*100000000</f>
        <v>3420000000.0000005</v>
      </c>
      <c r="O222" s="8">
        <f t="shared" si="99"/>
        <v>1.0200826934435916</v>
      </c>
      <c r="P222" s="6" t="s">
        <v>3059</v>
      </c>
      <c r="Q222" s="6" t="str">
        <f t="shared" si="100"/>
        <v>=16.93*100000000</v>
      </c>
      <c r="R222" s="11">
        <f>16.93*100000000</f>
        <v>1693000000</v>
      </c>
      <c r="S222" s="8">
        <f t="shared" si="101"/>
        <v>-0.68543292456335936</v>
      </c>
      <c r="T222" s="6" t="s">
        <v>3060</v>
      </c>
      <c r="U222" s="6" t="str">
        <f t="shared" si="102"/>
        <v>=53.82*100000000</v>
      </c>
      <c r="V222" s="1">
        <f>53.82*100000000</f>
        <v>5382000000</v>
      </c>
      <c r="W222" s="8">
        <f t="shared" si="103"/>
        <v>0.47938427707531589</v>
      </c>
      <c r="X222" s="6" t="s">
        <v>3061</v>
      </c>
      <c r="Y222" s="6" t="str">
        <f t="shared" si="104"/>
        <v>=36.38*100000000</v>
      </c>
      <c r="Z222" s="1">
        <f>36.38*100000000</f>
        <v>3638000000.0000005</v>
      </c>
      <c r="AA222" s="8">
        <f t="shared" si="105"/>
        <v>0.66194609410689831</v>
      </c>
      <c r="AB222" s="6" t="s">
        <v>3062</v>
      </c>
      <c r="AC222" s="6" t="str">
        <f t="shared" si="106"/>
        <v>=21.89*100000000</v>
      </c>
      <c r="AD222" s="1">
        <f>21.89*100000000</f>
        <v>2189000000</v>
      </c>
      <c r="AE222" s="8">
        <f t="shared" si="107"/>
        <v>1.5620318352059925</v>
      </c>
      <c r="AF222" s="6" t="s">
        <v>3063</v>
      </c>
      <c r="AG222" s="6" t="str">
        <f t="shared" si="108"/>
        <v>=8.544*100000000</v>
      </c>
      <c r="AH222" s="1">
        <f>8.544*100000000</f>
        <v>854400000</v>
      </c>
      <c r="AI222" s="8">
        <f t="shared" si="109"/>
        <v>-0.55936049510056729</v>
      </c>
      <c r="AJ222" s="6" t="s">
        <v>3064</v>
      </c>
      <c r="AK222" s="6" t="str">
        <f t="shared" si="110"/>
        <v>=19.39*100000000</v>
      </c>
      <c r="AL222" s="1">
        <f>19.39*100000000</f>
        <v>1939000000</v>
      </c>
      <c r="AM222" s="8">
        <f t="shared" si="111"/>
        <v>0.52917981072555209</v>
      </c>
      <c r="AN222" s="6" t="s">
        <v>3065</v>
      </c>
      <c r="AO222" s="6" t="str">
        <f t="shared" si="112"/>
        <v>=12.68*100000000</v>
      </c>
      <c r="AP222" s="1">
        <f>12.68*100000000</f>
        <v>1268000000</v>
      </c>
      <c r="AQ222" s="8">
        <f t="shared" si="113"/>
        <v>0.57986543732868179</v>
      </c>
      <c r="AR222" s="6" t="s">
        <v>3066</v>
      </c>
      <c r="AS222" s="6" t="str">
        <f t="shared" si="114"/>
        <v>=8.026*100000000</v>
      </c>
      <c r="AT222" s="1">
        <f>8.026*100000000</f>
        <v>802600000</v>
      </c>
      <c r="AU222" s="8">
        <f t="shared" si="115"/>
        <v>0.96957055214723931</v>
      </c>
      <c r="AV222" s="6" t="s">
        <v>3067</v>
      </c>
      <c r="AW222" s="6" t="str">
        <f t="shared" si="116"/>
        <v>=4.075*100000000</v>
      </c>
      <c r="AX222" s="1">
        <f>4.075*100000000</f>
        <v>407500000</v>
      </c>
      <c r="AY222" s="10">
        <f t="shared" si="117"/>
        <v>-0.68484145398298535</v>
      </c>
      <c r="AZ222" s="6" t="s">
        <v>3068</v>
      </c>
      <c r="BA222" s="6" t="str">
        <f t="shared" si="118"/>
        <v>=12.93*100000000</v>
      </c>
      <c r="BB222" s="1">
        <f>12.93*100000000</f>
        <v>1293000000</v>
      </c>
      <c r="BC222" s="8">
        <f t="shared" si="119"/>
        <v>0.35819327731092437</v>
      </c>
      <c r="BD222" s="6" t="s">
        <v>3069</v>
      </c>
      <c r="BE222" s="6" t="str">
        <f t="shared" si="120"/>
        <v>=9.520*100000000</v>
      </c>
      <c r="BF222" s="1">
        <f>9.52*100000000</f>
        <v>952000000</v>
      </c>
      <c r="BG222" s="8">
        <f t="shared" si="121"/>
        <v>0.37017846862406451</v>
      </c>
      <c r="BH222" s="6" t="s">
        <v>3070</v>
      </c>
      <c r="BI222" s="6" t="str">
        <f t="shared" si="122"/>
        <v>=6.948*100000000</v>
      </c>
      <c r="BJ222" s="1">
        <f>6.948*100000000</f>
        <v>694800000</v>
      </c>
      <c r="BK222" s="6" t="s">
        <v>3071</v>
      </c>
      <c r="BL222" s="1" t="str">
        <f t="shared" si="94"/>
        <v>=3.131*100000000</v>
      </c>
      <c r="BM222" s="16">
        <f t="shared" si="123"/>
        <v>1.2190993292877674</v>
      </c>
      <c r="BN222" s="1">
        <f>3.131*100000000</f>
        <v>313100000</v>
      </c>
    </row>
    <row r="223" spans="1:66">
      <c r="A223" s="18"/>
      <c r="B223">
        <v>600178</v>
      </c>
      <c r="C223" t="s">
        <v>48</v>
      </c>
      <c r="D223" s="7" t="s">
        <v>3072</v>
      </c>
      <c r="E223" s="7" t="str">
        <f t="shared" si="93"/>
        <v>=9197*10000</v>
      </c>
      <c r="F223" s="1">
        <f>9197*10000</f>
        <v>91970000</v>
      </c>
      <c r="G223" s="8">
        <f t="shared" si="95"/>
        <v>-0.43017348203221811</v>
      </c>
      <c r="H223" s="6" t="s">
        <v>2929</v>
      </c>
      <c r="I223" s="6" t="str">
        <f t="shared" si="96"/>
        <v>=1.614*100000000</v>
      </c>
      <c r="J223" s="1">
        <f>1.614*100000000</f>
        <v>161400000</v>
      </c>
      <c r="K223" s="10">
        <f t="shared" si="97"/>
        <v>0.15121255349500715</v>
      </c>
      <c r="L223" s="6" t="s">
        <v>2543</v>
      </c>
      <c r="M223" s="6" t="str">
        <f t="shared" si="98"/>
        <v>=1.402*100000000</v>
      </c>
      <c r="N223" s="1">
        <f>1.402*100000000</f>
        <v>140200000</v>
      </c>
      <c r="O223" s="8">
        <f t="shared" si="99"/>
        <v>0.96029082774049213</v>
      </c>
      <c r="P223" s="7" t="s">
        <v>3073</v>
      </c>
      <c r="Q223" s="6" t="str">
        <f t="shared" si="100"/>
        <v>=7152*10000</v>
      </c>
      <c r="R223" s="11">
        <f>7152*10000</f>
        <v>71520000</v>
      </c>
      <c r="S223" s="8">
        <f t="shared" si="101"/>
        <v>0.24555903866248693</v>
      </c>
      <c r="T223" s="7" t="s">
        <v>3074</v>
      </c>
      <c r="U223" s="6" t="str">
        <f t="shared" si="102"/>
        <v>=5742*10000</v>
      </c>
      <c r="V223" s="1">
        <f>5742*10000</f>
        <v>57420000</v>
      </c>
      <c r="W223" s="8">
        <f t="shared" si="103"/>
        <v>-0.35279531109107304</v>
      </c>
      <c r="X223" s="7" t="s">
        <v>3075</v>
      </c>
      <c r="Y223" s="6" t="str">
        <f t="shared" si="104"/>
        <v>=8872*10000</v>
      </c>
      <c r="Z223" s="1">
        <f>8872*10000</f>
        <v>88720000</v>
      </c>
      <c r="AA223" s="8">
        <f t="shared" si="105"/>
        <v>1.8067067383739324</v>
      </c>
      <c r="AB223" s="7" t="s">
        <v>3076</v>
      </c>
      <c r="AC223" s="6" t="str">
        <f t="shared" si="106"/>
        <v>=3161*10000</v>
      </c>
      <c r="AD223" s="1">
        <f>3161*10000</f>
        <v>31610000</v>
      </c>
      <c r="AE223" s="8">
        <f t="shared" si="107"/>
        <v>-2.1729128014842303</v>
      </c>
      <c r="AF223" s="7">
        <f>-2695*10000</f>
        <v>-26950000</v>
      </c>
      <c r="AG223" s="6" t="str">
        <f t="shared" si="108"/>
        <v>=-26950000</v>
      </c>
      <c r="AH223" s="1">
        <f>-26950000</f>
        <v>-26950000</v>
      </c>
      <c r="AI223" s="8">
        <f t="shared" si="109"/>
        <v>-3.7014835605453089</v>
      </c>
      <c r="AJ223" s="7" t="s">
        <v>3077</v>
      </c>
      <c r="AK223" s="6" t="str">
        <f t="shared" si="110"/>
        <v>=997.6*10000</v>
      </c>
      <c r="AL223" s="1">
        <f>997.6*10000</f>
        <v>9976000</v>
      </c>
      <c r="AM223" s="8">
        <f t="shared" si="111"/>
        <v>0.33547523427041498</v>
      </c>
      <c r="AN223" s="7" t="s">
        <v>3078</v>
      </c>
      <c r="AO223" s="6" t="str">
        <f t="shared" si="112"/>
        <v>=747.0*10000</v>
      </c>
      <c r="AP223" s="1">
        <f>747*10000</f>
        <v>7470000</v>
      </c>
      <c r="AQ223" s="8">
        <f t="shared" si="113"/>
        <v>-2.6958002270147561</v>
      </c>
      <c r="AR223" s="7">
        <f>-440.5*10000</f>
        <v>-4405000</v>
      </c>
      <c r="AS223" s="6" t="str">
        <f t="shared" si="114"/>
        <v>=-4405000</v>
      </c>
      <c r="AT223" s="1">
        <f>-4405000</f>
        <v>-4405000</v>
      </c>
      <c r="AU223" s="8">
        <f t="shared" si="115"/>
        <v>9.8229867863375717E-2</v>
      </c>
      <c r="AV223" s="7">
        <f>-401.1*10000</f>
        <v>-4011000</v>
      </c>
      <c r="AW223" s="6" t="str">
        <f t="shared" si="116"/>
        <v>=-4011000</v>
      </c>
      <c r="AX223" s="1">
        <f>-4011000</f>
        <v>-4011000</v>
      </c>
      <c r="AY223" s="10">
        <f t="shared" si="117"/>
        <v>-1.8054216867469879</v>
      </c>
      <c r="AZ223" s="7" t="s">
        <v>3079</v>
      </c>
      <c r="BA223" s="6" t="str">
        <f t="shared" si="118"/>
        <v>=498.0*10000</v>
      </c>
      <c r="BB223" s="1">
        <f>498*10000</f>
        <v>4980000</v>
      </c>
      <c r="BC223" s="8">
        <f t="shared" si="119"/>
        <v>-0.92410850350502893</v>
      </c>
      <c r="BD223" s="7" t="s">
        <v>3080</v>
      </c>
      <c r="BE223" s="6" t="str">
        <f t="shared" si="120"/>
        <v>=6562*10000</v>
      </c>
      <c r="BF223" s="1">
        <f>6562*10000</f>
        <v>65620000</v>
      </c>
      <c r="BG223" s="8">
        <f t="shared" si="121"/>
        <v>4.1105919003115261</v>
      </c>
      <c r="BH223" s="7" t="s">
        <v>3081</v>
      </c>
      <c r="BI223" s="6" t="str">
        <f t="shared" si="122"/>
        <v>=1284*10000</v>
      </c>
      <c r="BJ223" s="1">
        <f>1284*10000</f>
        <v>12840000</v>
      </c>
      <c r="BK223" s="7" t="s">
        <v>3082</v>
      </c>
      <c r="BL223" s="1" t="str">
        <f t="shared" si="94"/>
        <v>=365.5*10000</v>
      </c>
      <c r="BM223" s="16">
        <f t="shared" si="123"/>
        <v>2.5129958960328316</v>
      </c>
      <c r="BN223" s="1">
        <f>365.5*10000</f>
        <v>3655000</v>
      </c>
    </row>
    <row r="224" spans="1:66">
      <c r="A224" s="18"/>
      <c r="B224">
        <v>600178</v>
      </c>
      <c r="C224" t="s">
        <v>58</v>
      </c>
      <c r="D224" s="7" t="s">
        <v>3083</v>
      </c>
      <c r="E224" s="7" t="str">
        <f t="shared" si="93"/>
        <v>=9304*10000</v>
      </c>
      <c r="F224" s="1">
        <f>9304*10000</f>
        <v>93040000</v>
      </c>
      <c r="G224" s="8">
        <f t="shared" si="95"/>
        <v>-0.43164324984728164</v>
      </c>
      <c r="H224" s="6" t="s">
        <v>3084</v>
      </c>
      <c r="I224" s="6" t="str">
        <f t="shared" si="96"/>
        <v>=1.637*100000000</v>
      </c>
      <c r="J224" s="1">
        <f>1.637*100000000</f>
        <v>163700000</v>
      </c>
      <c r="K224" s="10">
        <f t="shared" si="97"/>
        <v>0.14957865168539325</v>
      </c>
      <c r="L224" s="6" t="s">
        <v>3085</v>
      </c>
      <c r="M224" s="6" t="str">
        <f t="shared" si="98"/>
        <v>=1.424*100000000</v>
      </c>
      <c r="N224" s="1">
        <f>1.424*100000000</f>
        <v>142400000</v>
      </c>
      <c r="O224" s="8">
        <f t="shared" si="99"/>
        <v>0.93478260869565222</v>
      </c>
      <c r="P224" s="7" t="s">
        <v>3086</v>
      </c>
      <c r="Q224" s="6" t="str">
        <f t="shared" si="100"/>
        <v>=7360*10000</v>
      </c>
      <c r="R224" s="11">
        <f>7360*10000</f>
        <v>73600000</v>
      </c>
      <c r="S224" s="8">
        <f t="shared" si="101"/>
        <v>0.19074583400744216</v>
      </c>
      <c r="T224" s="7" t="s">
        <v>3087</v>
      </c>
      <c r="U224" s="6" t="str">
        <f t="shared" si="102"/>
        <v>=6181*10000</v>
      </c>
      <c r="V224" s="1">
        <f>6181*10000</f>
        <v>61810000</v>
      </c>
      <c r="W224" s="8">
        <f t="shared" si="103"/>
        <v>-0.32255589653660677</v>
      </c>
      <c r="X224" s="7" t="s">
        <v>3088</v>
      </c>
      <c r="Y224" s="6" t="str">
        <f t="shared" si="104"/>
        <v>=9124*10000</v>
      </c>
      <c r="Z224" s="1">
        <f>9124*10000</f>
        <v>91240000</v>
      </c>
      <c r="AA224" s="8">
        <f t="shared" si="105"/>
        <v>1.6835294117647059</v>
      </c>
      <c r="AB224" s="7" t="s">
        <v>3089</v>
      </c>
      <c r="AC224" s="6" t="str">
        <f t="shared" si="106"/>
        <v>=3400*10000</v>
      </c>
      <c r="AD224" s="1">
        <f>3400*10000</f>
        <v>34000000</v>
      </c>
      <c r="AE224" s="8">
        <f t="shared" si="107"/>
        <v>-2.3026819923371646</v>
      </c>
      <c r="AF224" s="7">
        <f>-2610*10000</f>
        <v>-26100000</v>
      </c>
      <c r="AG224" s="6" t="str">
        <f t="shared" si="108"/>
        <v>=-26100000</v>
      </c>
      <c r="AH224" s="1">
        <f>-26100000</f>
        <v>-26100000</v>
      </c>
      <c r="AI224" s="8">
        <f t="shared" si="109"/>
        <v>-3.4669187145557654</v>
      </c>
      <c r="AJ224" s="7" t="s">
        <v>3090</v>
      </c>
      <c r="AK224" s="6" t="str">
        <f t="shared" si="110"/>
        <v>=1058*10000</v>
      </c>
      <c r="AL224" s="1">
        <f>1058*10000</f>
        <v>10580000</v>
      </c>
      <c r="AM224" s="8">
        <f t="shared" si="111"/>
        <v>0.30762575701396616</v>
      </c>
      <c r="AN224" s="7" t="s">
        <v>3091</v>
      </c>
      <c r="AO224" s="6" t="str">
        <f t="shared" si="112"/>
        <v>=809.1*10000</v>
      </c>
      <c r="AP224" s="1">
        <f>809.1*10000</f>
        <v>8091000</v>
      </c>
      <c r="AQ224" s="8">
        <f t="shared" si="113"/>
        <v>-2.9273463554073369</v>
      </c>
      <c r="AR224" s="7">
        <f>-419.8*10000</f>
        <v>-4198000</v>
      </c>
      <c r="AS224" s="6" t="str">
        <f t="shared" si="114"/>
        <v>=-4198000</v>
      </c>
      <c r="AT224" s="1">
        <f>-4198000</f>
        <v>-4198000</v>
      </c>
      <c r="AU224" s="8">
        <f t="shared" si="115"/>
        <v>7.5307377049180321E-2</v>
      </c>
      <c r="AV224" s="7">
        <f>-390.4*10000</f>
        <v>-3904000</v>
      </c>
      <c r="AW224" s="6" t="str">
        <f t="shared" si="116"/>
        <v>=-3904000</v>
      </c>
      <c r="AX224" s="1">
        <f>-3904000</f>
        <v>-3904000</v>
      </c>
      <c r="AY224" s="10">
        <f t="shared" si="117"/>
        <v>-1.7008976660682227</v>
      </c>
      <c r="AZ224" s="7" t="s">
        <v>3092</v>
      </c>
      <c r="BA224" s="6" t="str">
        <f t="shared" si="118"/>
        <v>=557.0*10000</v>
      </c>
      <c r="BB224" s="1">
        <f>557*10000</f>
        <v>5570000</v>
      </c>
      <c r="BC224" s="8">
        <f t="shared" si="119"/>
        <v>-0.91570823244552058</v>
      </c>
      <c r="BD224" s="7" t="s">
        <v>1499</v>
      </c>
      <c r="BE224" s="6" t="str">
        <f t="shared" si="120"/>
        <v>=6608*10000</v>
      </c>
      <c r="BF224" s="1">
        <f>6608*10000</f>
        <v>66080000</v>
      </c>
      <c r="BG224" s="8">
        <f t="shared" si="121"/>
        <v>4.0558530986993118</v>
      </c>
      <c r="BH224" s="7" t="s">
        <v>3093</v>
      </c>
      <c r="BI224" s="6" t="str">
        <f t="shared" si="122"/>
        <v>=1307*10000</v>
      </c>
      <c r="BJ224" s="1">
        <f>1307*10000</f>
        <v>13070000</v>
      </c>
      <c r="BK224" s="7" t="s">
        <v>3094</v>
      </c>
      <c r="BL224" s="1" t="str">
        <f t="shared" si="94"/>
        <v>=375.8*10000</v>
      </c>
      <c r="BM224" s="16">
        <f t="shared" si="123"/>
        <v>2.4779137839276211</v>
      </c>
      <c r="BN224" s="1">
        <f>375.8*10000</f>
        <v>3758000</v>
      </c>
    </row>
    <row r="225" spans="1:66">
      <c r="A225" s="19"/>
      <c r="B225">
        <v>600178</v>
      </c>
      <c r="C225" t="s">
        <v>68</v>
      </c>
      <c r="D225" s="7" t="s">
        <v>3095</v>
      </c>
      <c r="E225" s="7" t="str">
        <f t="shared" si="93"/>
        <v>=9821*10000</v>
      </c>
      <c r="F225" s="1">
        <f>9821*10000</f>
        <v>98210000</v>
      </c>
      <c r="G225" s="8">
        <f t="shared" si="95"/>
        <v>-0.38657089319175514</v>
      </c>
      <c r="H225" s="6" t="s">
        <v>2910</v>
      </c>
      <c r="I225" s="6" t="str">
        <f t="shared" si="96"/>
        <v>=1.601*100000000</v>
      </c>
      <c r="J225" s="1">
        <f>1.601*100000000</f>
        <v>160100000</v>
      </c>
      <c r="K225" s="10">
        <f t="shared" si="97"/>
        <v>0.15014367816091953</v>
      </c>
      <c r="L225" s="6" t="s">
        <v>3096</v>
      </c>
      <c r="M225" s="6" t="str">
        <f t="shared" si="98"/>
        <v>=1.392*100000000</v>
      </c>
      <c r="N225" s="1">
        <f>1.392*100000000</f>
        <v>139200000</v>
      </c>
      <c r="O225" s="8">
        <f t="shared" si="99"/>
        <v>0.9379089516914938</v>
      </c>
      <c r="P225" s="7" t="s">
        <v>3097</v>
      </c>
      <c r="Q225" s="6" t="str">
        <f t="shared" si="100"/>
        <v>=7183*10000</v>
      </c>
      <c r="R225" s="11">
        <f>7183*10000</f>
        <v>71830000</v>
      </c>
      <c r="S225" s="8">
        <f t="shared" si="101"/>
        <v>0.29237135660309466</v>
      </c>
      <c r="T225" s="7" t="s">
        <v>3098</v>
      </c>
      <c r="U225" s="6" t="str">
        <f t="shared" si="102"/>
        <v>=5558*10000</v>
      </c>
      <c r="V225" s="1">
        <f>5558*10000</f>
        <v>55580000</v>
      </c>
      <c r="W225" s="8">
        <f t="shared" si="103"/>
        <v>-0.36718661049755208</v>
      </c>
      <c r="X225" s="7" t="s">
        <v>3099</v>
      </c>
      <c r="Y225" s="6" t="str">
        <f t="shared" si="104"/>
        <v>=8783*10000</v>
      </c>
      <c r="Z225" s="1">
        <f>8783*10000</f>
        <v>87830000</v>
      </c>
      <c r="AA225" s="8">
        <f t="shared" si="105"/>
        <v>1.6327937649880095</v>
      </c>
      <c r="AB225" s="7" t="s">
        <v>3100</v>
      </c>
      <c r="AC225" s="6" t="str">
        <f t="shared" si="106"/>
        <v>=3336*10000</v>
      </c>
      <c r="AD225" s="1">
        <f>3336*10000</f>
        <v>33360000</v>
      </c>
      <c r="AE225" s="8">
        <f t="shared" si="107"/>
        <v>-2.2319054652880355</v>
      </c>
      <c r="AF225" s="7">
        <f>-2708*10000</f>
        <v>-27080000</v>
      </c>
      <c r="AG225" s="6" t="str">
        <f t="shared" si="108"/>
        <v>=-27080000</v>
      </c>
      <c r="AH225" s="1">
        <f>-27080000</f>
        <v>-27080000</v>
      </c>
      <c r="AI225" s="8">
        <f t="shared" si="109"/>
        <v>-3.5595463137996219</v>
      </c>
      <c r="AJ225" s="7" t="s">
        <v>3090</v>
      </c>
      <c r="AK225" s="6" t="str">
        <f t="shared" si="110"/>
        <v>=1058*10000</v>
      </c>
      <c r="AL225" s="1">
        <f>1058*10000</f>
        <v>10580000</v>
      </c>
      <c r="AM225" s="8">
        <f t="shared" si="111"/>
        <v>0.30762575701396616</v>
      </c>
      <c r="AN225" s="7" t="s">
        <v>3091</v>
      </c>
      <c r="AO225" s="6" t="str">
        <f t="shared" si="112"/>
        <v>=809.1*10000</v>
      </c>
      <c r="AP225" s="1">
        <f>809.1*10000</f>
        <v>8091000</v>
      </c>
      <c r="AQ225" s="8">
        <f t="shared" si="113"/>
        <v>-2.9273463554073369</v>
      </c>
      <c r="AR225" s="7">
        <f>-419.8*10000</f>
        <v>-4198000</v>
      </c>
      <c r="AS225" s="6" t="str">
        <f t="shared" si="114"/>
        <v>=-4198000</v>
      </c>
      <c r="AT225" s="1">
        <f>-4198000</f>
        <v>-4198000</v>
      </c>
      <c r="AU225" s="8">
        <f t="shared" si="115"/>
        <v>7.5307377049180321E-2</v>
      </c>
      <c r="AV225" s="7">
        <f>-390.4*10000</f>
        <v>-3904000</v>
      </c>
      <c r="AW225" s="6" t="str">
        <f t="shared" si="116"/>
        <v>=-3904000</v>
      </c>
      <c r="AX225" s="1">
        <f>-3904000</f>
        <v>-3904000</v>
      </c>
      <c r="AY225" s="10">
        <f t="shared" si="117"/>
        <v>-1.7008976660682227</v>
      </c>
      <c r="AZ225" s="7" t="s">
        <v>3092</v>
      </c>
      <c r="BA225" s="6" t="str">
        <f t="shared" si="118"/>
        <v>=557.0*10000</v>
      </c>
      <c r="BB225" s="1">
        <f>557*10000</f>
        <v>5570000</v>
      </c>
      <c r="BC225" s="8">
        <f t="shared" si="119"/>
        <v>-0.91570823244552058</v>
      </c>
      <c r="BD225" s="7" t="s">
        <v>1499</v>
      </c>
      <c r="BE225" s="6" t="str">
        <f t="shared" si="120"/>
        <v>=6608*10000</v>
      </c>
      <c r="BF225" s="1">
        <f>6608*10000</f>
        <v>66080000</v>
      </c>
      <c r="BG225" s="8">
        <f t="shared" si="121"/>
        <v>4.0558530986993118</v>
      </c>
      <c r="BH225" s="7" t="s">
        <v>3093</v>
      </c>
      <c r="BI225" s="6" t="str">
        <f t="shared" si="122"/>
        <v>=1307*10000</v>
      </c>
      <c r="BJ225" s="1">
        <f>1307*10000</f>
        <v>13070000</v>
      </c>
      <c r="BK225" s="7" t="s">
        <v>3094</v>
      </c>
      <c r="BL225" s="1" t="str">
        <f t="shared" si="94"/>
        <v>=375.8*10000</v>
      </c>
      <c r="BM225" s="16">
        <f t="shared" si="123"/>
        <v>2.4779137839276211</v>
      </c>
      <c r="BN225" s="1">
        <f>375.8*10000</f>
        <v>3758000</v>
      </c>
    </row>
    <row r="226" spans="1:66">
      <c r="A226" s="17">
        <v>57</v>
      </c>
      <c r="B226">
        <v>600183</v>
      </c>
      <c r="C226" t="s">
        <v>31</v>
      </c>
      <c r="D226" s="6" t="s">
        <v>3101</v>
      </c>
      <c r="E226" s="7" t="str">
        <f t="shared" si="93"/>
        <v>=202.7*100000000</v>
      </c>
      <c r="F226" s="1">
        <f>202.7*100000000</f>
        <v>20270000000</v>
      </c>
      <c r="G226" s="8">
        <f t="shared" si="95"/>
        <v>0.31794538361508434</v>
      </c>
      <c r="H226" s="6" t="s">
        <v>3102</v>
      </c>
      <c r="I226" s="6" t="str">
        <f t="shared" si="96"/>
        <v>=153.8*100000000</v>
      </c>
      <c r="J226" s="1">
        <f>153.8*100000000</f>
        <v>15380000000.000002</v>
      </c>
      <c r="K226" s="10">
        <f t="shared" si="97"/>
        <v>0.5642799023596422</v>
      </c>
      <c r="L226" s="6" t="s">
        <v>3103</v>
      </c>
      <c r="M226" s="6" t="str">
        <f t="shared" si="98"/>
        <v>=98.32*100000000</v>
      </c>
      <c r="N226" s="1">
        <f>98.32*100000000</f>
        <v>9832000000</v>
      </c>
      <c r="O226" s="8">
        <f t="shared" si="99"/>
        <v>1.1824639289678136</v>
      </c>
      <c r="P226" s="6" t="s">
        <v>3104</v>
      </c>
      <c r="Q226" s="6" t="str">
        <f t="shared" si="100"/>
        <v>=45.05*100000000</v>
      </c>
      <c r="R226" s="11">
        <f>45.05*100000000</f>
        <v>4505000000</v>
      </c>
      <c r="S226" s="8">
        <f t="shared" si="101"/>
        <v>-0.6933287950987066</v>
      </c>
      <c r="T226" s="6" t="s">
        <v>3105</v>
      </c>
      <c r="U226" s="6" t="str">
        <f t="shared" si="102"/>
        <v>=146.9*100000000</v>
      </c>
      <c r="V226" s="1">
        <f>146.9*100000000</f>
        <v>14690000000</v>
      </c>
      <c r="W226" s="8">
        <f t="shared" si="103"/>
        <v>0.37418147801683815</v>
      </c>
      <c r="X226" s="6" t="s">
        <v>2518</v>
      </c>
      <c r="Y226" s="6" t="str">
        <f t="shared" si="104"/>
        <v>=106.9*100000000</v>
      </c>
      <c r="Z226" s="1">
        <f>106.9*100000000</f>
        <v>10690000000</v>
      </c>
      <c r="AA226" s="8">
        <f t="shared" si="105"/>
        <v>0.55400494257886301</v>
      </c>
      <c r="AB226" s="6" t="s">
        <v>3106</v>
      </c>
      <c r="AC226" s="6" t="str">
        <f t="shared" si="106"/>
        <v>=68.79*100000000</v>
      </c>
      <c r="AD226" s="1">
        <f>68.79*100000000</f>
        <v>6879000000.000001</v>
      </c>
      <c r="AE226" s="8">
        <f t="shared" si="107"/>
        <v>1.2392578125000002</v>
      </c>
      <c r="AF226" s="6" t="s">
        <v>3107</v>
      </c>
      <c r="AG226" s="6" t="str">
        <f t="shared" si="108"/>
        <v>=30.72*100000000</v>
      </c>
      <c r="AH226" s="1">
        <f>30.72*100000000</f>
        <v>3072000000</v>
      </c>
      <c r="AI226" s="8">
        <f t="shared" si="109"/>
        <v>-0.76797583081570997</v>
      </c>
      <c r="AJ226" s="6" t="s">
        <v>3108</v>
      </c>
      <c r="AK226" s="6" t="str">
        <f t="shared" si="110"/>
        <v>=132.4*100000000</v>
      </c>
      <c r="AL226" s="1">
        <f>132.4*100000000</f>
        <v>13240000000</v>
      </c>
      <c r="AM226" s="8">
        <f t="shared" si="111"/>
        <v>0.39809926082365366</v>
      </c>
      <c r="AN226" s="6" t="s">
        <v>3109</v>
      </c>
      <c r="AO226" s="6" t="str">
        <f t="shared" si="112"/>
        <v>=94.70*100000000</v>
      </c>
      <c r="AP226" s="1">
        <f>94.7*100000000</f>
        <v>9470000000</v>
      </c>
      <c r="AQ226" s="8">
        <f t="shared" si="113"/>
        <v>0.58546793905909933</v>
      </c>
      <c r="AR226" s="6" t="s">
        <v>3110</v>
      </c>
      <c r="AS226" s="6" t="str">
        <f t="shared" si="114"/>
        <v>=59.73*100000000</v>
      </c>
      <c r="AT226" s="1">
        <f>59.73*100000000</f>
        <v>5973000000</v>
      </c>
      <c r="AU226" s="8">
        <f t="shared" si="115"/>
        <v>1.1839122486288849</v>
      </c>
      <c r="AV226" s="6" t="s">
        <v>1343</v>
      </c>
      <c r="AW226" s="6" t="str">
        <f t="shared" si="116"/>
        <v>=27.35*100000000</v>
      </c>
      <c r="AX226" s="1">
        <f>27.35*100000000</f>
        <v>2735000000</v>
      </c>
      <c r="AY226" s="10">
        <f t="shared" si="117"/>
        <v>-0.77170283806343909</v>
      </c>
      <c r="AZ226" s="6" t="s">
        <v>3111</v>
      </c>
      <c r="BA226" s="6" t="str">
        <f t="shared" si="118"/>
        <v>=119.8*100000000</v>
      </c>
      <c r="BB226" s="1">
        <f>119.8*100000000</f>
        <v>11980000000</v>
      </c>
      <c r="BC226" s="8">
        <f t="shared" si="119"/>
        <v>0.33496768442166258</v>
      </c>
      <c r="BD226" s="6" t="s">
        <v>3112</v>
      </c>
      <c r="BE226" s="6" t="str">
        <f t="shared" si="120"/>
        <v>=89.74*100000000</v>
      </c>
      <c r="BF226" s="1">
        <f>89.74*100000000</f>
        <v>8974000000</v>
      </c>
      <c r="BG226" s="8">
        <f t="shared" si="121"/>
        <v>0.54537627001894262</v>
      </c>
      <c r="BH226" s="6" t="s">
        <v>3113</v>
      </c>
      <c r="BI226" s="6" t="str">
        <f t="shared" si="122"/>
        <v>=58.07*100000000</v>
      </c>
      <c r="BJ226" s="1">
        <f>58.07*100000000</f>
        <v>5807000000</v>
      </c>
      <c r="BK226" s="6" t="s">
        <v>3114</v>
      </c>
      <c r="BL226" s="1" t="str">
        <f t="shared" si="94"/>
        <v>=28.28*100000000</v>
      </c>
      <c r="BM226" s="16">
        <f t="shared" si="123"/>
        <v>1.0533946251768034</v>
      </c>
      <c r="BN226" s="1">
        <f>28.28*100000000</f>
        <v>2828000000</v>
      </c>
    </row>
    <row r="227" spans="1:66">
      <c r="A227" s="18"/>
      <c r="B227">
        <v>600183</v>
      </c>
      <c r="C227" t="s">
        <v>48</v>
      </c>
      <c r="D227" s="6" t="s">
        <v>215</v>
      </c>
      <c r="E227" s="7" t="str">
        <f t="shared" si="93"/>
        <v>=33.16*100000000</v>
      </c>
      <c r="F227" s="1">
        <f>33.16*100000000</f>
        <v>3315999999.9999995</v>
      </c>
      <c r="G227" s="8">
        <f t="shared" si="95"/>
        <v>0.18640429338103739</v>
      </c>
      <c r="H227" s="6" t="s">
        <v>3115</v>
      </c>
      <c r="I227" s="6" t="str">
        <f t="shared" si="96"/>
        <v>=27.95*100000000</v>
      </c>
      <c r="J227" s="1">
        <f>27.95*100000000</f>
        <v>2795000000</v>
      </c>
      <c r="K227" s="10">
        <f t="shared" si="97"/>
        <v>0.65973871733966749</v>
      </c>
      <c r="L227" s="6" t="s">
        <v>3116</v>
      </c>
      <c r="M227" s="6" t="str">
        <f t="shared" si="98"/>
        <v>=16.84*100000000</v>
      </c>
      <c r="N227" s="1">
        <f>16.84*100000000</f>
        <v>1684000000</v>
      </c>
      <c r="O227" s="8">
        <f t="shared" si="99"/>
        <v>1.4937065008144528</v>
      </c>
      <c r="P227" s="6" t="s">
        <v>3117</v>
      </c>
      <c r="Q227" s="6" t="str">
        <f t="shared" si="100"/>
        <v>=6.753*100000000</v>
      </c>
      <c r="R227" s="11">
        <f>6.753*100000000</f>
        <v>675300000</v>
      </c>
      <c r="S227" s="8">
        <f t="shared" si="101"/>
        <v>-0.67688995215310999</v>
      </c>
      <c r="T227" s="6" t="s">
        <v>896</v>
      </c>
      <c r="U227" s="6" t="str">
        <f t="shared" si="102"/>
        <v>=20.90*100000000</v>
      </c>
      <c r="V227" s="1">
        <f>20.9*100000000</f>
        <v>2089999999.9999998</v>
      </c>
      <c r="W227" s="8">
        <f t="shared" si="103"/>
        <v>0.29975124378109458</v>
      </c>
      <c r="X227" s="6" t="s">
        <v>2079</v>
      </c>
      <c r="Y227" s="6" t="str">
        <f t="shared" si="104"/>
        <v>=16.08*100000000</v>
      </c>
      <c r="Z227" s="1">
        <f>16.08*100000000</f>
        <v>1607999999.9999998</v>
      </c>
      <c r="AA227" s="8">
        <f t="shared" si="105"/>
        <v>0.55663117134559514</v>
      </c>
      <c r="AB227" s="6" t="s">
        <v>1108</v>
      </c>
      <c r="AC227" s="6" t="str">
        <f t="shared" si="106"/>
        <v>=10.33*100000000</v>
      </c>
      <c r="AD227" s="1">
        <f>10.33*100000000</f>
        <v>1033000000</v>
      </c>
      <c r="AE227" s="8">
        <f t="shared" si="107"/>
        <v>1.3939745075318655</v>
      </c>
      <c r="AF227" s="6" t="s">
        <v>3118</v>
      </c>
      <c r="AG227" s="6" t="str">
        <f t="shared" si="108"/>
        <v>=4.315*100000000</v>
      </c>
      <c r="AH227" s="1">
        <f>4.315*100000000</f>
        <v>431500000.00000006</v>
      </c>
      <c r="AI227" s="8">
        <f t="shared" si="109"/>
        <v>-0.76094182825484769</v>
      </c>
      <c r="AJ227" s="6" t="s">
        <v>3119</v>
      </c>
      <c r="AK227" s="6" t="str">
        <f t="shared" si="110"/>
        <v>=18.05*100000000</v>
      </c>
      <c r="AL227" s="1">
        <f>18.05*100000000</f>
        <v>1805000000</v>
      </c>
      <c r="AM227" s="8">
        <f t="shared" si="111"/>
        <v>0.37996941896024466</v>
      </c>
      <c r="AN227" s="6" t="s">
        <v>3120</v>
      </c>
      <c r="AO227" s="6" t="str">
        <f t="shared" si="112"/>
        <v>=13.08*100000000</v>
      </c>
      <c r="AP227" s="1">
        <f>13.08*100000000</f>
        <v>1308000000</v>
      </c>
      <c r="AQ227" s="8">
        <f t="shared" si="113"/>
        <v>0.68318105777892169</v>
      </c>
      <c r="AR227" s="6" t="s">
        <v>3121</v>
      </c>
      <c r="AS227" s="6" t="str">
        <f t="shared" si="114"/>
        <v>=7.771*100000000</v>
      </c>
      <c r="AT227" s="1">
        <f>7.771*100000000</f>
        <v>777100000</v>
      </c>
      <c r="AU227" s="8">
        <f t="shared" si="115"/>
        <v>1.4437106918238993</v>
      </c>
      <c r="AV227" s="6" t="s">
        <v>3122</v>
      </c>
      <c r="AW227" s="6" t="str">
        <f t="shared" si="116"/>
        <v>=3.180*100000000</v>
      </c>
      <c r="AX227" s="1">
        <f>3.18*100000000</f>
        <v>318000000</v>
      </c>
      <c r="AY227" s="10">
        <f t="shared" si="117"/>
        <v>-0.74125305126118801</v>
      </c>
      <c r="AZ227" s="6" t="s">
        <v>1382</v>
      </c>
      <c r="BA227" s="6" t="str">
        <f t="shared" si="118"/>
        <v>=12.29*100000000</v>
      </c>
      <c r="BB227" s="1">
        <f>12.29*100000000</f>
        <v>1229000000</v>
      </c>
      <c r="BC227" s="8">
        <f t="shared" si="119"/>
        <v>0.23666733749245306</v>
      </c>
      <c r="BD227" s="6" t="s">
        <v>906</v>
      </c>
      <c r="BE227" s="6" t="str">
        <f t="shared" si="120"/>
        <v>=9.938*100000000</v>
      </c>
      <c r="BF227" s="1">
        <f>9.938*100000000</f>
        <v>993800000.00000012</v>
      </c>
      <c r="BG227" s="8">
        <f t="shared" si="121"/>
        <v>0.52939365958756557</v>
      </c>
      <c r="BH227" s="6" t="s">
        <v>3123</v>
      </c>
      <c r="BI227" s="6" t="str">
        <f t="shared" si="122"/>
        <v>=6.498*100000000</v>
      </c>
      <c r="BJ227" s="1">
        <f>6.498*100000000</f>
        <v>649800000</v>
      </c>
      <c r="BK227" s="6" t="s">
        <v>3124</v>
      </c>
      <c r="BL227" s="1" t="str">
        <f t="shared" si="94"/>
        <v>=3.087*100000000</v>
      </c>
      <c r="BM227" s="16">
        <f t="shared" si="123"/>
        <v>1.1049562682215743</v>
      </c>
      <c r="BN227" s="1">
        <f>3.087*100000000</f>
        <v>308700000</v>
      </c>
    </row>
    <row r="228" spans="1:66">
      <c r="A228" s="18"/>
      <c r="B228">
        <v>600183</v>
      </c>
      <c r="C228" t="s">
        <v>58</v>
      </c>
      <c r="D228" s="6" t="s">
        <v>3125</v>
      </c>
      <c r="E228" s="7" t="str">
        <f t="shared" si="93"/>
        <v>=33.10*100000000</v>
      </c>
      <c r="F228" s="1">
        <f>33.1*100000000</f>
        <v>3310000000</v>
      </c>
      <c r="G228" s="8">
        <f t="shared" si="95"/>
        <v>0.18553008595988538</v>
      </c>
      <c r="H228" s="6" t="s">
        <v>3126</v>
      </c>
      <c r="I228" s="6" t="str">
        <f t="shared" si="96"/>
        <v>=27.92*100000000</v>
      </c>
      <c r="J228" s="1">
        <f>27.92*100000000</f>
        <v>2792000000</v>
      </c>
      <c r="K228" s="10">
        <f t="shared" si="97"/>
        <v>0.666865671641791</v>
      </c>
      <c r="L228" s="6" t="s">
        <v>3127</v>
      </c>
      <c r="M228" s="6" t="str">
        <f t="shared" si="98"/>
        <v>=16.75*100000000</v>
      </c>
      <c r="N228" s="1">
        <f>16.75*100000000</f>
        <v>1675000000</v>
      </c>
      <c r="O228" s="8">
        <f t="shared" si="99"/>
        <v>1.4936727705821051</v>
      </c>
      <c r="P228" s="6" t="s">
        <v>3128</v>
      </c>
      <c r="Q228" s="6" t="str">
        <f t="shared" si="100"/>
        <v>=6.717*100000000</v>
      </c>
      <c r="R228" s="11">
        <f>6.717*100000000</f>
        <v>671700000</v>
      </c>
      <c r="S228" s="8">
        <f t="shared" si="101"/>
        <v>-0.67753240518482949</v>
      </c>
      <c r="T228" s="6" t="s">
        <v>3129</v>
      </c>
      <c r="U228" s="6" t="str">
        <f t="shared" si="102"/>
        <v>=20.83*100000000</v>
      </c>
      <c r="V228" s="1">
        <f>20.83*100000000</f>
        <v>2082999999.9999998</v>
      </c>
      <c r="W228" s="8">
        <f t="shared" si="103"/>
        <v>0.30106183635227945</v>
      </c>
      <c r="X228" s="6" t="s">
        <v>3130</v>
      </c>
      <c r="Y228" s="6" t="str">
        <f t="shared" si="104"/>
        <v>=16.01*100000000</v>
      </c>
      <c r="Z228" s="1">
        <f>16.01*100000000</f>
        <v>1601000000.0000002</v>
      </c>
      <c r="AA228" s="8">
        <f t="shared" si="105"/>
        <v>0.55436893203883497</v>
      </c>
      <c r="AB228" s="6" t="s">
        <v>3131</v>
      </c>
      <c r="AC228" s="6" t="str">
        <f t="shared" si="106"/>
        <v>=10.30*100000000</v>
      </c>
      <c r="AD228" s="1">
        <f>10.3*100000000</f>
        <v>1030000000.0000001</v>
      </c>
      <c r="AE228" s="8">
        <f t="shared" si="107"/>
        <v>1.4048564090590705</v>
      </c>
      <c r="AF228" s="6" t="s">
        <v>3132</v>
      </c>
      <c r="AG228" s="6" t="str">
        <f t="shared" si="108"/>
        <v>=4.283*100000000</v>
      </c>
      <c r="AH228" s="1">
        <f>4.283*100000000</f>
        <v>428300000.00000006</v>
      </c>
      <c r="AI228" s="8">
        <f t="shared" si="109"/>
        <v>-0.76271468144044319</v>
      </c>
      <c r="AJ228" s="6" t="s">
        <v>3119</v>
      </c>
      <c r="AK228" s="6" t="str">
        <f t="shared" si="110"/>
        <v>=18.05*100000000</v>
      </c>
      <c r="AL228" s="1">
        <f>18.05*100000000</f>
        <v>1805000000</v>
      </c>
      <c r="AM228" s="8">
        <f t="shared" si="111"/>
        <v>0.38208269525267996</v>
      </c>
      <c r="AN228" s="6" t="s">
        <v>1359</v>
      </c>
      <c r="AO228" s="6" t="str">
        <f t="shared" si="112"/>
        <v>=13.06*100000000</v>
      </c>
      <c r="AP228" s="1">
        <f>13.06*100000000</f>
        <v>1306000000</v>
      </c>
      <c r="AQ228" s="8">
        <f t="shared" si="113"/>
        <v>0.6840747904577692</v>
      </c>
      <c r="AR228" s="6" t="s">
        <v>195</v>
      </c>
      <c r="AS228" s="6" t="str">
        <f t="shared" si="114"/>
        <v>=7.755*100000000</v>
      </c>
      <c r="AT228" s="1">
        <f>7.755*100000000</f>
        <v>775500000</v>
      </c>
      <c r="AU228" s="8">
        <f t="shared" si="115"/>
        <v>1.445600756859035</v>
      </c>
      <c r="AV228" s="6" t="s">
        <v>158</v>
      </c>
      <c r="AW228" s="6" t="str">
        <f t="shared" si="116"/>
        <v>=3.171*100000000</v>
      </c>
      <c r="AX228" s="1">
        <f>3.171*100000000</f>
        <v>317100000</v>
      </c>
      <c r="AY228" s="10">
        <f t="shared" si="117"/>
        <v>-0.74071954210956659</v>
      </c>
      <c r="AZ228" s="6" t="s">
        <v>2742</v>
      </c>
      <c r="BA228" s="6" t="str">
        <f t="shared" si="118"/>
        <v>=12.23*100000000</v>
      </c>
      <c r="BB228" s="1">
        <f>12.23*100000000</f>
        <v>1223000000</v>
      </c>
      <c r="BC228" s="8">
        <f t="shared" si="119"/>
        <v>0.22803494326739632</v>
      </c>
      <c r="BD228" s="6" t="s">
        <v>3133</v>
      </c>
      <c r="BE228" s="6" t="str">
        <f t="shared" si="120"/>
        <v>=9.959*100000000</v>
      </c>
      <c r="BF228" s="1">
        <f>9.959*100000000</f>
        <v>995900000</v>
      </c>
      <c r="BG228" s="8">
        <f t="shared" si="121"/>
        <v>0.52745398773006136</v>
      </c>
      <c r="BH228" s="6" t="s">
        <v>3134</v>
      </c>
      <c r="BI228" s="6" t="str">
        <f t="shared" si="122"/>
        <v>=6.520*100000000</v>
      </c>
      <c r="BJ228" s="1">
        <f>6.52*100000000</f>
        <v>652000000</v>
      </c>
      <c r="BK228" s="6" t="s">
        <v>3135</v>
      </c>
      <c r="BL228" s="1" t="str">
        <f t="shared" si="94"/>
        <v>=3.085*100000000</v>
      </c>
      <c r="BM228" s="16">
        <f t="shared" si="123"/>
        <v>1.1134521880064829</v>
      </c>
      <c r="BN228" s="1">
        <f>3.085*100000000</f>
        <v>308500000</v>
      </c>
    </row>
    <row r="229" spans="1:66">
      <c r="A229" s="19"/>
      <c r="B229">
        <v>600183</v>
      </c>
      <c r="C229" t="s">
        <v>68</v>
      </c>
      <c r="D229" s="6" t="s">
        <v>3136</v>
      </c>
      <c r="E229" s="7" t="str">
        <f t="shared" si="93"/>
        <v>=29.25*100000000</v>
      </c>
      <c r="F229" s="1">
        <f>29.25*100000000</f>
        <v>2925000000</v>
      </c>
      <c r="G229" s="8">
        <f t="shared" si="95"/>
        <v>0.20917734601074825</v>
      </c>
      <c r="H229" s="6" t="s">
        <v>3137</v>
      </c>
      <c r="I229" s="6" t="str">
        <f t="shared" si="96"/>
        <v>=24.19*100000000</v>
      </c>
      <c r="J229" s="1">
        <f>24.19*100000000</f>
        <v>2419000000</v>
      </c>
      <c r="K229" s="10">
        <f t="shared" si="97"/>
        <v>0.65345181134654817</v>
      </c>
      <c r="L229" s="6" t="s">
        <v>3138</v>
      </c>
      <c r="M229" s="6" t="str">
        <f t="shared" si="98"/>
        <v>=14.63*100000000</v>
      </c>
      <c r="N229" s="1">
        <f>14.63*100000000</f>
        <v>1463000000</v>
      </c>
      <c r="O229" s="8">
        <f t="shared" si="99"/>
        <v>1.559482155353394</v>
      </c>
      <c r="P229" s="6" t="s">
        <v>3139</v>
      </c>
      <c r="Q229" s="6" t="str">
        <f t="shared" si="100"/>
        <v>=5.716*100000000</v>
      </c>
      <c r="R229" s="11">
        <f>5.716*100000000</f>
        <v>571600000</v>
      </c>
      <c r="S229" s="8">
        <f t="shared" si="101"/>
        <v>-0.68244444444444441</v>
      </c>
      <c r="T229" s="6" t="s">
        <v>3140</v>
      </c>
      <c r="U229" s="6" t="str">
        <f t="shared" si="102"/>
        <v>=18.00*100000000</v>
      </c>
      <c r="V229" s="1">
        <f>18*100000000</f>
        <v>1800000000</v>
      </c>
      <c r="W229" s="8">
        <f t="shared" si="103"/>
        <v>0.2802275960170697</v>
      </c>
      <c r="X229" s="6" t="s">
        <v>3141</v>
      </c>
      <c r="Y229" s="6" t="str">
        <f t="shared" si="104"/>
        <v>=14.06*100000000</v>
      </c>
      <c r="Z229" s="1">
        <f>14.06*100000000</f>
        <v>1406000000</v>
      </c>
      <c r="AA229" s="8">
        <f t="shared" si="105"/>
        <v>0.55996893376234325</v>
      </c>
      <c r="AB229" s="6" t="s">
        <v>3142</v>
      </c>
      <c r="AC229" s="6" t="str">
        <f t="shared" si="106"/>
        <v>=9.013*100000000</v>
      </c>
      <c r="AD229" s="1">
        <f>9.013*100000000</f>
        <v>901300000</v>
      </c>
      <c r="AE229" s="8">
        <f t="shared" si="107"/>
        <v>1.4592087312414734</v>
      </c>
      <c r="AF229" s="6" t="s">
        <v>3143</v>
      </c>
      <c r="AG229" s="6" t="str">
        <f t="shared" si="108"/>
        <v>=3.665*100000000</v>
      </c>
      <c r="AH229" s="1">
        <f>3.665*100000000</f>
        <v>366500000</v>
      </c>
      <c r="AI229" s="8">
        <f t="shared" si="109"/>
        <v>-0.76551503518873965</v>
      </c>
      <c r="AJ229" s="6" t="s">
        <v>3144</v>
      </c>
      <c r="AK229" s="6" t="str">
        <f t="shared" si="110"/>
        <v>=15.63*100000000</v>
      </c>
      <c r="AL229" s="1">
        <f>15.63*100000000</f>
        <v>1563000000</v>
      </c>
      <c r="AM229" s="8">
        <f t="shared" si="111"/>
        <v>0.39304812834224601</v>
      </c>
      <c r="AN229" s="6" t="s">
        <v>2433</v>
      </c>
      <c r="AO229" s="6" t="str">
        <f t="shared" si="112"/>
        <v>=11.22*100000000</v>
      </c>
      <c r="AP229" s="1">
        <f>11.22*100000000</f>
        <v>1122000000</v>
      </c>
      <c r="AQ229" s="8">
        <f t="shared" si="113"/>
        <v>0.65780141843971629</v>
      </c>
      <c r="AR229" s="6" t="s">
        <v>914</v>
      </c>
      <c r="AS229" s="6" t="str">
        <f t="shared" si="114"/>
        <v>=6.768*100000000</v>
      </c>
      <c r="AT229" s="1">
        <f>6.768*100000000</f>
        <v>676800000</v>
      </c>
      <c r="AU229" s="8">
        <f t="shared" si="115"/>
        <v>1.5405405405405406</v>
      </c>
      <c r="AV229" s="6" t="s">
        <v>3145</v>
      </c>
      <c r="AW229" s="6" t="str">
        <f t="shared" si="116"/>
        <v>=2.664*100000000</v>
      </c>
      <c r="AX229" s="1">
        <f>2.664*100000000</f>
        <v>266400000</v>
      </c>
      <c r="AY229" s="10">
        <f t="shared" si="117"/>
        <v>-0.74985915492957744</v>
      </c>
      <c r="AZ229" s="6" t="s">
        <v>3146</v>
      </c>
      <c r="BA229" s="6" t="str">
        <f t="shared" si="118"/>
        <v>=10.65*100000000</v>
      </c>
      <c r="BB229" s="1">
        <f>10.65*100000000</f>
        <v>1065000000</v>
      </c>
      <c r="BC229" s="8">
        <f t="shared" si="119"/>
        <v>0.24154814642107736</v>
      </c>
      <c r="BD229" s="6" t="s">
        <v>3147</v>
      </c>
      <c r="BE229" s="6" t="str">
        <f t="shared" si="120"/>
        <v>=8.578*100000000</v>
      </c>
      <c r="BF229" s="1">
        <f>8.578*100000000</f>
        <v>857799999.99999988</v>
      </c>
      <c r="BG229" s="8">
        <f t="shared" si="121"/>
        <v>0.52011341485025675</v>
      </c>
      <c r="BH229" s="6" t="s">
        <v>3148</v>
      </c>
      <c r="BI229" s="6" t="str">
        <f t="shared" si="122"/>
        <v>=5.643*100000000</v>
      </c>
      <c r="BJ229" s="1">
        <f>5.643*100000000</f>
        <v>564300000</v>
      </c>
      <c r="BK229" s="6" t="s">
        <v>3149</v>
      </c>
      <c r="BL229" s="1" t="str">
        <f t="shared" si="94"/>
        <v>=2.607*100000000</v>
      </c>
      <c r="BM229" s="16">
        <f t="shared" si="123"/>
        <v>1.1645569620253162</v>
      </c>
      <c r="BN229" s="1">
        <f>2.607*100000000</f>
        <v>260700000.00000003</v>
      </c>
    </row>
    <row r="230" spans="1:66">
      <c r="A230" s="17">
        <v>58</v>
      </c>
      <c r="B230">
        <v>600184</v>
      </c>
      <c r="C230" t="s">
        <v>31</v>
      </c>
      <c r="D230" s="6" t="s">
        <v>3150</v>
      </c>
      <c r="E230" s="7" t="str">
        <f t="shared" si="93"/>
        <v>=33.12*100000000</v>
      </c>
      <c r="F230" s="1">
        <f>33.12*100000000</f>
        <v>3311999999.9999995</v>
      </c>
      <c r="G230" s="8">
        <f t="shared" si="95"/>
        <v>1.0648379052369075</v>
      </c>
      <c r="H230" s="6" t="s">
        <v>3151</v>
      </c>
      <c r="I230" s="6" t="str">
        <f t="shared" si="96"/>
        <v>=16.04*100000000</v>
      </c>
      <c r="J230" s="1">
        <f>16.04*100000000</f>
        <v>1604000000</v>
      </c>
      <c r="K230" s="10">
        <f t="shared" si="97"/>
        <v>0.38634399308556611</v>
      </c>
      <c r="L230" s="6" t="s">
        <v>3152</v>
      </c>
      <c r="M230" s="6" t="str">
        <f t="shared" si="98"/>
        <v>=11.57*100000000</v>
      </c>
      <c r="N230" s="1">
        <f>11.57*100000000</f>
        <v>1157000000</v>
      </c>
      <c r="O230" s="8">
        <f t="shared" si="99"/>
        <v>1.6782407407407407</v>
      </c>
      <c r="P230" s="6" t="s">
        <v>3153</v>
      </c>
      <c r="Q230" s="6" t="str">
        <f t="shared" si="100"/>
        <v>=4.320*100000000</v>
      </c>
      <c r="R230" s="11">
        <f>4.32*100000000</f>
        <v>432000000</v>
      </c>
      <c r="S230" s="8">
        <f t="shared" si="101"/>
        <v>-0.826645264847512</v>
      </c>
      <c r="T230" s="6" t="s">
        <v>3154</v>
      </c>
      <c r="U230" s="6" t="str">
        <f t="shared" si="102"/>
        <v>=24.92*100000000</v>
      </c>
      <c r="V230" s="1">
        <f>24.92*100000000</f>
        <v>2492000000</v>
      </c>
      <c r="W230" s="8">
        <f t="shared" si="103"/>
        <v>1.2531645569620253</v>
      </c>
      <c r="X230" s="6" t="s">
        <v>3155</v>
      </c>
      <c r="Y230" s="6" t="str">
        <f t="shared" si="104"/>
        <v>=11.06*100000000</v>
      </c>
      <c r="Z230" s="1">
        <f>11.06*100000000</f>
        <v>1106000000</v>
      </c>
      <c r="AA230" s="8">
        <f t="shared" si="105"/>
        <v>0.9974715549936789</v>
      </c>
      <c r="AB230" s="6" t="s">
        <v>3156</v>
      </c>
      <c r="AC230" s="6" t="str">
        <f t="shared" si="106"/>
        <v>=5.537*100000000</v>
      </c>
      <c r="AD230" s="1">
        <f>5.537*100000000</f>
        <v>553700000</v>
      </c>
      <c r="AE230" s="8">
        <f t="shared" si="107"/>
        <v>3.8741197183098595</v>
      </c>
      <c r="AF230" s="6" t="s">
        <v>257</v>
      </c>
      <c r="AG230" s="6" t="str">
        <f t="shared" si="108"/>
        <v>=1.136*100000000</v>
      </c>
      <c r="AH230" s="1">
        <f>1.136*100000000</f>
        <v>113599999.99999999</v>
      </c>
      <c r="AI230" s="8">
        <f t="shared" si="109"/>
        <v>-0.9512864493996569</v>
      </c>
      <c r="AJ230" s="6" t="s">
        <v>3157</v>
      </c>
      <c r="AK230" s="6" t="str">
        <f t="shared" si="110"/>
        <v>=23.32*100000000</v>
      </c>
      <c r="AL230" s="1">
        <f>23.32*100000000</f>
        <v>2332000000</v>
      </c>
      <c r="AM230" s="8">
        <f t="shared" si="111"/>
        <v>1.5270914607715649</v>
      </c>
      <c r="AN230" s="6" t="s">
        <v>3158</v>
      </c>
      <c r="AO230" s="6" t="str">
        <f t="shared" si="112"/>
        <v>=9.228*100000000</v>
      </c>
      <c r="AP230" s="1">
        <f>9.228*100000000</f>
        <v>922800000</v>
      </c>
      <c r="AQ230" s="8">
        <f t="shared" si="113"/>
        <v>0.47200510448237359</v>
      </c>
      <c r="AR230" s="6" t="s">
        <v>3159</v>
      </c>
      <c r="AS230" s="6" t="str">
        <f t="shared" si="114"/>
        <v>=6.269*100000000</v>
      </c>
      <c r="AT230" s="1">
        <f>6.269*100000000</f>
        <v>626900000</v>
      </c>
      <c r="AU230" s="8">
        <f t="shared" si="115"/>
        <v>1.8969500924214417</v>
      </c>
      <c r="AV230" s="6" t="s">
        <v>3160</v>
      </c>
      <c r="AW230" s="6" t="str">
        <f t="shared" si="116"/>
        <v>=2.164*100000000</v>
      </c>
      <c r="AX230" s="1">
        <f>2.164*100000000</f>
        <v>216400000</v>
      </c>
      <c r="AY230" s="10">
        <f t="shared" si="117"/>
        <v>-0.91065235342691986</v>
      </c>
      <c r="AZ230" s="6" t="s">
        <v>3161</v>
      </c>
      <c r="BA230" s="6" t="str">
        <f t="shared" si="118"/>
        <v>=24.22*100000000</v>
      </c>
      <c r="BB230" s="1">
        <f>24.22*100000000</f>
        <v>2422000000</v>
      </c>
      <c r="BC230" s="8">
        <f t="shared" si="119"/>
        <v>1.0969696969696969</v>
      </c>
      <c r="BD230" s="6" t="s">
        <v>615</v>
      </c>
      <c r="BE230" s="6" t="str">
        <f t="shared" si="120"/>
        <v>=11.55*100000000</v>
      </c>
      <c r="BF230" s="1">
        <f>11.55*100000000</f>
        <v>1155000000</v>
      </c>
      <c r="BG230" s="8">
        <f t="shared" si="121"/>
        <v>0.3177410154021677</v>
      </c>
      <c r="BH230" s="6" t="s">
        <v>3162</v>
      </c>
      <c r="BI230" s="6" t="str">
        <f t="shared" si="122"/>
        <v>=8.765*100000000</v>
      </c>
      <c r="BJ230" s="1">
        <f>8.765*100000000</f>
        <v>876500000</v>
      </c>
      <c r="BK230" s="6" t="s">
        <v>175</v>
      </c>
      <c r="BL230" s="1" t="str">
        <f t="shared" si="94"/>
        <v>=5.437*100000000</v>
      </c>
      <c r="BM230" s="16">
        <f t="shared" si="123"/>
        <v>0.61210226227699094</v>
      </c>
      <c r="BN230" s="1">
        <f>5.437*100000000</f>
        <v>543700000</v>
      </c>
    </row>
    <row r="231" spans="1:66">
      <c r="A231" s="18"/>
      <c r="B231">
        <v>600184</v>
      </c>
      <c r="C231" t="s">
        <v>48</v>
      </c>
      <c r="D231" s="7" t="s">
        <v>3163</v>
      </c>
      <c r="E231" s="7" t="str">
        <f t="shared" si="93"/>
        <v>=6485*10000</v>
      </c>
      <c r="F231" s="1">
        <f>6485*10000</f>
        <v>64850000</v>
      </c>
      <c r="G231" s="8">
        <f t="shared" si="95"/>
        <v>0.35471067474409862</v>
      </c>
      <c r="H231" s="7" t="s">
        <v>3164</v>
      </c>
      <c r="I231" s="6" t="str">
        <f t="shared" si="96"/>
        <v>=4787*10000</v>
      </c>
      <c r="J231" s="1">
        <f>4787*10000</f>
        <v>47870000</v>
      </c>
      <c r="K231" s="10">
        <f t="shared" si="97"/>
        <v>0.63658119658119661</v>
      </c>
      <c r="L231" s="7" t="s">
        <v>3165</v>
      </c>
      <c r="M231" s="6" t="str">
        <f t="shared" si="98"/>
        <v>=2925*10000</v>
      </c>
      <c r="N231" s="1">
        <f>2925*10000</f>
        <v>29250000</v>
      </c>
      <c r="O231" s="8">
        <f t="shared" si="99"/>
        <v>0.88709677419354838</v>
      </c>
      <c r="P231" s="7" t="s">
        <v>3166</v>
      </c>
      <c r="Q231" s="6" t="str">
        <f t="shared" si="100"/>
        <v>=1550*10000</v>
      </c>
      <c r="R231" s="11">
        <f>1550*10000</f>
        <v>15500000</v>
      </c>
      <c r="S231" s="8">
        <f t="shared" si="101"/>
        <v>-0.74817221770917952</v>
      </c>
      <c r="T231" s="7" t="s">
        <v>3167</v>
      </c>
      <c r="U231" s="6" t="str">
        <f t="shared" si="102"/>
        <v>=6155*10000</v>
      </c>
      <c r="V231" s="1">
        <f>6155*10000</f>
        <v>61550000</v>
      </c>
      <c r="W231" s="8">
        <f t="shared" si="103"/>
        <v>0.20355885803676182</v>
      </c>
      <c r="X231" s="7" t="s">
        <v>3168</v>
      </c>
      <c r="Y231" s="6" t="str">
        <f t="shared" si="104"/>
        <v>=5114*10000</v>
      </c>
      <c r="Z231" s="1">
        <f>5114*10000</f>
        <v>51140000</v>
      </c>
      <c r="AA231" s="8">
        <f t="shared" si="105"/>
        <v>1.9680789320951828</v>
      </c>
      <c r="AB231" s="7" t="s">
        <v>3169</v>
      </c>
      <c r="AC231" s="6" t="str">
        <f t="shared" si="106"/>
        <v>=1723*10000</v>
      </c>
      <c r="AD231" s="1">
        <f>1723*10000</f>
        <v>17230000</v>
      </c>
      <c r="AE231" s="8">
        <f t="shared" si="107"/>
        <v>-2.5821854912764004</v>
      </c>
      <c r="AF231" s="7">
        <f>-1089*10000</f>
        <v>-10890000</v>
      </c>
      <c r="AG231" s="6" t="str">
        <f t="shared" si="108"/>
        <v>=-10890000</v>
      </c>
      <c r="AH231" s="1">
        <f>-10890000</f>
        <v>-10890000</v>
      </c>
      <c r="AI231" s="8">
        <f t="shared" si="109"/>
        <v>-1.179495632108126</v>
      </c>
      <c r="AJ231" s="7" t="s">
        <v>3170</v>
      </c>
      <c r="AK231" s="6" t="str">
        <f t="shared" si="110"/>
        <v>=6067*10000</v>
      </c>
      <c r="AL231" s="1">
        <f>6067*10000</f>
        <v>60670000</v>
      </c>
      <c r="AM231" s="8">
        <f t="shared" si="111"/>
        <v>0.36245227936222774</v>
      </c>
      <c r="AN231" s="7" t="s">
        <v>3171</v>
      </c>
      <c r="AO231" s="6" t="str">
        <f t="shared" si="112"/>
        <v>=4453*10000</v>
      </c>
      <c r="AP231" s="1">
        <f>4453*10000</f>
        <v>44530000</v>
      </c>
      <c r="AQ231" s="8">
        <f t="shared" si="113"/>
        <v>0.5510275165447579</v>
      </c>
      <c r="AR231" s="7" t="s">
        <v>3172</v>
      </c>
      <c r="AS231" s="6" t="str">
        <f t="shared" si="114"/>
        <v>=2871*10000</v>
      </c>
      <c r="AT231" s="1">
        <f>2871*10000</f>
        <v>28710000</v>
      </c>
      <c r="AU231" s="8">
        <f t="shared" si="115"/>
        <v>6.0247125030584785</v>
      </c>
      <c r="AV231" s="7" t="s">
        <v>3173</v>
      </c>
      <c r="AW231" s="6" t="str">
        <f t="shared" si="116"/>
        <v>=408.7*10000</v>
      </c>
      <c r="AX231" s="1">
        <f>408.7*10000</f>
        <v>4087000</v>
      </c>
      <c r="AY231" s="10">
        <f t="shared" si="117"/>
        <v>-0.93189468421929678</v>
      </c>
      <c r="AZ231" s="7" t="s">
        <v>3174</v>
      </c>
      <c r="BA231" s="6" t="str">
        <f t="shared" si="118"/>
        <v>=6001*10000</v>
      </c>
      <c r="BB231" s="1">
        <f>6001*10000</f>
        <v>60010000</v>
      </c>
      <c r="BC231" s="8">
        <f t="shared" si="119"/>
        <v>0.24916736053288926</v>
      </c>
      <c r="BD231" s="7" t="s">
        <v>3175</v>
      </c>
      <c r="BE231" s="6" t="str">
        <f t="shared" si="120"/>
        <v>=4804*10000</v>
      </c>
      <c r="BF231" s="1">
        <f>4804*10000</f>
        <v>48040000</v>
      </c>
      <c r="BG231" s="8">
        <f t="shared" si="121"/>
        <v>0.71632725973561984</v>
      </c>
      <c r="BH231" s="7" t="s">
        <v>3176</v>
      </c>
      <c r="BI231" s="6" t="str">
        <f t="shared" si="122"/>
        <v>=2799*10000</v>
      </c>
      <c r="BJ231" s="1">
        <f>2799*10000</f>
        <v>27990000</v>
      </c>
      <c r="BK231" s="7" t="s">
        <v>3177</v>
      </c>
      <c r="BL231" s="1" t="str">
        <f t="shared" si="94"/>
        <v>=323.3*10000</v>
      </c>
      <c r="BM231" s="16">
        <f t="shared" si="123"/>
        <v>7.657593566347046</v>
      </c>
      <c r="BN231" s="1">
        <f>323.3*10000</f>
        <v>3233000</v>
      </c>
    </row>
    <row r="232" spans="1:66">
      <c r="A232" s="18"/>
      <c r="B232">
        <v>600184</v>
      </c>
      <c r="C232" t="s">
        <v>58</v>
      </c>
      <c r="D232" s="7" t="s">
        <v>3178</v>
      </c>
      <c r="E232" s="7" t="str">
        <f t="shared" si="93"/>
        <v>=6706*10000</v>
      </c>
      <c r="F232" s="1">
        <f>6706*10000</f>
        <v>67060000</v>
      </c>
      <c r="G232" s="8">
        <f t="shared" si="95"/>
        <v>0.40029233660471913</v>
      </c>
      <c r="H232" s="7" t="s">
        <v>3179</v>
      </c>
      <c r="I232" s="6" t="str">
        <f t="shared" si="96"/>
        <v>=4789*10000</v>
      </c>
      <c r="J232" s="1">
        <f>4789*10000</f>
        <v>47890000</v>
      </c>
      <c r="K232" s="10">
        <f t="shared" si="97"/>
        <v>0.6200947225981055</v>
      </c>
      <c r="L232" s="7" t="s">
        <v>3180</v>
      </c>
      <c r="M232" s="6" t="str">
        <f t="shared" si="98"/>
        <v>=2956*10000</v>
      </c>
      <c r="N232" s="1">
        <f>2956*10000</f>
        <v>29560000</v>
      </c>
      <c r="O232" s="8">
        <f t="shared" si="99"/>
        <v>0.89974293059125965</v>
      </c>
      <c r="P232" s="7" t="s">
        <v>3181</v>
      </c>
      <c r="Q232" s="6" t="str">
        <f t="shared" si="100"/>
        <v>=1556*10000</v>
      </c>
      <c r="R232" s="11">
        <f>1556*10000</f>
        <v>15560000</v>
      </c>
      <c r="S232" s="8">
        <f t="shared" si="101"/>
        <v>-0.69543942063026032</v>
      </c>
      <c r="T232" s="7" t="s">
        <v>3182</v>
      </c>
      <c r="U232" s="6" t="str">
        <f t="shared" si="102"/>
        <v>=5109*10000</v>
      </c>
      <c r="V232" s="1">
        <f>5109*10000</f>
        <v>51090000</v>
      </c>
      <c r="W232" s="8">
        <f t="shared" si="103"/>
        <v>0.23019503973031544</v>
      </c>
      <c r="X232" s="7" t="s">
        <v>3183</v>
      </c>
      <c r="Y232" s="6" t="str">
        <f t="shared" si="104"/>
        <v>=4153*10000</v>
      </c>
      <c r="Z232" s="1">
        <f>4153*10000</f>
        <v>41530000</v>
      </c>
      <c r="AA232" s="8">
        <f t="shared" si="105"/>
        <v>4.6634392472385109</v>
      </c>
      <c r="AB232" s="7" t="s">
        <v>3184</v>
      </c>
      <c r="AC232" s="6" t="str">
        <f t="shared" si="106"/>
        <v>=733.3*10000</v>
      </c>
      <c r="AD232" s="1">
        <f>733.3*10000</f>
        <v>7333000</v>
      </c>
      <c r="AE232" s="8">
        <f t="shared" si="107"/>
        <v>-1.3913020277481323</v>
      </c>
      <c r="AF232" s="7">
        <f>-1874*10000</f>
        <v>-18740000</v>
      </c>
      <c r="AG232" s="6" t="str">
        <f t="shared" si="108"/>
        <v>=-18740000</v>
      </c>
      <c r="AH232" s="1">
        <f>-18740000</f>
        <v>-18740000</v>
      </c>
      <c r="AI232" s="8">
        <f t="shared" si="109"/>
        <v>-1.2940069030436148</v>
      </c>
      <c r="AJ232" s="7" t="s">
        <v>3185</v>
      </c>
      <c r="AK232" s="6" t="str">
        <f t="shared" si="110"/>
        <v>=6374*10000</v>
      </c>
      <c r="AL232" s="1">
        <f>6374*10000</f>
        <v>63740000</v>
      </c>
      <c r="AM232" s="8">
        <f t="shared" si="111"/>
        <v>0.32570715474209649</v>
      </c>
      <c r="AN232" s="7" t="s">
        <v>3186</v>
      </c>
      <c r="AO232" s="6" t="str">
        <f t="shared" si="112"/>
        <v>=4808*10000</v>
      </c>
      <c r="AP232" s="1">
        <f>4808*10000</f>
        <v>48080000</v>
      </c>
      <c r="AQ232" s="8">
        <f t="shared" si="113"/>
        <v>0.47123623011015914</v>
      </c>
      <c r="AR232" s="7" t="s">
        <v>3187</v>
      </c>
      <c r="AS232" s="6" t="str">
        <f t="shared" si="114"/>
        <v>=3268*10000</v>
      </c>
      <c r="AT232" s="1">
        <f>3268*10000</f>
        <v>32680000</v>
      </c>
      <c r="AU232" s="8">
        <f t="shared" si="115"/>
        <v>6.9147493339791719</v>
      </c>
      <c r="AV232" s="7" t="s">
        <v>3188</v>
      </c>
      <c r="AW232" s="6" t="str">
        <f t="shared" si="116"/>
        <v>=412.9*10000</v>
      </c>
      <c r="AX232" s="1">
        <f>412.9*10000</f>
        <v>4129000</v>
      </c>
      <c r="AY232" s="10">
        <f t="shared" si="117"/>
        <v>-0.93119480086652229</v>
      </c>
      <c r="AZ232" s="7" t="s">
        <v>3174</v>
      </c>
      <c r="BA232" s="6" t="str">
        <f t="shared" si="118"/>
        <v>=6001*10000</v>
      </c>
      <c r="BB232" s="1">
        <f>6001*10000</f>
        <v>60010000</v>
      </c>
      <c r="BC232" s="8">
        <f t="shared" si="119"/>
        <v>0.25281837160751564</v>
      </c>
      <c r="BD232" s="7" t="s">
        <v>3189</v>
      </c>
      <c r="BE232" s="6" t="str">
        <f t="shared" si="120"/>
        <v>=4790*10000</v>
      </c>
      <c r="BF232" s="1">
        <f>4790*10000</f>
        <v>47900000</v>
      </c>
      <c r="BG232" s="8">
        <f t="shared" si="121"/>
        <v>0.70644816530103316</v>
      </c>
      <c r="BH232" s="7" t="s">
        <v>3190</v>
      </c>
      <c r="BI232" s="6" t="str">
        <f t="shared" si="122"/>
        <v>=2807*10000</v>
      </c>
      <c r="BJ232" s="1">
        <f>2807*10000</f>
        <v>28070000</v>
      </c>
      <c r="BK232" s="7" t="s">
        <v>3191</v>
      </c>
      <c r="BL232" s="1" t="str">
        <f t="shared" si="94"/>
        <v>=323.5*10000</v>
      </c>
      <c r="BM232" s="16">
        <f t="shared" si="123"/>
        <v>7.6769706336939718</v>
      </c>
      <c r="BN232" s="1">
        <f>323.5*10000</f>
        <v>3235000</v>
      </c>
    </row>
    <row r="233" spans="1:66">
      <c r="A233" s="19"/>
      <c r="B233">
        <v>600184</v>
      </c>
      <c r="C233" t="s">
        <v>68</v>
      </c>
      <c r="D233" s="7" t="s">
        <v>3192</v>
      </c>
      <c r="E233" s="7" t="str">
        <f t="shared" si="93"/>
        <v>=6249*10000</v>
      </c>
      <c r="F233" s="1">
        <f>6249*10000</f>
        <v>62490000</v>
      </c>
      <c r="G233" s="8">
        <f t="shared" si="95"/>
        <v>0.36203138622493464</v>
      </c>
      <c r="H233" s="7" t="s">
        <v>3193</v>
      </c>
      <c r="I233" s="6" t="str">
        <f t="shared" si="96"/>
        <v>=4588*10000</v>
      </c>
      <c r="J233" s="1">
        <f>4588*10000</f>
        <v>45880000</v>
      </c>
      <c r="K233" s="10">
        <f t="shared" si="97"/>
        <v>0.66533575317604354</v>
      </c>
      <c r="L233" s="7" t="s">
        <v>3194</v>
      </c>
      <c r="M233" s="6" t="str">
        <f t="shared" si="98"/>
        <v>=2755*10000</v>
      </c>
      <c r="N233" s="1">
        <f>2755*10000</f>
        <v>27550000</v>
      </c>
      <c r="O233" s="8">
        <f t="shared" si="99"/>
        <v>0.77056555269922877</v>
      </c>
      <c r="P233" s="7" t="s">
        <v>3181</v>
      </c>
      <c r="Q233" s="6" t="str">
        <f t="shared" si="100"/>
        <v>=1556*10000</v>
      </c>
      <c r="R233" s="11">
        <f>1556*10000</f>
        <v>15560000</v>
      </c>
      <c r="S233" s="8">
        <f t="shared" si="101"/>
        <v>-0.70019267822736031</v>
      </c>
      <c r="T233" s="7" t="s">
        <v>3195</v>
      </c>
      <c r="U233" s="6" t="str">
        <f t="shared" si="102"/>
        <v>=5190*10000</v>
      </c>
      <c r="V233" s="1">
        <f>5190*10000</f>
        <v>51900000</v>
      </c>
      <c r="W233" s="8">
        <f t="shared" si="103"/>
        <v>0.25150711357607908</v>
      </c>
      <c r="X233" s="7" t="s">
        <v>3196</v>
      </c>
      <c r="Y233" s="6" t="str">
        <f t="shared" si="104"/>
        <v>=4147*10000</v>
      </c>
      <c r="Z233" s="1">
        <f>4147*10000</f>
        <v>41470000</v>
      </c>
      <c r="AA233" s="8">
        <f t="shared" si="105"/>
        <v>4.7034795763993946</v>
      </c>
      <c r="AB233" s="7" t="s">
        <v>3197</v>
      </c>
      <c r="AC233" s="6" t="str">
        <f t="shared" si="106"/>
        <v>=727.1*10000</v>
      </c>
      <c r="AD233" s="1">
        <f>727.1*10000</f>
        <v>7271000</v>
      </c>
      <c r="AE233" s="8">
        <f t="shared" si="107"/>
        <v>-1.3879935965848453</v>
      </c>
      <c r="AF233" s="7">
        <f>-1874*10000</f>
        <v>-18740000</v>
      </c>
      <c r="AG233" s="6" t="str">
        <f t="shared" si="108"/>
        <v>=-18740000</v>
      </c>
      <c r="AH233" s="1">
        <f>-18740000</f>
        <v>-18740000</v>
      </c>
      <c r="AI233" s="8">
        <f t="shared" si="109"/>
        <v>-1.302502017756255</v>
      </c>
      <c r="AJ233" s="7" t="s">
        <v>3198</v>
      </c>
      <c r="AK233" s="6" t="str">
        <f t="shared" si="110"/>
        <v>=6195*10000</v>
      </c>
      <c r="AL233" s="1">
        <f>6195*10000</f>
        <v>61950000</v>
      </c>
      <c r="AM233" s="8">
        <f t="shared" si="111"/>
        <v>0.3446928586932928</v>
      </c>
      <c r="AN233" s="7" t="s">
        <v>3199</v>
      </c>
      <c r="AO233" s="6" t="str">
        <f t="shared" si="112"/>
        <v>=4607*10000</v>
      </c>
      <c r="AP233" s="1">
        <f>4607*10000</f>
        <v>46070000</v>
      </c>
      <c r="AQ233" s="8">
        <f t="shared" si="113"/>
        <v>0.50162972620599744</v>
      </c>
      <c r="AR233" s="7" t="s">
        <v>3200</v>
      </c>
      <c r="AS233" s="6" t="str">
        <f t="shared" si="114"/>
        <v>=3068*10000</v>
      </c>
      <c r="AT233" s="1">
        <f>3068*10000</f>
        <v>30680000</v>
      </c>
      <c r="AU233" s="8">
        <f t="shared" si="115"/>
        <v>6.4303705497699202</v>
      </c>
      <c r="AV233" s="7" t="s">
        <v>3188</v>
      </c>
      <c r="AW233" s="6" t="str">
        <f t="shared" si="116"/>
        <v>=412.9*10000</v>
      </c>
      <c r="AX233" s="1">
        <f>412.9*10000</f>
        <v>4129000</v>
      </c>
      <c r="AY233" s="10">
        <f t="shared" si="117"/>
        <v>-0.92862575626620569</v>
      </c>
      <c r="AZ233" s="7" t="s">
        <v>3201</v>
      </c>
      <c r="BA233" s="6" t="str">
        <f t="shared" si="118"/>
        <v>=5785*10000</v>
      </c>
      <c r="BB233" s="1">
        <f>5785*10000</f>
        <v>57850000</v>
      </c>
      <c r="BC233" s="8">
        <f t="shared" si="119"/>
        <v>0.29766711529834006</v>
      </c>
      <c r="BD233" s="7" t="s">
        <v>3202</v>
      </c>
      <c r="BE233" s="6" t="str">
        <f t="shared" si="120"/>
        <v>=4458*10000</v>
      </c>
      <c r="BF233" s="1">
        <f>4458*10000</f>
        <v>44580000</v>
      </c>
      <c r="BG233" s="8">
        <f t="shared" si="121"/>
        <v>0.80048465266558966</v>
      </c>
      <c r="BH233" s="7" t="s">
        <v>3203</v>
      </c>
      <c r="BI233" s="6" t="str">
        <f t="shared" si="122"/>
        <v>=2476*10000</v>
      </c>
      <c r="BJ233" s="1">
        <f>2476*10000</f>
        <v>24760000</v>
      </c>
      <c r="BK233" s="7" t="s">
        <v>3204</v>
      </c>
      <c r="BL233" s="1" t="str">
        <f t="shared" si="94"/>
        <v>=322.1*10000</v>
      </c>
      <c r="BM233" s="16">
        <f t="shared" si="123"/>
        <v>6.6870537100279419</v>
      </c>
      <c r="BN233" s="1">
        <f>322.1*10000</f>
        <v>3221000</v>
      </c>
    </row>
    <row r="234" spans="1:66">
      <c r="A234" s="17">
        <v>59</v>
      </c>
      <c r="B234">
        <v>600188</v>
      </c>
      <c r="C234" t="s">
        <v>31</v>
      </c>
      <c r="D234" s="6" t="s">
        <v>3205</v>
      </c>
      <c r="E234" s="7" t="str">
        <f t="shared" si="93"/>
        <v>=1520*100000000</v>
      </c>
      <c r="F234" s="1">
        <f>1520*100000000</f>
        <v>152000000000</v>
      </c>
      <c r="G234" s="8">
        <f t="shared" si="95"/>
        <v>0.44761904761904764</v>
      </c>
      <c r="H234" s="6" t="s">
        <v>3206</v>
      </c>
      <c r="I234" s="6" t="str">
        <f t="shared" si="96"/>
        <v>=1050*100000000</v>
      </c>
      <c r="J234" s="1">
        <f>1050*100000000</f>
        <v>105000000000</v>
      </c>
      <c r="K234" s="10">
        <f t="shared" si="97"/>
        <v>0.60599571734475388</v>
      </c>
      <c r="L234" s="6" t="s">
        <v>3207</v>
      </c>
      <c r="M234" s="6" t="str">
        <f t="shared" si="98"/>
        <v>=653.8*100000000</v>
      </c>
      <c r="N234" s="1">
        <f>653.8*100000000</f>
        <v>65379999999.999992</v>
      </c>
      <c r="O234" s="8">
        <f t="shared" si="99"/>
        <v>1.1049581455247903</v>
      </c>
      <c r="P234" s="6" t="s">
        <v>3208</v>
      </c>
      <c r="Q234" s="6" t="str">
        <f t="shared" si="100"/>
        <v>=310.6*100000000</v>
      </c>
      <c r="R234" s="11">
        <f>310.6*100000000</f>
        <v>31060000000.000004</v>
      </c>
      <c r="S234" s="8">
        <f t="shared" si="101"/>
        <v>-0.85553488372093023</v>
      </c>
      <c r="T234" s="6" t="s">
        <v>3209</v>
      </c>
      <c r="U234" s="6" t="str">
        <f t="shared" si="102"/>
        <v>=2150*100000000</v>
      </c>
      <c r="V234" s="1">
        <f>2150*100000000</f>
        <v>215000000000</v>
      </c>
      <c r="W234" s="8">
        <f t="shared" si="103"/>
        <v>0.30540376442015787</v>
      </c>
      <c r="X234" s="6" t="s">
        <v>3210</v>
      </c>
      <c r="Y234" s="6" t="str">
        <f t="shared" si="104"/>
        <v>=1647*100000000</v>
      </c>
      <c r="Z234" s="1">
        <f>1647*100000000</f>
        <v>164700000000</v>
      </c>
      <c r="AA234" s="8">
        <f t="shared" si="105"/>
        <v>0.42597402597402595</v>
      </c>
      <c r="AB234" s="6" t="s">
        <v>3211</v>
      </c>
      <c r="AC234" s="6" t="str">
        <f t="shared" si="106"/>
        <v>=1155*100000000</v>
      </c>
      <c r="AD234" s="1">
        <f>1155*100000000</f>
        <v>115500000000</v>
      </c>
      <c r="AE234" s="8">
        <f t="shared" si="107"/>
        <v>1.4057488023328473</v>
      </c>
      <c r="AF234" s="6" t="s">
        <v>3212</v>
      </c>
      <c r="AG234" s="6" t="str">
        <f t="shared" si="108"/>
        <v>=480.1*100000000</v>
      </c>
      <c r="AH234" s="1">
        <f>480.1*100000000</f>
        <v>48010000000</v>
      </c>
      <c r="AI234" s="8">
        <f t="shared" si="109"/>
        <v>-0.77638565440149043</v>
      </c>
      <c r="AJ234" s="6" t="s">
        <v>3213</v>
      </c>
      <c r="AK234" s="6" t="str">
        <f t="shared" si="110"/>
        <v>=2147*100000000</v>
      </c>
      <c r="AL234" s="1">
        <f>2147*100000000</f>
        <v>214700000000</v>
      </c>
      <c r="AM234" s="8">
        <f t="shared" si="111"/>
        <v>0.4256308100929615</v>
      </c>
      <c r="AN234" s="6" t="s">
        <v>3214</v>
      </c>
      <c r="AO234" s="6" t="str">
        <f t="shared" si="112"/>
        <v>=1506*100000000</v>
      </c>
      <c r="AP234" s="1">
        <f>1506*100000000</f>
        <v>150600000000</v>
      </c>
      <c r="AQ234" s="8">
        <f t="shared" si="113"/>
        <v>0.42075471698113209</v>
      </c>
      <c r="AR234" s="6" t="s">
        <v>3215</v>
      </c>
      <c r="AS234" s="6" t="str">
        <f t="shared" si="114"/>
        <v>=1060*100000000</v>
      </c>
      <c r="AT234" s="1">
        <f>1060*100000000</f>
        <v>106000000000</v>
      </c>
      <c r="AU234" s="8">
        <f t="shared" si="115"/>
        <v>1.1973466003316751</v>
      </c>
      <c r="AV234" s="6" t="s">
        <v>3216</v>
      </c>
      <c r="AW234" s="6" t="str">
        <f t="shared" si="116"/>
        <v>=482.4*100000000</v>
      </c>
      <c r="AX234" s="1">
        <f>482.4*100000000</f>
        <v>48240000000</v>
      </c>
      <c r="AY234" s="10">
        <f t="shared" si="117"/>
        <v>-0.70404907975460118</v>
      </c>
      <c r="AZ234" s="6" t="s">
        <v>3217</v>
      </c>
      <c r="BA234" s="6" t="str">
        <f t="shared" si="118"/>
        <v>=1630*100000000</v>
      </c>
      <c r="BB234" s="1">
        <f>1630*100000000</f>
        <v>163000000000</v>
      </c>
      <c r="BC234" s="8">
        <f t="shared" si="119"/>
        <v>0.3674496644295302</v>
      </c>
      <c r="BD234" s="6" t="s">
        <v>3218</v>
      </c>
      <c r="BE234" s="6" t="str">
        <f t="shared" si="120"/>
        <v>=1192*100000000</v>
      </c>
      <c r="BF234" s="1">
        <f>1192*100000000</f>
        <v>119200000000</v>
      </c>
      <c r="BG234" s="8">
        <f t="shared" si="121"/>
        <v>0.56204953479229458</v>
      </c>
      <c r="BH234" s="6" t="s">
        <v>3219</v>
      </c>
      <c r="BI234" s="6" t="str">
        <f t="shared" si="122"/>
        <v>=763.1*100000000</v>
      </c>
      <c r="BJ234" s="1">
        <f>763.1*100000000</f>
        <v>76310000000</v>
      </c>
      <c r="BK234" s="6" t="s">
        <v>3220</v>
      </c>
      <c r="BL234" s="1" t="str">
        <f t="shared" si="94"/>
        <v>=323.3*100000000</v>
      </c>
      <c r="BM234" s="16">
        <f t="shared" si="123"/>
        <v>1.3603464274667492</v>
      </c>
      <c r="BN234" s="1">
        <f>323.3*100000000</f>
        <v>32330000000</v>
      </c>
    </row>
    <row r="235" spans="1:66">
      <c r="A235" s="18"/>
      <c r="B235">
        <v>600188</v>
      </c>
      <c r="C235" t="s">
        <v>48</v>
      </c>
      <c r="D235" s="6" t="s">
        <v>3221</v>
      </c>
      <c r="E235" s="7" t="str">
        <f t="shared" si="93"/>
        <v>=242.6*100000000</v>
      </c>
      <c r="F235" s="1">
        <f>242.6*100000000</f>
        <v>24260000000</v>
      </c>
      <c r="G235" s="8">
        <f t="shared" si="95"/>
        <v>0.47030303030303028</v>
      </c>
      <c r="H235" s="6" t="s">
        <v>3222</v>
      </c>
      <c r="I235" s="6" t="str">
        <f t="shared" si="96"/>
        <v>=165.0*100000000</v>
      </c>
      <c r="J235" s="1">
        <f>165*100000000</f>
        <v>16500000000</v>
      </c>
      <c r="K235" s="10">
        <f t="shared" si="97"/>
        <v>1.1086261980830672</v>
      </c>
      <c r="L235" s="6" t="s">
        <v>3223</v>
      </c>
      <c r="M235" s="6" t="str">
        <f t="shared" si="98"/>
        <v>=78.25*100000000</v>
      </c>
      <c r="N235" s="1">
        <f>78.25*100000000</f>
        <v>7825000000</v>
      </c>
      <c r="O235" s="8">
        <f t="shared" si="99"/>
        <v>1.7475421348314606</v>
      </c>
      <c r="P235" s="6" t="s">
        <v>3224</v>
      </c>
      <c r="Q235" s="6" t="str">
        <f t="shared" si="100"/>
        <v>=28.48*100000000</v>
      </c>
      <c r="R235" s="11">
        <f>28.48*100000000</f>
        <v>2848000000</v>
      </c>
      <c r="S235" s="8">
        <f t="shared" si="101"/>
        <v>-0.79929527836504577</v>
      </c>
      <c r="T235" s="6" t="s">
        <v>1007</v>
      </c>
      <c r="U235" s="6" t="str">
        <f t="shared" si="102"/>
        <v>=141.9*100000000</v>
      </c>
      <c r="V235" s="1">
        <f>141.9*100000000</f>
        <v>14190000000</v>
      </c>
      <c r="W235" s="8">
        <f t="shared" si="103"/>
        <v>0.46122953351869017</v>
      </c>
      <c r="X235" s="6" t="s">
        <v>3225</v>
      </c>
      <c r="Y235" s="6" t="str">
        <f t="shared" si="104"/>
        <v>=97.11*100000000</v>
      </c>
      <c r="Z235" s="1">
        <f>97.11*100000000</f>
        <v>9711000000</v>
      </c>
      <c r="AA235" s="8">
        <f t="shared" si="105"/>
        <v>0.20304757185332012</v>
      </c>
      <c r="AB235" s="6" t="s">
        <v>3226</v>
      </c>
      <c r="AC235" s="6" t="str">
        <f t="shared" si="106"/>
        <v>=80.72*100000000</v>
      </c>
      <c r="AD235" s="1">
        <f>80.72*100000000</f>
        <v>8072000000</v>
      </c>
      <c r="AE235" s="8">
        <f t="shared" si="107"/>
        <v>1.835265191429575</v>
      </c>
      <c r="AF235" s="6" t="s">
        <v>814</v>
      </c>
      <c r="AG235" s="6" t="str">
        <f t="shared" si="108"/>
        <v>=28.47*100000000</v>
      </c>
      <c r="AH235" s="1">
        <f>28.47*100000000</f>
        <v>2847000000</v>
      </c>
      <c r="AI235" s="8">
        <f t="shared" si="109"/>
        <v>-0.81992409867172678</v>
      </c>
      <c r="AJ235" s="6" t="s">
        <v>3227</v>
      </c>
      <c r="AK235" s="6" t="str">
        <f t="shared" si="110"/>
        <v>=158.1*100000000</v>
      </c>
      <c r="AL235" s="1">
        <f>158.1*100000000</f>
        <v>15810000000</v>
      </c>
      <c r="AM235" s="8">
        <f t="shared" si="111"/>
        <v>0.44912923923006415</v>
      </c>
      <c r="AN235" s="6" t="s">
        <v>3228</v>
      </c>
      <c r="AO235" s="6" t="str">
        <f t="shared" si="112"/>
        <v>=109.1*100000000</v>
      </c>
      <c r="AP235" s="1">
        <f>109.1*100000000</f>
        <v>10910000000</v>
      </c>
      <c r="AQ235" s="8">
        <f t="shared" si="113"/>
        <v>0.29772808373974086</v>
      </c>
      <c r="AR235" s="6" t="s">
        <v>3229</v>
      </c>
      <c r="AS235" s="6" t="str">
        <f t="shared" si="114"/>
        <v>=84.07*100000000</v>
      </c>
      <c r="AT235" s="1">
        <f>84.07*100000000</f>
        <v>8406999999.999999</v>
      </c>
      <c r="AU235" s="8">
        <f t="shared" si="115"/>
        <v>1.1785436641616993</v>
      </c>
      <c r="AV235" s="6" t="s">
        <v>3230</v>
      </c>
      <c r="AW235" s="6" t="str">
        <f t="shared" si="116"/>
        <v>=38.59*100000000</v>
      </c>
      <c r="AX235" s="1">
        <f>38.59*100000000</f>
        <v>3859000000.0000005</v>
      </c>
      <c r="AY235" s="10">
        <f t="shared" si="117"/>
        <v>-0.74892648015614827</v>
      </c>
      <c r="AZ235" s="6" t="s">
        <v>3231</v>
      </c>
      <c r="BA235" s="6" t="str">
        <f t="shared" si="118"/>
        <v>=153.7*100000000</v>
      </c>
      <c r="BB235" s="1">
        <f>153.7*100000000</f>
        <v>15369999999.999998</v>
      </c>
      <c r="BC235" s="8">
        <f t="shared" si="119"/>
        <v>0.38219424460431639</v>
      </c>
      <c r="BD235" s="6" t="s">
        <v>3232</v>
      </c>
      <c r="BE235" s="6" t="str">
        <f t="shared" si="120"/>
        <v>=111.2*100000000</v>
      </c>
      <c r="BF235" s="1">
        <f>111.2*100000000</f>
        <v>11120000000</v>
      </c>
      <c r="BG235" s="8">
        <f t="shared" si="121"/>
        <v>0.4036859378944711</v>
      </c>
      <c r="BH235" s="6" t="s">
        <v>3233</v>
      </c>
      <c r="BI235" s="6" t="str">
        <f t="shared" si="122"/>
        <v>=79.22*100000000</v>
      </c>
      <c r="BJ235" s="1">
        <f>79.22*100000000</f>
        <v>7922000000</v>
      </c>
      <c r="BK235" s="6" t="s">
        <v>3234</v>
      </c>
      <c r="BL235" s="1" t="str">
        <f t="shared" si="94"/>
        <v>=35.33*100000000</v>
      </c>
      <c r="BM235" s="16">
        <f t="shared" si="123"/>
        <v>1.2422870082083215</v>
      </c>
      <c r="BN235" s="1">
        <f>35.33*100000000</f>
        <v>3533000000</v>
      </c>
    </row>
    <row r="236" spans="1:66">
      <c r="A236" s="18"/>
      <c r="B236">
        <v>600188</v>
      </c>
      <c r="C236" t="s">
        <v>58</v>
      </c>
      <c r="D236" s="6" t="s">
        <v>3235</v>
      </c>
      <c r="E236" s="7" t="str">
        <f t="shared" si="93"/>
        <v>=240.4*100000000</v>
      </c>
      <c r="F236" s="1">
        <f>240.4*100000000</f>
        <v>24040000000</v>
      </c>
      <c r="G236" s="8">
        <f t="shared" si="95"/>
        <v>0.49224084419615144</v>
      </c>
      <c r="H236" s="6" t="s">
        <v>3236</v>
      </c>
      <c r="I236" s="6" t="str">
        <f t="shared" si="96"/>
        <v>=161.1*100000000</v>
      </c>
      <c r="J236" s="1">
        <f>161.1*100000000</f>
        <v>16110000000</v>
      </c>
      <c r="K236" s="10">
        <f t="shared" si="97"/>
        <v>1.0932952182952185</v>
      </c>
      <c r="L236" s="6" t="s">
        <v>3237</v>
      </c>
      <c r="M236" s="6" t="str">
        <f t="shared" si="98"/>
        <v>=76.96*100000000</v>
      </c>
      <c r="N236" s="1">
        <f>76.96*100000000</f>
        <v>7695999999.999999</v>
      </c>
      <c r="O236" s="8">
        <f t="shared" si="99"/>
        <v>1.6890286512928019</v>
      </c>
      <c r="P236" s="6" t="s">
        <v>831</v>
      </c>
      <c r="Q236" s="6" t="str">
        <f t="shared" si="100"/>
        <v>=28.62*100000000</v>
      </c>
      <c r="R236" s="11">
        <f>28.62*100000000</f>
        <v>2862000000</v>
      </c>
      <c r="S236" s="8">
        <f t="shared" si="101"/>
        <v>-0.69072833369353792</v>
      </c>
      <c r="T236" s="6" t="s">
        <v>3238</v>
      </c>
      <c r="U236" s="6" t="str">
        <f t="shared" si="102"/>
        <v>=92.54*100000000</v>
      </c>
      <c r="V236" s="1">
        <f>92.54*100000000</f>
        <v>9254000000</v>
      </c>
      <c r="W236" s="8">
        <f t="shared" si="103"/>
        <v>-0.10675675675675676</v>
      </c>
      <c r="X236" s="6" t="s">
        <v>3239</v>
      </c>
      <c r="Y236" s="6" t="str">
        <f t="shared" si="104"/>
        <v>=103.6*100000000</v>
      </c>
      <c r="Z236" s="1">
        <f>103.6*100000000</f>
        <v>10360000000</v>
      </c>
      <c r="AA236" s="8">
        <f t="shared" si="105"/>
        <v>0.19616672439672092</v>
      </c>
      <c r="AB236" s="6" t="s">
        <v>3240</v>
      </c>
      <c r="AC236" s="6" t="str">
        <f t="shared" si="106"/>
        <v>=86.61*100000000</v>
      </c>
      <c r="AD236" s="1">
        <f>86.61*100000000</f>
        <v>8661000000</v>
      </c>
      <c r="AE236" s="8">
        <f t="shared" si="107"/>
        <v>1.9549641760491301</v>
      </c>
      <c r="AF236" s="6" t="s">
        <v>607</v>
      </c>
      <c r="AG236" s="6" t="str">
        <f t="shared" si="108"/>
        <v>=29.31*100000000</v>
      </c>
      <c r="AH236" s="1">
        <f>29.31*100000000</f>
        <v>2931000000</v>
      </c>
      <c r="AI236" s="8">
        <f t="shared" si="109"/>
        <v>-0.82062423500611992</v>
      </c>
      <c r="AJ236" s="6" t="s">
        <v>849</v>
      </c>
      <c r="AK236" s="6" t="str">
        <f t="shared" si="110"/>
        <v>=163.4*100000000</v>
      </c>
      <c r="AL236" s="1">
        <f>163.4*100000000</f>
        <v>16340000000</v>
      </c>
      <c r="AM236" s="8">
        <f t="shared" si="111"/>
        <v>0.46678635547576303</v>
      </c>
      <c r="AN236" s="6" t="s">
        <v>3241</v>
      </c>
      <c r="AO236" s="6" t="str">
        <f t="shared" si="112"/>
        <v>=111.4*100000000</v>
      </c>
      <c r="AP236" s="1">
        <f>111.4*100000000</f>
        <v>11140000000</v>
      </c>
      <c r="AQ236" s="8">
        <f t="shared" si="113"/>
        <v>0.30246697065357186</v>
      </c>
      <c r="AR236" s="6" t="s">
        <v>3242</v>
      </c>
      <c r="AS236" s="6" t="str">
        <f t="shared" si="114"/>
        <v>=85.53*100000000</v>
      </c>
      <c r="AT236" s="1">
        <f>85.53*100000000</f>
        <v>8553000000</v>
      </c>
      <c r="AU236" s="8">
        <f t="shared" si="115"/>
        <v>1.1846743295019158</v>
      </c>
      <c r="AV236" s="6" t="s">
        <v>3243</v>
      </c>
      <c r="AW236" s="6" t="str">
        <f t="shared" si="116"/>
        <v>=39.15*100000000</v>
      </c>
      <c r="AX236" s="1">
        <f>39.15*100000000</f>
        <v>3915000000</v>
      </c>
      <c r="AY236" s="10">
        <f t="shared" si="117"/>
        <v>-0.73969414893617025</v>
      </c>
      <c r="AZ236" s="6" t="s">
        <v>3244</v>
      </c>
      <c r="BA236" s="6" t="str">
        <f t="shared" si="118"/>
        <v>=150.4*100000000</v>
      </c>
      <c r="BB236" s="1">
        <f>150.4*100000000</f>
        <v>15040000000</v>
      </c>
      <c r="BC236" s="8">
        <f t="shared" si="119"/>
        <v>0.36355394378966455</v>
      </c>
      <c r="BD236" s="6" t="s">
        <v>3245</v>
      </c>
      <c r="BE236" s="6" t="str">
        <f t="shared" si="120"/>
        <v>=110.3*100000000</v>
      </c>
      <c r="BF236" s="1">
        <f>110.3*100000000</f>
        <v>11030000000</v>
      </c>
      <c r="BG236" s="8">
        <f t="shared" si="121"/>
        <v>0.36695997025653737</v>
      </c>
      <c r="BH236" s="6" t="s">
        <v>3246</v>
      </c>
      <c r="BI236" s="6" t="str">
        <f t="shared" si="122"/>
        <v>=80.69*100000000</v>
      </c>
      <c r="BJ236" s="1">
        <f>80.69*100000000</f>
        <v>8069000000</v>
      </c>
      <c r="BK236" s="6" t="s">
        <v>3247</v>
      </c>
      <c r="BL236" s="1" t="str">
        <f t="shared" si="94"/>
        <v>=36.14*100000000</v>
      </c>
      <c r="BM236" s="16">
        <f t="shared" si="123"/>
        <v>1.2327061427780852</v>
      </c>
      <c r="BN236" s="1">
        <f>36.14*100000000</f>
        <v>3614000000</v>
      </c>
    </row>
    <row r="237" spans="1:66">
      <c r="A237" s="19"/>
      <c r="B237">
        <v>600188</v>
      </c>
      <c r="C237" t="s">
        <v>68</v>
      </c>
      <c r="D237" s="6" t="s">
        <v>3248</v>
      </c>
      <c r="E237" s="7" t="str">
        <f t="shared" si="93"/>
        <v>=185.7*100000000</v>
      </c>
      <c r="F237" s="1">
        <f>185.7*100000000</f>
        <v>18570000000</v>
      </c>
      <c r="G237" s="8">
        <f t="shared" si="95"/>
        <v>0.42956120092378752</v>
      </c>
      <c r="H237" s="6" t="s">
        <v>3249</v>
      </c>
      <c r="I237" s="6" t="str">
        <f t="shared" si="96"/>
        <v>=129.9*100000000</v>
      </c>
      <c r="J237" s="1">
        <f>129.9*100000000</f>
        <v>12990000000</v>
      </c>
      <c r="K237" s="10">
        <f t="shared" si="97"/>
        <v>1.0354120965214666</v>
      </c>
      <c r="L237" s="6" t="s">
        <v>3250</v>
      </c>
      <c r="M237" s="6" t="str">
        <f t="shared" si="98"/>
        <v>=63.82*100000000</v>
      </c>
      <c r="N237" s="1">
        <f>63.82*100000000</f>
        <v>6382000000</v>
      </c>
      <c r="O237" s="8">
        <f t="shared" si="99"/>
        <v>1.8226448474126493</v>
      </c>
      <c r="P237" s="6" t="s">
        <v>2678</v>
      </c>
      <c r="Q237" s="6" t="str">
        <f t="shared" si="100"/>
        <v>=22.61*100000000</v>
      </c>
      <c r="R237" s="11">
        <f>22.61*100000000</f>
        <v>2261000000</v>
      </c>
      <c r="S237" s="8">
        <f t="shared" si="101"/>
        <v>-0.66934776250365602</v>
      </c>
      <c r="T237" s="6" t="s">
        <v>3251</v>
      </c>
      <c r="U237" s="6" t="str">
        <f t="shared" si="102"/>
        <v>=68.38*100000000</v>
      </c>
      <c r="V237" s="1">
        <f>68.38*100000000</f>
        <v>6838000000</v>
      </c>
      <c r="W237" s="8">
        <f t="shared" si="103"/>
        <v>-0.2158256880733945</v>
      </c>
      <c r="X237" s="6" t="s">
        <v>3252</v>
      </c>
      <c r="Y237" s="6" t="str">
        <f t="shared" si="104"/>
        <v>=87.20*100000000</v>
      </c>
      <c r="Z237" s="1">
        <f>87.2*100000000</f>
        <v>8720000000</v>
      </c>
      <c r="AA237" s="8">
        <f t="shared" si="105"/>
        <v>0.22938107993796683</v>
      </c>
      <c r="AB237" s="6" t="s">
        <v>3253</v>
      </c>
      <c r="AC237" s="6" t="str">
        <f t="shared" si="106"/>
        <v>=70.93*100000000</v>
      </c>
      <c r="AD237" s="1">
        <f>70.93*100000000</f>
        <v>7093000000.000001</v>
      </c>
      <c r="AE237" s="8">
        <f t="shared" si="107"/>
        <v>2.2197004085338179</v>
      </c>
      <c r="AF237" s="6" t="s">
        <v>3254</v>
      </c>
      <c r="AG237" s="6" t="str">
        <f t="shared" si="108"/>
        <v>=22.03*100000000</v>
      </c>
      <c r="AH237" s="1">
        <f>22.03*100000000</f>
        <v>2203000000</v>
      </c>
      <c r="AI237" s="8">
        <f t="shared" si="109"/>
        <v>-0.82962103634957463</v>
      </c>
      <c r="AJ237" s="6" t="s">
        <v>1174</v>
      </c>
      <c r="AK237" s="6" t="str">
        <f t="shared" si="110"/>
        <v>=129.3*100000000</v>
      </c>
      <c r="AL237" s="1">
        <f>129.3*100000000</f>
        <v>12930000000.000002</v>
      </c>
      <c r="AM237" s="8">
        <f t="shared" si="111"/>
        <v>0.43842474135053977</v>
      </c>
      <c r="AN237" s="6" t="s">
        <v>3255</v>
      </c>
      <c r="AO237" s="6" t="str">
        <f t="shared" si="112"/>
        <v>=89.89*100000000</v>
      </c>
      <c r="AP237" s="1">
        <f>89.89*100000000</f>
        <v>8989000000</v>
      </c>
      <c r="AQ237" s="8">
        <f t="shared" si="113"/>
        <v>0.27684659090909075</v>
      </c>
      <c r="AR237" s="6" t="s">
        <v>3256</v>
      </c>
      <c r="AS237" s="6" t="str">
        <f t="shared" si="114"/>
        <v>=70.40*100000000</v>
      </c>
      <c r="AT237" s="1">
        <f>70.4*100000000</f>
        <v>7040000000.000001</v>
      </c>
      <c r="AU237" s="8">
        <f t="shared" si="115"/>
        <v>1.3334438183626123</v>
      </c>
      <c r="AV237" s="6" t="s">
        <v>3257</v>
      </c>
      <c r="AW237" s="6" t="str">
        <f t="shared" si="116"/>
        <v>=30.17*100000000</v>
      </c>
      <c r="AX237" s="1">
        <f>30.17*100000000</f>
        <v>3017000000</v>
      </c>
      <c r="AY237" s="10">
        <f t="shared" si="117"/>
        <v>-0.7169793621013133</v>
      </c>
      <c r="AZ237" s="6" t="s">
        <v>3258</v>
      </c>
      <c r="BA237" s="6" t="str">
        <f t="shared" si="118"/>
        <v>=106.6*100000000</v>
      </c>
      <c r="BB237" s="1">
        <f>106.6*100000000</f>
        <v>10660000000</v>
      </c>
      <c r="BC237" s="8">
        <f t="shared" si="119"/>
        <v>0.42076502732240439</v>
      </c>
      <c r="BD237" s="6" t="s">
        <v>3259</v>
      </c>
      <c r="BE237" s="6" t="str">
        <f t="shared" si="120"/>
        <v>=75.03*100000000</v>
      </c>
      <c r="BF237" s="1">
        <f>75.03*100000000</f>
        <v>7503000000</v>
      </c>
      <c r="BG237" s="8">
        <f t="shared" si="121"/>
        <v>0.3237473535638673</v>
      </c>
      <c r="BH237" s="6" t="s">
        <v>3260</v>
      </c>
      <c r="BI237" s="6" t="str">
        <f t="shared" si="122"/>
        <v>=56.68*100000000</v>
      </c>
      <c r="BJ237" s="1">
        <f>56.68*100000000</f>
        <v>5668000000</v>
      </c>
      <c r="BK237" s="6" t="s">
        <v>3261</v>
      </c>
      <c r="BL237" s="1" t="str">
        <f t="shared" si="94"/>
        <v>=27.47*100000000</v>
      </c>
      <c r="BM237" s="16">
        <f t="shared" si="123"/>
        <v>1.0633418274481252</v>
      </c>
      <c r="BN237" s="1">
        <f>27.47*100000000</f>
        <v>2747000000</v>
      </c>
    </row>
    <row r="238" spans="1:66">
      <c r="A238" s="17">
        <v>60</v>
      </c>
      <c r="B238">
        <v>600192</v>
      </c>
      <c r="C238" t="s">
        <v>31</v>
      </c>
      <c r="D238" s="6" t="s">
        <v>84</v>
      </c>
      <c r="E238" s="7" t="str">
        <f t="shared" si="93"/>
        <v>=20.66*100000000</v>
      </c>
      <c r="F238" s="1">
        <f>20.66*100000000</f>
        <v>2066000000</v>
      </c>
      <c r="G238" s="8">
        <f t="shared" si="95"/>
        <v>0.41216678058783324</v>
      </c>
      <c r="H238" s="6" t="s">
        <v>3138</v>
      </c>
      <c r="I238" s="6" t="str">
        <f t="shared" si="96"/>
        <v>=14.63*100000000</v>
      </c>
      <c r="J238" s="1">
        <f>14.63*100000000</f>
        <v>1463000000</v>
      </c>
      <c r="K238" s="10">
        <f t="shared" si="97"/>
        <v>0.50159088576413835</v>
      </c>
      <c r="L238" s="6" t="s">
        <v>3262</v>
      </c>
      <c r="M238" s="6" t="str">
        <f t="shared" si="98"/>
        <v>=9.743*100000000</v>
      </c>
      <c r="N238" s="1">
        <f>9.743*100000000</f>
        <v>974300000</v>
      </c>
      <c r="O238" s="8">
        <f t="shared" si="99"/>
        <v>1.2989617744218969</v>
      </c>
      <c r="P238" s="6" t="s">
        <v>3263</v>
      </c>
      <c r="Q238" s="6" t="str">
        <f t="shared" si="100"/>
        <v>=4.238*100000000</v>
      </c>
      <c r="R238" s="11">
        <f>4.238*100000000</f>
        <v>423800000.00000006</v>
      </c>
      <c r="S238" s="8">
        <f t="shared" si="101"/>
        <v>-0.79476997578692488</v>
      </c>
      <c r="T238" s="6" t="s">
        <v>3264</v>
      </c>
      <c r="U238" s="6" t="str">
        <f t="shared" si="102"/>
        <v>=20.65*100000000</v>
      </c>
      <c r="V238" s="1">
        <f>20.65*100000000</f>
        <v>2064999999.9999998</v>
      </c>
      <c r="W238" s="8">
        <f t="shared" si="103"/>
        <v>0.42906574394463654</v>
      </c>
      <c r="X238" s="6" t="s">
        <v>3265</v>
      </c>
      <c r="Y238" s="6" t="str">
        <f t="shared" si="104"/>
        <v>=14.45*100000000</v>
      </c>
      <c r="Z238" s="1">
        <f>14.45*100000000</f>
        <v>1445000000</v>
      </c>
      <c r="AA238" s="8">
        <f t="shared" si="105"/>
        <v>0.52603231597845601</v>
      </c>
      <c r="AB238" s="6" t="s">
        <v>3266</v>
      </c>
      <c r="AC238" s="6" t="str">
        <f t="shared" si="106"/>
        <v>=9.469*100000000</v>
      </c>
      <c r="AD238" s="1">
        <f>9.469*100000000</f>
        <v>946900000</v>
      </c>
      <c r="AE238" s="8">
        <f t="shared" si="107"/>
        <v>1.4063532401524779</v>
      </c>
      <c r="AF238" s="6" t="s">
        <v>3267</v>
      </c>
      <c r="AG238" s="6" t="str">
        <f t="shared" si="108"/>
        <v>=3.935*100000000</v>
      </c>
      <c r="AH238" s="1">
        <f>3.935*100000000</f>
        <v>393500000</v>
      </c>
      <c r="AI238" s="8">
        <f t="shared" si="109"/>
        <v>-0.79473135106937931</v>
      </c>
      <c r="AJ238" s="6" t="s">
        <v>3268</v>
      </c>
      <c r="AK238" s="6" t="str">
        <f t="shared" si="110"/>
        <v>=19.17*100000000</v>
      </c>
      <c r="AL238" s="1">
        <f>19.17*100000000</f>
        <v>1917000000.0000002</v>
      </c>
      <c r="AM238" s="8">
        <f t="shared" si="111"/>
        <v>0.48374613003095995</v>
      </c>
      <c r="AN238" s="6" t="s">
        <v>3269</v>
      </c>
      <c r="AO238" s="6" t="str">
        <f t="shared" si="112"/>
        <v>=12.92*100000000</v>
      </c>
      <c r="AP238" s="1">
        <f>12.92*100000000</f>
        <v>1292000000</v>
      </c>
      <c r="AQ238" s="8">
        <f t="shared" si="113"/>
        <v>0.5790760205328771</v>
      </c>
      <c r="AR238" s="6" t="s">
        <v>3270</v>
      </c>
      <c r="AS238" s="6" t="str">
        <f t="shared" si="114"/>
        <v>=8.182*100000000</v>
      </c>
      <c r="AT238" s="1">
        <f>8.182*100000000</f>
        <v>818200000</v>
      </c>
      <c r="AU238" s="8">
        <f t="shared" si="115"/>
        <v>1.195331365709686</v>
      </c>
      <c r="AV238" s="6" t="s">
        <v>3271</v>
      </c>
      <c r="AW238" s="6" t="str">
        <f t="shared" si="116"/>
        <v>=3.727*100000000</v>
      </c>
      <c r="AX238" s="1">
        <f>3.727*100000000</f>
        <v>372700000</v>
      </c>
      <c r="AY238" s="10">
        <f t="shared" si="117"/>
        <v>-0.79108744394618835</v>
      </c>
      <c r="AZ238" s="6" t="s">
        <v>3272</v>
      </c>
      <c r="BA238" s="6" t="str">
        <f t="shared" si="118"/>
        <v>=17.84*100000000</v>
      </c>
      <c r="BB238" s="1">
        <f>17.84*100000000</f>
        <v>1784000000</v>
      </c>
      <c r="BC238" s="8">
        <f t="shared" si="119"/>
        <v>0.31855136733185513</v>
      </c>
      <c r="BD238" s="6" t="s">
        <v>3273</v>
      </c>
      <c r="BE238" s="6" t="str">
        <f t="shared" si="120"/>
        <v>=13.53*100000000</v>
      </c>
      <c r="BF238" s="1">
        <f>13.53*100000000</f>
        <v>1353000000</v>
      </c>
      <c r="BG238" s="8">
        <f t="shared" si="121"/>
        <v>0.53854901068910621</v>
      </c>
      <c r="BH238" s="6" t="s">
        <v>3274</v>
      </c>
      <c r="BI238" s="6" t="str">
        <f t="shared" si="122"/>
        <v>=8.794*100000000</v>
      </c>
      <c r="BJ238" s="1">
        <f>8.794*100000000</f>
        <v>879400000</v>
      </c>
      <c r="BK238" s="6" t="s">
        <v>3275</v>
      </c>
      <c r="BL238" s="1" t="str">
        <f t="shared" si="94"/>
        <v>=3.583*100000000</v>
      </c>
      <c r="BM238" s="16">
        <f t="shared" si="123"/>
        <v>1.4543678481719229</v>
      </c>
      <c r="BN238" s="1">
        <f>3.583*100000000</f>
        <v>358300000</v>
      </c>
    </row>
    <row r="239" spans="1:66">
      <c r="A239" s="18"/>
      <c r="B239">
        <v>600192</v>
      </c>
      <c r="C239" t="s">
        <v>48</v>
      </c>
      <c r="D239" s="6">
        <f>-1.614*100000000</f>
        <v>-161400000</v>
      </c>
      <c r="E239" s="7" t="str">
        <f t="shared" si="93"/>
        <v>=-161400000</v>
      </c>
      <c r="F239" s="1">
        <f>-161400000</f>
        <v>-161400000</v>
      </c>
      <c r="G239" s="8">
        <f t="shared" si="95"/>
        <v>0.86331101362271989</v>
      </c>
      <c r="H239" s="7">
        <f>-8662*10000</f>
        <v>-86620000</v>
      </c>
      <c r="I239" s="6" t="str">
        <f t="shared" si="96"/>
        <v>=-86620000</v>
      </c>
      <c r="J239" s="1">
        <f>-86620000</f>
        <v>-86620000</v>
      </c>
      <c r="K239" s="10">
        <f t="shared" si="97"/>
        <v>1.0181733457595528</v>
      </c>
      <c r="L239" s="7">
        <f>-4292*10000</f>
        <v>-42920000</v>
      </c>
      <c r="M239" s="6" t="str">
        <f t="shared" si="98"/>
        <v>=-42920000</v>
      </c>
      <c r="N239" s="1">
        <f>-42920000</f>
        <v>-42920000</v>
      </c>
      <c r="O239" s="8">
        <f t="shared" si="99"/>
        <v>4.4598651571046943</v>
      </c>
      <c r="P239" s="7">
        <f>-786.1*10000</f>
        <v>-7861000</v>
      </c>
      <c r="Q239" s="6" t="str">
        <f t="shared" si="100"/>
        <v>=-7861000</v>
      </c>
      <c r="R239" s="11">
        <f>-7861000</f>
        <v>-7861000</v>
      </c>
      <c r="S239" s="8">
        <f t="shared" si="101"/>
        <v>-0.96687315634218285</v>
      </c>
      <c r="T239" s="6">
        <f>-2.373*100000000</f>
        <v>-237300000.00000003</v>
      </c>
      <c r="U239" s="6" t="str">
        <f t="shared" si="102"/>
        <v>=-237300000</v>
      </c>
      <c r="V239" s="1">
        <f>-237300000</f>
        <v>-237300000</v>
      </c>
      <c r="W239" s="8">
        <f t="shared" si="103"/>
        <v>-13.81317494600432</v>
      </c>
      <c r="X239" s="7" t="s">
        <v>3276</v>
      </c>
      <c r="Y239" s="6" t="str">
        <f t="shared" si="104"/>
        <v>=1852*10000</v>
      </c>
      <c r="Z239" s="1">
        <f>1852*10000</f>
        <v>18520000</v>
      </c>
      <c r="AA239" s="8">
        <f t="shared" si="105"/>
        <v>6.1926605504587159E-2</v>
      </c>
      <c r="AB239" s="7" t="s">
        <v>3277</v>
      </c>
      <c r="AC239" s="6" t="str">
        <f t="shared" si="106"/>
        <v>=1744*10000</v>
      </c>
      <c r="AD239" s="1">
        <f>1744*10000</f>
        <v>17440000</v>
      </c>
      <c r="AE239" s="8">
        <f t="shared" si="107"/>
        <v>2.5715748515257015</v>
      </c>
      <c r="AF239" s="7" t="s">
        <v>3278</v>
      </c>
      <c r="AG239" s="6" t="str">
        <f t="shared" si="108"/>
        <v>=488.3*10000</v>
      </c>
      <c r="AH239" s="1">
        <f>488.3*10000</f>
        <v>4883000</v>
      </c>
      <c r="AI239" s="8">
        <f t="shared" si="109"/>
        <v>-0.68001310615989519</v>
      </c>
      <c r="AJ239" s="7" t="s">
        <v>3279</v>
      </c>
      <c r="AK239" s="6" t="str">
        <f t="shared" si="110"/>
        <v>=1526*10000</v>
      </c>
      <c r="AL239" s="1">
        <f>1526*10000</f>
        <v>15260000</v>
      </c>
      <c r="AM239" s="8">
        <f t="shared" si="111"/>
        <v>-9.4899169632265717E-2</v>
      </c>
      <c r="AN239" s="7" t="s">
        <v>3280</v>
      </c>
      <c r="AO239" s="6" t="str">
        <f t="shared" si="112"/>
        <v>=1686*10000</v>
      </c>
      <c r="AP239" s="1">
        <f>1686*10000</f>
        <v>16860000</v>
      </c>
      <c r="AQ239" s="8">
        <f t="shared" si="113"/>
        <v>0.11067193675889328</v>
      </c>
      <c r="AR239" s="7" t="s">
        <v>3281</v>
      </c>
      <c r="AS239" s="6" t="str">
        <f t="shared" si="114"/>
        <v>=1518*10000</v>
      </c>
      <c r="AT239" s="1">
        <f>1518*10000</f>
        <v>15180000</v>
      </c>
      <c r="AU239" s="8">
        <f t="shared" si="115"/>
        <v>2.6341872157050514</v>
      </c>
      <c r="AV239" s="7" t="s">
        <v>3282</v>
      </c>
      <c r="AW239" s="6" t="str">
        <f t="shared" si="116"/>
        <v>=417.7*10000</v>
      </c>
      <c r="AX239" s="1">
        <f>417.7*10000</f>
        <v>4177000</v>
      </c>
      <c r="AY239" s="10">
        <f t="shared" si="117"/>
        <v>-0.80287871637564889</v>
      </c>
      <c r="AZ239" s="7" t="s">
        <v>3283</v>
      </c>
      <c r="BA239" s="6" t="str">
        <f t="shared" si="118"/>
        <v>=2119*10000</v>
      </c>
      <c r="BB239" s="1">
        <f>2119*10000</f>
        <v>21190000</v>
      </c>
      <c r="BC239" s="8">
        <f t="shared" si="119"/>
        <v>6.3755020080321287E-2</v>
      </c>
      <c r="BD239" s="7" t="s">
        <v>3284</v>
      </c>
      <c r="BE239" s="6" t="str">
        <f t="shared" si="120"/>
        <v>=1992*10000</v>
      </c>
      <c r="BF239" s="1">
        <f>1992*10000</f>
        <v>19920000</v>
      </c>
      <c r="BG239" s="8">
        <f t="shared" si="121"/>
        <v>0.12415349887133183</v>
      </c>
      <c r="BH239" s="7" t="s">
        <v>2475</v>
      </c>
      <c r="BI239" s="6" t="str">
        <f t="shared" si="122"/>
        <v>=1772*10000</v>
      </c>
      <c r="BJ239" s="1">
        <f>1772*10000</f>
        <v>17720000</v>
      </c>
      <c r="BK239" s="7" t="s">
        <v>3285</v>
      </c>
      <c r="BL239" s="1" t="str">
        <f t="shared" si="94"/>
        <v>=420.8*10000</v>
      </c>
      <c r="BM239" s="16">
        <f t="shared" si="123"/>
        <v>3.2110266159695819</v>
      </c>
      <c r="BN239" s="1">
        <f>420.8*10000</f>
        <v>4208000</v>
      </c>
    </row>
    <row r="240" spans="1:66">
      <c r="A240" s="18"/>
      <c r="B240">
        <v>600192</v>
      </c>
      <c r="C240" t="s">
        <v>58</v>
      </c>
      <c r="D240" s="6">
        <f>-1.6*100000000</f>
        <v>-160000000</v>
      </c>
      <c r="E240" s="7" t="str">
        <f t="shared" si="93"/>
        <v>=-160000000</v>
      </c>
      <c r="F240" s="1">
        <f>-160000000</f>
        <v>-160000000</v>
      </c>
      <c r="G240" s="8">
        <f t="shared" si="95"/>
        <v>0.83675812191482035</v>
      </c>
      <c r="H240" s="7">
        <f>-8711*10000</f>
        <v>-87110000</v>
      </c>
      <c r="I240" s="6" t="str">
        <f t="shared" si="96"/>
        <v>=-87110000</v>
      </c>
      <c r="J240" s="1">
        <f>-87110000</f>
        <v>-87110000</v>
      </c>
      <c r="K240" s="10">
        <f t="shared" si="97"/>
        <v>1.0305361305361305</v>
      </c>
      <c r="L240" s="7">
        <f>-4290*10000</f>
        <v>-42900000</v>
      </c>
      <c r="M240" s="6" t="str">
        <f t="shared" si="98"/>
        <v>=-42900000</v>
      </c>
      <c r="N240" s="1">
        <f>-42900000</f>
        <v>-42900000</v>
      </c>
      <c r="O240" s="8">
        <f t="shared" si="99"/>
        <v>4.4407102092580848</v>
      </c>
      <c r="P240" s="7">
        <f>-788.5*10000</f>
        <v>-7885000</v>
      </c>
      <c r="Q240" s="6" t="str">
        <f t="shared" si="100"/>
        <v>=-7885000</v>
      </c>
      <c r="R240" s="11">
        <f>-7885000</f>
        <v>-7885000</v>
      </c>
      <c r="S240" s="8">
        <f t="shared" si="101"/>
        <v>-0.966687790452049</v>
      </c>
      <c r="T240" s="6">
        <f>-2.367*100000000</f>
        <v>-236700000</v>
      </c>
      <c r="U240" s="6" t="str">
        <f t="shared" si="102"/>
        <v>=-236700000</v>
      </c>
      <c r="V240" s="1">
        <f>-236700000</f>
        <v>-236700000</v>
      </c>
      <c r="W240" s="8">
        <f t="shared" si="103"/>
        <v>-12.700444883835887</v>
      </c>
      <c r="X240" s="7" t="s">
        <v>3286</v>
      </c>
      <c r="Y240" s="6" t="str">
        <f t="shared" si="104"/>
        <v>=2023*10000</v>
      </c>
      <c r="Z240" s="1">
        <f>2023*10000</f>
        <v>20230000</v>
      </c>
      <c r="AA240" s="8">
        <f t="shared" si="105"/>
        <v>8.0085424452749604E-2</v>
      </c>
      <c r="AB240" s="7" t="s">
        <v>3287</v>
      </c>
      <c r="AC240" s="6" t="str">
        <f t="shared" si="106"/>
        <v>=1873*10000</v>
      </c>
      <c r="AD240" s="1">
        <f>1873*10000</f>
        <v>18730000</v>
      </c>
      <c r="AE240" s="8">
        <f t="shared" si="107"/>
        <v>2.8428395568321707</v>
      </c>
      <c r="AF240" s="7" t="s">
        <v>3288</v>
      </c>
      <c r="AG240" s="6" t="str">
        <f t="shared" si="108"/>
        <v>=487.4*10000</v>
      </c>
      <c r="AH240" s="1">
        <f>487.4*10000</f>
        <v>4874000</v>
      </c>
      <c r="AI240" s="8">
        <f t="shared" si="109"/>
        <v>-0.77794988610478355</v>
      </c>
      <c r="AJ240" s="7" t="s">
        <v>3289</v>
      </c>
      <c r="AK240" s="6" t="str">
        <f t="shared" si="110"/>
        <v>=2195*10000</v>
      </c>
      <c r="AL240" s="1">
        <f>2195*10000</f>
        <v>21950000</v>
      </c>
      <c r="AM240" s="8">
        <f t="shared" si="111"/>
        <v>0.12333674513817809</v>
      </c>
      <c r="AN240" s="7" t="s">
        <v>3290</v>
      </c>
      <c r="AO240" s="6" t="str">
        <f t="shared" si="112"/>
        <v>=1954*10000</v>
      </c>
      <c r="AP240" s="1">
        <f>1954*10000</f>
        <v>19540000</v>
      </c>
      <c r="AQ240" s="8">
        <f t="shared" si="113"/>
        <v>0.10582908885116016</v>
      </c>
      <c r="AR240" s="7" t="s">
        <v>3291</v>
      </c>
      <c r="AS240" s="6" t="str">
        <f t="shared" si="114"/>
        <v>=1767*10000</v>
      </c>
      <c r="AT240" s="1">
        <f>1767*10000</f>
        <v>17670000</v>
      </c>
      <c r="AU240" s="8">
        <f t="shared" si="115"/>
        <v>2.819714656290532</v>
      </c>
      <c r="AV240" s="7" t="s">
        <v>3292</v>
      </c>
      <c r="AW240" s="6" t="str">
        <f t="shared" si="116"/>
        <v>=462.6*10000</v>
      </c>
      <c r="AX240" s="1">
        <f>462.6*10000</f>
        <v>4626000</v>
      </c>
      <c r="AY240" s="10">
        <f t="shared" si="117"/>
        <v>-0.83371675053918048</v>
      </c>
      <c r="AZ240" s="7" t="s">
        <v>3293</v>
      </c>
      <c r="BA240" s="6" t="str">
        <f t="shared" si="118"/>
        <v>=2782*10000</v>
      </c>
      <c r="BB240" s="1">
        <f>2782*10000</f>
        <v>27820000</v>
      </c>
      <c r="BC240" s="8">
        <f t="shared" si="119"/>
        <v>0.12905844155844157</v>
      </c>
      <c r="BD240" s="7" t="s">
        <v>3294</v>
      </c>
      <c r="BE240" s="6" t="str">
        <f t="shared" si="120"/>
        <v>=2464*10000</v>
      </c>
      <c r="BF240" s="1">
        <f>2464*10000</f>
        <v>24640000</v>
      </c>
      <c r="BG240" s="8">
        <f t="shared" si="121"/>
        <v>0.24570273003033366</v>
      </c>
      <c r="BH240" s="7" t="s">
        <v>3295</v>
      </c>
      <c r="BI240" s="6" t="str">
        <f t="shared" si="122"/>
        <v>=1978*10000</v>
      </c>
      <c r="BJ240" s="1">
        <f>1978*10000</f>
        <v>19780000</v>
      </c>
      <c r="BK240" s="7" t="s">
        <v>3296</v>
      </c>
      <c r="BL240" s="1" t="str">
        <f t="shared" si="94"/>
        <v>=494.6*10000</v>
      </c>
      <c r="BM240" s="16">
        <f t="shared" si="123"/>
        <v>2.9991912656692277</v>
      </c>
      <c r="BN240" s="1">
        <f>494.6*10000</f>
        <v>4946000</v>
      </c>
    </row>
    <row r="241" spans="1:66">
      <c r="A241" s="19"/>
      <c r="B241">
        <v>600192</v>
      </c>
      <c r="C241" t="s">
        <v>68</v>
      </c>
      <c r="D241" s="6">
        <f>-1.466*100000000</f>
        <v>-146600000</v>
      </c>
      <c r="E241" s="7" t="str">
        <f t="shared" si="93"/>
        <v>=-146600000</v>
      </c>
      <c r="F241" s="1">
        <f>-146600000</f>
        <v>-146600000</v>
      </c>
      <c r="G241" s="8">
        <f t="shared" si="95"/>
        <v>0.65705889001921558</v>
      </c>
      <c r="H241" s="7">
        <f>-8847*10000</f>
        <v>-88470000</v>
      </c>
      <c r="I241" s="6" t="str">
        <f t="shared" si="96"/>
        <v>=-88470000</v>
      </c>
      <c r="J241" s="1">
        <f>-88470000</f>
        <v>-88470000</v>
      </c>
      <c r="K241" s="10">
        <f t="shared" si="97"/>
        <v>1.0157211209842789</v>
      </c>
      <c r="L241" s="7">
        <f>-4389*10000</f>
        <v>-43890000</v>
      </c>
      <c r="M241" s="6" t="str">
        <f t="shared" si="98"/>
        <v>=-43890000</v>
      </c>
      <c r="N241" s="1">
        <f>-43890000</f>
        <v>-43890000</v>
      </c>
      <c r="O241" s="8">
        <f t="shared" si="99"/>
        <v>4.2632210097133951</v>
      </c>
      <c r="P241" s="7">
        <f>-833.9*10000</f>
        <v>-8339000</v>
      </c>
      <c r="Q241" s="6" t="str">
        <f t="shared" si="100"/>
        <v>=-8339000</v>
      </c>
      <c r="R241" s="11">
        <f>-8339000</f>
        <v>-8339000</v>
      </c>
      <c r="S241" s="8">
        <f t="shared" si="101"/>
        <v>-0.96110541044776121</v>
      </c>
      <c r="T241" s="6">
        <f>-2.144*100000000</f>
        <v>-214400000</v>
      </c>
      <c r="U241" s="6" t="str">
        <f t="shared" si="102"/>
        <v>=-214400000</v>
      </c>
      <c r="V241" s="1">
        <f>-214400000</f>
        <v>-214400000</v>
      </c>
      <c r="W241" s="8">
        <f t="shared" si="103"/>
        <v>-14.796653796653796</v>
      </c>
      <c r="X241" s="7" t="s">
        <v>3297</v>
      </c>
      <c r="Y241" s="6" t="str">
        <f t="shared" si="104"/>
        <v>=1554*10000</v>
      </c>
      <c r="Z241" s="1">
        <f>1554*10000</f>
        <v>15540000</v>
      </c>
      <c r="AA241" s="8">
        <f t="shared" si="105"/>
        <v>5.4274084124830396E-2</v>
      </c>
      <c r="AB241" s="7" t="s">
        <v>3298</v>
      </c>
      <c r="AC241" s="6" t="str">
        <f t="shared" si="106"/>
        <v>=1474*10000</v>
      </c>
      <c r="AD241" s="1">
        <f>1474*10000</f>
        <v>14740000</v>
      </c>
      <c r="AE241" s="8">
        <f t="shared" si="107"/>
        <v>3.3301997649823738</v>
      </c>
      <c r="AF241" s="7" t="s">
        <v>3299</v>
      </c>
      <c r="AG241" s="6" t="str">
        <f t="shared" si="108"/>
        <v>=340.4*10000</v>
      </c>
      <c r="AH241" s="1">
        <f>340.4*10000</f>
        <v>3404000</v>
      </c>
      <c r="AI241" s="8">
        <f t="shared" si="109"/>
        <v>-0.81883980840872805</v>
      </c>
      <c r="AJ241" s="7" t="s">
        <v>3300</v>
      </c>
      <c r="AK241" s="6" t="str">
        <f t="shared" si="110"/>
        <v>=1879*10000</v>
      </c>
      <c r="AL241" s="1">
        <f>1879*10000</f>
        <v>18790000</v>
      </c>
      <c r="AM241" s="8">
        <f t="shared" si="111"/>
        <v>0.30124653739612189</v>
      </c>
      <c r="AN241" s="7" t="s">
        <v>3301</v>
      </c>
      <c r="AO241" s="6" t="str">
        <f t="shared" si="112"/>
        <v>=1444*10000</v>
      </c>
      <c r="AP241" s="1">
        <f>1444*10000</f>
        <v>14440000</v>
      </c>
      <c r="AQ241" s="8">
        <f t="shared" si="113"/>
        <v>3.6611629576453697E-2</v>
      </c>
      <c r="AR241" s="7" t="s">
        <v>2611</v>
      </c>
      <c r="AS241" s="6" t="str">
        <f t="shared" si="114"/>
        <v>=1393*10000</v>
      </c>
      <c r="AT241" s="1">
        <f>1393*10000</f>
        <v>13930000</v>
      </c>
      <c r="AU241" s="8">
        <f t="shared" si="115"/>
        <v>3.0982641953515739</v>
      </c>
      <c r="AV241" s="7" t="s">
        <v>3302</v>
      </c>
      <c r="AW241" s="6" t="str">
        <f t="shared" si="116"/>
        <v>=339.9*10000</v>
      </c>
      <c r="AX241" s="1">
        <f>339.9*10000</f>
        <v>3399000</v>
      </c>
      <c r="AY241" s="10">
        <f t="shared" si="117"/>
        <v>-0.83097961213326699</v>
      </c>
      <c r="AZ241" s="7" t="s">
        <v>3303</v>
      </c>
      <c r="BA241" s="6" t="str">
        <f t="shared" si="118"/>
        <v>=2011*10000</v>
      </c>
      <c r="BB241" s="1">
        <f>2011*10000</f>
        <v>20110000</v>
      </c>
      <c r="BC241" s="8">
        <f t="shared" si="119"/>
        <v>-5.440158259149357E-3</v>
      </c>
      <c r="BD241" s="7" t="s">
        <v>3304</v>
      </c>
      <c r="BE241" s="6" t="str">
        <f t="shared" si="120"/>
        <v>=2022*10000</v>
      </c>
      <c r="BF241" s="1">
        <f>2022*10000</f>
        <v>20220000</v>
      </c>
      <c r="BG241" s="8">
        <f t="shared" si="121"/>
        <v>0.23897058823529413</v>
      </c>
      <c r="BH241" s="7" t="s">
        <v>3305</v>
      </c>
      <c r="BI241" s="6" t="str">
        <f t="shared" si="122"/>
        <v>=1632*10000</v>
      </c>
      <c r="BJ241" s="1">
        <f>1632*10000</f>
        <v>16320000</v>
      </c>
      <c r="BK241" s="7" t="s">
        <v>3306</v>
      </c>
      <c r="BL241" s="1" t="str">
        <f t="shared" si="94"/>
        <v>=352.9*10000</v>
      </c>
      <c r="BM241" s="16">
        <f t="shared" si="123"/>
        <v>3.6245395296117882</v>
      </c>
      <c r="BN241" s="1">
        <f>352.9*10000</f>
        <v>3529000</v>
      </c>
    </row>
    <row r="242" spans="1:66">
      <c r="A242" s="17">
        <v>61</v>
      </c>
      <c r="B242">
        <v>600196</v>
      </c>
      <c r="C242" t="s">
        <v>31</v>
      </c>
      <c r="D242" s="6" t="s">
        <v>3307</v>
      </c>
      <c r="E242" s="7" t="str">
        <f t="shared" si="93"/>
        <v>=390.1*100000000</v>
      </c>
      <c r="F242" s="1">
        <f>390.1*100000000</f>
        <v>39010000000</v>
      </c>
      <c r="G242" s="8">
        <f t="shared" si="95"/>
        <v>0.44214417744916823</v>
      </c>
      <c r="H242" s="6" t="s">
        <v>3308</v>
      </c>
      <c r="I242" s="6" t="str">
        <f t="shared" si="96"/>
        <v>=270.5*100000000</v>
      </c>
      <c r="J242" s="1">
        <f>270.5*100000000</f>
        <v>27050000000</v>
      </c>
      <c r="K242" s="10">
        <f t="shared" si="97"/>
        <v>0.59587020648967548</v>
      </c>
      <c r="L242" s="6" t="s">
        <v>3309</v>
      </c>
      <c r="M242" s="6" t="str">
        <f t="shared" si="98"/>
        <v>=169.5*100000000</v>
      </c>
      <c r="N242" s="1">
        <f>169.5*100000000</f>
        <v>16950000000</v>
      </c>
      <c r="O242" s="8">
        <f t="shared" si="99"/>
        <v>1.1040218470705065</v>
      </c>
      <c r="P242" s="6" t="s">
        <v>3310</v>
      </c>
      <c r="Q242" s="6" t="str">
        <f t="shared" si="100"/>
        <v>=80.56*100000000</v>
      </c>
      <c r="R242" s="11">
        <f>80.56*100000000</f>
        <v>8056000000</v>
      </c>
      <c r="S242" s="8">
        <f t="shared" si="101"/>
        <v>-0.73421313097987462</v>
      </c>
      <c r="T242" s="6" t="s">
        <v>3311</v>
      </c>
      <c r="U242" s="6" t="str">
        <f t="shared" si="102"/>
        <v>=303.1*100000000</v>
      </c>
      <c r="V242" s="1">
        <f>303.1*100000000</f>
        <v>30310000000.000004</v>
      </c>
      <c r="W242" s="8">
        <f t="shared" si="103"/>
        <v>0.37149321266968344</v>
      </c>
      <c r="X242" s="6" t="s">
        <v>3312</v>
      </c>
      <c r="Y242" s="6" t="str">
        <f t="shared" si="104"/>
        <v>=221.0*100000000</v>
      </c>
      <c r="Z242" s="1">
        <f>221*100000000</f>
        <v>22100000000</v>
      </c>
      <c r="AA242" s="8">
        <f t="shared" si="105"/>
        <v>0.57519600855310027</v>
      </c>
      <c r="AB242" s="6" t="s">
        <v>3313</v>
      </c>
      <c r="AC242" s="6" t="str">
        <f t="shared" si="106"/>
        <v>=140.3*100000000</v>
      </c>
      <c r="AD242" s="1">
        <f>140.3*100000000</f>
        <v>14030000000.000002</v>
      </c>
      <c r="AE242" s="8">
        <f t="shared" si="107"/>
        <v>1.3856486992008166</v>
      </c>
      <c r="AF242" s="6" t="s">
        <v>3314</v>
      </c>
      <c r="AG242" s="6" t="str">
        <f t="shared" si="108"/>
        <v>=58.81*100000000</v>
      </c>
      <c r="AH242" s="1">
        <f>58.81*100000000</f>
        <v>5881000000</v>
      </c>
      <c r="AI242" s="8">
        <f t="shared" si="109"/>
        <v>-0.79429870584120321</v>
      </c>
      <c r="AJ242" s="6" t="s">
        <v>3315</v>
      </c>
      <c r="AK242" s="6" t="str">
        <f t="shared" si="110"/>
        <v>=285.9*100000000</v>
      </c>
      <c r="AL242" s="1">
        <f>285.9*100000000</f>
        <v>28589999999.999996</v>
      </c>
      <c r="AM242" s="8">
        <f t="shared" si="111"/>
        <v>0.34667922750824287</v>
      </c>
      <c r="AN242" s="6" t="s">
        <v>3316</v>
      </c>
      <c r="AO242" s="6" t="str">
        <f t="shared" si="112"/>
        <v>=212.3*100000000</v>
      </c>
      <c r="AP242" s="1">
        <f>212.3*100000000</f>
        <v>21230000000</v>
      </c>
      <c r="AQ242" s="8">
        <f t="shared" si="113"/>
        <v>0.49823570924488375</v>
      </c>
      <c r="AR242" s="6" t="s">
        <v>3317</v>
      </c>
      <c r="AS242" s="6" t="str">
        <f t="shared" si="114"/>
        <v>=141.7*100000000</v>
      </c>
      <c r="AT242" s="1">
        <f>141.7*100000000</f>
        <v>14169999999.999998</v>
      </c>
      <c r="AU242" s="8">
        <f t="shared" si="115"/>
        <v>1.1054977711738481</v>
      </c>
      <c r="AV242" s="6" t="s">
        <v>3318</v>
      </c>
      <c r="AW242" s="6" t="str">
        <f t="shared" si="116"/>
        <v>=67.30*100000000</v>
      </c>
      <c r="AX242" s="1">
        <f>67.3*100000000</f>
        <v>6730000000</v>
      </c>
      <c r="AY242" s="10">
        <f t="shared" si="117"/>
        <v>-0.7299357945425361</v>
      </c>
      <c r="AZ242" s="6" t="s">
        <v>3319</v>
      </c>
      <c r="BA242" s="6" t="str">
        <f t="shared" si="118"/>
        <v>=249.2*100000000</v>
      </c>
      <c r="BB242" s="1">
        <f>249.2*100000000</f>
        <v>24920000000</v>
      </c>
      <c r="BC242" s="8">
        <f t="shared" si="119"/>
        <v>0.37375964718853361</v>
      </c>
      <c r="BD242" s="6" t="s">
        <v>3320</v>
      </c>
      <c r="BE242" s="6" t="str">
        <f t="shared" si="120"/>
        <v>=181.4*100000000</v>
      </c>
      <c r="BF242" s="1">
        <f>181.4*100000000</f>
        <v>18140000000</v>
      </c>
      <c r="BG242" s="8">
        <f t="shared" si="121"/>
        <v>0.5295109612141653</v>
      </c>
      <c r="BH242" s="6" t="s">
        <v>3321</v>
      </c>
      <c r="BI242" s="6" t="str">
        <f t="shared" si="122"/>
        <v>=118.6*100000000</v>
      </c>
      <c r="BJ242" s="1">
        <f>118.6*100000000</f>
        <v>11860000000</v>
      </c>
      <c r="BK242" s="6" t="s">
        <v>3322</v>
      </c>
      <c r="BL242" s="1" t="str">
        <f t="shared" si="94"/>
        <v>=57.19*100000000</v>
      </c>
      <c r="BM242" s="16">
        <f t="shared" si="123"/>
        <v>1.0737891239727224</v>
      </c>
      <c r="BN242" s="1">
        <f>57.19*100000000</f>
        <v>5719000000</v>
      </c>
    </row>
    <row r="243" spans="1:66">
      <c r="A243" s="18"/>
      <c r="B243">
        <v>600196</v>
      </c>
      <c r="C243" t="s">
        <v>48</v>
      </c>
      <c r="D243" s="6" t="s">
        <v>3323</v>
      </c>
      <c r="E243" s="7" t="str">
        <f t="shared" si="93"/>
        <v>=63.14*100000000</v>
      </c>
      <c r="F243" s="1">
        <f>63.14*100000000</f>
        <v>6314000000</v>
      </c>
      <c r="G243" s="8">
        <f t="shared" si="95"/>
        <v>0.34369014683975313</v>
      </c>
      <c r="H243" s="6" t="s">
        <v>1162</v>
      </c>
      <c r="I243" s="6" t="str">
        <f t="shared" si="96"/>
        <v>=46.99*100000000</v>
      </c>
      <c r="J243" s="1">
        <f>46.99*100000000</f>
        <v>4699000000</v>
      </c>
      <c r="K243" s="10">
        <f t="shared" si="97"/>
        <v>0.41195913461538464</v>
      </c>
      <c r="L243" s="6" t="s">
        <v>3324</v>
      </c>
      <c r="M243" s="6" t="str">
        <f t="shared" si="98"/>
        <v>=33.28*100000000</v>
      </c>
      <c r="N243" s="1">
        <f>33.28*100000000</f>
        <v>3328000000</v>
      </c>
      <c r="O243" s="8">
        <f t="shared" si="99"/>
        <v>1.8714408973252805</v>
      </c>
      <c r="P243" s="6" t="s">
        <v>2788</v>
      </c>
      <c r="Q243" s="6" t="str">
        <f t="shared" si="100"/>
        <v>=11.59*100000000</v>
      </c>
      <c r="R243" s="11">
        <f>11.59*100000000</f>
        <v>1159000000</v>
      </c>
      <c r="S243" s="8">
        <f t="shared" si="101"/>
        <v>-0.75450116500741371</v>
      </c>
      <c r="T243" s="6" t="s">
        <v>3325</v>
      </c>
      <c r="U243" s="6" t="str">
        <f t="shared" si="102"/>
        <v>=47.21*100000000</v>
      </c>
      <c r="V243" s="1">
        <f>47.21*100000000</f>
        <v>4721000000</v>
      </c>
      <c r="W243" s="8">
        <f t="shared" si="103"/>
        <v>0.3926253687315634</v>
      </c>
      <c r="X243" s="6" t="s">
        <v>3326</v>
      </c>
      <c r="Y243" s="6" t="str">
        <f t="shared" si="104"/>
        <v>=33.90*100000000</v>
      </c>
      <c r="Z243" s="1">
        <f>33.9*100000000</f>
        <v>3390000000</v>
      </c>
      <c r="AA243" s="8">
        <f t="shared" si="105"/>
        <v>0.4599483204134367</v>
      </c>
      <c r="AB243" s="6" t="s">
        <v>3327</v>
      </c>
      <c r="AC243" s="6" t="str">
        <f t="shared" si="106"/>
        <v>=23.22*100000000</v>
      </c>
      <c r="AD243" s="1">
        <f>23.22*100000000</f>
        <v>2322000000</v>
      </c>
      <c r="AE243" s="8">
        <f t="shared" si="107"/>
        <v>1.9407294832826747</v>
      </c>
      <c r="AF243" s="6" t="s">
        <v>3328</v>
      </c>
      <c r="AG243" s="6" t="str">
        <f t="shared" si="108"/>
        <v>=7.896*100000000</v>
      </c>
      <c r="AH243" s="1">
        <f>7.896*100000000</f>
        <v>789600000</v>
      </c>
      <c r="AI243" s="8">
        <f t="shared" si="109"/>
        <v>-0.82429906542056075</v>
      </c>
      <c r="AJ243" s="6" t="s">
        <v>3329</v>
      </c>
      <c r="AK243" s="6" t="str">
        <f t="shared" si="110"/>
        <v>=44.94*100000000</v>
      </c>
      <c r="AL243" s="1">
        <f>44.94*100000000</f>
        <v>4494000000</v>
      </c>
      <c r="AM243" s="8">
        <f t="shared" si="111"/>
        <v>0.53326509723643811</v>
      </c>
      <c r="AN243" s="6" t="s">
        <v>607</v>
      </c>
      <c r="AO243" s="6" t="str">
        <f t="shared" si="112"/>
        <v>=29.31*100000000</v>
      </c>
      <c r="AP243" s="1">
        <f>29.31*100000000</f>
        <v>2931000000</v>
      </c>
      <c r="AQ243" s="8">
        <f t="shared" si="113"/>
        <v>0.32146077547339946</v>
      </c>
      <c r="AR243" s="6" t="s">
        <v>3330</v>
      </c>
      <c r="AS243" s="6" t="str">
        <f t="shared" si="114"/>
        <v>=22.18*100000000</v>
      </c>
      <c r="AT243" s="1">
        <f>22.18*100000000</f>
        <v>2218000000</v>
      </c>
      <c r="AU243" s="8">
        <f t="shared" si="115"/>
        <v>1.2385950746871215</v>
      </c>
      <c r="AV243" s="6" t="s">
        <v>3331</v>
      </c>
      <c r="AW243" s="6" t="str">
        <f t="shared" si="116"/>
        <v>=9.908*100000000</v>
      </c>
      <c r="AX243" s="1">
        <f>9.908*100000000</f>
        <v>990800000</v>
      </c>
      <c r="AY243" s="10">
        <f t="shared" si="117"/>
        <v>-0.71979638009049773</v>
      </c>
      <c r="AZ243" s="6" t="s">
        <v>3332</v>
      </c>
      <c r="BA243" s="6" t="str">
        <f t="shared" si="118"/>
        <v>=35.36*100000000</v>
      </c>
      <c r="BB243" s="1">
        <f>35.36*100000000</f>
        <v>3536000000</v>
      </c>
      <c r="BC243" s="8">
        <f t="shared" si="119"/>
        <v>0.27194244604316548</v>
      </c>
      <c r="BD243" s="6" t="s">
        <v>321</v>
      </c>
      <c r="BE243" s="6" t="str">
        <f t="shared" si="120"/>
        <v>=27.80*100000000</v>
      </c>
      <c r="BF243" s="1">
        <f>27.8*100000000</f>
        <v>2780000000</v>
      </c>
      <c r="BG243" s="8">
        <f t="shared" si="121"/>
        <v>0.3634134379597842</v>
      </c>
      <c r="BH243" s="6" t="s">
        <v>3333</v>
      </c>
      <c r="BI243" s="6" t="str">
        <f t="shared" si="122"/>
        <v>=20.39*100000000</v>
      </c>
      <c r="BJ243" s="1">
        <f>20.39*100000000</f>
        <v>2039000000</v>
      </c>
      <c r="BK243" s="6" t="s">
        <v>3334</v>
      </c>
      <c r="BL243" s="1" t="str">
        <f t="shared" si="94"/>
        <v>=9.686*100000000</v>
      </c>
      <c r="BM243" s="16">
        <f t="shared" si="123"/>
        <v>1.1051001445385091</v>
      </c>
      <c r="BN243" s="1">
        <f>9.686*100000000</f>
        <v>968600000</v>
      </c>
    </row>
    <row r="244" spans="1:66">
      <c r="A244" s="18"/>
      <c r="B244">
        <v>600196</v>
      </c>
      <c r="C244" t="s">
        <v>58</v>
      </c>
      <c r="D244" s="6" t="s">
        <v>3335</v>
      </c>
      <c r="E244" s="7" t="str">
        <f t="shared" si="93"/>
        <v>=60.54*100000000</v>
      </c>
      <c r="F244" s="1">
        <f>60.54*100000000</f>
        <v>6054000000</v>
      </c>
      <c r="G244" s="8">
        <f t="shared" si="95"/>
        <v>0.29747106729532791</v>
      </c>
      <c r="H244" s="6" t="s">
        <v>3336</v>
      </c>
      <c r="I244" s="6" t="str">
        <f t="shared" si="96"/>
        <v>=46.66*100000000</v>
      </c>
      <c r="J244" s="1">
        <f>46.66*100000000</f>
        <v>4666000000</v>
      </c>
      <c r="K244" s="10">
        <f t="shared" si="97"/>
        <v>0.41222760290556903</v>
      </c>
      <c r="L244" s="6" t="s">
        <v>3337</v>
      </c>
      <c r="M244" s="6" t="str">
        <f t="shared" si="98"/>
        <v>=33.04*100000000</v>
      </c>
      <c r="N244" s="1">
        <f>33.04*100000000</f>
        <v>3304000000</v>
      </c>
      <c r="O244" s="8">
        <f t="shared" si="99"/>
        <v>1.8855895196506551</v>
      </c>
      <c r="P244" s="6" t="s">
        <v>3338</v>
      </c>
      <c r="Q244" s="6" t="str">
        <f t="shared" si="100"/>
        <v>=11.45*100000000</v>
      </c>
      <c r="R244" s="11">
        <f>11.45*100000000</f>
        <v>1145000000</v>
      </c>
      <c r="S244" s="8">
        <f t="shared" si="101"/>
        <v>-0.75523728088926889</v>
      </c>
      <c r="T244" s="6" t="s">
        <v>3339</v>
      </c>
      <c r="U244" s="6" t="str">
        <f t="shared" si="102"/>
        <v>=46.78*100000000</v>
      </c>
      <c r="V244" s="1">
        <f>46.78*100000000</f>
        <v>4678000000</v>
      </c>
      <c r="W244" s="8">
        <f t="shared" si="103"/>
        <v>0.39226190476190476</v>
      </c>
      <c r="X244" s="6" t="s">
        <v>3340</v>
      </c>
      <c r="Y244" s="6" t="str">
        <f t="shared" si="104"/>
        <v>=33.60*100000000</v>
      </c>
      <c r="Z244" s="1">
        <f>33.6*100000000</f>
        <v>3360000000</v>
      </c>
      <c r="AA244" s="8">
        <f t="shared" si="105"/>
        <v>0.45960034752389228</v>
      </c>
      <c r="AB244" s="6" t="s">
        <v>3025</v>
      </c>
      <c r="AC244" s="6" t="str">
        <f t="shared" si="106"/>
        <v>=23.02*100000000</v>
      </c>
      <c r="AD244" s="1">
        <f>23.02*100000000</f>
        <v>2302000000</v>
      </c>
      <c r="AE244" s="8">
        <f t="shared" si="107"/>
        <v>1.9919417728099817</v>
      </c>
      <c r="AF244" s="6" t="s">
        <v>3341</v>
      </c>
      <c r="AG244" s="6" t="str">
        <f t="shared" si="108"/>
        <v>=7.694*100000000</v>
      </c>
      <c r="AH244" s="1">
        <f>7.694*100000000</f>
        <v>769400000</v>
      </c>
      <c r="AI244" s="8">
        <f t="shared" si="109"/>
        <v>-0.83000441891294741</v>
      </c>
      <c r="AJ244" s="6" t="s">
        <v>3342</v>
      </c>
      <c r="AK244" s="6" t="str">
        <f t="shared" si="110"/>
        <v>=45.26*100000000</v>
      </c>
      <c r="AL244" s="1">
        <f>45.26*100000000</f>
        <v>4526000000</v>
      </c>
      <c r="AM244" s="8">
        <f t="shared" si="111"/>
        <v>0.52957080094626563</v>
      </c>
      <c r="AN244" s="6" t="s">
        <v>3343</v>
      </c>
      <c r="AO244" s="6" t="str">
        <f t="shared" si="112"/>
        <v>=29.59*100000000</v>
      </c>
      <c r="AP244" s="1">
        <f>29.59*100000000</f>
        <v>2959000000</v>
      </c>
      <c r="AQ244" s="8">
        <f t="shared" si="113"/>
        <v>0.34744990892531874</v>
      </c>
      <c r="AR244" s="6" t="s">
        <v>3344</v>
      </c>
      <c r="AS244" s="6" t="str">
        <f t="shared" si="114"/>
        <v>=21.96*100000000</v>
      </c>
      <c r="AT244" s="1">
        <f>21.96*100000000</f>
        <v>2196000000</v>
      </c>
      <c r="AU244" s="8">
        <f t="shared" si="115"/>
        <v>1.2310271258762573</v>
      </c>
      <c r="AV244" s="6" t="s">
        <v>3345</v>
      </c>
      <c r="AW244" s="6" t="str">
        <f t="shared" si="116"/>
        <v>=9.843*100000000</v>
      </c>
      <c r="AX244" s="1">
        <f>9.843*100000000</f>
        <v>984300000</v>
      </c>
      <c r="AY244" s="10">
        <f t="shared" si="117"/>
        <v>-0.72505586592178772</v>
      </c>
      <c r="AZ244" s="6" t="s">
        <v>3346</v>
      </c>
      <c r="BA244" s="6" t="str">
        <f t="shared" si="118"/>
        <v>=35.80*100000000</v>
      </c>
      <c r="BB244" s="1">
        <f>35.8*100000000</f>
        <v>3579999999.9999995</v>
      </c>
      <c r="BC244" s="8">
        <f t="shared" si="119"/>
        <v>0.29288551823763076</v>
      </c>
      <c r="BD244" s="6" t="s">
        <v>3347</v>
      </c>
      <c r="BE244" s="6" t="str">
        <f t="shared" si="120"/>
        <v>=27.69*100000000</v>
      </c>
      <c r="BF244" s="1">
        <f>27.69*100000000</f>
        <v>2769000000</v>
      </c>
      <c r="BG244" s="8">
        <f t="shared" si="121"/>
        <v>0.35868498527968595</v>
      </c>
      <c r="BH244" s="6" t="s">
        <v>583</v>
      </c>
      <c r="BI244" s="6" t="str">
        <f t="shared" si="122"/>
        <v>=20.38*100000000</v>
      </c>
      <c r="BJ244" s="1">
        <f>20.38*100000000</f>
        <v>2038000000</v>
      </c>
      <c r="BK244" s="6" t="s">
        <v>3348</v>
      </c>
      <c r="BL244" s="1" t="str">
        <f t="shared" si="94"/>
        <v>=9.691*100000000</v>
      </c>
      <c r="BM244" s="16">
        <f t="shared" si="123"/>
        <v>1.1029821483850992</v>
      </c>
      <c r="BN244" s="1">
        <f>9.691*100000000</f>
        <v>969100000.00000012</v>
      </c>
    </row>
    <row r="245" spans="1:66">
      <c r="A245" s="19"/>
      <c r="B245">
        <v>600196</v>
      </c>
      <c r="C245" t="s">
        <v>68</v>
      </c>
      <c r="D245" s="6" t="s">
        <v>3349</v>
      </c>
      <c r="E245" s="7" t="str">
        <f t="shared" si="93"/>
        <v>=49.87*100000000</v>
      </c>
      <c r="F245" s="1">
        <f>49.87*100000000</f>
        <v>4987000000</v>
      </c>
      <c r="G245" s="8">
        <f t="shared" si="95"/>
        <v>0.2673443456162643</v>
      </c>
      <c r="H245" s="6" t="s">
        <v>3350</v>
      </c>
      <c r="I245" s="6" t="str">
        <f t="shared" si="96"/>
        <v>=39.35*100000000</v>
      </c>
      <c r="J245" s="1">
        <f>39.35*100000000</f>
        <v>3935000000</v>
      </c>
      <c r="K245" s="10">
        <f t="shared" si="97"/>
        <v>0.4288307915758896</v>
      </c>
      <c r="L245" s="6" t="s">
        <v>3351</v>
      </c>
      <c r="M245" s="6" t="str">
        <f t="shared" si="98"/>
        <v>=27.54*100000000</v>
      </c>
      <c r="N245" s="1">
        <f>27.54*100000000</f>
        <v>2754000000</v>
      </c>
      <c r="O245" s="8">
        <f t="shared" si="99"/>
        <v>1.8139368550117501</v>
      </c>
      <c r="P245" s="6" t="s">
        <v>3352</v>
      </c>
      <c r="Q245" s="6" t="str">
        <f t="shared" si="100"/>
        <v>=9.787*100000000</v>
      </c>
      <c r="R245" s="11">
        <f>9.787*100000000</f>
        <v>978700000.00000012</v>
      </c>
      <c r="S245" s="8">
        <f t="shared" si="101"/>
        <v>-0.75159898477157361</v>
      </c>
      <c r="T245" s="6" t="s">
        <v>3353</v>
      </c>
      <c r="U245" s="6" t="str">
        <f t="shared" si="102"/>
        <v>=39.40*100000000</v>
      </c>
      <c r="V245" s="1">
        <f>39.4*100000000</f>
        <v>3940000000</v>
      </c>
      <c r="W245" s="8">
        <f t="shared" si="103"/>
        <v>0.43272727272727274</v>
      </c>
      <c r="X245" s="6" t="s">
        <v>3354</v>
      </c>
      <c r="Y245" s="6" t="str">
        <f t="shared" si="104"/>
        <v>=27.50*100000000</v>
      </c>
      <c r="Z245" s="1">
        <f>27.5*100000000</f>
        <v>2750000000</v>
      </c>
      <c r="AA245" s="8">
        <f t="shared" si="105"/>
        <v>0.43979057591623016</v>
      </c>
      <c r="AB245" s="6" t="s">
        <v>1973</v>
      </c>
      <c r="AC245" s="6" t="str">
        <f t="shared" si="106"/>
        <v>=19.10*100000000</v>
      </c>
      <c r="AD245" s="1">
        <f>19.1*100000000</f>
        <v>1910000000.0000002</v>
      </c>
      <c r="AE245" s="8">
        <f t="shared" si="107"/>
        <v>1.9452582883577489</v>
      </c>
      <c r="AF245" s="6" t="s">
        <v>3355</v>
      </c>
      <c r="AG245" s="6" t="str">
        <f t="shared" si="108"/>
        <v>=6.485*100000000</v>
      </c>
      <c r="AH245" s="1">
        <f>6.485*100000000</f>
        <v>648500000</v>
      </c>
      <c r="AI245" s="8">
        <f t="shared" si="109"/>
        <v>-0.82678952991452992</v>
      </c>
      <c r="AJ245" s="6" t="s">
        <v>3356</v>
      </c>
      <c r="AK245" s="6" t="str">
        <f t="shared" si="110"/>
        <v>=37.44*100000000</v>
      </c>
      <c r="AL245" s="1">
        <f>37.44*100000000</f>
        <v>3744000000</v>
      </c>
      <c r="AM245" s="8">
        <f t="shared" si="111"/>
        <v>0.52442996742671011</v>
      </c>
      <c r="AN245" s="6" t="s">
        <v>606</v>
      </c>
      <c r="AO245" s="6" t="str">
        <f t="shared" si="112"/>
        <v>=24.56*100000000</v>
      </c>
      <c r="AP245" s="1">
        <f>24.56*100000000</f>
        <v>2456000000</v>
      </c>
      <c r="AQ245" s="8">
        <f t="shared" si="113"/>
        <v>0.34945054945054943</v>
      </c>
      <c r="AR245" s="6" t="s">
        <v>3357</v>
      </c>
      <c r="AS245" s="6" t="str">
        <f t="shared" si="114"/>
        <v>=18.20*100000000</v>
      </c>
      <c r="AT245" s="1">
        <f>18.2*100000000</f>
        <v>1820000000</v>
      </c>
      <c r="AU245" s="8">
        <f t="shared" si="115"/>
        <v>1.139163140573578</v>
      </c>
      <c r="AV245" s="6" t="s">
        <v>3358</v>
      </c>
      <c r="AW245" s="6" t="str">
        <f t="shared" si="116"/>
        <v>=8.508*100000000</v>
      </c>
      <c r="AX245" s="1">
        <f>8.508*100000000</f>
        <v>850799999.99999988</v>
      </c>
      <c r="AY245" s="10">
        <f t="shared" si="117"/>
        <v>-0.71827814569536419</v>
      </c>
      <c r="AZ245" s="6" t="s">
        <v>3359</v>
      </c>
      <c r="BA245" s="6" t="str">
        <f t="shared" si="118"/>
        <v>=30.20*100000000</v>
      </c>
      <c r="BB245" s="1">
        <f>30.2*100000000</f>
        <v>3020000000</v>
      </c>
      <c r="BC245" s="8">
        <f t="shared" si="119"/>
        <v>0.29115006412997008</v>
      </c>
      <c r="BD245" s="6" t="s">
        <v>622</v>
      </c>
      <c r="BE245" s="6" t="str">
        <f t="shared" si="120"/>
        <v>=23.39*100000000</v>
      </c>
      <c r="BF245" s="1">
        <f>23.39*100000000</f>
        <v>2339000000</v>
      </c>
      <c r="BG245" s="8">
        <f t="shared" si="121"/>
        <v>0.34579976985040278</v>
      </c>
      <c r="BH245" s="6" t="s">
        <v>3360</v>
      </c>
      <c r="BI245" s="6" t="str">
        <f t="shared" si="122"/>
        <v>=17.38*100000000</v>
      </c>
      <c r="BJ245" s="1">
        <f>17.38*100000000</f>
        <v>1738000000</v>
      </c>
      <c r="BK245" s="6" t="s">
        <v>3361</v>
      </c>
      <c r="BL245" s="1" t="str">
        <f t="shared" si="94"/>
        <v>=8.379*100000000</v>
      </c>
      <c r="BM245" s="16">
        <f t="shared" si="123"/>
        <v>1.074233202052751</v>
      </c>
      <c r="BN245" s="1">
        <f>8.379*100000000</f>
        <v>837900000</v>
      </c>
    </row>
    <row r="246" spans="1:66">
      <c r="A246" s="17">
        <v>62</v>
      </c>
      <c r="B246">
        <v>600207</v>
      </c>
      <c r="C246" t="s">
        <v>31</v>
      </c>
      <c r="D246" s="6" t="s">
        <v>3362</v>
      </c>
      <c r="E246" s="7" t="str">
        <f t="shared" si="93"/>
        <v>=33.39*100000000</v>
      </c>
      <c r="F246" s="1">
        <f>33.39*100000000</f>
        <v>3339000000</v>
      </c>
      <c r="G246" s="8">
        <f t="shared" si="95"/>
        <v>0.33187076186677306</v>
      </c>
      <c r="H246" s="6" t="s">
        <v>2739</v>
      </c>
      <c r="I246" s="6" t="str">
        <f t="shared" si="96"/>
        <v>=25.07*100000000</v>
      </c>
      <c r="J246" s="1">
        <f>25.07*100000000</f>
        <v>2507000000</v>
      </c>
      <c r="K246" s="10">
        <f t="shared" si="97"/>
        <v>0.53803680981595092</v>
      </c>
      <c r="L246" s="6" t="s">
        <v>3363</v>
      </c>
      <c r="M246" s="6" t="str">
        <f t="shared" si="98"/>
        <v>=16.30*100000000</v>
      </c>
      <c r="N246" s="1">
        <f>16.3*100000000</f>
        <v>1630000000</v>
      </c>
      <c r="O246" s="8">
        <f t="shared" si="99"/>
        <v>0.76923911863670924</v>
      </c>
      <c r="P246" s="6" t="s">
        <v>3364</v>
      </c>
      <c r="Q246" s="6" t="str">
        <f t="shared" si="100"/>
        <v>=9.213*100000000</v>
      </c>
      <c r="R246" s="11">
        <f>9.213*100000000</f>
        <v>921299999.99999988</v>
      </c>
      <c r="S246" s="8">
        <f t="shared" si="101"/>
        <v>-0.59786119598428633</v>
      </c>
      <c r="T246" s="6" t="s">
        <v>3365</v>
      </c>
      <c r="U246" s="6" t="str">
        <f t="shared" si="102"/>
        <v>=22.91*100000000</v>
      </c>
      <c r="V246" s="1">
        <f>22.91*100000000</f>
        <v>2291000000</v>
      </c>
      <c r="W246" s="8">
        <f t="shared" si="103"/>
        <v>0.4336670838548185</v>
      </c>
      <c r="X246" s="6" t="s">
        <v>3366</v>
      </c>
      <c r="Y246" s="6" t="str">
        <f t="shared" si="104"/>
        <v>=15.98*100000000</v>
      </c>
      <c r="Z246" s="1">
        <f>15.98*100000000</f>
        <v>1598000000</v>
      </c>
      <c r="AA246" s="8">
        <f t="shared" si="105"/>
        <v>0.52772466539196927</v>
      </c>
      <c r="AB246" s="6" t="s">
        <v>3367</v>
      </c>
      <c r="AC246" s="6" t="str">
        <f t="shared" si="106"/>
        <v>=10.46*100000000</v>
      </c>
      <c r="AD246" s="1">
        <f>10.46*100000000</f>
        <v>1046000000.0000001</v>
      </c>
      <c r="AE246" s="8">
        <f t="shared" si="107"/>
        <v>0.85724431818181834</v>
      </c>
      <c r="AF246" s="6" t="s">
        <v>3368</v>
      </c>
      <c r="AG246" s="6" t="str">
        <f t="shared" si="108"/>
        <v>=5.632*100000000</v>
      </c>
      <c r="AH246" s="1">
        <f>5.632*100000000</f>
        <v>563200000</v>
      </c>
      <c r="AI246" s="8">
        <f t="shared" si="109"/>
        <v>-0.72063492063492063</v>
      </c>
      <c r="AJ246" s="6" t="s">
        <v>3369</v>
      </c>
      <c r="AK246" s="6" t="str">
        <f t="shared" si="110"/>
        <v>=20.16*100000000</v>
      </c>
      <c r="AL246" s="1">
        <f>20.16*100000000</f>
        <v>2016000000</v>
      </c>
      <c r="AM246" s="8">
        <f t="shared" si="111"/>
        <v>0.48782287822878229</v>
      </c>
      <c r="AN246" s="6" t="s">
        <v>3370</v>
      </c>
      <c r="AO246" s="6" t="str">
        <f t="shared" si="112"/>
        <v>=13.55*100000000</v>
      </c>
      <c r="AP246" s="1">
        <f>13.55*100000000</f>
        <v>1355000000</v>
      </c>
      <c r="AQ246" s="8">
        <f t="shared" si="113"/>
        <v>0.43644651754478958</v>
      </c>
      <c r="AR246" s="6" t="s">
        <v>3371</v>
      </c>
      <c r="AS246" s="6" t="str">
        <f t="shared" si="114"/>
        <v>=9.433*100000000</v>
      </c>
      <c r="AT246" s="1">
        <f>9.433*100000000</f>
        <v>943300000</v>
      </c>
      <c r="AU246" s="8">
        <f t="shared" si="115"/>
        <v>0.68868600071607589</v>
      </c>
      <c r="AV246" s="6" t="s">
        <v>3372</v>
      </c>
      <c r="AW246" s="6" t="str">
        <f t="shared" si="116"/>
        <v>=5.586*100000000</v>
      </c>
      <c r="AX246" s="1">
        <f>5.586*100000000</f>
        <v>558600000</v>
      </c>
      <c r="AY246" s="10">
        <f t="shared" si="117"/>
        <v>-0.73823805060918468</v>
      </c>
      <c r="AZ246" s="6" t="s">
        <v>2276</v>
      </c>
      <c r="BA246" s="6" t="str">
        <f t="shared" si="118"/>
        <v>=21.34*100000000</v>
      </c>
      <c r="BB246" s="1">
        <f>21.34*100000000</f>
        <v>2134000000</v>
      </c>
      <c r="BC246" s="8">
        <f t="shared" si="119"/>
        <v>0.34552332912988648</v>
      </c>
      <c r="BD246" s="6" t="s">
        <v>278</v>
      </c>
      <c r="BE246" s="6" t="str">
        <f t="shared" si="120"/>
        <v>=15.86*100000000</v>
      </c>
      <c r="BF246" s="1">
        <f>15.86*100000000</f>
        <v>1586000000</v>
      </c>
      <c r="BG246" s="8">
        <f t="shared" si="121"/>
        <v>0.37316017316017314</v>
      </c>
      <c r="BH246" s="6" t="s">
        <v>615</v>
      </c>
      <c r="BI246" s="6" t="str">
        <f t="shared" si="122"/>
        <v>=11.55*100000000</v>
      </c>
      <c r="BJ246" s="1">
        <f>11.55*100000000</f>
        <v>1155000000</v>
      </c>
      <c r="BK246" s="6" t="s">
        <v>3373</v>
      </c>
      <c r="BL246" s="1" t="str">
        <f t="shared" si="94"/>
        <v>=6.325*100000000</v>
      </c>
      <c r="BM246" s="16">
        <f t="shared" si="123"/>
        <v>0.82608695652173914</v>
      </c>
      <c r="BN246" s="1">
        <f>6.325*100000000</f>
        <v>632500000</v>
      </c>
    </row>
    <row r="247" spans="1:66">
      <c r="A247" s="18"/>
      <c r="B247">
        <v>600207</v>
      </c>
      <c r="C247" t="s">
        <v>48</v>
      </c>
      <c r="D247" s="6" t="s">
        <v>3374</v>
      </c>
      <c r="E247" s="7" t="str">
        <f t="shared" si="93"/>
        <v>=2.537*100000000</v>
      </c>
      <c r="F247" s="1">
        <f>2.537*100000000</f>
        <v>253700000</v>
      </c>
      <c r="G247" s="8">
        <f t="shared" si="95"/>
        <v>2.837454398054317E-2</v>
      </c>
      <c r="H247" s="6" t="s">
        <v>3375</v>
      </c>
      <c r="I247" s="6" t="str">
        <f t="shared" si="96"/>
        <v>=2.467*100000000</v>
      </c>
      <c r="J247" s="1">
        <f>2.467*100000000</f>
        <v>246700000</v>
      </c>
      <c r="K247" s="10">
        <f t="shared" si="97"/>
        <v>0.22553402881271734</v>
      </c>
      <c r="L247" s="6" t="s">
        <v>3376</v>
      </c>
      <c r="M247" s="6" t="str">
        <f t="shared" si="98"/>
        <v>=2.013*100000000</v>
      </c>
      <c r="N247" s="1">
        <f>2.013*100000000</f>
        <v>201300000</v>
      </c>
      <c r="O247" s="8">
        <f t="shared" si="99"/>
        <v>0.25420560747663551</v>
      </c>
      <c r="P247" s="6" t="s">
        <v>3377</v>
      </c>
      <c r="Q247" s="6" t="str">
        <f t="shared" si="100"/>
        <v>=1.605*100000000</v>
      </c>
      <c r="R247" s="11">
        <f>1.605*100000000</f>
        <v>160500000</v>
      </c>
      <c r="S247" s="8">
        <f t="shared" si="101"/>
        <v>0.20949510173323285</v>
      </c>
      <c r="T247" s="6" t="s">
        <v>3378</v>
      </c>
      <c r="U247" s="6" t="str">
        <f t="shared" si="102"/>
        <v>=1.327*100000000</v>
      </c>
      <c r="V247" s="1">
        <f>1.327*100000000</f>
        <v>132700000</v>
      </c>
      <c r="W247" s="8">
        <f t="shared" si="103"/>
        <v>0.75112166798627611</v>
      </c>
      <c r="X247" s="7" t="s">
        <v>3379</v>
      </c>
      <c r="Y247" s="6" t="str">
        <f t="shared" si="104"/>
        <v>=7578*10000</v>
      </c>
      <c r="Z247" s="1">
        <f>7578*10000</f>
        <v>75780000</v>
      </c>
      <c r="AA247" s="8">
        <f t="shared" si="105"/>
        <v>0.72383985441310283</v>
      </c>
      <c r="AB247" s="7" t="s">
        <v>3380</v>
      </c>
      <c r="AC247" s="6" t="str">
        <f t="shared" si="106"/>
        <v>=4396*10000</v>
      </c>
      <c r="AD247" s="1">
        <f>4396*10000</f>
        <v>43960000</v>
      </c>
      <c r="AE247" s="8">
        <f t="shared" si="107"/>
        <v>0.70851146521570152</v>
      </c>
      <c r="AF247" s="7" t="s">
        <v>3381</v>
      </c>
      <c r="AG247" s="6" t="str">
        <f t="shared" si="108"/>
        <v>=2573*10000</v>
      </c>
      <c r="AH247" s="1">
        <f>2573*10000</f>
        <v>25730000</v>
      </c>
      <c r="AI247" s="8">
        <f t="shared" si="109"/>
        <v>-4.8622035424797359</v>
      </c>
      <c r="AJ247" s="7">
        <f>-666.2*10000</f>
        <v>-6662000</v>
      </c>
      <c r="AK247" s="6" t="str">
        <f t="shared" si="110"/>
        <v>=-6662000</v>
      </c>
      <c r="AL247" s="1">
        <f>-6662000</f>
        <v>-6662000</v>
      </c>
      <c r="AM247" s="8">
        <f t="shared" si="111"/>
        <v>-0.13153435014991527</v>
      </c>
      <c r="AN247" s="7">
        <f>-767.1*10000</f>
        <v>-7671000</v>
      </c>
      <c r="AO247" s="6" t="str">
        <f t="shared" si="112"/>
        <v>=-7671000</v>
      </c>
      <c r="AP247" s="1">
        <f>-7671000</f>
        <v>-7671000</v>
      </c>
      <c r="AQ247" s="8">
        <f t="shared" si="113"/>
        <v>-0.60661538461538467</v>
      </c>
      <c r="AR247" s="7">
        <f>-1950*10000</f>
        <v>-19500000</v>
      </c>
      <c r="AS247" s="6" t="str">
        <f t="shared" si="114"/>
        <v>=-19500000</v>
      </c>
      <c r="AT247" s="1">
        <f>-19500000</f>
        <v>-19500000</v>
      </c>
      <c r="AU247" s="8">
        <f t="shared" si="115"/>
        <v>1.6154247003647731E-2</v>
      </c>
      <c r="AV247" s="7">
        <f>-1919*10000</f>
        <v>-19190000</v>
      </c>
      <c r="AW247" s="6" t="str">
        <f t="shared" si="116"/>
        <v>=-19190000</v>
      </c>
      <c r="AX247" s="1">
        <f>-19190000</f>
        <v>-19190000</v>
      </c>
      <c r="AY247" s="10">
        <f t="shared" si="117"/>
        <v>-0.93477226376614553</v>
      </c>
      <c r="AZ247" s="6">
        <f>-2.942*100000000</f>
        <v>-294200000</v>
      </c>
      <c r="BA247" s="6" t="str">
        <f t="shared" si="118"/>
        <v>=-294200000</v>
      </c>
      <c r="BB247" s="1">
        <f>-294200000</f>
        <v>-294200000</v>
      </c>
      <c r="BC247" s="8">
        <f t="shared" si="119"/>
        <v>19.068212824010914</v>
      </c>
      <c r="BD247" s="7">
        <f>-1466*10000</f>
        <v>-14660000</v>
      </c>
      <c r="BE247" s="6" t="str">
        <f t="shared" si="120"/>
        <v>=-14660000</v>
      </c>
      <c r="BF247" s="1">
        <f>-14660000</f>
        <v>-14660000</v>
      </c>
      <c r="BG247" s="8">
        <f t="shared" si="121"/>
        <v>-2.7375844494488564</v>
      </c>
      <c r="BH247" s="7" t="s">
        <v>3382</v>
      </c>
      <c r="BI247" s="6" t="str">
        <f t="shared" si="122"/>
        <v>=843.7*10000</v>
      </c>
      <c r="BJ247" s="1">
        <f>843.7*10000</f>
        <v>8437000</v>
      </c>
      <c r="BK247" s="7">
        <f>-595.7*10000</f>
        <v>-5957000</v>
      </c>
      <c r="BL247" s="1" t="str">
        <f t="shared" si="94"/>
        <v>=-5957000</v>
      </c>
      <c r="BM247" s="16">
        <f t="shared" si="123"/>
        <v>-2.4163169380560685</v>
      </c>
      <c r="BN247" s="1">
        <f>-5957000</f>
        <v>-5957000</v>
      </c>
    </row>
    <row r="248" spans="1:66">
      <c r="A248" s="18"/>
      <c r="B248">
        <v>600207</v>
      </c>
      <c r="C248" t="s">
        <v>58</v>
      </c>
      <c r="D248" s="6" t="s">
        <v>3383</v>
      </c>
      <c r="E248" s="7" t="str">
        <f t="shared" si="93"/>
        <v>=2.521*100000000</v>
      </c>
      <c r="F248" s="1">
        <f>2.521*100000000</f>
        <v>252100000</v>
      </c>
      <c r="G248" s="8">
        <f t="shared" si="95"/>
        <v>2.2718052738336714E-2</v>
      </c>
      <c r="H248" s="6" t="s">
        <v>3384</v>
      </c>
      <c r="I248" s="6" t="str">
        <f t="shared" si="96"/>
        <v>=2.465*100000000</v>
      </c>
      <c r="J248" s="1">
        <f>2.465*100000000</f>
        <v>246500000</v>
      </c>
      <c r="K248" s="10">
        <f t="shared" si="97"/>
        <v>0.22636815920398029</v>
      </c>
      <c r="L248" s="6" t="s">
        <v>3385</v>
      </c>
      <c r="M248" s="6" t="str">
        <f t="shared" si="98"/>
        <v>=2.010*100000000</v>
      </c>
      <c r="N248" s="1">
        <f>2.01*100000000</f>
        <v>200999999.99999997</v>
      </c>
      <c r="O248" s="8">
        <f t="shared" si="99"/>
        <v>0.24922311995027949</v>
      </c>
      <c r="P248" s="6" t="s">
        <v>3386</v>
      </c>
      <c r="Q248" s="6" t="str">
        <f t="shared" si="100"/>
        <v>=1.609*100000000</v>
      </c>
      <c r="R248" s="11">
        <f>1.609*100000000</f>
        <v>160900000</v>
      </c>
      <c r="S248" s="8">
        <f t="shared" si="101"/>
        <v>0.21342383107088989</v>
      </c>
      <c r="T248" s="6" t="s">
        <v>1655</v>
      </c>
      <c r="U248" s="6" t="str">
        <f t="shared" si="102"/>
        <v>=1.326*100000000</v>
      </c>
      <c r="V248" s="1">
        <f>1.326*100000000</f>
        <v>132600000</v>
      </c>
      <c r="W248" s="8">
        <f t="shared" si="103"/>
        <v>0.74611535422702135</v>
      </c>
      <c r="X248" s="7" t="s">
        <v>3387</v>
      </c>
      <c r="Y248" s="6" t="str">
        <f t="shared" si="104"/>
        <v>=7594*10000</v>
      </c>
      <c r="Z248" s="1">
        <f>7594*10000</f>
        <v>75940000</v>
      </c>
      <c r="AA248" s="8">
        <f t="shared" si="105"/>
        <v>0.72512494320763288</v>
      </c>
      <c r="AB248" s="7" t="s">
        <v>3388</v>
      </c>
      <c r="AC248" s="6" t="str">
        <f t="shared" si="106"/>
        <v>=4402*10000</v>
      </c>
      <c r="AD248" s="1">
        <f>4402*10000</f>
        <v>44020000</v>
      </c>
      <c r="AE248" s="8">
        <f t="shared" si="107"/>
        <v>0.71017871017871015</v>
      </c>
      <c r="AF248" s="7" t="s">
        <v>3389</v>
      </c>
      <c r="AG248" s="6" t="str">
        <f t="shared" si="108"/>
        <v>=2574*10000</v>
      </c>
      <c r="AH248" s="1">
        <f>2574*10000</f>
        <v>25740000</v>
      </c>
      <c r="AI248" s="8">
        <f t="shared" si="109"/>
        <v>-0.42964768446709506</v>
      </c>
      <c r="AJ248" s="7" t="s">
        <v>3390</v>
      </c>
      <c r="AK248" s="6" t="str">
        <f t="shared" si="110"/>
        <v>=4513*10000</v>
      </c>
      <c r="AL248" s="1">
        <f>4513*10000</f>
        <v>45130000</v>
      </c>
      <c r="AM248" s="8">
        <f t="shared" si="111"/>
        <v>1.6212564737671697E-2</v>
      </c>
      <c r="AN248" s="7" t="s">
        <v>3391</v>
      </c>
      <c r="AO248" s="6" t="str">
        <f t="shared" si="112"/>
        <v>=4441*10000</v>
      </c>
      <c r="AP248" s="1">
        <f>4441*10000</f>
        <v>44410000</v>
      </c>
      <c r="AQ248" s="8">
        <f t="shared" si="113"/>
        <v>0.36226993865030677</v>
      </c>
      <c r="AR248" s="7" t="s">
        <v>3392</v>
      </c>
      <c r="AS248" s="6" t="str">
        <f t="shared" si="114"/>
        <v>=3260*10000</v>
      </c>
      <c r="AT248" s="1">
        <f>3260*10000</f>
        <v>32600000</v>
      </c>
      <c r="AU248" s="8">
        <f t="shared" si="115"/>
        <v>-2.690871369294606</v>
      </c>
      <c r="AV248" s="7">
        <f>-1928*10000</f>
        <v>-19280000</v>
      </c>
      <c r="AW248" s="6" t="str">
        <f t="shared" si="116"/>
        <v>=-19280000</v>
      </c>
      <c r="AX248" s="1">
        <f>-19280000</f>
        <v>-19280000</v>
      </c>
      <c r="AY248" s="10">
        <f t="shared" si="117"/>
        <v>-0.93867684478371505</v>
      </c>
      <c r="AZ248" s="6">
        <f>-3.144*100000000</f>
        <v>-314400000</v>
      </c>
      <c r="BA248" s="6" t="str">
        <f t="shared" si="118"/>
        <v>=-314400000</v>
      </c>
      <c r="BB248" s="1">
        <f>-314400000</f>
        <v>-314400000</v>
      </c>
      <c r="BC248" s="8">
        <f t="shared" si="119"/>
        <v>20.534246575342465</v>
      </c>
      <c r="BD248" s="7">
        <f>-1460*10000</f>
        <v>-14600000</v>
      </c>
      <c r="BE248" s="6" t="str">
        <f t="shared" si="120"/>
        <v>=-14600000</v>
      </c>
      <c r="BF248" s="1">
        <f>-14600000</f>
        <v>-14600000</v>
      </c>
      <c r="BG248" s="8">
        <f t="shared" si="121"/>
        <v>-2.7194676716523376</v>
      </c>
      <c r="BH248" s="7" t="s">
        <v>3393</v>
      </c>
      <c r="BI248" s="6" t="str">
        <f t="shared" si="122"/>
        <v>=849.1*10000</v>
      </c>
      <c r="BJ248" s="1">
        <f>849.1*10000</f>
        <v>8491000</v>
      </c>
      <c r="BK248" s="7">
        <f>-627.1*10000</f>
        <v>-6271000</v>
      </c>
      <c r="BL248" s="1" t="str">
        <f t="shared" si="94"/>
        <v>=-6271000</v>
      </c>
      <c r="BM248" s="16">
        <f t="shared" si="123"/>
        <v>-2.3540105246372192</v>
      </c>
      <c r="BN248" s="1">
        <f>-6271000</f>
        <v>-6271000</v>
      </c>
    </row>
    <row r="249" spans="1:66">
      <c r="A249" s="19"/>
      <c r="B249">
        <v>600207</v>
      </c>
      <c r="C249" t="s">
        <v>68</v>
      </c>
      <c r="D249" s="6" t="s">
        <v>3394</v>
      </c>
      <c r="E249" s="7" t="str">
        <f t="shared" si="93"/>
        <v>=2.148*100000000</v>
      </c>
      <c r="F249" s="1">
        <f>2.148*100000000</f>
        <v>214800000</v>
      </c>
      <c r="G249" s="8">
        <f t="shared" si="95"/>
        <v>1.7527238275698576E-2</v>
      </c>
      <c r="H249" s="6" t="s">
        <v>3395</v>
      </c>
      <c r="I249" s="6" t="str">
        <f t="shared" si="96"/>
        <v>=2.111*100000000</v>
      </c>
      <c r="J249" s="1">
        <f>2.111*100000000</f>
        <v>211100000.00000003</v>
      </c>
      <c r="K249" s="10">
        <f t="shared" si="97"/>
        <v>0.1579813494240265</v>
      </c>
      <c r="L249" s="6" t="s">
        <v>3396</v>
      </c>
      <c r="M249" s="6" t="str">
        <f t="shared" si="98"/>
        <v>=1.823*100000000</v>
      </c>
      <c r="N249" s="1">
        <f>1.823*100000000</f>
        <v>182300000</v>
      </c>
      <c r="O249" s="8">
        <f t="shared" si="99"/>
        <v>0.19306282722513088</v>
      </c>
      <c r="P249" s="6" t="s">
        <v>3397</v>
      </c>
      <c r="Q249" s="6" t="str">
        <f t="shared" si="100"/>
        <v>=1.528*100000000</v>
      </c>
      <c r="R249" s="11">
        <f>1.528*100000000</f>
        <v>152800000</v>
      </c>
      <c r="S249" s="8">
        <f t="shared" si="101"/>
        <v>0.32638888888888906</v>
      </c>
      <c r="T249" s="6" t="s">
        <v>2167</v>
      </c>
      <c r="U249" s="6" t="str">
        <f t="shared" si="102"/>
        <v>=1.152*100000000</v>
      </c>
      <c r="V249" s="1">
        <f>1.152*100000000</f>
        <v>115199999.99999999</v>
      </c>
      <c r="W249" s="8">
        <f t="shared" si="103"/>
        <v>0.76985712090950964</v>
      </c>
      <c r="X249" s="7" t="s">
        <v>3398</v>
      </c>
      <c r="Y249" s="6" t="str">
        <f t="shared" si="104"/>
        <v>=6509*10000</v>
      </c>
      <c r="Z249" s="1">
        <f>6509*10000</f>
        <v>65090000</v>
      </c>
      <c r="AA249" s="8">
        <f t="shared" si="105"/>
        <v>0.78720483250961015</v>
      </c>
      <c r="AB249" s="7" t="s">
        <v>3399</v>
      </c>
      <c r="AC249" s="6" t="str">
        <f t="shared" si="106"/>
        <v>=3642*10000</v>
      </c>
      <c r="AD249" s="1">
        <f>3642*10000</f>
        <v>36420000</v>
      </c>
      <c r="AE249" s="8">
        <f t="shared" si="107"/>
        <v>0.67756794104099494</v>
      </c>
      <c r="AF249" s="7" t="s">
        <v>3400</v>
      </c>
      <c r="AG249" s="6" t="str">
        <f t="shared" si="108"/>
        <v>=2171*10000</v>
      </c>
      <c r="AH249" s="1">
        <f>2171*10000</f>
        <v>21710000</v>
      </c>
      <c r="AI249" s="8">
        <f t="shared" si="109"/>
        <v>-0.16947207345065035</v>
      </c>
      <c r="AJ249" s="7" t="s">
        <v>3401</v>
      </c>
      <c r="AK249" s="6" t="str">
        <f t="shared" si="110"/>
        <v>=2614*10000</v>
      </c>
      <c r="AL249" s="1">
        <f>2614*10000</f>
        <v>26140000</v>
      </c>
      <c r="AM249" s="8">
        <f t="shared" si="111"/>
        <v>-0.17565436770734785</v>
      </c>
      <c r="AN249" s="7" t="s">
        <v>3402</v>
      </c>
      <c r="AO249" s="6" t="str">
        <f t="shared" si="112"/>
        <v>=3171*10000</v>
      </c>
      <c r="AP249" s="1">
        <f>3171*10000</f>
        <v>31710000</v>
      </c>
      <c r="AQ249" s="8">
        <f t="shared" si="113"/>
        <v>0.33067561896768777</v>
      </c>
      <c r="AR249" s="7" t="s">
        <v>1212</v>
      </c>
      <c r="AS249" s="6" t="str">
        <f t="shared" si="114"/>
        <v>=2383*10000</v>
      </c>
      <c r="AT249" s="1">
        <f>2383*10000</f>
        <v>23830000</v>
      </c>
      <c r="AU249" s="8">
        <f t="shared" si="115"/>
        <v>-1.9810621655002059</v>
      </c>
      <c r="AV249" s="7">
        <f>-2429*10000</f>
        <v>-24290000</v>
      </c>
      <c r="AW249" s="6" t="str">
        <f t="shared" si="116"/>
        <v>=-24290000</v>
      </c>
      <c r="AX249" s="1">
        <f>-24290000</f>
        <v>-24290000</v>
      </c>
      <c r="AY249" s="10">
        <f t="shared" si="117"/>
        <v>-0.92592253735895091</v>
      </c>
      <c r="AZ249" s="6">
        <f>-3.279*100000000</f>
        <v>-327900000</v>
      </c>
      <c r="BA249" s="6" t="str">
        <f t="shared" si="118"/>
        <v>=-327900000</v>
      </c>
      <c r="BB249" s="1">
        <f>-327900000</f>
        <v>-327900000</v>
      </c>
      <c r="BC249" s="8">
        <f t="shared" si="119"/>
        <v>13.17639429312581</v>
      </c>
      <c r="BD249" s="7">
        <f>-2313*10000</f>
        <v>-23130000</v>
      </c>
      <c r="BE249" s="6" t="str">
        <f t="shared" si="120"/>
        <v>=-23130000</v>
      </c>
      <c r="BF249" s="1">
        <f>-23130000</f>
        <v>-23130000</v>
      </c>
      <c r="BG249" s="8">
        <f t="shared" si="121"/>
        <v>-9.3081896551724146</v>
      </c>
      <c r="BH249" s="7" t="s">
        <v>3403</v>
      </c>
      <c r="BI249" s="6" t="str">
        <f t="shared" si="122"/>
        <v>=278.4*10000</v>
      </c>
      <c r="BJ249" s="1">
        <f>278.4*10000</f>
        <v>2784000</v>
      </c>
      <c r="BK249" s="7">
        <f>-956.6*10000</f>
        <v>-9566000</v>
      </c>
      <c r="BL249" s="1" t="str">
        <f t="shared" si="94"/>
        <v>=-9566000</v>
      </c>
      <c r="BM249" s="16">
        <f t="shared" si="123"/>
        <v>-1.2910307338490488</v>
      </c>
      <c r="BN249" s="1">
        <f>-9566000</f>
        <v>-9566000</v>
      </c>
    </row>
    <row r="250" spans="1:66">
      <c r="A250" s="17">
        <v>63</v>
      </c>
      <c r="B250">
        <v>600210</v>
      </c>
      <c r="C250" t="s">
        <v>31</v>
      </c>
      <c r="D250" s="6" t="s">
        <v>3404</v>
      </c>
      <c r="E250" s="7" t="str">
        <f t="shared" si="93"/>
        <v>=95.29*100000000</v>
      </c>
      <c r="F250" s="1">
        <f>95.29*100000000</f>
        <v>9529000000</v>
      </c>
      <c r="G250" s="8">
        <f t="shared" si="95"/>
        <v>0.31018836793620241</v>
      </c>
      <c r="H250" s="6" t="s">
        <v>3405</v>
      </c>
      <c r="I250" s="6" t="str">
        <f t="shared" si="96"/>
        <v>=72.73*100000000</v>
      </c>
      <c r="J250" s="1">
        <f>72.73*100000000</f>
        <v>7273000000</v>
      </c>
      <c r="K250" s="10">
        <f t="shared" si="97"/>
        <v>0.49312256210223776</v>
      </c>
      <c r="L250" s="6" t="s">
        <v>3406</v>
      </c>
      <c r="M250" s="6" t="str">
        <f t="shared" si="98"/>
        <v>=48.71*100000000</v>
      </c>
      <c r="N250" s="1">
        <f>48.71*100000000</f>
        <v>4871000000</v>
      </c>
      <c r="O250" s="8">
        <f t="shared" si="99"/>
        <v>1.1610470275066549</v>
      </c>
      <c r="P250" s="6" t="s">
        <v>3407</v>
      </c>
      <c r="Q250" s="6" t="str">
        <f t="shared" si="100"/>
        <v>=22.54*100000000</v>
      </c>
      <c r="R250" s="11">
        <f>22.54*100000000</f>
        <v>2254000000</v>
      </c>
      <c r="S250" s="8">
        <f t="shared" si="101"/>
        <v>-0.73224043715846998</v>
      </c>
      <c r="T250" s="6" t="s">
        <v>3408</v>
      </c>
      <c r="U250" s="6" t="str">
        <f t="shared" si="102"/>
        <v>=84.18*100000000</v>
      </c>
      <c r="V250" s="1">
        <f>84.18*100000000</f>
        <v>8418000000.000001</v>
      </c>
      <c r="W250" s="8">
        <f t="shared" si="103"/>
        <v>0.20809414466130882</v>
      </c>
      <c r="X250" s="6" t="s">
        <v>3409</v>
      </c>
      <c r="Y250" s="6" t="str">
        <f t="shared" si="104"/>
        <v>=69.68*100000000</v>
      </c>
      <c r="Z250" s="1">
        <f>69.68*100000000</f>
        <v>6968000000.000001</v>
      </c>
      <c r="AA250" s="8">
        <f t="shared" si="105"/>
        <v>0.57789855072463792</v>
      </c>
      <c r="AB250" s="6" t="s">
        <v>3410</v>
      </c>
      <c r="AC250" s="6" t="str">
        <f t="shared" si="106"/>
        <v>=44.16*100000000</v>
      </c>
      <c r="AD250" s="1">
        <f>44.16*100000000</f>
        <v>4416000000</v>
      </c>
      <c r="AE250" s="8">
        <f t="shared" si="107"/>
        <v>1.3818770226537216</v>
      </c>
      <c r="AF250" s="6" t="s">
        <v>3411</v>
      </c>
      <c r="AG250" s="6" t="str">
        <f t="shared" si="108"/>
        <v>=18.54*100000000</v>
      </c>
      <c r="AH250" s="1">
        <f>18.54*100000000</f>
        <v>1854000000</v>
      </c>
      <c r="AI250" s="8">
        <f t="shared" si="109"/>
        <v>-0.7987189230268158</v>
      </c>
      <c r="AJ250" s="6" t="s">
        <v>3412</v>
      </c>
      <c r="AK250" s="6" t="str">
        <f t="shared" si="110"/>
        <v>=92.11*100000000</v>
      </c>
      <c r="AL250" s="1">
        <f>92.11*100000000</f>
        <v>9211000000</v>
      </c>
      <c r="AM250" s="8">
        <f t="shared" si="111"/>
        <v>0.30652482269503545</v>
      </c>
      <c r="AN250" s="6" t="s">
        <v>3413</v>
      </c>
      <c r="AO250" s="6" t="str">
        <f t="shared" si="112"/>
        <v>=70.50*100000000</v>
      </c>
      <c r="AP250" s="1">
        <f>70.5*100000000</f>
        <v>7050000000</v>
      </c>
      <c r="AQ250" s="8">
        <f t="shared" si="113"/>
        <v>0.51385011810178227</v>
      </c>
      <c r="AR250" s="6" t="s">
        <v>3414</v>
      </c>
      <c r="AS250" s="6" t="str">
        <f t="shared" si="114"/>
        <v>=46.57*100000000</v>
      </c>
      <c r="AT250" s="1">
        <f>46.57*100000000</f>
        <v>4657000000</v>
      </c>
      <c r="AU250" s="8">
        <f t="shared" si="115"/>
        <v>1.0651884700665188</v>
      </c>
      <c r="AV250" s="6" t="s">
        <v>1821</v>
      </c>
      <c r="AW250" s="6" t="str">
        <f t="shared" si="116"/>
        <v>=22.55*100000000</v>
      </c>
      <c r="AX250" s="1">
        <f>22.55*100000000</f>
        <v>2255000000</v>
      </c>
      <c r="AY250" s="10">
        <f t="shared" si="117"/>
        <v>-0.74972253052164262</v>
      </c>
      <c r="AZ250" s="6" t="s">
        <v>3415</v>
      </c>
      <c r="BA250" s="6" t="str">
        <f t="shared" si="118"/>
        <v>=90.10*100000000</v>
      </c>
      <c r="BB250" s="1">
        <f>90.1*100000000</f>
        <v>9010000000</v>
      </c>
      <c r="BC250" s="8">
        <f t="shared" si="119"/>
        <v>0.25539919186289534</v>
      </c>
      <c r="BD250" s="6" t="s">
        <v>3416</v>
      </c>
      <c r="BE250" s="6" t="str">
        <f t="shared" si="120"/>
        <v>=71.77*100000000</v>
      </c>
      <c r="BF250" s="1">
        <f>71.77*100000000</f>
        <v>7177000000</v>
      </c>
      <c r="BG250" s="8">
        <f t="shared" si="121"/>
        <v>0.51958500952784248</v>
      </c>
      <c r="BH250" s="6" t="s">
        <v>3417</v>
      </c>
      <c r="BI250" s="6" t="str">
        <f t="shared" si="122"/>
        <v>=47.23*100000000</v>
      </c>
      <c r="BJ250" s="1">
        <f>47.23*100000000</f>
        <v>4723000000</v>
      </c>
      <c r="BK250" s="6" t="s">
        <v>2467</v>
      </c>
      <c r="BL250" s="1" t="str">
        <f t="shared" si="94"/>
        <v>=21.92*100000000</v>
      </c>
      <c r="BM250" s="16">
        <f t="shared" si="123"/>
        <v>1.1546532846715329</v>
      </c>
      <c r="BN250" s="1">
        <f>21.92*100000000</f>
        <v>2192000000</v>
      </c>
    </row>
    <row r="251" spans="1:66">
      <c r="A251" s="18"/>
      <c r="B251">
        <v>600210</v>
      </c>
      <c r="C251" t="s">
        <v>48</v>
      </c>
      <c r="D251" s="6" t="s">
        <v>3418</v>
      </c>
      <c r="E251" s="7" t="str">
        <f t="shared" si="93"/>
        <v>=7.727*100000000</v>
      </c>
      <c r="F251" s="1">
        <f>7.727*100000000</f>
        <v>772700000</v>
      </c>
      <c r="G251" s="8">
        <f t="shared" si="95"/>
        <v>0.30633981403212174</v>
      </c>
      <c r="H251" s="6" t="s">
        <v>3419</v>
      </c>
      <c r="I251" s="6" t="str">
        <f t="shared" si="96"/>
        <v>=5.915*100000000</v>
      </c>
      <c r="J251" s="1">
        <f>5.915*100000000</f>
        <v>591500000</v>
      </c>
      <c r="K251" s="10">
        <f t="shared" si="97"/>
        <v>0.30516328331862314</v>
      </c>
      <c r="L251" s="6" t="s">
        <v>3420</v>
      </c>
      <c r="M251" s="6" t="str">
        <f t="shared" si="98"/>
        <v>=4.532*100000000</v>
      </c>
      <c r="N251" s="1">
        <f>4.532*100000000</f>
        <v>453200000</v>
      </c>
      <c r="O251" s="8">
        <f t="shared" si="99"/>
        <v>1.7684789248625534</v>
      </c>
      <c r="P251" s="6" t="s">
        <v>3084</v>
      </c>
      <c r="Q251" s="6" t="str">
        <f t="shared" si="100"/>
        <v>=1.637*100000000</v>
      </c>
      <c r="R251" s="11">
        <f>1.637*100000000</f>
        <v>163700000</v>
      </c>
      <c r="S251" s="8">
        <f t="shared" si="101"/>
        <v>-0.7670745589072282</v>
      </c>
      <c r="T251" s="6" t="s">
        <v>3421</v>
      </c>
      <c r="U251" s="6" t="str">
        <f t="shared" si="102"/>
        <v>=7.028*100000000</v>
      </c>
      <c r="V251" s="1">
        <f>7.028*100000000</f>
        <v>702800000</v>
      </c>
      <c r="W251" s="8">
        <f t="shared" si="103"/>
        <v>0.21486603284356093</v>
      </c>
      <c r="X251" s="6" t="s">
        <v>3422</v>
      </c>
      <c r="Y251" s="6" t="str">
        <f t="shared" si="104"/>
        <v>=5.785*100000000</v>
      </c>
      <c r="Z251" s="1">
        <f>5.785*100000000</f>
        <v>578500000</v>
      </c>
      <c r="AA251" s="8">
        <f t="shared" si="105"/>
        <v>0.76533414708574921</v>
      </c>
      <c r="AB251" s="6" t="s">
        <v>3423</v>
      </c>
      <c r="AC251" s="6" t="str">
        <f t="shared" si="106"/>
        <v>=3.277*100000000</v>
      </c>
      <c r="AD251" s="1">
        <f>3.277*100000000</f>
        <v>327700000</v>
      </c>
      <c r="AE251" s="8">
        <f t="shared" si="107"/>
        <v>4.5317353139770429</v>
      </c>
      <c r="AF251" s="7" t="s">
        <v>3424</v>
      </c>
      <c r="AG251" s="6" t="str">
        <f t="shared" si="108"/>
        <v>=5924*10000</v>
      </c>
      <c r="AH251" s="1">
        <f>5924*10000</f>
        <v>59240000</v>
      </c>
      <c r="AI251" s="8">
        <f t="shared" si="109"/>
        <v>-0.90290116374364859</v>
      </c>
      <c r="AJ251" s="6" t="s">
        <v>3425</v>
      </c>
      <c r="AK251" s="6" t="str">
        <f t="shared" si="110"/>
        <v>=6.101*100000000</v>
      </c>
      <c r="AL251" s="1">
        <f>6.101*100000000</f>
        <v>610100000</v>
      </c>
      <c r="AM251" s="8">
        <f t="shared" si="111"/>
        <v>0.20454096742349442</v>
      </c>
      <c r="AN251" s="6" t="s">
        <v>3426</v>
      </c>
      <c r="AO251" s="6" t="str">
        <f t="shared" si="112"/>
        <v>=5.065*100000000</v>
      </c>
      <c r="AP251" s="1">
        <f>5.065*100000000</f>
        <v>506500000.00000006</v>
      </c>
      <c r="AQ251" s="8">
        <f t="shared" si="113"/>
        <v>0.49365968740784449</v>
      </c>
      <c r="AR251" s="6" t="s">
        <v>3427</v>
      </c>
      <c r="AS251" s="6" t="str">
        <f t="shared" si="114"/>
        <v>=3.391*100000000</v>
      </c>
      <c r="AT251" s="1">
        <f>3.391*100000000</f>
        <v>339100000</v>
      </c>
      <c r="AU251" s="8">
        <f t="shared" si="115"/>
        <v>3.3402022270574685</v>
      </c>
      <c r="AV251" s="7" t="s">
        <v>3428</v>
      </c>
      <c r="AW251" s="6" t="str">
        <f t="shared" si="116"/>
        <v>=7813*10000</v>
      </c>
      <c r="AX251" s="1">
        <f>7813*10000</f>
        <v>78130000</v>
      </c>
      <c r="AY251" s="10">
        <f t="shared" si="117"/>
        <v>-0.85909828674481514</v>
      </c>
      <c r="AZ251" s="6" t="s">
        <v>3429</v>
      </c>
      <c r="BA251" s="6" t="str">
        <f t="shared" si="118"/>
        <v>=5.545*100000000</v>
      </c>
      <c r="BB251" s="1">
        <f>5.545*100000000</f>
        <v>554500000</v>
      </c>
      <c r="BC251" s="8">
        <f t="shared" si="119"/>
        <v>3.3550792171481825E-2</v>
      </c>
      <c r="BD251" s="6" t="s">
        <v>3430</v>
      </c>
      <c r="BE251" s="6" t="str">
        <f t="shared" si="120"/>
        <v>=5.365*100000000</v>
      </c>
      <c r="BF251" s="1">
        <f>5.365*100000000</f>
        <v>536500000</v>
      </c>
      <c r="BG251" s="8">
        <f t="shared" si="121"/>
        <v>0.3006060606060606</v>
      </c>
      <c r="BH251" s="6" t="s">
        <v>3431</v>
      </c>
      <c r="BI251" s="6" t="str">
        <f t="shared" si="122"/>
        <v>=4.125*100000000</v>
      </c>
      <c r="BJ251" s="1">
        <f>4.125*100000000</f>
        <v>412500000</v>
      </c>
      <c r="BK251" s="7" t="s">
        <v>3432</v>
      </c>
      <c r="BL251" s="1" t="str">
        <f t="shared" si="94"/>
        <v>=9066*10000</v>
      </c>
      <c r="BM251" s="16">
        <f t="shared" si="123"/>
        <v>3.5499669093315687</v>
      </c>
      <c r="BN251" s="1">
        <f>9066*10000</f>
        <v>90660000</v>
      </c>
    </row>
    <row r="252" spans="1:66">
      <c r="A252" s="18"/>
      <c r="B252">
        <v>600210</v>
      </c>
      <c r="C252" t="s">
        <v>58</v>
      </c>
      <c r="D252" s="6" t="s">
        <v>3433</v>
      </c>
      <c r="E252" s="7" t="str">
        <f t="shared" si="93"/>
        <v>=7.608*100000000</v>
      </c>
      <c r="F252" s="1">
        <f>7.608*100000000</f>
        <v>760800000</v>
      </c>
      <c r="G252" s="8">
        <f t="shared" si="95"/>
        <v>0.29168081494057724</v>
      </c>
      <c r="H252" s="6" t="s">
        <v>3434</v>
      </c>
      <c r="I252" s="6" t="str">
        <f t="shared" si="96"/>
        <v>=5.890*100000000</v>
      </c>
      <c r="J252" s="1">
        <f>5.89*100000000</f>
        <v>589000000</v>
      </c>
      <c r="K252" s="10">
        <f t="shared" si="97"/>
        <v>0.29850088183421536</v>
      </c>
      <c r="L252" s="6" t="s">
        <v>1279</v>
      </c>
      <c r="M252" s="6" t="str">
        <f t="shared" si="98"/>
        <v>=4.536*100000000</v>
      </c>
      <c r="N252" s="1">
        <f>4.536*100000000</f>
        <v>453599999.99999994</v>
      </c>
      <c r="O252" s="8">
        <f t="shared" si="99"/>
        <v>1.7161676646706583</v>
      </c>
      <c r="P252" s="6" t="s">
        <v>3435</v>
      </c>
      <c r="Q252" s="6" t="str">
        <f t="shared" si="100"/>
        <v>=1.670*100000000</v>
      </c>
      <c r="R252" s="11">
        <f>1.67*100000000</f>
        <v>167000000</v>
      </c>
      <c r="S252" s="8">
        <f t="shared" si="101"/>
        <v>-0.75940066272871343</v>
      </c>
      <c r="T252" s="6" t="s">
        <v>3436</v>
      </c>
      <c r="U252" s="6" t="str">
        <f t="shared" si="102"/>
        <v>=6.941*100000000</v>
      </c>
      <c r="V252" s="1">
        <f>6.941*100000000</f>
        <v>694100000</v>
      </c>
      <c r="W252" s="8">
        <f t="shared" si="103"/>
        <v>0.22308370044052864</v>
      </c>
      <c r="X252" s="6" t="s">
        <v>2670</v>
      </c>
      <c r="Y252" s="6" t="str">
        <f t="shared" si="104"/>
        <v>=5.675*100000000</v>
      </c>
      <c r="Z252" s="1">
        <f>5.675*100000000</f>
        <v>567500000</v>
      </c>
      <c r="AA252" s="8">
        <f t="shared" si="105"/>
        <v>0.78740157480314965</v>
      </c>
      <c r="AB252" s="6" t="s">
        <v>3437</v>
      </c>
      <c r="AC252" s="6" t="str">
        <f t="shared" si="106"/>
        <v>=3.175*100000000</v>
      </c>
      <c r="AD252" s="1">
        <f>3.175*100000000</f>
        <v>317500000</v>
      </c>
      <c r="AE252" s="8">
        <f t="shared" si="107"/>
        <v>5.0361216730038025</v>
      </c>
      <c r="AF252" s="7" t="s">
        <v>3438</v>
      </c>
      <c r="AG252" s="6" t="str">
        <f t="shared" si="108"/>
        <v>=5260*10000</v>
      </c>
      <c r="AH252" s="1">
        <f>5260*10000</f>
        <v>52600000</v>
      </c>
      <c r="AI252" s="8">
        <f t="shared" si="109"/>
        <v>-0.91153716784392869</v>
      </c>
      <c r="AJ252" s="6" t="s">
        <v>3439</v>
      </c>
      <c r="AK252" s="6" t="str">
        <f t="shared" si="110"/>
        <v>=5.946*100000000</v>
      </c>
      <c r="AL252" s="1">
        <f>5.946*100000000</f>
        <v>594600000</v>
      </c>
      <c r="AM252" s="8">
        <f t="shared" si="111"/>
        <v>0.1727810650887574</v>
      </c>
      <c r="AN252" s="6" t="s">
        <v>3440</v>
      </c>
      <c r="AO252" s="6" t="str">
        <f t="shared" si="112"/>
        <v>=5.070*100000000</v>
      </c>
      <c r="AP252" s="1">
        <f>5.07*100000000</f>
        <v>507000000</v>
      </c>
      <c r="AQ252" s="8">
        <f t="shared" si="113"/>
        <v>0.49381261048909841</v>
      </c>
      <c r="AR252" s="6" t="s">
        <v>3441</v>
      </c>
      <c r="AS252" s="6" t="str">
        <f t="shared" si="114"/>
        <v>=3.394*100000000</v>
      </c>
      <c r="AT252" s="1">
        <f>3.394*100000000</f>
        <v>339400000</v>
      </c>
      <c r="AU252" s="8">
        <f t="shared" si="115"/>
        <v>3.3071065989847717</v>
      </c>
      <c r="AV252" s="7" t="s">
        <v>3442</v>
      </c>
      <c r="AW252" s="6" t="str">
        <f t="shared" si="116"/>
        <v>=7880*10000</v>
      </c>
      <c r="AX252" s="1">
        <f>7880*10000</f>
        <v>78800000</v>
      </c>
      <c r="AY252" s="10">
        <f t="shared" si="117"/>
        <v>-0.8572722332910705</v>
      </c>
      <c r="AZ252" s="6" t="s">
        <v>3443</v>
      </c>
      <c r="BA252" s="6" t="str">
        <f t="shared" si="118"/>
        <v>=5.521*100000000</v>
      </c>
      <c r="BB252" s="1">
        <f>5.521*100000000</f>
        <v>552100000</v>
      </c>
      <c r="BC252" s="8">
        <f t="shared" si="119"/>
        <v>3.292797006548176E-2</v>
      </c>
      <c r="BD252" s="6" t="s">
        <v>3444</v>
      </c>
      <c r="BE252" s="6" t="str">
        <f t="shared" si="120"/>
        <v>=5.345*100000000</v>
      </c>
      <c r="BF252" s="1">
        <f>5.345*100000000</f>
        <v>534500000</v>
      </c>
      <c r="BG252" s="8">
        <f t="shared" si="121"/>
        <v>0.30684596577017115</v>
      </c>
      <c r="BH252" s="6" t="s">
        <v>3445</v>
      </c>
      <c r="BI252" s="6" t="str">
        <f t="shared" si="122"/>
        <v>=4.090*100000000</v>
      </c>
      <c r="BJ252" s="1">
        <f>4.09*100000000</f>
        <v>409000000</v>
      </c>
      <c r="BK252" s="7" t="s">
        <v>3446</v>
      </c>
      <c r="BL252" s="1" t="str">
        <f t="shared" si="94"/>
        <v>=9115*10000</v>
      </c>
      <c r="BM252" s="16">
        <f t="shared" si="123"/>
        <v>3.4871091607240814</v>
      </c>
      <c r="BN252" s="1">
        <f>9115*10000</f>
        <v>91150000</v>
      </c>
    </row>
    <row r="253" spans="1:66">
      <c r="A253" s="19"/>
      <c r="B253">
        <v>600210</v>
      </c>
      <c r="C253" t="s">
        <v>68</v>
      </c>
      <c r="D253" s="6" t="s">
        <v>3447</v>
      </c>
      <c r="E253" s="7" t="str">
        <f t="shared" si="93"/>
        <v>=6.027*100000000</v>
      </c>
      <c r="F253" s="1">
        <f>6.027*100000000</f>
        <v>602700000</v>
      </c>
      <c r="G253" s="8">
        <f t="shared" si="95"/>
        <v>0.29473684210526313</v>
      </c>
      <c r="H253" s="6" t="s">
        <v>3448</v>
      </c>
      <c r="I253" s="6" t="str">
        <f t="shared" si="96"/>
        <v>=4.655*100000000</v>
      </c>
      <c r="J253" s="1">
        <f>4.655*100000000</f>
        <v>465500000</v>
      </c>
      <c r="K253" s="10">
        <f t="shared" si="97"/>
        <v>0.31683168316831684</v>
      </c>
      <c r="L253" s="6" t="s">
        <v>1049</v>
      </c>
      <c r="M253" s="6" t="str">
        <f t="shared" si="98"/>
        <v>=3.535*100000000</v>
      </c>
      <c r="N253" s="1">
        <f>3.535*100000000</f>
        <v>353500000</v>
      </c>
      <c r="O253" s="8">
        <f t="shared" si="99"/>
        <v>1.6800606520090977</v>
      </c>
      <c r="P253" s="6" t="s">
        <v>3449</v>
      </c>
      <c r="Q253" s="6" t="str">
        <f t="shared" si="100"/>
        <v>=1.319*100000000</v>
      </c>
      <c r="R253" s="11">
        <f>1.319*100000000</f>
        <v>131900000</v>
      </c>
      <c r="S253" s="8">
        <f t="shared" si="101"/>
        <v>-0.77817019845274138</v>
      </c>
      <c r="T253" s="6" t="s">
        <v>3439</v>
      </c>
      <c r="U253" s="6" t="str">
        <f t="shared" si="102"/>
        <v>=5.946*100000000</v>
      </c>
      <c r="V253" s="1">
        <f>5.946*100000000</f>
        <v>594600000</v>
      </c>
      <c r="W253" s="8">
        <f t="shared" si="103"/>
        <v>0.29317094388864723</v>
      </c>
      <c r="X253" s="6" t="s">
        <v>3450</v>
      </c>
      <c r="Y253" s="6" t="str">
        <f t="shared" si="104"/>
        <v>=4.598*100000000</v>
      </c>
      <c r="Z253" s="1">
        <f>4.598*100000000</f>
        <v>459800000</v>
      </c>
      <c r="AA253" s="8">
        <f t="shared" si="105"/>
        <v>0.78632478632478653</v>
      </c>
      <c r="AB253" s="6" t="s">
        <v>3451</v>
      </c>
      <c r="AC253" s="6" t="str">
        <f t="shared" si="106"/>
        <v>=2.574*100000000</v>
      </c>
      <c r="AD253" s="1">
        <f>2.574*100000000</f>
        <v>257399999.99999997</v>
      </c>
      <c r="AE253" s="8">
        <f t="shared" si="107"/>
        <v>4.934978095457689</v>
      </c>
      <c r="AF253" s="7" t="s">
        <v>3452</v>
      </c>
      <c r="AG253" s="6" t="str">
        <f t="shared" si="108"/>
        <v>=4337*10000</v>
      </c>
      <c r="AH253" s="1">
        <f>4337*10000</f>
        <v>43370000</v>
      </c>
      <c r="AI253" s="8">
        <f t="shared" si="109"/>
        <v>-0.91658011155991537</v>
      </c>
      <c r="AJ253" s="6" t="s">
        <v>3453</v>
      </c>
      <c r="AK253" s="6" t="str">
        <f t="shared" si="110"/>
        <v>=5.199*100000000</v>
      </c>
      <c r="AL253" s="1">
        <f>5.199*100000000</f>
        <v>519900000</v>
      </c>
      <c r="AM253" s="8">
        <f t="shared" si="111"/>
        <v>0.22849716446124763</v>
      </c>
      <c r="AN253" s="6" t="s">
        <v>3454</v>
      </c>
      <c r="AO253" s="6" t="str">
        <f t="shared" si="112"/>
        <v>=4.232*100000000</v>
      </c>
      <c r="AP253" s="1">
        <f>4.232*100000000</f>
        <v>423200000</v>
      </c>
      <c r="AQ253" s="8">
        <f t="shared" si="113"/>
        <v>0.4745644599303136</v>
      </c>
      <c r="AR253" s="6" t="s">
        <v>3455</v>
      </c>
      <c r="AS253" s="6" t="str">
        <f t="shared" si="114"/>
        <v>=2.870*100000000</v>
      </c>
      <c r="AT253" s="1">
        <f>2.87*100000000</f>
        <v>287000000</v>
      </c>
      <c r="AU253" s="8">
        <f t="shared" si="115"/>
        <v>3.7211712452706038</v>
      </c>
      <c r="AV253" s="7" t="s">
        <v>3456</v>
      </c>
      <c r="AW253" s="6" t="str">
        <f t="shared" si="116"/>
        <v>=6079*10000</v>
      </c>
      <c r="AX253" s="1">
        <f>6079*10000</f>
        <v>60790000</v>
      </c>
      <c r="AY253" s="10">
        <f t="shared" si="117"/>
        <v>-0.86586496028243598</v>
      </c>
      <c r="AZ253" s="6" t="s">
        <v>3420</v>
      </c>
      <c r="BA253" s="6" t="str">
        <f t="shared" si="118"/>
        <v>=4.532*100000000</v>
      </c>
      <c r="BB253" s="1">
        <f>4.532*100000000</f>
        <v>453200000</v>
      </c>
      <c r="BC253" s="8">
        <f t="shared" si="119"/>
        <v>9.9466278505579819E-2</v>
      </c>
      <c r="BD253" s="6" t="s">
        <v>3457</v>
      </c>
      <c r="BE253" s="6" t="str">
        <f t="shared" si="120"/>
        <v>=4.122*100000000</v>
      </c>
      <c r="BF253" s="1">
        <f>4.122*100000000</f>
        <v>412200000</v>
      </c>
      <c r="BG253" s="8">
        <f t="shared" si="121"/>
        <v>0.31399426203379027</v>
      </c>
      <c r="BH253" s="6" t="s">
        <v>3458</v>
      </c>
      <c r="BI253" s="6" t="str">
        <f t="shared" si="122"/>
        <v>=3.137*100000000</v>
      </c>
      <c r="BJ253" s="1">
        <f>3.137*100000000</f>
        <v>313700000</v>
      </c>
      <c r="BK253" s="7" t="s">
        <v>3459</v>
      </c>
      <c r="BL253" s="1" t="str">
        <f t="shared" si="94"/>
        <v>=6955*10000</v>
      </c>
      <c r="BM253" s="16">
        <f t="shared" si="123"/>
        <v>3.5104241552839683</v>
      </c>
      <c r="BN253" s="1">
        <f>6955*10000</f>
        <v>69550000</v>
      </c>
    </row>
    <row r="254" spans="1:66">
      <c r="A254" s="17">
        <v>64</v>
      </c>
      <c r="B254">
        <v>600211</v>
      </c>
      <c r="C254" t="s">
        <v>31</v>
      </c>
      <c r="D254" s="6" t="s">
        <v>3460</v>
      </c>
      <c r="E254" s="7" t="str">
        <f t="shared" si="93"/>
        <v>=21.39*100000000</v>
      </c>
      <c r="F254" s="1">
        <f>21.39*100000000</f>
        <v>2139000000</v>
      </c>
      <c r="G254" s="8">
        <f t="shared" si="95"/>
        <v>0.36939820742637647</v>
      </c>
      <c r="H254" s="6" t="s">
        <v>1833</v>
      </c>
      <c r="I254" s="6" t="str">
        <f t="shared" si="96"/>
        <v>=15.62*100000000</v>
      </c>
      <c r="J254" s="1">
        <f>15.62*100000000</f>
        <v>1562000000</v>
      </c>
      <c r="K254" s="10">
        <f t="shared" si="97"/>
        <v>0.50481695568400753</v>
      </c>
      <c r="L254" s="6" t="s">
        <v>1188</v>
      </c>
      <c r="M254" s="6" t="str">
        <f t="shared" si="98"/>
        <v>=10.38*100000000</v>
      </c>
      <c r="N254" s="1">
        <f>10.38*100000000</f>
        <v>1038000000.0000001</v>
      </c>
      <c r="O254" s="8">
        <f t="shared" si="99"/>
        <v>1.0999393081124829</v>
      </c>
      <c r="P254" s="6" t="s">
        <v>3461</v>
      </c>
      <c r="Q254" s="6" t="str">
        <f t="shared" si="100"/>
        <v>=4.943*100000000</v>
      </c>
      <c r="R254" s="11">
        <f>4.943*100000000</f>
        <v>494299999.99999994</v>
      </c>
      <c r="S254" s="8">
        <f t="shared" si="101"/>
        <v>-0.63998543335761104</v>
      </c>
      <c r="T254" s="6" t="s">
        <v>2647</v>
      </c>
      <c r="U254" s="6" t="str">
        <f t="shared" si="102"/>
        <v>=13.73*100000000</v>
      </c>
      <c r="V254" s="1">
        <f>13.73*100000000</f>
        <v>1373000000</v>
      </c>
      <c r="W254" s="8">
        <f t="shared" si="103"/>
        <v>0.38742926434923186</v>
      </c>
      <c r="X254" s="6" t="s">
        <v>3462</v>
      </c>
      <c r="Y254" s="6" t="str">
        <f t="shared" si="104"/>
        <v>=9.896*100000000</v>
      </c>
      <c r="Z254" s="1">
        <f>9.896*100000000</f>
        <v>989600000.00000012</v>
      </c>
      <c r="AA254" s="8">
        <f t="shared" si="105"/>
        <v>0.57429207763283507</v>
      </c>
      <c r="AB254" s="6" t="s">
        <v>3463</v>
      </c>
      <c r="AC254" s="6" t="str">
        <f t="shared" si="106"/>
        <v>=6.286*100000000</v>
      </c>
      <c r="AD254" s="1">
        <f>6.286*100000000</f>
        <v>628600000</v>
      </c>
      <c r="AE254" s="8">
        <f t="shared" si="107"/>
        <v>1.1179245283018868</v>
      </c>
      <c r="AF254" s="6" t="s">
        <v>1238</v>
      </c>
      <c r="AG254" s="6" t="str">
        <f t="shared" si="108"/>
        <v>=2.968*100000000</v>
      </c>
      <c r="AH254" s="1">
        <f>2.968*100000000</f>
        <v>296800000</v>
      </c>
      <c r="AI254" s="8">
        <f t="shared" si="109"/>
        <v>-0.76369426751592362</v>
      </c>
      <c r="AJ254" s="6" t="s">
        <v>2956</v>
      </c>
      <c r="AK254" s="6" t="str">
        <f t="shared" si="110"/>
        <v>=12.56*100000000</v>
      </c>
      <c r="AL254" s="1">
        <f>12.56*100000000</f>
        <v>1256000000</v>
      </c>
      <c r="AM254" s="8">
        <f t="shared" si="111"/>
        <v>0.3486524213465047</v>
      </c>
      <c r="AN254" s="6" t="s">
        <v>3464</v>
      </c>
      <c r="AO254" s="6" t="str">
        <f t="shared" si="112"/>
        <v>=9.313*100000000</v>
      </c>
      <c r="AP254" s="1">
        <f>9.313*100000000</f>
        <v>931300000.00000012</v>
      </c>
      <c r="AQ254" s="8">
        <f t="shared" si="113"/>
        <v>0.50500969618616698</v>
      </c>
      <c r="AR254" s="6" t="s">
        <v>3465</v>
      </c>
      <c r="AS254" s="6" t="str">
        <f t="shared" si="114"/>
        <v>=6.188*100000000</v>
      </c>
      <c r="AT254" s="1">
        <f>6.188*100000000</f>
        <v>618800000</v>
      </c>
      <c r="AU254" s="8">
        <f t="shared" si="115"/>
        <v>1.0828004039044092</v>
      </c>
      <c r="AV254" s="6" t="s">
        <v>117</v>
      </c>
      <c r="AW254" s="6" t="str">
        <f t="shared" si="116"/>
        <v>=2.971*100000000</v>
      </c>
      <c r="AX254" s="1">
        <f>2.971*100000000</f>
        <v>297100000</v>
      </c>
      <c r="AY254" s="10">
        <f t="shared" si="117"/>
        <v>-0.7109922178988326</v>
      </c>
      <c r="AZ254" s="6" t="s">
        <v>3466</v>
      </c>
      <c r="BA254" s="6" t="str">
        <f t="shared" si="118"/>
        <v>=10.28*100000000</v>
      </c>
      <c r="BB254" s="1">
        <f>10.28*100000000</f>
        <v>1027999999.9999999</v>
      </c>
      <c r="BC254" s="8">
        <f t="shared" si="119"/>
        <v>0.38675300148387953</v>
      </c>
      <c r="BD254" s="6" t="s">
        <v>3467</v>
      </c>
      <c r="BE254" s="6" t="str">
        <f t="shared" si="120"/>
        <v>=7.413*100000000</v>
      </c>
      <c r="BF254" s="1">
        <f>7.413*100000000</f>
        <v>741300000</v>
      </c>
      <c r="BG254" s="8">
        <f t="shared" si="121"/>
        <v>0.63714664310954083</v>
      </c>
      <c r="BH254" s="6" t="s">
        <v>3468</v>
      </c>
      <c r="BI254" s="6" t="str">
        <f t="shared" si="122"/>
        <v>=4.528*100000000</v>
      </c>
      <c r="BJ254" s="1">
        <f>4.528*100000000</f>
        <v>452799999.99999994</v>
      </c>
      <c r="BK254" s="6" t="s">
        <v>3469</v>
      </c>
      <c r="BL254" s="1" t="str">
        <f t="shared" si="94"/>
        <v>=2.127*100000000</v>
      </c>
      <c r="BM254" s="16">
        <f t="shared" si="123"/>
        <v>1.1288199341795957</v>
      </c>
      <c r="BN254" s="1">
        <f>2.127*100000000</f>
        <v>212699999.99999997</v>
      </c>
    </row>
    <row r="255" spans="1:66">
      <c r="A255" s="18"/>
      <c r="B255">
        <v>600211</v>
      </c>
      <c r="C255" t="s">
        <v>48</v>
      </c>
      <c r="D255" s="6" t="s">
        <v>1654</v>
      </c>
      <c r="E255" s="7" t="str">
        <f t="shared" si="93"/>
        <v>=2.568*100000000</v>
      </c>
      <c r="F255" s="1">
        <f>2.568*100000000</f>
        <v>256800000</v>
      </c>
      <c r="G255" s="8">
        <f t="shared" si="95"/>
        <v>-0.4555861776552893</v>
      </c>
      <c r="H255" s="6" t="s">
        <v>3470</v>
      </c>
      <c r="I255" s="6" t="str">
        <f t="shared" si="96"/>
        <v>=4.717*100000000</v>
      </c>
      <c r="J255" s="1">
        <f>4.717*100000000</f>
        <v>471699999.99999994</v>
      </c>
      <c r="K255" s="10">
        <f t="shared" si="97"/>
        <v>0.41354510038957132</v>
      </c>
      <c r="L255" s="6" t="s">
        <v>3471</v>
      </c>
      <c r="M255" s="6" t="str">
        <f t="shared" si="98"/>
        <v>=3.337*100000000</v>
      </c>
      <c r="N255" s="1">
        <f>3.337*100000000</f>
        <v>333700000</v>
      </c>
      <c r="O255" s="8">
        <f t="shared" si="99"/>
        <v>0.89172335600907027</v>
      </c>
      <c r="P255" s="6" t="s">
        <v>3472</v>
      </c>
      <c r="Q255" s="6" t="str">
        <f t="shared" si="100"/>
        <v>=1.764*100000000</v>
      </c>
      <c r="R255" s="11">
        <f>1.764*100000000</f>
        <v>176400000</v>
      </c>
      <c r="S255" s="8">
        <f t="shared" si="101"/>
        <v>-0.62635034950222412</v>
      </c>
      <c r="T255" s="6" t="s">
        <v>3473</v>
      </c>
      <c r="U255" s="6" t="str">
        <f t="shared" si="102"/>
        <v>=4.721*100000000</v>
      </c>
      <c r="V255" s="1">
        <f>4.721*100000000</f>
        <v>472100000</v>
      </c>
      <c r="W255" s="8">
        <f t="shared" si="103"/>
        <v>0.28742841559858195</v>
      </c>
      <c r="X255" s="6" t="s">
        <v>3474</v>
      </c>
      <c r="Y255" s="6" t="str">
        <f t="shared" si="104"/>
        <v>=3.667*100000000</v>
      </c>
      <c r="Z255" s="1">
        <f>3.667*100000000</f>
        <v>366700000</v>
      </c>
      <c r="AA255" s="8">
        <f t="shared" si="105"/>
        <v>0.47032878909382503</v>
      </c>
      <c r="AB255" s="6" t="s">
        <v>3475</v>
      </c>
      <c r="AC255" s="6" t="str">
        <f t="shared" si="106"/>
        <v>=2.494*100000000</v>
      </c>
      <c r="AD255" s="1">
        <f>2.494*100000000</f>
        <v>249400000.00000003</v>
      </c>
      <c r="AE255" s="8">
        <f t="shared" si="107"/>
        <v>0.72237569060773499</v>
      </c>
      <c r="AF255" s="6" t="s">
        <v>3476</v>
      </c>
      <c r="AG255" s="6" t="str">
        <f t="shared" si="108"/>
        <v>=1.448*100000000</v>
      </c>
      <c r="AH255" s="1">
        <f>1.448*100000000</f>
        <v>144800000</v>
      </c>
      <c r="AI255" s="8">
        <f t="shared" si="109"/>
        <v>-0.58769931662870156</v>
      </c>
      <c r="AJ255" s="6" t="s">
        <v>3477</v>
      </c>
      <c r="AK255" s="6" t="str">
        <f t="shared" si="110"/>
        <v>=3.512*100000000</v>
      </c>
      <c r="AL255" s="1">
        <f>3.512*100000000</f>
        <v>351200000</v>
      </c>
      <c r="AM255" s="8">
        <f t="shared" si="111"/>
        <v>0.3031539888682746</v>
      </c>
      <c r="AN255" s="6" t="s">
        <v>1767</v>
      </c>
      <c r="AO255" s="6" t="str">
        <f t="shared" si="112"/>
        <v>=2.695*100000000</v>
      </c>
      <c r="AP255" s="1">
        <f>2.695*100000000</f>
        <v>269500000</v>
      </c>
      <c r="AQ255" s="8">
        <f t="shared" si="113"/>
        <v>0.51745495495495497</v>
      </c>
      <c r="AR255" s="6" t="s">
        <v>1953</v>
      </c>
      <c r="AS255" s="6" t="str">
        <f t="shared" si="114"/>
        <v>=1.776*100000000</v>
      </c>
      <c r="AT255" s="1">
        <f>1.776*100000000</f>
        <v>177600000</v>
      </c>
      <c r="AU255" s="8">
        <f t="shared" si="115"/>
        <v>1.2275178728207701</v>
      </c>
      <c r="AV255" s="7" t="s">
        <v>3478</v>
      </c>
      <c r="AW255" s="6" t="str">
        <f t="shared" si="116"/>
        <v>=7973*10000</v>
      </c>
      <c r="AX255" s="1">
        <f>7973*10000</f>
        <v>79730000</v>
      </c>
      <c r="AY255" s="10">
        <f t="shared" si="117"/>
        <v>-0.67337156902908635</v>
      </c>
      <c r="AZ255" s="6" t="s">
        <v>3479</v>
      </c>
      <c r="BA255" s="6" t="str">
        <f t="shared" si="118"/>
        <v>=2.441*100000000</v>
      </c>
      <c r="BB255" s="1">
        <f>2.441*100000000</f>
        <v>244099999.99999997</v>
      </c>
      <c r="BC255" s="8">
        <f t="shared" si="119"/>
        <v>-5.7164928543839436E-2</v>
      </c>
      <c r="BD255" s="6" t="s">
        <v>3480</v>
      </c>
      <c r="BE255" s="6" t="str">
        <f t="shared" si="120"/>
        <v>=2.589*100000000</v>
      </c>
      <c r="BF255" s="1">
        <f>2.589*100000000</f>
        <v>258900000</v>
      </c>
      <c r="BG255" s="8">
        <f t="shared" si="121"/>
        <v>0.78183069511355818</v>
      </c>
      <c r="BH255" s="6" t="s">
        <v>3481</v>
      </c>
      <c r="BI255" s="6" t="str">
        <f t="shared" si="122"/>
        <v>=1.453*100000000</v>
      </c>
      <c r="BJ255" s="1">
        <f>1.453*100000000</f>
        <v>145300000</v>
      </c>
      <c r="BK255" s="7" t="s">
        <v>3482</v>
      </c>
      <c r="BL255" s="1" t="str">
        <f t="shared" si="94"/>
        <v>=7791*10000</v>
      </c>
      <c r="BM255" s="16">
        <f t="shared" si="123"/>
        <v>0.86497240405596199</v>
      </c>
      <c r="BN255" s="1">
        <f>7791*10000</f>
        <v>77910000</v>
      </c>
    </row>
    <row r="256" spans="1:66">
      <c r="A256" s="18"/>
      <c r="B256">
        <v>600211</v>
      </c>
      <c r="C256" t="s">
        <v>58</v>
      </c>
      <c r="D256" s="6" t="s">
        <v>3483</v>
      </c>
      <c r="E256" s="7" t="str">
        <f t="shared" si="93"/>
        <v>=2.549*100000000</v>
      </c>
      <c r="F256" s="1">
        <f>2.549*100000000</f>
        <v>254900000</v>
      </c>
      <c r="G256" s="8">
        <f t="shared" si="95"/>
        <v>-0.45892591806410538</v>
      </c>
      <c r="H256" s="6" t="s">
        <v>3484</v>
      </c>
      <c r="I256" s="6" t="str">
        <f t="shared" si="96"/>
        <v>=4.711*100000000</v>
      </c>
      <c r="J256" s="1">
        <f>4.711*100000000</f>
        <v>471100000.00000006</v>
      </c>
      <c r="K256" s="10">
        <f t="shared" si="97"/>
        <v>0.41005686920083823</v>
      </c>
      <c r="L256" s="6" t="s">
        <v>3485</v>
      </c>
      <c r="M256" s="6" t="str">
        <f t="shared" si="98"/>
        <v>=3.341*100000000</v>
      </c>
      <c r="N256" s="1">
        <f>3.341*100000000</f>
        <v>334100000</v>
      </c>
      <c r="O256" s="8">
        <f t="shared" si="99"/>
        <v>0.8950652297220647</v>
      </c>
      <c r="P256" s="6" t="s">
        <v>3486</v>
      </c>
      <c r="Q256" s="6" t="str">
        <f t="shared" si="100"/>
        <v>=1.763*100000000</v>
      </c>
      <c r="R256" s="11">
        <f>1.763*100000000</f>
        <v>176300000</v>
      </c>
      <c r="S256" s="8">
        <f t="shared" si="101"/>
        <v>-0.62513289389751225</v>
      </c>
      <c r="T256" s="6" t="s">
        <v>2681</v>
      </c>
      <c r="U256" s="6" t="str">
        <f t="shared" si="102"/>
        <v>=4.703*100000000</v>
      </c>
      <c r="V256" s="1">
        <f>4.703*100000000</f>
        <v>470300000</v>
      </c>
      <c r="W256" s="8">
        <f t="shared" si="103"/>
        <v>0.28955305730737591</v>
      </c>
      <c r="X256" s="6" t="s">
        <v>3487</v>
      </c>
      <c r="Y256" s="6" t="str">
        <f t="shared" si="104"/>
        <v>=3.647*100000000</v>
      </c>
      <c r="Z256" s="1">
        <f>3.647*100000000</f>
        <v>364700000</v>
      </c>
      <c r="AA256" s="8">
        <f t="shared" si="105"/>
        <v>0.47294022617124393</v>
      </c>
      <c r="AB256" s="6" t="s">
        <v>3488</v>
      </c>
      <c r="AC256" s="6" t="str">
        <f t="shared" si="106"/>
        <v>=2.476*100000000</v>
      </c>
      <c r="AD256" s="1">
        <f>2.476*100000000</f>
        <v>247600000</v>
      </c>
      <c r="AE256" s="8">
        <f t="shared" si="107"/>
        <v>0.72663877266387722</v>
      </c>
      <c r="AF256" s="6" t="s">
        <v>1099</v>
      </c>
      <c r="AG256" s="6" t="str">
        <f t="shared" si="108"/>
        <v>=1.434*100000000</v>
      </c>
      <c r="AH256" s="1">
        <f>1.434*100000000</f>
        <v>143400000</v>
      </c>
      <c r="AI256" s="8">
        <f t="shared" si="109"/>
        <v>-0.59342217181740853</v>
      </c>
      <c r="AJ256" s="6" t="s">
        <v>3489</v>
      </c>
      <c r="AK256" s="6" t="str">
        <f t="shared" si="110"/>
        <v>=3.527*100000000</v>
      </c>
      <c r="AL256" s="1">
        <f>3.527*100000000</f>
        <v>352700000</v>
      </c>
      <c r="AM256" s="8">
        <f t="shared" si="111"/>
        <v>0.3077493511308862</v>
      </c>
      <c r="AN256" s="6" t="s">
        <v>3490</v>
      </c>
      <c r="AO256" s="6" t="str">
        <f t="shared" si="112"/>
        <v>=2.697*100000000</v>
      </c>
      <c r="AP256" s="1">
        <f>2.697*100000000</f>
        <v>269700000</v>
      </c>
      <c r="AQ256" s="8">
        <f t="shared" si="113"/>
        <v>0.51858108108108103</v>
      </c>
      <c r="AR256" s="6" t="s">
        <v>1953</v>
      </c>
      <c r="AS256" s="6" t="str">
        <f t="shared" si="114"/>
        <v>=1.776*100000000</v>
      </c>
      <c r="AT256" s="1">
        <f>1.776*100000000</f>
        <v>177600000</v>
      </c>
      <c r="AU256" s="8">
        <f t="shared" si="115"/>
        <v>1.2277972905168089</v>
      </c>
      <c r="AV256" s="7" t="s">
        <v>3491</v>
      </c>
      <c r="AW256" s="6" t="str">
        <f t="shared" si="116"/>
        <v>=7972*10000</v>
      </c>
      <c r="AX256" s="1">
        <f>7972*10000</f>
        <v>79720000</v>
      </c>
      <c r="AY256" s="10">
        <f t="shared" si="117"/>
        <v>-0.67381342062193128</v>
      </c>
      <c r="AZ256" s="6" t="s">
        <v>3492</v>
      </c>
      <c r="BA256" s="6" t="str">
        <f t="shared" si="118"/>
        <v>=2.444*100000000</v>
      </c>
      <c r="BB256" s="1">
        <f>2.444*100000000</f>
        <v>244400000</v>
      </c>
      <c r="BC256" s="8">
        <f t="shared" si="119"/>
        <v>-5.782575173477255E-2</v>
      </c>
      <c r="BD256" s="6" t="s">
        <v>3493</v>
      </c>
      <c r="BE256" s="6" t="str">
        <f t="shared" si="120"/>
        <v>=2.594*100000000</v>
      </c>
      <c r="BF256" s="1">
        <f>2.594*100000000</f>
        <v>259400000</v>
      </c>
      <c r="BG256" s="8">
        <f t="shared" si="121"/>
        <v>0.78527185134205091</v>
      </c>
      <c r="BH256" s="6" t="s">
        <v>3481</v>
      </c>
      <c r="BI256" s="6" t="str">
        <f t="shared" si="122"/>
        <v>=1.453*100000000</v>
      </c>
      <c r="BJ256" s="1">
        <f>1.453*100000000</f>
        <v>145300000</v>
      </c>
      <c r="BK256" s="7" t="s">
        <v>3494</v>
      </c>
      <c r="BL256" s="1" t="str">
        <f t="shared" si="94"/>
        <v>=7789*10000</v>
      </c>
      <c r="BM256" s="16">
        <f t="shared" si="123"/>
        <v>0.86545127744254713</v>
      </c>
      <c r="BN256" s="1">
        <f>7789*10000</f>
        <v>77890000</v>
      </c>
    </row>
    <row r="257" spans="1:66">
      <c r="A257" s="19"/>
      <c r="B257">
        <v>600211</v>
      </c>
      <c r="C257" t="s">
        <v>68</v>
      </c>
      <c r="D257" s="6" t="s">
        <v>1926</v>
      </c>
      <c r="E257" s="7" t="str">
        <f t="shared" si="93"/>
        <v>=2.130*100000000</v>
      </c>
      <c r="F257" s="1">
        <f>2.13*100000000</f>
        <v>213000000</v>
      </c>
      <c r="G257" s="8">
        <f t="shared" si="95"/>
        <v>-0.49478178368121445</v>
      </c>
      <c r="H257" s="6" t="s">
        <v>1110</v>
      </c>
      <c r="I257" s="6" t="str">
        <f t="shared" si="96"/>
        <v>=4.216*100000000</v>
      </c>
      <c r="J257" s="1">
        <f>4.216*100000000</f>
        <v>421600000</v>
      </c>
      <c r="K257" s="10">
        <f t="shared" si="97"/>
        <v>0.40346205059920104</v>
      </c>
      <c r="L257" s="6" t="s">
        <v>3495</v>
      </c>
      <c r="M257" s="6" t="str">
        <f t="shared" si="98"/>
        <v>=3.004*100000000</v>
      </c>
      <c r="N257" s="1">
        <f>3.004*100000000</f>
        <v>300400000</v>
      </c>
      <c r="O257" s="8">
        <f t="shared" si="99"/>
        <v>0.89407313997477933</v>
      </c>
      <c r="P257" s="6" t="s">
        <v>2223</v>
      </c>
      <c r="Q257" s="6" t="str">
        <f t="shared" si="100"/>
        <v>=1.586*100000000</v>
      </c>
      <c r="R257" s="11">
        <f>1.586*100000000</f>
        <v>158600000</v>
      </c>
      <c r="S257" s="8">
        <f t="shared" si="101"/>
        <v>-0.623009270263846</v>
      </c>
      <c r="T257" s="6" t="s">
        <v>3496</v>
      </c>
      <c r="U257" s="6" t="str">
        <f t="shared" si="102"/>
        <v>=4.207*100000000</v>
      </c>
      <c r="V257" s="1">
        <f>4.207*100000000</f>
        <v>420700000</v>
      </c>
      <c r="W257" s="8">
        <f t="shared" si="103"/>
        <v>0.28693790149892934</v>
      </c>
      <c r="X257" s="6" t="s">
        <v>3497</v>
      </c>
      <c r="Y257" s="6" t="str">
        <f t="shared" si="104"/>
        <v>=3.269*100000000</v>
      </c>
      <c r="Z257" s="1">
        <f>3.269*100000000</f>
        <v>326900000</v>
      </c>
      <c r="AA257" s="8">
        <f t="shared" si="105"/>
        <v>0.47584650112866816</v>
      </c>
      <c r="AB257" s="6" t="s">
        <v>894</v>
      </c>
      <c r="AC257" s="6" t="str">
        <f t="shared" si="106"/>
        <v>=2.215*100000000</v>
      </c>
      <c r="AD257" s="1">
        <f>2.215*100000000</f>
        <v>221500000</v>
      </c>
      <c r="AE257" s="8">
        <f t="shared" si="107"/>
        <v>0.71307037896365044</v>
      </c>
      <c r="AF257" s="6" t="s">
        <v>2013</v>
      </c>
      <c r="AG257" s="6" t="str">
        <f t="shared" si="108"/>
        <v>=1.293*100000000</v>
      </c>
      <c r="AH257" s="1">
        <f>1.293*100000000</f>
        <v>129300000</v>
      </c>
      <c r="AI257" s="8">
        <f t="shared" si="109"/>
        <v>-0.59262759924385633</v>
      </c>
      <c r="AJ257" s="6" t="s">
        <v>172</v>
      </c>
      <c r="AK257" s="6" t="str">
        <f t="shared" si="110"/>
        <v>=3.174*100000000</v>
      </c>
      <c r="AL257" s="1">
        <f>3.174*100000000</f>
        <v>317400000</v>
      </c>
      <c r="AM257" s="8">
        <f t="shared" si="111"/>
        <v>0.30832646331409713</v>
      </c>
      <c r="AN257" s="6" t="s">
        <v>3498</v>
      </c>
      <c r="AO257" s="6" t="str">
        <f t="shared" si="112"/>
        <v>=2.426*100000000</v>
      </c>
      <c r="AP257" s="1">
        <f>2.426*100000000</f>
        <v>242600000.00000003</v>
      </c>
      <c r="AQ257" s="8">
        <f t="shared" si="113"/>
        <v>0.52291274325172654</v>
      </c>
      <c r="AR257" s="6" t="s">
        <v>1213</v>
      </c>
      <c r="AS257" s="6" t="str">
        <f t="shared" si="114"/>
        <v>=1.593*100000000</v>
      </c>
      <c r="AT257" s="1">
        <f>1.593*100000000</f>
        <v>159300000</v>
      </c>
      <c r="AU257" s="8">
        <f t="shared" si="115"/>
        <v>1.2320302648171502</v>
      </c>
      <c r="AV257" s="7" t="s">
        <v>3499</v>
      </c>
      <c r="AW257" s="6" t="str">
        <f t="shared" si="116"/>
        <v>=7137*10000</v>
      </c>
      <c r="AX257" s="1">
        <f>7137*10000</f>
        <v>71370000</v>
      </c>
      <c r="AY257" s="10">
        <f t="shared" si="117"/>
        <v>-0.67276478679504814</v>
      </c>
      <c r="AZ257" s="6" t="s">
        <v>3500</v>
      </c>
      <c r="BA257" s="6" t="str">
        <f t="shared" si="118"/>
        <v>=2.181*100000000</v>
      </c>
      <c r="BB257" s="1">
        <f>2.181*100000000</f>
        <v>218100000</v>
      </c>
      <c r="BC257" s="8">
        <f t="shared" si="119"/>
        <v>-6.3144329896907103E-2</v>
      </c>
      <c r="BD257" s="6" t="s">
        <v>3501</v>
      </c>
      <c r="BE257" s="6" t="str">
        <f t="shared" si="120"/>
        <v>=2.328*100000000</v>
      </c>
      <c r="BF257" s="1">
        <f>2.328*100000000</f>
        <v>232799999.99999997</v>
      </c>
      <c r="BG257" s="8">
        <f t="shared" si="121"/>
        <v>0.78390804597701125</v>
      </c>
      <c r="BH257" s="6" t="s">
        <v>3502</v>
      </c>
      <c r="BI257" s="6" t="str">
        <f t="shared" si="122"/>
        <v>=1.305*100000000</v>
      </c>
      <c r="BJ257" s="1">
        <f>1.305*100000000</f>
        <v>130500000</v>
      </c>
      <c r="BK257" s="7" t="s">
        <v>3503</v>
      </c>
      <c r="BL257" s="1" t="str">
        <f t="shared" si="94"/>
        <v>=6907*10000</v>
      </c>
      <c r="BM257" s="16">
        <f t="shared" si="123"/>
        <v>0.88938757781960331</v>
      </c>
      <c r="BN257" s="1">
        <f>6907*10000</f>
        <v>69070000</v>
      </c>
    </row>
    <row r="258" spans="1:66">
      <c r="A258" s="17">
        <v>65</v>
      </c>
      <c r="B258">
        <v>600212</v>
      </c>
      <c r="C258" t="s">
        <v>31</v>
      </c>
      <c r="D258" s="6" t="s">
        <v>3504</v>
      </c>
      <c r="E258" s="7" t="str">
        <f t="shared" ref="E258:E321" si="124">"="&amp;D258</f>
        <v>=2.428*100000000</v>
      </c>
      <c r="F258" s="1">
        <f>2.428*100000000</f>
        <v>242800000</v>
      </c>
      <c r="G258" s="8">
        <f t="shared" si="95"/>
        <v>0.37020316027088035</v>
      </c>
      <c r="H258" s="6" t="s">
        <v>3505</v>
      </c>
      <c r="I258" s="6" t="str">
        <f t="shared" si="96"/>
        <v>=1.772*100000000</v>
      </c>
      <c r="J258" s="1">
        <f>1.772*100000000</f>
        <v>177200000</v>
      </c>
      <c r="K258" s="10">
        <f t="shared" si="97"/>
        <v>0.47543713572023316</v>
      </c>
      <c r="L258" s="6" t="s">
        <v>3506</v>
      </c>
      <c r="M258" s="6" t="str">
        <f t="shared" si="98"/>
        <v>=1.201*100000000</v>
      </c>
      <c r="N258" s="1">
        <f>1.201*100000000</f>
        <v>120100000</v>
      </c>
      <c r="O258" s="8">
        <f t="shared" si="99"/>
        <v>0.94588464031108233</v>
      </c>
      <c r="P258" s="7" t="s">
        <v>3507</v>
      </c>
      <c r="Q258" s="6" t="str">
        <f t="shared" si="100"/>
        <v>=6172*10000</v>
      </c>
      <c r="R258" s="11">
        <f>6172*10000</f>
        <v>61720000</v>
      </c>
      <c r="S258" s="8">
        <f t="shared" si="101"/>
        <v>-0.77702312138728324</v>
      </c>
      <c r="T258" s="6" t="s">
        <v>3508</v>
      </c>
      <c r="U258" s="6" t="str">
        <f t="shared" si="102"/>
        <v>=2.768*100000000</v>
      </c>
      <c r="V258" s="1">
        <f>2.768*100000000</f>
        <v>276800000</v>
      </c>
      <c r="W258" s="8">
        <f t="shared" si="103"/>
        <v>0.30751062824752007</v>
      </c>
      <c r="X258" s="6" t="s">
        <v>3509</v>
      </c>
      <c r="Y258" s="6" t="str">
        <f t="shared" si="104"/>
        <v>=2.117*100000000</v>
      </c>
      <c r="Z258" s="1">
        <f>2.117*100000000</f>
        <v>211700000</v>
      </c>
      <c r="AA258" s="8">
        <f t="shared" si="105"/>
        <v>0.39643799472295516</v>
      </c>
      <c r="AB258" s="6" t="s">
        <v>3510</v>
      </c>
      <c r="AC258" s="6" t="str">
        <f t="shared" si="106"/>
        <v>=1.516*100000000</v>
      </c>
      <c r="AD258" s="1">
        <f>1.516*100000000</f>
        <v>151600000</v>
      </c>
      <c r="AE258" s="8">
        <f t="shared" si="107"/>
        <v>0.77767354596622884</v>
      </c>
      <c r="AF258" s="7" t="s">
        <v>3511</v>
      </c>
      <c r="AG258" s="6" t="str">
        <f t="shared" si="108"/>
        <v>=8528*10000</v>
      </c>
      <c r="AH258" s="1">
        <f>8528*10000</f>
        <v>85280000</v>
      </c>
      <c r="AI258" s="8">
        <f t="shared" si="109"/>
        <v>-0.67350689127105667</v>
      </c>
      <c r="AJ258" s="6" t="s">
        <v>3512</v>
      </c>
      <c r="AK258" s="6" t="str">
        <f t="shared" si="110"/>
        <v>=2.612*100000000</v>
      </c>
      <c r="AL258" s="1">
        <f>2.612*100000000</f>
        <v>261200000</v>
      </c>
      <c r="AM258" s="8">
        <f t="shared" si="111"/>
        <v>0.38494167550371156</v>
      </c>
      <c r="AN258" s="6" t="s">
        <v>3513</v>
      </c>
      <c r="AO258" s="6" t="str">
        <f t="shared" si="112"/>
        <v>=1.886*100000000</v>
      </c>
      <c r="AP258" s="1">
        <f>1.886*100000000</f>
        <v>188600000</v>
      </c>
      <c r="AQ258" s="8">
        <f t="shared" si="113"/>
        <v>0.46770428015564219</v>
      </c>
      <c r="AR258" s="6" t="s">
        <v>2086</v>
      </c>
      <c r="AS258" s="6" t="str">
        <f t="shared" si="114"/>
        <v>=1.285*100000000</v>
      </c>
      <c r="AT258" s="1">
        <f>1.285*100000000</f>
        <v>128499999.99999999</v>
      </c>
      <c r="AU258" s="8">
        <f t="shared" si="115"/>
        <v>1.0829956232776785</v>
      </c>
      <c r="AV258" s="7" t="s">
        <v>3514</v>
      </c>
      <c r="AW258" s="6" t="str">
        <f t="shared" si="116"/>
        <v>=6169*10000</v>
      </c>
      <c r="AX258" s="1">
        <f>6169*10000</f>
        <v>61690000</v>
      </c>
      <c r="AY258" s="10">
        <f t="shared" si="117"/>
        <v>-0.74830681354549167</v>
      </c>
      <c r="AZ258" s="6" t="s">
        <v>601</v>
      </c>
      <c r="BA258" s="6" t="str">
        <f t="shared" si="118"/>
        <v>=2.451*100000000</v>
      </c>
      <c r="BB258" s="1">
        <f>2.451*100000000</f>
        <v>245100000</v>
      </c>
      <c r="BC258" s="8">
        <f t="shared" si="119"/>
        <v>0.44431349440188567</v>
      </c>
      <c r="BD258" s="6" t="s">
        <v>3515</v>
      </c>
      <c r="BE258" s="6" t="str">
        <f t="shared" si="120"/>
        <v>=1.697*100000000</v>
      </c>
      <c r="BF258" s="1">
        <f>1.697*100000000</f>
        <v>169700000</v>
      </c>
      <c r="BG258" s="8">
        <f t="shared" si="121"/>
        <v>0.54413102820746129</v>
      </c>
      <c r="BH258" s="6" t="s">
        <v>3516</v>
      </c>
      <c r="BI258" s="6" t="str">
        <f t="shared" si="122"/>
        <v>=1.099*100000000</v>
      </c>
      <c r="BJ258" s="1">
        <f>1.099*100000000</f>
        <v>109900000</v>
      </c>
      <c r="BK258" s="7" t="s">
        <v>3517</v>
      </c>
      <c r="BL258" s="1" t="str">
        <f t="shared" ref="BL258:BL321" si="125">"="&amp;BK258</f>
        <v>=5700*10000</v>
      </c>
      <c r="BM258" s="16">
        <f t="shared" si="123"/>
        <v>0.92807017543859649</v>
      </c>
      <c r="BN258" s="1">
        <f>5700*10000</f>
        <v>57000000</v>
      </c>
    </row>
    <row r="259" spans="1:66">
      <c r="A259" s="18"/>
      <c r="B259">
        <v>600212</v>
      </c>
      <c r="C259" t="s">
        <v>48</v>
      </c>
      <c r="D259" s="7">
        <f>-1993*10000</f>
        <v>-19930000</v>
      </c>
      <c r="E259" s="7" t="str">
        <f t="shared" si="124"/>
        <v>=-19930000</v>
      </c>
      <c r="F259" s="1">
        <f>-19930000</f>
        <v>-19930000</v>
      </c>
      <c r="G259" s="8">
        <f t="shared" ref="G259:G322" si="126">(F259-J259)/J259</f>
        <v>-477.33843212237093</v>
      </c>
      <c r="H259" s="7" t="s">
        <v>3518</v>
      </c>
      <c r="I259" s="6" t="str">
        <f t="shared" ref="I259:I322" si="127">"="&amp;H259</f>
        <v>=4.184*10000</v>
      </c>
      <c r="J259" s="1">
        <f>4.184*10000</f>
        <v>41840</v>
      </c>
      <c r="K259" s="10">
        <f t="shared" ref="K259:K322" si="128">(J259-N259)/N259</f>
        <v>-0.98857454942654288</v>
      </c>
      <c r="L259" s="7" t="s">
        <v>3519</v>
      </c>
      <c r="M259" s="6" t="str">
        <f t="shared" ref="M259:M322" si="129">"="&amp;L259</f>
        <v>=366.2*10000</v>
      </c>
      <c r="N259" s="1">
        <f>366.2*10000</f>
        <v>3662000</v>
      </c>
      <c r="O259" s="8">
        <f t="shared" ref="O259:O322" si="130">(N259-R259)/R259</f>
        <v>0.77680737506065012</v>
      </c>
      <c r="P259" s="7" t="s">
        <v>3520</v>
      </c>
      <c r="Q259" s="6" t="str">
        <f t="shared" ref="Q259:Q322" si="131">"="&amp;P259</f>
        <v>=206.1*10000</v>
      </c>
      <c r="R259" s="11">
        <f>206.1*10000</f>
        <v>2061000</v>
      </c>
      <c r="S259" s="8">
        <f t="shared" ref="S259:S322" si="132">(R259-V259)/V259</f>
        <v>-0.89627579265223956</v>
      </c>
      <c r="T259" s="7" t="s">
        <v>3521</v>
      </c>
      <c r="U259" s="6" t="str">
        <f t="shared" ref="U259:U322" si="133">"="&amp;T259</f>
        <v>=1987*10000</v>
      </c>
      <c r="V259" s="1">
        <f>1987*10000</f>
        <v>19870000</v>
      </c>
      <c r="W259" s="8">
        <f t="shared" ref="W259:W322" si="134">(V259-Z259)/Z259</f>
        <v>1.7616400277970814</v>
      </c>
      <c r="X259" s="7" t="s">
        <v>3522</v>
      </c>
      <c r="Y259" s="6" t="str">
        <f t="shared" ref="Y259:Y322" si="135">"="&amp;X259</f>
        <v>=719.5*10000</v>
      </c>
      <c r="Z259" s="1">
        <f>719.5*10000</f>
        <v>7195000</v>
      </c>
      <c r="AA259" s="8">
        <f t="shared" ref="AA259:AA322" si="136">(Z259-AD259)/AD259</f>
        <v>0.15992261808802191</v>
      </c>
      <c r="AB259" s="7" t="s">
        <v>3523</v>
      </c>
      <c r="AC259" s="6" t="str">
        <f t="shared" ref="AC259:AC322" si="137">"="&amp;AB259</f>
        <v>=620.3*10000</v>
      </c>
      <c r="AD259" s="1">
        <f>620.3*10000</f>
        <v>6203000</v>
      </c>
      <c r="AE259" s="8">
        <f t="shared" ref="AE259:AE322" si="138">(AD259-AH259)/AH259</f>
        <v>-0.1043892578688998</v>
      </c>
      <c r="AF259" s="7" t="s">
        <v>3524</v>
      </c>
      <c r="AG259" s="6" t="str">
        <f t="shared" ref="AG259:AG322" si="139">"="&amp;AF259</f>
        <v>=692.6*10000</v>
      </c>
      <c r="AH259" s="1">
        <f>692.6*10000</f>
        <v>6926000</v>
      </c>
      <c r="AI259" s="8">
        <f t="shared" ref="AI259:AI322" si="140">(AH259-AL259)/AL259</f>
        <v>-1.0196929201023599</v>
      </c>
      <c r="AJ259" s="6">
        <f>-3.517*100000000</f>
        <v>-351700000</v>
      </c>
      <c r="AK259" s="6" t="str">
        <f t="shared" ref="AK259:AK322" si="141">"="&amp;AJ259</f>
        <v>=-351700000</v>
      </c>
      <c r="AL259" s="1">
        <f>-351700000</f>
        <v>-351700000</v>
      </c>
      <c r="AM259" s="8">
        <f t="shared" ref="AM259:AM322" si="142">(AL259-AP259)/AP259</f>
        <v>0.53715034965034969</v>
      </c>
      <c r="AN259" s="6">
        <f>-2.288*100000000</f>
        <v>-228799999.99999997</v>
      </c>
      <c r="AO259" s="6" t="str">
        <f t="shared" ref="AO259:AO322" si="143">"="&amp;AN259</f>
        <v>=-228800000</v>
      </c>
      <c r="AP259" s="1">
        <f>-228800000</f>
        <v>-228800000</v>
      </c>
      <c r="AQ259" s="8">
        <f t="shared" ref="AQ259:AQ322" si="144">(AP259-AT259)/AT259</f>
        <v>0.58999305072967334</v>
      </c>
      <c r="AR259" s="6">
        <f>-1.439*100000000</f>
        <v>-143900000</v>
      </c>
      <c r="AS259" s="6" t="str">
        <f t="shared" ref="AS259:AS322" si="145">"="&amp;AR259</f>
        <v>=-143900000</v>
      </c>
      <c r="AT259" s="1">
        <f>-143900000</f>
        <v>-143900000</v>
      </c>
      <c r="AU259" s="8">
        <f t="shared" ref="AU259:AU322" si="146">(AT259-AX259)/AX259</f>
        <v>2.5894237964579694</v>
      </c>
      <c r="AV259" s="7">
        <f>-4009*10000</f>
        <v>-40090000</v>
      </c>
      <c r="AW259" s="6" t="str">
        <f t="shared" ref="AW259:AW322" si="147">"="&amp;AV259</f>
        <v>=-40090000</v>
      </c>
      <c r="AX259" s="1">
        <f>-40090000</f>
        <v>-40090000</v>
      </c>
      <c r="AY259" s="10">
        <f t="shared" ref="AY259:AY322" si="148">(AX259-BB259)/BB259</f>
        <v>-0.76705403834979669</v>
      </c>
      <c r="AZ259" s="6">
        <f>-1.721*100000000</f>
        <v>-172100000</v>
      </c>
      <c r="BA259" s="6" t="str">
        <f t="shared" ref="BA259:BA322" si="149">"="&amp;AZ259</f>
        <v>=-172100000</v>
      </c>
      <c r="BB259" s="1">
        <f>-172100000</f>
        <v>-172100000</v>
      </c>
      <c r="BC259" s="8">
        <f t="shared" ref="BC259:BC322" si="150">(BB259-BF259)/BF259</f>
        <v>5.3388581952117864</v>
      </c>
      <c r="BD259" s="7">
        <f>-2715*10000</f>
        <v>-27150000</v>
      </c>
      <c r="BE259" s="6" t="str">
        <f t="shared" ref="BE259:BE322" si="151">"="&amp;BD259</f>
        <v>=-27150000</v>
      </c>
      <c r="BF259" s="1">
        <f>-27150000</f>
        <v>-27150000</v>
      </c>
      <c r="BG259" s="8">
        <f t="shared" ref="BG259:BG322" si="152">(BF259-BJ259)/BJ259</f>
        <v>1.7095808383233533</v>
      </c>
      <c r="BH259" s="7">
        <f>-1002*10000</f>
        <v>-10020000</v>
      </c>
      <c r="BI259" s="6" t="str">
        <f t="shared" ref="BI259:BI322" si="153">"="&amp;BH259</f>
        <v>=-10020000</v>
      </c>
      <c r="BJ259" s="1">
        <f>-10020000</f>
        <v>-10020000</v>
      </c>
      <c r="BK259" s="7" t="s">
        <v>3525</v>
      </c>
      <c r="BL259" s="1" t="str">
        <f t="shared" si="125"/>
        <v>=91.12*10000</v>
      </c>
      <c r="BM259" s="16">
        <f t="shared" ref="BM259:BM322" si="154">(BJ259-BN259)/BN259</f>
        <v>-11.996488147497805</v>
      </c>
      <c r="BN259" s="1">
        <f>91.12*10000</f>
        <v>911200</v>
      </c>
    </row>
    <row r="260" spans="1:66">
      <c r="A260" s="18"/>
      <c r="B260">
        <v>600212</v>
      </c>
      <c r="C260" t="s">
        <v>58</v>
      </c>
      <c r="D260" s="7">
        <f>-2008*10000</f>
        <v>-20080000</v>
      </c>
      <c r="E260" s="7" t="str">
        <f t="shared" si="124"/>
        <v>=-20080000</v>
      </c>
      <c r="F260" s="1">
        <f>-20080000</f>
        <v>-20080000</v>
      </c>
      <c r="G260" s="8">
        <f t="shared" si="126"/>
        <v>131.27931488801053</v>
      </c>
      <c r="H260" s="7">
        <f>-15.18*10000</f>
        <v>-151800</v>
      </c>
      <c r="I260" s="6" t="str">
        <f t="shared" si="127"/>
        <v>=-151800</v>
      </c>
      <c r="J260" s="1">
        <f>-151800</f>
        <v>-151800</v>
      </c>
      <c r="K260" s="10">
        <f t="shared" si="128"/>
        <v>-1.0440127573209625</v>
      </c>
      <c r="L260" s="7" t="s">
        <v>3526</v>
      </c>
      <c r="M260" s="6" t="str">
        <f t="shared" si="129"/>
        <v>=344.9*10000</v>
      </c>
      <c r="N260" s="1">
        <f>344.9*10000</f>
        <v>3449000</v>
      </c>
      <c r="O260" s="8">
        <f t="shared" si="130"/>
        <v>0.66056812710640345</v>
      </c>
      <c r="P260" s="7" t="s">
        <v>3527</v>
      </c>
      <c r="Q260" s="6" t="str">
        <f t="shared" si="131"/>
        <v>=207.7*10000</v>
      </c>
      <c r="R260" s="11">
        <f>207.7*10000</f>
        <v>2077000</v>
      </c>
      <c r="S260" s="8">
        <f t="shared" si="132"/>
        <v>-0.89370522006141251</v>
      </c>
      <c r="T260" s="7" t="s">
        <v>3290</v>
      </c>
      <c r="U260" s="6" t="str">
        <f t="shared" si="133"/>
        <v>=1954*10000</v>
      </c>
      <c r="V260" s="1">
        <f>1954*10000</f>
        <v>19540000</v>
      </c>
      <c r="W260" s="8">
        <f t="shared" si="134"/>
        <v>1.5370033757465593</v>
      </c>
      <c r="X260" s="7" t="s">
        <v>3528</v>
      </c>
      <c r="Y260" s="6" t="str">
        <f t="shared" si="135"/>
        <v>=770.2*10000</v>
      </c>
      <c r="Z260" s="1">
        <f>770.2*10000</f>
        <v>7702000</v>
      </c>
      <c r="AA260" s="8">
        <f t="shared" si="136"/>
        <v>0.15906696764484574</v>
      </c>
      <c r="AB260" s="7" t="s">
        <v>3529</v>
      </c>
      <c r="AC260" s="6" t="str">
        <f t="shared" si="137"/>
        <v>=664.5*10000</v>
      </c>
      <c r="AD260" s="1">
        <f>664.5*10000</f>
        <v>6645000</v>
      </c>
      <c r="AE260" s="8">
        <f t="shared" si="138"/>
        <v>-4.4572250179726818E-2</v>
      </c>
      <c r="AF260" s="7" t="s">
        <v>3530</v>
      </c>
      <c r="AG260" s="6" t="str">
        <f t="shared" si="139"/>
        <v>=695.5*10000</v>
      </c>
      <c r="AH260" s="1">
        <f>695.5*10000</f>
        <v>6955000</v>
      </c>
      <c r="AI260" s="8">
        <f t="shared" si="140"/>
        <v>-1.0197810011376565</v>
      </c>
      <c r="AJ260" s="6">
        <f>-3.516*100000000</f>
        <v>-351600000</v>
      </c>
      <c r="AK260" s="6" t="str">
        <f t="shared" si="141"/>
        <v>=-351600000</v>
      </c>
      <c r="AL260" s="1">
        <f>-351600000</f>
        <v>-351600000</v>
      </c>
      <c r="AM260" s="8">
        <f t="shared" si="142"/>
        <v>0.53671328671328666</v>
      </c>
      <c r="AN260" s="6">
        <f>-2.288*100000000</f>
        <v>-228799999.99999997</v>
      </c>
      <c r="AO260" s="6" t="str">
        <f t="shared" si="143"/>
        <v>=-228800000</v>
      </c>
      <c r="AP260" s="1">
        <f>-228800000</f>
        <v>-228800000</v>
      </c>
      <c r="AQ260" s="8">
        <f t="shared" si="144"/>
        <v>0.58999305072967334</v>
      </c>
      <c r="AR260" s="6">
        <f>-1.439*100000000</f>
        <v>-143900000</v>
      </c>
      <c r="AS260" s="6" t="str">
        <f t="shared" si="145"/>
        <v>=-143900000</v>
      </c>
      <c r="AT260" s="1">
        <f>-143900000</f>
        <v>-143900000</v>
      </c>
      <c r="AU260" s="8">
        <f t="shared" si="146"/>
        <v>2.5912153730970799</v>
      </c>
      <c r="AV260" s="7">
        <f>-4007*10000</f>
        <v>-40070000</v>
      </c>
      <c r="AW260" s="6" t="str">
        <f t="shared" si="147"/>
        <v>=-40070000</v>
      </c>
      <c r="AX260" s="1">
        <f>-40070000</f>
        <v>-40070000</v>
      </c>
      <c r="AY260" s="10">
        <f t="shared" si="148"/>
        <v>-0.76703488372093021</v>
      </c>
      <c r="AZ260" s="6">
        <f>-1.72*100000000</f>
        <v>-172000000</v>
      </c>
      <c r="BA260" s="6" t="str">
        <f t="shared" si="149"/>
        <v>=-172000000</v>
      </c>
      <c r="BB260" s="1">
        <f>-172000000</f>
        <v>-172000000</v>
      </c>
      <c r="BC260" s="8">
        <f t="shared" si="150"/>
        <v>5.2888482632541134</v>
      </c>
      <c r="BD260" s="7">
        <f>-2735*10000</f>
        <v>-27350000</v>
      </c>
      <c r="BE260" s="6" t="str">
        <f t="shared" si="151"/>
        <v>=-27350000</v>
      </c>
      <c r="BF260" s="1">
        <f>-27350000</f>
        <v>-27350000</v>
      </c>
      <c r="BG260" s="8">
        <f t="shared" si="152"/>
        <v>1.705242334322453</v>
      </c>
      <c r="BH260" s="7">
        <f>-1011*10000</f>
        <v>-10110000</v>
      </c>
      <c r="BI260" s="6" t="str">
        <f t="shared" si="153"/>
        <v>=-10110000</v>
      </c>
      <c r="BJ260" s="1">
        <f>-10110000</f>
        <v>-10110000</v>
      </c>
      <c r="BK260" s="7" t="s">
        <v>3531</v>
      </c>
      <c r="BL260" s="1" t="str">
        <f t="shared" si="125"/>
        <v>=77.03*10000</v>
      </c>
      <c r="BM260" s="16">
        <f t="shared" si="154"/>
        <v>-14.124756588342205</v>
      </c>
      <c r="BN260" s="1">
        <f>77.03*10000</f>
        <v>770300</v>
      </c>
    </row>
    <row r="261" spans="1:66">
      <c r="A261" s="19"/>
      <c r="B261">
        <v>600212</v>
      </c>
      <c r="C261" t="s">
        <v>68</v>
      </c>
      <c r="D261" s="7">
        <f>-2008*10000</f>
        <v>-20080000</v>
      </c>
      <c r="E261" s="7" t="str">
        <f t="shared" si="124"/>
        <v>=-20080000</v>
      </c>
      <c r="F261" s="1">
        <f>-20080000</f>
        <v>-20080000</v>
      </c>
      <c r="G261" s="8">
        <f t="shared" si="126"/>
        <v>131.27931488801053</v>
      </c>
      <c r="H261" s="7">
        <f>-15.18*10000</f>
        <v>-151800</v>
      </c>
      <c r="I261" s="6" t="str">
        <f t="shared" si="127"/>
        <v>=-151800</v>
      </c>
      <c r="J261" s="1">
        <f>-151800</f>
        <v>-151800</v>
      </c>
      <c r="K261" s="10">
        <f t="shared" si="128"/>
        <v>-1.0440127573209625</v>
      </c>
      <c r="L261" s="7" t="s">
        <v>3526</v>
      </c>
      <c r="M261" s="6" t="str">
        <f t="shared" si="129"/>
        <v>=344.9*10000</v>
      </c>
      <c r="N261" s="1">
        <f>344.9*10000</f>
        <v>3449000</v>
      </c>
      <c r="O261" s="8">
        <f t="shared" si="130"/>
        <v>0.66056812710640345</v>
      </c>
      <c r="P261" s="7" t="s">
        <v>3527</v>
      </c>
      <c r="Q261" s="6" t="str">
        <f t="shared" si="131"/>
        <v>=207.7*10000</v>
      </c>
      <c r="R261" s="11">
        <f>207.7*10000</f>
        <v>2077000</v>
      </c>
      <c r="S261" s="8">
        <f t="shared" si="132"/>
        <v>-0.89370522006141251</v>
      </c>
      <c r="T261" s="7" t="s">
        <v>3290</v>
      </c>
      <c r="U261" s="6" t="str">
        <f t="shared" si="133"/>
        <v>=1954*10000</v>
      </c>
      <c r="V261" s="1">
        <f>1954*10000</f>
        <v>19540000</v>
      </c>
      <c r="W261" s="8">
        <f t="shared" si="134"/>
        <v>1.5370033757465593</v>
      </c>
      <c r="X261" s="7" t="s">
        <v>3528</v>
      </c>
      <c r="Y261" s="6" t="str">
        <f t="shared" si="135"/>
        <v>=770.2*10000</v>
      </c>
      <c r="Z261" s="1">
        <f>770.2*10000</f>
        <v>7702000</v>
      </c>
      <c r="AA261" s="8">
        <f t="shared" si="136"/>
        <v>0.15906696764484574</v>
      </c>
      <c r="AB261" s="7" t="s">
        <v>3529</v>
      </c>
      <c r="AC261" s="6" t="str">
        <f t="shared" si="137"/>
        <v>=664.5*10000</v>
      </c>
      <c r="AD261" s="1">
        <f>664.5*10000</f>
        <v>6645000</v>
      </c>
      <c r="AE261" s="8">
        <f t="shared" si="138"/>
        <v>-4.4572250179726818E-2</v>
      </c>
      <c r="AF261" s="7" t="s">
        <v>3530</v>
      </c>
      <c r="AG261" s="6" t="str">
        <f t="shared" si="139"/>
        <v>=695.5*10000</v>
      </c>
      <c r="AH261" s="1">
        <f>695.5*10000</f>
        <v>6955000</v>
      </c>
      <c r="AI261" s="8">
        <f t="shared" si="140"/>
        <v>-1.0197810011376565</v>
      </c>
      <c r="AJ261" s="6">
        <f>-3.516*100000000</f>
        <v>-351600000</v>
      </c>
      <c r="AK261" s="6" t="str">
        <f t="shared" si="141"/>
        <v>=-351600000</v>
      </c>
      <c r="AL261" s="1">
        <f>-351600000</f>
        <v>-351600000</v>
      </c>
      <c r="AM261" s="8">
        <f t="shared" si="142"/>
        <v>0.53671328671328666</v>
      </c>
      <c r="AN261" s="6">
        <f>-2.288*100000000</f>
        <v>-228799999.99999997</v>
      </c>
      <c r="AO261" s="6" t="str">
        <f t="shared" si="143"/>
        <v>=-228800000</v>
      </c>
      <c r="AP261" s="1">
        <f>-228800000</f>
        <v>-228800000</v>
      </c>
      <c r="AQ261" s="8">
        <f t="shared" si="144"/>
        <v>0.58999305072967334</v>
      </c>
      <c r="AR261" s="6">
        <f>-1.439*100000000</f>
        <v>-143900000</v>
      </c>
      <c r="AS261" s="6" t="str">
        <f t="shared" si="145"/>
        <v>=-143900000</v>
      </c>
      <c r="AT261" s="1">
        <f>-143900000</f>
        <v>-143900000</v>
      </c>
      <c r="AU261" s="8">
        <f t="shared" si="146"/>
        <v>2.5912153730970799</v>
      </c>
      <c r="AV261" s="7">
        <f>-4007*10000</f>
        <v>-40070000</v>
      </c>
      <c r="AW261" s="6" t="str">
        <f t="shared" si="147"/>
        <v>=-40070000</v>
      </c>
      <c r="AX261" s="1">
        <f>-40070000</f>
        <v>-40070000</v>
      </c>
      <c r="AY261" s="10">
        <f t="shared" si="148"/>
        <v>-0.76703488372093021</v>
      </c>
      <c r="AZ261" s="6">
        <f>-1.72*100000000</f>
        <v>-172000000</v>
      </c>
      <c r="BA261" s="6" t="str">
        <f t="shared" si="149"/>
        <v>=-172000000</v>
      </c>
      <c r="BB261" s="1">
        <f>-172000000</f>
        <v>-172000000</v>
      </c>
      <c r="BC261" s="8">
        <f t="shared" si="150"/>
        <v>5.2888482632541134</v>
      </c>
      <c r="BD261" s="7">
        <f>-2735*10000</f>
        <v>-27350000</v>
      </c>
      <c r="BE261" s="6" t="str">
        <f t="shared" si="151"/>
        <v>=-27350000</v>
      </c>
      <c r="BF261" s="1">
        <f>-27350000</f>
        <v>-27350000</v>
      </c>
      <c r="BG261" s="8">
        <f t="shared" si="152"/>
        <v>1.705242334322453</v>
      </c>
      <c r="BH261" s="7">
        <f>-1011*10000</f>
        <v>-10110000</v>
      </c>
      <c r="BI261" s="6" t="str">
        <f t="shared" si="153"/>
        <v>=-10110000</v>
      </c>
      <c r="BJ261" s="1">
        <f>-10110000</f>
        <v>-10110000</v>
      </c>
      <c r="BK261" s="7" t="s">
        <v>3531</v>
      </c>
      <c r="BL261" s="1" t="str">
        <f t="shared" si="125"/>
        <v>=77.03*10000</v>
      </c>
      <c r="BM261" s="16">
        <f t="shared" si="154"/>
        <v>-14.124756588342205</v>
      </c>
      <c r="BN261" s="1">
        <f>77.03*10000</f>
        <v>770300</v>
      </c>
    </row>
    <row r="262" spans="1:66">
      <c r="A262" s="17">
        <v>66</v>
      </c>
      <c r="B262">
        <v>600218</v>
      </c>
      <c r="C262" t="s">
        <v>31</v>
      </c>
      <c r="D262" s="6" t="s">
        <v>3532</v>
      </c>
      <c r="E262" s="7" t="str">
        <f t="shared" si="124"/>
        <v>=55.08*100000000</v>
      </c>
      <c r="F262" s="1">
        <f>55.08*100000000</f>
        <v>5508000000</v>
      </c>
      <c r="G262" s="8">
        <f t="shared" si="126"/>
        <v>0.36100815418828763</v>
      </c>
      <c r="H262" s="6" t="s">
        <v>3533</v>
      </c>
      <c r="I262" s="6" t="str">
        <f t="shared" si="127"/>
        <v>=40.47*100000000</v>
      </c>
      <c r="J262" s="1">
        <f>40.47*100000000</f>
        <v>4047000000</v>
      </c>
      <c r="K262" s="10">
        <f t="shared" si="128"/>
        <v>0.5</v>
      </c>
      <c r="L262" s="6" t="s">
        <v>3534</v>
      </c>
      <c r="M262" s="6" t="str">
        <f t="shared" si="129"/>
        <v>=26.98*100000000</v>
      </c>
      <c r="N262" s="1">
        <f>26.98*100000000</f>
        <v>2698000000</v>
      </c>
      <c r="O262" s="8">
        <f t="shared" si="130"/>
        <v>1.0285714285714285</v>
      </c>
      <c r="P262" s="6" t="s">
        <v>3535</v>
      </c>
      <c r="Q262" s="6" t="str">
        <f t="shared" si="131"/>
        <v>=13.30*100000000</v>
      </c>
      <c r="R262" s="11">
        <f>13.3*100000000</f>
        <v>1330000000</v>
      </c>
      <c r="S262" s="8">
        <f t="shared" si="132"/>
        <v>-0.70152603231597843</v>
      </c>
      <c r="T262" s="6" t="s">
        <v>3536</v>
      </c>
      <c r="U262" s="6" t="str">
        <f t="shared" si="133"/>
        <v>=44.56*100000000</v>
      </c>
      <c r="V262" s="1">
        <f>44.56*100000000</f>
        <v>4456000000</v>
      </c>
      <c r="W262" s="8">
        <f t="shared" si="134"/>
        <v>0.33813813813813831</v>
      </c>
      <c r="X262" s="6" t="s">
        <v>3537</v>
      </c>
      <c r="Y262" s="6" t="str">
        <f t="shared" si="135"/>
        <v>=33.30*100000000</v>
      </c>
      <c r="Z262" s="1">
        <f>33.3*100000000</f>
        <v>3329999999.9999995</v>
      </c>
      <c r="AA262" s="8">
        <f t="shared" si="136"/>
        <v>0.53526970954356823</v>
      </c>
      <c r="AB262" s="6" t="s">
        <v>3538</v>
      </c>
      <c r="AC262" s="6" t="str">
        <f t="shared" si="137"/>
        <v>=21.69*100000000</v>
      </c>
      <c r="AD262" s="1">
        <f>21.69*100000000</f>
        <v>2169000000</v>
      </c>
      <c r="AE262" s="8">
        <f t="shared" si="138"/>
        <v>1.6230499455798766</v>
      </c>
      <c r="AF262" s="6" t="s">
        <v>3539</v>
      </c>
      <c r="AG262" s="6" t="str">
        <f t="shared" si="139"/>
        <v>=8.269*100000000</v>
      </c>
      <c r="AH262" s="1">
        <f>8.269*100000000</f>
        <v>826900000</v>
      </c>
      <c r="AI262" s="8">
        <f t="shared" si="140"/>
        <v>-0.79552423343224532</v>
      </c>
      <c r="AJ262" s="6" t="s">
        <v>3540</v>
      </c>
      <c r="AK262" s="6" t="str">
        <f t="shared" si="141"/>
        <v>=40.44*100000000</v>
      </c>
      <c r="AL262" s="1">
        <f>40.44*100000000</f>
        <v>4044000000</v>
      </c>
      <c r="AM262" s="8">
        <f t="shared" si="142"/>
        <v>0.36024217961654892</v>
      </c>
      <c r="AN262" s="6" t="s">
        <v>3541</v>
      </c>
      <c r="AO262" s="6" t="str">
        <f t="shared" si="143"/>
        <v>=29.73*100000000</v>
      </c>
      <c r="AP262" s="1">
        <f>29.73*100000000</f>
        <v>2973000000</v>
      </c>
      <c r="AQ262" s="8">
        <f t="shared" si="144"/>
        <v>0.51916198262646907</v>
      </c>
      <c r="AR262" s="6" t="s">
        <v>3542</v>
      </c>
      <c r="AS262" s="6" t="str">
        <f t="shared" si="145"/>
        <v>=19.57*100000000</v>
      </c>
      <c r="AT262" s="1">
        <f>19.57*100000000</f>
        <v>1957000000</v>
      </c>
      <c r="AU262" s="8">
        <f t="shared" si="146"/>
        <v>0.86558627264061005</v>
      </c>
      <c r="AV262" s="6" t="s">
        <v>720</v>
      </c>
      <c r="AW262" s="6" t="str">
        <f t="shared" si="147"/>
        <v>=10.49*100000000</v>
      </c>
      <c r="AX262" s="1">
        <f>10.49*100000000</f>
        <v>1049000000</v>
      </c>
      <c r="AY262" s="10">
        <f t="shared" si="148"/>
        <v>-0.69830313488639639</v>
      </c>
      <c r="AZ262" s="6" t="s">
        <v>3543</v>
      </c>
      <c r="BA262" s="6" t="str">
        <f t="shared" si="149"/>
        <v>=34.77*100000000</v>
      </c>
      <c r="BB262" s="1">
        <f>34.77*100000000</f>
        <v>3477000000.0000005</v>
      </c>
      <c r="BC262" s="8">
        <f t="shared" si="150"/>
        <v>0.32406702208682425</v>
      </c>
      <c r="BD262" s="6" t="s">
        <v>3544</v>
      </c>
      <c r="BE262" s="6" t="str">
        <f t="shared" si="151"/>
        <v>=26.26*100000000</v>
      </c>
      <c r="BF262" s="1">
        <f>26.26*100000000</f>
        <v>2626000000</v>
      </c>
      <c r="BG262" s="8">
        <f t="shared" si="152"/>
        <v>0.40653454740224942</v>
      </c>
      <c r="BH262" s="6" t="s">
        <v>3545</v>
      </c>
      <c r="BI262" s="6" t="str">
        <f t="shared" si="153"/>
        <v>=18.67*100000000</v>
      </c>
      <c r="BJ262" s="1">
        <f>18.67*100000000</f>
        <v>1867000000.0000002</v>
      </c>
      <c r="BK262" s="6" t="s">
        <v>3546</v>
      </c>
      <c r="BL262" s="1" t="str">
        <f t="shared" si="125"/>
        <v>=9.624*100000000</v>
      </c>
      <c r="BM262" s="16">
        <f t="shared" si="154"/>
        <v>0.9399418121363261</v>
      </c>
      <c r="BN262" s="1">
        <f>9.624*100000000</f>
        <v>962400000</v>
      </c>
    </row>
    <row r="263" spans="1:66">
      <c r="A263" s="18"/>
      <c r="B263">
        <v>600218</v>
      </c>
      <c r="C263" t="s">
        <v>48</v>
      </c>
      <c r="D263" s="6" t="s">
        <v>3547</v>
      </c>
      <c r="E263" s="7" t="str">
        <f t="shared" si="124"/>
        <v>=1.499*100000000</v>
      </c>
      <c r="F263" s="1">
        <f>1.499*100000000</f>
        <v>149900000</v>
      </c>
      <c r="G263" s="8">
        <f t="shared" si="126"/>
        <v>0.22367346938775495</v>
      </c>
      <c r="H263" s="6" t="s">
        <v>2174</v>
      </c>
      <c r="I263" s="6" t="str">
        <f t="shared" si="127"/>
        <v>=1.225*100000000</v>
      </c>
      <c r="J263" s="1">
        <f>1.225*100000000</f>
        <v>122500000.00000001</v>
      </c>
      <c r="K263" s="10">
        <f t="shared" si="128"/>
        <v>-4.7433903576982774E-2</v>
      </c>
      <c r="L263" s="6" t="s">
        <v>3548</v>
      </c>
      <c r="M263" s="6" t="str">
        <f t="shared" si="129"/>
        <v>=1.286*100000000</v>
      </c>
      <c r="N263" s="1">
        <f>1.286*100000000</f>
        <v>128600000</v>
      </c>
      <c r="O263" s="8">
        <f t="shared" si="130"/>
        <v>0.85543211657769447</v>
      </c>
      <c r="P263" s="7" t="s">
        <v>3549</v>
      </c>
      <c r="Q263" s="6" t="str">
        <f t="shared" si="131"/>
        <v>=6931*10000</v>
      </c>
      <c r="R263" s="11">
        <f>6931*10000</f>
        <v>69310000</v>
      </c>
      <c r="S263" s="8">
        <f t="shared" si="132"/>
        <v>-0.64050829875518667</v>
      </c>
      <c r="T263" s="6" t="s">
        <v>3550</v>
      </c>
      <c r="U263" s="6" t="str">
        <f t="shared" si="133"/>
        <v>=1.928*100000000</v>
      </c>
      <c r="V263" s="1">
        <f>1.928*100000000</f>
        <v>192800000</v>
      </c>
      <c r="W263" s="8">
        <f t="shared" si="134"/>
        <v>0.33981931897150797</v>
      </c>
      <c r="X263" s="6" t="s">
        <v>3551</v>
      </c>
      <c r="Y263" s="6" t="str">
        <f t="shared" si="135"/>
        <v>=1.439*100000000</v>
      </c>
      <c r="Z263" s="1">
        <f>1.439*100000000</f>
        <v>143900000</v>
      </c>
      <c r="AA263" s="8">
        <f t="shared" si="136"/>
        <v>0.2299145299145299</v>
      </c>
      <c r="AB263" s="6" t="s">
        <v>3552</v>
      </c>
      <c r="AC263" s="6" t="str">
        <f t="shared" si="137"/>
        <v>=1.170*100000000</v>
      </c>
      <c r="AD263" s="1">
        <f>1.17*100000000</f>
        <v>117000000</v>
      </c>
      <c r="AE263" s="8">
        <f t="shared" si="138"/>
        <v>2.518796992481203</v>
      </c>
      <c r="AF263" s="7" t="s">
        <v>3553</v>
      </c>
      <c r="AG263" s="6" t="str">
        <f t="shared" si="139"/>
        <v>=3325*10000</v>
      </c>
      <c r="AH263" s="1">
        <f>3325*10000</f>
        <v>33250000</v>
      </c>
      <c r="AI263" s="8">
        <f t="shared" si="140"/>
        <v>-0.67111770524233427</v>
      </c>
      <c r="AJ263" s="6" t="s">
        <v>2230</v>
      </c>
      <c r="AK263" s="6" t="str">
        <f t="shared" si="141"/>
        <v>=1.011*100000000</v>
      </c>
      <c r="AL263" s="1">
        <f>1.011*100000000</f>
        <v>101099999.99999999</v>
      </c>
      <c r="AM263" s="8">
        <f t="shared" si="142"/>
        <v>0.2045752412724888</v>
      </c>
      <c r="AN263" s="7" t="s">
        <v>3554</v>
      </c>
      <c r="AO263" s="6" t="str">
        <f t="shared" si="143"/>
        <v>=8393*10000</v>
      </c>
      <c r="AP263" s="1">
        <f>8393*10000</f>
        <v>83930000</v>
      </c>
      <c r="AQ263" s="8">
        <f t="shared" si="144"/>
        <v>0.54481870053377512</v>
      </c>
      <c r="AR263" s="7" t="s">
        <v>3555</v>
      </c>
      <c r="AS263" s="6" t="str">
        <f t="shared" si="145"/>
        <v>=5433*10000</v>
      </c>
      <c r="AT263" s="1">
        <f>5433*10000</f>
        <v>54330000</v>
      </c>
      <c r="AU263" s="8">
        <f t="shared" si="146"/>
        <v>0.61025489033787794</v>
      </c>
      <c r="AV263" s="7" t="s">
        <v>3556</v>
      </c>
      <c r="AW263" s="6" t="str">
        <f t="shared" si="147"/>
        <v>=3374*10000</v>
      </c>
      <c r="AX263" s="1">
        <f>3374*10000</f>
        <v>33740000</v>
      </c>
      <c r="AY263" s="10">
        <f t="shared" si="148"/>
        <v>5.569461827284105E-2</v>
      </c>
      <c r="AZ263" s="7" t="s">
        <v>3557</v>
      </c>
      <c r="BA263" s="6" t="str">
        <f t="shared" si="149"/>
        <v>=3196*10000</v>
      </c>
      <c r="BB263" s="1">
        <f>3196*10000</f>
        <v>31960000</v>
      </c>
      <c r="BC263" s="8">
        <f t="shared" si="150"/>
        <v>-0.28549072211044041</v>
      </c>
      <c r="BD263" s="7" t="s">
        <v>3558</v>
      </c>
      <c r="BE263" s="6" t="str">
        <f t="shared" si="151"/>
        <v>=4473*10000</v>
      </c>
      <c r="BF263" s="1">
        <f>4473*10000</f>
        <v>44730000</v>
      </c>
      <c r="BG263" s="8">
        <f t="shared" si="152"/>
        <v>4.2658284687920973E-3</v>
      </c>
      <c r="BH263" s="7" t="s">
        <v>3559</v>
      </c>
      <c r="BI263" s="6" t="str">
        <f t="shared" si="153"/>
        <v>=4454*10000</v>
      </c>
      <c r="BJ263" s="1">
        <f>4454*10000</f>
        <v>44540000</v>
      </c>
      <c r="BK263" s="7" t="s">
        <v>3560</v>
      </c>
      <c r="BL263" s="1" t="str">
        <f t="shared" si="125"/>
        <v>=2861*10000</v>
      </c>
      <c r="BM263" s="16">
        <f t="shared" si="154"/>
        <v>0.5567983222649423</v>
      </c>
      <c r="BN263" s="1">
        <f>2861*10000</f>
        <v>28610000</v>
      </c>
    </row>
    <row r="264" spans="1:66">
      <c r="A264" s="18"/>
      <c r="B264">
        <v>600218</v>
      </c>
      <c r="C264" t="s">
        <v>58</v>
      </c>
      <c r="D264" s="6" t="s">
        <v>3561</v>
      </c>
      <c r="E264" s="7" t="str">
        <f t="shared" si="124"/>
        <v>=1.512*100000000</v>
      </c>
      <c r="F264" s="1">
        <f>1.512*100000000</f>
        <v>151200000</v>
      </c>
      <c r="G264" s="8">
        <f t="shared" si="126"/>
        <v>0.22627737226277359</v>
      </c>
      <c r="H264" s="6" t="s">
        <v>3562</v>
      </c>
      <c r="I264" s="6" t="str">
        <f t="shared" si="127"/>
        <v>=1.233*100000000</v>
      </c>
      <c r="J264" s="1">
        <f>1.233*100000000</f>
        <v>123300000.00000001</v>
      </c>
      <c r="K264" s="10">
        <f t="shared" si="128"/>
        <v>-4.6403712296983646E-2</v>
      </c>
      <c r="L264" s="6" t="s">
        <v>2013</v>
      </c>
      <c r="M264" s="6" t="str">
        <f t="shared" si="129"/>
        <v>=1.293*100000000</v>
      </c>
      <c r="N264" s="1">
        <f>1.293*100000000</f>
        <v>129300000</v>
      </c>
      <c r="O264" s="8">
        <f t="shared" si="130"/>
        <v>0.85695820766910813</v>
      </c>
      <c r="P264" s="7" t="s">
        <v>3563</v>
      </c>
      <c r="Q264" s="6" t="str">
        <f t="shared" si="131"/>
        <v>=6963*10000</v>
      </c>
      <c r="R264" s="11">
        <f>6963*10000</f>
        <v>69630000</v>
      </c>
      <c r="S264" s="8">
        <f t="shared" si="132"/>
        <v>-0.63061007957559678</v>
      </c>
      <c r="T264" s="6" t="s">
        <v>3564</v>
      </c>
      <c r="U264" s="6" t="str">
        <f t="shared" si="133"/>
        <v>=1.885*100000000</v>
      </c>
      <c r="V264" s="1">
        <f>1.885*100000000</f>
        <v>188500000</v>
      </c>
      <c r="W264" s="8">
        <f t="shared" si="134"/>
        <v>0.32746478873239437</v>
      </c>
      <c r="X264" s="6" t="s">
        <v>3565</v>
      </c>
      <c r="Y264" s="6" t="str">
        <f t="shared" si="135"/>
        <v>=1.420*100000000</v>
      </c>
      <c r="Z264" s="1">
        <f>1.42*100000000</f>
        <v>142000000</v>
      </c>
      <c r="AA264" s="8">
        <f t="shared" si="136"/>
        <v>0.23909249563699841</v>
      </c>
      <c r="AB264" s="6" t="s">
        <v>2114</v>
      </c>
      <c r="AC264" s="6" t="str">
        <f t="shared" si="137"/>
        <v>=1.146*100000000</v>
      </c>
      <c r="AD264" s="1">
        <f>1.146*100000000</f>
        <v>114599999.99999999</v>
      </c>
      <c r="AE264" s="8">
        <f t="shared" si="138"/>
        <v>2.7660203746302985</v>
      </c>
      <c r="AF264" s="7" t="s">
        <v>3566</v>
      </c>
      <c r="AG264" s="6" t="str">
        <f t="shared" si="139"/>
        <v>=3043*10000</v>
      </c>
      <c r="AH264" s="1">
        <f>3043*10000</f>
        <v>30430000</v>
      </c>
      <c r="AI264" s="8">
        <f t="shared" si="140"/>
        <v>-0.7062741312741313</v>
      </c>
      <c r="AJ264" s="6" t="s">
        <v>344</v>
      </c>
      <c r="AK264" s="6" t="str">
        <f t="shared" si="141"/>
        <v>=1.036*100000000</v>
      </c>
      <c r="AL264" s="1">
        <f>1.036*100000000</f>
        <v>103600000</v>
      </c>
      <c r="AM264" s="8">
        <f t="shared" si="142"/>
        <v>0.21925385430151817</v>
      </c>
      <c r="AN264" s="7" t="s">
        <v>3567</v>
      </c>
      <c r="AO264" s="6" t="str">
        <f t="shared" si="143"/>
        <v>=8497*10000</v>
      </c>
      <c r="AP264" s="1">
        <f>8497*10000</f>
        <v>84970000</v>
      </c>
      <c r="AQ264" s="8">
        <f t="shared" si="144"/>
        <v>0.5254937163375224</v>
      </c>
      <c r="AR264" s="7" t="s">
        <v>3568</v>
      </c>
      <c r="AS264" s="6" t="str">
        <f t="shared" si="145"/>
        <v>=5570*10000</v>
      </c>
      <c r="AT264" s="1">
        <f>5570*10000</f>
        <v>55700000</v>
      </c>
      <c r="AU264" s="8">
        <f t="shared" si="146"/>
        <v>0.62438028579760863</v>
      </c>
      <c r="AV264" s="7" t="s">
        <v>3569</v>
      </c>
      <c r="AW264" s="6" t="str">
        <f t="shared" si="147"/>
        <v>=3429*10000</v>
      </c>
      <c r="AX264" s="1">
        <f>3429*10000</f>
        <v>34290000</v>
      </c>
      <c r="AY264" s="10">
        <f t="shared" si="148"/>
        <v>1.2101534828807556E-2</v>
      </c>
      <c r="AZ264" s="7" t="s">
        <v>3570</v>
      </c>
      <c r="BA264" s="6" t="str">
        <f t="shared" si="149"/>
        <v>=3388*10000</v>
      </c>
      <c r="BB264" s="1">
        <f>3388*10000</f>
        <v>33880000</v>
      </c>
      <c r="BC264" s="8">
        <f t="shared" si="150"/>
        <v>-0.22929936305732485</v>
      </c>
      <c r="BD264" s="7" t="s">
        <v>3380</v>
      </c>
      <c r="BE264" s="6" t="str">
        <f t="shared" si="151"/>
        <v>=4396*10000</v>
      </c>
      <c r="BF264" s="1">
        <f>4396*10000</f>
        <v>43960000</v>
      </c>
      <c r="BG264" s="8">
        <f t="shared" si="152"/>
        <v>-1.1361054305839581E-3</v>
      </c>
      <c r="BH264" s="7" t="s">
        <v>3571</v>
      </c>
      <c r="BI264" s="6" t="str">
        <f t="shared" si="153"/>
        <v>=4401*10000</v>
      </c>
      <c r="BJ264" s="1">
        <f>4401*10000</f>
        <v>44010000</v>
      </c>
      <c r="BK264" s="7" t="s">
        <v>3572</v>
      </c>
      <c r="BL264" s="1" t="str">
        <f t="shared" si="125"/>
        <v>=2889*10000</v>
      </c>
      <c r="BM264" s="16">
        <f t="shared" si="154"/>
        <v>0.52336448598130836</v>
      </c>
      <c r="BN264" s="1">
        <f>2889*10000</f>
        <v>28890000</v>
      </c>
    </row>
    <row r="265" spans="1:66">
      <c r="A265" s="19"/>
      <c r="B265">
        <v>600218</v>
      </c>
      <c r="C265" t="s">
        <v>68</v>
      </c>
      <c r="D265" s="6" t="s">
        <v>3573</v>
      </c>
      <c r="E265" s="7" t="str">
        <f t="shared" si="124"/>
        <v>=1.429*100000000</v>
      </c>
      <c r="F265" s="1">
        <f>1.429*100000000</f>
        <v>142900000</v>
      </c>
      <c r="G265" s="8">
        <f t="shared" si="126"/>
        <v>0.26909413854351705</v>
      </c>
      <c r="H265" s="6" t="s">
        <v>3574</v>
      </c>
      <c r="I265" s="6" t="str">
        <f t="shared" si="127"/>
        <v>=1.126*100000000</v>
      </c>
      <c r="J265" s="1">
        <f>1.126*100000000</f>
        <v>112599999.99999999</v>
      </c>
      <c r="K265" s="10">
        <f t="shared" si="128"/>
        <v>1.8083182640144392E-2</v>
      </c>
      <c r="L265" s="6" t="s">
        <v>3575</v>
      </c>
      <c r="M265" s="6" t="str">
        <f t="shared" si="129"/>
        <v>=1.106*100000000</v>
      </c>
      <c r="N265" s="1">
        <f>1.106*100000000</f>
        <v>110600000.00000001</v>
      </c>
      <c r="O265" s="8">
        <f t="shared" si="130"/>
        <v>0.92347826086956553</v>
      </c>
      <c r="P265" s="7" t="s">
        <v>3576</v>
      </c>
      <c r="Q265" s="6" t="str">
        <f t="shared" si="131"/>
        <v>=5750*10000</v>
      </c>
      <c r="R265" s="11">
        <f>5750*10000</f>
        <v>57500000</v>
      </c>
      <c r="S265" s="8">
        <f t="shared" si="132"/>
        <v>-0.66255868544600938</v>
      </c>
      <c r="T265" s="6" t="s">
        <v>3577</v>
      </c>
      <c r="U265" s="6" t="str">
        <f t="shared" si="133"/>
        <v>=1.704*100000000</v>
      </c>
      <c r="V265" s="1">
        <f>1.704*100000000</f>
        <v>170400000</v>
      </c>
      <c r="W265" s="8">
        <f t="shared" si="134"/>
        <v>0.42</v>
      </c>
      <c r="X265" s="6" t="s">
        <v>3578</v>
      </c>
      <c r="Y265" s="6" t="str">
        <f t="shared" si="135"/>
        <v>=1.200*100000000</v>
      </c>
      <c r="Z265" s="1">
        <f>1.2*100000000</f>
        <v>120000000</v>
      </c>
      <c r="AA265" s="8">
        <f t="shared" si="136"/>
        <v>0.22249388753056235</v>
      </c>
      <c r="AB265" s="7" t="s">
        <v>3579</v>
      </c>
      <c r="AC265" s="6" t="str">
        <f t="shared" si="137"/>
        <v>=9816*10000</v>
      </c>
      <c r="AD265" s="1">
        <f>9816*10000</f>
        <v>98160000</v>
      </c>
      <c r="AE265" s="8">
        <f t="shared" si="138"/>
        <v>3.0295566502463056</v>
      </c>
      <c r="AF265" s="7" t="s">
        <v>3580</v>
      </c>
      <c r="AG265" s="6" t="str">
        <f t="shared" si="139"/>
        <v>=2436*10000</v>
      </c>
      <c r="AH265" s="1">
        <f>2436*10000</f>
        <v>24360000</v>
      </c>
      <c r="AI265" s="8">
        <f t="shared" si="140"/>
        <v>-0.73541870316063862</v>
      </c>
      <c r="AJ265" s="7" t="s">
        <v>3581</v>
      </c>
      <c r="AK265" s="6" t="str">
        <f t="shared" si="141"/>
        <v>=9207*10000</v>
      </c>
      <c r="AL265" s="1">
        <f>9207*10000</f>
        <v>92070000</v>
      </c>
      <c r="AM265" s="8">
        <f t="shared" si="142"/>
        <v>0.38201741218853197</v>
      </c>
      <c r="AN265" s="7" t="s">
        <v>3582</v>
      </c>
      <c r="AO265" s="6" t="str">
        <f t="shared" si="143"/>
        <v>=6662*10000</v>
      </c>
      <c r="AP265" s="1">
        <f>6662*10000</f>
        <v>66620000</v>
      </c>
      <c r="AQ265" s="8">
        <f t="shared" si="144"/>
        <v>0.5439165701042874</v>
      </c>
      <c r="AR265" s="7" t="s">
        <v>3583</v>
      </c>
      <c r="AS265" s="6" t="str">
        <f t="shared" si="145"/>
        <v>=4315*10000</v>
      </c>
      <c r="AT265" s="1">
        <f>4315*10000</f>
        <v>43150000</v>
      </c>
      <c r="AU265" s="8">
        <f t="shared" si="146"/>
        <v>0.50979706088173549</v>
      </c>
      <c r="AV265" s="7" t="s">
        <v>2582</v>
      </c>
      <c r="AW265" s="6" t="str">
        <f t="shared" si="147"/>
        <v>=2858*10000</v>
      </c>
      <c r="AX265" s="1">
        <f>2858*10000</f>
        <v>28580000</v>
      </c>
      <c r="AY265" s="10">
        <f t="shared" si="148"/>
        <v>-0.16966879721092387</v>
      </c>
      <c r="AZ265" s="7" t="s">
        <v>3584</v>
      </c>
      <c r="BA265" s="6" t="str">
        <f t="shared" si="149"/>
        <v>=3442*10000</v>
      </c>
      <c r="BB265" s="1">
        <f>3442*10000</f>
        <v>34420000</v>
      </c>
      <c r="BC265" s="8">
        <f t="shared" si="150"/>
        <v>8.2015231400117163E-3</v>
      </c>
      <c r="BD265" s="7" t="s">
        <v>3585</v>
      </c>
      <c r="BE265" s="6" t="str">
        <f t="shared" si="151"/>
        <v>=3414*10000</v>
      </c>
      <c r="BF265" s="1">
        <f>3414*10000</f>
        <v>34140000</v>
      </c>
      <c r="BG265" s="8">
        <f t="shared" si="152"/>
        <v>-3.3135089209855563E-2</v>
      </c>
      <c r="BH265" s="7" t="s">
        <v>3586</v>
      </c>
      <c r="BI265" s="6" t="str">
        <f t="shared" si="153"/>
        <v>=3531*10000</v>
      </c>
      <c r="BJ265" s="1">
        <f>3531*10000</f>
        <v>35310000</v>
      </c>
      <c r="BK265" s="7" t="s">
        <v>3587</v>
      </c>
      <c r="BL265" s="1" t="str">
        <f t="shared" si="125"/>
        <v>=2327*10000</v>
      </c>
      <c r="BM265" s="16">
        <f t="shared" si="154"/>
        <v>0.517404383326171</v>
      </c>
      <c r="BN265" s="1">
        <f>2327*10000</f>
        <v>23270000</v>
      </c>
    </row>
    <row r="266" spans="1:66">
      <c r="A266" s="17">
        <v>67</v>
      </c>
      <c r="B266">
        <v>600219</v>
      </c>
      <c r="C266" t="s">
        <v>31</v>
      </c>
      <c r="D266" s="6" t="s">
        <v>3588</v>
      </c>
      <c r="E266" s="7" t="str">
        <f t="shared" si="124"/>
        <v>=287.3*100000000</v>
      </c>
      <c r="F266" s="1">
        <f>287.3*100000000</f>
        <v>28730000000</v>
      </c>
      <c r="G266" s="8">
        <f t="shared" si="126"/>
        <v>0.4097154072620216</v>
      </c>
      <c r="H266" s="6" t="s">
        <v>3589</v>
      </c>
      <c r="I266" s="6" t="str">
        <f t="shared" si="127"/>
        <v>=203.8*100000000</v>
      </c>
      <c r="J266" s="1">
        <f>203.8*100000000</f>
        <v>20380000000</v>
      </c>
      <c r="K266" s="10">
        <f t="shared" si="128"/>
        <v>0.62519936204146731</v>
      </c>
      <c r="L266" s="6" t="s">
        <v>3590</v>
      </c>
      <c r="M266" s="6" t="str">
        <f t="shared" si="129"/>
        <v>=125.4*100000000</v>
      </c>
      <c r="N266" s="1">
        <f>125.4*100000000</f>
        <v>12540000000</v>
      </c>
      <c r="O266" s="8">
        <f t="shared" si="130"/>
        <v>1.1861924686192469</v>
      </c>
      <c r="P266" s="6" t="s">
        <v>858</v>
      </c>
      <c r="Q266" s="6" t="str">
        <f t="shared" si="131"/>
        <v>=57.36*100000000</v>
      </c>
      <c r="R266" s="11">
        <f>57.36*100000000</f>
        <v>5736000000</v>
      </c>
      <c r="S266" s="8">
        <f t="shared" si="132"/>
        <v>-0.74278026905829597</v>
      </c>
      <c r="T266" s="6" t="s">
        <v>3591</v>
      </c>
      <c r="U266" s="6" t="str">
        <f t="shared" si="133"/>
        <v>=223.0*100000000</v>
      </c>
      <c r="V266" s="1">
        <f>223*100000000</f>
        <v>22300000000</v>
      </c>
      <c r="W266" s="8">
        <f t="shared" si="134"/>
        <v>0.42948717948717946</v>
      </c>
      <c r="X266" s="6" t="s">
        <v>3592</v>
      </c>
      <c r="Y266" s="6" t="str">
        <f t="shared" si="135"/>
        <v>=156.0*100000000</v>
      </c>
      <c r="Z266" s="1">
        <f>156*100000000</f>
        <v>15600000000</v>
      </c>
      <c r="AA266" s="8">
        <f t="shared" si="136"/>
        <v>0.52941176470588236</v>
      </c>
      <c r="AB266" s="6" t="s">
        <v>3593</v>
      </c>
      <c r="AC266" s="6" t="str">
        <f t="shared" si="137"/>
        <v>=102.0*100000000</v>
      </c>
      <c r="AD266" s="1">
        <f>102*100000000</f>
        <v>10200000000</v>
      </c>
      <c r="AE266" s="8">
        <f t="shared" si="138"/>
        <v>1.0622725434694702</v>
      </c>
      <c r="AF266" s="6" t="s">
        <v>3594</v>
      </c>
      <c r="AG266" s="6" t="str">
        <f t="shared" si="139"/>
        <v>=49.46*100000000</v>
      </c>
      <c r="AH266" s="1">
        <f>49.46*100000000</f>
        <v>4946000000</v>
      </c>
      <c r="AI266" s="8">
        <f t="shared" si="140"/>
        <v>-0.77006043700604365</v>
      </c>
      <c r="AJ266" s="6" t="s">
        <v>3595</v>
      </c>
      <c r="AK266" s="6" t="str">
        <f t="shared" si="141"/>
        <v>=215.1*100000000</v>
      </c>
      <c r="AL266" s="1">
        <f>215.1*100000000</f>
        <v>21510000000</v>
      </c>
      <c r="AM266" s="8">
        <f t="shared" si="142"/>
        <v>0.31720759338640525</v>
      </c>
      <c r="AN266" s="6" t="s">
        <v>3596</v>
      </c>
      <c r="AO266" s="6" t="str">
        <f t="shared" si="143"/>
        <v>=163.3*100000000</v>
      </c>
      <c r="AP266" s="1">
        <f>163.3*100000000</f>
        <v>16330000000.000002</v>
      </c>
      <c r="AQ266" s="8">
        <f t="shared" si="144"/>
        <v>0.54786729857819927</v>
      </c>
      <c r="AR266" s="6" t="s">
        <v>1171</v>
      </c>
      <c r="AS266" s="6" t="str">
        <f t="shared" si="145"/>
        <v>=105.5*100000000</v>
      </c>
      <c r="AT266" s="1">
        <f>105.5*100000000</f>
        <v>10550000000</v>
      </c>
      <c r="AU266" s="8">
        <f t="shared" si="146"/>
        <v>1.1486761710794298</v>
      </c>
      <c r="AV266" s="6" t="s">
        <v>3597</v>
      </c>
      <c r="AW266" s="6" t="str">
        <f t="shared" si="147"/>
        <v>=49.10*100000000</v>
      </c>
      <c r="AX266" s="1">
        <f>49.1*100000000</f>
        <v>4910000000</v>
      </c>
      <c r="AY266" s="10">
        <f t="shared" si="148"/>
        <v>-0.75717111770524237</v>
      </c>
      <c r="AZ266" s="6" t="s">
        <v>3598</v>
      </c>
      <c r="BA266" s="6" t="str">
        <f t="shared" si="149"/>
        <v>=202.2*100000000</v>
      </c>
      <c r="BB266" s="1">
        <f>202.2*100000000</f>
        <v>20220000000</v>
      </c>
      <c r="BC266" s="8">
        <f t="shared" si="150"/>
        <v>0.34979973297730288</v>
      </c>
      <c r="BD266" s="6" t="s">
        <v>3599</v>
      </c>
      <c r="BE266" s="6" t="str">
        <f t="shared" si="151"/>
        <v>=149.8*100000000</v>
      </c>
      <c r="BF266" s="1">
        <f>149.8*100000000</f>
        <v>14980000000.000002</v>
      </c>
      <c r="BG266" s="8">
        <f t="shared" si="152"/>
        <v>0.54784046290555921</v>
      </c>
      <c r="BH266" s="6" t="s">
        <v>3600</v>
      </c>
      <c r="BI266" s="6" t="str">
        <f t="shared" si="153"/>
        <v>=96.78*100000000</v>
      </c>
      <c r="BJ266" s="1">
        <f>96.78*100000000</f>
        <v>9678000000</v>
      </c>
      <c r="BK266" s="6" t="s">
        <v>3601</v>
      </c>
      <c r="BL266" s="1" t="str">
        <f t="shared" si="125"/>
        <v>=45.65*100000000</v>
      </c>
      <c r="BM266" s="16">
        <f t="shared" si="154"/>
        <v>1.1200438116100766</v>
      </c>
      <c r="BN266" s="1">
        <f>45.65*100000000</f>
        <v>4565000000</v>
      </c>
    </row>
    <row r="267" spans="1:66">
      <c r="A267" s="18"/>
      <c r="B267">
        <v>600219</v>
      </c>
      <c r="C267" t="s">
        <v>48</v>
      </c>
      <c r="D267" s="6" t="s">
        <v>3602</v>
      </c>
      <c r="E267" s="7" t="str">
        <f t="shared" si="124"/>
        <v>=41.45*100000000</v>
      </c>
      <c r="F267" s="1">
        <f>41.45*100000000</f>
        <v>4145000000.0000005</v>
      </c>
      <c r="G267" s="8">
        <f t="shared" si="126"/>
        <v>0.40460860725177922</v>
      </c>
      <c r="H267" s="6" t="s">
        <v>3603</v>
      </c>
      <c r="I267" s="6" t="str">
        <f t="shared" si="127"/>
        <v>=29.51*100000000</v>
      </c>
      <c r="J267" s="1">
        <f>29.51*100000000</f>
        <v>2951000000</v>
      </c>
      <c r="K267" s="10">
        <f t="shared" si="128"/>
        <v>0.68918145392100749</v>
      </c>
      <c r="L267" s="6" t="s">
        <v>3604</v>
      </c>
      <c r="M267" s="6" t="str">
        <f t="shared" si="129"/>
        <v>=17.47*100000000</v>
      </c>
      <c r="N267" s="1">
        <f>17.47*100000000</f>
        <v>1747000000</v>
      </c>
      <c r="O267" s="8">
        <f t="shared" si="130"/>
        <v>1.7956473035685709</v>
      </c>
      <c r="P267" s="6" t="s">
        <v>3605</v>
      </c>
      <c r="Q267" s="6" t="str">
        <f t="shared" si="131"/>
        <v>=6.249*100000000</v>
      </c>
      <c r="R267" s="11">
        <f>6.249*100000000</f>
        <v>624900000</v>
      </c>
      <c r="S267" s="8">
        <f t="shared" si="132"/>
        <v>-0.75974625144175312</v>
      </c>
      <c r="T267" s="6" t="s">
        <v>1325</v>
      </c>
      <c r="U267" s="6" t="str">
        <f t="shared" si="133"/>
        <v>=26.01*100000000</v>
      </c>
      <c r="V267" s="1">
        <f>26.01*100000000</f>
        <v>2601000000</v>
      </c>
      <c r="W267" s="8">
        <f t="shared" si="134"/>
        <v>0.47198641765704563</v>
      </c>
      <c r="X267" s="6" t="s">
        <v>3606</v>
      </c>
      <c r="Y267" s="6" t="str">
        <f t="shared" si="135"/>
        <v>=17.67*100000000</v>
      </c>
      <c r="Z267" s="1">
        <f>17.67*100000000</f>
        <v>1767000000.0000002</v>
      </c>
      <c r="AA267" s="8">
        <f t="shared" si="136"/>
        <v>0.66540999057492956</v>
      </c>
      <c r="AB267" s="6" t="s">
        <v>166</v>
      </c>
      <c r="AC267" s="6" t="str">
        <f t="shared" si="137"/>
        <v>=10.61*100000000</v>
      </c>
      <c r="AD267" s="1">
        <f>10.61*100000000</f>
        <v>1061000000</v>
      </c>
      <c r="AE267" s="8">
        <f t="shared" si="138"/>
        <v>1.8667927587138611</v>
      </c>
      <c r="AF267" s="6" t="s">
        <v>1968</v>
      </c>
      <c r="AG267" s="6" t="str">
        <f t="shared" si="139"/>
        <v>=3.701*100000000</v>
      </c>
      <c r="AH267" s="1">
        <f>3.701*100000000</f>
        <v>370100000</v>
      </c>
      <c r="AI267" s="8">
        <f t="shared" si="140"/>
        <v>-0.8134576612903226</v>
      </c>
      <c r="AJ267" s="6" t="s">
        <v>3607</v>
      </c>
      <c r="AK267" s="6" t="str">
        <f t="shared" si="141"/>
        <v>=19.84*100000000</v>
      </c>
      <c r="AL267" s="1">
        <f>19.84*100000000</f>
        <v>1984000000</v>
      </c>
      <c r="AM267" s="8">
        <f t="shared" si="142"/>
        <v>0.20024198427102238</v>
      </c>
      <c r="AN267" s="6" t="s">
        <v>3608</v>
      </c>
      <c r="AO267" s="6" t="str">
        <f t="shared" si="143"/>
        <v>=16.53*100000000</v>
      </c>
      <c r="AP267" s="1">
        <f>16.53*100000000</f>
        <v>1653000000</v>
      </c>
      <c r="AQ267" s="8">
        <f t="shared" si="144"/>
        <v>0.67817258883248732</v>
      </c>
      <c r="AR267" s="6" t="s">
        <v>3609</v>
      </c>
      <c r="AS267" s="6" t="str">
        <f t="shared" si="145"/>
        <v>=9.850*100000000</v>
      </c>
      <c r="AT267" s="1">
        <f>9.85*100000000</f>
        <v>985000000</v>
      </c>
      <c r="AU267" s="8">
        <f t="shared" si="146"/>
        <v>1.805468527485047</v>
      </c>
      <c r="AV267" s="6" t="s">
        <v>3610</v>
      </c>
      <c r="AW267" s="6" t="str">
        <f t="shared" si="147"/>
        <v>=3.511*100000000</v>
      </c>
      <c r="AX267" s="1">
        <f>3.511*100000000</f>
        <v>351100000</v>
      </c>
      <c r="AY267" s="10">
        <f t="shared" si="148"/>
        <v>-0.80698185816382628</v>
      </c>
      <c r="AZ267" s="6" t="s">
        <v>1891</v>
      </c>
      <c r="BA267" s="6" t="str">
        <f t="shared" si="149"/>
        <v>=18.19*100000000</v>
      </c>
      <c r="BB267" s="1">
        <f>18.19*100000000</f>
        <v>1819000000.0000002</v>
      </c>
      <c r="BC267" s="8">
        <f t="shared" si="150"/>
        <v>1.1117287381879087E-2</v>
      </c>
      <c r="BD267" s="6" t="s">
        <v>1731</v>
      </c>
      <c r="BE267" s="6" t="str">
        <f t="shared" si="151"/>
        <v>=17.99*100000000</v>
      </c>
      <c r="BF267" s="1">
        <f>17.99*100000000</f>
        <v>1798999999.9999998</v>
      </c>
      <c r="BG267" s="8">
        <f t="shared" si="152"/>
        <v>0.73147256977863306</v>
      </c>
      <c r="BH267" s="6" t="s">
        <v>2056</v>
      </c>
      <c r="BI267" s="6" t="str">
        <f t="shared" si="153"/>
        <v>=10.39*100000000</v>
      </c>
      <c r="BJ267" s="1">
        <f>10.39*100000000</f>
        <v>1039000000</v>
      </c>
      <c r="BK267" s="6" t="s">
        <v>3611</v>
      </c>
      <c r="BL267" s="1" t="str">
        <f t="shared" si="125"/>
        <v>=4.280*100000000</v>
      </c>
      <c r="BM267" s="16">
        <f t="shared" si="154"/>
        <v>1.4275700934579438</v>
      </c>
      <c r="BN267" s="1">
        <f>4.28*100000000</f>
        <v>428000000</v>
      </c>
    </row>
    <row r="268" spans="1:66">
      <c r="A268" s="18"/>
      <c r="B268">
        <v>600219</v>
      </c>
      <c r="C268" t="s">
        <v>58</v>
      </c>
      <c r="D268" s="6" t="s">
        <v>3612</v>
      </c>
      <c r="E268" s="7" t="str">
        <f t="shared" si="124"/>
        <v>=41.39*100000000</v>
      </c>
      <c r="F268" s="1">
        <f>41.39*100000000</f>
        <v>4139000000</v>
      </c>
      <c r="G268" s="8">
        <f t="shared" si="126"/>
        <v>0.41262798634812287</v>
      </c>
      <c r="H268" s="6" t="s">
        <v>3613</v>
      </c>
      <c r="I268" s="6" t="str">
        <f t="shared" si="127"/>
        <v>=29.30*100000000</v>
      </c>
      <c r="J268" s="1">
        <f>29.3*100000000</f>
        <v>2930000000</v>
      </c>
      <c r="K268" s="10">
        <f t="shared" si="128"/>
        <v>0.67716084716657121</v>
      </c>
      <c r="L268" s="6" t="s">
        <v>3604</v>
      </c>
      <c r="M268" s="6" t="str">
        <f t="shared" si="129"/>
        <v>=17.47*100000000</v>
      </c>
      <c r="N268" s="1">
        <f>17.47*100000000</f>
        <v>1747000000</v>
      </c>
      <c r="O268" s="8">
        <f t="shared" si="130"/>
        <v>1.7783078880407124</v>
      </c>
      <c r="P268" s="6" t="s">
        <v>3614</v>
      </c>
      <c r="Q268" s="6" t="str">
        <f t="shared" si="131"/>
        <v>=6.288*100000000</v>
      </c>
      <c r="R268" s="11">
        <f>6.288*100000000</f>
        <v>628800000</v>
      </c>
      <c r="S268" s="8">
        <f t="shared" si="132"/>
        <v>-0.75871066768994633</v>
      </c>
      <c r="T268" s="6" t="s">
        <v>3615</v>
      </c>
      <c r="U268" s="6" t="str">
        <f t="shared" si="133"/>
        <v>=26.06*100000000</v>
      </c>
      <c r="V268" s="1">
        <f>26.06*100000000</f>
        <v>2606000000</v>
      </c>
      <c r="W268" s="8">
        <f t="shared" si="134"/>
        <v>0.45181058495821724</v>
      </c>
      <c r="X268" s="6" t="s">
        <v>2649</v>
      </c>
      <c r="Y268" s="6" t="str">
        <f t="shared" si="135"/>
        <v>=17.95*100000000</v>
      </c>
      <c r="Z268" s="1">
        <f>17.95*100000000</f>
        <v>1795000000</v>
      </c>
      <c r="AA268" s="8">
        <f t="shared" si="136"/>
        <v>0.67913938260056128</v>
      </c>
      <c r="AB268" s="6" t="s">
        <v>3044</v>
      </c>
      <c r="AC268" s="6" t="str">
        <f t="shared" si="137"/>
        <v>=10.69*100000000</v>
      </c>
      <c r="AD268" s="1">
        <f>10.69*100000000</f>
        <v>1069000000</v>
      </c>
      <c r="AE268" s="8">
        <f t="shared" si="138"/>
        <v>1.9033134166214014</v>
      </c>
      <c r="AF268" s="6" t="s">
        <v>3616</v>
      </c>
      <c r="AG268" s="6" t="str">
        <f t="shared" si="139"/>
        <v>=3.682*100000000</v>
      </c>
      <c r="AH268" s="1">
        <f>3.682*100000000</f>
        <v>368200000</v>
      </c>
      <c r="AI268" s="8">
        <f t="shared" si="140"/>
        <v>-0.81608391608391606</v>
      </c>
      <c r="AJ268" s="6" t="s">
        <v>3617</v>
      </c>
      <c r="AK268" s="6" t="str">
        <f t="shared" si="141"/>
        <v>=20.02*100000000</v>
      </c>
      <c r="AL268" s="1">
        <f>20.02*100000000</f>
        <v>2002000000</v>
      </c>
      <c r="AM268" s="8">
        <f t="shared" si="142"/>
        <v>0.20529801324503311</v>
      </c>
      <c r="AN268" s="6" t="s">
        <v>3618</v>
      </c>
      <c r="AO268" s="6" t="str">
        <f t="shared" si="143"/>
        <v>=16.61*100000000</v>
      </c>
      <c r="AP268" s="1">
        <f>16.61*100000000</f>
        <v>1661000000</v>
      </c>
      <c r="AQ268" s="8">
        <f t="shared" si="144"/>
        <v>0.6798139158576052</v>
      </c>
      <c r="AR268" s="6" t="s">
        <v>3619</v>
      </c>
      <c r="AS268" s="6" t="str">
        <f t="shared" si="145"/>
        <v>=9.888*100000000</v>
      </c>
      <c r="AT268" s="1">
        <f>9.888*100000000</f>
        <v>988800000</v>
      </c>
      <c r="AU268" s="8">
        <f t="shared" si="146"/>
        <v>1.8051063829787235</v>
      </c>
      <c r="AV268" s="6" t="s">
        <v>3620</v>
      </c>
      <c r="AW268" s="6" t="str">
        <f t="shared" si="147"/>
        <v>=3.525*100000000</v>
      </c>
      <c r="AX268" s="1">
        <f>3.525*100000000</f>
        <v>352500000</v>
      </c>
      <c r="AY268" s="10">
        <f t="shared" si="148"/>
        <v>-0.80758733624454149</v>
      </c>
      <c r="AZ268" s="6" t="s">
        <v>3621</v>
      </c>
      <c r="BA268" s="6" t="str">
        <f t="shared" si="149"/>
        <v>=18.32*100000000</v>
      </c>
      <c r="BB268" s="1">
        <f>18.32*100000000</f>
        <v>1832000000</v>
      </c>
      <c r="BC268" s="8">
        <f t="shared" si="150"/>
        <v>1.1595803423522915E-2</v>
      </c>
      <c r="BD268" s="6" t="s">
        <v>3622</v>
      </c>
      <c r="BE268" s="6" t="str">
        <f t="shared" si="151"/>
        <v>=18.11*100000000</v>
      </c>
      <c r="BF268" s="1">
        <f>18.11*100000000</f>
        <v>1811000000</v>
      </c>
      <c r="BG268" s="8">
        <f t="shared" si="152"/>
        <v>0.72970391595033413</v>
      </c>
      <c r="BH268" s="6" t="s">
        <v>3623</v>
      </c>
      <c r="BI268" s="6" t="str">
        <f t="shared" si="153"/>
        <v>=10.47*100000000</v>
      </c>
      <c r="BJ268" s="1">
        <f>10.47*100000000</f>
        <v>1047000000.0000001</v>
      </c>
      <c r="BK268" s="6" t="s">
        <v>3624</v>
      </c>
      <c r="BL268" s="1" t="str">
        <f t="shared" si="125"/>
        <v>=4.221*100000000</v>
      </c>
      <c r="BM268" s="16">
        <f t="shared" si="154"/>
        <v>1.4804548685145702</v>
      </c>
      <c r="BN268" s="1">
        <f>4.221*100000000</f>
        <v>422100000</v>
      </c>
    </row>
    <row r="269" spans="1:66">
      <c r="A269" s="19"/>
      <c r="B269">
        <v>600219</v>
      </c>
      <c r="C269" t="s">
        <v>68</v>
      </c>
      <c r="D269" s="6" t="s">
        <v>3625</v>
      </c>
      <c r="E269" s="7" t="str">
        <f t="shared" si="124"/>
        <v>=37.19*100000000</v>
      </c>
      <c r="F269" s="1">
        <f>37.19*100000000</f>
        <v>3719000000</v>
      </c>
      <c r="G269" s="8">
        <f t="shared" si="126"/>
        <v>0.42055003819709702</v>
      </c>
      <c r="H269" s="6" t="s">
        <v>3626</v>
      </c>
      <c r="I269" s="6" t="str">
        <f t="shared" si="127"/>
        <v>=26.18*100000000</v>
      </c>
      <c r="J269" s="1">
        <f>26.18*100000000</f>
        <v>2618000000</v>
      </c>
      <c r="K269" s="10">
        <f t="shared" si="128"/>
        <v>0.67391304347826086</v>
      </c>
      <c r="L269" s="6" t="s">
        <v>2424</v>
      </c>
      <c r="M269" s="6" t="str">
        <f t="shared" si="129"/>
        <v>=15.64*100000000</v>
      </c>
      <c r="N269" s="1">
        <f>15.64*100000000</f>
        <v>1564000000</v>
      </c>
      <c r="O269" s="8">
        <f t="shared" si="130"/>
        <v>1.7574047954866008</v>
      </c>
      <c r="P269" s="6" t="s">
        <v>3627</v>
      </c>
      <c r="Q269" s="6" t="str">
        <f t="shared" si="131"/>
        <v>=5.672*100000000</v>
      </c>
      <c r="R269" s="11">
        <f>5.672*100000000</f>
        <v>567200000</v>
      </c>
      <c r="S269" s="8">
        <f t="shared" si="132"/>
        <v>-0.7446195407474111</v>
      </c>
      <c r="T269" s="6" t="s">
        <v>538</v>
      </c>
      <c r="U269" s="6" t="str">
        <f t="shared" si="133"/>
        <v>=22.21*100000000</v>
      </c>
      <c r="V269" s="1">
        <f>22.21*100000000</f>
        <v>2221000000</v>
      </c>
      <c r="W269" s="8">
        <f t="shared" si="134"/>
        <v>0.45258338783518642</v>
      </c>
      <c r="X269" s="6" t="s">
        <v>2847</v>
      </c>
      <c r="Y269" s="6" t="str">
        <f t="shared" si="135"/>
        <v>=15.29*100000000</v>
      </c>
      <c r="Z269" s="1">
        <f>15.29*100000000</f>
        <v>1529000000</v>
      </c>
      <c r="AA269" s="8">
        <f t="shared" si="136"/>
        <v>0.65386695511087101</v>
      </c>
      <c r="AB269" s="6" t="s">
        <v>3628</v>
      </c>
      <c r="AC269" s="6" t="str">
        <f t="shared" si="137"/>
        <v>=9.245*100000000</v>
      </c>
      <c r="AD269" s="1">
        <f>9.245*100000000</f>
        <v>924499999.99999988</v>
      </c>
      <c r="AE269" s="8">
        <f t="shared" si="138"/>
        <v>1.8863565407430529</v>
      </c>
      <c r="AF269" s="6" t="s">
        <v>2323</v>
      </c>
      <c r="AG269" s="6" t="str">
        <f t="shared" si="139"/>
        <v>=3.203*100000000</v>
      </c>
      <c r="AH269" s="1">
        <f>3.203*100000000</f>
        <v>320300000</v>
      </c>
      <c r="AI269" s="8">
        <f t="shared" si="140"/>
        <v>-0.81549539170506913</v>
      </c>
      <c r="AJ269" s="6" t="s">
        <v>3629</v>
      </c>
      <c r="AK269" s="6" t="str">
        <f t="shared" si="141"/>
        <v>=17.36*100000000</v>
      </c>
      <c r="AL269" s="1">
        <f>17.36*100000000</f>
        <v>1736000000</v>
      </c>
      <c r="AM269" s="8">
        <f t="shared" si="142"/>
        <v>0.27086383601756953</v>
      </c>
      <c r="AN269" s="6" t="s">
        <v>3630</v>
      </c>
      <c r="AO269" s="6" t="str">
        <f t="shared" si="143"/>
        <v>=13.66*100000000</v>
      </c>
      <c r="AP269" s="1">
        <f>13.66*100000000</f>
        <v>1366000000</v>
      </c>
      <c r="AQ269" s="8">
        <f t="shared" si="144"/>
        <v>0.66341938626400387</v>
      </c>
      <c r="AR269" s="6" t="s">
        <v>3631</v>
      </c>
      <c r="AS269" s="6" t="str">
        <f t="shared" si="145"/>
        <v>=8.212*100000000</v>
      </c>
      <c r="AT269" s="1">
        <f>8.212*100000000</f>
        <v>821200000</v>
      </c>
      <c r="AU269" s="8">
        <f t="shared" si="146"/>
        <v>1.9785999274573811</v>
      </c>
      <c r="AV269" s="6" t="s">
        <v>1712</v>
      </c>
      <c r="AW269" s="6" t="str">
        <f t="shared" si="147"/>
        <v>=2.757*100000000</v>
      </c>
      <c r="AX269" s="1">
        <f>2.757*100000000</f>
        <v>275700000</v>
      </c>
      <c r="AY269" s="10">
        <f t="shared" si="148"/>
        <v>-0.81897570584372947</v>
      </c>
      <c r="AZ269" s="6" t="s">
        <v>2661</v>
      </c>
      <c r="BA269" s="6" t="str">
        <f t="shared" si="149"/>
        <v>=15.23*100000000</v>
      </c>
      <c r="BB269" s="1">
        <f>15.23*100000000</f>
        <v>1523000000</v>
      </c>
      <c r="BC269" s="8">
        <f t="shared" si="150"/>
        <v>2.766531713900135E-2</v>
      </c>
      <c r="BD269" s="6" t="s">
        <v>3632</v>
      </c>
      <c r="BE269" s="6" t="str">
        <f t="shared" si="151"/>
        <v>=14.82*100000000</v>
      </c>
      <c r="BF269" s="1">
        <f>14.82*100000000</f>
        <v>1482000000</v>
      </c>
      <c r="BG269" s="8">
        <f t="shared" si="152"/>
        <v>0.70481997009087771</v>
      </c>
      <c r="BH269" s="6" t="s">
        <v>3633</v>
      </c>
      <c r="BI269" s="6" t="str">
        <f t="shared" si="153"/>
        <v>=8.693*100000000</v>
      </c>
      <c r="BJ269" s="1">
        <f>8.693*100000000</f>
        <v>869300000</v>
      </c>
      <c r="BK269" s="6" t="s">
        <v>3634</v>
      </c>
      <c r="BL269" s="1" t="str">
        <f t="shared" si="125"/>
        <v>=3.349*100000000</v>
      </c>
      <c r="BM269" s="16">
        <f t="shared" si="154"/>
        <v>1.5957002090176171</v>
      </c>
      <c r="BN269" s="1">
        <f>3.349*100000000</f>
        <v>334900000</v>
      </c>
    </row>
    <row r="270" spans="1:66">
      <c r="A270" s="17">
        <v>68</v>
      </c>
      <c r="B270">
        <v>600231</v>
      </c>
      <c r="C270" t="s">
        <v>31</v>
      </c>
      <c r="D270" s="6" t="s">
        <v>3635</v>
      </c>
      <c r="E270" s="7" t="str">
        <f t="shared" si="124"/>
        <v>=261.5*100000000</v>
      </c>
      <c r="F270" s="1">
        <f>261.5*100000000</f>
        <v>26150000000</v>
      </c>
      <c r="G270" s="8">
        <f t="shared" si="126"/>
        <v>0.30229083665338646</v>
      </c>
      <c r="H270" s="6" t="s">
        <v>3636</v>
      </c>
      <c r="I270" s="6" t="str">
        <f t="shared" si="127"/>
        <v>=200.8*100000000</v>
      </c>
      <c r="J270" s="1">
        <f>200.8*100000000</f>
        <v>20080000000</v>
      </c>
      <c r="K270" s="10">
        <f t="shared" si="128"/>
        <v>0.59238699444885012</v>
      </c>
      <c r="L270" s="6" t="s">
        <v>3637</v>
      </c>
      <c r="M270" s="6" t="str">
        <f t="shared" si="129"/>
        <v>=126.1*100000000</v>
      </c>
      <c r="N270" s="1">
        <f>126.1*100000000</f>
        <v>12610000000</v>
      </c>
      <c r="O270" s="8">
        <f t="shared" si="130"/>
        <v>1.1801521438450899</v>
      </c>
      <c r="P270" s="6" t="s">
        <v>3638</v>
      </c>
      <c r="Q270" s="6" t="str">
        <f t="shared" si="131"/>
        <v>=57.84*100000000</v>
      </c>
      <c r="R270" s="11">
        <f>57.84*100000000</f>
        <v>5784000000</v>
      </c>
      <c r="S270" s="8">
        <f t="shared" si="132"/>
        <v>-0.71507389162561574</v>
      </c>
      <c r="T270" s="6" t="s">
        <v>3639</v>
      </c>
      <c r="U270" s="6" t="str">
        <f t="shared" si="133"/>
        <v>=203.0*100000000</v>
      </c>
      <c r="V270" s="1">
        <f>203*100000000</f>
        <v>20300000000</v>
      </c>
      <c r="W270" s="8">
        <f t="shared" si="134"/>
        <v>0.38566552901023893</v>
      </c>
      <c r="X270" s="6" t="s">
        <v>3640</v>
      </c>
      <c r="Y270" s="6" t="str">
        <f t="shared" si="135"/>
        <v>=146.5*100000000</v>
      </c>
      <c r="Z270" s="1">
        <f>146.5*100000000</f>
        <v>14650000000</v>
      </c>
      <c r="AA270" s="8">
        <f t="shared" si="136"/>
        <v>0.58412629757785473</v>
      </c>
      <c r="AB270" s="6" t="s">
        <v>3641</v>
      </c>
      <c r="AC270" s="6" t="str">
        <f t="shared" si="137"/>
        <v>=92.48*100000000</v>
      </c>
      <c r="AD270" s="1">
        <f>92.48*100000000</f>
        <v>9248000000</v>
      </c>
      <c r="AE270" s="8">
        <f t="shared" si="138"/>
        <v>1.1572195008164219</v>
      </c>
      <c r="AF270" s="6" t="s">
        <v>3642</v>
      </c>
      <c r="AG270" s="6" t="str">
        <f t="shared" si="139"/>
        <v>=42.87*100000000</v>
      </c>
      <c r="AH270" s="1">
        <f>42.87*100000000</f>
        <v>4286999999.9999995</v>
      </c>
      <c r="AI270" s="8">
        <f t="shared" si="140"/>
        <v>-0.79701704545454544</v>
      </c>
      <c r="AJ270" s="6" t="s">
        <v>3643</v>
      </c>
      <c r="AK270" s="6" t="str">
        <f t="shared" si="141"/>
        <v>=211.2*100000000</v>
      </c>
      <c r="AL270" s="1">
        <f>211.2*100000000</f>
        <v>21120000000</v>
      </c>
      <c r="AM270" s="8">
        <f t="shared" si="142"/>
        <v>0.31098696461824954</v>
      </c>
      <c r="AN270" s="6" t="s">
        <v>3236</v>
      </c>
      <c r="AO270" s="6" t="str">
        <f t="shared" si="143"/>
        <v>=161.1*100000000</v>
      </c>
      <c r="AP270" s="1">
        <f>161.1*100000000</f>
        <v>16110000000</v>
      </c>
      <c r="AQ270" s="8">
        <f t="shared" si="144"/>
        <v>0.51552210724365</v>
      </c>
      <c r="AR270" s="6" t="s">
        <v>3644</v>
      </c>
      <c r="AS270" s="6" t="str">
        <f t="shared" si="145"/>
        <v>=106.3*100000000</v>
      </c>
      <c r="AT270" s="1">
        <f>106.3*100000000</f>
        <v>10630000000</v>
      </c>
      <c r="AU270" s="8">
        <f t="shared" si="146"/>
        <v>1.0620756547041708</v>
      </c>
      <c r="AV270" s="6" t="s">
        <v>3645</v>
      </c>
      <c r="AW270" s="6" t="str">
        <f t="shared" si="147"/>
        <v>=51.55*100000000</v>
      </c>
      <c r="AX270" s="1">
        <f>51.55*100000000</f>
        <v>5155000000</v>
      </c>
      <c r="AY270" s="10">
        <f t="shared" si="148"/>
        <v>-0.75192492781520692</v>
      </c>
      <c r="AZ270" s="6" t="s">
        <v>3646</v>
      </c>
      <c r="BA270" s="6" t="str">
        <f t="shared" si="149"/>
        <v>=207.8*100000000</v>
      </c>
      <c r="BB270" s="1">
        <f>207.8*100000000</f>
        <v>20780000000</v>
      </c>
      <c r="BC270" s="8">
        <f t="shared" si="150"/>
        <v>0.31518987341772153</v>
      </c>
      <c r="BD270" s="6" t="s">
        <v>1014</v>
      </c>
      <c r="BE270" s="6" t="str">
        <f t="shared" si="151"/>
        <v>=158.0*100000000</v>
      </c>
      <c r="BF270" s="1">
        <f>158*100000000</f>
        <v>15800000000</v>
      </c>
      <c r="BG270" s="8">
        <f t="shared" si="152"/>
        <v>0.56746031746031744</v>
      </c>
      <c r="BH270" s="6" t="s">
        <v>3647</v>
      </c>
      <c r="BI270" s="6" t="str">
        <f t="shared" si="153"/>
        <v>=100.8*100000000</v>
      </c>
      <c r="BJ270" s="1">
        <f>100.8*100000000</f>
        <v>10080000000</v>
      </c>
      <c r="BK270" s="6" t="s">
        <v>3648</v>
      </c>
      <c r="BL270" s="1" t="str">
        <f t="shared" si="125"/>
        <v>=44.42*100000000</v>
      </c>
      <c r="BM270" s="16">
        <f t="shared" si="154"/>
        <v>1.2692480864475462</v>
      </c>
      <c r="BN270" s="1">
        <f>44.42*100000000</f>
        <v>4442000000</v>
      </c>
    </row>
    <row r="271" spans="1:66">
      <c r="A271" s="18"/>
      <c r="B271">
        <v>600231</v>
      </c>
      <c r="C271" t="s">
        <v>48</v>
      </c>
      <c r="D271" s="6" t="s">
        <v>3036</v>
      </c>
      <c r="E271" s="7" t="str">
        <f t="shared" si="124"/>
        <v>=12.69*100000000</v>
      </c>
      <c r="F271" s="1">
        <f>12.69*100000000</f>
        <v>1269000000</v>
      </c>
      <c r="G271" s="8">
        <f t="shared" si="126"/>
        <v>-0.11752433936022254</v>
      </c>
      <c r="H271" s="6" t="s">
        <v>1431</v>
      </c>
      <c r="I271" s="6" t="str">
        <f t="shared" si="127"/>
        <v>=14.38*100000000</v>
      </c>
      <c r="J271" s="1">
        <f>14.38*100000000</f>
        <v>1438000000</v>
      </c>
      <c r="K271" s="10">
        <f t="shared" si="128"/>
        <v>0.39206195546950628</v>
      </c>
      <c r="L271" s="6" t="s">
        <v>1108</v>
      </c>
      <c r="M271" s="6" t="str">
        <f t="shared" si="129"/>
        <v>=10.33*100000000</v>
      </c>
      <c r="N271" s="1">
        <f>10.33*100000000</f>
        <v>1033000000</v>
      </c>
      <c r="O271" s="8">
        <f t="shared" si="130"/>
        <v>2.3538961038961039</v>
      </c>
      <c r="P271" s="6" t="s">
        <v>2878</v>
      </c>
      <c r="Q271" s="6" t="str">
        <f t="shared" si="131"/>
        <v>=3.080*100000000</v>
      </c>
      <c r="R271" s="11">
        <f>3.08*100000000</f>
        <v>308000000</v>
      </c>
      <c r="S271" s="8">
        <f t="shared" si="132"/>
        <v>-0.6206896551724137</v>
      </c>
      <c r="T271" s="6" t="s">
        <v>3649</v>
      </c>
      <c r="U271" s="6" t="str">
        <f t="shared" si="133"/>
        <v>=8.120*100000000</v>
      </c>
      <c r="V271" s="1">
        <f>8.12*100000000</f>
        <v>811999999.99999988</v>
      </c>
      <c r="W271" s="8">
        <f t="shared" si="134"/>
        <v>0.42381202875679447</v>
      </c>
      <c r="X271" s="6" t="s">
        <v>3650</v>
      </c>
      <c r="Y271" s="6" t="str">
        <f t="shared" si="135"/>
        <v>=5.703*100000000</v>
      </c>
      <c r="Z271" s="1">
        <f>5.703*100000000</f>
        <v>570300000</v>
      </c>
      <c r="AA271" s="8">
        <f t="shared" si="136"/>
        <v>1.6862929816297689</v>
      </c>
      <c r="AB271" s="6" t="s">
        <v>3651</v>
      </c>
      <c r="AC271" s="6" t="str">
        <f t="shared" si="137"/>
        <v>=2.123*100000000</v>
      </c>
      <c r="AD271" s="1">
        <f>2.123*100000000</f>
        <v>212300000.00000003</v>
      </c>
      <c r="AE271" s="8">
        <f t="shared" si="138"/>
        <v>15.650980392156866</v>
      </c>
      <c r="AF271" s="7" t="s">
        <v>3652</v>
      </c>
      <c r="AG271" s="6" t="str">
        <f t="shared" si="139"/>
        <v>=1275*10000</v>
      </c>
      <c r="AH271" s="1">
        <f>1275*10000</f>
        <v>12750000</v>
      </c>
      <c r="AI271" s="8">
        <f t="shared" si="140"/>
        <v>-0.98126652953276516</v>
      </c>
      <c r="AJ271" s="6" t="s">
        <v>3653</v>
      </c>
      <c r="AK271" s="6" t="str">
        <f t="shared" si="141"/>
        <v>=6.806*100000000</v>
      </c>
      <c r="AL271" s="1">
        <f>6.806*100000000</f>
        <v>680600000</v>
      </c>
      <c r="AM271" s="8">
        <f t="shared" si="142"/>
        <v>5.1444461609763632E-2</v>
      </c>
      <c r="AN271" s="6" t="s">
        <v>3654</v>
      </c>
      <c r="AO271" s="6" t="str">
        <f t="shared" si="143"/>
        <v>=6.473*100000000</v>
      </c>
      <c r="AP271" s="1">
        <f>6.473*100000000</f>
        <v>647300000</v>
      </c>
      <c r="AQ271" s="8">
        <f t="shared" si="144"/>
        <v>0.22641151951496793</v>
      </c>
      <c r="AR271" s="6" t="s">
        <v>3655</v>
      </c>
      <c r="AS271" s="6" t="str">
        <f t="shared" si="145"/>
        <v>=5.278*100000000</v>
      </c>
      <c r="AT271" s="1">
        <f>5.278*100000000</f>
        <v>527799999.99999994</v>
      </c>
      <c r="AU271" s="8">
        <f t="shared" si="146"/>
        <v>3.7549549549549539</v>
      </c>
      <c r="AV271" s="6" t="s">
        <v>3656</v>
      </c>
      <c r="AW271" s="6" t="str">
        <f t="shared" si="147"/>
        <v>=1.110*100000000</v>
      </c>
      <c r="AX271" s="1">
        <f>1.11*100000000</f>
        <v>111000000.00000001</v>
      </c>
      <c r="AY271" s="10">
        <f t="shared" si="148"/>
        <v>-0.93305186972255727</v>
      </c>
      <c r="AZ271" s="6" t="s">
        <v>3657</v>
      </c>
      <c r="BA271" s="6" t="str">
        <f t="shared" si="149"/>
        <v>=16.58*100000000</v>
      </c>
      <c r="BB271" s="1">
        <f>16.58*100000000</f>
        <v>1657999999.9999998</v>
      </c>
      <c r="BC271" s="8">
        <f t="shared" si="150"/>
        <v>-4.2172154823801274E-2</v>
      </c>
      <c r="BD271" s="6" t="s">
        <v>3658</v>
      </c>
      <c r="BE271" s="6" t="str">
        <f t="shared" si="151"/>
        <v>=17.31*100000000</v>
      </c>
      <c r="BF271" s="1">
        <f>17.31*100000000</f>
        <v>1730999999.9999998</v>
      </c>
      <c r="BG271" s="8">
        <f t="shared" si="152"/>
        <v>0.71386138613861361</v>
      </c>
      <c r="BH271" s="6" t="s">
        <v>3659</v>
      </c>
      <c r="BI271" s="6" t="str">
        <f t="shared" si="153"/>
        <v>=10.10*100000000</v>
      </c>
      <c r="BJ271" s="1">
        <f>10.1*100000000</f>
        <v>1010000000</v>
      </c>
      <c r="BK271" s="6" t="s">
        <v>3660</v>
      </c>
      <c r="BL271" s="1" t="str">
        <f t="shared" si="125"/>
        <v>=3.425*100000000</v>
      </c>
      <c r="BM271" s="16">
        <f t="shared" si="154"/>
        <v>1.948905109489051</v>
      </c>
      <c r="BN271" s="1">
        <f>3.425*100000000</f>
        <v>342500000</v>
      </c>
    </row>
    <row r="272" spans="1:66">
      <c r="A272" s="18"/>
      <c r="B272">
        <v>600231</v>
      </c>
      <c r="C272" t="s">
        <v>58</v>
      </c>
      <c r="D272" s="6" t="s">
        <v>1435</v>
      </c>
      <c r="E272" s="7" t="str">
        <f t="shared" si="124"/>
        <v>=12.09*100000000</v>
      </c>
      <c r="F272" s="1">
        <f>12.09*100000000</f>
        <v>1209000000</v>
      </c>
      <c r="G272" s="8">
        <f t="shared" si="126"/>
        <v>-0.15866388308977036</v>
      </c>
      <c r="H272" s="6" t="s">
        <v>3661</v>
      </c>
      <c r="I272" s="6" t="str">
        <f t="shared" si="127"/>
        <v>=14.37*100000000</v>
      </c>
      <c r="J272" s="1">
        <f>14.37*100000000</f>
        <v>1437000000</v>
      </c>
      <c r="K272" s="10">
        <f t="shared" si="128"/>
        <v>0.42136498516320475</v>
      </c>
      <c r="L272" s="6" t="s">
        <v>3662</v>
      </c>
      <c r="M272" s="6" t="str">
        <f t="shared" si="129"/>
        <v>=10.11*100000000</v>
      </c>
      <c r="N272" s="1">
        <f>10.11*100000000</f>
        <v>1011000000</v>
      </c>
      <c r="O272" s="8">
        <f t="shared" si="130"/>
        <v>2.2824675324675323</v>
      </c>
      <c r="P272" s="6" t="s">
        <v>2878</v>
      </c>
      <c r="Q272" s="6" t="str">
        <f t="shared" si="131"/>
        <v>=3.080*100000000</v>
      </c>
      <c r="R272" s="11">
        <f>3.08*100000000</f>
        <v>308000000</v>
      </c>
      <c r="S272" s="8">
        <f t="shared" si="132"/>
        <v>-0.5951097673195741</v>
      </c>
      <c r="T272" s="6" t="s">
        <v>3663</v>
      </c>
      <c r="U272" s="6" t="str">
        <f t="shared" si="133"/>
        <v>=7.607*100000000</v>
      </c>
      <c r="V272" s="1">
        <f>7.607*100000000</f>
        <v>760700000</v>
      </c>
      <c r="W272" s="8">
        <f t="shared" si="134"/>
        <v>0.34423042940448845</v>
      </c>
      <c r="X272" s="6" t="s">
        <v>3664</v>
      </c>
      <c r="Y272" s="6" t="str">
        <f t="shared" si="135"/>
        <v>=5.659*100000000</v>
      </c>
      <c r="Z272" s="1">
        <f>5.659*100000000</f>
        <v>565900000</v>
      </c>
      <c r="AA272" s="8">
        <f t="shared" si="136"/>
        <v>1.7128475551294344</v>
      </c>
      <c r="AB272" s="6" t="s">
        <v>3665</v>
      </c>
      <c r="AC272" s="6" t="str">
        <f t="shared" si="137"/>
        <v>=2.086*100000000</v>
      </c>
      <c r="AD272" s="1">
        <f>2.086*100000000</f>
        <v>208600000</v>
      </c>
      <c r="AE272" s="8">
        <f t="shared" si="138"/>
        <v>21.139673105497771</v>
      </c>
      <c r="AF272" s="7" t="s">
        <v>3666</v>
      </c>
      <c r="AG272" s="6" t="str">
        <f t="shared" si="139"/>
        <v>=942.2*10000</v>
      </c>
      <c r="AH272" s="1">
        <f>942.2*10000</f>
        <v>9422000</v>
      </c>
      <c r="AI272" s="8">
        <f t="shared" si="140"/>
        <v>-0.98408983451536647</v>
      </c>
      <c r="AJ272" s="6" t="s">
        <v>3667</v>
      </c>
      <c r="AK272" s="6" t="str">
        <f t="shared" si="141"/>
        <v>=5.922*100000000</v>
      </c>
      <c r="AL272" s="1">
        <f>5.922*100000000</f>
        <v>592200000</v>
      </c>
      <c r="AM272" s="8">
        <f t="shared" si="142"/>
        <v>3.2786885245901641E-2</v>
      </c>
      <c r="AN272" s="6" t="s">
        <v>3668</v>
      </c>
      <c r="AO272" s="6" t="str">
        <f t="shared" si="143"/>
        <v>=5.734*100000000</v>
      </c>
      <c r="AP272" s="1">
        <f>5.734*100000000</f>
        <v>573400000</v>
      </c>
      <c r="AQ272" s="8">
        <f t="shared" si="144"/>
        <v>0.10652257815515233</v>
      </c>
      <c r="AR272" s="6" t="s">
        <v>3669</v>
      </c>
      <c r="AS272" s="6" t="str">
        <f t="shared" si="145"/>
        <v>=5.182*100000000</v>
      </c>
      <c r="AT272" s="1">
        <f>5.182*100000000</f>
        <v>518200000.00000006</v>
      </c>
      <c r="AU272" s="8">
        <f t="shared" si="146"/>
        <v>4.1256181998021777</v>
      </c>
      <c r="AV272" s="6" t="s">
        <v>2230</v>
      </c>
      <c r="AW272" s="6" t="str">
        <f t="shared" si="147"/>
        <v>=1.011*100000000</v>
      </c>
      <c r="AX272" s="1">
        <f>1.011*100000000</f>
        <v>101099999.99999999</v>
      </c>
      <c r="AY272" s="10">
        <f t="shared" si="148"/>
        <v>-0.93846622032866711</v>
      </c>
      <c r="AZ272" s="6" t="s">
        <v>3670</v>
      </c>
      <c r="BA272" s="6" t="str">
        <f t="shared" si="149"/>
        <v>=16.43*100000000</v>
      </c>
      <c r="BB272" s="1">
        <f>16.43*100000000</f>
        <v>1643000000</v>
      </c>
      <c r="BC272" s="8">
        <f t="shared" si="150"/>
        <v>-4.3655413271245634E-2</v>
      </c>
      <c r="BD272" s="6" t="s">
        <v>3671</v>
      </c>
      <c r="BE272" s="6" t="str">
        <f t="shared" si="151"/>
        <v>=17.18*100000000</v>
      </c>
      <c r="BF272" s="1">
        <f>17.18*100000000</f>
        <v>1718000000</v>
      </c>
      <c r="BG272" s="8">
        <f t="shared" si="152"/>
        <v>0.70436507936507942</v>
      </c>
      <c r="BH272" s="6" t="s">
        <v>1967</v>
      </c>
      <c r="BI272" s="6" t="str">
        <f t="shared" si="153"/>
        <v>=10.08*100000000</v>
      </c>
      <c r="BJ272" s="1">
        <f>10.08*100000000</f>
        <v>1008000000</v>
      </c>
      <c r="BK272" s="6" t="s">
        <v>1385</v>
      </c>
      <c r="BL272" s="1" t="str">
        <f t="shared" si="125"/>
        <v>=3.414*100000000</v>
      </c>
      <c r="BM272" s="16">
        <f t="shared" si="154"/>
        <v>1.9525483304042179</v>
      </c>
      <c r="BN272" s="1">
        <f>3.414*100000000</f>
        <v>341400000</v>
      </c>
    </row>
    <row r="273" spans="1:66">
      <c r="A273" s="19"/>
      <c r="B273">
        <v>600231</v>
      </c>
      <c r="C273" t="s">
        <v>68</v>
      </c>
      <c r="D273" s="6" t="s">
        <v>3672</v>
      </c>
      <c r="E273" s="7" t="str">
        <f t="shared" si="124"/>
        <v>=9.187*100000000</v>
      </c>
      <c r="F273" s="1">
        <f>9.187*100000000</f>
        <v>918699999.99999988</v>
      </c>
      <c r="G273" s="8">
        <f t="shared" si="126"/>
        <v>-0.16023765996343703</v>
      </c>
      <c r="H273" s="6" t="s">
        <v>159</v>
      </c>
      <c r="I273" s="6" t="str">
        <f t="shared" si="127"/>
        <v>=10.94*100000000</v>
      </c>
      <c r="J273" s="1">
        <f>10.94*100000000</f>
        <v>1094000000</v>
      </c>
      <c r="K273" s="10">
        <f t="shared" si="128"/>
        <v>0.42819843342036551</v>
      </c>
      <c r="L273" s="6" t="s">
        <v>3673</v>
      </c>
      <c r="M273" s="6" t="str">
        <f t="shared" si="129"/>
        <v>=7.660*100000000</v>
      </c>
      <c r="N273" s="1">
        <f>7.66*100000000</f>
        <v>766000000</v>
      </c>
      <c r="O273" s="8">
        <f t="shared" si="130"/>
        <v>2.2157850545759867</v>
      </c>
      <c r="P273" s="6" t="s">
        <v>2146</v>
      </c>
      <c r="Q273" s="6" t="str">
        <f t="shared" si="131"/>
        <v>=2.382*100000000</v>
      </c>
      <c r="R273" s="11">
        <f>2.382*100000000</f>
        <v>238200000</v>
      </c>
      <c r="S273" s="8">
        <f t="shared" si="132"/>
        <v>-0.57319476796273072</v>
      </c>
      <c r="T273" s="6" t="s">
        <v>3674</v>
      </c>
      <c r="U273" s="6" t="str">
        <f t="shared" si="133"/>
        <v>=5.581*100000000</v>
      </c>
      <c r="V273" s="1">
        <f>5.581*100000000</f>
        <v>558100000</v>
      </c>
      <c r="W273" s="8">
        <f t="shared" si="134"/>
        <v>0.32628326996197721</v>
      </c>
      <c r="X273" s="6" t="s">
        <v>3675</v>
      </c>
      <c r="Y273" s="6" t="str">
        <f t="shared" si="135"/>
        <v>=4.208*100000000</v>
      </c>
      <c r="Z273" s="1">
        <f>4.208*100000000</f>
        <v>420800000</v>
      </c>
      <c r="AA273" s="8">
        <f t="shared" si="136"/>
        <v>1.7684210526315789</v>
      </c>
      <c r="AB273" s="6" t="s">
        <v>3676</v>
      </c>
      <c r="AC273" s="6" t="str">
        <f t="shared" si="137"/>
        <v>=1.520*100000000</v>
      </c>
      <c r="AD273" s="1">
        <f>1.52*100000000</f>
        <v>152000000</v>
      </c>
      <c r="AE273" s="8">
        <f t="shared" si="138"/>
        <v>33.088360618972864</v>
      </c>
      <c r="AF273" s="7" t="s">
        <v>3677</v>
      </c>
      <c r="AG273" s="6" t="str">
        <f t="shared" si="139"/>
        <v>=445.9*10000</v>
      </c>
      <c r="AH273" s="1">
        <f>445.9*10000</f>
        <v>4459000</v>
      </c>
      <c r="AI273" s="8">
        <f t="shared" si="140"/>
        <v>-0.98957446808510641</v>
      </c>
      <c r="AJ273" s="6" t="s">
        <v>3678</v>
      </c>
      <c r="AK273" s="6" t="str">
        <f t="shared" si="141"/>
        <v>=4.277*100000000</v>
      </c>
      <c r="AL273" s="1">
        <f>4.277*100000000</f>
        <v>427700000</v>
      </c>
      <c r="AM273" s="8">
        <f t="shared" si="142"/>
        <v>1.3747333491348518E-2</v>
      </c>
      <c r="AN273" s="6" t="s">
        <v>3679</v>
      </c>
      <c r="AO273" s="6" t="str">
        <f t="shared" si="143"/>
        <v>=4.219*100000000</v>
      </c>
      <c r="AP273" s="1">
        <f>4.219*100000000</f>
        <v>421900000.00000006</v>
      </c>
      <c r="AQ273" s="8">
        <f t="shared" si="144"/>
        <v>0.10997106024730349</v>
      </c>
      <c r="AR273" s="6" t="s">
        <v>3680</v>
      </c>
      <c r="AS273" s="6" t="str">
        <f t="shared" si="145"/>
        <v>=3.801*100000000</v>
      </c>
      <c r="AT273" s="1">
        <f>3.801*100000000</f>
        <v>380100000</v>
      </c>
      <c r="AU273" s="8">
        <f t="shared" si="146"/>
        <v>4.539201399009035</v>
      </c>
      <c r="AV273" s="7" t="s">
        <v>3681</v>
      </c>
      <c r="AW273" s="6" t="str">
        <f t="shared" si="147"/>
        <v>=6862*10000</v>
      </c>
      <c r="AX273" s="1">
        <f>6862*10000</f>
        <v>68620000</v>
      </c>
      <c r="AY273" s="10">
        <f t="shared" si="148"/>
        <v>-0.94267335004177111</v>
      </c>
      <c r="AZ273" s="6" t="s">
        <v>1118</v>
      </c>
      <c r="BA273" s="6" t="str">
        <f t="shared" si="149"/>
        <v>=11.97*100000000</v>
      </c>
      <c r="BB273" s="1">
        <f>11.97*100000000</f>
        <v>1197000000</v>
      </c>
      <c r="BC273" s="8">
        <f t="shared" si="150"/>
        <v>-6.2646828504306973E-2</v>
      </c>
      <c r="BD273" s="6" t="s">
        <v>3682</v>
      </c>
      <c r="BE273" s="6" t="str">
        <f t="shared" si="151"/>
        <v>=12.77*100000000</v>
      </c>
      <c r="BF273" s="1">
        <f>12.77*100000000</f>
        <v>1277000000</v>
      </c>
      <c r="BG273" s="8">
        <f t="shared" si="152"/>
        <v>0.70539529914529919</v>
      </c>
      <c r="BH273" s="6" t="s">
        <v>3683</v>
      </c>
      <c r="BI273" s="6" t="str">
        <f t="shared" si="153"/>
        <v>=7.488*100000000</v>
      </c>
      <c r="BJ273" s="1">
        <f>7.488*100000000</f>
        <v>748800000</v>
      </c>
      <c r="BK273" s="6" t="s">
        <v>3483</v>
      </c>
      <c r="BL273" s="1" t="str">
        <f t="shared" si="125"/>
        <v>=2.549*100000000</v>
      </c>
      <c r="BM273" s="16">
        <f t="shared" si="154"/>
        <v>1.9376225970969008</v>
      </c>
      <c r="BN273" s="1">
        <f>2.549*100000000</f>
        <v>254900000</v>
      </c>
    </row>
    <row r="274" spans="1:66">
      <c r="A274" s="17">
        <v>69</v>
      </c>
      <c r="B274">
        <v>600232</v>
      </c>
      <c r="C274" t="s">
        <v>31</v>
      </c>
      <c r="D274" s="6" t="s">
        <v>1435</v>
      </c>
      <c r="E274" s="7" t="str">
        <f t="shared" si="124"/>
        <v>=12.09*100000000</v>
      </c>
      <c r="F274" s="1">
        <f>12.09*100000000</f>
        <v>1209000000</v>
      </c>
      <c r="G274" s="8">
        <f t="shared" si="126"/>
        <v>0.42268769122146405</v>
      </c>
      <c r="H274" s="6" t="s">
        <v>3684</v>
      </c>
      <c r="I274" s="6" t="str">
        <f t="shared" si="127"/>
        <v>=8.498*100000000</v>
      </c>
      <c r="J274" s="1">
        <f>8.498*100000000</f>
        <v>849799999.99999988</v>
      </c>
      <c r="K274" s="10">
        <f t="shared" si="128"/>
        <v>0.64085730836068722</v>
      </c>
      <c r="L274" s="6" t="s">
        <v>3685</v>
      </c>
      <c r="M274" s="6" t="str">
        <f t="shared" si="129"/>
        <v>=5.179*100000000</v>
      </c>
      <c r="N274" s="1">
        <f>5.179*100000000</f>
        <v>517900000</v>
      </c>
      <c r="O274" s="8">
        <f t="shared" si="130"/>
        <v>1.3193013882669056</v>
      </c>
      <c r="P274" s="6" t="s">
        <v>3686</v>
      </c>
      <c r="Q274" s="6" t="str">
        <f t="shared" si="131"/>
        <v>=2.233*100000000</v>
      </c>
      <c r="R274" s="11">
        <f>2.233*100000000</f>
        <v>223300000</v>
      </c>
      <c r="S274" s="8">
        <f t="shared" si="132"/>
        <v>-0.77956564659427441</v>
      </c>
      <c r="T274" s="6" t="s">
        <v>1409</v>
      </c>
      <c r="U274" s="6" t="str">
        <f t="shared" si="133"/>
        <v>=10.13*100000000</v>
      </c>
      <c r="V274" s="1">
        <f>10.13*100000000</f>
        <v>1013000000.0000001</v>
      </c>
      <c r="W274" s="8">
        <f t="shared" si="134"/>
        <v>0.51420029895366237</v>
      </c>
      <c r="X274" s="6" t="s">
        <v>2966</v>
      </c>
      <c r="Y274" s="6" t="str">
        <f t="shared" si="135"/>
        <v>=6.690*100000000</v>
      </c>
      <c r="Z274" s="1">
        <f>6.69*100000000</f>
        <v>669000000</v>
      </c>
      <c r="AA274" s="8">
        <f t="shared" si="136"/>
        <v>0.61204819277108413</v>
      </c>
      <c r="AB274" s="6" t="s">
        <v>3687</v>
      </c>
      <c r="AC274" s="6" t="str">
        <f t="shared" si="137"/>
        <v>=4.150*100000000</v>
      </c>
      <c r="AD274" s="1">
        <f>4.15*100000000</f>
        <v>415000000.00000006</v>
      </c>
      <c r="AE274" s="8">
        <f t="shared" si="138"/>
        <v>1.1603331598125979</v>
      </c>
      <c r="AF274" s="6" t="s">
        <v>3688</v>
      </c>
      <c r="AG274" s="6" t="str">
        <f t="shared" si="139"/>
        <v>=1.921*100000000</v>
      </c>
      <c r="AH274" s="1">
        <f>1.921*100000000</f>
        <v>192100000</v>
      </c>
      <c r="AI274" s="8">
        <f t="shared" si="140"/>
        <v>-0.84508064516129033</v>
      </c>
      <c r="AJ274" s="6" t="s">
        <v>3689</v>
      </c>
      <c r="AK274" s="6" t="str">
        <f t="shared" si="141"/>
        <v>=12.40*100000000</v>
      </c>
      <c r="AL274" s="1">
        <f>12.4*100000000</f>
        <v>1240000000</v>
      </c>
      <c r="AM274" s="8">
        <f t="shared" si="142"/>
        <v>0.50211992731677746</v>
      </c>
      <c r="AN274" s="6" t="s">
        <v>3690</v>
      </c>
      <c r="AO274" s="6" t="str">
        <f t="shared" si="143"/>
        <v>=8.255*100000000</v>
      </c>
      <c r="AP274" s="1">
        <f>8.255*100000000</f>
        <v>825500000.00000012</v>
      </c>
      <c r="AQ274" s="8">
        <f t="shared" si="144"/>
        <v>0.56167234203556604</v>
      </c>
      <c r="AR274" s="6" t="s">
        <v>3691</v>
      </c>
      <c r="AS274" s="6" t="str">
        <f t="shared" si="145"/>
        <v>=5.286*100000000</v>
      </c>
      <c r="AT274" s="1">
        <f>5.286*100000000</f>
        <v>528599999.99999994</v>
      </c>
      <c r="AU274" s="8">
        <f t="shared" si="146"/>
        <v>0.94409709452004387</v>
      </c>
      <c r="AV274" s="6" t="s">
        <v>3692</v>
      </c>
      <c r="AW274" s="6" t="str">
        <f t="shared" si="147"/>
        <v>=2.719*100000000</v>
      </c>
      <c r="AX274" s="1">
        <f>2.719*100000000</f>
        <v>271900000</v>
      </c>
      <c r="AY274" s="10">
        <f t="shared" si="148"/>
        <v>-0.77322768974145117</v>
      </c>
      <c r="AZ274" s="6" t="s">
        <v>3693</v>
      </c>
      <c r="BA274" s="6" t="str">
        <f t="shared" si="149"/>
        <v>=11.99*100000000</v>
      </c>
      <c r="BB274" s="1">
        <f>11.99*100000000</f>
        <v>1199000000</v>
      </c>
      <c r="BC274" s="8">
        <f t="shared" si="150"/>
        <v>0.37326766693391367</v>
      </c>
      <c r="BD274" s="6" t="s">
        <v>3694</v>
      </c>
      <c r="BE274" s="6" t="str">
        <f t="shared" si="151"/>
        <v>=8.731*100000000</v>
      </c>
      <c r="BF274" s="1">
        <f>8.731*100000000</f>
        <v>873100000</v>
      </c>
      <c r="BG274" s="8">
        <f t="shared" si="152"/>
        <v>0.50794473229706394</v>
      </c>
      <c r="BH274" s="6" t="s">
        <v>3695</v>
      </c>
      <c r="BI274" s="6" t="str">
        <f t="shared" si="153"/>
        <v>=5.790*100000000</v>
      </c>
      <c r="BJ274" s="1">
        <f>5.79*100000000</f>
        <v>579000000</v>
      </c>
      <c r="BK274" s="6" t="s">
        <v>1062</v>
      </c>
      <c r="BL274" s="1" t="str">
        <f t="shared" si="125"/>
        <v>=2.351*100000000</v>
      </c>
      <c r="BM274" s="16">
        <f t="shared" si="154"/>
        <v>1.4627817949808593</v>
      </c>
      <c r="BN274" s="1">
        <f>2.351*100000000</f>
        <v>235100000</v>
      </c>
    </row>
    <row r="275" spans="1:66">
      <c r="A275" s="18"/>
      <c r="B275">
        <v>600232</v>
      </c>
      <c r="C275" t="s">
        <v>48</v>
      </c>
      <c r="D275" s="7" t="s">
        <v>3696</v>
      </c>
      <c r="E275" s="7" t="str">
        <f t="shared" si="124"/>
        <v>=5788*10000</v>
      </c>
      <c r="F275" s="1">
        <f>5788*10000</f>
        <v>57880000</v>
      </c>
      <c r="G275" s="8">
        <f t="shared" si="126"/>
        <v>0.3187514240145819</v>
      </c>
      <c r="H275" s="7" t="s">
        <v>3697</v>
      </c>
      <c r="I275" s="6" t="str">
        <f t="shared" si="127"/>
        <v>=4389*10000</v>
      </c>
      <c r="J275" s="1">
        <f>4389*10000</f>
        <v>43890000</v>
      </c>
      <c r="K275" s="10">
        <f t="shared" si="128"/>
        <v>2.0144230769230771</v>
      </c>
      <c r="L275" s="7" t="s">
        <v>3698</v>
      </c>
      <c r="M275" s="6" t="str">
        <f t="shared" si="129"/>
        <v>=1456*10000</v>
      </c>
      <c r="N275" s="1">
        <f>1456*10000</f>
        <v>14560000</v>
      </c>
      <c r="O275" s="8">
        <f t="shared" si="130"/>
        <v>4.2336448598130838</v>
      </c>
      <c r="P275" s="7" t="s">
        <v>3699</v>
      </c>
      <c r="Q275" s="6" t="str">
        <f t="shared" si="131"/>
        <v>=278.2*10000</v>
      </c>
      <c r="R275" s="11">
        <f>278.2*10000</f>
        <v>2782000</v>
      </c>
      <c r="S275" s="8">
        <f t="shared" si="132"/>
        <v>-0.9454723637789102</v>
      </c>
      <c r="T275" s="7" t="s">
        <v>3700</v>
      </c>
      <c r="U275" s="6" t="str">
        <f t="shared" si="133"/>
        <v>=5102*10000</v>
      </c>
      <c r="V275" s="1">
        <f>5102*10000</f>
        <v>51020000</v>
      </c>
      <c r="W275" s="8">
        <f t="shared" si="134"/>
        <v>-6.10967979389032E-2</v>
      </c>
      <c r="X275" s="7" t="s">
        <v>3701</v>
      </c>
      <c r="Y275" s="6" t="str">
        <f t="shared" si="135"/>
        <v>=5434*10000</v>
      </c>
      <c r="Z275" s="1">
        <f>5434*10000</f>
        <v>54340000</v>
      </c>
      <c r="AA275" s="8">
        <f t="shared" si="136"/>
        <v>1.2325390304026294</v>
      </c>
      <c r="AB275" s="7" t="s">
        <v>3702</v>
      </c>
      <c r="AC275" s="6" t="str">
        <f t="shared" si="137"/>
        <v>=2434*10000</v>
      </c>
      <c r="AD275" s="1">
        <f>2434*10000</f>
        <v>24340000</v>
      </c>
      <c r="AE275" s="8">
        <f t="shared" si="138"/>
        <v>-33.588030526174855</v>
      </c>
      <c r="AF275" s="7">
        <f>-74.69*10000</f>
        <v>-746900</v>
      </c>
      <c r="AG275" s="6" t="str">
        <f t="shared" si="139"/>
        <v>=-746900</v>
      </c>
      <c r="AH275" s="1">
        <f>-746900</f>
        <v>-746900</v>
      </c>
      <c r="AI275" s="8">
        <f t="shared" si="140"/>
        <v>-1.0133853046594983</v>
      </c>
      <c r="AJ275" s="7" t="s">
        <v>3703</v>
      </c>
      <c r="AK275" s="6" t="str">
        <f t="shared" si="141"/>
        <v>=5580*10000</v>
      </c>
      <c r="AL275" s="1">
        <f>5580*10000</f>
        <v>55800000</v>
      </c>
      <c r="AM275" s="8">
        <f t="shared" si="142"/>
        <v>0.15863787375415284</v>
      </c>
      <c r="AN275" s="7" t="s">
        <v>3704</v>
      </c>
      <c r="AO275" s="6" t="str">
        <f t="shared" si="143"/>
        <v>=4816*10000</v>
      </c>
      <c r="AP275" s="1">
        <f>4816*10000</f>
        <v>48160000</v>
      </c>
      <c r="AQ275" s="8">
        <f t="shared" si="144"/>
        <v>0.49240780911062909</v>
      </c>
      <c r="AR275" s="7" t="s">
        <v>3705</v>
      </c>
      <c r="AS275" s="6" t="str">
        <f t="shared" si="145"/>
        <v>=3227*10000</v>
      </c>
      <c r="AT275" s="1">
        <f>3227*10000</f>
        <v>32270000</v>
      </c>
      <c r="AU275" s="8">
        <f t="shared" si="146"/>
        <v>1.1672263263935527</v>
      </c>
      <c r="AV275" s="7" t="s">
        <v>3706</v>
      </c>
      <c r="AW275" s="6" t="str">
        <f t="shared" si="147"/>
        <v>=1489*10000</v>
      </c>
      <c r="AX275" s="1">
        <f>1489*10000</f>
        <v>14890000</v>
      </c>
      <c r="AY275" s="10">
        <f t="shared" si="148"/>
        <v>-0.75792554056251016</v>
      </c>
      <c r="AZ275" s="7" t="s">
        <v>3707</v>
      </c>
      <c r="BA275" s="6" t="str">
        <f t="shared" si="149"/>
        <v>=6151*10000</v>
      </c>
      <c r="BB275" s="1">
        <f>6151*10000</f>
        <v>61510000</v>
      </c>
      <c r="BC275" s="8">
        <f t="shared" si="150"/>
        <v>0.22432324840764331</v>
      </c>
      <c r="BD275" s="7" t="s">
        <v>3708</v>
      </c>
      <c r="BE275" s="6" t="str">
        <f t="shared" si="151"/>
        <v>=5024*10000</v>
      </c>
      <c r="BF275" s="1">
        <f>5024*10000</f>
        <v>50240000</v>
      </c>
      <c r="BG275" s="8">
        <f t="shared" si="152"/>
        <v>0.85798816568047342</v>
      </c>
      <c r="BH275" s="7" t="s">
        <v>3709</v>
      </c>
      <c r="BI275" s="6" t="str">
        <f t="shared" si="153"/>
        <v>=2704*10000</v>
      </c>
      <c r="BJ275" s="1">
        <f>2704*10000</f>
        <v>27040000</v>
      </c>
      <c r="BK275" s="7" t="s">
        <v>3710</v>
      </c>
      <c r="BL275" s="1" t="str">
        <f t="shared" si="125"/>
        <v>=622.6*10000</v>
      </c>
      <c r="BM275" s="16">
        <f t="shared" si="154"/>
        <v>3.3430774172823643</v>
      </c>
      <c r="BN275" s="1">
        <f>622.6*10000</f>
        <v>6226000</v>
      </c>
    </row>
    <row r="276" spans="1:66">
      <c r="A276" s="18"/>
      <c r="B276">
        <v>600232</v>
      </c>
      <c r="C276" t="s">
        <v>58</v>
      </c>
      <c r="D276" s="7" t="s">
        <v>3711</v>
      </c>
      <c r="E276" s="7" t="str">
        <f t="shared" si="124"/>
        <v>=5753*10000</v>
      </c>
      <c r="F276" s="1">
        <f>5753*10000</f>
        <v>57530000</v>
      </c>
      <c r="G276" s="8">
        <f t="shared" si="126"/>
        <v>0.28072128227960819</v>
      </c>
      <c r="H276" s="7" t="s">
        <v>3712</v>
      </c>
      <c r="I276" s="6" t="str">
        <f t="shared" si="127"/>
        <v>=4492*10000</v>
      </c>
      <c r="J276" s="1">
        <f>4492*10000</f>
        <v>44920000</v>
      </c>
      <c r="K276" s="10">
        <f t="shared" si="128"/>
        <v>2.1043538355217692</v>
      </c>
      <c r="L276" s="7" t="s">
        <v>3713</v>
      </c>
      <c r="M276" s="6" t="str">
        <f t="shared" si="129"/>
        <v>=1447*10000</v>
      </c>
      <c r="N276" s="1">
        <f>1447*10000</f>
        <v>14470000</v>
      </c>
      <c r="O276" s="8">
        <f t="shared" si="130"/>
        <v>4.4521477015825166</v>
      </c>
      <c r="P276" s="7" t="s">
        <v>3714</v>
      </c>
      <c r="Q276" s="6" t="str">
        <f t="shared" si="131"/>
        <v>=265.4*10000</v>
      </c>
      <c r="R276" s="11">
        <f>265.4*10000</f>
        <v>2654000</v>
      </c>
      <c r="S276" s="8">
        <f t="shared" si="132"/>
        <v>-0.94636216653193206</v>
      </c>
      <c r="T276" s="7" t="s">
        <v>3715</v>
      </c>
      <c r="U276" s="6" t="str">
        <f t="shared" si="133"/>
        <v>=4948*10000</v>
      </c>
      <c r="V276" s="1">
        <f>4948*10000</f>
        <v>49480000</v>
      </c>
      <c r="W276" s="8">
        <f t="shared" si="134"/>
        <v>-6.9924812030075181E-2</v>
      </c>
      <c r="X276" s="7" t="s">
        <v>3716</v>
      </c>
      <c r="Y276" s="6" t="str">
        <f t="shared" si="135"/>
        <v>=5320*10000</v>
      </c>
      <c r="Z276" s="1">
        <f>5320*10000</f>
        <v>53200000</v>
      </c>
      <c r="AA276" s="8">
        <f t="shared" si="136"/>
        <v>1.2911283376399656</v>
      </c>
      <c r="AB276" s="7" t="s">
        <v>3717</v>
      </c>
      <c r="AC276" s="6" t="str">
        <f t="shared" si="137"/>
        <v>=2322*10000</v>
      </c>
      <c r="AD276" s="1">
        <f>2322*10000</f>
        <v>23220000</v>
      </c>
      <c r="AE276" s="8">
        <f t="shared" si="138"/>
        <v>-13.04356846473029</v>
      </c>
      <c r="AF276" s="7">
        <f>-192.8*10000</f>
        <v>-1928000</v>
      </c>
      <c r="AG276" s="6" t="str">
        <f t="shared" si="139"/>
        <v>=-1928000</v>
      </c>
      <c r="AH276" s="1">
        <f>-1928000</f>
        <v>-1928000</v>
      </c>
      <c r="AI276" s="8">
        <f t="shared" si="140"/>
        <v>-1.0353372434017596</v>
      </c>
      <c r="AJ276" s="7" t="s">
        <v>3718</v>
      </c>
      <c r="AK276" s="6" t="str">
        <f t="shared" si="141"/>
        <v>=5456*10000</v>
      </c>
      <c r="AL276" s="1">
        <f>5456*10000</f>
        <v>54560000</v>
      </c>
      <c r="AM276" s="8">
        <f t="shared" si="142"/>
        <v>0.13359650945356327</v>
      </c>
      <c r="AN276" s="7" t="s">
        <v>3719</v>
      </c>
      <c r="AO276" s="6" t="str">
        <f t="shared" si="143"/>
        <v>=4813*10000</v>
      </c>
      <c r="AP276" s="1">
        <f>4813*10000</f>
        <v>48130000</v>
      </c>
      <c r="AQ276" s="8">
        <f t="shared" si="144"/>
        <v>0.49286600496277916</v>
      </c>
      <c r="AR276" s="7" t="s">
        <v>3720</v>
      </c>
      <c r="AS276" s="6" t="str">
        <f t="shared" si="145"/>
        <v>=3224*10000</v>
      </c>
      <c r="AT276" s="1">
        <f>3224*10000</f>
        <v>32240000</v>
      </c>
      <c r="AU276" s="8">
        <f t="shared" si="146"/>
        <v>1.1725067385444743</v>
      </c>
      <c r="AV276" s="7" t="s">
        <v>3721</v>
      </c>
      <c r="AW276" s="6" t="str">
        <f t="shared" si="147"/>
        <v>=1484*10000</v>
      </c>
      <c r="AX276" s="1">
        <f>1484*10000</f>
        <v>14840000</v>
      </c>
      <c r="AY276" s="10">
        <f t="shared" si="148"/>
        <v>-0.75262543757292877</v>
      </c>
      <c r="AZ276" s="7" t="s">
        <v>3722</v>
      </c>
      <c r="BA276" s="6" t="str">
        <f t="shared" si="149"/>
        <v>=5999*10000</v>
      </c>
      <c r="BB276" s="1">
        <f>5999*10000</f>
        <v>59990000</v>
      </c>
      <c r="BC276" s="8">
        <f t="shared" si="150"/>
        <v>0.20825780463242699</v>
      </c>
      <c r="BD276" s="7" t="s">
        <v>3723</v>
      </c>
      <c r="BE276" s="6" t="str">
        <f t="shared" si="151"/>
        <v>=4965*10000</v>
      </c>
      <c r="BF276" s="1">
        <f>4965*10000</f>
        <v>49650000</v>
      </c>
      <c r="BG276" s="8">
        <f t="shared" si="152"/>
        <v>0.87783661119515888</v>
      </c>
      <c r="BH276" s="7" t="s">
        <v>3724</v>
      </c>
      <c r="BI276" s="6" t="str">
        <f t="shared" si="153"/>
        <v>=2644*10000</v>
      </c>
      <c r="BJ276" s="1">
        <f>2644*10000</f>
        <v>26440000</v>
      </c>
      <c r="BK276" s="7" t="s">
        <v>3725</v>
      </c>
      <c r="BL276" s="1" t="str">
        <f t="shared" si="125"/>
        <v>=571.6*10000</v>
      </c>
      <c r="BM276" s="16">
        <f t="shared" si="154"/>
        <v>3.6256123163051086</v>
      </c>
      <c r="BN276" s="1">
        <f>571.6*10000</f>
        <v>5716000</v>
      </c>
    </row>
    <row r="277" spans="1:66">
      <c r="A277" s="19"/>
      <c r="B277">
        <v>600232</v>
      </c>
      <c r="C277" t="s">
        <v>68</v>
      </c>
      <c r="D277" s="7" t="s">
        <v>3726</v>
      </c>
      <c r="E277" s="7" t="str">
        <f t="shared" si="124"/>
        <v>=4885*10000</v>
      </c>
      <c r="F277" s="1">
        <f>4885*10000</f>
        <v>48850000</v>
      </c>
      <c r="G277" s="8">
        <f t="shared" si="126"/>
        <v>0.40333237575409364</v>
      </c>
      <c r="H277" s="7" t="s">
        <v>3727</v>
      </c>
      <c r="I277" s="6" t="str">
        <f t="shared" si="127"/>
        <v>=3481*10000</v>
      </c>
      <c r="J277" s="1">
        <f>3481*10000</f>
        <v>34810000</v>
      </c>
      <c r="K277" s="10">
        <f t="shared" si="128"/>
        <v>2.2839622641509436</v>
      </c>
      <c r="L277" s="7" t="s">
        <v>3728</v>
      </c>
      <c r="M277" s="6" t="str">
        <f t="shared" si="129"/>
        <v>=1060*10000</v>
      </c>
      <c r="N277" s="1">
        <f>1060*10000</f>
        <v>10600000</v>
      </c>
      <c r="O277" s="8">
        <f t="shared" si="130"/>
        <v>4.7671381936887922</v>
      </c>
      <c r="P277" s="7" t="s">
        <v>3729</v>
      </c>
      <c r="Q277" s="6" t="str">
        <f t="shared" si="131"/>
        <v>=183.8*10000</v>
      </c>
      <c r="R277" s="11">
        <f>183.8*10000</f>
        <v>1838000</v>
      </c>
      <c r="S277" s="8">
        <f t="shared" si="132"/>
        <v>-0.91728172817281728</v>
      </c>
      <c r="T277" s="7" t="s">
        <v>3730</v>
      </c>
      <c r="U277" s="6" t="str">
        <f t="shared" si="133"/>
        <v>=2222*10000</v>
      </c>
      <c r="V277" s="1">
        <f>2222*10000</f>
        <v>22220000</v>
      </c>
      <c r="W277" s="8">
        <f t="shared" si="134"/>
        <v>-0.45778428501708152</v>
      </c>
      <c r="X277" s="7" t="s">
        <v>3731</v>
      </c>
      <c r="Y277" s="6" t="str">
        <f t="shared" si="135"/>
        <v>=4098*10000</v>
      </c>
      <c r="Z277" s="1">
        <f>4098*10000</f>
        <v>40980000</v>
      </c>
      <c r="AA277" s="8">
        <f t="shared" si="136"/>
        <v>0.92937853107344637</v>
      </c>
      <c r="AB277" s="7" t="s">
        <v>3732</v>
      </c>
      <c r="AC277" s="6" t="str">
        <f t="shared" si="137"/>
        <v>=2124*10000</v>
      </c>
      <c r="AD277" s="1">
        <f>2124*10000</f>
        <v>21240000</v>
      </c>
      <c r="AE277" s="8">
        <f t="shared" si="138"/>
        <v>-8.7546549835706458</v>
      </c>
      <c r="AF277" s="7">
        <f>-273.9*10000</f>
        <v>-2739000</v>
      </c>
      <c r="AG277" s="6" t="str">
        <f t="shared" si="139"/>
        <v>=-2739000</v>
      </c>
      <c r="AH277" s="1">
        <f>-2739000</f>
        <v>-2739000</v>
      </c>
      <c r="AI277" s="8">
        <f t="shared" si="140"/>
        <v>-1.0719653179190751</v>
      </c>
      <c r="AJ277" s="7" t="s">
        <v>3733</v>
      </c>
      <c r="AK277" s="6" t="str">
        <f t="shared" si="141"/>
        <v>=3806*10000</v>
      </c>
      <c r="AL277" s="1">
        <f>3806*10000</f>
        <v>38060000</v>
      </c>
      <c r="AM277" s="8">
        <f t="shared" si="142"/>
        <v>0.13273809523809524</v>
      </c>
      <c r="AN277" s="7" t="s">
        <v>3734</v>
      </c>
      <c r="AO277" s="6" t="str">
        <f t="shared" si="143"/>
        <v>=3360*10000</v>
      </c>
      <c r="AP277" s="1">
        <f>3360*10000</f>
        <v>33600000</v>
      </c>
      <c r="AQ277" s="8">
        <f t="shared" si="144"/>
        <v>0.50201162270898525</v>
      </c>
      <c r="AR277" s="7" t="s">
        <v>3735</v>
      </c>
      <c r="AS277" s="6" t="str">
        <f t="shared" si="145"/>
        <v>=2237*10000</v>
      </c>
      <c r="AT277" s="1">
        <f>2237*10000</f>
        <v>22370000</v>
      </c>
      <c r="AU277" s="8">
        <f t="shared" si="146"/>
        <v>1.2325349301397206</v>
      </c>
      <c r="AV277" s="7" t="s">
        <v>3736</v>
      </c>
      <c r="AW277" s="6" t="str">
        <f t="shared" si="147"/>
        <v>=1002*10000</v>
      </c>
      <c r="AX277" s="1">
        <f>1002*10000</f>
        <v>10020000</v>
      </c>
      <c r="AY277" s="10">
        <f t="shared" si="148"/>
        <v>-0.75173439048562929</v>
      </c>
      <c r="AZ277" s="7" t="s">
        <v>3737</v>
      </c>
      <c r="BA277" s="6" t="str">
        <f t="shared" si="149"/>
        <v>=4036*10000</v>
      </c>
      <c r="BB277" s="1">
        <f>4036*10000</f>
        <v>40360000</v>
      </c>
      <c r="BC277" s="8">
        <f t="shared" si="150"/>
        <v>0.14431528210944145</v>
      </c>
      <c r="BD277" s="7" t="s">
        <v>3738</v>
      </c>
      <c r="BE277" s="6" t="str">
        <f t="shared" si="151"/>
        <v>=3527*10000</v>
      </c>
      <c r="BF277" s="1">
        <f>3527*10000</f>
        <v>35270000</v>
      </c>
      <c r="BG277" s="8">
        <f t="shared" si="152"/>
        <v>0.90339989206691851</v>
      </c>
      <c r="BH277" s="7" t="s">
        <v>3739</v>
      </c>
      <c r="BI277" s="6" t="str">
        <f t="shared" si="153"/>
        <v>=1853*10000</v>
      </c>
      <c r="BJ277" s="1">
        <f>1853*10000</f>
        <v>18530000</v>
      </c>
      <c r="BK277" s="7" t="s">
        <v>3740</v>
      </c>
      <c r="BL277" s="1" t="str">
        <f t="shared" si="125"/>
        <v>=340.3*10000</v>
      </c>
      <c r="BM277" s="16">
        <f t="shared" si="154"/>
        <v>4.4451954158095797</v>
      </c>
      <c r="BN277" s="1">
        <f>340.3*10000</f>
        <v>3403000</v>
      </c>
    </row>
    <row r="278" spans="1:66">
      <c r="A278" s="17">
        <v>70</v>
      </c>
      <c r="B278">
        <v>600235</v>
      </c>
      <c r="C278" t="s">
        <v>31</v>
      </c>
      <c r="D278" s="6" t="s">
        <v>3018</v>
      </c>
      <c r="E278" s="7" t="str">
        <f t="shared" si="124"/>
        <v>=15.26*100000000</v>
      </c>
      <c r="F278" s="1">
        <f>15.26*100000000</f>
        <v>1526000000</v>
      </c>
      <c r="G278" s="8">
        <f t="shared" si="126"/>
        <v>0.40257352941176472</v>
      </c>
      <c r="H278" s="6" t="s">
        <v>3741</v>
      </c>
      <c r="I278" s="6" t="str">
        <f t="shared" si="127"/>
        <v>=10.88*100000000</v>
      </c>
      <c r="J278" s="1">
        <f>10.88*100000000</f>
        <v>1088000000</v>
      </c>
      <c r="K278" s="10">
        <f t="shared" si="128"/>
        <v>0.48715144887916895</v>
      </c>
      <c r="L278" s="6" t="s">
        <v>3742</v>
      </c>
      <c r="M278" s="6" t="str">
        <f t="shared" si="129"/>
        <v>=7.316*100000000</v>
      </c>
      <c r="N278" s="1">
        <f>7.316*100000000</f>
        <v>731600000</v>
      </c>
      <c r="O278" s="8">
        <f t="shared" si="130"/>
        <v>0.95824411134903642</v>
      </c>
      <c r="P278" s="6" t="s">
        <v>3743</v>
      </c>
      <c r="Q278" s="6" t="str">
        <f t="shared" si="131"/>
        <v>=3.736*100000000</v>
      </c>
      <c r="R278" s="11">
        <f>3.736*100000000</f>
        <v>373600000</v>
      </c>
      <c r="S278" s="8">
        <f t="shared" si="132"/>
        <v>-0.72387287509238729</v>
      </c>
      <c r="T278" s="6" t="s">
        <v>3273</v>
      </c>
      <c r="U278" s="6" t="str">
        <f t="shared" si="133"/>
        <v>=13.53*100000000</v>
      </c>
      <c r="V278" s="1">
        <f>13.53*100000000</f>
        <v>1353000000</v>
      </c>
      <c r="W278" s="8">
        <f t="shared" si="134"/>
        <v>0.37920489296636084</v>
      </c>
      <c r="X278" s="6" t="s">
        <v>3744</v>
      </c>
      <c r="Y278" s="6" t="str">
        <f t="shared" si="135"/>
        <v>=9.810*100000000</v>
      </c>
      <c r="Z278" s="1">
        <f>9.81*100000000</f>
        <v>981000000</v>
      </c>
      <c r="AA278" s="8">
        <f t="shared" si="136"/>
        <v>0.53641346906812848</v>
      </c>
      <c r="AB278" s="6" t="s">
        <v>3745</v>
      </c>
      <c r="AC278" s="6" t="str">
        <f t="shared" si="137"/>
        <v>=6.385*100000000</v>
      </c>
      <c r="AD278" s="1">
        <f>6.385*100000000</f>
        <v>638500000</v>
      </c>
      <c r="AE278" s="8">
        <f t="shared" si="138"/>
        <v>1.0750731231719206</v>
      </c>
      <c r="AF278" s="6" t="s">
        <v>3746</v>
      </c>
      <c r="AG278" s="6" t="str">
        <f t="shared" si="139"/>
        <v>=3.077*100000000</v>
      </c>
      <c r="AH278" s="1">
        <f>3.077*100000000</f>
        <v>307700000</v>
      </c>
      <c r="AI278" s="8">
        <f t="shared" si="140"/>
        <v>-0.78005718370264476</v>
      </c>
      <c r="AJ278" s="6" t="s">
        <v>1880</v>
      </c>
      <c r="AK278" s="6" t="str">
        <f t="shared" si="141"/>
        <v>=13.99*100000000</v>
      </c>
      <c r="AL278" s="1">
        <f>13.99*100000000</f>
        <v>1399000000</v>
      </c>
      <c r="AM278" s="8">
        <f t="shared" si="142"/>
        <v>0.31115276476101217</v>
      </c>
      <c r="AN278" s="6" t="s">
        <v>3747</v>
      </c>
      <c r="AO278" s="6" t="str">
        <f t="shared" si="143"/>
        <v>=10.67*100000000</v>
      </c>
      <c r="AP278" s="1">
        <f>10.67*100000000</f>
        <v>1067000000</v>
      </c>
      <c r="AQ278" s="8">
        <f t="shared" si="144"/>
        <v>0.50599858856739588</v>
      </c>
      <c r="AR278" s="6" t="s">
        <v>3748</v>
      </c>
      <c r="AS278" s="6" t="str">
        <f t="shared" si="145"/>
        <v>=7.085*100000000</v>
      </c>
      <c r="AT278" s="1">
        <f>7.085*100000000</f>
        <v>708500000</v>
      </c>
      <c r="AU278" s="8">
        <f t="shared" si="146"/>
        <v>0.89641327623126343</v>
      </c>
      <c r="AV278" s="6" t="s">
        <v>3743</v>
      </c>
      <c r="AW278" s="6" t="str">
        <f t="shared" si="147"/>
        <v>=3.736*100000000</v>
      </c>
      <c r="AX278" s="1">
        <f>3.736*100000000</f>
        <v>373600000</v>
      </c>
      <c r="AY278" s="10">
        <f t="shared" si="148"/>
        <v>-0.75388669301712785</v>
      </c>
      <c r="AZ278" s="6" t="s">
        <v>892</v>
      </c>
      <c r="BA278" s="6" t="str">
        <f t="shared" si="149"/>
        <v>=15.18*100000000</v>
      </c>
      <c r="BB278" s="1">
        <f>15.18*100000000</f>
        <v>1518000000</v>
      </c>
      <c r="BC278" s="8">
        <f t="shared" si="150"/>
        <v>0.3234524847428073</v>
      </c>
      <c r="BD278" s="6" t="s">
        <v>3749</v>
      </c>
      <c r="BE278" s="6" t="str">
        <f t="shared" si="151"/>
        <v>=11.47*100000000</v>
      </c>
      <c r="BF278" s="1">
        <f>11.47*100000000</f>
        <v>1147000000</v>
      </c>
      <c r="BG278" s="8">
        <f t="shared" si="152"/>
        <v>0.4940732056793018</v>
      </c>
      <c r="BH278" s="6" t="s">
        <v>3750</v>
      </c>
      <c r="BI278" s="6" t="str">
        <f t="shared" si="153"/>
        <v>=7.677*100000000</v>
      </c>
      <c r="BJ278" s="1">
        <f>7.677*100000000</f>
        <v>767700000</v>
      </c>
      <c r="BK278" s="6" t="s">
        <v>1680</v>
      </c>
      <c r="BL278" s="1" t="str">
        <f t="shared" si="125"/>
        <v>=3.791*100000000</v>
      </c>
      <c r="BM278" s="16">
        <f t="shared" si="154"/>
        <v>1.0250593510946979</v>
      </c>
      <c r="BN278" s="1">
        <f>3.791*100000000</f>
        <v>379100000</v>
      </c>
    </row>
    <row r="279" spans="1:66">
      <c r="A279" s="18"/>
      <c r="B279">
        <v>600235</v>
      </c>
      <c r="C279" t="s">
        <v>48</v>
      </c>
      <c r="D279" s="7" t="s">
        <v>3751</v>
      </c>
      <c r="E279" s="7" t="str">
        <f t="shared" si="124"/>
        <v>=6069*10000</v>
      </c>
      <c r="F279" s="1">
        <f>6069*10000</f>
        <v>60690000</v>
      </c>
      <c r="G279" s="8">
        <f t="shared" si="126"/>
        <v>0.10325395382657698</v>
      </c>
      <c r="H279" s="7" t="s">
        <v>3752</v>
      </c>
      <c r="I279" s="6" t="str">
        <f t="shared" si="127"/>
        <v>=5501*10000</v>
      </c>
      <c r="J279" s="1">
        <f>5501*10000</f>
        <v>55010000</v>
      </c>
      <c r="K279" s="10">
        <f t="shared" si="128"/>
        <v>0.74192526915769474</v>
      </c>
      <c r="L279" s="7" t="s">
        <v>3753</v>
      </c>
      <c r="M279" s="6" t="str">
        <f t="shared" si="129"/>
        <v>=3158*10000</v>
      </c>
      <c r="N279" s="1">
        <f>3158*10000</f>
        <v>31580000</v>
      </c>
      <c r="O279" s="8">
        <f t="shared" si="130"/>
        <v>1.0321750321750323</v>
      </c>
      <c r="P279" s="7" t="s">
        <v>3297</v>
      </c>
      <c r="Q279" s="6" t="str">
        <f t="shared" si="131"/>
        <v>=1554*10000</v>
      </c>
      <c r="R279" s="11">
        <f>1554*10000</f>
        <v>15540000</v>
      </c>
      <c r="S279" s="8">
        <f t="shared" si="132"/>
        <v>-0.6222654350996597</v>
      </c>
      <c r="T279" s="7" t="s">
        <v>3754</v>
      </c>
      <c r="U279" s="6" t="str">
        <f t="shared" si="133"/>
        <v>=4114*10000</v>
      </c>
      <c r="V279" s="1">
        <f>4114*10000</f>
        <v>41140000</v>
      </c>
      <c r="W279" s="8">
        <f t="shared" si="134"/>
        <v>-0.10135430318916558</v>
      </c>
      <c r="X279" s="7" t="s">
        <v>3755</v>
      </c>
      <c r="Y279" s="6" t="str">
        <f t="shared" si="135"/>
        <v>=4578*10000</v>
      </c>
      <c r="Z279" s="1">
        <f>4578*10000</f>
        <v>45780000</v>
      </c>
      <c r="AA279" s="8">
        <f t="shared" si="136"/>
        <v>0.81522601110229975</v>
      </c>
      <c r="AB279" s="7" t="s">
        <v>3756</v>
      </c>
      <c r="AC279" s="6" t="str">
        <f t="shared" si="137"/>
        <v>=2522*10000</v>
      </c>
      <c r="AD279" s="1">
        <f>2522*10000</f>
        <v>25220000</v>
      </c>
      <c r="AE279" s="8">
        <f t="shared" si="138"/>
        <v>2.2424787863203908</v>
      </c>
      <c r="AF279" s="7" t="s">
        <v>3757</v>
      </c>
      <c r="AG279" s="6" t="str">
        <f t="shared" si="139"/>
        <v>=777.8*10000</v>
      </c>
      <c r="AH279" s="1">
        <f>777.8*10000</f>
        <v>7778000</v>
      </c>
      <c r="AI279" s="8">
        <f t="shared" si="140"/>
        <v>-0.3608874281018899</v>
      </c>
      <c r="AJ279" s="7" t="s">
        <v>3758</v>
      </c>
      <c r="AK279" s="6" t="str">
        <f t="shared" si="141"/>
        <v>=1217*10000</v>
      </c>
      <c r="AL279" s="1">
        <f>1217*10000</f>
        <v>12170000</v>
      </c>
      <c r="AM279" s="8">
        <f t="shared" si="142"/>
        <v>0.88244392884764111</v>
      </c>
      <c r="AN279" s="7" t="s">
        <v>3759</v>
      </c>
      <c r="AO279" s="6" t="str">
        <f t="shared" si="143"/>
        <v>=646.5*10000</v>
      </c>
      <c r="AP279" s="1">
        <f>646.5*10000</f>
        <v>6465000</v>
      </c>
      <c r="AQ279" s="8">
        <f t="shared" si="144"/>
        <v>3.1152132399745387</v>
      </c>
      <c r="AR279" s="7" t="s">
        <v>3760</v>
      </c>
      <c r="AS279" s="6" t="str">
        <f t="shared" si="145"/>
        <v>=157.1*10000</v>
      </c>
      <c r="AT279" s="1">
        <f>157.1*10000</f>
        <v>1571000</v>
      </c>
      <c r="AU279" s="8">
        <f t="shared" si="146"/>
        <v>0.19558599695585996</v>
      </c>
      <c r="AV279" s="7" t="s">
        <v>3761</v>
      </c>
      <c r="AW279" s="6" t="str">
        <f t="shared" si="147"/>
        <v>=131.4*10000</v>
      </c>
      <c r="AX279" s="1">
        <f>131.4*10000</f>
        <v>1314000</v>
      </c>
      <c r="AY279" s="10">
        <f t="shared" si="148"/>
        <v>-0.84057267653482159</v>
      </c>
      <c r="AZ279" s="7" t="s">
        <v>3762</v>
      </c>
      <c r="BA279" s="6" t="str">
        <f t="shared" si="149"/>
        <v>=824.2*10000</v>
      </c>
      <c r="BB279" s="1">
        <f>824.2*10000</f>
        <v>8242000</v>
      </c>
      <c r="BC279" s="8">
        <f t="shared" si="150"/>
        <v>-0.53696629213483149</v>
      </c>
      <c r="BD279" s="7" t="s">
        <v>2487</v>
      </c>
      <c r="BE279" s="6" t="str">
        <f t="shared" si="151"/>
        <v>=1780*10000</v>
      </c>
      <c r="BF279" s="1">
        <f>1780*10000</f>
        <v>17800000</v>
      </c>
      <c r="BG279" s="8">
        <f t="shared" si="152"/>
        <v>0.34137151469480032</v>
      </c>
      <c r="BH279" s="7" t="s">
        <v>3763</v>
      </c>
      <c r="BI279" s="6" t="str">
        <f t="shared" si="153"/>
        <v>=1327*10000</v>
      </c>
      <c r="BJ279" s="1">
        <f>1327*10000</f>
        <v>13270000</v>
      </c>
      <c r="BK279" s="7" t="s">
        <v>3764</v>
      </c>
      <c r="BL279" s="1" t="str">
        <f t="shared" si="125"/>
        <v>=652.9*10000</v>
      </c>
      <c r="BM279" s="16">
        <f t="shared" si="154"/>
        <v>1.0324705161586767</v>
      </c>
      <c r="BN279" s="1">
        <f>652.9*10000</f>
        <v>6529000</v>
      </c>
    </row>
    <row r="280" spans="1:66">
      <c r="A280" s="18"/>
      <c r="B280">
        <v>600235</v>
      </c>
      <c r="C280" t="s">
        <v>58</v>
      </c>
      <c r="D280" s="7" t="s">
        <v>3765</v>
      </c>
      <c r="E280" s="7" t="str">
        <f t="shared" si="124"/>
        <v>=6116*10000</v>
      </c>
      <c r="F280" s="1">
        <f>6116*10000</f>
        <v>61160000</v>
      </c>
      <c r="G280" s="8">
        <f t="shared" si="126"/>
        <v>0.10716871832005793</v>
      </c>
      <c r="H280" s="7" t="s">
        <v>3766</v>
      </c>
      <c r="I280" s="6" t="str">
        <f t="shared" si="127"/>
        <v>=5524*10000</v>
      </c>
      <c r="J280" s="1">
        <f>5524*10000</f>
        <v>55240000</v>
      </c>
      <c r="K280" s="10">
        <f t="shared" si="128"/>
        <v>0.74644325007903889</v>
      </c>
      <c r="L280" s="7" t="s">
        <v>3767</v>
      </c>
      <c r="M280" s="6" t="str">
        <f t="shared" si="129"/>
        <v>=3163*10000</v>
      </c>
      <c r="N280" s="1">
        <f>3163*10000</f>
        <v>31630000</v>
      </c>
      <c r="O280" s="8">
        <f t="shared" si="130"/>
        <v>1.0340836012861736</v>
      </c>
      <c r="P280" s="7" t="s">
        <v>3768</v>
      </c>
      <c r="Q280" s="6" t="str">
        <f t="shared" si="131"/>
        <v>=1555*10000</v>
      </c>
      <c r="R280" s="11">
        <f>1555*10000</f>
        <v>15550000</v>
      </c>
      <c r="S280" s="8">
        <f t="shared" si="132"/>
        <v>-0.67671517671517667</v>
      </c>
      <c r="T280" s="7" t="s">
        <v>3769</v>
      </c>
      <c r="U280" s="6" t="str">
        <f t="shared" si="133"/>
        <v>=4810*10000</v>
      </c>
      <c r="V280" s="1">
        <f>4810*10000</f>
        <v>48100000</v>
      </c>
      <c r="W280" s="8">
        <f t="shared" si="134"/>
        <v>6.4394777605664977E-2</v>
      </c>
      <c r="X280" s="7" t="s">
        <v>3770</v>
      </c>
      <c r="Y280" s="6" t="str">
        <f t="shared" si="135"/>
        <v>=4519*10000</v>
      </c>
      <c r="Z280" s="1">
        <f>4519*10000</f>
        <v>45190000</v>
      </c>
      <c r="AA280" s="8">
        <f t="shared" si="136"/>
        <v>0.77913385826771653</v>
      </c>
      <c r="AB280" s="7" t="s">
        <v>3771</v>
      </c>
      <c r="AC280" s="6" t="str">
        <f t="shared" si="137"/>
        <v>=2540*10000</v>
      </c>
      <c r="AD280" s="1">
        <f>2540*10000</f>
        <v>25400000</v>
      </c>
      <c r="AE280" s="8">
        <f t="shared" si="138"/>
        <v>2.2489127654131491</v>
      </c>
      <c r="AF280" s="7" t="s">
        <v>3772</v>
      </c>
      <c r="AG280" s="6" t="str">
        <f t="shared" si="139"/>
        <v>=781.8*10000</v>
      </c>
      <c r="AH280" s="1">
        <f>781.8*10000</f>
        <v>7818000</v>
      </c>
      <c r="AI280" s="8">
        <f t="shared" si="140"/>
        <v>-0.38343848580441642</v>
      </c>
      <c r="AJ280" s="7" t="s">
        <v>3773</v>
      </c>
      <c r="AK280" s="6" t="str">
        <f t="shared" si="141"/>
        <v>=1268*10000</v>
      </c>
      <c r="AL280" s="1">
        <f>1268*10000</f>
        <v>12680000</v>
      </c>
      <c r="AM280" s="8">
        <f t="shared" si="142"/>
        <v>0.91685563114134538</v>
      </c>
      <c r="AN280" s="7" t="s">
        <v>3774</v>
      </c>
      <c r="AO280" s="6" t="str">
        <f t="shared" si="143"/>
        <v>=661.5*10000</v>
      </c>
      <c r="AP280" s="1">
        <f>661.5*10000</f>
        <v>6615000</v>
      </c>
      <c r="AQ280" s="8">
        <f t="shared" si="144"/>
        <v>2.2910447761194028</v>
      </c>
      <c r="AR280" s="7" t="s">
        <v>3775</v>
      </c>
      <c r="AS280" s="6" t="str">
        <f t="shared" si="145"/>
        <v>=201.0*10000</v>
      </c>
      <c r="AT280" s="1">
        <f>201*10000</f>
        <v>2010000</v>
      </c>
      <c r="AU280" s="8">
        <f t="shared" si="146"/>
        <v>0.14857142857142858</v>
      </c>
      <c r="AV280" s="7" t="s">
        <v>3776</v>
      </c>
      <c r="AW280" s="6" t="str">
        <f t="shared" si="147"/>
        <v>=175.0*10000</v>
      </c>
      <c r="AX280" s="1">
        <f>175*10000</f>
        <v>1750000</v>
      </c>
      <c r="AY280" s="10">
        <f t="shared" si="148"/>
        <v>-0.80356942417779775</v>
      </c>
      <c r="AZ280" s="7" t="s">
        <v>3777</v>
      </c>
      <c r="BA280" s="6" t="str">
        <f t="shared" si="149"/>
        <v>=890.9*10000</v>
      </c>
      <c r="BB280" s="1">
        <f>890.9*10000</f>
        <v>8909000</v>
      </c>
      <c r="BC280" s="8">
        <f t="shared" si="150"/>
        <v>-0.50284598214285714</v>
      </c>
      <c r="BD280" s="7" t="s">
        <v>3778</v>
      </c>
      <c r="BE280" s="6" t="str">
        <f t="shared" si="151"/>
        <v>=1792*10000</v>
      </c>
      <c r="BF280" s="1">
        <f>1792*10000</f>
        <v>17920000</v>
      </c>
      <c r="BG280" s="8">
        <f t="shared" si="152"/>
        <v>0.39238539238539238</v>
      </c>
      <c r="BH280" s="7" t="s">
        <v>2472</v>
      </c>
      <c r="BI280" s="6" t="str">
        <f t="shared" si="153"/>
        <v>=1287*10000</v>
      </c>
      <c r="BJ280" s="1">
        <f>1287*10000</f>
        <v>12870000</v>
      </c>
      <c r="BK280" s="7" t="s">
        <v>3779</v>
      </c>
      <c r="BL280" s="1" t="str">
        <f t="shared" si="125"/>
        <v>=636.8*10000</v>
      </c>
      <c r="BM280" s="16">
        <f t="shared" si="154"/>
        <v>1.0210427135678393</v>
      </c>
      <c r="BN280" s="1">
        <f>636.8*10000</f>
        <v>6368000</v>
      </c>
    </row>
    <row r="281" spans="1:66">
      <c r="A281" s="19"/>
      <c r="B281">
        <v>600235</v>
      </c>
      <c r="C281" t="s">
        <v>68</v>
      </c>
      <c r="D281" s="7" t="s">
        <v>1458</v>
      </c>
      <c r="E281" s="7" t="str">
        <f t="shared" si="124"/>
        <v>=5831*10000</v>
      </c>
      <c r="F281" s="1">
        <f>5831*10000</f>
        <v>58310000</v>
      </c>
      <c r="G281" s="8">
        <f t="shared" si="126"/>
        <v>5.5575669804489497E-2</v>
      </c>
      <c r="H281" s="7" t="s">
        <v>3766</v>
      </c>
      <c r="I281" s="6" t="str">
        <f t="shared" si="127"/>
        <v>=5524*10000</v>
      </c>
      <c r="J281" s="1">
        <f>5524*10000</f>
        <v>55240000</v>
      </c>
      <c r="K281" s="10">
        <f t="shared" si="128"/>
        <v>0.74644325007903889</v>
      </c>
      <c r="L281" s="7" t="s">
        <v>3767</v>
      </c>
      <c r="M281" s="6" t="str">
        <f t="shared" si="129"/>
        <v>=3163*10000</v>
      </c>
      <c r="N281" s="1">
        <f>3163*10000</f>
        <v>31630000</v>
      </c>
      <c r="O281" s="8">
        <f t="shared" si="130"/>
        <v>1.0340836012861736</v>
      </c>
      <c r="P281" s="7" t="s">
        <v>3768</v>
      </c>
      <c r="Q281" s="6" t="str">
        <f t="shared" si="131"/>
        <v>=1555*10000</v>
      </c>
      <c r="R281" s="11">
        <f>1555*10000</f>
        <v>15550000</v>
      </c>
      <c r="S281" s="8">
        <f t="shared" si="132"/>
        <v>-0.67671517671517667</v>
      </c>
      <c r="T281" s="7" t="s">
        <v>3769</v>
      </c>
      <c r="U281" s="6" t="str">
        <f t="shared" si="133"/>
        <v>=4810*10000</v>
      </c>
      <c r="V281" s="1">
        <f>4810*10000</f>
        <v>48100000</v>
      </c>
      <c r="W281" s="8">
        <f t="shared" si="134"/>
        <v>6.4394777605664977E-2</v>
      </c>
      <c r="X281" s="7" t="s">
        <v>3770</v>
      </c>
      <c r="Y281" s="6" t="str">
        <f t="shared" si="135"/>
        <v>=4519*10000</v>
      </c>
      <c r="Z281" s="1">
        <f>4519*10000</f>
        <v>45190000</v>
      </c>
      <c r="AA281" s="8">
        <f t="shared" si="136"/>
        <v>0.77913385826771653</v>
      </c>
      <c r="AB281" s="7" t="s">
        <v>3771</v>
      </c>
      <c r="AC281" s="6" t="str">
        <f t="shared" si="137"/>
        <v>=2540*10000</v>
      </c>
      <c r="AD281" s="1">
        <f>2540*10000</f>
        <v>25400000</v>
      </c>
      <c r="AE281" s="8">
        <f t="shared" si="138"/>
        <v>2.2489127654131491</v>
      </c>
      <c r="AF281" s="7" t="s">
        <v>3772</v>
      </c>
      <c r="AG281" s="6" t="str">
        <f t="shared" si="139"/>
        <v>=781.8*10000</v>
      </c>
      <c r="AH281" s="1">
        <f>781.8*10000</f>
        <v>7818000</v>
      </c>
      <c r="AI281" s="8">
        <f t="shared" si="140"/>
        <v>-0.38921875</v>
      </c>
      <c r="AJ281" s="7" t="s">
        <v>3780</v>
      </c>
      <c r="AK281" s="6" t="str">
        <f t="shared" si="141"/>
        <v>=1280*10000</v>
      </c>
      <c r="AL281" s="1">
        <f>1280*10000</f>
        <v>12800000</v>
      </c>
      <c r="AM281" s="8">
        <f t="shared" si="142"/>
        <v>0.93499622071050648</v>
      </c>
      <c r="AN281" s="7" t="s">
        <v>3774</v>
      </c>
      <c r="AO281" s="6" t="str">
        <f t="shared" si="143"/>
        <v>=661.5*10000</v>
      </c>
      <c r="AP281" s="1">
        <f>661.5*10000</f>
        <v>6615000</v>
      </c>
      <c r="AQ281" s="8">
        <f t="shared" si="144"/>
        <v>2.2910447761194028</v>
      </c>
      <c r="AR281" s="7" t="s">
        <v>3775</v>
      </c>
      <c r="AS281" s="6" t="str">
        <f t="shared" si="145"/>
        <v>=201.0*10000</v>
      </c>
      <c r="AT281" s="1">
        <f>201*10000</f>
        <v>2010000</v>
      </c>
      <c r="AU281" s="8">
        <f t="shared" si="146"/>
        <v>0.14857142857142858</v>
      </c>
      <c r="AV281" s="7" t="s">
        <v>3776</v>
      </c>
      <c r="AW281" s="6" t="str">
        <f t="shared" si="147"/>
        <v>=175.0*10000</v>
      </c>
      <c r="AX281" s="1">
        <f>175*10000</f>
        <v>1750000</v>
      </c>
      <c r="AY281" s="10">
        <f t="shared" si="148"/>
        <v>-0.80217047252995699</v>
      </c>
      <c r="AZ281" s="7" t="s">
        <v>3781</v>
      </c>
      <c r="BA281" s="6" t="str">
        <f t="shared" si="149"/>
        <v>=884.6*10000</v>
      </c>
      <c r="BB281" s="1">
        <f>884.6*10000</f>
        <v>8846000</v>
      </c>
      <c r="BC281" s="8">
        <f t="shared" si="150"/>
        <v>-0.50746102449888641</v>
      </c>
      <c r="BD281" s="7" t="s">
        <v>3782</v>
      </c>
      <c r="BE281" s="6" t="str">
        <f t="shared" si="151"/>
        <v>=1796*10000</v>
      </c>
      <c r="BF281" s="1">
        <f>1796*10000</f>
        <v>17960000</v>
      </c>
      <c r="BG281" s="8">
        <f t="shared" si="152"/>
        <v>0.39549339549339552</v>
      </c>
      <c r="BH281" s="7" t="s">
        <v>2472</v>
      </c>
      <c r="BI281" s="6" t="str">
        <f t="shared" si="153"/>
        <v>=1287*10000</v>
      </c>
      <c r="BJ281" s="1">
        <f>1287*10000</f>
        <v>12870000</v>
      </c>
      <c r="BK281" s="7" t="s">
        <v>3779</v>
      </c>
      <c r="BL281" s="1" t="str">
        <f t="shared" si="125"/>
        <v>=636.8*10000</v>
      </c>
      <c r="BM281" s="16">
        <f t="shared" si="154"/>
        <v>1.0210427135678393</v>
      </c>
      <c r="BN281" s="1">
        <f>636.8*10000</f>
        <v>6368000</v>
      </c>
    </row>
    <row r="282" spans="1:66">
      <c r="A282" s="17">
        <v>71</v>
      </c>
      <c r="B282">
        <v>600237</v>
      </c>
      <c r="C282" t="s">
        <v>31</v>
      </c>
      <c r="D282" s="6" t="s">
        <v>3783</v>
      </c>
      <c r="E282" s="7" t="str">
        <f t="shared" si="124"/>
        <v>=10.00*100000000</v>
      </c>
      <c r="F282" s="1">
        <f>10*100000000</f>
        <v>1000000000</v>
      </c>
      <c r="G282" s="8">
        <f t="shared" si="126"/>
        <v>0.34517083669626042</v>
      </c>
      <c r="H282" s="6" t="s">
        <v>3784</v>
      </c>
      <c r="I282" s="6" t="str">
        <f t="shared" si="127"/>
        <v>=7.434*100000000</v>
      </c>
      <c r="J282" s="1">
        <f>7.434*100000000</f>
        <v>743400000</v>
      </c>
      <c r="K282" s="10">
        <f t="shared" si="128"/>
        <v>0.48028673835125446</v>
      </c>
      <c r="L282" s="6" t="s">
        <v>3785</v>
      </c>
      <c r="M282" s="6" t="str">
        <f t="shared" si="129"/>
        <v>=5.022*100000000</v>
      </c>
      <c r="N282" s="1">
        <f>5.022*100000000</f>
        <v>502200000</v>
      </c>
      <c r="O282" s="8">
        <f t="shared" si="130"/>
        <v>1.0193003618817853</v>
      </c>
      <c r="P282" s="6" t="s">
        <v>3786</v>
      </c>
      <c r="Q282" s="6" t="str">
        <f t="shared" si="131"/>
        <v>=2.487*100000000</v>
      </c>
      <c r="R282" s="11">
        <f>2.487*100000000</f>
        <v>248700000</v>
      </c>
      <c r="S282" s="8">
        <f t="shared" si="132"/>
        <v>-0.7064101050643371</v>
      </c>
      <c r="T282" s="6" t="s">
        <v>3787</v>
      </c>
      <c r="U282" s="6" t="str">
        <f t="shared" si="133"/>
        <v>=8.471*100000000</v>
      </c>
      <c r="V282" s="1">
        <f>8.471*100000000</f>
        <v>847100000</v>
      </c>
      <c r="W282" s="8">
        <f t="shared" si="134"/>
        <v>0.36321210170582557</v>
      </c>
      <c r="X282" s="6" t="s">
        <v>3788</v>
      </c>
      <c r="Y282" s="6" t="str">
        <f t="shared" si="135"/>
        <v>=6.214*100000000</v>
      </c>
      <c r="Z282" s="1">
        <f>6.214*100000000</f>
        <v>621400000</v>
      </c>
      <c r="AA282" s="8">
        <f t="shared" si="136"/>
        <v>0.62287803604074166</v>
      </c>
      <c r="AB282" s="6" t="s">
        <v>1972</v>
      </c>
      <c r="AC282" s="6" t="str">
        <f t="shared" si="137"/>
        <v>=3.829*100000000</v>
      </c>
      <c r="AD282" s="1">
        <f>3.829*100000000</f>
        <v>382900000</v>
      </c>
      <c r="AE282" s="8">
        <f t="shared" si="138"/>
        <v>1.0026150627615062</v>
      </c>
      <c r="AF282" s="6" t="s">
        <v>3789</v>
      </c>
      <c r="AG282" s="6" t="str">
        <f t="shared" si="139"/>
        <v>=1.912*100000000</v>
      </c>
      <c r="AH282" s="1">
        <f>1.912*100000000</f>
        <v>191200000</v>
      </c>
      <c r="AI282" s="8">
        <f t="shared" si="140"/>
        <v>-0.76742488748327453</v>
      </c>
      <c r="AJ282" s="6" t="s">
        <v>3790</v>
      </c>
      <c r="AK282" s="6" t="str">
        <f t="shared" si="141"/>
        <v>=8.221*100000000</v>
      </c>
      <c r="AL282" s="1">
        <f>8.221*100000000</f>
        <v>822100000</v>
      </c>
      <c r="AM282" s="8">
        <f t="shared" si="142"/>
        <v>0.35391963109354413</v>
      </c>
      <c r="AN282" s="6" t="s">
        <v>3791</v>
      </c>
      <c r="AO282" s="6" t="str">
        <f t="shared" si="143"/>
        <v>=6.072*100000000</v>
      </c>
      <c r="AP282" s="1">
        <f>6.072*100000000</f>
        <v>607200000</v>
      </c>
      <c r="AQ282" s="8">
        <f t="shared" si="144"/>
        <v>0.47917174177831889</v>
      </c>
      <c r="AR282" s="6" t="s">
        <v>3792</v>
      </c>
      <c r="AS282" s="6" t="str">
        <f t="shared" si="145"/>
        <v>=4.105*100000000</v>
      </c>
      <c r="AT282" s="1">
        <f>4.105*100000000</f>
        <v>410500000.00000006</v>
      </c>
      <c r="AU282" s="8">
        <f t="shared" si="146"/>
        <v>0.99078564500485022</v>
      </c>
      <c r="AV282" s="6" t="s">
        <v>1050</v>
      </c>
      <c r="AW282" s="6" t="str">
        <f t="shared" si="147"/>
        <v>=2.062*100000000</v>
      </c>
      <c r="AX282" s="1">
        <f>2.062*100000000</f>
        <v>206199999.99999997</v>
      </c>
      <c r="AY282" s="10">
        <f t="shared" si="148"/>
        <v>-0.76711091032301781</v>
      </c>
      <c r="AZ282" s="6" t="s">
        <v>51</v>
      </c>
      <c r="BA282" s="6" t="str">
        <f t="shared" si="149"/>
        <v>=8.854*100000000</v>
      </c>
      <c r="BB282" s="1">
        <f>8.854*100000000</f>
        <v>885399999.99999988</v>
      </c>
      <c r="BC282" s="8">
        <f t="shared" si="150"/>
        <v>0.35922628185446714</v>
      </c>
      <c r="BD282" s="6" t="s">
        <v>3793</v>
      </c>
      <c r="BE282" s="6" t="str">
        <f t="shared" si="151"/>
        <v>=6.514*100000000</v>
      </c>
      <c r="BF282" s="1">
        <f>6.514*100000000</f>
        <v>651400000</v>
      </c>
      <c r="BG282" s="8">
        <f t="shared" si="152"/>
        <v>0.43987621573828473</v>
      </c>
      <c r="BH282" s="6" t="s">
        <v>3794</v>
      </c>
      <c r="BI282" s="6" t="str">
        <f t="shared" si="153"/>
        <v>=4.524*100000000</v>
      </c>
      <c r="BJ282" s="1">
        <f>4.524*100000000</f>
        <v>452400000</v>
      </c>
      <c r="BK282" s="6" t="s">
        <v>495</v>
      </c>
      <c r="BL282" s="1" t="str">
        <f t="shared" si="125"/>
        <v>=2.054*100000000</v>
      </c>
      <c r="BM282" s="16">
        <f t="shared" si="154"/>
        <v>1.2025316455696207</v>
      </c>
      <c r="BN282" s="1">
        <f>2.054*100000000</f>
        <v>205399999.99999997</v>
      </c>
    </row>
    <row r="283" spans="1:66">
      <c r="A283" s="18"/>
      <c r="B283">
        <v>600237</v>
      </c>
      <c r="C283" t="s">
        <v>48</v>
      </c>
      <c r="D283" s="7" t="s">
        <v>3795</v>
      </c>
      <c r="E283" s="7" t="str">
        <f t="shared" si="124"/>
        <v>=5429*10000</v>
      </c>
      <c r="F283" s="1">
        <f>5429*10000</f>
        <v>54290000</v>
      </c>
      <c r="G283" s="8">
        <f t="shared" si="126"/>
        <v>0.48292816170445235</v>
      </c>
      <c r="H283" s="7" t="s">
        <v>3796</v>
      </c>
      <c r="I283" s="6" t="str">
        <f t="shared" si="127"/>
        <v>=3661*10000</v>
      </c>
      <c r="J283" s="1">
        <f>3661*10000</f>
        <v>36610000</v>
      </c>
      <c r="K283" s="10">
        <f t="shared" si="128"/>
        <v>0.21185038066865278</v>
      </c>
      <c r="L283" s="7" t="s">
        <v>3797</v>
      </c>
      <c r="M283" s="6" t="str">
        <f t="shared" si="129"/>
        <v>=3021*10000</v>
      </c>
      <c r="N283" s="1">
        <f>3021*10000</f>
        <v>30210000</v>
      </c>
      <c r="O283" s="8">
        <f t="shared" si="130"/>
        <v>0.65989010989010988</v>
      </c>
      <c r="P283" s="7" t="s">
        <v>3798</v>
      </c>
      <c r="Q283" s="6" t="str">
        <f t="shared" si="131"/>
        <v>=1820*10000</v>
      </c>
      <c r="R283" s="11">
        <f>1820*10000</f>
        <v>18200000</v>
      </c>
      <c r="S283" s="8">
        <f t="shared" si="132"/>
        <v>0.53456998313659354</v>
      </c>
      <c r="T283" s="7" t="s">
        <v>3799</v>
      </c>
      <c r="U283" s="6" t="str">
        <f t="shared" si="133"/>
        <v>=1186*10000</v>
      </c>
      <c r="V283" s="1">
        <f>1186*10000</f>
        <v>11860000</v>
      </c>
      <c r="W283" s="8">
        <f t="shared" si="134"/>
        <v>-0.12601326455416359</v>
      </c>
      <c r="X283" s="7" t="s">
        <v>3800</v>
      </c>
      <c r="Y283" s="6" t="str">
        <f t="shared" si="135"/>
        <v>=1357*10000</v>
      </c>
      <c r="Z283" s="1">
        <f>1357*10000</f>
        <v>13570000</v>
      </c>
      <c r="AA283" s="8">
        <f t="shared" si="136"/>
        <v>-29.176910299003321</v>
      </c>
      <c r="AB283" s="7">
        <f>-48.16*10000</f>
        <v>-481599.99999999994</v>
      </c>
      <c r="AC283" s="6" t="str">
        <f t="shared" si="137"/>
        <v>=-481600</v>
      </c>
      <c r="AD283" s="1">
        <f>-481600</f>
        <v>-481600</v>
      </c>
      <c r="AE283" s="8">
        <f t="shared" si="138"/>
        <v>-0.91125852220379588</v>
      </c>
      <c r="AF283" s="7">
        <f>-542.7*10000</f>
        <v>-5427000</v>
      </c>
      <c r="AG283" s="6" t="str">
        <f t="shared" si="139"/>
        <v>=-5427000</v>
      </c>
      <c r="AH283" s="1">
        <f>-5427000</f>
        <v>-5427000</v>
      </c>
      <c r="AI283" s="8">
        <f t="shared" si="140"/>
        <v>-0.9646449511400651</v>
      </c>
      <c r="AJ283" s="6">
        <f>-1.535*100000000</f>
        <v>-153500000</v>
      </c>
      <c r="AK283" s="6" t="str">
        <f t="shared" si="141"/>
        <v>=-153500000</v>
      </c>
      <c r="AL283" s="1">
        <f>-153500000</f>
        <v>-153500000</v>
      </c>
      <c r="AM283" s="8">
        <f t="shared" si="142"/>
        <v>5.9488456315074698</v>
      </c>
      <c r="AN283" s="7">
        <f>-2209*10000</f>
        <v>-22090000</v>
      </c>
      <c r="AO283" s="6" t="str">
        <f t="shared" si="143"/>
        <v>=-22090000</v>
      </c>
      <c r="AP283" s="1">
        <f>-22090000</f>
        <v>-22090000</v>
      </c>
      <c r="AQ283" s="8">
        <f t="shared" si="144"/>
        <v>0.52555248618784534</v>
      </c>
      <c r="AR283" s="7">
        <f>-1448*10000</f>
        <v>-14480000</v>
      </c>
      <c r="AS283" s="6" t="str">
        <f t="shared" si="145"/>
        <v>=-14480000</v>
      </c>
      <c r="AT283" s="1">
        <f>-14480000</f>
        <v>-14480000</v>
      </c>
      <c r="AU283" s="8">
        <f t="shared" si="146"/>
        <v>-1.2951601908657124E-2</v>
      </c>
      <c r="AV283" s="7">
        <f>-1467*10000</f>
        <v>-14670000</v>
      </c>
      <c r="AW283" s="6" t="str">
        <f t="shared" si="147"/>
        <v>=-14670000</v>
      </c>
      <c r="AX283" s="1">
        <f>-14670000</f>
        <v>-14670000</v>
      </c>
      <c r="AY283" s="10">
        <f t="shared" si="148"/>
        <v>-2.7103882476390346</v>
      </c>
      <c r="AZ283" s="7" t="s">
        <v>3801</v>
      </c>
      <c r="BA283" s="6" t="str">
        <f t="shared" si="149"/>
        <v>=857.7*10000</v>
      </c>
      <c r="BB283" s="1">
        <f>857.7*10000</f>
        <v>8577000</v>
      </c>
      <c r="BC283" s="8">
        <f t="shared" si="150"/>
        <v>2.0137034434293746</v>
      </c>
      <c r="BD283" s="7" t="s">
        <v>3802</v>
      </c>
      <c r="BE283" s="6" t="str">
        <f t="shared" si="151"/>
        <v>=284.6*10000</v>
      </c>
      <c r="BF283" s="1">
        <f>284.6*10000</f>
        <v>2846000</v>
      </c>
      <c r="BG283" s="8">
        <f t="shared" si="152"/>
        <v>-0.43921182266009851</v>
      </c>
      <c r="BH283" s="7" t="s">
        <v>3803</v>
      </c>
      <c r="BI283" s="6" t="str">
        <f t="shared" si="153"/>
        <v>=507.5*10000</v>
      </c>
      <c r="BJ283" s="1">
        <f>507.5*10000</f>
        <v>5075000</v>
      </c>
      <c r="BK283" s="7" t="s">
        <v>3804</v>
      </c>
      <c r="BL283" s="1" t="str">
        <f t="shared" si="125"/>
        <v>=307.4*10000</v>
      </c>
      <c r="BM283" s="16">
        <f t="shared" si="154"/>
        <v>0.65094339622641506</v>
      </c>
      <c r="BN283" s="1">
        <f>307.4*10000</f>
        <v>3074000</v>
      </c>
    </row>
    <row r="284" spans="1:66">
      <c r="A284" s="18"/>
      <c r="B284">
        <v>600237</v>
      </c>
      <c r="C284" t="s">
        <v>58</v>
      </c>
      <c r="D284" s="7" t="s">
        <v>3805</v>
      </c>
      <c r="E284" s="7" t="str">
        <f t="shared" si="124"/>
        <v>=5164*10000</v>
      </c>
      <c r="F284" s="1">
        <f>5164*10000</f>
        <v>51640000</v>
      </c>
      <c r="G284" s="8">
        <f t="shared" si="126"/>
        <v>0.36613756613756615</v>
      </c>
      <c r="H284" s="7" t="s">
        <v>3806</v>
      </c>
      <c r="I284" s="6" t="str">
        <f t="shared" si="127"/>
        <v>=3780*10000</v>
      </c>
      <c r="J284" s="1">
        <f>3780*10000</f>
        <v>37800000</v>
      </c>
      <c r="K284" s="10">
        <f t="shared" si="128"/>
        <v>0.22053600258314499</v>
      </c>
      <c r="L284" s="7" t="s">
        <v>3807</v>
      </c>
      <c r="M284" s="6" t="str">
        <f t="shared" si="129"/>
        <v>=3097*10000</v>
      </c>
      <c r="N284" s="1">
        <f>3097*10000</f>
        <v>30970000</v>
      </c>
      <c r="O284" s="8">
        <f t="shared" si="130"/>
        <v>0.63949179460031758</v>
      </c>
      <c r="P284" s="7" t="s">
        <v>3808</v>
      </c>
      <c r="Q284" s="6" t="str">
        <f t="shared" si="131"/>
        <v>=1889*10000</v>
      </c>
      <c r="R284" s="11">
        <f>1889*10000</f>
        <v>18890000</v>
      </c>
      <c r="S284" s="8">
        <f t="shared" si="132"/>
        <v>0.50398089171974525</v>
      </c>
      <c r="T284" s="7" t="s">
        <v>3809</v>
      </c>
      <c r="U284" s="6" t="str">
        <f t="shared" si="133"/>
        <v>=1256*10000</v>
      </c>
      <c r="V284" s="1">
        <f>1256*10000</f>
        <v>12560000</v>
      </c>
      <c r="W284" s="8">
        <f t="shared" si="134"/>
        <v>-0.20304568527918782</v>
      </c>
      <c r="X284" s="7" t="s">
        <v>3810</v>
      </c>
      <c r="Y284" s="6" t="str">
        <f t="shared" si="135"/>
        <v>=1576*10000</v>
      </c>
      <c r="Z284" s="1">
        <f>1576*10000</f>
        <v>15760000</v>
      </c>
      <c r="AA284" s="8">
        <f t="shared" si="136"/>
        <v>42.5599778883361</v>
      </c>
      <c r="AB284" s="7" t="s">
        <v>3811</v>
      </c>
      <c r="AC284" s="6" t="str">
        <f t="shared" si="137"/>
        <v>=36.18*10000</v>
      </c>
      <c r="AD284" s="1">
        <f>36.18*10000</f>
        <v>361800</v>
      </c>
      <c r="AE284" s="8">
        <f t="shared" si="138"/>
        <v>-1.0677654991571455</v>
      </c>
      <c r="AF284" s="7">
        <f>-533.9*10000</f>
        <v>-5339000</v>
      </c>
      <c r="AG284" s="6" t="str">
        <f t="shared" si="139"/>
        <v>=-5339000</v>
      </c>
      <c r="AH284" s="1">
        <f>-5339000</f>
        <v>-5339000</v>
      </c>
      <c r="AI284" s="8">
        <f t="shared" si="140"/>
        <v>-0.9651728636660144</v>
      </c>
      <c r="AJ284" s="6">
        <f>-1.533*100000000</f>
        <v>-153300000</v>
      </c>
      <c r="AK284" s="6" t="str">
        <f t="shared" si="141"/>
        <v>=-153300000</v>
      </c>
      <c r="AL284" s="1">
        <f>-153300000</f>
        <v>-153300000</v>
      </c>
      <c r="AM284" s="8">
        <f t="shared" si="142"/>
        <v>6.0353373106929782</v>
      </c>
      <c r="AN284" s="7">
        <f>-2179*10000</f>
        <v>-21790000</v>
      </c>
      <c r="AO284" s="6" t="str">
        <f t="shared" si="143"/>
        <v>=-21790000</v>
      </c>
      <c r="AP284" s="1">
        <f>-21790000</f>
        <v>-21790000</v>
      </c>
      <c r="AQ284" s="8">
        <f t="shared" si="144"/>
        <v>0.51529902642559111</v>
      </c>
      <c r="AR284" s="7">
        <f>-1438*10000</f>
        <v>-14380000</v>
      </c>
      <c r="AS284" s="6" t="str">
        <f t="shared" si="145"/>
        <v>=-14380000</v>
      </c>
      <c r="AT284" s="1">
        <f>-14380000</f>
        <v>-14380000</v>
      </c>
      <c r="AU284" s="8">
        <f t="shared" si="146"/>
        <v>-3.4650034650034649E-3</v>
      </c>
      <c r="AV284" s="7">
        <f>-1443*10000</f>
        <v>-14430000</v>
      </c>
      <c r="AW284" s="6" t="str">
        <f t="shared" si="147"/>
        <v>=-14430000</v>
      </c>
      <c r="AX284" s="1">
        <f>-14430000</f>
        <v>-14430000</v>
      </c>
      <c r="AY284" s="10">
        <f t="shared" si="148"/>
        <v>-2.3769083969465647</v>
      </c>
      <c r="AZ284" s="7" t="s">
        <v>3812</v>
      </c>
      <c r="BA284" s="6" t="str">
        <f t="shared" si="149"/>
        <v>=1048*10000</v>
      </c>
      <c r="BB284" s="1">
        <f>1048*10000</f>
        <v>10480000</v>
      </c>
      <c r="BC284" s="8">
        <f t="shared" si="150"/>
        <v>1.6598984771573604</v>
      </c>
      <c r="BD284" s="7" t="s">
        <v>3813</v>
      </c>
      <c r="BE284" s="6" t="str">
        <f t="shared" si="151"/>
        <v>=394.0*10000</v>
      </c>
      <c r="BF284" s="1">
        <f>394*10000</f>
        <v>3940000</v>
      </c>
      <c r="BG284" s="8">
        <f t="shared" si="152"/>
        <v>-0.32626538987688097</v>
      </c>
      <c r="BH284" s="7" t="s">
        <v>3814</v>
      </c>
      <c r="BI284" s="6" t="str">
        <f t="shared" si="153"/>
        <v>=584.8*10000</v>
      </c>
      <c r="BJ284" s="1">
        <f>584.8*10000</f>
        <v>5848000</v>
      </c>
      <c r="BK284" s="7" t="s">
        <v>3815</v>
      </c>
      <c r="BL284" s="1" t="str">
        <f t="shared" si="125"/>
        <v>=362.1*10000</v>
      </c>
      <c r="BM284" s="16">
        <f t="shared" si="154"/>
        <v>0.61502347417840375</v>
      </c>
      <c r="BN284" s="1">
        <f>362.1*10000</f>
        <v>3621000</v>
      </c>
    </row>
    <row r="285" spans="1:66">
      <c r="A285" s="19"/>
      <c r="B285">
        <v>600237</v>
      </c>
      <c r="C285" t="s">
        <v>68</v>
      </c>
      <c r="D285" s="7" t="s">
        <v>3816</v>
      </c>
      <c r="E285" s="7" t="str">
        <f t="shared" si="124"/>
        <v>=5032*10000</v>
      </c>
      <c r="F285" s="1">
        <f>5032*10000</f>
        <v>50320000</v>
      </c>
      <c r="G285" s="8">
        <f t="shared" si="126"/>
        <v>0.39738961399611217</v>
      </c>
      <c r="H285" s="7" t="s">
        <v>3817</v>
      </c>
      <c r="I285" s="6" t="str">
        <f t="shared" si="127"/>
        <v>=3601*10000</v>
      </c>
      <c r="J285" s="1">
        <f>3601*10000</f>
        <v>36010000</v>
      </c>
      <c r="K285" s="10">
        <f t="shared" si="128"/>
        <v>0.21042016806722688</v>
      </c>
      <c r="L285" s="7" t="s">
        <v>3818</v>
      </c>
      <c r="M285" s="6" t="str">
        <f t="shared" si="129"/>
        <v>=2975*10000</v>
      </c>
      <c r="N285" s="1">
        <f>2975*10000</f>
        <v>29750000</v>
      </c>
      <c r="O285" s="8">
        <f t="shared" si="130"/>
        <v>0.57490735839068285</v>
      </c>
      <c r="P285" s="7" t="s">
        <v>3808</v>
      </c>
      <c r="Q285" s="6" t="str">
        <f t="shared" si="131"/>
        <v>=1889*10000</v>
      </c>
      <c r="R285" s="11">
        <f>1889*10000</f>
        <v>18890000</v>
      </c>
      <c r="S285" s="8">
        <f t="shared" si="132"/>
        <v>0.95913710848371703</v>
      </c>
      <c r="T285" s="7" t="s">
        <v>3819</v>
      </c>
      <c r="U285" s="6" t="str">
        <f t="shared" si="133"/>
        <v>=964.2*10000</v>
      </c>
      <c r="V285" s="1">
        <f>964.2*10000</f>
        <v>9642000</v>
      </c>
      <c r="W285" s="8">
        <f t="shared" si="134"/>
        <v>1.9131170066589154E-2</v>
      </c>
      <c r="X285" s="7" t="s">
        <v>3820</v>
      </c>
      <c r="Y285" s="6" t="str">
        <f t="shared" si="135"/>
        <v>=946.1*10000</v>
      </c>
      <c r="Z285" s="1">
        <f>946.1*10000</f>
        <v>9461000</v>
      </c>
      <c r="AA285" s="8">
        <f t="shared" si="136"/>
        <v>-4.3502124645892355</v>
      </c>
      <c r="AB285" s="7">
        <f>-282.4*10000</f>
        <v>-2824000</v>
      </c>
      <c r="AC285" s="6" t="str">
        <f t="shared" si="137"/>
        <v>=-2824000</v>
      </c>
      <c r="AD285" s="1">
        <f>-2824000</f>
        <v>-2824000</v>
      </c>
      <c r="AE285" s="8">
        <f t="shared" si="138"/>
        <v>-0.47214953271028037</v>
      </c>
      <c r="AF285" s="7">
        <f>-535*10000</f>
        <v>-5350000</v>
      </c>
      <c r="AG285" s="6" t="str">
        <f t="shared" si="139"/>
        <v>=-5350000</v>
      </c>
      <c r="AH285" s="1">
        <f>-5350000</f>
        <v>-5350000</v>
      </c>
      <c r="AI285" s="8">
        <f t="shared" si="140"/>
        <v>-0.96703635243376462</v>
      </c>
      <c r="AJ285" s="6">
        <f>-1.623*100000000</f>
        <v>-162300000</v>
      </c>
      <c r="AK285" s="6" t="str">
        <f t="shared" si="141"/>
        <v>=-162300000</v>
      </c>
      <c r="AL285" s="1">
        <f>-162300000</f>
        <v>-162300000</v>
      </c>
      <c r="AM285" s="8">
        <f t="shared" si="142"/>
        <v>6.0320623916811096</v>
      </c>
      <c r="AN285" s="7">
        <f>-2308*10000</f>
        <v>-23080000</v>
      </c>
      <c r="AO285" s="6" t="str">
        <f t="shared" si="143"/>
        <v>=-23080000</v>
      </c>
      <c r="AP285" s="1">
        <f>-23080000</f>
        <v>-23080000</v>
      </c>
      <c r="AQ285" s="8">
        <f t="shared" si="144"/>
        <v>0.43443132380360472</v>
      </c>
      <c r="AR285" s="7">
        <f>-1609*10000</f>
        <v>-16090000</v>
      </c>
      <c r="AS285" s="6" t="str">
        <f t="shared" si="145"/>
        <v>=-16090000</v>
      </c>
      <c r="AT285" s="1">
        <f>-16090000</f>
        <v>-16090000</v>
      </c>
      <c r="AU285" s="8">
        <f t="shared" si="146"/>
        <v>0.11426592797783934</v>
      </c>
      <c r="AV285" s="7">
        <f>-1444*10000</f>
        <v>-14440000</v>
      </c>
      <c r="AW285" s="6" t="str">
        <f t="shared" si="147"/>
        <v>=-14440000</v>
      </c>
      <c r="AX285" s="1">
        <f>-14440000</f>
        <v>-14440000</v>
      </c>
      <c r="AY285" s="10">
        <f t="shared" si="148"/>
        <v>-2.3871277617675313</v>
      </c>
      <c r="AZ285" s="7" t="s">
        <v>3821</v>
      </c>
      <c r="BA285" s="6" t="str">
        <f t="shared" si="149"/>
        <v>=1041*10000</v>
      </c>
      <c r="BB285" s="1">
        <f>1041*10000</f>
        <v>10410000</v>
      </c>
      <c r="BC285" s="8">
        <f t="shared" si="150"/>
        <v>1.5856929955290611</v>
      </c>
      <c r="BD285" s="7" t="s">
        <v>3822</v>
      </c>
      <c r="BE285" s="6" t="str">
        <f t="shared" si="151"/>
        <v>=402.6*10000</v>
      </c>
      <c r="BF285" s="1">
        <f>402.6*10000</f>
        <v>4026000</v>
      </c>
      <c r="BG285" s="8">
        <f t="shared" si="152"/>
        <v>-0.27025557368134856</v>
      </c>
      <c r="BH285" s="7" t="s">
        <v>3823</v>
      </c>
      <c r="BI285" s="6" t="str">
        <f t="shared" si="153"/>
        <v>=551.7*10000</v>
      </c>
      <c r="BJ285" s="1">
        <f>551.7*10000</f>
        <v>5517000</v>
      </c>
      <c r="BK285" s="7" t="s">
        <v>3824</v>
      </c>
      <c r="BL285" s="1" t="str">
        <f t="shared" si="125"/>
        <v>=319.3*10000</v>
      </c>
      <c r="BM285" s="16">
        <f t="shared" si="154"/>
        <v>0.72784215471343561</v>
      </c>
      <c r="BN285" s="1">
        <f>319.3*10000</f>
        <v>3193000</v>
      </c>
    </row>
    <row r="286" spans="1:66">
      <c r="A286" s="17">
        <v>72</v>
      </c>
      <c r="B286">
        <v>600249</v>
      </c>
      <c r="C286" t="s">
        <v>31</v>
      </c>
      <c r="D286" s="6" t="s">
        <v>3825</v>
      </c>
      <c r="E286" s="7" t="str">
        <f t="shared" si="124"/>
        <v>=7.175*100000000</v>
      </c>
      <c r="F286" s="1">
        <f>7.175*100000000</f>
        <v>717500000</v>
      </c>
      <c r="G286" s="8">
        <f t="shared" si="126"/>
        <v>0.46368829049367605</v>
      </c>
      <c r="H286" s="6" t="s">
        <v>3826</v>
      </c>
      <c r="I286" s="6" t="str">
        <f t="shared" si="127"/>
        <v>=4.902*100000000</v>
      </c>
      <c r="J286" s="1">
        <f>4.902*100000000</f>
        <v>490200000</v>
      </c>
      <c r="K286" s="10">
        <f t="shared" si="128"/>
        <v>0.3324272900244632</v>
      </c>
      <c r="L286" s="6" t="s">
        <v>3827</v>
      </c>
      <c r="M286" s="6" t="str">
        <f t="shared" si="129"/>
        <v>=3.679*100000000</v>
      </c>
      <c r="N286" s="1">
        <f>3.679*100000000</f>
        <v>367900000</v>
      </c>
      <c r="O286" s="8">
        <f t="shared" si="130"/>
        <v>1.1552431165787933</v>
      </c>
      <c r="P286" s="6" t="s">
        <v>3828</v>
      </c>
      <c r="Q286" s="6" t="str">
        <f t="shared" si="131"/>
        <v>=1.707*100000000</v>
      </c>
      <c r="R286" s="11">
        <f>1.707*100000000</f>
        <v>170700000</v>
      </c>
      <c r="S286" s="8">
        <f t="shared" si="132"/>
        <v>-0.75094835132769189</v>
      </c>
      <c r="T286" s="6" t="s">
        <v>3829</v>
      </c>
      <c r="U286" s="6" t="str">
        <f t="shared" si="133"/>
        <v>=6.854*100000000</v>
      </c>
      <c r="V286" s="1">
        <f>6.854*100000000</f>
        <v>685400000</v>
      </c>
      <c r="W286" s="8">
        <f t="shared" si="134"/>
        <v>0.40192268357537331</v>
      </c>
      <c r="X286" s="6" t="s">
        <v>3830</v>
      </c>
      <c r="Y286" s="6" t="str">
        <f t="shared" si="135"/>
        <v>=4.889*100000000</v>
      </c>
      <c r="Z286" s="1">
        <f>4.889*100000000</f>
        <v>488900000</v>
      </c>
      <c r="AA286" s="8">
        <f t="shared" si="136"/>
        <v>0.67259664728019153</v>
      </c>
      <c r="AB286" s="6" t="s">
        <v>3831</v>
      </c>
      <c r="AC286" s="6" t="str">
        <f t="shared" si="137"/>
        <v>=2.923*100000000</v>
      </c>
      <c r="AD286" s="1">
        <f>2.923*100000000</f>
        <v>292300000</v>
      </c>
      <c r="AE286" s="8">
        <f t="shared" si="138"/>
        <v>1.1351351351351351</v>
      </c>
      <c r="AF286" s="6" t="s">
        <v>2215</v>
      </c>
      <c r="AG286" s="6" t="str">
        <f t="shared" si="139"/>
        <v>=1.369*100000000</v>
      </c>
      <c r="AH286" s="1">
        <f>1.369*100000000</f>
        <v>136900000</v>
      </c>
      <c r="AI286" s="8">
        <f t="shared" si="140"/>
        <v>-0.88466722830665545</v>
      </c>
      <c r="AJ286" s="6" t="s">
        <v>3832</v>
      </c>
      <c r="AK286" s="6" t="str">
        <f t="shared" si="141"/>
        <v>=11.87*100000000</v>
      </c>
      <c r="AL286" s="1">
        <f>11.87*100000000</f>
        <v>1187000000</v>
      </c>
      <c r="AM286" s="8">
        <f t="shared" si="142"/>
        <v>0.34611022907688821</v>
      </c>
      <c r="AN286" s="6" t="s">
        <v>3833</v>
      </c>
      <c r="AO286" s="6" t="str">
        <f t="shared" si="143"/>
        <v>=8.818*100000000</v>
      </c>
      <c r="AP286" s="1">
        <f>8.818*100000000</f>
        <v>881800000</v>
      </c>
      <c r="AQ286" s="8">
        <f t="shared" si="144"/>
        <v>0.454155672823219</v>
      </c>
      <c r="AR286" s="6" t="s">
        <v>3834</v>
      </c>
      <c r="AS286" s="6" t="str">
        <f t="shared" si="145"/>
        <v>=6.064*100000000</v>
      </c>
      <c r="AT286" s="1">
        <f>6.064*100000000</f>
        <v>606400000</v>
      </c>
      <c r="AU286" s="8">
        <f t="shared" si="146"/>
        <v>1.1165794066317627</v>
      </c>
      <c r="AV286" s="6" t="s">
        <v>2336</v>
      </c>
      <c r="AW286" s="6" t="str">
        <f t="shared" si="147"/>
        <v>=2.865*100000000</v>
      </c>
      <c r="AX286" s="1">
        <f>2.865*100000000</f>
        <v>286500000</v>
      </c>
      <c r="AY286" s="10">
        <f t="shared" si="148"/>
        <v>-0.76987951807228916</v>
      </c>
      <c r="AZ286" s="6" t="s">
        <v>455</v>
      </c>
      <c r="BA286" s="6" t="str">
        <f t="shared" si="149"/>
        <v>=12.45*100000000</v>
      </c>
      <c r="BB286" s="1">
        <f>12.45*100000000</f>
        <v>1245000000</v>
      </c>
      <c r="BC286" s="8">
        <f t="shared" si="150"/>
        <v>0.39168343393695504</v>
      </c>
      <c r="BD286" s="6" t="s">
        <v>3835</v>
      </c>
      <c r="BE286" s="6" t="str">
        <f t="shared" si="151"/>
        <v>=8.946*100000000</v>
      </c>
      <c r="BF286" s="1">
        <f>8.946*100000000</f>
        <v>894600000</v>
      </c>
      <c r="BG286" s="8">
        <f t="shared" si="152"/>
        <v>0.5224642614023145</v>
      </c>
      <c r="BH286" s="6" t="s">
        <v>3836</v>
      </c>
      <c r="BI286" s="6" t="str">
        <f t="shared" si="153"/>
        <v>=5.876*100000000</v>
      </c>
      <c r="BJ286" s="1">
        <f>5.876*100000000</f>
        <v>587600000</v>
      </c>
      <c r="BK286" s="6" t="s">
        <v>3837</v>
      </c>
      <c r="BL286" s="1" t="str">
        <f t="shared" si="125"/>
        <v>=2.851*100000000</v>
      </c>
      <c r="BM286" s="16">
        <f t="shared" si="154"/>
        <v>1.061031217116801</v>
      </c>
      <c r="BN286" s="1">
        <f>2.851*100000000</f>
        <v>285100000</v>
      </c>
    </row>
    <row r="287" spans="1:66">
      <c r="A287" s="18"/>
      <c r="B287">
        <v>600249</v>
      </c>
      <c r="C287" t="s">
        <v>48</v>
      </c>
      <c r="D287" s="7" t="s">
        <v>3838</v>
      </c>
      <c r="E287" s="7" t="str">
        <f t="shared" si="124"/>
        <v>=803.4*10000</v>
      </c>
      <c r="F287" s="1">
        <f>803.4*10000</f>
        <v>8034000</v>
      </c>
      <c r="G287" s="8">
        <f t="shared" si="126"/>
        <v>-3.9569377990430623</v>
      </c>
      <c r="H287" s="7">
        <f>-271.7*10000</f>
        <v>-2717000</v>
      </c>
      <c r="I287" s="6" t="str">
        <f t="shared" si="127"/>
        <v>=-2717000</v>
      </c>
      <c r="J287" s="1">
        <f>-2717000</f>
        <v>-2717000</v>
      </c>
      <c r="K287" s="10">
        <f t="shared" si="128"/>
        <v>-0.86151885830784913</v>
      </c>
      <c r="L287" s="7">
        <f>-1962*10000</f>
        <v>-19620000</v>
      </c>
      <c r="M287" s="6" t="str">
        <f t="shared" si="129"/>
        <v>=-19620000</v>
      </c>
      <c r="N287" s="1">
        <f>-19620000</f>
        <v>-19620000</v>
      </c>
      <c r="O287" s="8">
        <f t="shared" si="130"/>
        <v>-0.38476011288805267</v>
      </c>
      <c r="P287" s="7">
        <f>-3189*10000</f>
        <v>-31890000</v>
      </c>
      <c r="Q287" s="6" t="str">
        <f t="shared" si="131"/>
        <v>=-31890000</v>
      </c>
      <c r="R287" s="11">
        <f>-31890000</f>
        <v>-31890000</v>
      </c>
      <c r="S287" s="8">
        <f t="shared" si="132"/>
        <v>-1.4218253968253969</v>
      </c>
      <c r="T287" s="7" t="s">
        <v>3839</v>
      </c>
      <c r="U287" s="6" t="str">
        <f t="shared" si="133"/>
        <v>=7560*10000</v>
      </c>
      <c r="V287" s="1">
        <f>7560*10000</f>
        <v>75600000</v>
      </c>
      <c r="W287" s="8">
        <f t="shared" si="134"/>
        <v>2.8431505917562237E-2</v>
      </c>
      <c r="X287" s="7" t="s">
        <v>3840</v>
      </c>
      <c r="Y287" s="6" t="str">
        <f t="shared" si="135"/>
        <v>=7351*10000</v>
      </c>
      <c r="Z287" s="1">
        <f>7351*10000</f>
        <v>73510000</v>
      </c>
      <c r="AA287" s="8">
        <f t="shared" si="136"/>
        <v>-62.617770326906957</v>
      </c>
      <c r="AB287" s="7">
        <f>-119.3*10000</f>
        <v>-1193000</v>
      </c>
      <c r="AC287" s="6" t="str">
        <f t="shared" si="137"/>
        <v>=-1193000</v>
      </c>
      <c r="AD287" s="1">
        <f>-1193000</f>
        <v>-1193000</v>
      </c>
      <c r="AE287" s="8">
        <f t="shared" si="138"/>
        <v>-0.95216519647153164</v>
      </c>
      <c r="AF287" s="7">
        <f>-2494*10000</f>
        <v>-24940000</v>
      </c>
      <c r="AG287" s="6" t="str">
        <f t="shared" si="139"/>
        <v>=-24940000</v>
      </c>
      <c r="AH287" s="1">
        <f>-24940000</f>
        <v>-24940000</v>
      </c>
      <c r="AI287" s="8">
        <f t="shared" si="140"/>
        <v>-0.38252042584798218</v>
      </c>
      <c r="AJ287" s="7">
        <f>-4039*10000</f>
        <v>-40390000</v>
      </c>
      <c r="AK287" s="6" t="str">
        <f t="shared" si="141"/>
        <v>=-40390000</v>
      </c>
      <c r="AL287" s="1">
        <f>-40390000</f>
        <v>-40390000</v>
      </c>
      <c r="AM287" s="8">
        <f t="shared" si="142"/>
        <v>-6.7898509174311927</v>
      </c>
      <c r="AN287" s="7" t="s">
        <v>3841</v>
      </c>
      <c r="AO287" s="6" t="str">
        <f t="shared" si="143"/>
        <v>=697.6*10000</v>
      </c>
      <c r="AP287" s="1">
        <f>697.6*10000</f>
        <v>6976000</v>
      </c>
      <c r="AQ287" s="8">
        <f t="shared" si="144"/>
        <v>-0.82163129634364618</v>
      </c>
      <c r="AR287" s="7" t="s">
        <v>3842</v>
      </c>
      <c r="AS287" s="6" t="str">
        <f t="shared" si="145"/>
        <v>=3911*10000</v>
      </c>
      <c r="AT287" s="1">
        <f>3911*10000</f>
        <v>39110000</v>
      </c>
      <c r="AU287" s="8">
        <f t="shared" si="146"/>
        <v>-0.35536508983022913</v>
      </c>
      <c r="AV287" s="7" t="s">
        <v>3170</v>
      </c>
      <c r="AW287" s="6" t="str">
        <f t="shared" si="147"/>
        <v>=6067*10000</v>
      </c>
      <c r="AX287" s="1">
        <f>6067*10000</f>
        <v>60670000</v>
      </c>
      <c r="AY287" s="10">
        <f t="shared" si="148"/>
        <v>2.5521077283372366</v>
      </c>
      <c r="AZ287" s="7" t="s">
        <v>3843</v>
      </c>
      <c r="BA287" s="6" t="str">
        <f t="shared" si="149"/>
        <v>=1708*10000</v>
      </c>
      <c r="BB287" s="1">
        <f>1708*10000</f>
        <v>17080000</v>
      </c>
      <c r="BC287" s="8">
        <f t="shared" si="150"/>
        <v>-143.92887029288704</v>
      </c>
      <c r="BD287" s="7">
        <f>-11.95*10000</f>
        <v>-119500</v>
      </c>
      <c r="BE287" s="6" t="str">
        <f t="shared" si="151"/>
        <v>=-119500</v>
      </c>
      <c r="BF287" s="1">
        <f>-119500</f>
        <v>-119500</v>
      </c>
      <c r="BG287" s="8">
        <f t="shared" si="152"/>
        <v>-0.99224529526281635</v>
      </c>
      <c r="BH287" s="7">
        <f>-1541*10000</f>
        <v>-15410000</v>
      </c>
      <c r="BI287" s="6" t="str">
        <f t="shared" si="153"/>
        <v>=-15410000</v>
      </c>
      <c r="BJ287" s="1">
        <f>-15410000</f>
        <v>-15410000</v>
      </c>
      <c r="BK287" s="7">
        <f>-615.2*10000</f>
        <v>-6152000</v>
      </c>
      <c r="BL287" s="1" t="str">
        <f t="shared" si="125"/>
        <v>=-6152000</v>
      </c>
      <c r="BM287" s="16">
        <f t="shared" si="154"/>
        <v>1.5048764629388816</v>
      </c>
      <c r="BN287" s="1">
        <f>-6152000</f>
        <v>-6152000</v>
      </c>
    </row>
    <row r="288" spans="1:66">
      <c r="A288" s="18"/>
      <c r="B288">
        <v>600249</v>
      </c>
      <c r="C288" t="s">
        <v>58</v>
      </c>
      <c r="D288" s="7" t="s">
        <v>3844</v>
      </c>
      <c r="E288" s="7" t="str">
        <f t="shared" si="124"/>
        <v>=592.5*10000</v>
      </c>
      <c r="F288" s="1">
        <f>592.5*10000</f>
        <v>5925000</v>
      </c>
      <c r="G288" s="8">
        <f t="shared" si="126"/>
        <v>-2.6578063794068272</v>
      </c>
      <c r="H288" s="7">
        <f>-357.4*10000</f>
        <v>-3574000</v>
      </c>
      <c r="I288" s="6" t="str">
        <f t="shared" si="127"/>
        <v>=-3574000</v>
      </c>
      <c r="J288" s="1">
        <f>-3574000</f>
        <v>-3574000</v>
      </c>
      <c r="K288" s="10">
        <f t="shared" si="128"/>
        <v>-0.80373421197144423</v>
      </c>
      <c r="L288" s="7">
        <f>-1821*10000</f>
        <v>-18210000</v>
      </c>
      <c r="M288" s="6" t="str">
        <f t="shared" si="129"/>
        <v>=-18210000</v>
      </c>
      <c r="N288" s="1">
        <f>-18210000</f>
        <v>-18210000</v>
      </c>
      <c r="O288" s="8">
        <f t="shared" si="130"/>
        <v>-0.4072265625</v>
      </c>
      <c r="P288" s="7">
        <f>-3072*10000</f>
        <v>-30720000</v>
      </c>
      <c r="Q288" s="6" t="str">
        <f t="shared" si="131"/>
        <v>=-30720000</v>
      </c>
      <c r="R288" s="11">
        <f>-30720000</f>
        <v>-30720000</v>
      </c>
      <c r="S288" s="8">
        <f t="shared" si="132"/>
        <v>-1.430613961312027</v>
      </c>
      <c r="T288" s="7" t="s">
        <v>3845</v>
      </c>
      <c r="U288" s="6" t="str">
        <f t="shared" si="133"/>
        <v>=7134*10000</v>
      </c>
      <c r="V288" s="1">
        <f>7134*10000</f>
        <v>71340000</v>
      </c>
      <c r="W288" s="8">
        <f t="shared" si="134"/>
        <v>-5.09511773313822E-2</v>
      </c>
      <c r="X288" s="7" t="s">
        <v>3846</v>
      </c>
      <c r="Y288" s="6" t="str">
        <f t="shared" si="135"/>
        <v>=7517*10000</v>
      </c>
      <c r="Z288" s="1">
        <f>7517*10000</f>
        <v>75170000</v>
      </c>
      <c r="AA288" s="8">
        <f t="shared" si="136"/>
        <v>-285.41165342413922</v>
      </c>
      <c r="AB288" s="7">
        <f>-26.43*10000</f>
        <v>-264300</v>
      </c>
      <c r="AC288" s="6" t="str">
        <f t="shared" si="137"/>
        <v>=-264300</v>
      </c>
      <c r="AD288" s="1">
        <f>-264300</f>
        <v>-264300</v>
      </c>
      <c r="AE288" s="8">
        <f t="shared" si="138"/>
        <v>-0.9892385993485342</v>
      </c>
      <c r="AF288" s="7">
        <f>-2456*10000</f>
        <v>-24560000</v>
      </c>
      <c r="AG288" s="6" t="str">
        <f t="shared" si="139"/>
        <v>=-24560000</v>
      </c>
      <c r="AH288" s="1">
        <f>-24560000</f>
        <v>-24560000</v>
      </c>
      <c r="AI288" s="8">
        <f t="shared" si="140"/>
        <v>-0.34366648850881881</v>
      </c>
      <c r="AJ288" s="7">
        <f>-3742*10000</f>
        <v>-37420000</v>
      </c>
      <c r="AK288" s="6" t="str">
        <f t="shared" si="141"/>
        <v>=-37420000</v>
      </c>
      <c r="AL288" s="1">
        <f>-37420000</f>
        <v>-37420000</v>
      </c>
      <c r="AM288" s="8">
        <f t="shared" si="142"/>
        <v>-5.3807070943572937</v>
      </c>
      <c r="AN288" s="7" t="s">
        <v>3847</v>
      </c>
      <c r="AO288" s="6" t="str">
        <f t="shared" si="143"/>
        <v>=854.2*10000</v>
      </c>
      <c r="AP288" s="1">
        <f>854.2*10000</f>
        <v>8542000</v>
      </c>
      <c r="AQ288" s="8">
        <f t="shared" si="144"/>
        <v>-0.79515587529976017</v>
      </c>
      <c r="AR288" s="7" t="s">
        <v>3848</v>
      </c>
      <c r="AS288" s="6" t="str">
        <f t="shared" si="145"/>
        <v>=4170*10000</v>
      </c>
      <c r="AT288" s="1">
        <f>4170*10000</f>
        <v>41700000</v>
      </c>
      <c r="AU288" s="8">
        <f t="shared" si="146"/>
        <v>-0.33609297882502787</v>
      </c>
      <c r="AV288" s="7" t="s">
        <v>3849</v>
      </c>
      <c r="AW288" s="6" t="str">
        <f t="shared" si="147"/>
        <v>=6281*10000</v>
      </c>
      <c r="AX288" s="1">
        <f>6281*10000</f>
        <v>62810000</v>
      </c>
      <c r="AY288" s="10">
        <f t="shared" si="148"/>
        <v>2.9577819785759294</v>
      </c>
      <c r="AZ288" s="7" t="s">
        <v>3850</v>
      </c>
      <c r="BA288" s="6" t="str">
        <f t="shared" si="149"/>
        <v>=1587*10000</v>
      </c>
      <c r="BB288" s="1">
        <f>1587*10000</f>
        <v>15870000</v>
      </c>
      <c r="BC288" s="8">
        <f t="shared" si="150"/>
        <v>-5.1620771046420142</v>
      </c>
      <c r="BD288" s="7">
        <f>-381.3*10000</f>
        <v>-3813000</v>
      </c>
      <c r="BE288" s="6" t="str">
        <f t="shared" si="151"/>
        <v>=-3813000</v>
      </c>
      <c r="BF288" s="1">
        <f>-3813000</f>
        <v>-3813000</v>
      </c>
      <c r="BG288" s="8">
        <f t="shared" si="152"/>
        <v>-0.74930966469428006</v>
      </c>
      <c r="BH288" s="7">
        <f>-1521*10000</f>
        <v>-15210000</v>
      </c>
      <c r="BI288" s="6" t="str">
        <f t="shared" si="153"/>
        <v>=-15210000</v>
      </c>
      <c r="BJ288" s="1">
        <f>-15210000</f>
        <v>-15210000</v>
      </c>
      <c r="BK288" s="7">
        <f>-585.5*10000</f>
        <v>-5855000</v>
      </c>
      <c r="BL288" s="1" t="str">
        <f t="shared" si="125"/>
        <v>=-5855000</v>
      </c>
      <c r="BM288" s="16">
        <f t="shared" si="154"/>
        <v>1.5977796754910334</v>
      </c>
      <c r="BN288" s="1">
        <f>-5855000</f>
        <v>-5855000</v>
      </c>
    </row>
    <row r="289" spans="1:66">
      <c r="A289" s="19"/>
      <c r="B289">
        <v>600249</v>
      </c>
      <c r="C289" t="s">
        <v>68</v>
      </c>
      <c r="D289" s="7" t="s">
        <v>3851</v>
      </c>
      <c r="E289" s="7" t="str">
        <f t="shared" si="124"/>
        <v>=926.7*10000</v>
      </c>
      <c r="F289" s="1">
        <f>926.7*10000</f>
        <v>9267000</v>
      </c>
      <c r="G289" s="8">
        <f t="shared" si="126"/>
        <v>2.2099064773120887</v>
      </c>
      <c r="H289" s="7" t="s">
        <v>3852</v>
      </c>
      <c r="I289" s="6" t="str">
        <f t="shared" si="127"/>
        <v>=288.7*10000</v>
      </c>
      <c r="J289" s="1">
        <f>288.7*10000</f>
        <v>2887000</v>
      </c>
      <c r="K289" s="10">
        <f t="shared" si="128"/>
        <v>-1.2849950641658441</v>
      </c>
      <c r="L289" s="7">
        <f>-1013*10000</f>
        <v>-10130000</v>
      </c>
      <c r="M289" s="6" t="str">
        <f t="shared" si="129"/>
        <v>=-10130000</v>
      </c>
      <c r="N289" s="1">
        <f>-10130000</f>
        <v>-10130000</v>
      </c>
      <c r="O289" s="8">
        <f t="shared" si="130"/>
        <v>-0.47702632937532269</v>
      </c>
      <c r="P289" s="7">
        <f>-1937*10000</f>
        <v>-19370000</v>
      </c>
      <c r="Q289" s="6" t="str">
        <f t="shared" si="131"/>
        <v>=-19370000</v>
      </c>
      <c r="R289" s="11">
        <f>-19370000</f>
        <v>-19370000</v>
      </c>
      <c r="S289" s="8">
        <f t="shared" si="132"/>
        <v>-1.3326464021981796</v>
      </c>
      <c r="T289" s="7" t="s">
        <v>3853</v>
      </c>
      <c r="U289" s="6" t="str">
        <f t="shared" si="133"/>
        <v>=5823*10000</v>
      </c>
      <c r="V289" s="1">
        <f>5823*10000</f>
        <v>58230000</v>
      </c>
      <c r="W289" s="8">
        <f t="shared" si="134"/>
        <v>-6.9362314208086945E-2</v>
      </c>
      <c r="X289" s="7" t="s">
        <v>3854</v>
      </c>
      <c r="Y289" s="6" t="str">
        <f t="shared" si="135"/>
        <v>=6257*10000</v>
      </c>
      <c r="Z289" s="1">
        <f>6257*10000</f>
        <v>62570000</v>
      </c>
      <c r="AA289" s="8">
        <f t="shared" si="136"/>
        <v>30.842239185750635</v>
      </c>
      <c r="AB289" s="7" t="s">
        <v>3855</v>
      </c>
      <c r="AC289" s="6" t="str">
        <f t="shared" si="137"/>
        <v>=196.5*10000</v>
      </c>
      <c r="AD289" s="1">
        <f>196.5*10000</f>
        <v>1965000</v>
      </c>
      <c r="AE289" s="8">
        <f t="shared" si="138"/>
        <v>-1.1110797060486151</v>
      </c>
      <c r="AF289" s="7">
        <f>-1769*10000</f>
        <v>-17690000</v>
      </c>
      <c r="AG289" s="6" t="str">
        <f t="shared" si="139"/>
        <v>=-17690000</v>
      </c>
      <c r="AH289" s="1">
        <f>-17690000</f>
        <v>-17690000</v>
      </c>
      <c r="AI289" s="8">
        <f t="shared" si="140"/>
        <v>-0.78397850775430455</v>
      </c>
      <c r="AJ289" s="7">
        <f>-8189*10000</f>
        <v>-81890000</v>
      </c>
      <c r="AK289" s="6" t="str">
        <f t="shared" si="141"/>
        <v>=-81890000</v>
      </c>
      <c r="AL289" s="1">
        <f>-81890000</f>
        <v>-81890000</v>
      </c>
      <c r="AM289" s="8">
        <f t="shared" si="142"/>
        <v>6.7916270218839196</v>
      </c>
      <c r="AN289" s="7">
        <f>-1051*10000</f>
        <v>-10510000</v>
      </c>
      <c r="AO289" s="6" t="str">
        <f t="shared" si="143"/>
        <v>=-10510000</v>
      </c>
      <c r="AP289" s="1">
        <f>-10510000</f>
        <v>-10510000</v>
      </c>
      <c r="AQ289" s="8">
        <f t="shared" si="144"/>
        <v>-1.5021500238891543</v>
      </c>
      <c r="AR289" s="7" t="s">
        <v>3856</v>
      </c>
      <c r="AS289" s="6" t="str">
        <f t="shared" si="145"/>
        <v>=2093*10000</v>
      </c>
      <c r="AT289" s="1">
        <f>2093*10000</f>
        <v>20930000</v>
      </c>
      <c r="AU289" s="8">
        <f t="shared" si="146"/>
        <v>-0.51348210134821015</v>
      </c>
      <c r="AV289" s="7" t="s">
        <v>3857</v>
      </c>
      <c r="AW289" s="6" t="str">
        <f t="shared" si="147"/>
        <v>=4302*10000</v>
      </c>
      <c r="AX289" s="1">
        <f>4302*10000</f>
        <v>43020000</v>
      </c>
      <c r="AY289" s="10">
        <f t="shared" si="148"/>
        <v>4.4503990877993163</v>
      </c>
      <c r="AZ289" s="7" t="s">
        <v>3858</v>
      </c>
      <c r="BA289" s="6" t="str">
        <f t="shared" si="149"/>
        <v>=789.3*10000</v>
      </c>
      <c r="BB289" s="1">
        <f>789.3*10000</f>
        <v>7893000</v>
      </c>
      <c r="BC289" s="8">
        <f t="shared" si="150"/>
        <v>-2.0951852365755514</v>
      </c>
      <c r="BD289" s="7">
        <f>-720.7*10000</f>
        <v>-7207000</v>
      </c>
      <c r="BE289" s="6" t="str">
        <f t="shared" si="151"/>
        <v>=-7207000</v>
      </c>
      <c r="BF289" s="1">
        <f>-7207000</f>
        <v>-7207000</v>
      </c>
      <c r="BG289" s="8">
        <f t="shared" si="152"/>
        <v>-0.59511235955056174</v>
      </c>
      <c r="BH289" s="7">
        <f>-1780*10000</f>
        <v>-17800000</v>
      </c>
      <c r="BI289" s="6" t="str">
        <f t="shared" si="153"/>
        <v>=-17800000</v>
      </c>
      <c r="BJ289" s="1">
        <f>-17800000</f>
        <v>-17800000</v>
      </c>
      <c r="BK289" s="7">
        <f>-780.1*10000</f>
        <v>-7801000</v>
      </c>
      <c r="BL289" s="1" t="str">
        <f t="shared" si="125"/>
        <v>=-7801000</v>
      </c>
      <c r="BM289" s="16">
        <f t="shared" si="154"/>
        <v>1.2817587488783488</v>
      </c>
      <c r="BN289" s="1">
        <f>-7801000</f>
        <v>-7801000</v>
      </c>
    </row>
    <row r="290" spans="1:66">
      <c r="A290" s="17">
        <v>73</v>
      </c>
      <c r="B290">
        <v>600251</v>
      </c>
      <c r="C290" t="s">
        <v>31</v>
      </c>
      <c r="D290" s="6" t="s">
        <v>3859</v>
      </c>
      <c r="E290" s="7" t="str">
        <f t="shared" si="124"/>
        <v>=43.37*100000000</v>
      </c>
      <c r="F290" s="1">
        <f>43.37*100000000</f>
        <v>4337000000</v>
      </c>
      <c r="G290" s="8">
        <f t="shared" si="126"/>
        <v>2.0951035781544371E-2</v>
      </c>
      <c r="H290" s="6" t="s">
        <v>3860</v>
      </c>
      <c r="I290" s="6" t="str">
        <f t="shared" si="127"/>
        <v>=42.48*100000000</v>
      </c>
      <c r="J290" s="1">
        <f>42.48*100000000</f>
        <v>4247999999.9999995</v>
      </c>
      <c r="K290" s="10">
        <f t="shared" si="128"/>
        <v>0.23992994746059532</v>
      </c>
      <c r="L290" s="6" t="s">
        <v>3861</v>
      </c>
      <c r="M290" s="6" t="str">
        <f t="shared" si="129"/>
        <v>=34.26*100000000</v>
      </c>
      <c r="N290" s="1">
        <f>34.26*100000000</f>
        <v>3426000000</v>
      </c>
      <c r="O290" s="8">
        <f t="shared" si="130"/>
        <v>0.92148065058889539</v>
      </c>
      <c r="P290" s="6" t="s">
        <v>3862</v>
      </c>
      <c r="Q290" s="6" t="str">
        <f t="shared" si="131"/>
        <v>=17.83*100000000</v>
      </c>
      <c r="R290" s="11">
        <f>17.83*100000000</f>
        <v>1782999999.9999998</v>
      </c>
      <c r="S290" s="8">
        <f t="shared" si="132"/>
        <v>-0.35608522932466602</v>
      </c>
      <c r="T290" s="6" t="s">
        <v>3347</v>
      </c>
      <c r="U290" s="6" t="str">
        <f t="shared" si="133"/>
        <v>=27.69*100000000</v>
      </c>
      <c r="V290" s="1">
        <f>27.69*100000000</f>
        <v>2769000000</v>
      </c>
      <c r="W290" s="8">
        <f t="shared" si="134"/>
        <v>0.40987780040733196</v>
      </c>
      <c r="X290" s="6" t="s">
        <v>2632</v>
      </c>
      <c r="Y290" s="6" t="str">
        <f t="shared" si="135"/>
        <v>=19.64*100000000</v>
      </c>
      <c r="Z290" s="1">
        <f>19.64*100000000</f>
        <v>1964000000</v>
      </c>
      <c r="AA290" s="8">
        <f t="shared" si="136"/>
        <v>0.23755513547574039</v>
      </c>
      <c r="AB290" s="6" t="s">
        <v>223</v>
      </c>
      <c r="AC290" s="6" t="str">
        <f t="shared" si="137"/>
        <v>=15.87*100000000</v>
      </c>
      <c r="AD290" s="1">
        <f>15.87*100000000</f>
        <v>1587000000</v>
      </c>
      <c r="AE290" s="8">
        <f t="shared" si="138"/>
        <v>3.7401433691756272</v>
      </c>
      <c r="AF290" s="6" t="s">
        <v>3863</v>
      </c>
      <c r="AG290" s="6" t="str">
        <f t="shared" si="139"/>
        <v>=3.348*100000000</v>
      </c>
      <c r="AH290" s="1">
        <f>3.348*100000000</f>
        <v>334800000</v>
      </c>
      <c r="AI290" s="8">
        <f t="shared" si="140"/>
        <v>-0.89720601780779863</v>
      </c>
      <c r="AJ290" s="6" t="s">
        <v>3864</v>
      </c>
      <c r="AK290" s="6" t="str">
        <f t="shared" si="141"/>
        <v>=32.57*100000000</v>
      </c>
      <c r="AL290" s="1">
        <f>32.57*100000000</f>
        <v>3257000000</v>
      </c>
      <c r="AM290" s="8">
        <f t="shared" si="142"/>
        <v>0.37600337980566118</v>
      </c>
      <c r="AN290" s="6" t="s">
        <v>3865</v>
      </c>
      <c r="AO290" s="6" t="str">
        <f t="shared" si="143"/>
        <v>=23.67*100000000</v>
      </c>
      <c r="AP290" s="1">
        <f>23.67*100000000</f>
        <v>2367000000</v>
      </c>
      <c r="AQ290" s="8">
        <f t="shared" si="144"/>
        <v>0.41651705565529623</v>
      </c>
      <c r="AR290" s="6" t="s">
        <v>3866</v>
      </c>
      <c r="AS290" s="6" t="str">
        <f t="shared" si="145"/>
        <v>=16.71*100000000</v>
      </c>
      <c r="AT290" s="1">
        <f>16.71*100000000</f>
        <v>1671000000</v>
      </c>
      <c r="AU290" s="8">
        <f t="shared" si="146"/>
        <v>0.78601966652415567</v>
      </c>
      <c r="AV290" s="6" t="s">
        <v>3867</v>
      </c>
      <c r="AW290" s="6" t="str">
        <f t="shared" si="147"/>
        <v>=9.356*100000000</v>
      </c>
      <c r="AX290" s="1">
        <f>9.356*100000000</f>
        <v>935600000</v>
      </c>
      <c r="AY290" s="10">
        <f t="shared" si="148"/>
        <v>-0.56983908045977016</v>
      </c>
      <c r="AZ290" s="6" t="s">
        <v>3868</v>
      </c>
      <c r="BA290" s="6" t="str">
        <f t="shared" si="149"/>
        <v>=21.75*100000000</v>
      </c>
      <c r="BB290" s="1">
        <f>21.75*100000000</f>
        <v>2175000000</v>
      </c>
      <c r="BC290" s="8">
        <f t="shared" si="150"/>
        <v>0.30083732057416268</v>
      </c>
      <c r="BD290" s="6" t="s">
        <v>3869</v>
      </c>
      <c r="BE290" s="6" t="str">
        <f t="shared" si="151"/>
        <v>=16.72*100000000</v>
      </c>
      <c r="BF290" s="1">
        <f>16.72*100000000</f>
        <v>1672000000</v>
      </c>
      <c r="BG290" s="8">
        <f t="shared" si="152"/>
        <v>0.28615384615384615</v>
      </c>
      <c r="BH290" s="6" t="s">
        <v>3870</v>
      </c>
      <c r="BI290" s="6" t="str">
        <f t="shared" si="153"/>
        <v>=13.00*100000000</v>
      </c>
      <c r="BJ290" s="1">
        <f>13*100000000</f>
        <v>1300000000</v>
      </c>
      <c r="BK290" s="6" t="s">
        <v>3871</v>
      </c>
      <c r="BL290" s="1" t="str">
        <f t="shared" si="125"/>
        <v>=5.534*100000000</v>
      </c>
      <c r="BM290" s="16">
        <f t="shared" si="154"/>
        <v>1.3491145645103</v>
      </c>
      <c r="BN290" s="1">
        <f>5.534*100000000</f>
        <v>553400000</v>
      </c>
    </row>
    <row r="291" spans="1:66">
      <c r="A291" s="18"/>
      <c r="B291">
        <v>600251</v>
      </c>
      <c r="C291" t="s">
        <v>48</v>
      </c>
      <c r="D291" s="6" t="s">
        <v>3872</v>
      </c>
      <c r="E291" s="7" t="str">
        <f t="shared" si="124"/>
        <v>=3.221*100000000</v>
      </c>
      <c r="F291" s="1">
        <f>3.221*100000000</f>
        <v>322100000</v>
      </c>
      <c r="G291" s="8">
        <f t="shared" si="126"/>
        <v>0.15696839080459771</v>
      </c>
      <c r="H291" s="6" t="s">
        <v>3873</v>
      </c>
      <c r="I291" s="6" t="str">
        <f t="shared" si="127"/>
        <v>=2.784*100000000</v>
      </c>
      <c r="J291" s="1">
        <f>2.784*100000000</f>
        <v>278400000</v>
      </c>
      <c r="K291" s="10">
        <f t="shared" si="128"/>
        <v>0.21998247151621383</v>
      </c>
      <c r="L291" s="6" t="s">
        <v>3874</v>
      </c>
      <c r="M291" s="6" t="str">
        <f t="shared" si="129"/>
        <v>=2.282*100000000</v>
      </c>
      <c r="N291" s="1">
        <f>2.282*100000000</f>
        <v>228200000</v>
      </c>
      <c r="O291" s="8">
        <f t="shared" si="130"/>
        <v>1.2897852699177204</v>
      </c>
      <c r="P291" s="7" t="s">
        <v>3875</v>
      </c>
      <c r="Q291" s="6" t="str">
        <f t="shared" si="131"/>
        <v>=9966*10000</v>
      </c>
      <c r="R291" s="11">
        <f>9966*10000</f>
        <v>99660000</v>
      </c>
      <c r="S291" s="8">
        <f t="shared" si="132"/>
        <v>-0.75392592592592589</v>
      </c>
      <c r="T291" s="6" t="s">
        <v>3876</v>
      </c>
      <c r="U291" s="6" t="str">
        <f t="shared" si="133"/>
        <v>=4.050*100000000</v>
      </c>
      <c r="V291" s="1">
        <f>4.05*100000000</f>
        <v>405000000</v>
      </c>
      <c r="W291" s="8">
        <f t="shared" si="134"/>
        <v>6.5509076558800311E-2</v>
      </c>
      <c r="X291" s="6" t="s">
        <v>3680</v>
      </c>
      <c r="Y291" s="6" t="str">
        <f t="shared" si="135"/>
        <v>=3.801*100000000</v>
      </c>
      <c r="Z291" s="1">
        <f>3.801*100000000</f>
        <v>380100000</v>
      </c>
      <c r="AA291" s="8">
        <f t="shared" si="136"/>
        <v>0.24134552580013063</v>
      </c>
      <c r="AB291" s="6" t="s">
        <v>3877</v>
      </c>
      <c r="AC291" s="6" t="str">
        <f t="shared" si="137"/>
        <v>=3.062*100000000</v>
      </c>
      <c r="AD291" s="1">
        <f>3.062*100000000</f>
        <v>306200000</v>
      </c>
      <c r="AE291" s="8">
        <f t="shared" si="138"/>
        <v>6.5548976067110782</v>
      </c>
      <c r="AF291" s="7" t="s">
        <v>3878</v>
      </c>
      <c r="AG291" s="6" t="str">
        <f t="shared" si="139"/>
        <v>=4053*10000</v>
      </c>
      <c r="AH291" s="1">
        <f>4053*10000</f>
        <v>40530000</v>
      </c>
      <c r="AI291" s="8">
        <f t="shared" si="140"/>
        <v>-0.79331973482916884</v>
      </c>
      <c r="AJ291" s="6" t="s">
        <v>2169</v>
      </c>
      <c r="AK291" s="6" t="str">
        <f t="shared" si="141"/>
        <v>=1.961*100000000</v>
      </c>
      <c r="AL291" s="1">
        <f>1.961*100000000</f>
        <v>196100000</v>
      </c>
      <c r="AM291" s="8">
        <f t="shared" si="142"/>
        <v>0.34684065934065933</v>
      </c>
      <c r="AN291" s="6" t="s">
        <v>3879</v>
      </c>
      <c r="AO291" s="6" t="str">
        <f t="shared" si="143"/>
        <v>=1.456*100000000</v>
      </c>
      <c r="AP291" s="1">
        <f>1.456*100000000</f>
        <v>145600000</v>
      </c>
      <c r="AQ291" s="8">
        <f t="shared" si="144"/>
        <v>0.30465949820788513</v>
      </c>
      <c r="AR291" s="6" t="s">
        <v>3880</v>
      </c>
      <c r="AS291" s="6" t="str">
        <f t="shared" si="145"/>
        <v>=1.116*100000000</v>
      </c>
      <c r="AT291" s="1">
        <f>1.116*100000000</f>
        <v>111600000.00000001</v>
      </c>
      <c r="AU291" s="8">
        <f t="shared" si="146"/>
        <v>1.9237621168456907</v>
      </c>
      <c r="AV291" s="7" t="s">
        <v>3881</v>
      </c>
      <c r="AW291" s="6" t="str">
        <f t="shared" si="147"/>
        <v>=3817*10000</v>
      </c>
      <c r="AX291" s="1">
        <f>3817*10000</f>
        <v>38170000</v>
      </c>
      <c r="AY291" s="10">
        <f t="shared" si="148"/>
        <v>-0.61868131868131859</v>
      </c>
      <c r="AZ291" s="6" t="s">
        <v>3882</v>
      </c>
      <c r="BA291" s="6" t="str">
        <f t="shared" si="149"/>
        <v>=1.001*100000000</v>
      </c>
      <c r="BB291" s="1">
        <f>1.001*100000000</f>
        <v>100099999.99999999</v>
      </c>
      <c r="BC291" s="8">
        <f t="shared" si="150"/>
        <v>-0.2382039573820397</v>
      </c>
      <c r="BD291" s="6" t="s">
        <v>3883</v>
      </c>
      <c r="BE291" s="6" t="str">
        <f t="shared" si="151"/>
        <v>=1.314*100000000</v>
      </c>
      <c r="BF291" s="1">
        <f>1.314*100000000</f>
        <v>131400000</v>
      </c>
      <c r="BG291" s="8">
        <f t="shared" si="152"/>
        <v>0.27945472249269737</v>
      </c>
      <c r="BH291" s="6" t="s">
        <v>3884</v>
      </c>
      <c r="BI291" s="6" t="str">
        <f t="shared" si="153"/>
        <v>=1.027*100000000</v>
      </c>
      <c r="BJ291" s="1">
        <f>1.027*100000000</f>
        <v>102699999.99999999</v>
      </c>
      <c r="BK291" s="7" t="s">
        <v>3885</v>
      </c>
      <c r="BL291" s="1" t="str">
        <f t="shared" si="125"/>
        <v>=6360*10000</v>
      </c>
      <c r="BM291" s="16">
        <f t="shared" si="154"/>
        <v>0.61477987421383629</v>
      </c>
      <c r="BN291" s="1">
        <f>6360*10000</f>
        <v>63600000</v>
      </c>
    </row>
    <row r="292" spans="1:66">
      <c r="A292" s="18"/>
      <c r="B292">
        <v>600251</v>
      </c>
      <c r="C292" t="s">
        <v>58</v>
      </c>
      <c r="D292" s="6" t="s">
        <v>3886</v>
      </c>
      <c r="E292" s="7" t="str">
        <f t="shared" si="124"/>
        <v>=3.285*100000000</v>
      </c>
      <c r="F292" s="1">
        <f>3.285*100000000</f>
        <v>328500000</v>
      </c>
      <c r="G292" s="8">
        <f t="shared" si="126"/>
        <v>0.16448068060971288</v>
      </c>
      <c r="H292" s="6" t="s">
        <v>3887</v>
      </c>
      <c r="I292" s="6" t="str">
        <f t="shared" si="127"/>
        <v>=2.821*100000000</v>
      </c>
      <c r="J292" s="1">
        <f>2.821*100000000</f>
        <v>282100000</v>
      </c>
      <c r="K292" s="10">
        <f t="shared" si="128"/>
        <v>0.21124946328896507</v>
      </c>
      <c r="L292" s="6" t="s">
        <v>3888</v>
      </c>
      <c r="M292" s="6" t="str">
        <f t="shared" si="129"/>
        <v>=2.329*100000000</v>
      </c>
      <c r="N292" s="1">
        <f>2.329*100000000</f>
        <v>232900000.00000003</v>
      </c>
      <c r="O292" s="8">
        <f t="shared" si="130"/>
        <v>1.3390579491814807</v>
      </c>
      <c r="P292" s="7" t="s">
        <v>3889</v>
      </c>
      <c r="Q292" s="6" t="str">
        <f t="shared" si="131"/>
        <v>=9957*10000</v>
      </c>
      <c r="R292" s="11">
        <f>9957*10000</f>
        <v>99570000</v>
      </c>
      <c r="S292" s="8">
        <f t="shared" si="132"/>
        <v>-0.75779615665288247</v>
      </c>
      <c r="T292" s="6" t="s">
        <v>3890</v>
      </c>
      <c r="U292" s="6" t="str">
        <f t="shared" si="133"/>
        <v>=4.111*100000000</v>
      </c>
      <c r="V292" s="1">
        <f>4.111*100000000</f>
        <v>411100000</v>
      </c>
      <c r="W292" s="8">
        <f t="shared" si="134"/>
        <v>6.2273901808785531E-2</v>
      </c>
      <c r="X292" s="6" t="s">
        <v>1703</v>
      </c>
      <c r="Y292" s="6" t="str">
        <f t="shared" si="135"/>
        <v>=3.870*100000000</v>
      </c>
      <c r="Z292" s="1">
        <f>3.87*100000000</f>
        <v>387000000</v>
      </c>
      <c r="AA292" s="8">
        <f t="shared" si="136"/>
        <v>0.2313076678332803</v>
      </c>
      <c r="AB292" s="6" t="s">
        <v>1530</v>
      </c>
      <c r="AC292" s="6" t="str">
        <f t="shared" si="137"/>
        <v>=3.143*100000000</v>
      </c>
      <c r="AD292" s="1">
        <f>3.143*100000000</f>
        <v>314300000</v>
      </c>
      <c r="AE292" s="8">
        <f t="shared" si="138"/>
        <v>5.4644179350061703</v>
      </c>
      <c r="AF292" s="7" t="s">
        <v>3891</v>
      </c>
      <c r="AG292" s="6" t="str">
        <f t="shared" si="139"/>
        <v>=4862*10000</v>
      </c>
      <c r="AH292" s="1">
        <f>4862*10000</f>
        <v>48620000</v>
      </c>
      <c r="AI292" s="8">
        <f t="shared" si="140"/>
        <v>-0.74976839938239837</v>
      </c>
      <c r="AJ292" s="6" t="s">
        <v>3892</v>
      </c>
      <c r="AK292" s="6" t="str">
        <f t="shared" si="141"/>
        <v>=1.943*100000000</v>
      </c>
      <c r="AL292" s="1">
        <f>1.943*100000000</f>
        <v>194300000</v>
      </c>
      <c r="AM292" s="8">
        <f t="shared" si="142"/>
        <v>0.33264746227709191</v>
      </c>
      <c r="AN292" s="6" t="s">
        <v>3893</v>
      </c>
      <c r="AO292" s="6" t="str">
        <f t="shared" si="143"/>
        <v>=1.458*100000000</v>
      </c>
      <c r="AP292" s="1">
        <f>1.458*100000000</f>
        <v>145800000</v>
      </c>
      <c r="AQ292" s="8">
        <f t="shared" si="144"/>
        <v>0.30062444246208742</v>
      </c>
      <c r="AR292" s="6" t="s">
        <v>3894</v>
      </c>
      <c r="AS292" s="6" t="str">
        <f t="shared" si="145"/>
        <v>=1.121*100000000</v>
      </c>
      <c r="AT292" s="1">
        <f>1.121*100000000</f>
        <v>112100000</v>
      </c>
      <c r="AU292" s="8">
        <f t="shared" si="146"/>
        <v>1.8626149131767109</v>
      </c>
      <c r="AV292" s="7" t="s">
        <v>3895</v>
      </c>
      <c r="AW292" s="6" t="str">
        <f t="shared" si="147"/>
        <v>=3916*10000</v>
      </c>
      <c r="AX292" s="1">
        <f>3916*10000</f>
        <v>39160000</v>
      </c>
      <c r="AY292" s="10">
        <f t="shared" si="148"/>
        <v>-0.59678747940691923</v>
      </c>
      <c r="AZ292" s="7" t="s">
        <v>3896</v>
      </c>
      <c r="BA292" s="6" t="str">
        <f t="shared" si="149"/>
        <v>=9712*10000</v>
      </c>
      <c r="BB292" s="1">
        <f>9712*10000</f>
        <v>97120000</v>
      </c>
      <c r="BC292" s="8">
        <f t="shared" si="150"/>
        <v>-0.28165680473372778</v>
      </c>
      <c r="BD292" s="6" t="s">
        <v>3897</v>
      </c>
      <c r="BE292" s="6" t="str">
        <f t="shared" si="151"/>
        <v>=1.352*100000000</v>
      </c>
      <c r="BF292" s="1">
        <f>1.352*100000000</f>
        <v>135200000</v>
      </c>
      <c r="BG292" s="8">
        <f t="shared" si="152"/>
        <v>0.30250481695568399</v>
      </c>
      <c r="BH292" s="6" t="s">
        <v>1576</v>
      </c>
      <c r="BI292" s="6" t="str">
        <f t="shared" si="153"/>
        <v>=1.038*100000000</v>
      </c>
      <c r="BJ292" s="1">
        <f>1.038*100000000</f>
        <v>103800000</v>
      </c>
      <c r="BK292" s="7" t="s">
        <v>3185</v>
      </c>
      <c r="BL292" s="1" t="str">
        <f t="shared" si="125"/>
        <v>=6374*10000</v>
      </c>
      <c r="BM292" s="16">
        <f t="shared" si="154"/>
        <v>0.62849074364606217</v>
      </c>
      <c r="BN292" s="1">
        <f>6374*10000</f>
        <v>63740000</v>
      </c>
    </row>
    <row r="293" spans="1:66">
      <c r="A293" s="19"/>
      <c r="B293">
        <v>600251</v>
      </c>
      <c r="C293" t="s">
        <v>68</v>
      </c>
      <c r="D293" s="6" t="s">
        <v>3898</v>
      </c>
      <c r="E293" s="7" t="str">
        <f t="shared" si="124"/>
        <v>=3.167*100000000</v>
      </c>
      <c r="F293" s="1">
        <f>3.167*100000000</f>
        <v>316700000</v>
      </c>
      <c r="G293" s="8">
        <f t="shared" si="126"/>
        <v>0.15457528253736785</v>
      </c>
      <c r="H293" s="6" t="s">
        <v>3899</v>
      </c>
      <c r="I293" s="6" t="str">
        <f t="shared" si="127"/>
        <v>=2.743*100000000</v>
      </c>
      <c r="J293" s="1">
        <f>2.743*100000000</f>
        <v>274300000</v>
      </c>
      <c r="K293" s="10">
        <f t="shared" si="128"/>
        <v>0.18590575010808458</v>
      </c>
      <c r="L293" s="6" t="s">
        <v>3900</v>
      </c>
      <c r="M293" s="6" t="str">
        <f t="shared" si="129"/>
        <v>=2.313*100000000</v>
      </c>
      <c r="N293" s="1">
        <f>2.313*100000000</f>
        <v>231300000.00000003</v>
      </c>
      <c r="O293" s="8">
        <f t="shared" si="130"/>
        <v>1.3314182038101001</v>
      </c>
      <c r="P293" s="7" t="s">
        <v>3901</v>
      </c>
      <c r="Q293" s="6" t="str">
        <f t="shared" si="131"/>
        <v>=9921*10000</v>
      </c>
      <c r="R293" s="11">
        <f>9921*10000</f>
        <v>99210000</v>
      </c>
      <c r="S293" s="8">
        <f t="shared" si="132"/>
        <v>-0.72021996615905248</v>
      </c>
      <c r="T293" s="6" t="s">
        <v>3902</v>
      </c>
      <c r="U293" s="6" t="str">
        <f t="shared" si="133"/>
        <v>=3.546*100000000</v>
      </c>
      <c r="V293" s="1">
        <f>3.546*100000000</f>
        <v>354600000</v>
      </c>
      <c r="W293" s="8">
        <f t="shared" si="134"/>
        <v>5.9139784946236562E-2</v>
      </c>
      <c r="X293" s="6" t="s">
        <v>3863</v>
      </c>
      <c r="Y293" s="6" t="str">
        <f t="shared" si="135"/>
        <v>=3.348*100000000</v>
      </c>
      <c r="Z293" s="1">
        <f>3.348*100000000</f>
        <v>334800000</v>
      </c>
      <c r="AA293" s="8">
        <f t="shared" si="136"/>
        <v>0.24832214765100671</v>
      </c>
      <c r="AB293" s="6" t="s">
        <v>3903</v>
      </c>
      <c r="AC293" s="6" t="str">
        <f t="shared" si="137"/>
        <v>=2.682*100000000</v>
      </c>
      <c r="AD293" s="1">
        <f>2.682*100000000</f>
        <v>268200000</v>
      </c>
      <c r="AE293" s="8">
        <f t="shared" si="138"/>
        <v>4.7714654615881216</v>
      </c>
      <c r="AF293" s="7" t="s">
        <v>3904</v>
      </c>
      <c r="AG293" s="6" t="str">
        <f t="shared" si="139"/>
        <v>=4647*10000</v>
      </c>
      <c r="AH293" s="1">
        <f>4647*10000</f>
        <v>46470000</v>
      </c>
      <c r="AI293" s="8">
        <f t="shared" si="140"/>
        <v>-0.73893258426966291</v>
      </c>
      <c r="AJ293" s="6" t="s">
        <v>3905</v>
      </c>
      <c r="AK293" s="6" t="str">
        <f t="shared" si="141"/>
        <v>=1.780*100000000</v>
      </c>
      <c r="AL293" s="1">
        <f>1.78*100000000</f>
        <v>178000000</v>
      </c>
      <c r="AM293" s="8">
        <f t="shared" si="142"/>
        <v>0.25</v>
      </c>
      <c r="AN293" s="6" t="s">
        <v>3085</v>
      </c>
      <c r="AO293" s="6" t="str">
        <f t="shared" si="143"/>
        <v>=1.424*100000000</v>
      </c>
      <c r="AP293" s="1">
        <f>1.424*100000000</f>
        <v>142400000</v>
      </c>
      <c r="AQ293" s="8">
        <f t="shared" si="144"/>
        <v>0.29454545454545439</v>
      </c>
      <c r="AR293" s="6" t="s">
        <v>3906</v>
      </c>
      <c r="AS293" s="6" t="str">
        <f t="shared" si="145"/>
        <v>=1.100*100000000</v>
      </c>
      <c r="AT293" s="1">
        <f>1.1*100000000</f>
        <v>110000000.00000001</v>
      </c>
      <c r="AU293" s="8">
        <f t="shared" si="146"/>
        <v>1.8111423460260674</v>
      </c>
      <c r="AV293" s="7" t="s">
        <v>3907</v>
      </c>
      <c r="AW293" s="6" t="str">
        <f t="shared" si="147"/>
        <v>=3913*10000</v>
      </c>
      <c r="AX293" s="1">
        <f>3913*10000</f>
        <v>39130000</v>
      </c>
      <c r="AY293" s="10">
        <f t="shared" si="148"/>
        <v>-0.56695440460380697</v>
      </c>
      <c r="AZ293" s="7" t="s">
        <v>3908</v>
      </c>
      <c r="BA293" s="6" t="str">
        <f t="shared" si="149"/>
        <v>=9036*10000</v>
      </c>
      <c r="BB293" s="1">
        <f>9036*10000</f>
        <v>90360000</v>
      </c>
      <c r="BC293" s="8">
        <f t="shared" si="150"/>
        <v>-0.318552036199095</v>
      </c>
      <c r="BD293" s="6" t="s">
        <v>1655</v>
      </c>
      <c r="BE293" s="6" t="str">
        <f t="shared" si="151"/>
        <v>=1.326*100000000</v>
      </c>
      <c r="BF293" s="1">
        <f>1.326*100000000</f>
        <v>132600000</v>
      </c>
      <c r="BG293" s="8">
        <f t="shared" si="152"/>
        <v>0.29113924050632928</v>
      </c>
      <c r="BH293" s="6" t="s">
        <v>3884</v>
      </c>
      <c r="BI293" s="6" t="str">
        <f t="shared" si="153"/>
        <v>=1.027*100000000</v>
      </c>
      <c r="BJ293" s="1">
        <f>1.027*100000000</f>
        <v>102699999.99999999</v>
      </c>
      <c r="BK293" s="7" t="s">
        <v>3909</v>
      </c>
      <c r="BL293" s="1" t="str">
        <f t="shared" si="125"/>
        <v>=6290*10000</v>
      </c>
      <c r="BM293" s="16">
        <f t="shared" si="154"/>
        <v>0.63275039745627959</v>
      </c>
      <c r="BN293" s="1">
        <f>6290*10000</f>
        <v>62900000</v>
      </c>
    </row>
    <row r="294" spans="1:66">
      <c r="A294" s="17">
        <v>74</v>
      </c>
      <c r="B294">
        <v>600255</v>
      </c>
      <c r="C294" t="s">
        <v>31</v>
      </c>
      <c r="D294" s="6" t="s">
        <v>658</v>
      </c>
      <c r="E294" s="7" t="str">
        <f t="shared" si="124"/>
        <v>=32.47*100000000</v>
      </c>
      <c r="F294" s="1">
        <f>32.47*100000000</f>
        <v>3247000000</v>
      </c>
      <c r="G294" s="8">
        <f t="shared" si="126"/>
        <v>0.33566433566433568</v>
      </c>
      <c r="H294" s="6" t="s">
        <v>3910</v>
      </c>
      <c r="I294" s="6" t="str">
        <f t="shared" si="127"/>
        <v>=24.31*100000000</v>
      </c>
      <c r="J294" s="1">
        <f>24.31*100000000</f>
        <v>2431000000</v>
      </c>
      <c r="K294" s="10">
        <f t="shared" si="128"/>
        <v>0.55933290570878769</v>
      </c>
      <c r="L294" s="6" t="s">
        <v>339</v>
      </c>
      <c r="M294" s="6" t="str">
        <f t="shared" si="129"/>
        <v>=15.59*100000000</v>
      </c>
      <c r="N294" s="1">
        <f>15.59*100000000</f>
        <v>1559000000</v>
      </c>
      <c r="O294" s="8">
        <f t="shared" si="130"/>
        <v>1.3401380966676675</v>
      </c>
      <c r="P294" s="6" t="s">
        <v>3911</v>
      </c>
      <c r="Q294" s="6" t="str">
        <f t="shared" si="131"/>
        <v>=6.662*100000000</v>
      </c>
      <c r="R294" s="11">
        <f>6.662*100000000</f>
        <v>666200000</v>
      </c>
      <c r="S294" s="8">
        <f t="shared" si="132"/>
        <v>-0.70232350312779268</v>
      </c>
      <c r="T294" s="6" t="s">
        <v>219</v>
      </c>
      <c r="U294" s="6" t="str">
        <f t="shared" si="133"/>
        <v>=22.38*100000000</v>
      </c>
      <c r="V294" s="1">
        <f>22.38*100000000</f>
        <v>2238000000</v>
      </c>
      <c r="W294" s="8">
        <f t="shared" si="134"/>
        <v>0.45042125729099158</v>
      </c>
      <c r="X294" s="6" t="s">
        <v>3912</v>
      </c>
      <c r="Y294" s="6" t="str">
        <f t="shared" si="135"/>
        <v>=15.43*100000000</v>
      </c>
      <c r="Z294" s="1">
        <f>15.43*100000000</f>
        <v>1543000000</v>
      </c>
      <c r="AA294" s="8">
        <f t="shared" si="136"/>
        <v>0.57304516260577043</v>
      </c>
      <c r="AB294" s="6" t="s">
        <v>3913</v>
      </c>
      <c r="AC294" s="6" t="str">
        <f t="shared" si="137"/>
        <v>=9.809*100000000</v>
      </c>
      <c r="AD294" s="1">
        <f>9.809*100000000</f>
        <v>980899999.99999988</v>
      </c>
      <c r="AE294" s="8">
        <f t="shared" si="138"/>
        <v>1.2902171375204288</v>
      </c>
      <c r="AF294" s="6" t="s">
        <v>3132</v>
      </c>
      <c r="AG294" s="6" t="str">
        <f t="shared" si="139"/>
        <v>=4.283*100000000</v>
      </c>
      <c r="AH294" s="1">
        <f>4.283*100000000</f>
        <v>428300000.00000006</v>
      </c>
      <c r="AI294" s="8">
        <f t="shared" si="140"/>
        <v>-0.8791819464033851</v>
      </c>
      <c r="AJ294" s="6" t="s">
        <v>3914</v>
      </c>
      <c r="AK294" s="6" t="str">
        <f t="shared" si="141"/>
        <v>=35.45*100000000</v>
      </c>
      <c r="AL294" s="1">
        <f>35.45*100000000</f>
        <v>3545000000.0000005</v>
      </c>
      <c r="AM294" s="8">
        <f t="shared" si="142"/>
        <v>0.27655743608210315</v>
      </c>
      <c r="AN294" s="6" t="s">
        <v>3915</v>
      </c>
      <c r="AO294" s="6" t="str">
        <f t="shared" si="143"/>
        <v>=27.77*100000000</v>
      </c>
      <c r="AP294" s="1">
        <f>27.77*100000000</f>
        <v>2777000000</v>
      </c>
      <c r="AQ294" s="8">
        <f t="shared" si="144"/>
        <v>0.52582417582417584</v>
      </c>
      <c r="AR294" s="6" t="s">
        <v>3357</v>
      </c>
      <c r="AS294" s="6" t="str">
        <f t="shared" si="145"/>
        <v>=18.20*100000000</v>
      </c>
      <c r="AT294" s="1">
        <f>18.2*100000000</f>
        <v>1820000000</v>
      </c>
      <c r="AU294" s="8">
        <f t="shared" si="146"/>
        <v>1.2628372497824198</v>
      </c>
      <c r="AV294" s="6" t="s">
        <v>3916</v>
      </c>
      <c r="AW294" s="6" t="str">
        <f t="shared" si="147"/>
        <v>=8.043*100000000</v>
      </c>
      <c r="AX294" s="1">
        <f>8.043*100000000</f>
        <v>804299999.99999988</v>
      </c>
      <c r="AY294" s="10">
        <f t="shared" si="148"/>
        <v>-0.83974895397489535</v>
      </c>
      <c r="AZ294" s="6" t="s">
        <v>3917</v>
      </c>
      <c r="BA294" s="6" t="str">
        <f t="shared" si="149"/>
        <v>=50.19*100000000</v>
      </c>
      <c r="BB294" s="1">
        <f>50.19*100000000</f>
        <v>5019000000</v>
      </c>
      <c r="BC294" s="8">
        <f t="shared" si="150"/>
        <v>0.16829608938547486</v>
      </c>
      <c r="BD294" s="6" t="s">
        <v>3918</v>
      </c>
      <c r="BE294" s="6" t="str">
        <f t="shared" si="151"/>
        <v>=42.96*100000000</v>
      </c>
      <c r="BF294" s="1">
        <f>42.96*100000000</f>
        <v>4296000000</v>
      </c>
      <c r="BG294" s="8">
        <f t="shared" si="152"/>
        <v>0.5084269662921348</v>
      </c>
      <c r="BH294" s="6" t="s">
        <v>3224</v>
      </c>
      <c r="BI294" s="6" t="str">
        <f t="shared" si="153"/>
        <v>=28.48*100000000</v>
      </c>
      <c r="BJ294" s="1">
        <f>28.48*100000000</f>
        <v>2848000000</v>
      </c>
      <c r="BK294" s="6" t="s">
        <v>3919</v>
      </c>
      <c r="BL294" s="1" t="str">
        <f t="shared" si="125"/>
        <v>=12.44*100000000</v>
      </c>
      <c r="BM294" s="16">
        <f t="shared" si="154"/>
        <v>1.2893890675241158</v>
      </c>
      <c r="BN294" s="1">
        <f>12.44*100000000</f>
        <v>1244000000</v>
      </c>
    </row>
    <row r="295" spans="1:66">
      <c r="A295" s="18"/>
      <c r="B295">
        <v>600255</v>
      </c>
      <c r="C295" t="s">
        <v>48</v>
      </c>
      <c r="D295" s="7" t="s">
        <v>3920</v>
      </c>
      <c r="E295" s="7" t="str">
        <f t="shared" si="124"/>
        <v>=8949*10000</v>
      </c>
      <c r="F295" s="1">
        <f>8949*10000</f>
        <v>89490000</v>
      </c>
      <c r="G295" s="8">
        <f t="shared" si="126"/>
        <v>-1.821173889193637E-2</v>
      </c>
      <c r="H295" s="7" t="s">
        <v>3446</v>
      </c>
      <c r="I295" s="6" t="str">
        <f t="shared" si="127"/>
        <v>=9115*10000</v>
      </c>
      <c r="J295" s="1">
        <f>9115*10000</f>
        <v>91150000</v>
      </c>
      <c r="K295" s="10">
        <f t="shared" si="128"/>
        <v>0.44087891242491306</v>
      </c>
      <c r="L295" s="7" t="s">
        <v>3921</v>
      </c>
      <c r="M295" s="6" t="str">
        <f t="shared" si="129"/>
        <v>=6326*10000</v>
      </c>
      <c r="N295" s="1">
        <f>6326*10000</f>
        <v>63260000</v>
      </c>
      <c r="O295" s="8">
        <f t="shared" si="130"/>
        <v>1.0912396694214876</v>
      </c>
      <c r="P295" s="7" t="s">
        <v>3922</v>
      </c>
      <c r="Q295" s="6" t="str">
        <f t="shared" si="131"/>
        <v>=3025*10000</v>
      </c>
      <c r="R295" s="11">
        <f>3025*10000</f>
        <v>30250000</v>
      </c>
      <c r="S295" s="8">
        <f t="shared" si="132"/>
        <v>-0.7462248322147651</v>
      </c>
      <c r="T295" s="6" t="s">
        <v>2162</v>
      </c>
      <c r="U295" s="6" t="str">
        <f t="shared" si="133"/>
        <v>=1.192*100000000</v>
      </c>
      <c r="V295" s="1">
        <f>1.192*100000000</f>
        <v>119200000</v>
      </c>
      <c r="W295" s="8">
        <f t="shared" si="134"/>
        <v>2.7586206896551856E-2</v>
      </c>
      <c r="X295" s="6" t="s">
        <v>2010</v>
      </c>
      <c r="Y295" s="6" t="str">
        <f t="shared" si="135"/>
        <v>=1.160*100000000</v>
      </c>
      <c r="Z295" s="1">
        <f>1.16*100000000</f>
        <v>115999999.99999999</v>
      </c>
      <c r="AA295" s="8">
        <f t="shared" si="136"/>
        <v>0.20695036936843186</v>
      </c>
      <c r="AB295" s="7" t="s">
        <v>3923</v>
      </c>
      <c r="AC295" s="6" t="str">
        <f t="shared" si="137"/>
        <v>=9611*10000</v>
      </c>
      <c r="AD295" s="1">
        <f>9611*10000</f>
        <v>96110000</v>
      </c>
      <c r="AE295" s="8">
        <f t="shared" si="138"/>
        <v>-3.1491502683363151</v>
      </c>
      <c r="AF295" s="7">
        <f>-4472*10000</f>
        <v>-44720000</v>
      </c>
      <c r="AG295" s="6" t="str">
        <f t="shared" si="139"/>
        <v>=-44720000</v>
      </c>
      <c r="AH295" s="1">
        <f>-44720000</f>
        <v>-44720000</v>
      </c>
      <c r="AI295" s="8">
        <f t="shared" si="140"/>
        <v>-0.96267111853088483</v>
      </c>
      <c r="AJ295" s="6">
        <f>-11.98*100000000</f>
        <v>-1198000000</v>
      </c>
      <c r="AK295" s="6" t="str">
        <f t="shared" si="141"/>
        <v>=-1198000000</v>
      </c>
      <c r="AL295" s="1">
        <f>-1198000000</f>
        <v>-1198000000</v>
      </c>
      <c r="AM295" s="8">
        <f t="shared" si="142"/>
        <v>47.878008975928189</v>
      </c>
      <c r="AN295" s="7">
        <f>-2451*10000</f>
        <v>-24510000</v>
      </c>
      <c r="AO295" s="6" t="str">
        <f t="shared" si="143"/>
        <v>=-24510000</v>
      </c>
      <c r="AP295" s="1">
        <f>-24510000</f>
        <v>-24510000</v>
      </c>
      <c r="AQ295" s="8">
        <f t="shared" si="144"/>
        <v>-2.3030303030303032</v>
      </c>
      <c r="AR295" s="7" t="s">
        <v>3924</v>
      </c>
      <c r="AS295" s="6" t="str">
        <f t="shared" si="145"/>
        <v>=1881*10000</v>
      </c>
      <c r="AT295" s="1">
        <f>1881*10000</f>
        <v>18810000</v>
      </c>
      <c r="AU295" s="8">
        <f t="shared" si="146"/>
        <v>-1.5713851761846902</v>
      </c>
      <c r="AV295" s="7">
        <f>-3292*10000</f>
        <v>-32920000</v>
      </c>
      <c r="AW295" s="6" t="str">
        <f t="shared" si="147"/>
        <v>=-32920000</v>
      </c>
      <c r="AX295" s="1">
        <f>-32920000</f>
        <v>-32920000</v>
      </c>
      <c r="AY295" s="10">
        <f t="shared" si="148"/>
        <v>-0.97270315091210613</v>
      </c>
      <c r="AZ295" s="6">
        <f>-12.06*100000000</f>
        <v>-1206000000</v>
      </c>
      <c r="BA295" s="6" t="str">
        <f t="shared" si="149"/>
        <v>=-1206000000</v>
      </c>
      <c r="BB295" s="1">
        <f>-1206000000</f>
        <v>-1206000000</v>
      </c>
      <c r="BC295" s="8">
        <f t="shared" si="150"/>
        <v>-15.410323814075756</v>
      </c>
      <c r="BD295" s="7" t="s">
        <v>3925</v>
      </c>
      <c r="BE295" s="6" t="str">
        <f t="shared" si="151"/>
        <v>=8369*10000</v>
      </c>
      <c r="BF295" s="1">
        <f>8369*10000</f>
        <v>83690000</v>
      </c>
      <c r="BG295" s="8">
        <f t="shared" si="152"/>
        <v>0.85730137594318689</v>
      </c>
      <c r="BH295" s="7" t="s">
        <v>3926</v>
      </c>
      <c r="BI295" s="6" t="str">
        <f t="shared" si="153"/>
        <v>=4506*10000</v>
      </c>
      <c r="BJ295" s="1">
        <f>4506*10000</f>
        <v>45060000</v>
      </c>
      <c r="BK295" s="7" t="s">
        <v>3927</v>
      </c>
      <c r="BL295" s="1" t="str">
        <f t="shared" si="125"/>
        <v>=265.6*10000</v>
      </c>
      <c r="BM295" s="16">
        <f t="shared" si="154"/>
        <v>15.965361445783133</v>
      </c>
      <c r="BN295" s="1">
        <f>265.6*10000</f>
        <v>2656000</v>
      </c>
    </row>
    <row r="296" spans="1:66">
      <c r="A296" s="18"/>
      <c r="B296">
        <v>600255</v>
      </c>
      <c r="C296" t="s">
        <v>58</v>
      </c>
      <c r="D296" s="7" t="s">
        <v>3928</v>
      </c>
      <c r="E296" s="7" t="str">
        <f t="shared" si="124"/>
        <v>=9061*10000</v>
      </c>
      <c r="F296" s="1">
        <f>9061*10000</f>
        <v>90610000</v>
      </c>
      <c r="G296" s="8">
        <f t="shared" si="126"/>
        <v>-2.2229416208050069E-2</v>
      </c>
      <c r="H296" s="7" t="s">
        <v>3929</v>
      </c>
      <c r="I296" s="6" t="str">
        <f t="shared" si="127"/>
        <v>=9267*10000</v>
      </c>
      <c r="J296" s="1">
        <f>9267*10000</f>
        <v>92670000</v>
      </c>
      <c r="K296" s="10">
        <f t="shared" si="128"/>
        <v>0.43429809626992727</v>
      </c>
      <c r="L296" s="7" t="s">
        <v>3930</v>
      </c>
      <c r="M296" s="6" t="str">
        <f t="shared" si="129"/>
        <v>=6461*10000</v>
      </c>
      <c r="N296" s="1">
        <f>6461*10000</f>
        <v>64610000</v>
      </c>
      <c r="O296" s="8">
        <f t="shared" si="130"/>
        <v>1.0768241722918677</v>
      </c>
      <c r="P296" s="7" t="s">
        <v>3931</v>
      </c>
      <c r="Q296" s="6" t="str">
        <f t="shared" si="131"/>
        <v>=3111*10000</v>
      </c>
      <c r="R296" s="11">
        <f>3111*10000</f>
        <v>31110000</v>
      </c>
      <c r="S296" s="8">
        <f t="shared" si="132"/>
        <v>-0.74395061728395062</v>
      </c>
      <c r="T296" s="6" t="s">
        <v>3932</v>
      </c>
      <c r="U296" s="6" t="str">
        <f t="shared" si="133"/>
        <v>=1.215*100000000</v>
      </c>
      <c r="V296" s="1">
        <f>1.215*100000000</f>
        <v>121500000.00000001</v>
      </c>
      <c r="W296" s="8">
        <f t="shared" si="134"/>
        <v>1.503759398496253E-2</v>
      </c>
      <c r="X296" s="6" t="s">
        <v>3933</v>
      </c>
      <c r="Y296" s="6" t="str">
        <f t="shared" si="135"/>
        <v>=1.197*100000000</v>
      </c>
      <c r="Z296" s="1">
        <f>1.197*100000000</f>
        <v>119700000</v>
      </c>
      <c r="AA296" s="8">
        <f t="shared" si="136"/>
        <v>0.2024108488196886</v>
      </c>
      <c r="AB296" s="7" t="s">
        <v>3934</v>
      </c>
      <c r="AC296" s="6" t="str">
        <f t="shared" si="137"/>
        <v>=9955*10000</v>
      </c>
      <c r="AD296" s="1">
        <f>9955*10000</f>
        <v>99550000</v>
      </c>
      <c r="AE296" s="8">
        <f t="shared" si="138"/>
        <v>-3.3017341040462429</v>
      </c>
      <c r="AF296" s="7">
        <f>-4325*10000</f>
        <v>-43250000</v>
      </c>
      <c r="AG296" s="6" t="str">
        <f t="shared" si="139"/>
        <v>=-43250000</v>
      </c>
      <c r="AH296" s="1">
        <f>-43250000</f>
        <v>-43250000</v>
      </c>
      <c r="AI296" s="8">
        <f t="shared" si="140"/>
        <v>-0.96398834304746039</v>
      </c>
      <c r="AJ296" s="6">
        <f>-12.01*100000000</f>
        <v>-1201000000</v>
      </c>
      <c r="AK296" s="6" t="str">
        <f t="shared" si="141"/>
        <v>=-1201000000</v>
      </c>
      <c r="AL296" s="1">
        <f>-1201000000</f>
        <v>-1201000000</v>
      </c>
      <c r="AM296" s="8">
        <f t="shared" si="142"/>
        <v>55.570890249646723</v>
      </c>
      <c r="AN296" s="7">
        <f>-2123*10000</f>
        <v>-21230000</v>
      </c>
      <c r="AO296" s="6" t="str">
        <f t="shared" si="143"/>
        <v>=-21230000</v>
      </c>
      <c r="AP296" s="1">
        <f>-21230000</f>
        <v>-21230000</v>
      </c>
      <c r="AQ296" s="8">
        <f t="shared" si="144"/>
        <v>-1.9851508120649652</v>
      </c>
      <c r="AR296" s="7" t="s">
        <v>3935</v>
      </c>
      <c r="AS296" s="6" t="str">
        <f t="shared" si="145"/>
        <v>=2155*10000</v>
      </c>
      <c r="AT296" s="1">
        <f>2155*10000</f>
        <v>21550000</v>
      </c>
      <c r="AU296" s="8">
        <f t="shared" si="146"/>
        <v>-1.6512541553339377</v>
      </c>
      <c r="AV296" s="7">
        <f>-3309*10000</f>
        <v>-33090000</v>
      </c>
      <c r="AW296" s="6" t="str">
        <f t="shared" si="147"/>
        <v>=-33090000</v>
      </c>
      <c r="AX296" s="1">
        <f>-33090000</f>
        <v>-33090000</v>
      </c>
      <c r="AY296" s="10">
        <f t="shared" si="148"/>
        <v>-0.97237896494156928</v>
      </c>
      <c r="AZ296" s="6">
        <f>-11.98*100000000</f>
        <v>-1198000000</v>
      </c>
      <c r="BA296" s="6" t="str">
        <f t="shared" si="149"/>
        <v>=-1198000000</v>
      </c>
      <c r="BB296" s="1">
        <f>-1198000000</f>
        <v>-1198000000</v>
      </c>
      <c r="BC296" s="8">
        <f t="shared" si="150"/>
        <v>-13.46618106139438</v>
      </c>
      <c r="BD296" s="7" t="s">
        <v>3936</v>
      </c>
      <c r="BE296" s="6" t="str">
        <f t="shared" si="151"/>
        <v>=9610*10000</v>
      </c>
      <c r="BF296" s="1">
        <f>9610*10000</f>
        <v>96100000</v>
      </c>
      <c r="BG296" s="8">
        <f t="shared" si="152"/>
        <v>0.74981791697013833</v>
      </c>
      <c r="BH296" s="7" t="s">
        <v>3937</v>
      </c>
      <c r="BI296" s="6" t="str">
        <f t="shared" si="153"/>
        <v>=5492*10000</v>
      </c>
      <c r="BJ296" s="1">
        <f>5492*10000</f>
        <v>54920000</v>
      </c>
      <c r="BK296" s="7" t="s">
        <v>3938</v>
      </c>
      <c r="BL296" s="1" t="str">
        <f t="shared" si="125"/>
        <v>=745.4*10000</v>
      </c>
      <c r="BM296" s="16">
        <f t="shared" si="154"/>
        <v>6.3678561845988728</v>
      </c>
      <c r="BN296" s="1">
        <f>745.4*10000</f>
        <v>7454000</v>
      </c>
    </row>
    <row r="297" spans="1:66">
      <c r="A297" s="19"/>
      <c r="B297">
        <v>600255</v>
      </c>
      <c r="C297" t="s">
        <v>68</v>
      </c>
      <c r="D297" s="7" t="s">
        <v>3939</v>
      </c>
      <c r="E297" s="7" t="str">
        <f t="shared" si="124"/>
        <v>=7826*10000</v>
      </c>
      <c r="F297" s="1">
        <f>7826*10000</f>
        <v>78260000</v>
      </c>
      <c r="G297" s="8">
        <f t="shared" si="126"/>
        <v>-4.0578644109353926E-2</v>
      </c>
      <c r="H297" s="7" t="s">
        <v>3940</v>
      </c>
      <c r="I297" s="6" t="str">
        <f t="shared" si="127"/>
        <v>=8157*10000</v>
      </c>
      <c r="J297" s="1">
        <f>8157*10000</f>
        <v>81570000</v>
      </c>
      <c r="K297" s="10">
        <f t="shared" si="128"/>
        <v>0.43432389660629506</v>
      </c>
      <c r="L297" s="7" t="s">
        <v>3941</v>
      </c>
      <c r="M297" s="6" t="str">
        <f t="shared" si="129"/>
        <v>=5687*10000</v>
      </c>
      <c r="N297" s="1">
        <f>5687*10000</f>
        <v>56870000</v>
      </c>
      <c r="O297" s="8">
        <f t="shared" si="130"/>
        <v>1.0173820503724724</v>
      </c>
      <c r="P297" s="7" t="s">
        <v>3942</v>
      </c>
      <c r="Q297" s="6" t="str">
        <f t="shared" si="131"/>
        <v>=2819*10000</v>
      </c>
      <c r="R297" s="11">
        <f>2819*10000</f>
        <v>28190000</v>
      </c>
      <c r="S297" s="8">
        <f t="shared" si="132"/>
        <v>-0.64505162427600105</v>
      </c>
      <c r="T297" s="7" t="s">
        <v>3943</v>
      </c>
      <c r="U297" s="6" t="str">
        <f t="shared" si="133"/>
        <v>=7942*10000</v>
      </c>
      <c r="V297" s="1">
        <f>7942*10000</f>
        <v>79420000</v>
      </c>
      <c r="W297" s="8">
        <f t="shared" si="134"/>
        <v>-3.12271285679434E-2</v>
      </c>
      <c r="X297" s="7" t="s">
        <v>3944</v>
      </c>
      <c r="Y297" s="6" t="str">
        <f t="shared" si="135"/>
        <v>=8198*10000</v>
      </c>
      <c r="Z297" s="1">
        <f>8198*10000</f>
        <v>81980000</v>
      </c>
      <c r="AA297" s="8">
        <f t="shared" si="136"/>
        <v>0.25428396572827416</v>
      </c>
      <c r="AB297" s="7" t="s">
        <v>3945</v>
      </c>
      <c r="AC297" s="6" t="str">
        <f t="shared" si="137"/>
        <v>=6536*10000</v>
      </c>
      <c r="AD297" s="1">
        <f>6536*10000</f>
        <v>65360000</v>
      </c>
      <c r="AE297" s="8">
        <f t="shared" si="138"/>
        <v>-2.4915563669557281</v>
      </c>
      <c r="AF297" s="7">
        <f>-4382*10000</f>
        <v>-43820000</v>
      </c>
      <c r="AG297" s="6" t="str">
        <f t="shared" si="139"/>
        <v>=-43820000</v>
      </c>
      <c r="AH297" s="1">
        <f>-43820000</f>
        <v>-43820000</v>
      </c>
      <c r="AI297" s="8">
        <f t="shared" si="140"/>
        <v>-0.9639341563786008</v>
      </c>
      <c r="AJ297" s="6">
        <f>-12.15*100000000</f>
        <v>-1215000000</v>
      </c>
      <c r="AK297" s="6" t="str">
        <f t="shared" si="141"/>
        <v>=-1215000000</v>
      </c>
      <c r="AL297" s="1">
        <f>-1215000000</f>
        <v>-1215000000</v>
      </c>
      <c r="AM297" s="8">
        <f t="shared" si="142"/>
        <v>33.853700516351118</v>
      </c>
      <c r="AN297" s="7">
        <f>-3486*10000</f>
        <v>-34860000</v>
      </c>
      <c r="AO297" s="6" t="str">
        <f t="shared" si="143"/>
        <v>=-34860000</v>
      </c>
      <c r="AP297" s="1">
        <f>-34860000</f>
        <v>-34860000</v>
      </c>
      <c r="AQ297" s="8">
        <f t="shared" si="144"/>
        <v>-3.9318755256518081</v>
      </c>
      <c r="AR297" s="7" t="s">
        <v>3946</v>
      </c>
      <c r="AS297" s="6" t="str">
        <f t="shared" si="145"/>
        <v>=1189*10000</v>
      </c>
      <c r="AT297" s="1">
        <f>1189*10000</f>
        <v>11890000</v>
      </c>
      <c r="AU297" s="8">
        <f t="shared" si="146"/>
        <v>-1.3251298878862456</v>
      </c>
      <c r="AV297" s="7">
        <f>-3657*10000</f>
        <v>-36570000</v>
      </c>
      <c r="AW297" s="6" t="str">
        <f t="shared" si="147"/>
        <v>=-36570000</v>
      </c>
      <c r="AX297" s="1">
        <f>-36570000</f>
        <v>-36570000</v>
      </c>
      <c r="AY297" s="10">
        <f t="shared" si="148"/>
        <v>-0.97007364975450083</v>
      </c>
      <c r="AZ297" s="6">
        <f>-12.22*100000000</f>
        <v>-1222000000</v>
      </c>
      <c r="BA297" s="6" t="str">
        <f t="shared" si="149"/>
        <v>=-1222000000</v>
      </c>
      <c r="BB297" s="1">
        <f>-1222000000</f>
        <v>-1222000000</v>
      </c>
      <c r="BC297" s="8">
        <f t="shared" si="150"/>
        <v>-16.135001238543474</v>
      </c>
      <c r="BD297" s="7" t="s">
        <v>3947</v>
      </c>
      <c r="BE297" s="6" t="str">
        <f t="shared" si="151"/>
        <v>=8074*10000</v>
      </c>
      <c r="BF297" s="1">
        <f>8074*10000</f>
        <v>80740000</v>
      </c>
      <c r="BG297" s="8">
        <f t="shared" si="152"/>
        <v>0.71168115327538695</v>
      </c>
      <c r="BH297" s="7" t="s">
        <v>3948</v>
      </c>
      <c r="BI297" s="6" t="str">
        <f t="shared" si="153"/>
        <v>=4717*10000</v>
      </c>
      <c r="BJ297" s="1">
        <f>4717*10000</f>
        <v>47170000</v>
      </c>
      <c r="BK297" s="7" t="s">
        <v>3949</v>
      </c>
      <c r="BL297" s="1" t="str">
        <f t="shared" si="125"/>
        <v>=382.4*10000</v>
      </c>
      <c r="BM297" s="16">
        <f t="shared" si="154"/>
        <v>11.335251046025105</v>
      </c>
      <c r="BN297" s="1">
        <f>382.4*10000</f>
        <v>3824000</v>
      </c>
    </row>
    <row r="298" spans="1:66">
      <c r="A298" s="17">
        <v>75</v>
      </c>
      <c r="B298">
        <v>600258</v>
      </c>
      <c r="C298" t="s">
        <v>31</v>
      </c>
      <c r="D298" s="6" t="s">
        <v>3950</v>
      </c>
      <c r="E298" s="7" t="str">
        <f t="shared" si="124"/>
        <v>=61.53*100000000</v>
      </c>
      <c r="F298" s="1">
        <f>61.53*100000000</f>
        <v>6153000000</v>
      </c>
      <c r="G298" s="8">
        <f t="shared" si="126"/>
        <v>0.30194667795175623</v>
      </c>
      <c r="H298" s="6" t="s">
        <v>1323</v>
      </c>
      <c r="I298" s="6" t="str">
        <f t="shared" si="127"/>
        <v>=47.26*100000000</v>
      </c>
      <c r="J298" s="1">
        <f>47.26*100000000</f>
        <v>4726000000</v>
      </c>
      <c r="K298" s="10">
        <f t="shared" si="128"/>
        <v>0.5031806615776081</v>
      </c>
      <c r="L298" s="6" t="s">
        <v>3951</v>
      </c>
      <c r="M298" s="6" t="str">
        <f t="shared" si="129"/>
        <v>=31.44*100000000</v>
      </c>
      <c r="N298" s="1">
        <f>31.44*100000000</f>
        <v>3144000000</v>
      </c>
      <c r="O298" s="8">
        <f t="shared" si="130"/>
        <v>1.4736428009441385</v>
      </c>
      <c r="P298" s="6" t="s">
        <v>3952</v>
      </c>
      <c r="Q298" s="6" t="str">
        <f t="shared" si="131"/>
        <v>=12.71*100000000</v>
      </c>
      <c r="R298" s="11">
        <f>12.71*100000000</f>
        <v>1271000000</v>
      </c>
      <c r="S298" s="8">
        <f t="shared" si="132"/>
        <v>-0.75937145020825447</v>
      </c>
      <c r="T298" s="6" t="s">
        <v>3953</v>
      </c>
      <c r="U298" s="6" t="str">
        <f t="shared" si="133"/>
        <v>=52.82*100000000</v>
      </c>
      <c r="V298" s="1">
        <f>52.82*100000000</f>
        <v>5282000000</v>
      </c>
      <c r="W298" s="8">
        <f t="shared" si="134"/>
        <v>0.47706935123042504</v>
      </c>
      <c r="X298" s="6" t="s">
        <v>3954</v>
      </c>
      <c r="Y298" s="6" t="str">
        <f t="shared" si="135"/>
        <v>=35.76*100000000</v>
      </c>
      <c r="Z298" s="1">
        <f>35.76*100000000</f>
        <v>3576000000</v>
      </c>
      <c r="AA298" s="8">
        <f t="shared" si="136"/>
        <v>0.87815126050420167</v>
      </c>
      <c r="AB298" s="6" t="s">
        <v>3955</v>
      </c>
      <c r="AC298" s="6" t="str">
        <f t="shared" si="137"/>
        <v>=19.04*100000000</v>
      </c>
      <c r="AD298" s="1">
        <f>19.04*100000000</f>
        <v>1904000000</v>
      </c>
      <c r="AE298" s="8">
        <f t="shared" si="138"/>
        <v>1.3779193205944797</v>
      </c>
      <c r="AF298" s="6" t="s">
        <v>3956</v>
      </c>
      <c r="AG298" s="6" t="str">
        <f t="shared" si="139"/>
        <v>=8.007*100000000</v>
      </c>
      <c r="AH298" s="1">
        <f>8.007*100000000</f>
        <v>800700000</v>
      </c>
      <c r="AI298" s="8">
        <f t="shared" si="140"/>
        <v>-0.90365780291180364</v>
      </c>
      <c r="AJ298" s="6" t="s">
        <v>3957</v>
      </c>
      <c r="AK298" s="6" t="str">
        <f t="shared" si="141"/>
        <v>=83.11*100000000</v>
      </c>
      <c r="AL298" s="1">
        <f>83.11*100000000</f>
        <v>8311000000</v>
      </c>
      <c r="AM298" s="8">
        <f t="shared" si="142"/>
        <v>0.33381479698282779</v>
      </c>
      <c r="AN298" s="6" t="s">
        <v>2728</v>
      </c>
      <c r="AO298" s="6" t="str">
        <f t="shared" si="143"/>
        <v>=62.31*100000000</v>
      </c>
      <c r="AP298" s="1">
        <f>62.31*100000000</f>
        <v>6231000000</v>
      </c>
      <c r="AQ298" s="8">
        <f t="shared" si="144"/>
        <v>0.56165413533834585</v>
      </c>
      <c r="AR298" s="6" t="s">
        <v>3958</v>
      </c>
      <c r="AS298" s="6" t="str">
        <f t="shared" si="145"/>
        <v>=39.90*100000000</v>
      </c>
      <c r="AT298" s="1">
        <f>39.9*100000000</f>
        <v>3990000000</v>
      </c>
      <c r="AU298" s="8">
        <f t="shared" si="146"/>
        <v>1.0524691358024689</v>
      </c>
      <c r="AV298" s="6" t="s">
        <v>3959</v>
      </c>
      <c r="AW298" s="6" t="str">
        <f t="shared" si="147"/>
        <v>=19.44*100000000</v>
      </c>
      <c r="AX298" s="1">
        <f>19.44*100000000</f>
        <v>1944000000.0000002</v>
      </c>
      <c r="AY298" s="10">
        <f t="shared" si="148"/>
        <v>-0.77233868134441974</v>
      </c>
      <c r="AZ298" s="6" t="s">
        <v>3960</v>
      </c>
      <c r="BA298" s="6" t="str">
        <f t="shared" si="149"/>
        <v>=85.39*100000000</v>
      </c>
      <c r="BB298" s="1">
        <f>85.39*100000000</f>
        <v>8539000000</v>
      </c>
      <c r="BC298" s="8">
        <f t="shared" si="150"/>
        <v>0.34071282775945988</v>
      </c>
      <c r="BD298" s="6" t="s">
        <v>3961</v>
      </c>
      <c r="BE298" s="6" t="str">
        <f t="shared" si="151"/>
        <v>=63.69*100000000</v>
      </c>
      <c r="BF298" s="1">
        <f>63.69*100000000</f>
        <v>6369000000</v>
      </c>
      <c r="BG298" s="8">
        <f t="shared" si="152"/>
        <v>0.591454272863568</v>
      </c>
      <c r="BH298" s="6" t="s">
        <v>3962</v>
      </c>
      <c r="BI298" s="6" t="str">
        <f t="shared" si="153"/>
        <v>=40.02*100000000</v>
      </c>
      <c r="BJ298" s="1">
        <f>40.02*100000000</f>
        <v>4002000000.0000005</v>
      </c>
      <c r="BK298" s="6" t="s">
        <v>3963</v>
      </c>
      <c r="BL298" s="1" t="str">
        <f t="shared" si="125"/>
        <v>=19.24*100000000</v>
      </c>
      <c r="BM298" s="16">
        <f t="shared" si="154"/>
        <v>1.0800415800415806</v>
      </c>
      <c r="BN298" s="1">
        <f>19.24*100000000</f>
        <v>1923999999.9999998</v>
      </c>
    </row>
    <row r="299" spans="1:66">
      <c r="A299" s="18"/>
      <c r="B299">
        <v>600258</v>
      </c>
      <c r="C299" t="s">
        <v>48</v>
      </c>
      <c r="D299" s="7" t="s">
        <v>3964</v>
      </c>
      <c r="E299" s="7" t="str">
        <f t="shared" si="124"/>
        <v>=403.4*10000</v>
      </c>
      <c r="F299" s="1">
        <f>403.4*10000</f>
        <v>4034000</v>
      </c>
      <c r="G299" s="8">
        <f t="shared" si="126"/>
        <v>-0.97520590043023969</v>
      </c>
      <c r="H299" s="6" t="s">
        <v>3965</v>
      </c>
      <c r="I299" s="6" t="str">
        <f t="shared" si="127"/>
        <v>=1.627*100000000</v>
      </c>
      <c r="J299" s="1">
        <f>1.627*100000000</f>
        <v>162700000</v>
      </c>
      <c r="K299" s="10">
        <f t="shared" si="128"/>
        <v>0.6947916666666667</v>
      </c>
      <c r="L299" s="7" t="s">
        <v>3966</v>
      </c>
      <c r="M299" s="6" t="str">
        <f t="shared" si="129"/>
        <v>=9600*10000</v>
      </c>
      <c r="N299" s="1">
        <f>9600*10000</f>
        <v>96000000</v>
      </c>
      <c r="O299" s="8">
        <f t="shared" si="130"/>
        <v>-1.4387568555758683</v>
      </c>
      <c r="P299" s="6">
        <f>-2.188*100000000</f>
        <v>-218800000.00000003</v>
      </c>
      <c r="Q299" s="6" t="str">
        <f t="shared" si="131"/>
        <v>=-218800000</v>
      </c>
      <c r="R299" s="11">
        <f>-218800000</f>
        <v>-218800000</v>
      </c>
      <c r="S299" s="8">
        <f t="shared" si="132"/>
        <v>-0.61458516822265286</v>
      </c>
      <c r="T299" s="6">
        <f>-5.677*100000000</f>
        <v>-567700000</v>
      </c>
      <c r="U299" s="6" t="str">
        <f t="shared" si="133"/>
        <v>=-567700000</v>
      </c>
      <c r="V299" s="1">
        <f>-567700000</f>
        <v>-567700000</v>
      </c>
      <c r="W299" s="8">
        <f t="shared" si="134"/>
        <v>-0.15192709889453243</v>
      </c>
      <c r="X299" s="6">
        <f>-6.694*100000000</f>
        <v>-669400000</v>
      </c>
      <c r="Y299" s="6" t="str">
        <f t="shared" si="135"/>
        <v>=-669400000</v>
      </c>
      <c r="Z299" s="1">
        <f>-669400000</f>
        <v>-669400000</v>
      </c>
      <c r="AA299" s="8">
        <f t="shared" si="136"/>
        <v>-0.21597563832279223</v>
      </c>
      <c r="AB299" s="6">
        <f>-8.538*100000000</f>
        <v>-853800000</v>
      </c>
      <c r="AC299" s="6" t="str">
        <f t="shared" si="137"/>
        <v>=-853800000</v>
      </c>
      <c r="AD299" s="1">
        <f>-853800000</f>
        <v>-853800000</v>
      </c>
      <c r="AE299" s="8">
        <f t="shared" si="138"/>
        <v>0.33073566084788031</v>
      </c>
      <c r="AF299" s="6">
        <f>-6.416*100000000</f>
        <v>-641600000</v>
      </c>
      <c r="AG299" s="6" t="str">
        <f t="shared" si="139"/>
        <v>=-641600000</v>
      </c>
      <c r="AH299" s="1">
        <f>-641600000</f>
        <v>-641600000</v>
      </c>
      <c r="AI299" s="8">
        <f t="shared" si="140"/>
        <v>-1.5036106750392464</v>
      </c>
      <c r="AJ299" s="6" t="s">
        <v>1106</v>
      </c>
      <c r="AK299" s="6" t="str">
        <f t="shared" si="141"/>
        <v>=12.74*100000000</v>
      </c>
      <c r="AL299" s="1">
        <f>12.74*100000000</f>
        <v>1274000000</v>
      </c>
      <c r="AM299" s="8">
        <f t="shared" si="142"/>
        <v>0.22617901828681425</v>
      </c>
      <c r="AN299" s="6" t="s">
        <v>2056</v>
      </c>
      <c r="AO299" s="6" t="str">
        <f t="shared" si="143"/>
        <v>=10.39*100000000</v>
      </c>
      <c r="AP299" s="1">
        <f>10.39*100000000</f>
        <v>1039000000</v>
      </c>
      <c r="AQ299" s="8">
        <f t="shared" si="144"/>
        <v>0.86367713004484303</v>
      </c>
      <c r="AR299" s="6" t="s">
        <v>3967</v>
      </c>
      <c r="AS299" s="6" t="str">
        <f t="shared" si="145"/>
        <v>=5.575*100000000</v>
      </c>
      <c r="AT299" s="1">
        <f>5.575*100000000</f>
        <v>557500000</v>
      </c>
      <c r="AU299" s="8">
        <f t="shared" si="146"/>
        <v>2.5509554140127388</v>
      </c>
      <c r="AV299" s="6" t="s">
        <v>3968</v>
      </c>
      <c r="AW299" s="6" t="str">
        <f t="shared" si="147"/>
        <v>=1.570*100000000</v>
      </c>
      <c r="AX299" s="1">
        <f>1.57*100000000</f>
        <v>157000000</v>
      </c>
      <c r="AY299" s="10">
        <f t="shared" si="148"/>
        <v>-0.87743950039032004</v>
      </c>
      <c r="AZ299" s="6" t="s">
        <v>3969</v>
      </c>
      <c r="BA299" s="6" t="str">
        <f t="shared" si="149"/>
        <v>=12.81*100000000</v>
      </c>
      <c r="BB299" s="1">
        <f>12.81*100000000</f>
        <v>1281000000</v>
      </c>
      <c r="BC299" s="8">
        <f t="shared" si="150"/>
        <v>0.12171628721541156</v>
      </c>
      <c r="BD299" s="6" t="s">
        <v>3970</v>
      </c>
      <c r="BE299" s="6" t="str">
        <f t="shared" si="151"/>
        <v>=11.42*100000000</v>
      </c>
      <c r="BF299" s="1">
        <f>11.42*100000000</f>
        <v>1142000000</v>
      </c>
      <c r="BG299" s="8">
        <f t="shared" si="152"/>
        <v>1.1752380952380952</v>
      </c>
      <c r="BH299" s="6" t="s">
        <v>3971</v>
      </c>
      <c r="BI299" s="6" t="str">
        <f t="shared" si="153"/>
        <v>=5.250*100000000</v>
      </c>
      <c r="BJ299" s="1">
        <f>5.25*100000000</f>
        <v>525000000</v>
      </c>
      <c r="BK299" s="6" t="s">
        <v>3972</v>
      </c>
      <c r="BL299" s="1" t="str">
        <f t="shared" si="125"/>
        <v>=1.537*100000000</v>
      </c>
      <c r="BM299" s="16">
        <f t="shared" si="154"/>
        <v>2.4157449577098244</v>
      </c>
      <c r="BN299" s="1">
        <f>1.537*100000000</f>
        <v>153700000</v>
      </c>
    </row>
    <row r="300" spans="1:66">
      <c r="A300" s="18"/>
      <c r="B300">
        <v>600258</v>
      </c>
      <c r="C300" t="s">
        <v>58</v>
      </c>
      <c r="D300" s="7" t="s">
        <v>3973</v>
      </c>
      <c r="E300" s="7" t="str">
        <f t="shared" si="124"/>
        <v>=603.8*10000</v>
      </c>
      <c r="F300" s="1">
        <f>603.8*10000</f>
        <v>6038000</v>
      </c>
      <c r="G300" s="8">
        <f t="shared" si="126"/>
        <v>-0.96347247428917115</v>
      </c>
      <c r="H300" s="6" t="s">
        <v>2817</v>
      </c>
      <c r="I300" s="6" t="str">
        <f t="shared" si="127"/>
        <v>=1.653*100000000</v>
      </c>
      <c r="J300" s="1">
        <f>1.653*100000000</f>
        <v>165300000</v>
      </c>
      <c r="K300" s="10">
        <f t="shared" si="128"/>
        <v>0.68587455379908213</v>
      </c>
      <c r="L300" s="7" t="s">
        <v>3974</v>
      </c>
      <c r="M300" s="6" t="str">
        <f t="shared" si="129"/>
        <v>=9805*10000</v>
      </c>
      <c r="N300" s="1">
        <f>9805*10000</f>
        <v>98050000</v>
      </c>
      <c r="O300" s="8">
        <f t="shared" si="130"/>
        <v>-1.4510119595216191</v>
      </c>
      <c r="P300" s="6">
        <f>-2.174*100000000</f>
        <v>-217400000</v>
      </c>
      <c r="Q300" s="6" t="str">
        <f t="shared" si="131"/>
        <v>=-217400000</v>
      </c>
      <c r="R300" s="11">
        <f>-217400000</f>
        <v>-217400000</v>
      </c>
      <c r="S300" s="8">
        <f t="shared" si="132"/>
        <v>-0.62862999658353258</v>
      </c>
      <c r="T300" s="6">
        <f>-5.854*100000000</f>
        <v>-585400000</v>
      </c>
      <c r="U300" s="6" t="str">
        <f t="shared" si="133"/>
        <v>=-585400000</v>
      </c>
      <c r="V300" s="1">
        <f>-585400000</f>
        <v>-585400000</v>
      </c>
      <c r="W300" s="8">
        <f t="shared" si="134"/>
        <v>-0.13504728132387706</v>
      </c>
      <c r="X300" s="6">
        <f>-6.768*100000000</f>
        <v>-676800000</v>
      </c>
      <c r="Y300" s="6" t="str">
        <f t="shared" si="135"/>
        <v>=-676800000</v>
      </c>
      <c r="Z300" s="1">
        <f>-676800000</f>
        <v>-676800000</v>
      </c>
      <c r="AA300" s="8">
        <f t="shared" si="136"/>
        <v>-0.2142110762800418</v>
      </c>
      <c r="AB300" s="6">
        <f>-8.613*100000000</f>
        <v>-861300000</v>
      </c>
      <c r="AC300" s="6" t="str">
        <f t="shared" si="137"/>
        <v>=-861300000</v>
      </c>
      <c r="AD300" s="1">
        <f>-861300000</f>
        <v>-861300000</v>
      </c>
      <c r="AE300" s="8">
        <f t="shared" si="138"/>
        <v>0.34117097477421365</v>
      </c>
      <c r="AF300" s="6">
        <f>-6.422*100000000</f>
        <v>-642200000</v>
      </c>
      <c r="AG300" s="6" t="str">
        <f t="shared" si="139"/>
        <v>=-642200000</v>
      </c>
      <c r="AH300" s="1">
        <f>-642200000</f>
        <v>-642200000</v>
      </c>
      <c r="AI300" s="8">
        <f t="shared" si="140"/>
        <v>-1.5028974158183241</v>
      </c>
      <c r="AJ300" s="6" t="s">
        <v>3682</v>
      </c>
      <c r="AK300" s="6" t="str">
        <f t="shared" si="141"/>
        <v>=12.77*100000000</v>
      </c>
      <c r="AL300" s="1">
        <f>12.77*100000000</f>
        <v>1277000000</v>
      </c>
      <c r="AM300" s="8">
        <f t="shared" si="142"/>
        <v>0.23143683702989407</v>
      </c>
      <c r="AN300" s="6" t="s">
        <v>2962</v>
      </c>
      <c r="AO300" s="6" t="str">
        <f t="shared" si="143"/>
        <v>=10.37*100000000</v>
      </c>
      <c r="AP300" s="1">
        <f>10.37*100000000</f>
        <v>1036999999.9999999</v>
      </c>
      <c r="AQ300" s="8">
        <f t="shared" si="144"/>
        <v>0.86142523783880787</v>
      </c>
      <c r="AR300" s="6" t="s">
        <v>3975</v>
      </c>
      <c r="AS300" s="6" t="str">
        <f t="shared" si="145"/>
        <v>=5.571*100000000</v>
      </c>
      <c r="AT300" s="1">
        <f>5.571*100000000</f>
        <v>557100000</v>
      </c>
      <c r="AU300" s="8">
        <f t="shared" si="146"/>
        <v>2.5281823939202028</v>
      </c>
      <c r="AV300" s="6" t="s">
        <v>1716</v>
      </c>
      <c r="AW300" s="6" t="str">
        <f t="shared" si="147"/>
        <v>=1.579*100000000</v>
      </c>
      <c r="AX300" s="1">
        <f>1.579*100000000</f>
        <v>157900000</v>
      </c>
      <c r="AY300" s="10">
        <f t="shared" si="148"/>
        <v>-0.87721617418351483</v>
      </c>
      <c r="AZ300" s="6" t="s">
        <v>1682</v>
      </c>
      <c r="BA300" s="6" t="str">
        <f t="shared" si="149"/>
        <v>=12.86*100000000</v>
      </c>
      <c r="BB300" s="1">
        <f>12.86*100000000</f>
        <v>1286000000</v>
      </c>
      <c r="BC300" s="8">
        <f t="shared" si="150"/>
        <v>0.11245674740484429</v>
      </c>
      <c r="BD300" s="6" t="s">
        <v>3976</v>
      </c>
      <c r="BE300" s="6" t="str">
        <f t="shared" si="151"/>
        <v>=11.56*100000000</v>
      </c>
      <c r="BF300" s="1">
        <f>11.56*100000000</f>
        <v>1156000000</v>
      </c>
      <c r="BG300" s="8">
        <f t="shared" si="152"/>
        <v>1.1973008933662801</v>
      </c>
      <c r="BH300" s="6" t="s">
        <v>3977</v>
      </c>
      <c r="BI300" s="6" t="str">
        <f t="shared" si="153"/>
        <v>=5.261*100000000</v>
      </c>
      <c r="BJ300" s="1">
        <f>5.261*100000000</f>
        <v>526100000</v>
      </c>
      <c r="BK300" s="6" t="s">
        <v>3978</v>
      </c>
      <c r="BL300" s="1" t="str">
        <f t="shared" si="125"/>
        <v>=1.554*100000000</v>
      </c>
      <c r="BM300" s="16">
        <f t="shared" si="154"/>
        <v>2.3854568854568856</v>
      </c>
      <c r="BN300" s="1">
        <f>1.554*100000000</f>
        <v>155400000</v>
      </c>
    </row>
    <row r="301" spans="1:66">
      <c r="A301" s="19"/>
      <c r="B301">
        <v>600258</v>
      </c>
      <c r="C301" t="s">
        <v>68</v>
      </c>
      <c r="D301" s="7" t="s">
        <v>3979</v>
      </c>
      <c r="E301" s="7" t="str">
        <f t="shared" si="124"/>
        <v>=1011*10000</v>
      </c>
      <c r="F301" s="1">
        <f>1011*10000</f>
        <v>10110000</v>
      </c>
      <c r="G301" s="8">
        <f t="shared" si="126"/>
        <v>-0.90380589914367271</v>
      </c>
      <c r="H301" s="6" t="s">
        <v>3980</v>
      </c>
      <c r="I301" s="6" t="str">
        <f t="shared" si="127"/>
        <v>=1.051*100000000</v>
      </c>
      <c r="J301" s="1">
        <f>1.051*100000000</f>
        <v>105100000</v>
      </c>
      <c r="K301" s="10">
        <f t="shared" si="128"/>
        <v>0.69461464043856824</v>
      </c>
      <c r="L301" s="7" t="s">
        <v>3981</v>
      </c>
      <c r="M301" s="6" t="str">
        <f t="shared" si="129"/>
        <v>=6202*10000</v>
      </c>
      <c r="N301" s="1">
        <f>6202*10000</f>
        <v>62020000</v>
      </c>
      <c r="O301" s="8">
        <f t="shared" si="130"/>
        <v>-1.3230208333333333</v>
      </c>
      <c r="P301" s="6">
        <f>-1.92*100000000</f>
        <v>-192000000</v>
      </c>
      <c r="Q301" s="6" t="str">
        <f t="shared" si="131"/>
        <v>=-192000000</v>
      </c>
      <c r="R301" s="11">
        <f>-192000000</f>
        <v>-192000000</v>
      </c>
      <c r="S301" s="8">
        <f t="shared" si="132"/>
        <v>-0.63848616079834308</v>
      </c>
      <c r="T301" s="6">
        <f>-5.311*100000000</f>
        <v>-531100000</v>
      </c>
      <c r="U301" s="6" t="str">
        <f t="shared" si="133"/>
        <v>=-531100000</v>
      </c>
      <c r="V301" s="1">
        <f>-531100000</f>
        <v>-531100000</v>
      </c>
      <c r="W301" s="8">
        <f t="shared" si="134"/>
        <v>-9.2602084401161799E-2</v>
      </c>
      <c r="X301" s="6">
        <f>-5.853*100000000</f>
        <v>-585300000</v>
      </c>
      <c r="Y301" s="6" t="str">
        <f t="shared" si="135"/>
        <v>=-585300000</v>
      </c>
      <c r="Z301" s="1">
        <f>-585300000</f>
        <v>-585300000</v>
      </c>
      <c r="AA301" s="8">
        <f t="shared" si="136"/>
        <v>-0.18809821057012069</v>
      </c>
      <c r="AB301" s="6">
        <f>-7.209*100000000</f>
        <v>-720900000</v>
      </c>
      <c r="AC301" s="6" t="str">
        <f t="shared" si="137"/>
        <v>=-720900000</v>
      </c>
      <c r="AD301" s="1">
        <f>-720900000</f>
        <v>-720900000</v>
      </c>
      <c r="AE301" s="8">
        <f t="shared" si="138"/>
        <v>0.33351831298557161</v>
      </c>
      <c r="AF301" s="6">
        <f>-5.406*100000000</f>
        <v>-540600000</v>
      </c>
      <c r="AG301" s="6" t="str">
        <f t="shared" si="139"/>
        <v>=-540600000</v>
      </c>
      <c r="AH301" s="1">
        <f>-540600000</f>
        <v>-540600000</v>
      </c>
      <c r="AI301" s="8">
        <f t="shared" si="140"/>
        <v>-1.5880561296638747</v>
      </c>
      <c r="AJ301" s="6" t="s">
        <v>3982</v>
      </c>
      <c r="AK301" s="6" t="str">
        <f t="shared" si="141"/>
        <v>=9.193*100000000</v>
      </c>
      <c r="AL301" s="1">
        <f>9.193*100000000</f>
        <v>919300000</v>
      </c>
      <c r="AM301" s="8">
        <f t="shared" si="142"/>
        <v>0.23065595716198126</v>
      </c>
      <c r="AN301" s="6" t="s">
        <v>3983</v>
      </c>
      <c r="AO301" s="6" t="str">
        <f t="shared" si="143"/>
        <v>=7.470*100000000</v>
      </c>
      <c r="AP301" s="1">
        <f>7.47*100000000</f>
        <v>747000000</v>
      </c>
      <c r="AQ301" s="8">
        <f t="shared" si="144"/>
        <v>0.8854114083796063</v>
      </c>
      <c r="AR301" s="6" t="s">
        <v>3984</v>
      </c>
      <c r="AS301" s="6" t="str">
        <f t="shared" si="145"/>
        <v>=3.962*100000000</v>
      </c>
      <c r="AT301" s="1">
        <f>3.962*100000000</f>
        <v>396200000</v>
      </c>
      <c r="AU301" s="8">
        <f t="shared" si="146"/>
        <v>3.0296989422294547</v>
      </c>
      <c r="AV301" s="7" t="s">
        <v>3985</v>
      </c>
      <c r="AW301" s="6" t="str">
        <f t="shared" si="147"/>
        <v>=9832*10000</v>
      </c>
      <c r="AX301" s="1">
        <f>9832*10000</f>
        <v>98320000</v>
      </c>
      <c r="AY301" s="10">
        <f t="shared" si="148"/>
        <v>-0.88981284321416565</v>
      </c>
      <c r="AZ301" s="6" t="s">
        <v>3986</v>
      </c>
      <c r="BA301" s="6" t="str">
        <f t="shared" si="149"/>
        <v>=8.923*100000000</v>
      </c>
      <c r="BB301" s="1">
        <f>8.923*100000000</f>
        <v>892300000</v>
      </c>
      <c r="BC301" s="8">
        <f t="shared" si="150"/>
        <v>7.1445725264169216E-2</v>
      </c>
      <c r="BD301" s="6" t="s">
        <v>3987</v>
      </c>
      <c r="BE301" s="6" t="str">
        <f t="shared" si="151"/>
        <v>=8.328*100000000</v>
      </c>
      <c r="BF301" s="1">
        <f>8.328*100000000</f>
        <v>832799999.99999988</v>
      </c>
      <c r="BG301" s="8">
        <f t="shared" si="152"/>
        <v>1.2661224489795915</v>
      </c>
      <c r="BH301" s="6" t="s">
        <v>3988</v>
      </c>
      <c r="BI301" s="6" t="str">
        <f t="shared" si="153"/>
        <v>=3.675*100000000</v>
      </c>
      <c r="BJ301" s="1">
        <f>3.675*100000000</f>
        <v>367500000</v>
      </c>
      <c r="BK301" s="7" t="s">
        <v>3989</v>
      </c>
      <c r="BL301" s="1" t="str">
        <f t="shared" si="125"/>
        <v>=9550*10000</v>
      </c>
      <c r="BM301" s="16">
        <f t="shared" si="154"/>
        <v>2.8481675392670156</v>
      </c>
      <c r="BN301" s="1">
        <f>9550*10000</f>
        <v>95500000</v>
      </c>
    </row>
    <row r="302" spans="1:66">
      <c r="A302" s="17">
        <v>76</v>
      </c>
      <c r="B302">
        <v>600267</v>
      </c>
      <c r="C302" t="s">
        <v>31</v>
      </c>
      <c r="D302" s="6" t="s">
        <v>3990</v>
      </c>
      <c r="E302" s="7" t="str">
        <f t="shared" si="124"/>
        <v>=121.4*100000000</v>
      </c>
      <c r="F302" s="1">
        <f>121.4*100000000</f>
        <v>12140000000</v>
      </c>
      <c r="G302" s="8">
        <f t="shared" si="126"/>
        <v>0.33304051828263975</v>
      </c>
      <c r="H302" s="6" t="s">
        <v>3991</v>
      </c>
      <c r="I302" s="6" t="str">
        <f t="shared" si="127"/>
        <v>=91.07*100000000</v>
      </c>
      <c r="J302" s="1">
        <f>91.07*100000000</f>
        <v>9107000000</v>
      </c>
      <c r="K302" s="10">
        <f t="shared" si="128"/>
        <v>0.51682211858760829</v>
      </c>
      <c r="L302" s="6" t="s">
        <v>1790</v>
      </c>
      <c r="M302" s="6" t="str">
        <f t="shared" si="129"/>
        <v>=60.04*100000000</v>
      </c>
      <c r="N302" s="1">
        <f>60.04*100000000</f>
        <v>6004000000</v>
      </c>
      <c r="O302" s="8">
        <f t="shared" si="130"/>
        <v>0.9569752281616688</v>
      </c>
      <c r="P302" s="6" t="s">
        <v>3992</v>
      </c>
      <c r="Q302" s="6" t="str">
        <f t="shared" si="131"/>
        <v>=30.68*100000000</v>
      </c>
      <c r="R302" s="11">
        <f>30.68*100000000</f>
        <v>3068000000</v>
      </c>
      <c r="S302" s="8">
        <f t="shared" si="132"/>
        <v>-0.72969162995594716</v>
      </c>
      <c r="T302" s="6" t="s">
        <v>3993</v>
      </c>
      <c r="U302" s="6" t="str">
        <f t="shared" si="133"/>
        <v>=113.5*100000000</v>
      </c>
      <c r="V302" s="1">
        <f>113.5*100000000</f>
        <v>11350000000</v>
      </c>
      <c r="W302" s="8">
        <f t="shared" si="134"/>
        <v>0.39195486877606067</v>
      </c>
      <c r="X302" s="6" t="s">
        <v>3994</v>
      </c>
      <c r="Y302" s="6" t="str">
        <f t="shared" si="135"/>
        <v>=81.54*100000000</v>
      </c>
      <c r="Z302" s="1">
        <f>81.54*100000000</f>
        <v>8154000000.000001</v>
      </c>
      <c r="AA302" s="8">
        <f t="shared" si="136"/>
        <v>0.53328318916886064</v>
      </c>
      <c r="AB302" s="6" t="s">
        <v>1320</v>
      </c>
      <c r="AC302" s="6" t="str">
        <f t="shared" si="137"/>
        <v>=53.18*100000000</v>
      </c>
      <c r="AD302" s="1">
        <f>53.18*100000000</f>
        <v>5318000000</v>
      </c>
      <c r="AE302" s="8">
        <f t="shared" si="138"/>
        <v>1.1280512204881952</v>
      </c>
      <c r="AF302" s="6" t="s">
        <v>3995</v>
      </c>
      <c r="AG302" s="6" t="str">
        <f t="shared" si="139"/>
        <v>=24.99*100000000</v>
      </c>
      <c r="AH302" s="1">
        <f>24.99*100000000</f>
        <v>2499000000</v>
      </c>
      <c r="AI302" s="8">
        <f t="shared" si="140"/>
        <v>-0.77425474254742543</v>
      </c>
      <c r="AJ302" s="6" t="s">
        <v>3996</v>
      </c>
      <c r="AK302" s="6" t="str">
        <f t="shared" si="141"/>
        <v>=110.7*100000000</v>
      </c>
      <c r="AL302" s="1">
        <f>110.7*100000000</f>
        <v>11070000000</v>
      </c>
      <c r="AM302" s="8">
        <f t="shared" si="142"/>
        <v>0.33180943214629449</v>
      </c>
      <c r="AN302" s="6" t="s">
        <v>3997</v>
      </c>
      <c r="AO302" s="6" t="str">
        <f t="shared" si="143"/>
        <v>=83.12*100000000</v>
      </c>
      <c r="AP302" s="1">
        <f>83.12*100000000</f>
        <v>8312000000</v>
      </c>
      <c r="AQ302" s="8">
        <f t="shared" si="144"/>
        <v>0.46699611719025769</v>
      </c>
      <c r="AR302" s="6" t="s">
        <v>3998</v>
      </c>
      <c r="AS302" s="6" t="str">
        <f t="shared" si="145"/>
        <v>=56.66*100000000</v>
      </c>
      <c r="AT302" s="1">
        <f>56.66*100000000</f>
        <v>5666000000</v>
      </c>
      <c r="AU302" s="8">
        <f t="shared" si="146"/>
        <v>1.0250178699070764</v>
      </c>
      <c r="AV302" s="6" t="s">
        <v>887</v>
      </c>
      <c r="AW302" s="6" t="str">
        <f t="shared" si="147"/>
        <v>=27.98*100000000</v>
      </c>
      <c r="AX302" s="1">
        <f>27.98*100000000</f>
        <v>2798000000</v>
      </c>
      <c r="AY302" s="10">
        <f t="shared" si="148"/>
        <v>-0.7254170755642787</v>
      </c>
      <c r="AZ302" s="6" t="s">
        <v>3999</v>
      </c>
      <c r="BA302" s="6" t="str">
        <f t="shared" si="149"/>
        <v>=101.9*100000000</v>
      </c>
      <c r="BB302" s="1">
        <f>101.9*100000000</f>
        <v>10190000000</v>
      </c>
      <c r="BC302" s="8">
        <f t="shared" si="150"/>
        <v>0.30557335041639977</v>
      </c>
      <c r="BD302" s="6" t="s">
        <v>4000</v>
      </c>
      <c r="BE302" s="6" t="str">
        <f t="shared" si="151"/>
        <v>=78.05*100000000</v>
      </c>
      <c r="BF302" s="1">
        <f>78.05*100000000</f>
        <v>7805000000</v>
      </c>
      <c r="BG302" s="8">
        <f t="shared" si="152"/>
        <v>0.4640780341399362</v>
      </c>
      <c r="BH302" s="6" t="s">
        <v>4001</v>
      </c>
      <c r="BI302" s="6" t="str">
        <f t="shared" si="153"/>
        <v>=53.31*100000000</v>
      </c>
      <c r="BJ302" s="1">
        <f>53.31*100000000</f>
        <v>5331000000</v>
      </c>
      <c r="BK302" s="6" t="s">
        <v>4002</v>
      </c>
      <c r="BL302" s="1" t="str">
        <f t="shared" si="125"/>
        <v>=28.22*100000000</v>
      </c>
      <c r="BM302" s="16">
        <f t="shared" si="154"/>
        <v>0.88908575478384122</v>
      </c>
      <c r="BN302" s="1">
        <f>28.22*100000000</f>
        <v>2822000000</v>
      </c>
    </row>
    <row r="303" spans="1:66">
      <c r="A303" s="18"/>
      <c r="B303">
        <v>600267</v>
      </c>
      <c r="C303" t="s">
        <v>48</v>
      </c>
      <c r="D303" s="6" t="s">
        <v>4003</v>
      </c>
      <c r="E303" s="7" t="str">
        <f t="shared" si="124"/>
        <v>=7.001*100000000</v>
      </c>
      <c r="F303" s="1">
        <f>7.001*100000000</f>
        <v>700100000</v>
      </c>
      <c r="G303" s="8">
        <f t="shared" si="126"/>
        <v>0.11285964075663646</v>
      </c>
      <c r="H303" s="6" t="s">
        <v>4004</v>
      </c>
      <c r="I303" s="6" t="str">
        <f t="shared" si="127"/>
        <v>=6.291*100000000</v>
      </c>
      <c r="J303" s="1">
        <f>6.291*100000000</f>
        <v>629100000</v>
      </c>
      <c r="K303" s="10">
        <f t="shared" si="128"/>
        <v>0.62642192347466386</v>
      </c>
      <c r="L303" s="6" t="s">
        <v>4005</v>
      </c>
      <c r="M303" s="6" t="str">
        <f t="shared" si="129"/>
        <v>=3.868*100000000</v>
      </c>
      <c r="N303" s="1">
        <f>3.868*100000000</f>
        <v>386800000</v>
      </c>
      <c r="O303" s="8">
        <f t="shared" si="130"/>
        <v>0.64246284501061568</v>
      </c>
      <c r="P303" s="6" t="s">
        <v>4006</v>
      </c>
      <c r="Q303" s="6" t="str">
        <f t="shared" si="131"/>
        <v>=2.355*100000000</v>
      </c>
      <c r="R303" s="11">
        <f>2.355*100000000</f>
        <v>235500000</v>
      </c>
      <c r="S303" s="8">
        <f t="shared" si="132"/>
        <v>-0.69687218432230658</v>
      </c>
      <c r="T303" s="6" t="s">
        <v>4007</v>
      </c>
      <c r="U303" s="6" t="str">
        <f t="shared" si="133"/>
        <v>=7.769*100000000</v>
      </c>
      <c r="V303" s="1">
        <f>7.769*100000000</f>
        <v>776900000</v>
      </c>
      <c r="W303" s="8">
        <f t="shared" si="134"/>
        <v>0.29375520399666943</v>
      </c>
      <c r="X303" s="6" t="s">
        <v>4008</v>
      </c>
      <c r="Y303" s="6" t="str">
        <f t="shared" si="135"/>
        <v>=6.005*100000000</v>
      </c>
      <c r="Z303" s="1">
        <f>6.005*100000000</f>
        <v>600500000</v>
      </c>
      <c r="AA303" s="8">
        <f t="shared" si="136"/>
        <v>0.13666477380276346</v>
      </c>
      <c r="AB303" s="6" t="s">
        <v>4009</v>
      </c>
      <c r="AC303" s="6" t="str">
        <f t="shared" si="137"/>
        <v>=5.283*100000000</v>
      </c>
      <c r="AD303" s="1">
        <f>5.283*100000000</f>
        <v>528300000.00000006</v>
      </c>
      <c r="AE303" s="8">
        <f t="shared" si="138"/>
        <v>4.2049261083743854</v>
      </c>
      <c r="AF303" s="6" t="s">
        <v>4010</v>
      </c>
      <c r="AG303" s="6" t="str">
        <f t="shared" si="139"/>
        <v>=1.015*100000000</v>
      </c>
      <c r="AH303" s="1">
        <f>1.015*100000000</f>
        <v>101499999.99999999</v>
      </c>
      <c r="AI303" s="8">
        <f t="shared" si="140"/>
        <v>-0.80514494144749471</v>
      </c>
      <c r="AJ303" s="6" t="s">
        <v>4011</v>
      </c>
      <c r="AK303" s="6" t="str">
        <f t="shared" si="141"/>
        <v>=5.209*100000000</v>
      </c>
      <c r="AL303" s="1">
        <f>5.209*100000000</f>
        <v>520899999.99999994</v>
      </c>
      <c r="AM303" s="8">
        <f t="shared" si="142"/>
        <v>-0.67964329643296439</v>
      </c>
      <c r="AN303" s="6" t="s">
        <v>4012</v>
      </c>
      <c r="AO303" s="6" t="str">
        <f t="shared" si="143"/>
        <v>=16.26*100000000</v>
      </c>
      <c r="AP303" s="1">
        <f>16.26*100000000</f>
        <v>1626000000.0000002</v>
      </c>
      <c r="AQ303" s="8">
        <f t="shared" si="144"/>
        <v>3.8755622188905554</v>
      </c>
      <c r="AR303" s="6" t="s">
        <v>1749</v>
      </c>
      <c r="AS303" s="6" t="str">
        <f t="shared" si="145"/>
        <v>=3.335*100000000</v>
      </c>
      <c r="AT303" s="1">
        <f>3.335*100000000</f>
        <v>333500000</v>
      </c>
      <c r="AU303" s="8">
        <f t="shared" si="146"/>
        <v>0.55116279069767438</v>
      </c>
      <c r="AV303" s="6" t="s">
        <v>4013</v>
      </c>
      <c r="AW303" s="6" t="str">
        <f t="shared" si="147"/>
        <v>=2.150*100000000</v>
      </c>
      <c r="AX303" s="1">
        <f>2.15*100000000</f>
        <v>215000000</v>
      </c>
      <c r="AY303" s="10">
        <f t="shared" si="148"/>
        <v>-3.087378640776699</v>
      </c>
      <c r="AZ303" s="6">
        <f>-1.03*100000000</f>
        <v>-103000000</v>
      </c>
      <c r="BA303" s="6" t="str">
        <f t="shared" si="149"/>
        <v>=-103000000</v>
      </c>
      <c r="BB303" s="1">
        <f>-103000000</f>
        <v>-103000000</v>
      </c>
      <c r="BC303" s="8">
        <f t="shared" si="150"/>
        <v>-1.3065476190476191</v>
      </c>
      <c r="BD303" s="6" t="s">
        <v>4014</v>
      </c>
      <c r="BE303" s="6" t="str">
        <f t="shared" si="151"/>
        <v>=3.360*100000000</v>
      </c>
      <c r="BF303" s="1">
        <f>3.36*100000000</f>
        <v>336000000</v>
      </c>
      <c r="BG303" s="8">
        <f t="shared" si="152"/>
        <v>7.5888568683957727E-2</v>
      </c>
      <c r="BH303" s="6" t="s">
        <v>4015</v>
      </c>
      <c r="BI303" s="6" t="str">
        <f t="shared" si="153"/>
        <v>=3.123*100000000</v>
      </c>
      <c r="BJ303" s="1">
        <f>3.123*100000000</f>
        <v>312300000</v>
      </c>
      <c r="BK303" s="6" t="s">
        <v>1994</v>
      </c>
      <c r="BL303" s="1" t="str">
        <f t="shared" si="125"/>
        <v>=1.481*100000000</v>
      </c>
      <c r="BM303" s="16">
        <f t="shared" si="154"/>
        <v>1.1087103308575288</v>
      </c>
      <c r="BN303" s="1">
        <f>1.481*100000000</f>
        <v>148100000</v>
      </c>
    </row>
    <row r="304" spans="1:66">
      <c r="A304" s="18"/>
      <c r="B304">
        <v>600267</v>
      </c>
      <c r="C304" t="s">
        <v>58</v>
      </c>
      <c r="D304" s="6" t="s">
        <v>4016</v>
      </c>
      <c r="E304" s="7" t="str">
        <f t="shared" si="124"/>
        <v>=6.442*100000000</v>
      </c>
      <c r="F304" s="1">
        <f>6.442*100000000</f>
        <v>644200000</v>
      </c>
      <c r="G304" s="8">
        <f t="shared" si="126"/>
        <v>1.1144247370899387E-2</v>
      </c>
      <c r="H304" s="6" t="s">
        <v>4017</v>
      </c>
      <c r="I304" s="6" t="str">
        <f t="shared" si="127"/>
        <v>=6.371*100000000</v>
      </c>
      <c r="J304" s="1">
        <f>6.371*100000000</f>
        <v>637100000</v>
      </c>
      <c r="K304" s="10">
        <f t="shared" si="128"/>
        <v>0.6441290322580645</v>
      </c>
      <c r="L304" s="6" t="s">
        <v>919</v>
      </c>
      <c r="M304" s="6" t="str">
        <f t="shared" si="129"/>
        <v>=3.875*100000000</v>
      </c>
      <c r="N304" s="1">
        <f>3.875*100000000</f>
        <v>387500000</v>
      </c>
      <c r="O304" s="8">
        <f t="shared" si="130"/>
        <v>0.66166380789022317</v>
      </c>
      <c r="P304" s="6" t="s">
        <v>4018</v>
      </c>
      <c r="Q304" s="6" t="str">
        <f t="shared" si="131"/>
        <v>=2.332*100000000</v>
      </c>
      <c r="R304" s="11">
        <f>2.332*100000000</f>
        <v>233199999.99999997</v>
      </c>
      <c r="S304" s="8">
        <f t="shared" si="132"/>
        <v>-0.74206393098108614</v>
      </c>
      <c r="T304" s="6" t="s">
        <v>4019</v>
      </c>
      <c r="U304" s="6" t="str">
        <f t="shared" si="133"/>
        <v>=9.041*100000000</v>
      </c>
      <c r="V304" s="1">
        <f>9.041*100000000</f>
        <v>904100000</v>
      </c>
      <c r="W304" s="8">
        <f t="shared" si="134"/>
        <v>0.24394606494221244</v>
      </c>
      <c r="X304" s="6" t="s">
        <v>1508</v>
      </c>
      <c r="Y304" s="6" t="str">
        <f t="shared" si="135"/>
        <v>=7.268*100000000</v>
      </c>
      <c r="Z304" s="1">
        <f>7.268*100000000</f>
        <v>726800000</v>
      </c>
      <c r="AA304" s="8">
        <f t="shared" si="136"/>
        <v>0.41153622062536416</v>
      </c>
      <c r="AB304" s="6" t="s">
        <v>4020</v>
      </c>
      <c r="AC304" s="6" t="str">
        <f t="shared" si="137"/>
        <v>=5.149*100000000</v>
      </c>
      <c r="AD304" s="1">
        <f>5.149*100000000</f>
        <v>514900000</v>
      </c>
      <c r="AE304" s="8">
        <f t="shared" si="138"/>
        <v>4.2439148589469395</v>
      </c>
      <c r="AF304" s="7" t="s">
        <v>4021</v>
      </c>
      <c r="AG304" s="6" t="str">
        <f t="shared" si="139"/>
        <v>=9819*10000</v>
      </c>
      <c r="AH304" s="1">
        <f>9819*10000</f>
        <v>98190000</v>
      </c>
      <c r="AI304" s="8">
        <f t="shared" si="140"/>
        <v>-0.80636955235653718</v>
      </c>
      <c r="AJ304" s="6" t="s">
        <v>4022</v>
      </c>
      <c r="AK304" s="6" t="str">
        <f t="shared" si="141"/>
        <v>=5.071*100000000</v>
      </c>
      <c r="AL304" s="1">
        <f>5.071*100000000</f>
        <v>507100000</v>
      </c>
      <c r="AM304" s="8">
        <f t="shared" si="142"/>
        <v>-0.68697530864197531</v>
      </c>
      <c r="AN304" s="6" t="s">
        <v>2453</v>
      </c>
      <c r="AO304" s="6" t="str">
        <f t="shared" si="143"/>
        <v>=16.20*100000000</v>
      </c>
      <c r="AP304" s="1">
        <f>16.2*100000000</f>
        <v>1620000000</v>
      </c>
      <c r="AQ304" s="8">
        <f t="shared" si="144"/>
        <v>3.8883524441762223</v>
      </c>
      <c r="AR304" s="6" t="s">
        <v>4023</v>
      </c>
      <c r="AS304" s="6" t="str">
        <f t="shared" si="145"/>
        <v>=3.314*100000000</v>
      </c>
      <c r="AT304" s="1">
        <f>3.314*100000000</f>
        <v>331400000</v>
      </c>
      <c r="AU304" s="8">
        <f t="shared" si="146"/>
        <v>0.55952941176470583</v>
      </c>
      <c r="AV304" s="6" t="s">
        <v>4024</v>
      </c>
      <c r="AW304" s="6" t="str">
        <f t="shared" si="147"/>
        <v>=2.125*100000000</v>
      </c>
      <c r="AX304" s="1">
        <f>2.125*100000000</f>
        <v>212500000</v>
      </c>
      <c r="AY304" s="10">
        <f t="shared" si="148"/>
        <v>-2.8922528940338381</v>
      </c>
      <c r="AZ304" s="6">
        <f>-1.123*100000000</f>
        <v>-112300000</v>
      </c>
      <c r="BA304" s="6" t="str">
        <f t="shared" si="149"/>
        <v>=-112300000</v>
      </c>
      <c r="BB304" s="1">
        <f>-112300000</f>
        <v>-112300000</v>
      </c>
      <c r="BC304" s="8">
        <f t="shared" si="150"/>
        <v>-1.3255072463768116</v>
      </c>
      <c r="BD304" s="6" t="s">
        <v>4025</v>
      </c>
      <c r="BE304" s="6" t="str">
        <f t="shared" si="151"/>
        <v>=3.450*100000000</v>
      </c>
      <c r="BF304" s="1">
        <f>3.45*100000000</f>
        <v>345000000</v>
      </c>
      <c r="BG304" s="8">
        <f t="shared" si="152"/>
        <v>9.6979332273449917E-2</v>
      </c>
      <c r="BH304" s="6" t="s">
        <v>4026</v>
      </c>
      <c r="BI304" s="6" t="str">
        <f t="shared" si="153"/>
        <v>=3.145*100000000</v>
      </c>
      <c r="BJ304" s="1">
        <f>3.145*100000000</f>
        <v>314500000</v>
      </c>
      <c r="BK304" s="6" t="s">
        <v>4027</v>
      </c>
      <c r="BL304" s="1" t="str">
        <f t="shared" si="125"/>
        <v>=1.515*100000000</v>
      </c>
      <c r="BM304" s="16">
        <f t="shared" si="154"/>
        <v>1.0759075907590758</v>
      </c>
      <c r="BN304" s="1">
        <f>1.515*100000000</f>
        <v>151500000</v>
      </c>
    </row>
    <row r="305" spans="1:66">
      <c r="A305" s="19"/>
      <c r="B305">
        <v>600267</v>
      </c>
      <c r="C305" t="s">
        <v>68</v>
      </c>
      <c r="D305" s="6" t="s">
        <v>2993</v>
      </c>
      <c r="E305" s="7" t="str">
        <f t="shared" si="124"/>
        <v>=5.106*100000000</v>
      </c>
      <c r="F305" s="1">
        <f>5.106*100000000</f>
        <v>510600000</v>
      </c>
      <c r="G305" s="8">
        <f t="shared" si="126"/>
        <v>-8.3467959073774911E-2</v>
      </c>
      <c r="H305" s="6" t="s">
        <v>3975</v>
      </c>
      <c r="I305" s="6" t="str">
        <f t="shared" si="127"/>
        <v>=5.571*100000000</v>
      </c>
      <c r="J305" s="1">
        <f>5.571*100000000</f>
        <v>557100000</v>
      </c>
      <c r="K305" s="10">
        <f t="shared" si="128"/>
        <v>0.64045936395759717</v>
      </c>
      <c r="L305" s="6" t="s">
        <v>4028</v>
      </c>
      <c r="M305" s="6" t="str">
        <f t="shared" si="129"/>
        <v>=3.396*100000000</v>
      </c>
      <c r="N305" s="1">
        <f>3.396*100000000</f>
        <v>339600000</v>
      </c>
      <c r="O305" s="8">
        <f t="shared" si="130"/>
        <v>0.80830670926517567</v>
      </c>
      <c r="P305" s="6" t="s">
        <v>4029</v>
      </c>
      <c r="Q305" s="6" t="str">
        <f t="shared" si="131"/>
        <v>=1.878*100000000</v>
      </c>
      <c r="R305" s="11">
        <f>1.878*100000000</f>
        <v>187800000</v>
      </c>
      <c r="S305" s="8">
        <f t="shared" si="132"/>
        <v>-0.74032079646017701</v>
      </c>
      <c r="T305" s="6" t="s">
        <v>2845</v>
      </c>
      <c r="U305" s="6" t="str">
        <f t="shared" si="133"/>
        <v>=7.232*100000000</v>
      </c>
      <c r="V305" s="1">
        <f>7.232*100000000</f>
        <v>723200000</v>
      </c>
      <c r="W305" s="8">
        <f t="shared" si="134"/>
        <v>0.21179624664879357</v>
      </c>
      <c r="X305" s="6" t="s">
        <v>4030</v>
      </c>
      <c r="Y305" s="6" t="str">
        <f t="shared" si="135"/>
        <v>=5.968*100000000</v>
      </c>
      <c r="Z305" s="1">
        <f>5.968*100000000</f>
        <v>596800000</v>
      </c>
      <c r="AA305" s="8">
        <f t="shared" si="136"/>
        <v>0.42638623326959846</v>
      </c>
      <c r="AB305" s="6" t="s">
        <v>4031</v>
      </c>
      <c r="AC305" s="6" t="str">
        <f t="shared" si="137"/>
        <v>=4.184*100000000</v>
      </c>
      <c r="AD305" s="1">
        <f>4.184*100000000</f>
        <v>418400000</v>
      </c>
      <c r="AE305" s="8">
        <f t="shared" si="138"/>
        <v>7.1926767182298805</v>
      </c>
      <c r="AF305" s="7" t="s">
        <v>2691</v>
      </c>
      <c r="AG305" s="6" t="str">
        <f t="shared" si="139"/>
        <v>=5107*10000</v>
      </c>
      <c r="AH305" s="1">
        <f>5107*10000</f>
        <v>51070000</v>
      </c>
      <c r="AI305" s="8">
        <f t="shared" si="140"/>
        <v>-0.84203526136715123</v>
      </c>
      <c r="AJ305" s="6" t="s">
        <v>4032</v>
      </c>
      <c r="AK305" s="6" t="str">
        <f t="shared" si="141"/>
        <v>=3.233*100000000</v>
      </c>
      <c r="AL305" s="1">
        <f>3.233*100000000</f>
        <v>323300000</v>
      </c>
      <c r="AM305" s="8">
        <f t="shared" si="142"/>
        <v>-0.78006802721088431</v>
      </c>
      <c r="AN305" s="6" t="s">
        <v>1096</v>
      </c>
      <c r="AO305" s="6" t="str">
        <f t="shared" si="143"/>
        <v>=14.70*100000000</v>
      </c>
      <c r="AP305" s="1">
        <f>14.7*100000000</f>
        <v>1470000000</v>
      </c>
      <c r="AQ305" s="8">
        <f t="shared" si="144"/>
        <v>5.4786249449096518</v>
      </c>
      <c r="AR305" s="6" t="s">
        <v>2321</v>
      </c>
      <c r="AS305" s="6" t="str">
        <f t="shared" si="145"/>
        <v>=2.269*100000000</v>
      </c>
      <c r="AT305" s="1">
        <f>2.269*100000000</f>
        <v>226900000</v>
      </c>
      <c r="AU305" s="8">
        <f t="shared" si="146"/>
        <v>0.46292714377820759</v>
      </c>
      <c r="AV305" s="6" t="s">
        <v>4033</v>
      </c>
      <c r="AW305" s="6" t="str">
        <f t="shared" si="147"/>
        <v>=1.551*100000000</v>
      </c>
      <c r="AX305" s="1">
        <f>1.551*100000000</f>
        <v>155100000</v>
      </c>
      <c r="AY305" s="10">
        <f t="shared" si="148"/>
        <v>-1.6544303797468354</v>
      </c>
      <c r="AZ305" s="6">
        <f>-2.37*100000000</f>
        <v>-237000000</v>
      </c>
      <c r="BA305" s="6" t="str">
        <f t="shared" si="149"/>
        <v>=-237000000</v>
      </c>
      <c r="BB305" s="1">
        <f>-237000000</f>
        <v>-237000000</v>
      </c>
      <c r="BC305" s="8">
        <f t="shared" si="150"/>
        <v>-1.8863126402393418</v>
      </c>
      <c r="BD305" s="6" t="s">
        <v>4034</v>
      </c>
      <c r="BE305" s="6" t="str">
        <f t="shared" si="151"/>
        <v>=2.674*100000000</v>
      </c>
      <c r="BF305" s="1">
        <f>2.674*100000000</f>
        <v>267400000</v>
      </c>
      <c r="BG305" s="8">
        <f t="shared" si="152"/>
        <v>0.10268041237113415</v>
      </c>
      <c r="BH305" s="6" t="s">
        <v>4035</v>
      </c>
      <c r="BI305" s="6" t="str">
        <f t="shared" si="153"/>
        <v>=2.425*100000000</v>
      </c>
      <c r="BJ305" s="1">
        <f>2.425*100000000</f>
        <v>242499999.99999997</v>
      </c>
      <c r="BK305" s="6" t="s">
        <v>4036</v>
      </c>
      <c r="BL305" s="1" t="str">
        <f t="shared" si="125"/>
        <v>=1.302*100000000</v>
      </c>
      <c r="BM305" s="16">
        <f t="shared" si="154"/>
        <v>0.86251920122887837</v>
      </c>
      <c r="BN305" s="1">
        <f>1.302*100000000</f>
        <v>130200000</v>
      </c>
    </row>
    <row r="306" spans="1:66">
      <c r="A306" s="17">
        <v>77</v>
      </c>
      <c r="B306">
        <v>600268</v>
      </c>
      <c r="C306" t="s">
        <v>31</v>
      </c>
      <c r="D306" s="6" t="s">
        <v>4037</v>
      </c>
      <c r="E306" s="7" t="str">
        <f t="shared" si="124"/>
        <v>=58.93*100000000</v>
      </c>
      <c r="F306" s="1">
        <f>58.93*100000000</f>
        <v>5893000000</v>
      </c>
      <c r="G306" s="8">
        <f t="shared" si="126"/>
        <v>0.66046773739081432</v>
      </c>
      <c r="H306" s="6" t="s">
        <v>4038</v>
      </c>
      <c r="I306" s="6" t="str">
        <f t="shared" si="127"/>
        <v>=35.49*100000000</v>
      </c>
      <c r="J306" s="1">
        <f>35.49*100000000</f>
        <v>3549000000</v>
      </c>
      <c r="K306" s="10">
        <f t="shared" si="128"/>
        <v>0.65996258185219836</v>
      </c>
      <c r="L306" s="6" t="s">
        <v>1377</v>
      </c>
      <c r="M306" s="6" t="str">
        <f t="shared" si="129"/>
        <v>=21.38*100000000</v>
      </c>
      <c r="N306" s="1">
        <f>21.38*100000000</f>
        <v>2138000000</v>
      </c>
      <c r="O306" s="8">
        <f t="shared" si="130"/>
        <v>1.8400637619553666</v>
      </c>
      <c r="P306" s="6" t="s">
        <v>4039</v>
      </c>
      <c r="Q306" s="6" t="str">
        <f t="shared" si="131"/>
        <v>=7.528*100000000</v>
      </c>
      <c r="R306" s="11">
        <f>7.528*100000000</f>
        <v>752800000</v>
      </c>
      <c r="S306" s="8">
        <f t="shared" si="132"/>
        <v>-0.85039745627980923</v>
      </c>
      <c r="T306" s="6" t="s">
        <v>4040</v>
      </c>
      <c r="U306" s="6" t="str">
        <f t="shared" si="133"/>
        <v>=50.32*100000000</v>
      </c>
      <c r="V306" s="1">
        <f>50.32*100000000</f>
        <v>5032000000</v>
      </c>
      <c r="W306" s="8">
        <f t="shared" si="134"/>
        <v>0.83048381229538015</v>
      </c>
      <c r="X306" s="6" t="s">
        <v>704</v>
      </c>
      <c r="Y306" s="6" t="str">
        <f t="shared" si="135"/>
        <v>=27.49*100000000</v>
      </c>
      <c r="Z306" s="1">
        <f>27.49*100000000</f>
        <v>2749000000</v>
      </c>
      <c r="AA306" s="8">
        <f t="shared" si="136"/>
        <v>0.85868830290736986</v>
      </c>
      <c r="AB306" s="6" t="s">
        <v>4041</v>
      </c>
      <c r="AC306" s="6" t="str">
        <f t="shared" si="137"/>
        <v>=14.79*100000000</v>
      </c>
      <c r="AD306" s="1">
        <f>14.79*100000000</f>
        <v>1479000000</v>
      </c>
      <c r="AE306" s="8">
        <f t="shared" si="138"/>
        <v>2.7142139628327473</v>
      </c>
      <c r="AF306" s="6" t="s">
        <v>4042</v>
      </c>
      <c r="AG306" s="6" t="str">
        <f t="shared" si="139"/>
        <v>=3.982*100000000</v>
      </c>
      <c r="AH306" s="1">
        <f>3.982*100000000</f>
        <v>398200000</v>
      </c>
      <c r="AI306" s="8">
        <f t="shared" si="140"/>
        <v>-0.91950677178087725</v>
      </c>
      <c r="AJ306" s="6" t="s">
        <v>4043</v>
      </c>
      <c r="AK306" s="6" t="str">
        <f t="shared" si="141"/>
        <v>=49.47*100000000</v>
      </c>
      <c r="AL306" s="1">
        <f>49.47*100000000</f>
        <v>4947000000</v>
      </c>
      <c r="AM306" s="8">
        <f t="shared" si="142"/>
        <v>0.69070403280929593</v>
      </c>
      <c r="AN306" s="6" t="s">
        <v>206</v>
      </c>
      <c r="AO306" s="6" t="str">
        <f t="shared" si="143"/>
        <v>=29.26*100000000</v>
      </c>
      <c r="AP306" s="1">
        <f>29.26*100000000</f>
        <v>2926000000</v>
      </c>
      <c r="AQ306" s="8">
        <f t="shared" si="144"/>
        <v>0.72117647058823531</v>
      </c>
      <c r="AR306" s="6" t="s">
        <v>1424</v>
      </c>
      <c r="AS306" s="6" t="str">
        <f t="shared" si="145"/>
        <v>=17.00*100000000</v>
      </c>
      <c r="AT306" s="1">
        <f>17*100000000</f>
        <v>1700000000</v>
      </c>
      <c r="AU306" s="8">
        <f t="shared" si="146"/>
        <v>1.6463262764632627</v>
      </c>
      <c r="AV306" s="6" t="s">
        <v>4044</v>
      </c>
      <c r="AW306" s="6" t="str">
        <f t="shared" si="147"/>
        <v>=6.424*100000000</v>
      </c>
      <c r="AX306" s="1">
        <f>6.424*100000000</f>
        <v>642400000</v>
      </c>
      <c r="AY306" s="10">
        <f t="shared" si="148"/>
        <v>-0.86972216588927198</v>
      </c>
      <c r="AZ306" s="6" t="s">
        <v>4045</v>
      </c>
      <c r="BA306" s="6" t="str">
        <f t="shared" si="149"/>
        <v>=49.31*100000000</v>
      </c>
      <c r="BB306" s="1">
        <f>49.31*100000000</f>
        <v>4931000000</v>
      </c>
      <c r="BC306" s="8">
        <f t="shared" si="150"/>
        <v>0.72472892619797136</v>
      </c>
      <c r="BD306" s="6" t="s">
        <v>4046</v>
      </c>
      <c r="BE306" s="6" t="str">
        <f t="shared" si="151"/>
        <v>=28.59*100000000</v>
      </c>
      <c r="BF306" s="1">
        <f>28.59*100000000</f>
        <v>2859000000</v>
      </c>
      <c r="BG306" s="8">
        <f t="shared" si="152"/>
        <v>0.73905109489051068</v>
      </c>
      <c r="BH306" s="6" t="s">
        <v>2843</v>
      </c>
      <c r="BI306" s="6" t="str">
        <f t="shared" si="153"/>
        <v>=16.44*100000000</v>
      </c>
      <c r="BJ306" s="1">
        <f>16.44*100000000</f>
        <v>1644000000.0000002</v>
      </c>
      <c r="BK306" s="6" t="s">
        <v>4047</v>
      </c>
      <c r="BL306" s="1" t="str">
        <f t="shared" si="125"/>
        <v>=5.939*100000000</v>
      </c>
      <c r="BM306" s="16">
        <f t="shared" si="154"/>
        <v>1.7681427849806368</v>
      </c>
      <c r="BN306" s="1">
        <f>5.939*100000000</f>
        <v>593900000</v>
      </c>
    </row>
    <row r="307" spans="1:66">
      <c r="A307" s="18"/>
      <c r="B307">
        <v>600268</v>
      </c>
      <c r="C307" t="s">
        <v>48</v>
      </c>
      <c r="D307" s="6" t="s">
        <v>4048</v>
      </c>
      <c r="E307" s="7" t="str">
        <f t="shared" si="124"/>
        <v>=4.812*100000000</v>
      </c>
      <c r="F307" s="1">
        <f>4.812*100000000</f>
        <v>481200000</v>
      </c>
      <c r="G307" s="8">
        <f t="shared" si="126"/>
        <v>0.94502829426030699</v>
      </c>
      <c r="H307" s="6" t="s">
        <v>4049</v>
      </c>
      <c r="I307" s="6" t="str">
        <f t="shared" si="127"/>
        <v>=2.474*100000000</v>
      </c>
      <c r="J307" s="1">
        <f>2.474*100000000</f>
        <v>247400000.00000003</v>
      </c>
      <c r="K307" s="10">
        <f t="shared" si="128"/>
        <v>16.658815132048538</v>
      </c>
      <c r="L307" s="7" t="s">
        <v>4050</v>
      </c>
      <c r="M307" s="6" t="str">
        <f t="shared" si="129"/>
        <v>=1401*10000</v>
      </c>
      <c r="N307" s="1">
        <f>1401*10000</f>
        <v>14010000</v>
      </c>
      <c r="O307" s="8">
        <f t="shared" si="130"/>
        <v>-1.3106430155210642</v>
      </c>
      <c r="P307" s="7">
        <f>-4510*10000</f>
        <v>-45100000</v>
      </c>
      <c r="Q307" s="6" t="str">
        <f t="shared" si="131"/>
        <v>=-45100000</v>
      </c>
      <c r="R307" s="11">
        <f>-45100000</f>
        <v>-45100000</v>
      </c>
      <c r="S307" s="8">
        <f t="shared" si="132"/>
        <v>-1.1632874728457638</v>
      </c>
      <c r="T307" s="6" t="s">
        <v>4051</v>
      </c>
      <c r="U307" s="6" t="str">
        <f t="shared" si="133"/>
        <v>=2.762*100000000</v>
      </c>
      <c r="V307" s="1">
        <f>2.762*100000000</f>
        <v>276200000</v>
      </c>
      <c r="W307" s="8">
        <f t="shared" si="134"/>
        <v>8.8996415770609314</v>
      </c>
      <c r="X307" s="7" t="s">
        <v>4052</v>
      </c>
      <c r="Y307" s="6" t="str">
        <f t="shared" si="135"/>
        <v>=2790*10000</v>
      </c>
      <c r="Z307" s="1">
        <f>2790*10000</f>
        <v>27900000</v>
      </c>
      <c r="AA307" s="8">
        <f t="shared" si="136"/>
        <v>-1.3405346027096301</v>
      </c>
      <c r="AB307" s="7">
        <f>-8193*10000</f>
        <v>-81930000</v>
      </c>
      <c r="AC307" s="6" t="str">
        <f t="shared" si="137"/>
        <v>=-81930000</v>
      </c>
      <c r="AD307" s="1">
        <f>-81930000</f>
        <v>-81930000</v>
      </c>
      <c r="AE307" s="8">
        <f t="shared" si="138"/>
        <v>-0.29003466204506068</v>
      </c>
      <c r="AF307" s="6">
        <f>-1.154*100000000</f>
        <v>-115399999.99999999</v>
      </c>
      <c r="AG307" s="6" t="str">
        <f t="shared" si="139"/>
        <v>=-115400000</v>
      </c>
      <c r="AH307" s="1">
        <f>-115400000</f>
        <v>-115400000</v>
      </c>
      <c r="AI307" s="8">
        <f t="shared" si="140"/>
        <v>-1.4532600157109192</v>
      </c>
      <c r="AJ307" s="6" t="s">
        <v>2884</v>
      </c>
      <c r="AK307" s="6" t="str">
        <f t="shared" si="141"/>
        <v>=2.546*100000000</v>
      </c>
      <c r="AL307" s="1">
        <f>2.546*100000000</f>
        <v>254599999.99999997</v>
      </c>
      <c r="AM307" s="8">
        <f t="shared" si="142"/>
        <v>-22.412952060555085</v>
      </c>
      <c r="AN307" s="7">
        <f>-1189*10000</f>
        <v>-11890000</v>
      </c>
      <c r="AO307" s="6" t="str">
        <f t="shared" si="143"/>
        <v>=-11890000</v>
      </c>
      <c r="AP307" s="1">
        <f>-11890000</f>
        <v>-11890000</v>
      </c>
      <c r="AQ307" s="8">
        <f t="shared" si="144"/>
        <v>-0.87545825913899655</v>
      </c>
      <c r="AR307" s="7">
        <f>-9547*10000</f>
        <v>-95470000</v>
      </c>
      <c r="AS307" s="6" t="str">
        <f t="shared" si="145"/>
        <v>=-95470000</v>
      </c>
      <c r="AT307" s="1">
        <f>-95470000</f>
        <v>-95470000</v>
      </c>
      <c r="AU307" s="8">
        <f t="shared" si="146"/>
        <v>5.201101928374656E-2</v>
      </c>
      <c r="AV307" s="7">
        <f>-9075*10000</f>
        <v>-90750000</v>
      </c>
      <c r="AW307" s="6" t="str">
        <f t="shared" si="147"/>
        <v>=-90750000</v>
      </c>
      <c r="AX307" s="1">
        <f>-90750000</f>
        <v>-90750000</v>
      </c>
      <c r="AY307" s="10">
        <f t="shared" si="148"/>
        <v>-1.3609785202863964</v>
      </c>
      <c r="AZ307" s="6" t="s">
        <v>499</v>
      </c>
      <c r="BA307" s="6" t="str">
        <f t="shared" si="149"/>
        <v>=2.514*100000000</v>
      </c>
      <c r="BB307" s="1">
        <f>2.514*100000000</f>
        <v>251399999.99999997</v>
      </c>
      <c r="BC307" s="8">
        <f t="shared" si="150"/>
        <v>2.0369654505919299</v>
      </c>
      <c r="BD307" s="7" t="s">
        <v>4053</v>
      </c>
      <c r="BE307" s="6" t="str">
        <f t="shared" si="151"/>
        <v>=8278*10000</v>
      </c>
      <c r="BF307" s="1">
        <f>8278*10000</f>
        <v>82780000</v>
      </c>
      <c r="BG307" s="8">
        <f t="shared" si="152"/>
        <v>3.1307385229540916</v>
      </c>
      <c r="BH307" s="7" t="s">
        <v>4054</v>
      </c>
      <c r="BI307" s="6" t="str">
        <f t="shared" si="153"/>
        <v>=2004*10000</v>
      </c>
      <c r="BJ307" s="1">
        <f>2004*10000</f>
        <v>20040000</v>
      </c>
      <c r="BK307" s="6">
        <f>-1.017*100000000</f>
        <v>-101699999.99999999</v>
      </c>
      <c r="BL307" s="1" t="str">
        <f t="shared" si="125"/>
        <v>=-101700000</v>
      </c>
      <c r="BM307" s="16">
        <f t="shared" si="154"/>
        <v>-1.1970501474926254</v>
      </c>
      <c r="BN307" s="1">
        <f>-101700000</f>
        <v>-101700000</v>
      </c>
    </row>
    <row r="308" spans="1:66">
      <c r="A308" s="18"/>
      <c r="B308">
        <v>600268</v>
      </c>
      <c r="C308" t="s">
        <v>58</v>
      </c>
      <c r="D308" s="6" t="s">
        <v>4055</v>
      </c>
      <c r="E308" s="7" t="str">
        <f t="shared" si="124"/>
        <v>=4.842*100000000</v>
      </c>
      <c r="F308" s="1">
        <f>4.842*100000000</f>
        <v>484199999.99999994</v>
      </c>
      <c r="G308" s="8">
        <f t="shared" si="126"/>
        <v>0.93835068054443505</v>
      </c>
      <c r="H308" s="6" t="s">
        <v>1763</v>
      </c>
      <c r="I308" s="6" t="str">
        <f t="shared" si="127"/>
        <v>=2.498*100000000</v>
      </c>
      <c r="J308" s="1">
        <f>2.498*100000000</f>
        <v>249800000.00000003</v>
      </c>
      <c r="K308" s="10">
        <f t="shared" si="128"/>
        <v>15.09536082474227</v>
      </c>
      <c r="L308" s="7" t="s">
        <v>4056</v>
      </c>
      <c r="M308" s="6" t="str">
        <f t="shared" si="129"/>
        <v>=1552*10000</v>
      </c>
      <c r="N308" s="1">
        <f>1552*10000</f>
        <v>15520000</v>
      </c>
      <c r="O308" s="8">
        <f t="shared" si="130"/>
        <v>-1.3441241685144125</v>
      </c>
      <c r="P308" s="7">
        <f>-4510*10000</f>
        <v>-45100000</v>
      </c>
      <c r="Q308" s="6" t="str">
        <f t="shared" si="131"/>
        <v>=-45100000</v>
      </c>
      <c r="R308" s="11">
        <f>-45100000</f>
        <v>-45100000</v>
      </c>
      <c r="S308" s="8">
        <f t="shared" si="132"/>
        <v>-1.1625225225225224</v>
      </c>
      <c r="T308" s="6" t="s">
        <v>4057</v>
      </c>
      <c r="U308" s="6" t="str">
        <f t="shared" si="133"/>
        <v>=2.775*100000000</v>
      </c>
      <c r="V308" s="1">
        <f>2.775*100000000</f>
        <v>277500000</v>
      </c>
      <c r="W308" s="8">
        <f t="shared" si="134"/>
        <v>8.7676874340021111</v>
      </c>
      <c r="X308" s="7" t="s">
        <v>4058</v>
      </c>
      <c r="Y308" s="6" t="str">
        <f t="shared" si="135"/>
        <v>=2841*10000</v>
      </c>
      <c r="Z308" s="1">
        <f>2841*10000</f>
        <v>28410000</v>
      </c>
      <c r="AA308" s="8">
        <f t="shared" si="136"/>
        <v>-1.3535340965654554</v>
      </c>
      <c r="AB308" s="7">
        <f>-8036*10000</f>
        <v>-80360000</v>
      </c>
      <c r="AC308" s="6" t="str">
        <f t="shared" si="137"/>
        <v>=-80360000</v>
      </c>
      <c r="AD308" s="1">
        <f>-80360000</f>
        <v>-80360000</v>
      </c>
      <c r="AE308" s="8">
        <f t="shared" si="138"/>
        <v>-0.30363951473136913</v>
      </c>
      <c r="AF308" s="6">
        <f>-1.154*100000000</f>
        <v>-115399999.99999999</v>
      </c>
      <c r="AG308" s="6" t="str">
        <f t="shared" si="139"/>
        <v>=-115400000</v>
      </c>
      <c r="AH308" s="1">
        <f>-115400000</f>
        <v>-115400000</v>
      </c>
      <c r="AI308" s="8">
        <f t="shared" si="140"/>
        <v>-1.4530820573223397</v>
      </c>
      <c r="AJ308" s="6" t="s">
        <v>4059</v>
      </c>
      <c r="AK308" s="6" t="str">
        <f t="shared" si="141"/>
        <v>=2.547*100000000</v>
      </c>
      <c r="AL308" s="1">
        <f>2.547*100000000</f>
        <v>254700000.00000003</v>
      </c>
      <c r="AM308" s="8">
        <f t="shared" si="142"/>
        <v>-25.30343511450382</v>
      </c>
      <c r="AN308" s="7">
        <f>-1048*10000</f>
        <v>-10480000</v>
      </c>
      <c r="AO308" s="6" t="str">
        <f t="shared" si="143"/>
        <v>=-10480000</v>
      </c>
      <c r="AP308" s="1">
        <f>-10480000</f>
        <v>-10480000</v>
      </c>
      <c r="AQ308" s="8">
        <f t="shared" si="144"/>
        <v>-0.88913572410874853</v>
      </c>
      <c r="AR308" s="7">
        <f>-9453*10000</f>
        <v>-94530000</v>
      </c>
      <c r="AS308" s="6" t="str">
        <f t="shared" si="145"/>
        <v>=-94530000</v>
      </c>
      <c r="AT308" s="1">
        <f>-94530000</f>
        <v>-94530000</v>
      </c>
      <c r="AU308" s="8">
        <f t="shared" si="146"/>
        <v>5.0333333333333334E-2</v>
      </c>
      <c r="AV308" s="7">
        <f>-9000*10000</f>
        <v>-90000000</v>
      </c>
      <c r="AW308" s="6" t="str">
        <f t="shared" si="147"/>
        <v>=-90000000</v>
      </c>
      <c r="AX308" s="1">
        <f>-90000000</f>
        <v>-90000000</v>
      </c>
      <c r="AY308" s="10">
        <f t="shared" si="148"/>
        <v>-1.3592814371257484</v>
      </c>
      <c r="AZ308" s="6" t="s">
        <v>4060</v>
      </c>
      <c r="BA308" s="6" t="str">
        <f t="shared" si="149"/>
        <v>=2.505*100000000</v>
      </c>
      <c r="BB308" s="1">
        <f>2.505*100000000</f>
        <v>250500000</v>
      </c>
      <c r="BC308" s="8">
        <f t="shared" si="150"/>
        <v>2.0352599054889131</v>
      </c>
      <c r="BD308" s="7" t="s">
        <v>4061</v>
      </c>
      <c r="BE308" s="6" t="str">
        <f t="shared" si="151"/>
        <v>=8253*10000</v>
      </c>
      <c r="BF308" s="1">
        <f>8253*10000</f>
        <v>82530000</v>
      </c>
      <c r="BG308" s="8">
        <f t="shared" si="152"/>
        <v>3.1430722891566263</v>
      </c>
      <c r="BH308" s="7" t="s">
        <v>3284</v>
      </c>
      <c r="BI308" s="6" t="str">
        <f t="shared" si="153"/>
        <v>=1992*10000</v>
      </c>
      <c r="BJ308" s="1">
        <f>1992*10000</f>
        <v>19920000</v>
      </c>
      <c r="BK308" s="6">
        <f>-1.017*100000000</f>
        <v>-101699999.99999999</v>
      </c>
      <c r="BL308" s="1" t="str">
        <f t="shared" si="125"/>
        <v>=-101700000</v>
      </c>
      <c r="BM308" s="16">
        <f t="shared" si="154"/>
        <v>-1.1958702064896756</v>
      </c>
      <c r="BN308" s="1">
        <f>-101700000</f>
        <v>-101700000</v>
      </c>
    </row>
    <row r="309" spans="1:66">
      <c r="A309" s="19"/>
      <c r="B309">
        <v>600268</v>
      </c>
      <c r="C309" t="s">
        <v>68</v>
      </c>
      <c r="D309" s="6" t="s">
        <v>4062</v>
      </c>
      <c r="E309" s="7" t="str">
        <f t="shared" si="124"/>
        <v>=4.376*100000000</v>
      </c>
      <c r="F309" s="1">
        <f>4.376*100000000</f>
        <v>437600000.00000006</v>
      </c>
      <c r="G309" s="8">
        <f t="shared" si="126"/>
        <v>1.0249884312818143</v>
      </c>
      <c r="H309" s="6" t="s">
        <v>4063</v>
      </c>
      <c r="I309" s="6" t="str">
        <f t="shared" si="127"/>
        <v>=2.161*100000000</v>
      </c>
      <c r="J309" s="1">
        <f>2.161*100000000</f>
        <v>216100000</v>
      </c>
      <c r="K309" s="10">
        <f t="shared" si="128"/>
        <v>-45.138071895424837</v>
      </c>
      <c r="L309" s="7">
        <f>-489.6*10000</f>
        <v>-4896000</v>
      </c>
      <c r="M309" s="6" t="str">
        <f t="shared" si="129"/>
        <v>=-4896000</v>
      </c>
      <c r="N309" s="1">
        <f>-4896000</f>
        <v>-4896000</v>
      </c>
      <c r="O309" s="8">
        <f t="shared" si="130"/>
        <v>-0.90720242608036394</v>
      </c>
      <c r="P309" s="7">
        <f>-5276*10000</f>
        <v>-52760000</v>
      </c>
      <c r="Q309" s="6" t="str">
        <f t="shared" si="131"/>
        <v>=-52760000</v>
      </c>
      <c r="R309" s="11">
        <f>-52760000</f>
        <v>-52760000</v>
      </c>
      <c r="S309" s="8">
        <f t="shared" si="132"/>
        <v>-1.2216806722689075</v>
      </c>
      <c r="T309" s="6" t="s">
        <v>4064</v>
      </c>
      <c r="U309" s="6" t="str">
        <f t="shared" si="133"/>
        <v>=2.380*100000000</v>
      </c>
      <c r="V309" s="1">
        <f>2.38*100000000</f>
        <v>238000000</v>
      </c>
      <c r="W309" s="8">
        <f t="shared" si="134"/>
        <v>67.548387096774192</v>
      </c>
      <c r="X309" s="7" t="s">
        <v>4065</v>
      </c>
      <c r="Y309" s="6" t="str">
        <f t="shared" si="135"/>
        <v>=347.2*10000</v>
      </c>
      <c r="Z309" s="1">
        <f>347.2*10000</f>
        <v>3472000</v>
      </c>
      <c r="AA309" s="8">
        <f t="shared" si="136"/>
        <v>-1.0384879725085912</v>
      </c>
      <c r="AB309" s="7">
        <f>-9021*10000</f>
        <v>-90210000</v>
      </c>
      <c r="AC309" s="6" t="str">
        <f t="shared" si="137"/>
        <v>=-90210000</v>
      </c>
      <c r="AD309" s="1">
        <f>-90210000</f>
        <v>-90210000</v>
      </c>
      <c r="AE309" s="8">
        <f t="shared" si="138"/>
        <v>-0.2469949916527546</v>
      </c>
      <c r="AF309" s="6">
        <f>-1.198*100000000</f>
        <v>-119800000</v>
      </c>
      <c r="AG309" s="6" t="str">
        <f t="shared" si="139"/>
        <v>=-119800000</v>
      </c>
      <c r="AH309" s="1">
        <f>-119800000</f>
        <v>-119800000</v>
      </c>
      <c r="AI309" s="8">
        <f t="shared" si="140"/>
        <v>-1.5579878900791804</v>
      </c>
      <c r="AJ309" s="6" t="s">
        <v>1768</v>
      </c>
      <c r="AK309" s="6" t="str">
        <f t="shared" si="141"/>
        <v>=2.147*100000000</v>
      </c>
      <c r="AL309" s="1">
        <f>2.147*100000000</f>
        <v>214699999.99999997</v>
      </c>
      <c r="AM309" s="8">
        <f t="shared" si="142"/>
        <v>-12.095607235142117</v>
      </c>
      <c r="AN309" s="7">
        <f>-1935*10000</f>
        <v>-19350000</v>
      </c>
      <c r="AO309" s="6" t="str">
        <f t="shared" si="143"/>
        <v>=-19350000</v>
      </c>
      <c r="AP309" s="1">
        <f>-19350000</f>
        <v>-19350000</v>
      </c>
      <c r="AQ309" s="8">
        <f t="shared" si="144"/>
        <v>-0.77916000913033556</v>
      </c>
      <c r="AR309" s="7">
        <f>-8762*10000</f>
        <v>-87620000</v>
      </c>
      <c r="AS309" s="6" t="str">
        <f t="shared" si="145"/>
        <v>=-87620000</v>
      </c>
      <c r="AT309" s="1">
        <f>-87620000</f>
        <v>-87620000</v>
      </c>
      <c r="AU309" s="8">
        <f t="shared" si="146"/>
        <v>-6.4388681260010683E-2</v>
      </c>
      <c r="AV309" s="7">
        <f>-9365*10000</f>
        <v>-93650000</v>
      </c>
      <c r="AW309" s="6" t="str">
        <f t="shared" si="147"/>
        <v>=-93650000</v>
      </c>
      <c r="AX309" s="1">
        <f>-93650000</f>
        <v>-93650000</v>
      </c>
      <c r="AY309" s="10">
        <f t="shared" si="148"/>
        <v>-1.4751395230847286</v>
      </c>
      <c r="AZ309" s="6" t="s">
        <v>4066</v>
      </c>
      <c r="BA309" s="6" t="str">
        <f t="shared" si="149"/>
        <v>=1.971*100000000</v>
      </c>
      <c r="BB309" s="1">
        <f>1.971*100000000</f>
        <v>197100000</v>
      </c>
      <c r="BC309" s="8">
        <f t="shared" si="150"/>
        <v>2.4064984445212581</v>
      </c>
      <c r="BD309" s="7" t="s">
        <v>4067</v>
      </c>
      <c r="BE309" s="6" t="str">
        <f t="shared" si="151"/>
        <v>=5786*10000</v>
      </c>
      <c r="BF309" s="1">
        <f>5786*10000</f>
        <v>57860000</v>
      </c>
      <c r="BG309" s="8">
        <f t="shared" si="152"/>
        <v>4.7230464886251236</v>
      </c>
      <c r="BH309" s="7" t="s">
        <v>3979</v>
      </c>
      <c r="BI309" s="6" t="str">
        <f t="shared" si="153"/>
        <v>=1011*10000</v>
      </c>
      <c r="BJ309" s="1">
        <f>1011*10000</f>
        <v>10110000</v>
      </c>
      <c r="BK309" s="6">
        <f>-1.045*100000000</f>
        <v>-104500000</v>
      </c>
      <c r="BL309" s="1" t="str">
        <f t="shared" si="125"/>
        <v>=-104500000</v>
      </c>
      <c r="BM309" s="16">
        <f t="shared" si="154"/>
        <v>-1.0967464114832537</v>
      </c>
      <c r="BN309" s="1">
        <f>-104500000</f>
        <v>-104500000</v>
      </c>
    </row>
    <row r="310" spans="1:66">
      <c r="A310" s="17">
        <v>78</v>
      </c>
      <c r="B310">
        <v>600269</v>
      </c>
      <c r="C310" t="s">
        <v>31</v>
      </c>
      <c r="D310" s="6" t="s">
        <v>4068</v>
      </c>
      <c r="E310" s="7" t="str">
        <f t="shared" si="124"/>
        <v>=64.30*100000000</v>
      </c>
      <c r="F310" s="1">
        <f>64.3*100000000</f>
        <v>6430000000</v>
      </c>
      <c r="G310" s="8">
        <f t="shared" si="126"/>
        <v>0.55089242643511815</v>
      </c>
      <c r="H310" s="6" t="s">
        <v>4069</v>
      </c>
      <c r="I310" s="6" t="str">
        <f t="shared" si="127"/>
        <v>=41.46*100000000</v>
      </c>
      <c r="J310" s="1">
        <f>41.46*100000000</f>
        <v>4146000000</v>
      </c>
      <c r="K310" s="10">
        <f t="shared" si="128"/>
        <v>0.53612449055205635</v>
      </c>
      <c r="L310" s="6" t="s">
        <v>1858</v>
      </c>
      <c r="M310" s="6" t="str">
        <f t="shared" si="129"/>
        <v>=26.99*100000000</v>
      </c>
      <c r="N310" s="1">
        <f>26.99*100000000</f>
        <v>2699000000</v>
      </c>
      <c r="O310" s="8">
        <f t="shared" si="130"/>
        <v>0.91012031139419669</v>
      </c>
      <c r="P310" s="6" t="s">
        <v>1087</v>
      </c>
      <c r="Q310" s="6" t="str">
        <f t="shared" si="131"/>
        <v>=14.13*100000000</v>
      </c>
      <c r="R310" s="11">
        <f>14.13*100000000</f>
        <v>1413000000</v>
      </c>
      <c r="S310" s="8">
        <f t="shared" si="132"/>
        <v>-0.72108172127911563</v>
      </c>
      <c r="T310" s="6" t="s">
        <v>4070</v>
      </c>
      <c r="U310" s="6" t="str">
        <f t="shared" si="133"/>
        <v>=50.66*100000000</v>
      </c>
      <c r="V310" s="1">
        <f>50.66*100000000</f>
        <v>5066000000</v>
      </c>
      <c r="W310" s="8">
        <f t="shared" si="134"/>
        <v>0.52269311692215192</v>
      </c>
      <c r="X310" s="6" t="s">
        <v>1946</v>
      </c>
      <c r="Y310" s="6" t="str">
        <f t="shared" si="135"/>
        <v>=33.27*100000000</v>
      </c>
      <c r="Z310" s="1">
        <f>33.27*100000000</f>
        <v>3327000000.0000005</v>
      </c>
      <c r="AA310" s="8">
        <f t="shared" si="136"/>
        <v>0.8565848214285714</v>
      </c>
      <c r="AB310" s="6" t="s">
        <v>4071</v>
      </c>
      <c r="AC310" s="6" t="str">
        <f t="shared" si="137"/>
        <v>=17.92*100000000</v>
      </c>
      <c r="AD310" s="1">
        <f>17.92*100000000</f>
        <v>1792000000.0000002</v>
      </c>
      <c r="AE310" s="8">
        <f t="shared" si="138"/>
        <v>1.3874233946176395</v>
      </c>
      <c r="AF310" s="6" t="s">
        <v>4072</v>
      </c>
      <c r="AG310" s="6" t="str">
        <f t="shared" si="139"/>
        <v>=7.506*100000000</v>
      </c>
      <c r="AH310" s="1">
        <f>7.506*100000000</f>
        <v>750600000</v>
      </c>
      <c r="AI310" s="8">
        <f t="shared" si="140"/>
        <v>-0.85104187338757686</v>
      </c>
      <c r="AJ310" s="6" t="s">
        <v>4073</v>
      </c>
      <c r="AK310" s="6" t="str">
        <f t="shared" si="141"/>
        <v>=50.39*100000000</v>
      </c>
      <c r="AL310" s="1">
        <f>50.39*100000000</f>
        <v>5039000000</v>
      </c>
      <c r="AM310" s="8">
        <f t="shared" si="142"/>
        <v>0.50059559261465159</v>
      </c>
      <c r="AN310" s="6" t="s">
        <v>4074</v>
      </c>
      <c r="AO310" s="6" t="str">
        <f t="shared" si="143"/>
        <v>=33.58*100000000</v>
      </c>
      <c r="AP310" s="1">
        <f>33.58*100000000</f>
        <v>3358000000</v>
      </c>
      <c r="AQ310" s="8">
        <f t="shared" si="144"/>
        <v>0.54319852941176472</v>
      </c>
      <c r="AR310" s="6" t="s">
        <v>1879</v>
      </c>
      <c r="AS310" s="6" t="str">
        <f t="shared" si="145"/>
        <v>=21.76*100000000</v>
      </c>
      <c r="AT310" s="1">
        <f>21.76*100000000</f>
        <v>2176000000</v>
      </c>
      <c r="AU310" s="8">
        <f t="shared" si="146"/>
        <v>0.97998180163785265</v>
      </c>
      <c r="AV310" s="6" t="s">
        <v>4075</v>
      </c>
      <c r="AW310" s="6" t="str">
        <f t="shared" si="147"/>
        <v>=10.99*100000000</v>
      </c>
      <c r="AX310" s="1">
        <f>10.99*100000000</f>
        <v>1099000000</v>
      </c>
      <c r="AY310" s="10">
        <f t="shared" si="148"/>
        <v>-0.75983391608391604</v>
      </c>
      <c r="AZ310" s="6" t="s">
        <v>4076</v>
      </c>
      <c r="BA310" s="6" t="str">
        <f t="shared" si="149"/>
        <v>=45.76*100000000</v>
      </c>
      <c r="BB310" s="1">
        <f>45.76*100000000</f>
        <v>4576000000</v>
      </c>
      <c r="BC310" s="8">
        <f t="shared" si="150"/>
        <v>0.44262295081967212</v>
      </c>
      <c r="BD310" s="6" t="s">
        <v>4077</v>
      </c>
      <c r="BE310" s="6" t="str">
        <f t="shared" si="151"/>
        <v>=31.72*100000000</v>
      </c>
      <c r="BF310" s="1">
        <f>31.72*100000000</f>
        <v>3172000000</v>
      </c>
      <c r="BG310" s="8">
        <f t="shared" si="152"/>
        <v>0.51335877862595425</v>
      </c>
      <c r="BH310" s="6" t="s">
        <v>4078</v>
      </c>
      <c r="BI310" s="6" t="str">
        <f t="shared" si="153"/>
        <v>=20.96*100000000</v>
      </c>
      <c r="BJ310" s="1">
        <f>20.96*100000000</f>
        <v>2096000000</v>
      </c>
      <c r="BK310" s="6" t="s">
        <v>4079</v>
      </c>
      <c r="BL310" s="1" t="str">
        <f t="shared" si="125"/>
        <v>=10.84*100000000</v>
      </c>
      <c r="BM310" s="16">
        <f t="shared" si="154"/>
        <v>0.93357933579335795</v>
      </c>
      <c r="BN310" s="1">
        <f>10.84*100000000</f>
        <v>1084000000</v>
      </c>
    </row>
    <row r="311" spans="1:66">
      <c r="A311" s="18"/>
      <c r="B311">
        <v>600269</v>
      </c>
      <c r="C311" t="s">
        <v>48</v>
      </c>
      <c r="D311" s="6" t="s">
        <v>4080</v>
      </c>
      <c r="E311" s="7" t="str">
        <f t="shared" si="124"/>
        <v>=12.16*100000000</v>
      </c>
      <c r="F311" s="1">
        <f>12.16*100000000</f>
        <v>1216000000</v>
      </c>
      <c r="G311" s="8">
        <f t="shared" si="126"/>
        <v>0.47055266658604428</v>
      </c>
      <c r="H311" s="6" t="s">
        <v>3539</v>
      </c>
      <c r="I311" s="6" t="str">
        <f t="shared" si="127"/>
        <v>=8.269*100000000</v>
      </c>
      <c r="J311" s="1">
        <f>8.269*100000000</f>
        <v>826900000</v>
      </c>
      <c r="K311" s="10">
        <f t="shared" si="128"/>
        <v>0.26263551687280501</v>
      </c>
      <c r="L311" s="6" t="s">
        <v>4081</v>
      </c>
      <c r="M311" s="6" t="str">
        <f t="shared" si="129"/>
        <v>=6.549*100000000</v>
      </c>
      <c r="N311" s="1">
        <f>6.549*100000000</f>
        <v>654900000</v>
      </c>
      <c r="O311" s="8">
        <f t="shared" si="130"/>
        <v>2.6423804226918799</v>
      </c>
      <c r="P311" s="6" t="s">
        <v>1757</v>
      </c>
      <c r="Q311" s="6" t="str">
        <f t="shared" si="131"/>
        <v>=1.798*100000000</v>
      </c>
      <c r="R311" s="11">
        <f>1.798*100000000</f>
        <v>179800000</v>
      </c>
      <c r="S311" s="8">
        <f t="shared" si="132"/>
        <v>-0.6800711743772242</v>
      </c>
      <c r="T311" s="6" t="s">
        <v>4082</v>
      </c>
      <c r="U311" s="6" t="str">
        <f t="shared" si="133"/>
        <v>=5.620*100000000</v>
      </c>
      <c r="V311" s="1">
        <f>5.62*100000000</f>
        <v>562000000</v>
      </c>
      <c r="W311" s="8">
        <f t="shared" si="134"/>
        <v>-14.33966294801804</v>
      </c>
      <c r="X311" s="7">
        <f>-4213*10000</f>
        <v>-42130000</v>
      </c>
      <c r="Y311" s="6" t="str">
        <f t="shared" si="135"/>
        <v>=-42130000</v>
      </c>
      <c r="Z311" s="1">
        <f>-42130000</f>
        <v>-42130000</v>
      </c>
      <c r="AA311" s="8">
        <f t="shared" si="136"/>
        <v>-0.91701792397084891</v>
      </c>
      <c r="AB311" s="6">
        <f>-5.077*100000000</f>
        <v>-507700000</v>
      </c>
      <c r="AC311" s="6" t="str">
        <f t="shared" si="137"/>
        <v>=-507700000</v>
      </c>
      <c r="AD311" s="1">
        <f>-507700000</f>
        <v>-507700000</v>
      </c>
      <c r="AE311" s="8">
        <f t="shared" si="138"/>
        <v>7.9523708271316176E-2</v>
      </c>
      <c r="AF311" s="6">
        <f>-4.703*100000000</f>
        <v>-470300000</v>
      </c>
      <c r="AG311" s="6" t="str">
        <f t="shared" si="139"/>
        <v>=-470300000</v>
      </c>
      <c r="AH311" s="1">
        <f>-470300000</f>
        <v>-470300000</v>
      </c>
      <c r="AI311" s="8">
        <f t="shared" si="140"/>
        <v>-1.3873970345963755</v>
      </c>
      <c r="AJ311" s="6" t="s">
        <v>2082</v>
      </c>
      <c r="AK311" s="6" t="str">
        <f t="shared" si="141"/>
        <v>=12.14*100000000</v>
      </c>
      <c r="AL311" s="1">
        <f>12.14*100000000</f>
        <v>1214000000</v>
      </c>
      <c r="AM311" s="8">
        <f t="shared" si="142"/>
        <v>0.14962121212121213</v>
      </c>
      <c r="AN311" s="6" t="s">
        <v>4083</v>
      </c>
      <c r="AO311" s="6" t="str">
        <f t="shared" si="143"/>
        <v>=10.56*100000000</v>
      </c>
      <c r="AP311" s="1">
        <f>10.56*100000000</f>
        <v>1056000000</v>
      </c>
      <c r="AQ311" s="8">
        <f t="shared" si="144"/>
        <v>0.25684360866460382</v>
      </c>
      <c r="AR311" s="6" t="s">
        <v>4084</v>
      </c>
      <c r="AS311" s="6" t="str">
        <f t="shared" si="145"/>
        <v>=8.402*100000000</v>
      </c>
      <c r="AT311" s="1">
        <f>8.402*100000000</f>
        <v>840199999.99999988</v>
      </c>
      <c r="AU311" s="8">
        <f t="shared" si="146"/>
        <v>-6.5302035821559939E-2</v>
      </c>
      <c r="AV311" s="6" t="s">
        <v>4085</v>
      </c>
      <c r="AW311" s="6" t="str">
        <f t="shared" si="147"/>
        <v>=8.989*100000000</v>
      </c>
      <c r="AX311" s="1">
        <f>8.989*100000000</f>
        <v>898900000.00000012</v>
      </c>
      <c r="AY311" s="10">
        <f t="shared" si="148"/>
        <v>-0.39386378961564389</v>
      </c>
      <c r="AZ311" s="6" t="s">
        <v>4086</v>
      </c>
      <c r="BA311" s="6" t="str">
        <f t="shared" si="149"/>
        <v>=14.83*100000000</v>
      </c>
      <c r="BB311" s="1">
        <f>14.83*100000000</f>
        <v>1483000000</v>
      </c>
      <c r="BC311" s="8">
        <f t="shared" si="150"/>
        <v>0.75856753231353014</v>
      </c>
      <c r="BD311" s="6" t="s">
        <v>4087</v>
      </c>
      <c r="BE311" s="6" t="str">
        <f t="shared" si="151"/>
        <v>=8.433*100000000</v>
      </c>
      <c r="BF311" s="1">
        <f>8.433*100000000</f>
        <v>843300000</v>
      </c>
      <c r="BG311" s="8">
        <f t="shared" si="152"/>
        <v>0.62767805442964675</v>
      </c>
      <c r="BH311" s="6" t="s">
        <v>1524</v>
      </c>
      <c r="BI311" s="6" t="str">
        <f t="shared" si="153"/>
        <v>=5.181*100000000</v>
      </c>
      <c r="BJ311" s="1">
        <f>5.181*100000000</f>
        <v>518100000</v>
      </c>
      <c r="BK311" s="6" t="s">
        <v>4088</v>
      </c>
      <c r="BL311" s="1" t="str">
        <f t="shared" si="125"/>
        <v>=3.219*100000000</v>
      </c>
      <c r="BM311" s="16">
        <f t="shared" si="154"/>
        <v>0.6095060577819198</v>
      </c>
      <c r="BN311" s="1">
        <f>3.219*100000000</f>
        <v>321900000</v>
      </c>
    </row>
    <row r="312" spans="1:66">
      <c r="A312" s="18"/>
      <c r="B312">
        <v>600269</v>
      </c>
      <c r="C312" t="s">
        <v>58</v>
      </c>
      <c r="D312" s="6" t="s">
        <v>4089</v>
      </c>
      <c r="E312" s="7" t="str">
        <f t="shared" si="124"/>
        <v>=13.71*100000000</v>
      </c>
      <c r="F312" s="1">
        <f>13.71*100000000</f>
        <v>1371000000</v>
      </c>
      <c r="G312" s="8">
        <f t="shared" si="126"/>
        <v>0.44681300126635692</v>
      </c>
      <c r="H312" s="6" t="s">
        <v>4090</v>
      </c>
      <c r="I312" s="6" t="str">
        <f t="shared" si="127"/>
        <v>=9.476*100000000</v>
      </c>
      <c r="J312" s="1">
        <f>9.476*100000000</f>
        <v>947600000.00000012</v>
      </c>
      <c r="K312" s="10">
        <f t="shared" si="128"/>
        <v>0.21596304375721817</v>
      </c>
      <c r="L312" s="6" t="s">
        <v>4091</v>
      </c>
      <c r="M312" s="6" t="str">
        <f t="shared" si="129"/>
        <v>=7.793*100000000</v>
      </c>
      <c r="N312" s="1">
        <f>7.793*100000000</f>
        <v>779300000</v>
      </c>
      <c r="O312" s="8">
        <f t="shared" si="130"/>
        <v>1.5761983471074381</v>
      </c>
      <c r="P312" s="6" t="s">
        <v>4092</v>
      </c>
      <c r="Q312" s="6" t="str">
        <f t="shared" si="131"/>
        <v>=3.025*100000000</v>
      </c>
      <c r="R312" s="11">
        <f>3.025*100000000</f>
        <v>302500000</v>
      </c>
      <c r="S312" s="8">
        <f t="shared" si="132"/>
        <v>-0.62450347567030784</v>
      </c>
      <c r="T312" s="6" t="s">
        <v>4093</v>
      </c>
      <c r="U312" s="6" t="str">
        <f t="shared" si="133"/>
        <v>=8.056*100000000</v>
      </c>
      <c r="V312" s="1">
        <f>8.056*100000000</f>
        <v>805599999.99999988</v>
      </c>
      <c r="W312" s="8">
        <f t="shared" si="134"/>
        <v>2.8416785884597036</v>
      </c>
      <c r="X312" s="6" t="s">
        <v>4094</v>
      </c>
      <c r="Y312" s="6" t="str">
        <f t="shared" si="135"/>
        <v>=2.097*100000000</v>
      </c>
      <c r="Z312" s="1">
        <f>2.097*100000000</f>
        <v>209700000</v>
      </c>
      <c r="AA312" s="8">
        <f t="shared" si="136"/>
        <v>-1.8169068952084144</v>
      </c>
      <c r="AB312" s="6">
        <f>-2.567*100000000</f>
        <v>-256700000.00000003</v>
      </c>
      <c r="AC312" s="6" t="str">
        <f t="shared" si="137"/>
        <v>=-256700000</v>
      </c>
      <c r="AD312" s="1">
        <f>-256700000</f>
        <v>-256700000</v>
      </c>
      <c r="AE312" s="8">
        <f t="shared" si="138"/>
        <v>-0.31345279486493716</v>
      </c>
      <c r="AF312" s="6">
        <f>-3.739*100000000</f>
        <v>-373900000</v>
      </c>
      <c r="AG312" s="6" t="str">
        <f t="shared" si="139"/>
        <v>=-373900000</v>
      </c>
      <c r="AH312" s="1">
        <f>-373900000</f>
        <v>-373900000</v>
      </c>
      <c r="AI312" s="8">
        <f t="shared" si="140"/>
        <v>-1.2384566326530613</v>
      </c>
      <c r="AJ312" s="6" t="s">
        <v>4095</v>
      </c>
      <c r="AK312" s="6" t="str">
        <f t="shared" si="141"/>
        <v>=15.68*100000000</v>
      </c>
      <c r="AL312" s="1">
        <f>15.68*100000000</f>
        <v>1568000000</v>
      </c>
      <c r="AM312" s="8">
        <f t="shared" si="142"/>
        <v>0.10422535211267606</v>
      </c>
      <c r="AN312" s="6" t="s">
        <v>50</v>
      </c>
      <c r="AO312" s="6" t="str">
        <f t="shared" si="143"/>
        <v>=14.20*100000000</v>
      </c>
      <c r="AP312" s="1">
        <f>14.2*100000000</f>
        <v>1420000000</v>
      </c>
      <c r="AQ312" s="8">
        <f t="shared" si="144"/>
        <v>0.14886731391585761</v>
      </c>
      <c r="AR312" s="6" t="s">
        <v>1800</v>
      </c>
      <c r="AS312" s="6" t="str">
        <f t="shared" si="145"/>
        <v>=12.36*100000000</v>
      </c>
      <c r="AT312" s="1">
        <f>12.36*100000000</f>
        <v>1236000000</v>
      </c>
      <c r="AU312" s="8">
        <f t="shared" si="146"/>
        <v>0.22619047619047619</v>
      </c>
      <c r="AV312" s="6" t="s">
        <v>1967</v>
      </c>
      <c r="AW312" s="6" t="str">
        <f t="shared" si="147"/>
        <v>=10.08*100000000</v>
      </c>
      <c r="AX312" s="1">
        <f>10.08*100000000</f>
        <v>1008000000</v>
      </c>
      <c r="AY312" s="10">
        <f t="shared" si="148"/>
        <v>-0.38045482483097726</v>
      </c>
      <c r="AZ312" s="6" t="s">
        <v>2636</v>
      </c>
      <c r="BA312" s="6" t="str">
        <f t="shared" si="149"/>
        <v>=16.27*100000000</v>
      </c>
      <c r="BB312" s="1">
        <f>16.27*100000000</f>
        <v>1627000000</v>
      </c>
      <c r="BC312" s="8">
        <f t="shared" si="150"/>
        <v>0.42096069868995634</v>
      </c>
      <c r="BD312" s="6" t="s">
        <v>3338</v>
      </c>
      <c r="BE312" s="6" t="str">
        <f t="shared" si="151"/>
        <v>=11.45*100000000</v>
      </c>
      <c r="BF312" s="1">
        <f>11.45*100000000</f>
        <v>1145000000</v>
      </c>
      <c r="BG312" s="8">
        <f t="shared" si="152"/>
        <v>0.39583079361209333</v>
      </c>
      <c r="BH312" s="6" t="s">
        <v>488</v>
      </c>
      <c r="BI312" s="6" t="str">
        <f t="shared" si="153"/>
        <v>=8.203*100000000</v>
      </c>
      <c r="BJ312" s="1">
        <f>8.203*100000000</f>
        <v>820299999.99999988</v>
      </c>
      <c r="BK312" s="6" t="s">
        <v>4096</v>
      </c>
      <c r="BL312" s="1" t="str">
        <f t="shared" si="125"/>
        <v>=3.278*100000000</v>
      </c>
      <c r="BM312" s="16">
        <f t="shared" si="154"/>
        <v>1.5024405125076263</v>
      </c>
      <c r="BN312" s="1">
        <f>3.278*100000000</f>
        <v>327800000</v>
      </c>
    </row>
    <row r="313" spans="1:66">
      <c r="A313" s="19"/>
      <c r="B313">
        <v>600269</v>
      </c>
      <c r="C313" t="s">
        <v>68</v>
      </c>
      <c r="D313" s="6" t="s">
        <v>4097</v>
      </c>
      <c r="E313" s="7" t="str">
        <f t="shared" si="124"/>
        <v>=9.961*100000000</v>
      </c>
      <c r="F313" s="1">
        <f>9.961*100000000</f>
        <v>996100000</v>
      </c>
      <c r="G313" s="8">
        <f t="shared" si="126"/>
        <v>0.46399176954732513</v>
      </c>
      <c r="H313" s="6" t="s">
        <v>4098</v>
      </c>
      <c r="I313" s="6" t="str">
        <f t="shared" si="127"/>
        <v>=6.804*100000000</v>
      </c>
      <c r="J313" s="1">
        <f>6.804*100000000</f>
        <v>680400000</v>
      </c>
      <c r="K313" s="10">
        <f t="shared" si="128"/>
        <v>0.20788212320255636</v>
      </c>
      <c r="L313" s="6" t="s">
        <v>4099</v>
      </c>
      <c r="M313" s="6" t="str">
        <f t="shared" si="129"/>
        <v>=5.633*100000000</v>
      </c>
      <c r="N313" s="1">
        <f>5.633*100000000</f>
        <v>563300000</v>
      </c>
      <c r="O313" s="8">
        <f t="shared" si="130"/>
        <v>1.626107226107226</v>
      </c>
      <c r="P313" s="6" t="s">
        <v>4100</v>
      </c>
      <c r="Q313" s="6" t="str">
        <f t="shared" si="131"/>
        <v>=2.145*100000000</v>
      </c>
      <c r="R313" s="11">
        <f>2.145*100000000</f>
        <v>214500000</v>
      </c>
      <c r="S313" s="8">
        <f t="shared" si="132"/>
        <v>-0.60620525059665875</v>
      </c>
      <c r="T313" s="6" t="s">
        <v>371</v>
      </c>
      <c r="U313" s="6" t="str">
        <f t="shared" si="133"/>
        <v>=5.447*100000000</v>
      </c>
      <c r="V313" s="1">
        <f>5.447*100000000</f>
        <v>544700000</v>
      </c>
      <c r="W313" s="8">
        <f t="shared" si="134"/>
        <v>4.9837416236405581</v>
      </c>
      <c r="X313" s="7" t="s">
        <v>2654</v>
      </c>
      <c r="Y313" s="6" t="str">
        <f t="shared" si="135"/>
        <v>=9103*10000</v>
      </c>
      <c r="Z313" s="1">
        <f>9103*10000</f>
        <v>91030000</v>
      </c>
      <c r="AA313" s="8">
        <f t="shared" si="136"/>
        <v>-1.38818763326226</v>
      </c>
      <c r="AB313" s="6">
        <f>-2.345*100000000</f>
        <v>-234500000.00000003</v>
      </c>
      <c r="AC313" s="6" t="str">
        <f t="shared" si="137"/>
        <v>=-234500000</v>
      </c>
      <c r="AD313" s="1">
        <f>-234500000</f>
        <v>-234500000</v>
      </c>
      <c r="AE313" s="8">
        <f t="shared" si="138"/>
        <v>-0.26025236593059936</v>
      </c>
      <c r="AF313" s="6">
        <f>-3.17*100000000</f>
        <v>-317000000</v>
      </c>
      <c r="AG313" s="6" t="str">
        <f t="shared" si="139"/>
        <v>=-317000000</v>
      </c>
      <c r="AH313" s="1">
        <f>-317000000</f>
        <v>-317000000</v>
      </c>
      <c r="AI313" s="8">
        <f t="shared" si="140"/>
        <v>-1.2948837209302326</v>
      </c>
      <c r="AJ313" s="6" t="s">
        <v>4101</v>
      </c>
      <c r="AK313" s="6" t="str">
        <f t="shared" si="141"/>
        <v>=10.75*100000000</v>
      </c>
      <c r="AL313" s="1">
        <f>10.75*100000000</f>
        <v>1075000000</v>
      </c>
      <c r="AM313" s="8">
        <f t="shared" si="142"/>
        <v>7.4999999999999997E-2</v>
      </c>
      <c r="AN313" s="6" t="s">
        <v>3783</v>
      </c>
      <c r="AO313" s="6" t="str">
        <f t="shared" si="143"/>
        <v>=10.00*100000000</v>
      </c>
      <c r="AP313" s="1">
        <f>10*100000000</f>
        <v>1000000000</v>
      </c>
      <c r="AQ313" s="8">
        <f t="shared" si="144"/>
        <v>0.13250283125707815</v>
      </c>
      <c r="AR313" s="6" t="s">
        <v>4102</v>
      </c>
      <c r="AS313" s="6" t="str">
        <f t="shared" si="145"/>
        <v>=8.830*100000000</v>
      </c>
      <c r="AT313" s="1">
        <f>8.83*100000000</f>
        <v>883000000</v>
      </c>
      <c r="AU313" s="8">
        <f t="shared" si="146"/>
        <v>0.20152401687304394</v>
      </c>
      <c r="AV313" s="6" t="s">
        <v>4103</v>
      </c>
      <c r="AW313" s="6" t="str">
        <f t="shared" si="147"/>
        <v>=7.349*100000000</v>
      </c>
      <c r="AX313" s="1">
        <f>7.349*100000000</f>
        <v>734900000</v>
      </c>
      <c r="AY313" s="10">
        <f t="shared" si="148"/>
        <v>-0.33852385238523852</v>
      </c>
      <c r="AZ313" s="6" t="s">
        <v>4104</v>
      </c>
      <c r="BA313" s="6" t="str">
        <f t="shared" si="149"/>
        <v>=11.11*100000000</v>
      </c>
      <c r="BB313" s="1">
        <f>11.11*100000000</f>
        <v>1111000000</v>
      </c>
      <c r="BC313" s="8">
        <f t="shared" si="150"/>
        <v>0.39362769693928751</v>
      </c>
      <c r="BD313" s="6" t="s">
        <v>4105</v>
      </c>
      <c r="BE313" s="6" t="str">
        <f t="shared" si="151"/>
        <v>=7.972*100000000</v>
      </c>
      <c r="BF313" s="1">
        <f>7.972*100000000</f>
        <v>797200000</v>
      </c>
      <c r="BG313" s="8">
        <f t="shared" si="152"/>
        <v>0.40031617776216405</v>
      </c>
      <c r="BH313" s="6" t="s">
        <v>4106</v>
      </c>
      <c r="BI313" s="6" t="str">
        <f t="shared" si="153"/>
        <v>=5.693*100000000</v>
      </c>
      <c r="BJ313" s="1">
        <f>5.693*100000000</f>
        <v>569300000</v>
      </c>
      <c r="BK313" s="6" t="s">
        <v>1778</v>
      </c>
      <c r="BL313" s="1" t="str">
        <f t="shared" si="125"/>
        <v>=2.210*100000000</v>
      </c>
      <c r="BM313" s="16">
        <f t="shared" si="154"/>
        <v>1.5760180995475113</v>
      </c>
      <c r="BN313" s="1">
        <f>2.21*100000000</f>
        <v>221000000</v>
      </c>
    </row>
    <row r="314" spans="1:66">
      <c r="A314" s="17">
        <v>79</v>
      </c>
      <c r="B314">
        <v>600271</v>
      </c>
      <c r="C314" t="s">
        <v>31</v>
      </c>
      <c r="D314" s="6" t="s">
        <v>4107</v>
      </c>
      <c r="E314" s="7" t="str">
        <f t="shared" si="124"/>
        <v>=235.2*100000000</v>
      </c>
      <c r="F314" s="1">
        <f>235.2*100000000</f>
        <v>23520000000</v>
      </c>
      <c r="G314" s="8">
        <f t="shared" si="126"/>
        <v>0.66101694915254239</v>
      </c>
      <c r="H314" s="6" t="s">
        <v>4108</v>
      </c>
      <c r="I314" s="6" t="str">
        <f t="shared" si="127"/>
        <v>=141.6*100000000</v>
      </c>
      <c r="J314" s="1">
        <f>141.6*100000000</f>
        <v>14160000000</v>
      </c>
      <c r="K314" s="10">
        <f t="shared" si="128"/>
        <v>0.54114061819764914</v>
      </c>
      <c r="L314" s="6" t="s">
        <v>4109</v>
      </c>
      <c r="M314" s="6" t="str">
        <f t="shared" si="129"/>
        <v>=91.88*100000000</v>
      </c>
      <c r="N314" s="1">
        <f>91.88*100000000</f>
        <v>9188000000</v>
      </c>
      <c r="O314" s="8">
        <f t="shared" si="130"/>
        <v>1.4659151905528718</v>
      </c>
      <c r="P314" s="6" t="s">
        <v>1187</v>
      </c>
      <c r="Q314" s="6" t="str">
        <f t="shared" si="131"/>
        <v>=37.26*100000000</v>
      </c>
      <c r="R314" s="11">
        <f>37.26*100000000</f>
        <v>3726000000</v>
      </c>
      <c r="S314" s="8">
        <f t="shared" si="132"/>
        <v>-0.82916093535075652</v>
      </c>
      <c r="T314" s="6" t="s">
        <v>4110</v>
      </c>
      <c r="U314" s="6" t="str">
        <f t="shared" si="133"/>
        <v>=218.1*100000000</v>
      </c>
      <c r="V314" s="1">
        <f>218.1*100000000</f>
        <v>21810000000</v>
      </c>
      <c r="W314" s="8">
        <f t="shared" si="134"/>
        <v>1.0064397424103035</v>
      </c>
      <c r="X314" s="6" t="s">
        <v>4111</v>
      </c>
      <c r="Y314" s="6" t="str">
        <f t="shared" si="135"/>
        <v>=108.7*100000000</v>
      </c>
      <c r="Z314" s="1">
        <f>108.7*100000000</f>
        <v>10870000000</v>
      </c>
      <c r="AA314" s="8">
        <f t="shared" si="136"/>
        <v>0.23242630385487528</v>
      </c>
      <c r="AB314" s="6" t="s">
        <v>4112</v>
      </c>
      <c r="AC314" s="6" t="str">
        <f t="shared" si="137"/>
        <v>=88.20*100000000</v>
      </c>
      <c r="AD314" s="1">
        <f>88.2*100000000</f>
        <v>8820000000</v>
      </c>
      <c r="AE314" s="8">
        <f t="shared" si="138"/>
        <v>1.2471337579617834</v>
      </c>
      <c r="AF314" s="6" t="s">
        <v>4113</v>
      </c>
      <c r="AG314" s="6" t="str">
        <f t="shared" si="139"/>
        <v>=39.25*100000000</v>
      </c>
      <c r="AH314" s="1">
        <f>39.25*100000000</f>
        <v>3925000000</v>
      </c>
      <c r="AI314" s="8">
        <f t="shared" si="140"/>
        <v>-0.88449087698646267</v>
      </c>
      <c r="AJ314" s="6" t="s">
        <v>4114</v>
      </c>
      <c r="AK314" s="6" t="str">
        <f t="shared" si="141"/>
        <v>=339.8*100000000</v>
      </c>
      <c r="AL314" s="1">
        <f>339.8*100000000</f>
        <v>33980000000</v>
      </c>
      <c r="AM314" s="8">
        <f t="shared" si="142"/>
        <v>0.77441253263707577</v>
      </c>
      <c r="AN314" s="6" t="s">
        <v>4115</v>
      </c>
      <c r="AO314" s="6" t="str">
        <f t="shared" si="143"/>
        <v>=191.5*100000000</v>
      </c>
      <c r="AP314" s="1">
        <f>191.5*100000000</f>
        <v>19150000000</v>
      </c>
      <c r="AQ314" s="8">
        <f t="shared" si="144"/>
        <v>0.60789252728799326</v>
      </c>
      <c r="AR314" s="6" t="s">
        <v>4116</v>
      </c>
      <c r="AS314" s="6" t="str">
        <f t="shared" si="145"/>
        <v>=119.1*100000000</v>
      </c>
      <c r="AT314" s="1">
        <f>119.1*100000000</f>
        <v>11910000000</v>
      </c>
      <c r="AU314" s="8">
        <f t="shared" si="146"/>
        <v>1.2249206052680739</v>
      </c>
      <c r="AV314" s="6" t="s">
        <v>4117</v>
      </c>
      <c r="AW314" s="6" t="str">
        <f t="shared" si="147"/>
        <v>=53.53*100000000</v>
      </c>
      <c r="AX314" s="1">
        <f>53.53*100000000</f>
        <v>5353000000</v>
      </c>
      <c r="AY314" s="10">
        <f t="shared" si="148"/>
        <v>-0.80841088045812448</v>
      </c>
      <c r="AZ314" s="6" t="s">
        <v>4118</v>
      </c>
      <c r="BA314" s="6" t="str">
        <f t="shared" si="149"/>
        <v>=279.4*100000000</v>
      </c>
      <c r="BB314" s="1">
        <f>279.4*100000000</f>
        <v>27939999999.999996</v>
      </c>
      <c r="BC314" s="8">
        <f t="shared" si="150"/>
        <v>0.20900043271311103</v>
      </c>
      <c r="BD314" s="6" t="s">
        <v>4119</v>
      </c>
      <c r="BE314" s="6" t="str">
        <f t="shared" si="151"/>
        <v>=231.1*100000000</v>
      </c>
      <c r="BF314" s="1">
        <f>231.1*100000000</f>
        <v>23110000000</v>
      </c>
      <c r="BG314" s="8">
        <f t="shared" si="152"/>
        <v>0.48331193838254155</v>
      </c>
      <c r="BH314" s="6" t="s">
        <v>4120</v>
      </c>
      <c r="BI314" s="6" t="str">
        <f t="shared" si="153"/>
        <v>=155.8*100000000</v>
      </c>
      <c r="BJ314" s="1">
        <f>155.8*100000000</f>
        <v>15580000000.000002</v>
      </c>
      <c r="BK314" s="6" t="s">
        <v>4121</v>
      </c>
      <c r="BL314" s="1" t="str">
        <f t="shared" si="125"/>
        <v>=54.71*100000000</v>
      </c>
      <c r="BM314" s="16">
        <f t="shared" si="154"/>
        <v>1.8477426430268693</v>
      </c>
      <c r="BN314" s="1">
        <f>54.71*100000000</f>
        <v>5471000000</v>
      </c>
    </row>
    <row r="315" spans="1:66">
      <c r="A315" s="18"/>
      <c r="B315">
        <v>600271</v>
      </c>
      <c r="C315" t="s">
        <v>48</v>
      </c>
      <c r="D315" s="6" t="s">
        <v>1427</v>
      </c>
      <c r="E315" s="7" t="str">
        <f t="shared" si="124"/>
        <v>=26.93*100000000</v>
      </c>
      <c r="F315" s="1">
        <f>26.93*100000000</f>
        <v>2693000000</v>
      </c>
      <c r="G315" s="8">
        <f t="shared" si="126"/>
        <v>0.7893687707641196</v>
      </c>
      <c r="H315" s="6" t="s">
        <v>4122</v>
      </c>
      <c r="I315" s="6" t="str">
        <f t="shared" si="127"/>
        <v>=15.05*100000000</v>
      </c>
      <c r="J315" s="1">
        <f>15.05*100000000</f>
        <v>1505000000</v>
      </c>
      <c r="K315" s="10">
        <f t="shared" si="128"/>
        <v>0.52667883952120109</v>
      </c>
      <c r="L315" s="6" t="s">
        <v>4123</v>
      </c>
      <c r="M315" s="6" t="str">
        <f t="shared" si="129"/>
        <v>=9.858*100000000</v>
      </c>
      <c r="N315" s="1">
        <f>9.858*100000000</f>
        <v>985800000</v>
      </c>
      <c r="O315" s="8">
        <f t="shared" si="130"/>
        <v>0.64491907225095946</v>
      </c>
      <c r="P315" s="6" t="s">
        <v>4124</v>
      </c>
      <c r="Q315" s="6" t="str">
        <f t="shared" si="131"/>
        <v>=5.993*100000000</v>
      </c>
      <c r="R315" s="11">
        <f>5.993*100000000</f>
        <v>599300000</v>
      </c>
      <c r="S315" s="8">
        <f t="shared" si="132"/>
        <v>-0.75173985086992545</v>
      </c>
      <c r="T315" s="6" t="s">
        <v>4125</v>
      </c>
      <c r="U315" s="6" t="str">
        <f t="shared" si="133"/>
        <v>=24.14*100000000</v>
      </c>
      <c r="V315" s="1">
        <f>24.14*100000000</f>
        <v>2414000000</v>
      </c>
      <c r="W315" s="8">
        <f t="shared" si="134"/>
        <v>1.6142516785791639</v>
      </c>
      <c r="X315" s="6" t="s">
        <v>4126</v>
      </c>
      <c r="Y315" s="6" t="str">
        <f t="shared" si="135"/>
        <v>=9.234*100000000</v>
      </c>
      <c r="Z315" s="1">
        <f>9.234*100000000</f>
        <v>923400000</v>
      </c>
      <c r="AA315" s="8">
        <f t="shared" si="136"/>
        <v>0.77202072538860078</v>
      </c>
      <c r="AB315" s="6" t="s">
        <v>4127</v>
      </c>
      <c r="AC315" s="6" t="str">
        <f t="shared" si="137"/>
        <v>=5.211*100000000</v>
      </c>
      <c r="AD315" s="1">
        <f>5.211*100000000</f>
        <v>521100000.00000006</v>
      </c>
      <c r="AE315" s="8">
        <f t="shared" si="138"/>
        <v>-2.3468596536572757</v>
      </c>
      <c r="AF315" s="6">
        <f>-3.869*100000000</f>
        <v>-386900000</v>
      </c>
      <c r="AG315" s="6" t="str">
        <f t="shared" si="139"/>
        <v>=-386900000</v>
      </c>
      <c r="AH315" s="1">
        <f>-386900000</f>
        <v>-386900000</v>
      </c>
      <c r="AI315" s="8">
        <f t="shared" si="140"/>
        <v>-1.1319127173542447</v>
      </c>
      <c r="AJ315" s="6" t="s">
        <v>4128</v>
      </c>
      <c r="AK315" s="6" t="str">
        <f t="shared" si="141"/>
        <v>=29.33*100000000</v>
      </c>
      <c r="AL315" s="1">
        <f>29.33*100000000</f>
        <v>2933000000</v>
      </c>
      <c r="AM315" s="8">
        <f t="shared" si="142"/>
        <v>0.40066857688634178</v>
      </c>
      <c r="AN315" s="6" t="s">
        <v>4129</v>
      </c>
      <c r="AO315" s="6" t="str">
        <f t="shared" si="143"/>
        <v>=20.94*100000000</v>
      </c>
      <c r="AP315" s="1">
        <f>20.94*100000000</f>
        <v>2094000000.0000002</v>
      </c>
      <c r="AQ315" s="8">
        <f t="shared" si="144"/>
        <v>0.58157099697885217</v>
      </c>
      <c r="AR315" s="6" t="s">
        <v>4130</v>
      </c>
      <c r="AS315" s="6" t="str">
        <f t="shared" si="145"/>
        <v>=13.24*100000000</v>
      </c>
      <c r="AT315" s="1">
        <f>13.24*100000000</f>
        <v>1324000000</v>
      </c>
      <c r="AU315" s="8">
        <f t="shared" si="146"/>
        <v>0.68191056910569103</v>
      </c>
      <c r="AV315" s="6" t="s">
        <v>4131</v>
      </c>
      <c r="AW315" s="6" t="str">
        <f t="shared" si="147"/>
        <v>=7.872*100000000</v>
      </c>
      <c r="AX315" s="1">
        <f>7.872*100000000</f>
        <v>787200000</v>
      </c>
      <c r="AY315" s="10">
        <f t="shared" si="148"/>
        <v>-0.76847058823529413</v>
      </c>
      <c r="AZ315" s="6" t="s">
        <v>4132</v>
      </c>
      <c r="BA315" s="6" t="str">
        <f t="shared" si="149"/>
        <v>=34.00*100000000</v>
      </c>
      <c r="BB315" s="1">
        <f>34*100000000</f>
        <v>3400000000</v>
      </c>
      <c r="BC315" s="8">
        <f t="shared" si="150"/>
        <v>0.79041600842548732</v>
      </c>
      <c r="BD315" s="6" t="s">
        <v>4133</v>
      </c>
      <c r="BE315" s="6" t="str">
        <f t="shared" si="151"/>
        <v>=18.99*100000000</v>
      </c>
      <c r="BF315" s="1">
        <f>18.99*100000000</f>
        <v>1898999999.9999998</v>
      </c>
      <c r="BG315" s="8">
        <f t="shared" si="152"/>
        <v>0.82245681381957747</v>
      </c>
      <c r="BH315" s="6" t="s">
        <v>1643</v>
      </c>
      <c r="BI315" s="6" t="str">
        <f t="shared" si="153"/>
        <v>=10.42*100000000</v>
      </c>
      <c r="BJ315" s="1">
        <f>10.42*100000000</f>
        <v>1042000000</v>
      </c>
      <c r="BK315" s="6" t="s">
        <v>4134</v>
      </c>
      <c r="BL315" s="1" t="str">
        <f t="shared" si="125"/>
        <v>=3.722*100000000</v>
      </c>
      <c r="BM315" s="16">
        <f t="shared" si="154"/>
        <v>1.7995701235894681</v>
      </c>
      <c r="BN315" s="1">
        <f>3.722*100000000</f>
        <v>372200000</v>
      </c>
    </row>
    <row r="316" spans="1:66">
      <c r="A316" s="18"/>
      <c r="B316">
        <v>600271</v>
      </c>
      <c r="C316" t="s">
        <v>58</v>
      </c>
      <c r="D316" s="6" t="s">
        <v>4135</v>
      </c>
      <c r="E316" s="7" t="str">
        <f t="shared" si="124"/>
        <v>=27.05*100000000</v>
      </c>
      <c r="F316" s="1">
        <f>27.05*100000000</f>
        <v>2705000000</v>
      </c>
      <c r="G316" s="8">
        <f t="shared" si="126"/>
        <v>0.77144728225278325</v>
      </c>
      <c r="H316" s="6" t="s">
        <v>4136</v>
      </c>
      <c r="I316" s="6" t="str">
        <f t="shared" si="127"/>
        <v>=15.27*100000000</v>
      </c>
      <c r="J316" s="1">
        <f>15.27*100000000</f>
        <v>1527000000</v>
      </c>
      <c r="K316" s="10">
        <f t="shared" si="128"/>
        <v>0.51038575667655783</v>
      </c>
      <c r="L316" s="6" t="s">
        <v>3662</v>
      </c>
      <c r="M316" s="6" t="str">
        <f t="shared" si="129"/>
        <v>=10.11*100000000</v>
      </c>
      <c r="N316" s="1">
        <f>10.11*100000000</f>
        <v>1011000000</v>
      </c>
      <c r="O316" s="8">
        <f t="shared" si="130"/>
        <v>0.6763389156027193</v>
      </c>
      <c r="P316" s="6" t="s">
        <v>4137</v>
      </c>
      <c r="Q316" s="6" t="str">
        <f t="shared" si="131"/>
        <v>=6.031*100000000</v>
      </c>
      <c r="R316" s="11">
        <f>6.031*100000000</f>
        <v>603100000</v>
      </c>
      <c r="S316" s="8">
        <f t="shared" si="132"/>
        <v>-0.74797325532804015</v>
      </c>
      <c r="T316" s="6" t="s">
        <v>4138</v>
      </c>
      <c r="U316" s="6" t="str">
        <f t="shared" si="133"/>
        <v>=23.93*100000000</v>
      </c>
      <c r="V316" s="1">
        <f>23.93*100000000</f>
        <v>2393000000</v>
      </c>
      <c r="W316" s="8">
        <f t="shared" si="134"/>
        <v>1.6002390524828862</v>
      </c>
      <c r="X316" s="6" t="s">
        <v>4139</v>
      </c>
      <c r="Y316" s="6" t="str">
        <f t="shared" si="135"/>
        <v>=9.203*100000000</v>
      </c>
      <c r="Z316" s="1">
        <f>9.203*100000000</f>
        <v>920299999.99999988</v>
      </c>
      <c r="AA316" s="8">
        <f t="shared" si="136"/>
        <v>0.74332259897707875</v>
      </c>
      <c r="AB316" s="6" t="s">
        <v>4140</v>
      </c>
      <c r="AC316" s="6" t="str">
        <f t="shared" si="137"/>
        <v>=5.279*100000000</v>
      </c>
      <c r="AD316" s="1">
        <f>5.279*100000000</f>
        <v>527900000</v>
      </c>
      <c r="AE316" s="8">
        <f t="shared" si="138"/>
        <v>-2.372594903796152</v>
      </c>
      <c r="AF316" s="6">
        <f>-3.846*100000000</f>
        <v>-384600000</v>
      </c>
      <c r="AG316" s="6" t="str">
        <f t="shared" si="139"/>
        <v>=-384600000</v>
      </c>
      <c r="AH316" s="1">
        <f>-384600000</f>
        <v>-384600000</v>
      </c>
      <c r="AI316" s="8">
        <f t="shared" si="140"/>
        <v>-1.1284569138276552</v>
      </c>
      <c r="AJ316" s="6" t="s">
        <v>4141</v>
      </c>
      <c r="AK316" s="6" t="str">
        <f t="shared" si="141"/>
        <v>=29.94*100000000</v>
      </c>
      <c r="AL316" s="1">
        <f>29.94*100000000</f>
        <v>2994000000</v>
      </c>
      <c r="AM316" s="8">
        <f t="shared" si="142"/>
        <v>0.41359773371104813</v>
      </c>
      <c r="AN316" s="6" t="s">
        <v>4142</v>
      </c>
      <c r="AO316" s="6" t="str">
        <f t="shared" si="143"/>
        <v>=21.18*100000000</v>
      </c>
      <c r="AP316" s="1">
        <f>21.18*100000000</f>
        <v>2118000000</v>
      </c>
      <c r="AQ316" s="8">
        <f t="shared" si="144"/>
        <v>0.5829596412556054</v>
      </c>
      <c r="AR316" s="6" t="s">
        <v>4143</v>
      </c>
      <c r="AS316" s="6" t="str">
        <f t="shared" si="145"/>
        <v>=13.38*100000000</v>
      </c>
      <c r="AT316" s="1">
        <f>13.38*100000000</f>
        <v>1338000000</v>
      </c>
      <c r="AU316" s="8">
        <f t="shared" si="146"/>
        <v>0.69495819609830256</v>
      </c>
      <c r="AV316" s="6" t="s">
        <v>4144</v>
      </c>
      <c r="AW316" s="6" t="str">
        <f t="shared" si="147"/>
        <v>=7.894*100000000</v>
      </c>
      <c r="AX316" s="1">
        <f>7.894*100000000</f>
        <v>789400000</v>
      </c>
      <c r="AY316" s="10">
        <f t="shared" si="148"/>
        <v>-0.76449880668257764</v>
      </c>
      <c r="AZ316" s="6" t="s">
        <v>4145</v>
      </c>
      <c r="BA316" s="6" t="str">
        <f t="shared" si="149"/>
        <v>=33.52*100000000</v>
      </c>
      <c r="BB316" s="1">
        <f>33.52*100000000</f>
        <v>3352000000.0000005</v>
      </c>
      <c r="BC316" s="8">
        <f t="shared" si="150"/>
        <v>0.75313807531380783</v>
      </c>
      <c r="BD316" s="6" t="s">
        <v>4146</v>
      </c>
      <c r="BE316" s="6" t="str">
        <f t="shared" si="151"/>
        <v>=19.12*100000000</v>
      </c>
      <c r="BF316" s="1">
        <f>19.12*100000000</f>
        <v>1912000000</v>
      </c>
      <c r="BG316" s="8">
        <f t="shared" si="152"/>
        <v>0.81232227488151643</v>
      </c>
      <c r="BH316" s="6" t="s">
        <v>3050</v>
      </c>
      <c r="BI316" s="6" t="str">
        <f t="shared" si="153"/>
        <v>=10.55*100000000</v>
      </c>
      <c r="BJ316" s="1">
        <f>10.55*100000000</f>
        <v>1055000000.0000001</v>
      </c>
      <c r="BK316" s="6" t="s">
        <v>4147</v>
      </c>
      <c r="BL316" s="1" t="str">
        <f t="shared" si="125"/>
        <v>=3.771*100000000</v>
      </c>
      <c r="BM316" s="16">
        <f t="shared" si="154"/>
        <v>1.7976664014850177</v>
      </c>
      <c r="BN316" s="1">
        <f>3.771*100000000</f>
        <v>377100000</v>
      </c>
    </row>
    <row r="317" spans="1:66">
      <c r="A317" s="19"/>
      <c r="B317">
        <v>600271</v>
      </c>
      <c r="C317" t="s">
        <v>68</v>
      </c>
      <c r="D317" s="6" t="s">
        <v>4148</v>
      </c>
      <c r="E317" s="7" t="str">
        <f t="shared" si="124"/>
        <v>=22.44*100000000</v>
      </c>
      <c r="F317" s="1">
        <f>22.44*100000000</f>
        <v>2244000000</v>
      </c>
      <c r="G317" s="8">
        <f t="shared" si="126"/>
        <v>0.744945567651633</v>
      </c>
      <c r="H317" s="6" t="s">
        <v>1682</v>
      </c>
      <c r="I317" s="6" t="str">
        <f t="shared" si="127"/>
        <v>=12.86*100000000</v>
      </c>
      <c r="J317" s="1">
        <f>12.86*100000000</f>
        <v>1286000000</v>
      </c>
      <c r="K317" s="10">
        <f t="shared" si="128"/>
        <v>0.51240738562860166</v>
      </c>
      <c r="L317" s="6" t="s">
        <v>4149</v>
      </c>
      <c r="M317" s="6" t="str">
        <f t="shared" si="129"/>
        <v>=8.503*100000000</v>
      </c>
      <c r="N317" s="1">
        <f>8.503*100000000</f>
        <v>850300000</v>
      </c>
      <c r="O317" s="8">
        <f t="shared" si="130"/>
        <v>0.81999143835616439</v>
      </c>
      <c r="P317" s="6" t="s">
        <v>4150</v>
      </c>
      <c r="Q317" s="6" t="str">
        <f t="shared" si="131"/>
        <v>=4.672*100000000</v>
      </c>
      <c r="R317" s="11">
        <f>4.672*100000000</f>
        <v>467200000</v>
      </c>
      <c r="S317" s="8">
        <f t="shared" si="132"/>
        <v>-0.77516843118383061</v>
      </c>
      <c r="T317" s="6" t="s">
        <v>4151</v>
      </c>
      <c r="U317" s="6" t="str">
        <f t="shared" si="133"/>
        <v>=20.78*100000000</v>
      </c>
      <c r="V317" s="1">
        <f>20.78*100000000</f>
        <v>2078000000</v>
      </c>
      <c r="W317" s="8">
        <f t="shared" si="134"/>
        <v>1.7581629944252721</v>
      </c>
      <c r="X317" s="6" t="s">
        <v>4152</v>
      </c>
      <c r="Y317" s="6" t="str">
        <f t="shared" si="135"/>
        <v>=7.534*100000000</v>
      </c>
      <c r="Z317" s="1">
        <f>7.534*100000000</f>
        <v>753400000</v>
      </c>
      <c r="AA317" s="8">
        <f t="shared" si="136"/>
        <v>0.57220367278798001</v>
      </c>
      <c r="AB317" s="6" t="s">
        <v>4153</v>
      </c>
      <c r="AC317" s="6" t="str">
        <f t="shared" si="137"/>
        <v>=4.792*100000000</v>
      </c>
      <c r="AD317" s="1">
        <f>4.792*100000000</f>
        <v>479200000</v>
      </c>
      <c r="AE317" s="8">
        <f t="shared" si="138"/>
        <v>-2.3325917686318132</v>
      </c>
      <c r="AF317" s="6">
        <f>-3.596*100000000</f>
        <v>-359600000</v>
      </c>
      <c r="AG317" s="6" t="str">
        <f t="shared" si="139"/>
        <v>=-359600000</v>
      </c>
      <c r="AH317" s="1">
        <f>-359600000</f>
        <v>-359600000</v>
      </c>
      <c r="AI317" s="8">
        <f t="shared" si="140"/>
        <v>-1.1484110606685927</v>
      </c>
      <c r="AJ317" s="6" t="s">
        <v>4154</v>
      </c>
      <c r="AK317" s="6" t="str">
        <f t="shared" si="141"/>
        <v>=24.23*100000000</v>
      </c>
      <c r="AL317" s="1">
        <f>24.23*100000000</f>
        <v>2423000000</v>
      </c>
      <c r="AM317" s="8">
        <f t="shared" si="142"/>
        <v>0.40626813697040048</v>
      </c>
      <c r="AN317" s="6" t="s">
        <v>149</v>
      </c>
      <c r="AO317" s="6" t="str">
        <f t="shared" si="143"/>
        <v>=17.23*100000000</v>
      </c>
      <c r="AP317" s="1">
        <f>17.23*100000000</f>
        <v>1723000000</v>
      </c>
      <c r="AQ317" s="8">
        <f t="shared" si="144"/>
        <v>0.5663636363636364</v>
      </c>
      <c r="AR317" s="6" t="s">
        <v>4155</v>
      </c>
      <c r="AS317" s="6" t="str">
        <f t="shared" si="145"/>
        <v>=11.00*100000000</v>
      </c>
      <c r="AT317" s="1">
        <f>11*100000000</f>
        <v>1100000000</v>
      </c>
      <c r="AU317" s="8">
        <f t="shared" si="146"/>
        <v>0.62409567399970467</v>
      </c>
      <c r="AV317" s="6" t="s">
        <v>4156</v>
      </c>
      <c r="AW317" s="6" t="str">
        <f t="shared" si="147"/>
        <v>=6.773*100000000</v>
      </c>
      <c r="AX317" s="1">
        <f>6.773*100000000</f>
        <v>677300000</v>
      </c>
      <c r="AY317" s="10">
        <f t="shared" si="148"/>
        <v>-0.7556637806637807</v>
      </c>
      <c r="AZ317" s="6" t="s">
        <v>1866</v>
      </c>
      <c r="BA317" s="6" t="str">
        <f t="shared" si="149"/>
        <v>=27.72*100000000</v>
      </c>
      <c r="BB317" s="1">
        <f>27.72*100000000</f>
        <v>2772000000</v>
      </c>
      <c r="BC317" s="8">
        <f t="shared" si="150"/>
        <v>0.77920410783055194</v>
      </c>
      <c r="BD317" s="6" t="s">
        <v>4157</v>
      </c>
      <c r="BE317" s="6" t="str">
        <f t="shared" si="151"/>
        <v>=15.58*100000000</v>
      </c>
      <c r="BF317" s="1">
        <f>15.58*100000000</f>
        <v>1558000000</v>
      </c>
      <c r="BG317" s="8">
        <f t="shared" si="152"/>
        <v>0.79907621247113159</v>
      </c>
      <c r="BH317" s="6" t="s">
        <v>4158</v>
      </c>
      <c r="BI317" s="6" t="str">
        <f t="shared" si="153"/>
        <v>=8.660*100000000</v>
      </c>
      <c r="BJ317" s="1">
        <f>8.66*100000000</f>
        <v>866000000</v>
      </c>
      <c r="BK317" s="6" t="s">
        <v>4159</v>
      </c>
      <c r="BL317" s="1" t="str">
        <f t="shared" si="125"/>
        <v>=2.976*100000000</v>
      </c>
      <c r="BM317" s="16">
        <f t="shared" si="154"/>
        <v>1.9099462365591398</v>
      </c>
      <c r="BN317" s="1">
        <f>2.976*100000000</f>
        <v>297600000</v>
      </c>
    </row>
    <row r="318" spans="1:66">
      <c r="A318" s="17">
        <v>80</v>
      </c>
      <c r="B318">
        <v>600272</v>
      </c>
      <c r="C318" t="s">
        <v>31</v>
      </c>
      <c r="D318" s="6" t="s">
        <v>4160</v>
      </c>
      <c r="E318" s="7" t="str">
        <f t="shared" si="124"/>
        <v>=6.698*100000000</v>
      </c>
      <c r="F318" s="1">
        <f>6.698*100000000</f>
        <v>669800000</v>
      </c>
      <c r="G318" s="8">
        <f t="shared" si="126"/>
        <v>0.37507698624512403</v>
      </c>
      <c r="H318" s="6" t="s">
        <v>1828</v>
      </c>
      <c r="I318" s="6" t="str">
        <f t="shared" si="127"/>
        <v>=4.871*100000000</v>
      </c>
      <c r="J318" s="1">
        <f>4.871*100000000</f>
        <v>487100000.00000006</v>
      </c>
      <c r="K318" s="10">
        <f t="shared" si="128"/>
        <v>0.44927105028265413</v>
      </c>
      <c r="L318" s="6" t="s">
        <v>4161</v>
      </c>
      <c r="M318" s="6" t="str">
        <f t="shared" si="129"/>
        <v>=3.361*100000000</v>
      </c>
      <c r="N318" s="1">
        <f>3.361*100000000</f>
        <v>336100000</v>
      </c>
      <c r="O318" s="8">
        <f t="shared" si="130"/>
        <v>0.75509138381201046</v>
      </c>
      <c r="P318" s="6" t="s">
        <v>4162</v>
      </c>
      <c r="Q318" s="6" t="str">
        <f t="shared" si="131"/>
        <v>=1.915*100000000</v>
      </c>
      <c r="R318" s="11">
        <f>1.915*100000000</f>
        <v>191500000</v>
      </c>
      <c r="S318" s="8">
        <f t="shared" si="132"/>
        <v>-0.74862168548175378</v>
      </c>
      <c r="T318" s="6" t="s">
        <v>4163</v>
      </c>
      <c r="U318" s="6" t="str">
        <f t="shared" si="133"/>
        <v>=7.618*100000000</v>
      </c>
      <c r="V318" s="1">
        <f>7.618*100000000</f>
        <v>761800000</v>
      </c>
      <c r="W318" s="8">
        <f t="shared" si="134"/>
        <v>0.29601905410003404</v>
      </c>
      <c r="X318" s="6" t="s">
        <v>1098</v>
      </c>
      <c r="Y318" s="6" t="str">
        <f t="shared" si="135"/>
        <v>=5.878*100000000</v>
      </c>
      <c r="Z318" s="1">
        <f>5.878*100000000</f>
        <v>587800000</v>
      </c>
      <c r="AA318" s="8">
        <f t="shared" si="136"/>
        <v>0.49112125824454589</v>
      </c>
      <c r="AB318" s="6" t="s">
        <v>4164</v>
      </c>
      <c r="AC318" s="6" t="str">
        <f t="shared" si="137"/>
        <v>=3.942*100000000</v>
      </c>
      <c r="AD318" s="1">
        <f>3.942*100000000</f>
        <v>394200000</v>
      </c>
      <c r="AE318" s="8">
        <f t="shared" si="138"/>
        <v>0.87714285714285711</v>
      </c>
      <c r="AF318" s="6" t="s">
        <v>4165</v>
      </c>
      <c r="AG318" s="6" t="str">
        <f t="shared" si="139"/>
        <v>=2.100*100000000</v>
      </c>
      <c r="AH318" s="1">
        <f>2.1*100000000</f>
        <v>210000000</v>
      </c>
      <c r="AI318" s="8">
        <f t="shared" si="140"/>
        <v>-0.75873161764705888</v>
      </c>
      <c r="AJ318" s="6" t="s">
        <v>4166</v>
      </c>
      <c r="AK318" s="6" t="str">
        <f t="shared" si="141"/>
        <v>=8.704*100000000</v>
      </c>
      <c r="AL318" s="1">
        <f>8.704*100000000</f>
        <v>870400000.00000012</v>
      </c>
      <c r="AM318" s="8">
        <f t="shared" si="142"/>
        <v>0.35936279868811516</v>
      </c>
      <c r="AN318" s="6" t="s">
        <v>4167</v>
      </c>
      <c r="AO318" s="6" t="str">
        <f t="shared" si="143"/>
        <v>=6.403*100000000</v>
      </c>
      <c r="AP318" s="1">
        <f>6.403*100000000</f>
        <v>640300000</v>
      </c>
      <c r="AQ318" s="8">
        <f t="shared" si="144"/>
        <v>0.45061169007702784</v>
      </c>
      <c r="AR318" s="6" t="s">
        <v>4168</v>
      </c>
      <c r="AS318" s="6" t="str">
        <f t="shared" si="145"/>
        <v>=4.414*100000000</v>
      </c>
      <c r="AT318" s="1">
        <f>4.414*100000000</f>
        <v>441399999.99999994</v>
      </c>
      <c r="AU318" s="8">
        <f t="shared" si="146"/>
        <v>0.72691705790297312</v>
      </c>
      <c r="AV318" s="6" t="s">
        <v>4169</v>
      </c>
      <c r="AW318" s="6" t="str">
        <f t="shared" si="147"/>
        <v>=2.556*100000000</v>
      </c>
      <c r="AX318" s="1">
        <f>2.556*100000000</f>
        <v>255600000</v>
      </c>
      <c r="AY318" s="10">
        <f t="shared" si="148"/>
        <v>-0.70875113947128532</v>
      </c>
      <c r="AZ318" s="6" t="s">
        <v>4170</v>
      </c>
      <c r="BA318" s="6" t="str">
        <f t="shared" si="149"/>
        <v>=8.776*100000000</v>
      </c>
      <c r="BB318" s="1">
        <f>8.776*100000000</f>
        <v>877600000</v>
      </c>
      <c r="BC318" s="8">
        <f t="shared" si="150"/>
        <v>0.36485225505443236</v>
      </c>
      <c r="BD318" s="6" t="s">
        <v>4171</v>
      </c>
      <c r="BE318" s="6" t="str">
        <f t="shared" si="151"/>
        <v>=6.430*100000000</v>
      </c>
      <c r="BF318" s="1">
        <f>6.43*100000000</f>
        <v>643000000</v>
      </c>
      <c r="BG318" s="8">
        <f t="shared" si="152"/>
        <v>0.44722034661264931</v>
      </c>
      <c r="BH318" s="6" t="s">
        <v>4172</v>
      </c>
      <c r="BI318" s="6" t="str">
        <f t="shared" si="153"/>
        <v>=4.443*100000000</v>
      </c>
      <c r="BJ318" s="1">
        <f>4.443*100000000</f>
        <v>444299999.99999994</v>
      </c>
      <c r="BK318" s="6" t="s">
        <v>4173</v>
      </c>
      <c r="BL318" s="1" t="str">
        <f t="shared" si="125"/>
        <v>=2.461*100000000</v>
      </c>
      <c r="BM318" s="16">
        <f t="shared" si="154"/>
        <v>0.80536367330353487</v>
      </c>
      <c r="BN318" s="1">
        <f>2.461*100000000</f>
        <v>246100000</v>
      </c>
    </row>
    <row r="319" spans="1:66">
      <c r="A319" s="18"/>
      <c r="B319">
        <v>600272</v>
      </c>
      <c r="C319" t="s">
        <v>48</v>
      </c>
      <c r="D319" s="7" t="s">
        <v>4174</v>
      </c>
      <c r="E319" s="7" t="str">
        <f t="shared" si="124"/>
        <v>=2572*10000</v>
      </c>
      <c r="F319" s="1">
        <f>2572*10000</f>
        <v>25720000</v>
      </c>
      <c r="G319" s="8">
        <f t="shared" si="126"/>
        <v>1.0283911671924291</v>
      </c>
      <c r="H319" s="7" t="s">
        <v>3773</v>
      </c>
      <c r="I319" s="6" t="str">
        <f t="shared" si="127"/>
        <v>=1268*10000</v>
      </c>
      <c r="J319" s="1">
        <f>1268*10000</f>
        <v>12680000</v>
      </c>
      <c r="K319" s="10">
        <f t="shared" si="128"/>
        <v>0.12014134275618374</v>
      </c>
      <c r="L319" s="7" t="s">
        <v>4175</v>
      </c>
      <c r="M319" s="6" t="str">
        <f t="shared" si="129"/>
        <v>=1132*10000</v>
      </c>
      <c r="N319" s="1">
        <f>1132*10000</f>
        <v>11320000</v>
      </c>
      <c r="O319" s="8">
        <f t="shared" si="130"/>
        <v>2.2954876273653566</v>
      </c>
      <c r="P319" s="7" t="s">
        <v>4176</v>
      </c>
      <c r="Q319" s="6" t="str">
        <f t="shared" si="131"/>
        <v>=343.5*10000</v>
      </c>
      <c r="R319" s="11">
        <f>343.5*10000</f>
        <v>3435000</v>
      </c>
      <c r="S319" s="8">
        <f t="shared" si="132"/>
        <v>-0.85370528109028965</v>
      </c>
      <c r="T319" s="7" t="s">
        <v>2213</v>
      </c>
      <c r="U319" s="6" t="str">
        <f t="shared" si="133"/>
        <v>=2348*10000</v>
      </c>
      <c r="V319" s="1">
        <f>2348*10000</f>
        <v>23480000</v>
      </c>
      <c r="W319" s="8">
        <f t="shared" si="134"/>
        <v>0.75093214019388521</v>
      </c>
      <c r="X319" s="7" t="s">
        <v>4177</v>
      </c>
      <c r="Y319" s="6" t="str">
        <f t="shared" si="135"/>
        <v>=1341*10000</v>
      </c>
      <c r="Z319" s="1">
        <f>1341*10000</f>
        <v>13410000</v>
      </c>
      <c r="AA319" s="8">
        <f t="shared" si="136"/>
        <v>0.34140242072621785</v>
      </c>
      <c r="AB319" s="7" t="s">
        <v>4178</v>
      </c>
      <c r="AC319" s="6" t="str">
        <f t="shared" si="137"/>
        <v>=999.7*10000</v>
      </c>
      <c r="AD319" s="1">
        <f>999.7*10000</f>
        <v>9997000</v>
      </c>
      <c r="AE319" s="8">
        <f t="shared" si="138"/>
        <v>0.55959438377535098</v>
      </c>
      <c r="AF319" s="7" t="s">
        <v>4179</v>
      </c>
      <c r="AG319" s="6" t="str">
        <f t="shared" si="139"/>
        <v>=641.0*10000</v>
      </c>
      <c r="AH319" s="1">
        <f>641*10000</f>
        <v>6410000</v>
      </c>
      <c r="AI319" s="8">
        <f t="shared" si="140"/>
        <v>-0.80831339712918659</v>
      </c>
      <c r="AJ319" s="7" t="s">
        <v>4180</v>
      </c>
      <c r="AK319" s="6" t="str">
        <f t="shared" si="141"/>
        <v>=3344*10000</v>
      </c>
      <c r="AL319" s="1">
        <f>3344*10000</f>
        <v>33440000</v>
      </c>
      <c r="AM319" s="8">
        <f t="shared" si="142"/>
        <v>0.28962591592749709</v>
      </c>
      <c r="AN319" s="7" t="s">
        <v>4181</v>
      </c>
      <c r="AO319" s="6" t="str">
        <f t="shared" si="143"/>
        <v>=2593*10000</v>
      </c>
      <c r="AP319" s="1">
        <f>2593*10000</f>
        <v>25930000</v>
      </c>
      <c r="AQ319" s="8">
        <f t="shared" si="144"/>
        <v>0.347012987012987</v>
      </c>
      <c r="AR319" s="7" t="s">
        <v>4182</v>
      </c>
      <c r="AS319" s="6" t="str">
        <f t="shared" si="145"/>
        <v>=1925*10000</v>
      </c>
      <c r="AT319" s="1">
        <f>1925*10000</f>
        <v>19250000</v>
      </c>
      <c r="AU319" s="8">
        <f t="shared" si="146"/>
        <v>0.89842209072978307</v>
      </c>
      <c r="AV319" s="7" t="s">
        <v>4183</v>
      </c>
      <c r="AW319" s="6" t="str">
        <f t="shared" si="147"/>
        <v>=1014*10000</v>
      </c>
      <c r="AX319" s="1">
        <f>1014*10000</f>
        <v>10140000</v>
      </c>
      <c r="AY319" s="10">
        <f t="shared" si="148"/>
        <v>-0.78221649484536082</v>
      </c>
      <c r="AZ319" s="7" t="s">
        <v>2832</v>
      </c>
      <c r="BA319" s="6" t="str">
        <f t="shared" si="149"/>
        <v>=4656*10000</v>
      </c>
      <c r="BB319" s="1">
        <f>4656*10000</f>
        <v>46560000</v>
      </c>
      <c r="BC319" s="8">
        <f t="shared" si="150"/>
        <v>0.17486752460257382</v>
      </c>
      <c r="BD319" s="7" t="s">
        <v>4184</v>
      </c>
      <c r="BE319" s="6" t="str">
        <f t="shared" si="151"/>
        <v>=3963*10000</v>
      </c>
      <c r="BF319" s="1">
        <f>3963*10000</f>
        <v>39630000</v>
      </c>
      <c r="BG319" s="8">
        <f t="shared" si="152"/>
        <v>0.25173720783322806</v>
      </c>
      <c r="BH319" s="7" t="s">
        <v>4185</v>
      </c>
      <c r="BI319" s="6" t="str">
        <f t="shared" si="153"/>
        <v>=3166*10000</v>
      </c>
      <c r="BJ319" s="1">
        <f>3166*10000</f>
        <v>31660000</v>
      </c>
      <c r="BK319" s="7" t="s">
        <v>4186</v>
      </c>
      <c r="BL319" s="1" t="str">
        <f t="shared" si="125"/>
        <v>=1150*10000</v>
      </c>
      <c r="BM319" s="16">
        <f t="shared" si="154"/>
        <v>1.7530434782608695</v>
      </c>
      <c r="BN319" s="1">
        <f>1150*10000</f>
        <v>11500000</v>
      </c>
    </row>
    <row r="320" spans="1:66">
      <c r="A320" s="18"/>
      <c r="B320">
        <v>600272</v>
      </c>
      <c r="C320" t="s">
        <v>58</v>
      </c>
      <c r="D320" s="7" t="s">
        <v>4187</v>
      </c>
      <c r="E320" s="7" t="str">
        <f t="shared" si="124"/>
        <v>=2463*10000</v>
      </c>
      <c r="F320" s="1">
        <f>2463*10000</f>
        <v>24630000</v>
      </c>
      <c r="G320" s="8">
        <f t="shared" si="126"/>
        <v>1.0490848585690515</v>
      </c>
      <c r="H320" s="7" t="s">
        <v>2005</v>
      </c>
      <c r="I320" s="6" t="str">
        <f t="shared" si="127"/>
        <v>=1202*10000</v>
      </c>
      <c r="J320" s="1">
        <f>1202*10000</f>
        <v>12020000</v>
      </c>
      <c r="K320" s="10">
        <f t="shared" si="128"/>
        <v>0.12652296157450796</v>
      </c>
      <c r="L320" s="7" t="s">
        <v>4188</v>
      </c>
      <c r="M320" s="6" t="str">
        <f t="shared" si="129"/>
        <v>=1067*10000</v>
      </c>
      <c r="N320" s="1">
        <f>1067*10000</f>
        <v>10670000</v>
      </c>
      <c r="O320" s="8">
        <f t="shared" si="130"/>
        <v>2.1549379065641632</v>
      </c>
      <c r="P320" s="7" t="s">
        <v>4189</v>
      </c>
      <c r="Q320" s="6" t="str">
        <f t="shared" si="131"/>
        <v>=338.2*10000</v>
      </c>
      <c r="R320" s="11">
        <f>338.2*10000</f>
        <v>3382000</v>
      </c>
      <c r="S320" s="8">
        <f t="shared" si="132"/>
        <v>-0.85179666958808065</v>
      </c>
      <c r="T320" s="7" t="s">
        <v>4190</v>
      </c>
      <c r="U320" s="6" t="str">
        <f t="shared" si="133"/>
        <v>=2282*10000</v>
      </c>
      <c r="V320" s="1">
        <f>2282*10000</f>
        <v>22820000</v>
      </c>
      <c r="W320" s="8">
        <f t="shared" si="134"/>
        <v>0.76080246913580252</v>
      </c>
      <c r="X320" s="7" t="s">
        <v>4191</v>
      </c>
      <c r="Y320" s="6" t="str">
        <f t="shared" si="135"/>
        <v>=1296*10000</v>
      </c>
      <c r="Z320" s="1">
        <f>1296*10000</f>
        <v>12960000</v>
      </c>
      <c r="AA320" s="8">
        <f t="shared" si="136"/>
        <v>0.30487313733387034</v>
      </c>
      <c r="AB320" s="7" t="s">
        <v>4192</v>
      </c>
      <c r="AC320" s="6" t="str">
        <f t="shared" si="137"/>
        <v>=993.2*10000</v>
      </c>
      <c r="AD320" s="1">
        <f>993.2*10000</f>
        <v>9932000</v>
      </c>
      <c r="AE320" s="8">
        <f t="shared" si="138"/>
        <v>0.56310985206169339</v>
      </c>
      <c r="AF320" s="7" t="s">
        <v>4193</v>
      </c>
      <c r="AG320" s="6" t="str">
        <f t="shared" si="139"/>
        <v>=635.4*10000</v>
      </c>
      <c r="AH320" s="1">
        <f>635.4*10000</f>
        <v>6354000</v>
      </c>
      <c r="AI320" s="8">
        <f t="shared" si="140"/>
        <v>-0.80733778047301397</v>
      </c>
      <c r="AJ320" s="7" t="s">
        <v>4194</v>
      </c>
      <c r="AK320" s="6" t="str">
        <f t="shared" si="141"/>
        <v>=3298*10000</v>
      </c>
      <c r="AL320" s="1">
        <f>3298*10000</f>
        <v>32980000</v>
      </c>
      <c r="AM320" s="8">
        <f t="shared" si="142"/>
        <v>0.27978269305393871</v>
      </c>
      <c r="AN320" s="7" t="s">
        <v>4195</v>
      </c>
      <c r="AO320" s="6" t="str">
        <f t="shared" si="143"/>
        <v>=2577*10000</v>
      </c>
      <c r="AP320" s="1">
        <f>2577*10000</f>
        <v>25770000</v>
      </c>
      <c r="AQ320" s="8">
        <f t="shared" si="144"/>
        <v>0.36133122028526149</v>
      </c>
      <c r="AR320" s="7" t="s">
        <v>4196</v>
      </c>
      <c r="AS320" s="6" t="str">
        <f t="shared" si="145"/>
        <v>=1893*10000</v>
      </c>
      <c r="AT320" s="1">
        <f>1893*10000</f>
        <v>18930000</v>
      </c>
      <c r="AU320" s="8">
        <f t="shared" si="146"/>
        <v>0.92378048780487809</v>
      </c>
      <c r="AV320" s="7" t="s">
        <v>4197</v>
      </c>
      <c r="AW320" s="6" t="str">
        <f t="shared" si="147"/>
        <v>=984.0*10000</v>
      </c>
      <c r="AX320" s="1">
        <f>984*10000</f>
        <v>9840000</v>
      </c>
      <c r="AY320" s="10">
        <f t="shared" si="148"/>
        <v>-0.78843259514082997</v>
      </c>
      <c r="AZ320" s="7" t="s">
        <v>4198</v>
      </c>
      <c r="BA320" s="6" t="str">
        <f t="shared" si="149"/>
        <v>=4651*10000</v>
      </c>
      <c r="BB320" s="1">
        <f>4651*10000</f>
        <v>46510000</v>
      </c>
      <c r="BC320" s="8">
        <f t="shared" si="150"/>
        <v>0.17538539297447561</v>
      </c>
      <c r="BD320" s="7" t="s">
        <v>4199</v>
      </c>
      <c r="BE320" s="6" t="str">
        <f t="shared" si="151"/>
        <v>=3957*10000</v>
      </c>
      <c r="BF320" s="1">
        <f>3957*10000</f>
        <v>39570000</v>
      </c>
      <c r="BG320" s="8">
        <f t="shared" si="152"/>
        <v>0.25023696682464452</v>
      </c>
      <c r="BH320" s="7" t="s">
        <v>4200</v>
      </c>
      <c r="BI320" s="6" t="str">
        <f t="shared" si="153"/>
        <v>=3165*10000</v>
      </c>
      <c r="BJ320" s="1">
        <f>3165*10000</f>
        <v>31650000</v>
      </c>
      <c r="BK320" s="7" t="s">
        <v>4186</v>
      </c>
      <c r="BL320" s="1" t="str">
        <f t="shared" si="125"/>
        <v>=1150*10000</v>
      </c>
      <c r="BM320" s="16">
        <f t="shared" si="154"/>
        <v>1.7521739130434784</v>
      </c>
      <c r="BN320" s="1">
        <f>1150*10000</f>
        <v>11500000</v>
      </c>
    </row>
    <row r="321" spans="1:66">
      <c r="A321" s="19"/>
      <c r="B321">
        <v>600272</v>
      </c>
      <c r="C321" t="s">
        <v>68</v>
      </c>
      <c r="D321" s="7" t="s">
        <v>4201</v>
      </c>
      <c r="E321" s="7" t="str">
        <f t="shared" si="124"/>
        <v>=1638*10000</v>
      </c>
      <c r="F321" s="1">
        <f>1638*10000</f>
        <v>16380000</v>
      </c>
      <c r="G321" s="8">
        <f t="shared" si="126"/>
        <v>3.2913282682735132</v>
      </c>
      <c r="H321" s="7" t="s">
        <v>4202</v>
      </c>
      <c r="I321" s="6" t="str">
        <f t="shared" si="127"/>
        <v>=381.7*10000</v>
      </c>
      <c r="J321" s="1">
        <f>381.7*10000</f>
        <v>3817000</v>
      </c>
      <c r="K321" s="10">
        <f t="shared" si="128"/>
        <v>6.5308400781468046E-2</v>
      </c>
      <c r="L321" s="7" t="s">
        <v>4203</v>
      </c>
      <c r="M321" s="6" t="str">
        <f t="shared" si="129"/>
        <v>=358.3*10000</v>
      </c>
      <c r="N321" s="1">
        <f>358.3*10000</f>
        <v>3583000</v>
      </c>
      <c r="O321" s="8">
        <f t="shared" si="130"/>
        <v>-9.2367816091954023</v>
      </c>
      <c r="P321" s="7">
        <f>-43.5*10000</f>
        <v>-435000</v>
      </c>
      <c r="Q321" s="6" t="str">
        <f t="shared" si="131"/>
        <v>=-435000</v>
      </c>
      <c r="R321" s="11">
        <f>-435000</f>
        <v>-435000</v>
      </c>
      <c r="S321" s="8">
        <f t="shared" si="132"/>
        <v>-1.0336948102246322</v>
      </c>
      <c r="T321" s="7" t="s">
        <v>4204</v>
      </c>
      <c r="U321" s="6" t="str">
        <f t="shared" si="133"/>
        <v>=1291*10000</v>
      </c>
      <c r="V321" s="1">
        <f>1291*10000</f>
        <v>12910000</v>
      </c>
      <c r="W321" s="8">
        <f t="shared" si="134"/>
        <v>1.6879033937122632</v>
      </c>
      <c r="X321" s="7" t="s">
        <v>2598</v>
      </c>
      <c r="Y321" s="6" t="str">
        <f t="shared" si="135"/>
        <v>=480.3*10000</v>
      </c>
      <c r="Z321" s="1">
        <f>480.3*10000</f>
        <v>4803000</v>
      </c>
      <c r="AA321" s="8">
        <f t="shared" si="136"/>
        <v>0.35793044953350295</v>
      </c>
      <c r="AB321" s="7" t="s">
        <v>4205</v>
      </c>
      <c r="AC321" s="6" t="str">
        <f t="shared" si="137"/>
        <v>=353.7*10000</v>
      </c>
      <c r="AD321" s="1">
        <f>353.7*10000</f>
        <v>3537000</v>
      </c>
      <c r="AE321" s="8">
        <f t="shared" si="138"/>
        <v>0.74322326269098082</v>
      </c>
      <c r="AF321" s="7" t="s">
        <v>4206</v>
      </c>
      <c r="AG321" s="6" t="str">
        <f t="shared" si="139"/>
        <v>=202.9*10000</v>
      </c>
      <c r="AH321" s="1">
        <f>202.9*10000</f>
        <v>2029000</v>
      </c>
      <c r="AI321" s="8">
        <f t="shared" si="140"/>
        <v>-0.90641143911439115</v>
      </c>
      <c r="AJ321" s="7" t="s">
        <v>4207</v>
      </c>
      <c r="AK321" s="6" t="str">
        <f t="shared" si="141"/>
        <v>=2168*10000</v>
      </c>
      <c r="AL321" s="1">
        <f>2168*10000</f>
        <v>21680000</v>
      </c>
      <c r="AM321" s="8">
        <f t="shared" si="142"/>
        <v>0.54415954415954415</v>
      </c>
      <c r="AN321" s="7" t="s">
        <v>4208</v>
      </c>
      <c r="AO321" s="6" t="str">
        <f t="shared" si="143"/>
        <v>=1404*10000</v>
      </c>
      <c r="AP321" s="1">
        <f>1404*10000</f>
        <v>14040000</v>
      </c>
      <c r="AQ321" s="8">
        <f t="shared" si="144"/>
        <v>0.2283464566929134</v>
      </c>
      <c r="AR321" s="7" t="s">
        <v>4209</v>
      </c>
      <c r="AS321" s="6" t="str">
        <f t="shared" si="145"/>
        <v>=1143*10000</v>
      </c>
      <c r="AT321" s="1">
        <f>1143*10000</f>
        <v>11430000</v>
      </c>
      <c r="AU321" s="8">
        <f t="shared" si="146"/>
        <v>0.65556199304750873</v>
      </c>
      <c r="AV321" s="7" t="s">
        <v>4210</v>
      </c>
      <c r="AW321" s="6" t="str">
        <f t="shared" si="147"/>
        <v>=690.4*10000</v>
      </c>
      <c r="AX321" s="1">
        <f>690.4*10000</f>
        <v>6904000</v>
      </c>
      <c r="AY321" s="10">
        <f t="shared" si="148"/>
        <v>-0.80352874217416048</v>
      </c>
      <c r="AZ321" s="7" t="s">
        <v>4211</v>
      </c>
      <c r="BA321" s="6" t="str">
        <f t="shared" si="149"/>
        <v>=3514*10000</v>
      </c>
      <c r="BB321" s="1">
        <f>3514*10000</f>
        <v>35140000</v>
      </c>
      <c r="BC321" s="8">
        <f t="shared" si="150"/>
        <v>0.31217326362957432</v>
      </c>
      <c r="BD321" s="7" t="s">
        <v>4212</v>
      </c>
      <c r="BE321" s="6" t="str">
        <f t="shared" si="151"/>
        <v>=2678*10000</v>
      </c>
      <c r="BF321" s="1">
        <f>2678*10000</f>
        <v>26780000</v>
      </c>
      <c r="BG321" s="8">
        <f t="shared" si="152"/>
        <v>0.25315863359850255</v>
      </c>
      <c r="BH321" s="7" t="s">
        <v>4213</v>
      </c>
      <c r="BI321" s="6" t="str">
        <f t="shared" si="153"/>
        <v>=2137*10000</v>
      </c>
      <c r="BJ321" s="1">
        <f>2137*10000</f>
        <v>21370000</v>
      </c>
      <c r="BK321" s="7" t="s">
        <v>4214</v>
      </c>
      <c r="BL321" s="1" t="str">
        <f t="shared" si="125"/>
        <v>=807.2*10000</v>
      </c>
      <c r="BM321" s="16">
        <f t="shared" si="154"/>
        <v>1.6474231912784936</v>
      </c>
      <c r="BN321" s="1">
        <f>807.2*10000</f>
        <v>8072000</v>
      </c>
    </row>
    <row r="322" spans="1:66">
      <c r="A322" s="17">
        <v>81</v>
      </c>
      <c r="B322">
        <v>600273</v>
      </c>
      <c r="C322" t="s">
        <v>31</v>
      </c>
      <c r="D322" s="6" t="s">
        <v>4215</v>
      </c>
      <c r="E322" s="7" t="str">
        <f t="shared" ref="E322:E385" si="155">"="&amp;D322</f>
        <v>=89.57*100000000</v>
      </c>
      <c r="F322" s="1">
        <f>89.57*100000000</f>
        <v>8957000000</v>
      </c>
      <c r="G322" s="8">
        <f t="shared" si="126"/>
        <v>0.52980358667805294</v>
      </c>
      <c r="H322" s="6" t="s">
        <v>4216</v>
      </c>
      <c r="I322" s="6" t="str">
        <f t="shared" si="127"/>
        <v>=58.55*100000000</v>
      </c>
      <c r="J322" s="1">
        <f>58.55*100000000</f>
        <v>5855000000</v>
      </c>
      <c r="K322" s="10">
        <f t="shared" si="128"/>
        <v>0.73842042755344417</v>
      </c>
      <c r="L322" s="6" t="s">
        <v>4217</v>
      </c>
      <c r="M322" s="6" t="str">
        <f t="shared" si="129"/>
        <v>=33.68*100000000</v>
      </c>
      <c r="N322" s="1">
        <f>33.68*100000000</f>
        <v>3368000000</v>
      </c>
      <c r="O322" s="8">
        <f t="shared" si="130"/>
        <v>1.0240384615384615</v>
      </c>
      <c r="P322" s="6" t="s">
        <v>1196</v>
      </c>
      <c r="Q322" s="6" t="str">
        <f t="shared" si="131"/>
        <v>=16.64*100000000</v>
      </c>
      <c r="R322" s="11">
        <f>16.64*100000000</f>
        <v>1664000000</v>
      </c>
      <c r="S322" s="8">
        <f t="shared" si="132"/>
        <v>-0.70114942528735635</v>
      </c>
      <c r="T322" s="6" t="s">
        <v>4218</v>
      </c>
      <c r="U322" s="6" t="str">
        <f t="shared" si="133"/>
        <v>=55.68*100000000</v>
      </c>
      <c r="V322" s="1">
        <f>55.68*100000000</f>
        <v>5568000000</v>
      </c>
      <c r="W322" s="8">
        <f t="shared" si="134"/>
        <v>0.42113323124042878</v>
      </c>
      <c r="X322" s="6" t="s">
        <v>4219</v>
      </c>
      <c r="Y322" s="6" t="str">
        <f t="shared" si="135"/>
        <v>=39.18*100000000</v>
      </c>
      <c r="Z322" s="1">
        <f>39.18*100000000</f>
        <v>3918000000</v>
      </c>
      <c r="AA322" s="8">
        <f t="shared" si="136"/>
        <v>0.5597133757961783</v>
      </c>
      <c r="AB322" s="6" t="s">
        <v>4220</v>
      </c>
      <c r="AC322" s="6" t="str">
        <f t="shared" si="137"/>
        <v>=25.12*100000000</v>
      </c>
      <c r="AD322" s="1">
        <f>25.12*100000000</f>
        <v>2512000000</v>
      </c>
      <c r="AE322" s="8">
        <f t="shared" si="138"/>
        <v>1.1252115059221659</v>
      </c>
      <c r="AF322" s="6" t="s">
        <v>4221</v>
      </c>
      <c r="AG322" s="6" t="str">
        <f t="shared" si="139"/>
        <v>=11.82*100000000</v>
      </c>
      <c r="AH322" s="1">
        <f>11.82*100000000</f>
        <v>1182000000</v>
      </c>
      <c r="AI322" s="8">
        <f t="shared" si="140"/>
        <v>-0.77984727137269505</v>
      </c>
      <c r="AJ322" s="6" t="s">
        <v>4222</v>
      </c>
      <c r="AK322" s="6" t="str">
        <f t="shared" si="141"/>
        <v>=53.69*100000000</v>
      </c>
      <c r="AL322" s="1">
        <f>53.69*100000000</f>
        <v>5369000000</v>
      </c>
      <c r="AM322" s="8">
        <f t="shared" si="142"/>
        <v>0.32143736155550073</v>
      </c>
      <c r="AN322" s="6" t="s">
        <v>4223</v>
      </c>
      <c r="AO322" s="6" t="str">
        <f t="shared" si="143"/>
        <v>=40.63*100000000</v>
      </c>
      <c r="AP322" s="1">
        <f>40.63*100000000</f>
        <v>4063000000.0000005</v>
      </c>
      <c r="AQ322" s="8">
        <f t="shared" si="144"/>
        <v>0.48122493620123968</v>
      </c>
      <c r="AR322" s="6" t="s">
        <v>1327</v>
      </c>
      <c r="AS322" s="6" t="str">
        <f t="shared" si="145"/>
        <v>=27.43*100000000</v>
      </c>
      <c r="AT322" s="1">
        <f>27.43*100000000</f>
        <v>2743000000</v>
      </c>
      <c r="AU322" s="8">
        <f t="shared" si="146"/>
        <v>0.93033075299085155</v>
      </c>
      <c r="AV322" s="6" t="s">
        <v>2468</v>
      </c>
      <c r="AW322" s="6" t="str">
        <f t="shared" si="147"/>
        <v>=14.21*100000000</v>
      </c>
      <c r="AX322" s="1">
        <f>14.21*100000000</f>
        <v>1421000000</v>
      </c>
      <c r="AY322" s="10">
        <f t="shared" si="148"/>
        <v>-0.74643112062812278</v>
      </c>
      <c r="AZ322" s="6" t="s">
        <v>4224</v>
      </c>
      <c r="BA322" s="6" t="str">
        <f t="shared" si="149"/>
        <v>=56.04*100000000</v>
      </c>
      <c r="BB322" s="1">
        <f>56.04*100000000</f>
        <v>5604000000</v>
      </c>
      <c r="BC322" s="8">
        <f t="shared" si="150"/>
        <v>0.33747016706443916</v>
      </c>
      <c r="BD322" s="6" t="s">
        <v>4225</v>
      </c>
      <c r="BE322" s="6" t="str">
        <f t="shared" si="151"/>
        <v>=41.90*100000000</v>
      </c>
      <c r="BF322" s="1">
        <f>41.9*100000000</f>
        <v>4190000000</v>
      </c>
      <c r="BG322" s="8">
        <f t="shared" si="152"/>
        <v>0.48476257973068748</v>
      </c>
      <c r="BH322" s="6" t="s">
        <v>4002</v>
      </c>
      <c r="BI322" s="6" t="str">
        <f t="shared" si="153"/>
        <v>=28.22*100000000</v>
      </c>
      <c r="BJ322" s="1">
        <f>28.22*100000000</f>
        <v>2822000000</v>
      </c>
      <c r="BK322" s="6" t="s">
        <v>4226</v>
      </c>
      <c r="BL322" s="1" t="str">
        <f t="shared" ref="BL322:BL385" si="156">"="&amp;BK322</f>
        <v>=13.70*100000000</v>
      </c>
      <c r="BM322" s="16">
        <f t="shared" si="154"/>
        <v>1.0598540145985402</v>
      </c>
      <c r="BN322" s="1">
        <f>13.7*100000000</f>
        <v>1370000000</v>
      </c>
    </row>
    <row r="323" spans="1:66">
      <c r="A323" s="18"/>
      <c r="B323">
        <v>600273</v>
      </c>
      <c r="C323" t="s">
        <v>48</v>
      </c>
      <c r="D323" s="6" t="s">
        <v>4227</v>
      </c>
      <c r="E323" s="7" t="str">
        <f t="shared" si="155"/>
        <v>=21.05*100000000</v>
      </c>
      <c r="F323" s="1">
        <f>21.05*100000000</f>
        <v>2105000000</v>
      </c>
      <c r="G323" s="8">
        <f t="shared" ref="G323:G386" si="157">(F323-J323)/J323</f>
        <v>0.50787965616045849</v>
      </c>
      <c r="H323" s="6" t="s">
        <v>4228</v>
      </c>
      <c r="I323" s="6" t="str">
        <f t="shared" ref="I323:I386" si="158">"="&amp;H323</f>
        <v>=13.96*100000000</v>
      </c>
      <c r="J323" s="1">
        <f>13.96*100000000</f>
        <v>1396000000</v>
      </c>
      <c r="K323" s="10">
        <f t="shared" ref="K323:K386" si="159">(J323-N323)/N323</f>
        <v>0.65363657900971339</v>
      </c>
      <c r="L323" s="6" t="s">
        <v>4229</v>
      </c>
      <c r="M323" s="6" t="str">
        <f t="shared" ref="M323:M386" si="160">"="&amp;L323</f>
        <v>=8.442*100000000</v>
      </c>
      <c r="N323" s="1">
        <f>8.442*100000000</f>
        <v>844200000</v>
      </c>
      <c r="O323" s="8">
        <f t="shared" ref="O323:O386" si="161">(N323-R323)/R323</f>
        <v>1.1089183112665502</v>
      </c>
      <c r="P323" s="6" t="s">
        <v>4230</v>
      </c>
      <c r="Q323" s="6" t="str">
        <f t="shared" ref="Q323:Q386" si="162">"="&amp;P323</f>
        <v>=4.003*100000000</v>
      </c>
      <c r="R323" s="11">
        <f>4.003*100000000</f>
        <v>400300000</v>
      </c>
      <c r="S323" s="8">
        <f t="shared" ref="S323:S386" si="163">(R323-V323)/V323</f>
        <v>-0.73870757180156654</v>
      </c>
      <c r="T323" s="6" t="s">
        <v>4231</v>
      </c>
      <c r="U323" s="6" t="str">
        <f t="shared" ref="U323:U386" si="164">"="&amp;T323</f>
        <v>=15.32*100000000</v>
      </c>
      <c r="V323" s="1">
        <f>15.32*100000000</f>
        <v>1532000000</v>
      </c>
      <c r="W323" s="8">
        <f t="shared" ref="W323:W386" si="165">(V323-Z323)/Z323</f>
        <v>0.4759152215799613</v>
      </c>
      <c r="X323" s="6" t="s">
        <v>1188</v>
      </c>
      <c r="Y323" s="6" t="str">
        <f t="shared" ref="Y323:Y386" si="166">"="&amp;X323</f>
        <v>=10.38*100000000</v>
      </c>
      <c r="Z323" s="1">
        <f>10.38*100000000</f>
        <v>1038000000.0000001</v>
      </c>
      <c r="AA323" s="8">
        <f t="shared" ref="AA323:AA386" si="167">(Z323-AD323)/AD323</f>
        <v>0.53868959383338288</v>
      </c>
      <c r="AB323" s="6" t="s">
        <v>4232</v>
      </c>
      <c r="AC323" s="6" t="str">
        <f t="shared" ref="AC323:AC386" si="168">"="&amp;AB323</f>
        <v>=6.746*100000000</v>
      </c>
      <c r="AD323" s="1">
        <f>6.746*100000000</f>
        <v>674600000</v>
      </c>
      <c r="AE323" s="8">
        <f t="shared" ref="AE323:AE386" si="169">(AD323-AH323)/AH323</f>
        <v>1.2929979605710402</v>
      </c>
      <c r="AF323" s="6" t="s">
        <v>4233</v>
      </c>
      <c r="AG323" s="6" t="str">
        <f t="shared" ref="AG323:AG386" si="170">"="&amp;AF323</f>
        <v>=2.942*100000000</v>
      </c>
      <c r="AH323" s="1">
        <f>2.942*100000000</f>
        <v>294200000</v>
      </c>
      <c r="AI323" s="8">
        <f t="shared" ref="AI323:AI386" si="171">(AH323-AL323)/AL323</f>
        <v>-0.79626038781163433</v>
      </c>
      <c r="AJ323" s="6" t="s">
        <v>4234</v>
      </c>
      <c r="AK323" s="6" t="str">
        <f t="shared" ref="AK323:AK386" si="172">"="&amp;AJ323</f>
        <v>=14.44*100000000</v>
      </c>
      <c r="AL323" s="1">
        <f>14.44*100000000</f>
        <v>1444000000</v>
      </c>
      <c r="AM323" s="8">
        <f t="shared" ref="AM323:AM386" si="173">(AL323-AP323)/AP323</f>
        <v>0.27900797165633306</v>
      </c>
      <c r="AN323" s="6" t="s">
        <v>1830</v>
      </c>
      <c r="AO323" s="6" t="str">
        <f t="shared" ref="AO323:AO386" si="174">"="&amp;AN323</f>
        <v>=11.29*100000000</v>
      </c>
      <c r="AP323" s="1">
        <f>11.29*100000000</f>
        <v>1129000000</v>
      </c>
      <c r="AQ323" s="8">
        <f t="shared" ref="AQ323:AQ386" si="175">(AP323-AT323)/AT323</f>
        <v>0.44966615305598356</v>
      </c>
      <c r="AR323" s="6" t="s">
        <v>4235</v>
      </c>
      <c r="AS323" s="6" t="str">
        <f t="shared" ref="AS323:AS386" si="176">"="&amp;AR323</f>
        <v>=7.788*100000000</v>
      </c>
      <c r="AT323" s="1">
        <f>7.788*100000000</f>
        <v>778800000</v>
      </c>
      <c r="AU323" s="8">
        <f t="shared" ref="AU323:AU386" si="177">(AT323-AX323)/AX323</f>
        <v>0.89951219512195146</v>
      </c>
      <c r="AV323" s="6" t="s">
        <v>4236</v>
      </c>
      <c r="AW323" s="6" t="str">
        <f t="shared" ref="AW323:AW386" si="178">"="&amp;AV323</f>
        <v>=4.100*100000000</v>
      </c>
      <c r="AX323" s="1">
        <f>4.1*100000000</f>
        <v>409999999.99999994</v>
      </c>
      <c r="AY323" s="10">
        <f t="shared" ref="AY323:AY386" si="179">(AX323-BB323)/BB323</f>
        <v>-0.6826625386996904</v>
      </c>
      <c r="AZ323" s="6" t="s">
        <v>3269</v>
      </c>
      <c r="BA323" s="6" t="str">
        <f t="shared" ref="BA323:BA386" si="180">"="&amp;AZ323</f>
        <v>=12.92*100000000</v>
      </c>
      <c r="BB323" s="1">
        <f>12.92*100000000</f>
        <v>1292000000</v>
      </c>
      <c r="BC323" s="8">
        <f t="shared" ref="BC323:BC386" si="181">(BB323-BF323)/BF323</f>
        <v>0.27794263105835804</v>
      </c>
      <c r="BD323" s="6" t="s">
        <v>3662</v>
      </c>
      <c r="BE323" s="6" t="str">
        <f t="shared" ref="BE323:BE386" si="182">"="&amp;BD323</f>
        <v>=10.11*100000000</v>
      </c>
      <c r="BF323" s="1">
        <f>10.11*100000000</f>
        <v>1011000000</v>
      </c>
      <c r="BG323" s="8">
        <f t="shared" ref="BG323:BG386" si="183">(BF323-BJ323)/BJ323</f>
        <v>0.48523578669017187</v>
      </c>
      <c r="BH323" s="6" t="s">
        <v>4237</v>
      </c>
      <c r="BI323" s="6" t="str">
        <f t="shared" ref="BI323:BI386" si="184">"="&amp;BH323</f>
        <v>=6.807*100000000</v>
      </c>
      <c r="BJ323" s="1">
        <f>6.807*100000000</f>
        <v>680700000</v>
      </c>
      <c r="BK323" s="6" t="s">
        <v>4238</v>
      </c>
      <c r="BL323" s="1" t="str">
        <f t="shared" si="156"/>
        <v>=3.451*100000000</v>
      </c>
      <c r="BM323" s="16">
        <f t="shared" ref="BM323:BM386" si="185">(BJ323-BN323)/BN323</f>
        <v>0.9724717473196175</v>
      </c>
      <c r="BN323" s="1">
        <f>3.451*100000000</f>
        <v>345100000</v>
      </c>
    </row>
    <row r="324" spans="1:66">
      <c r="A324" s="18"/>
      <c r="B324">
        <v>600273</v>
      </c>
      <c r="C324" t="s">
        <v>58</v>
      </c>
      <c r="D324" s="6" t="s">
        <v>4239</v>
      </c>
      <c r="E324" s="7" t="str">
        <f t="shared" si="155"/>
        <v>=20.75*100000000</v>
      </c>
      <c r="F324" s="1">
        <f>20.75*100000000</f>
        <v>2075000000</v>
      </c>
      <c r="G324" s="8">
        <f t="shared" si="157"/>
        <v>0.49711399711399712</v>
      </c>
      <c r="H324" s="6" t="s">
        <v>4240</v>
      </c>
      <c r="I324" s="6" t="str">
        <f t="shared" si="158"/>
        <v>=13.86*100000000</v>
      </c>
      <c r="J324" s="1">
        <f>13.86*100000000</f>
        <v>1386000000</v>
      </c>
      <c r="K324" s="10">
        <f t="shared" si="159"/>
        <v>0.64843006660323499</v>
      </c>
      <c r="L324" s="6" t="s">
        <v>4241</v>
      </c>
      <c r="M324" s="6" t="str">
        <f t="shared" si="160"/>
        <v>=8.408*100000000</v>
      </c>
      <c r="N324" s="1">
        <f>8.408*100000000</f>
        <v>840800000</v>
      </c>
      <c r="O324" s="8">
        <f t="shared" si="161"/>
        <v>1.0946686596910813</v>
      </c>
      <c r="P324" s="6" t="s">
        <v>4242</v>
      </c>
      <c r="Q324" s="6" t="str">
        <f t="shared" si="162"/>
        <v>=4.014*100000000</v>
      </c>
      <c r="R324" s="11">
        <f>4.014*100000000</f>
        <v>401400000</v>
      </c>
      <c r="S324" s="8">
        <f t="shared" si="163"/>
        <v>-0.7318637274549098</v>
      </c>
      <c r="T324" s="6" t="s">
        <v>1738</v>
      </c>
      <c r="U324" s="6" t="str">
        <f t="shared" si="164"/>
        <v>=14.97*100000000</v>
      </c>
      <c r="V324" s="1">
        <f>14.97*100000000</f>
        <v>1497000000</v>
      </c>
      <c r="W324" s="8">
        <f t="shared" si="165"/>
        <v>0.45058139534883723</v>
      </c>
      <c r="X324" s="6" t="s">
        <v>456</v>
      </c>
      <c r="Y324" s="6" t="str">
        <f t="shared" si="166"/>
        <v>=10.32*100000000</v>
      </c>
      <c r="Z324" s="1">
        <f>10.32*100000000</f>
        <v>1032000000</v>
      </c>
      <c r="AA324" s="8">
        <f t="shared" si="167"/>
        <v>0.53800298062593144</v>
      </c>
      <c r="AB324" s="6" t="s">
        <v>4243</v>
      </c>
      <c r="AC324" s="6" t="str">
        <f t="shared" si="168"/>
        <v>=6.710*100000000</v>
      </c>
      <c r="AD324" s="1">
        <f>6.71*100000000</f>
        <v>671000000</v>
      </c>
      <c r="AE324" s="8">
        <f t="shared" si="169"/>
        <v>1.2955867259664728</v>
      </c>
      <c r="AF324" s="6" t="s">
        <v>3831</v>
      </c>
      <c r="AG324" s="6" t="str">
        <f t="shared" si="170"/>
        <v>=2.923*100000000</v>
      </c>
      <c r="AH324" s="1">
        <f>2.923*100000000</f>
        <v>292300000</v>
      </c>
      <c r="AI324" s="8">
        <f t="shared" si="171"/>
        <v>-0.79715475364330324</v>
      </c>
      <c r="AJ324" s="6" t="s">
        <v>4244</v>
      </c>
      <c r="AK324" s="6" t="str">
        <f t="shared" si="172"/>
        <v>=14.41*100000000</v>
      </c>
      <c r="AL324" s="1">
        <f>14.41*100000000</f>
        <v>1441000000</v>
      </c>
      <c r="AM324" s="8">
        <f t="shared" si="173"/>
        <v>0.27975133214920073</v>
      </c>
      <c r="AN324" s="6" t="s">
        <v>4245</v>
      </c>
      <c r="AO324" s="6" t="str">
        <f t="shared" si="174"/>
        <v>=11.26*100000000</v>
      </c>
      <c r="AP324" s="1">
        <f>11.26*100000000</f>
        <v>1126000000</v>
      </c>
      <c r="AQ324" s="8">
        <f t="shared" si="175"/>
        <v>0.44916344916344919</v>
      </c>
      <c r="AR324" s="6" t="s">
        <v>4246</v>
      </c>
      <c r="AS324" s="6" t="str">
        <f t="shared" si="176"/>
        <v>=7.770*100000000</v>
      </c>
      <c r="AT324" s="1">
        <f>7.77*100000000</f>
        <v>777000000</v>
      </c>
      <c r="AU324" s="8">
        <f t="shared" si="177"/>
        <v>0.89419795221842979</v>
      </c>
      <c r="AV324" s="6" t="s">
        <v>4247</v>
      </c>
      <c r="AW324" s="6" t="str">
        <f t="shared" si="178"/>
        <v>=4.102*100000000</v>
      </c>
      <c r="AX324" s="1">
        <f>4.102*100000000</f>
        <v>410200000.00000006</v>
      </c>
      <c r="AY324" s="10">
        <f t="shared" si="179"/>
        <v>-0.68250773993808045</v>
      </c>
      <c r="AZ324" s="6" t="s">
        <v>3269</v>
      </c>
      <c r="BA324" s="6" t="str">
        <f t="shared" si="180"/>
        <v>=12.92*100000000</v>
      </c>
      <c r="BB324" s="1">
        <f>12.92*100000000</f>
        <v>1292000000</v>
      </c>
      <c r="BC324" s="8">
        <f t="shared" si="181"/>
        <v>0.26790971540726199</v>
      </c>
      <c r="BD324" s="6" t="s">
        <v>2896</v>
      </c>
      <c r="BE324" s="6" t="str">
        <f t="shared" si="182"/>
        <v>=10.19*100000000</v>
      </c>
      <c r="BF324" s="1">
        <f>10.19*100000000</f>
        <v>1019000000</v>
      </c>
      <c r="BG324" s="8">
        <f t="shared" si="183"/>
        <v>0.47788252356780275</v>
      </c>
      <c r="BH324" s="6" t="s">
        <v>4248</v>
      </c>
      <c r="BI324" s="6" t="str">
        <f t="shared" si="184"/>
        <v>=6.895*100000000</v>
      </c>
      <c r="BJ324" s="1">
        <f>6.895*100000000</f>
        <v>689500000</v>
      </c>
      <c r="BK324" s="6" t="s">
        <v>4249</v>
      </c>
      <c r="BL324" s="1" t="str">
        <f t="shared" si="156"/>
        <v>=3.483*100000000</v>
      </c>
      <c r="BM324" s="16">
        <f t="shared" si="185"/>
        <v>0.97961527418891758</v>
      </c>
      <c r="BN324" s="1">
        <f>3.483*100000000</f>
        <v>348300000</v>
      </c>
    </row>
    <row r="325" spans="1:66">
      <c r="A325" s="19"/>
      <c r="B325">
        <v>600273</v>
      </c>
      <c r="C325" t="s">
        <v>68</v>
      </c>
      <c r="D325" s="6" t="s">
        <v>4250</v>
      </c>
      <c r="E325" s="7" t="str">
        <f t="shared" si="155"/>
        <v>=18.08*100000000</v>
      </c>
      <c r="F325" s="1">
        <f>18.08*100000000</f>
        <v>1807999999.9999998</v>
      </c>
      <c r="G325" s="8">
        <f t="shared" si="157"/>
        <v>0.49668874172185412</v>
      </c>
      <c r="H325" s="6" t="s">
        <v>4251</v>
      </c>
      <c r="I325" s="6" t="str">
        <f t="shared" si="158"/>
        <v>=12.08*100000000</v>
      </c>
      <c r="J325" s="1">
        <f>12.08*100000000</f>
        <v>1208000000</v>
      </c>
      <c r="K325" s="10">
        <f t="shared" si="159"/>
        <v>0.69424964936886391</v>
      </c>
      <c r="L325" s="6" t="s">
        <v>4252</v>
      </c>
      <c r="M325" s="6" t="str">
        <f t="shared" si="160"/>
        <v>=7.130*100000000</v>
      </c>
      <c r="N325" s="1">
        <f>7.13*100000000</f>
        <v>713000000</v>
      </c>
      <c r="O325" s="8">
        <f t="shared" si="161"/>
        <v>1.1007660577489689</v>
      </c>
      <c r="P325" s="6" t="s">
        <v>3441</v>
      </c>
      <c r="Q325" s="6" t="str">
        <f t="shared" si="162"/>
        <v>=3.394*100000000</v>
      </c>
      <c r="R325" s="11">
        <f>3.394*100000000</f>
        <v>339400000</v>
      </c>
      <c r="S325" s="8">
        <f t="shared" si="163"/>
        <v>-0.73952417498081346</v>
      </c>
      <c r="T325" s="6" t="s">
        <v>4253</v>
      </c>
      <c r="U325" s="6" t="str">
        <f t="shared" si="164"/>
        <v>=13.03*100000000</v>
      </c>
      <c r="V325" s="1">
        <f>13.03*100000000</f>
        <v>1303000000</v>
      </c>
      <c r="W325" s="8">
        <f t="shared" si="165"/>
        <v>0.52701277393648194</v>
      </c>
      <c r="X325" s="6" t="s">
        <v>4254</v>
      </c>
      <c r="Y325" s="6" t="str">
        <f t="shared" si="166"/>
        <v>=8.533*100000000</v>
      </c>
      <c r="Z325" s="1">
        <f>8.533*100000000</f>
        <v>853300000</v>
      </c>
      <c r="AA325" s="8">
        <f t="shared" si="167"/>
        <v>0.53471223021582737</v>
      </c>
      <c r="AB325" s="6" t="s">
        <v>4255</v>
      </c>
      <c r="AC325" s="6" t="str">
        <f t="shared" si="168"/>
        <v>=5.560*100000000</v>
      </c>
      <c r="AD325" s="1">
        <f>5.56*100000000</f>
        <v>556000000</v>
      </c>
      <c r="AE325" s="8">
        <f t="shared" si="169"/>
        <v>1.2777550184350677</v>
      </c>
      <c r="AF325" s="6" t="s">
        <v>3479</v>
      </c>
      <c r="AG325" s="6" t="str">
        <f t="shared" si="170"/>
        <v>=2.441*100000000</v>
      </c>
      <c r="AH325" s="1">
        <f>2.441*100000000</f>
        <v>244099999.99999997</v>
      </c>
      <c r="AI325" s="8">
        <f t="shared" si="171"/>
        <v>-0.8017059301380991</v>
      </c>
      <c r="AJ325" s="6" t="s">
        <v>4256</v>
      </c>
      <c r="AK325" s="6" t="str">
        <f t="shared" si="172"/>
        <v>=12.31*100000000</v>
      </c>
      <c r="AL325" s="1">
        <f>12.31*100000000</f>
        <v>1231000000</v>
      </c>
      <c r="AM325" s="8">
        <f t="shared" si="173"/>
        <v>0.30195663670015865</v>
      </c>
      <c r="AN325" s="6" t="s">
        <v>468</v>
      </c>
      <c r="AO325" s="6" t="str">
        <f t="shared" si="174"/>
        <v>=9.455*100000000</v>
      </c>
      <c r="AP325" s="1">
        <f>9.455*100000000</f>
        <v>945500000</v>
      </c>
      <c r="AQ325" s="8">
        <f t="shared" si="175"/>
        <v>0.44704621977349251</v>
      </c>
      <c r="AR325" s="6" t="s">
        <v>4257</v>
      </c>
      <c r="AS325" s="6" t="str">
        <f t="shared" si="176"/>
        <v>=6.534*100000000</v>
      </c>
      <c r="AT325" s="1">
        <f>6.534*100000000</f>
        <v>653400000</v>
      </c>
      <c r="AU325" s="8">
        <f t="shared" si="177"/>
        <v>0.91894273127753301</v>
      </c>
      <c r="AV325" s="6" t="s">
        <v>2534</v>
      </c>
      <c r="AW325" s="6" t="str">
        <f t="shared" si="178"/>
        <v>=3.405*100000000</v>
      </c>
      <c r="AX325" s="1">
        <f>3.405*100000000</f>
        <v>340500000</v>
      </c>
      <c r="AY325" s="10">
        <f t="shared" si="179"/>
        <v>-0.69157608695652173</v>
      </c>
      <c r="AZ325" s="6" t="s">
        <v>4258</v>
      </c>
      <c r="BA325" s="6" t="str">
        <f t="shared" si="180"/>
        <v>=11.04*100000000</v>
      </c>
      <c r="BB325" s="1">
        <f>11.04*100000000</f>
        <v>1104000000</v>
      </c>
      <c r="BC325" s="8">
        <f t="shared" si="181"/>
        <v>0.28641342344441839</v>
      </c>
      <c r="BD325" s="6" t="s">
        <v>4259</v>
      </c>
      <c r="BE325" s="6" t="str">
        <f t="shared" si="182"/>
        <v>=8.582*100000000</v>
      </c>
      <c r="BF325" s="1">
        <f>8.582*100000000</f>
        <v>858200000.00000012</v>
      </c>
      <c r="BG325" s="8">
        <f t="shared" si="183"/>
        <v>0.47178871548619467</v>
      </c>
      <c r="BH325" s="6" t="s">
        <v>1649</v>
      </c>
      <c r="BI325" s="6" t="str">
        <f t="shared" si="184"/>
        <v>=5.831*100000000</v>
      </c>
      <c r="BJ325" s="1">
        <f>5.831*100000000</f>
        <v>583100000</v>
      </c>
      <c r="BK325" s="6" t="s">
        <v>4260</v>
      </c>
      <c r="BL325" s="1" t="str">
        <f t="shared" si="156"/>
        <v>=2.946*100000000</v>
      </c>
      <c r="BM325" s="16">
        <f t="shared" si="185"/>
        <v>0.97929395790902918</v>
      </c>
      <c r="BN325" s="1">
        <f>2.946*100000000</f>
        <v>294600000</v>
      </c>
    </row>
    <row r="326" spans="1:66">
      <c r="A326" s="17">
        <v>82</v>
      </c>
      <c r="B326">
        <v>600279</v>
      </c>
      <c r="C326" t="s">
        <v>31</v>
      </c>
      <c r="D326" s="6" t="s">
        <v>4261</v>
      </c>
      <c r="E326" s="7" t="str">
        <f t="shared" si="155"/>
        <v>=54.82*100000000</v>
      </c>
      <c r="F326" s="1">
        <f>54.82*100000000</f>
        <v>5482000000</v>
      </c>
      <c r="G326" s="8">
        <f t="shared" si="157"/>
        <v>0.16936860068259385</v>
      </c>
      <c r="H326" s="6" t="s">
        <v>4262</v>
      </c>
      <c r="I326" s="6" t="str">
        <f t="shared" si="158"/>
        <v>=46.88*100000000</v>
      </c>
      <c r="J326" s="1">
        <f>46.88*100000000</f>
        <v>4688000000</v>
      </c>
      <c r="K326" s="10">
        <f t="shared" si="159"/>
        <v>0.57685839219643453</v>
      </c>
      <c r="L326" s="6" t="s">
        <v>3541</v>
      </c>
      <c r="M326" s="6" t="str">
        <f t="shared" si="160"/>
        <v>=29.73*100000000</v>
      </c>
      <c r="N326" s="1">
        <f>29.73*100000000</f>
        <v>2973000000</v>
      </c>
      <c r="O326" s="8">
        <f t="shared" si="161"/>
        <v>1.2303075768942235</v>
      </c>
      <c r="P326" s="6" t="s">
        <v>4263</v>
      </c>
      <c r="Q326" s="6" t="str">
        <f t="shared" si="162"/>
        <v>=13.33*100000000</v>
      </c>
      <c r="R326" s="11">
        <f>13.33*100000000</f>
        <v>1333000000</v>
      </c>
      <c r="S326" s="8">
        <f t="shared" si="163"/>
        <v>-0.73765006888407791</v>
      </c>
      <c r="T326" s="6" t="s">
        <v>4264</v>
      </c>
      <c r="U326" s="6" t="str">
        <f t="shared" si="164"/>
        <v>=50.81*100000000</v>
      </c>
      <c r="V326" s="1">
        <f>50.81*100000000</f>
        <v>5081000000</v>
      </c>
      <c r="W326" s="8">
        <f t="shared" si="165"/>
        <v>0.46553216036919526</v>
      </c>
      <c r="X326" s="6" t="s">
        <v>2624</v>
      </c>
      <c r="Y326" s="6" t="str">
        <f t="shared" si="166"/>
        <v>=34.67*100000000</v>
      </c>
      <c r="Z326" s="1">
        <f>34.67*100000000</f>
        <v>3467000000</v>
      </c>
      <c r="AA326" s="8">
        <f t="shared" si="167"/>
        <v>0.52865961199294531</v>
      </c>
      <c r="AB326" s="6" t="s">
        <v>4265</v>
      </c>
      <c r="AC326" s="6" t="str">
        <f t="shared" si="168"/>
        <v>=22.68*100000000</v>
      </c>
      <c r="AD326" s="1">
        <f>22.68*100000000</f>
        <v>2268000000</v>
      </c>
      <c r="AE326" s="8">
        <f t="shared" si="169"/>
        <v>1.7331887201735359</v>
      </c>
      <c r="AF326" s="6" t="s">
        <v>4266</v>
      </c>
      <c r="AG326" s="6" t="str">
        <f t="shared" si="170"/>
        <v>=8.298*100000000</v>
      </c>
      <c r="AH326" s="1">
        <f>8.298*100000000</f>
        <v>829800000</v>
      </c>
      <c r="AI326" s="8">
        <f t="shared" si="171"/>
        <v>-0.82629265229223359</v>
      </c>
      <c r="AJ326" s="6" t="s">
        <v>4267</v>
      </c>
      <c r="AK326" s="6" t="str">
        <f t="shared" si="172"/>
        <v>=47.77*100000000</v>
      </c>
      <c r="AL326" s="1">
        <f>47.77*100000000</f>
        <v>4777000000</v>
      </c>
      <c r="AM326" s="8">
        <f t="shared" si="173"/>
        <v>0.2204905467552376</v>
      </c>
      <c r="AN326" s="6" t="s">
        <v>4268</v>
      </c>
      <c r="AO326" s="6" t="str">
        <f t="shared" si="174"/>
        <v>=39.14*100000000</v>
      </c>
      <c r="AP326" s="1">
        <f>39.14*100000000</f>
        <v>3914000000</v>
      </c>
      <c r="AQ326" s="8">
        <f t="shared" si="175"/>
        <v>0.49846860643185298</v>
      </c>
      <c r="AR326" s="6" t="s">
        <v>4269</v>
      </c>
      <c r="AS326" s="6" t="str">
        <f t="shared" si="176"/>
        <v>=26.12*100000000</v>
      </c>
      <c r="AT326" s="1">
        <f>26.12*100000000</f>
        <v>2612000000</v>
      </c>
      <c r="AU326" s="8">
        <f t="shared" si="177"/>
        <v>0.8472418670438473</v>
      </c>
      <c r="AV326" s="6" t="s">
        <v>2961</v>
      </c>
      <c r="AW326" s="6" t="str">
        <f t="shared" si="178"/>
        <v>=14.14*100000000</v>
      </c>
      <c r="AX326" s="1">
        <f>14.14*100000000</f>
        <v>1414000000</v>
      </c>
      <c r="AY326" s="10">
        <f t="shared" si="179"/>
        <v>-0.78451691557451997</v>
      </c>
      <c r="AZ326" s="6" t="s">
        <v>4270</v>
      </c>
      <c r="BA326" s="6" t="str">
        <f t="shared" si="180"/>
        <v>=65.62*100000000</v>
      </c>
      <c r="BB326" s="1">
        <f>65.62*100000000</f>
        <v>6562000000</v>
      </c>
      <c r="BC326" s="8">
        <f t="shared" si="181"/>
        <v>0.18640390526125475</v>
      </c>
      <c r="BD326" s="6" t="s">
        <v>4271</v>
      </c>
      <c r="BE326" s="6" t="str">
        <f t="shared" si="182"/>
        <v>=55.31*100000000</v>
      </c>
      <c r="BF326" s="1">
        <f>55.31*100000000</f>
        <v>5531000000</v>
      </c>
      <c r="BG326" s="8">
        <f t="shared" si="183"/>
        <v>0.55452501405283872</v>
      </c>
      <c r="BH326" s="6" t="s">
        <v>4272</v>
      </c>
      <c r="BI326" s="6" t="str">
        <f t="shared" si="184"/>
        <v>=35.58*100000000</v>
      </c>
      <c r="BJ326" s="1">
        <f>35.58*100000000</f>
        <v>3558000000</v>
      </c>
      <c r="BK326" s="6" t="s">
        <v>4273</v>
      </c>
      <c r="BL326" s="1" t="str">
        <f t="shared" si="156"/>
        <v>=14.89*100000000</v>
      </c>
      <c r="BM326" s="16">
        <f t="shared" si="185"/>
        <v>1.3895231699126931</v>
      </c>
      <c r="BN326" s="1">
        <f>14.89*100000000</f>
        <v>1489000000</v>
      </c>
    </row>
    <row r="327" spans="1:66">
      <c r="A327" s="18"/>
      <c r="B327">
        <v>600279</v>
      </c>
      <c r="C327" t="s">
        <v>48</v>
      </c>
      <c r="D327" s="6" t="s">
        <v>4274</v>
      </c>
      <c r="E327" s="7" t="str">
        <f t="shared" si="155"/>
        <v>=1.239*100000000</v>
      </c>
      <c r="F327" s="1">
        <f>1.239*100000000</f>
        <v>123900000.00000001</v>
      </c>
      <c r="G327" s="8">
        <f t="shared" si="157"/>
        <v>0.70028818443804053</v>
      </c>
      <c r="H327" s="7" t="s">
        <v>4275</v>
      </c>
      <c r="I327" s="6" t="str">
        <f t="shared" si="158"/>
        <v>=7287*10000</v>
      </c>
      <c r="J327" s="1">
        <f>7287*10000</f>
        <v>72870000</v>
      </c>
      <c r="K327" s="10">
        <f t="shared" si="159"/>
        <v>1.8288043478260869</v>
      </c>
      <c r="L327" s="7" t="s">
        <v>4276</v>
      </c>
      <c r="M327" s="6" t="str">
        <f t="shared" si="160"/>
        <v>=2576*10000</v>
      </c>
      <c r="N327" s="1">
        <f>2576*10000</f>
        <v>25760000</v>
      </c>
      <c r="O327" s="8">
        <f t="shared" si="161"/>
        <v>1.2017094017094017</v>
      </c>
      <c r="P327" s="7" t="s">
        <v>4277</v>
      </c>
      <c r="Q327" s="6" t="str">
        <f t="shared" si="162"/>
        <v>=1170*10000</v>
      </c>
      <c r="R327" s="11">
        <f>1170*10000</f>
        <v>11700000</v>
      </c>
      <c r="S327" s="8">
        <f t="shared" si="163"/>
        <v>-0.92861500915192186</v>
      </c>
      <c r="T327" s="6" t="s">
        <v>1688</v>
      </c>
      <c r="U327" s="6" t="str">
        <f t="shared" si="164"/>
        <v>=1.639*100000000</v>
      </c>
      <c r="V327" s="1">
        <f>1.639*100000000</f>
        <v>163900000</v>
      </c>
      <c r="W327" s="8">
        <f t="shared" si="165"/>
        <v>0.53320860617399435</v>
      </c>
      <c r="X327" s="6" t="s">
        <v>4278</v>
      </c>
      <c r="Y327" s="6" t="str">
        <f t="shared" si="166"/>
        <v>=1.069*100000000</v>
      </c>
      <c r="Z327" s="1">
        <f>1.069*100000000</f>
        <v>106900000</v>
      </c>
      <c r="AA327" s="8">
        <f t="shared" si="167"/>
        <v>0.76344440778620914</v>
      </c>
      <c r="AB327" s="7" t="s">
        <v>4279</v>
      </c>
      <c r="AC327" s="6" t="str">
        <f t="shared" si="168"/>
        <v>=6062*10000</v>
      </c>
      <c r="AD327" s="1">
        <f>6062*10000</f>
        <v>60620000</v>
      </c>
      <c r="AE327" s="8">
        <f t="shared" si="169"/>
        <v>3.9485714285714284</v>
      </c>
      <c r="AF327" s="7" t="s">
        <v>4280</v>
      </c>
      <c r="AG327" s="6" t="str">
        <f t="shared" si="170"/>
        <v>=1225*10000</v>
      </c>
      <c r="AH327" s="1">
        <f>1225*10000</f>
        <v>12250000</v>
      </c>
      <c r="AI327" s="8">
        <f t="shared" si="171"/>
        <v>-0.93194444444444446</v>
      </c>
      <c r="AJ327" s="6" t="s">
        <v>4281</v>
      </c>
      <c r="AK327" s="6" t="str">
        <f t="shared" si="172"/>
        <v>=1.800*100000000</v>
      </c>
      <c r="AL327" s="1">
        <f>1.8*100000000</f>
        <v>180000000</v>
      </c>
      <c r="AM327" s="8">
        <f t="shared" si="173"/>
        <v>0.35033758439609902</v>
      </c>
      <c r="AN327" s="6" t="s">
        <v>4282</v>
      </c>
      <c r="AO327" s="6" t="str">
        <f t="shared" si="174"/>
        <v>=1.333*100000000</v>
      </c>
      <c r="AP327" s="1">
        <f>1.333*100000000</f>
        <v>133300000</v>
      </c>
      <c r="AQ327" s="8">
        <f t="shared" si="175"/>
        <v>0.24463118580765639</v>
      </c>
      <c r="AR327" s="6" t="s">
        <v>4283</v>
      </c>
      <c r="AS327" s="6" t="str">
        <f t="shared" si="176"/>
        <v>=1.071*100000000</v>
      </c>
      <c r="AT327" s="1">
        <f>1.071*100000000</f>
        <v>107100000</v>
      </c>
      <c r="AU327" s="8">
        <f t="shared" si="177"/>
        <v>1.7093346825196054</v>
      </c>
      <c r="AV327" s="7" t="s">
        <v>4284</v>
      </c>
      <c r="AW327" s="6" t="str">
        <f t="shared" si="178"/>
        <v>=3953*10000</v>
      </c>
      <c r="AX327" s="1">
        <f>3953*10000</f>
        <v>39530000</v>
      </c>
      <c r="AY327" s="10">
        <f t="shared" si="179"/>
        <v>-0.82485600354452815</v>
      </c>
      <c r="AZ327" s="6" t="s">
        <v>4285</v>
      </c>
      <c r="BA327" s="6" t="str">
        <f t="shared" si="180"/>
        <v>=2.257*100000000</v>
      </c>
      <c r="BB327" s="1">
        <f>2.257*100000000</f>
        <v>225700000</v>
      </c>
      <c r="BC327" s="8">
        <f t="shared" si="181"/>
        <v>0.49173826834104428</v>
      </c>
      <c r="BD327" s="6" t="s">
        <v>1955</v>
      </c>
      <c r="BE327" s="6" t="str">
        <f t="shared" si="182"/>
        <v>=1.513*100000000</v>
      </c>
      <c r="BF327" s="1">
        <f>1.513*100000000</f>
        <v>151300000</v>
      </c>
      <c r="BG327" s="8">
        <f t="shared" si="183"/>
        <v>0.64295797589314796</v>
      </c>
      <c r="BH327" s="7" t="s">
        <v>4286</v>
      </c>
      <c r="BI327" s="6" t="str">
        <f t="shared" si="184"/>
        <v>=9209*10000</v>
      </c>
      <c r="BJ327" s="1">
        <f>9209*10000</f>
        <v>92090000</v>
      </c>
      <c r="BK327" s="7" t="s">
        <v>4287</v>
      </c>
      <c r="BL327" s="1" t="str">
        <f t="shared" si="156"/>
        <v>=3037*10000</v>
      </c>
      <c r="BM327" s="16">
        <f t="shared" si="185"/>
        <v>2.0322686862034902</v>
      </c>
      <c r="BN327" s="1">
        <f>3037*10000</f>
        <v>30370000</v>
      </c>
    </row>
    <row r="328" spans="1:66">
      <c r="A328" s="18"/>
      <c r="B328">
        <v>600279</v>
      </c>
      <c r="C328" t="s">
        <v>58</v>
      </c>
      <c r="D328" s="6" t="s">
        <v>1998</v>
      </c>
      <c r="E328" s="7" t="str">
        <f t="shared" si="155"/>
        <v>=1.289*100000000</v>
      </c>
      <c r="F328" s="1">
        <f>1.289*100000000</f>
        <v>128899999.99999999</v>
      </c>
      <c r="G328" s="8">
        <f t="shared" si="157"/>
        <v>0.64224742005350977</v>
      </c>
      <c r="H328" s="7" t="s">
        <v>4288</v>
      </c>
      <c r="I328" s="6" t="str">
        <f t="shared" si="158"/>
        <v>=7849*10000</v>
      </c>
      <c r="J328" s="1">
        <f>7849*10000</f>
        <v>78490000</v>
      </c>
      <c r="K328" s="10">
        <f t="shared" si="159"/>
        <v>1.4322900526805082</v>
      </c>
      <c r="L328" s="7" t="s">
        <v>3705</v>
      </c>
      <c r="M328" s="6" t="str">
        <f t="shared" si="160"/>
        <v>=3227*10000</v>
      </c>
      <c r="N328" s="1">
        <f>3227*10000</f>
        <v>32270000</v>
      </c>
      <c r="O328" s="8">
        <f t="shared" si="161"/>
        <v>1.2519190509420794</v>
      </c>
      <c r="P328" s="7" t="s">
        <v>2163</v>
      </c>
      <c r="Q328" s="6" t="str">
        <f t="shared" si="162"/>
        <v>=1433*10000</v>
      </c>
      <c r="R328" s="11">
        <f>1433*10000</f>
        <v>14330000</v>
      </c>
      <c r="S328" s="8">
        <f t="shared" si="163"/>
        <v>-0.90652315720808874</v>
      </c>
      <c r="T328" s="6" t="s">
        <v>4289</v>
      </c>
      <c r="U328" s="6" t="str">
        <f t="shared" si="164"/>
        <v>=1.533*100000000</v>
      </c>
      <c r="V328" s="1">
        <f>1.533*100000000</f>
        <v>153300000</v>
      </c>
      <c r="W328" s="8">
        <f t="shared" si="165"/>
        <v>0.41030358785648574</v>
      </c>
      <c r="X328" s="6" t="s">
        <v>4290</v>
      </c>
      <c r="Y328" s="6" t="str">
        <f t="shared" si="166"/>
        <v>=1.087*100000000</v>
      </c>
      <c r="Z328" s="1">
        <f>1.087*100000000</f>
        <v>108700000</v>
      </c>
      <c r="AA328" s="8">
        <f t="shared" si="167"/>
        <v>0.76776711660432595</v>
      </c>
      <c r="AB328" s="7" t="s">
        <v>4291</v>
      </c>
      <c r="AC328" s="6" t="str">
        <f t="shared" si="168"/>
        <v>=6149*10000</v>
      </c>
      <c r="AD328" s="1">
        <f>6149*10000</f>
        <v>61490000</v>
      </c>
      <c r="AE328" s="8">
        <f t="shared" si="169"/>
        <v>3.9074221867517958</v>
      </c>
      <c r="AF328" s="7" t="s">
        <v>4292</v>
      </c>
      <c r="AG328" s="6" t="str">
        <f t="shared" si="170"/>
        <v>=1253*10000</v>
      </c>
      <c r="AH328" s="1">
        <f>1253*10000</f>
        <v>12530000</v>
      </c>
      <c r="AI328" s="8">
        <f t="shared" si="171"/>
        <v>-0.95586474110602326</v>
      </c>
      <c r="AJ328" s="6" t="s">
        <v>4293</v>
      </c>
      <c r="AK328" s="6" t="str">
        <f t="shared" si="172"/>
        <v>=2.839*100000000</v>
      </c>
      <c r="AL328" s="1">
        <f>2.839*100000000</f>
        <v>283900000</v>
      </c>
      <c r="AM328" s="8">
        <f t="shared" si="173"/>
        <v>0.21636675235646957</v>
      </c>
      <c r="AN328" s="6" t="s">
        <v>4294</v>
      </c>
      <c r="AO328" s="6" t="str">
        <f t="shared" si="174"/>
        <v>=2.334*100000000</v>
      </c>
      <c r="AP328" s="1">
        <f>2.334*100000000</f>
        <v>233400000</v>
      </c>
      <c r="AQ328" s="8">
        <f t="shared" si="175"/>
        <v>1.1256830601092893</v>
      </c>
      <c r="AR328" s="6" t="s">
        <v>4295</v>
      </c>
      <c r="AS328" s="6" t="str">
        <f t="shared" si="176"/>
        <v>=1.098*100000000</v>
      </c>
      <c r="AT328" s="1">
        <f>1.098*100000000</f>
        <v>109800000.00000001</v>
      </c>
      <c r="AU328" s="8">
        <f t="shared" si="177"/>
        <v>1.5206611570247937</v>
      </c>
      <c r="AV328" s="7" t="s">
        <v>4296</v>
      </c>
      <c r="AW328" s="6" t="str">
        <f t="shared" si="178"/>
        <v>=4356*10000</v>
      </c>
      <c r="AX328" s="1">
        <f>4356*10000</f>
        <v>43560000</v>
      </c>
      <c r="AY328" s="10">
        <f t="shared" si="179"/>
        <v>-0.82285481903212687</v>
      </c>
      <c r="AZ328" s="6" t="s">
        <v>4297</v>
      </c>
      <c r="BA328" s="6" t="str">
        <f t="shared" si="180"/>
        <v>=2.459*100000000</v>
      </c>
      <c r="BB328" s="1">
        <f>2.459*100000000</f>
        <v>245900000</v>
      </c>
      <c r="BC328" s="8">
        <f t="shared" si="181"/>
        <v>0.48759830611010285</v>
      </c>
      <c r="BD328" s="6" t="s">
        <v>2817</v>
      </c>
      <c r="BE328" s="6" t="str">
        <f t="shared" si="182"/>
        <v>=1.653*100000000</v>
      </c>
      <c r="BF328" s="1">
        <f>1.653*100000000</f>
        <v>165300000</v>
      </c>
      <c r="BG328" s="8">
        <f t="shared" si="183"/>
        <v>0.63017751479289941</v>
      </c>
      <c r="BH328" s="6" t="s">
        <v>4298</v>
      </c>
      <c r="BI328" s="6" t="str">
        <f t="shared" si="184"/>
        <v>=1.014*100000000</v>
      </c>
      <c r="BJ328" s="1">
        <f>1.014*100000000</f>
        <v>101400000</v>
      </c>
      <c r="BK328" s="7" t="s">
        <v>4299</v>
      </c>
      <c r="BL328" s="1" t="str">
        <f t="shared" si="156"/>
        <v>=3829*10000</v>
      </c>
      <c r="BM328" s="16">
        <f t="shared" si="185"/>
        <v>1.6482110211543484</v>
      </c>
      <c r="BN328" s="1">
        <f>3829*10000</f>
        <v>38290000</v>
      </c>
    </row>
    <row r="329" spans="1:66">
      <c r="A329" s="19"/>
      <c r="B329">
        <v>600279</v>
      </c>
      <c r="C329" t="s">
        <v>68</v>
      </c>
      <c r="D329" s="6" t="s">
        <v>2179</v>
      </c>
      <c r="E329" s="7" t="str">
        <f t="shared" si="155"/>
        <v>=1.034*100000000</v>
      </c>
      <c r="F329" s="1">
        <f>1.034*100000000</f>
        <v>103400000</v>
      </c>
      <c r="G329" s="8">
        <f t="shared" si="157"/>
        <v>0.86946302657747243</v>
      </c>
      <c r="H329" s="7" t="s">
        <v>4300</v>
      </c>
      <c r="I329" s="6" t="str">
        <f t="shared" si="158"/>
        <v>=5531*10000</v>
      </c>
      <c r="J329" s="1">
        <f>5531*10000</f>
        <v>55310000</v>
      </c>
      <c r="K329" s="10">
        <f t="shared" si="159"/>
        <v>1.9280042350449973</v>
      </c>
      <c r="L329" s="7" t="s">
        <v>3808</v>
      </c>
      <c r="M329" s="6" t="str">
        <f t="shared" si="160"/>
        <v>=1889*10000</v>
      </c>
      <c r="N329" s="1">
        <f>1889*10000</f>
        <v>18890000</v>
      </c>
      <c r="O329" s="8">
        <f t="shared" si="161"/>
        <v>1.2223529411764706</v>
      </c>
      <c r="P329" s="7" t="s">
        <v>4301</v>
      </c>
      <c r="Q329" s="6" t="str">
        <f t="shared" si="162"/>
        <v>=850.0*10000</v>
      </c>
      <c r="R329" s="11">
        <f>850*10000</f>
        <v>8500000</v>
      </c>
      <c r="S329" s="8">
        <f t="shared" si="163"/>
        <v>-0.93400621118012417</v>
      </c>
      <c r="T329" s="6" t="s">
        <v>4302</v>
      </c>
      <c r="U329" s="6" t="str">
        <f t="shared" si="164"/>
        <v>=1.288*100000000</v>
      </c>
      <c r="V329" s="1">
        <f>1.288*100000000</f>
        <v>128800000</v>
      </c>
      <c r="W329" s="8">
        <f t="shared" si="165"/>
        <v>0.42462117022453266</v>
      </c>
      <c r="X329" s="7" t="s">
        <v>4303</v>
      </c>
      <c r="Y329" s="6" t="str">
        <f t="shared" si="166"/>
        <v>=9041*10000</v>
      </c>
      <c r="Z329" s="1">
        <f>9041*10000</f>
        <v>90410000</v>
      </c>
      <c r="AA329" s="8">
        <f t="shared" si="167"/>
        <v>0.81146062913243844</v>
      </c>
      <c r="AB329" s="7" t="s">
        <v>4304</v>
      </c>
      <c r="AC329" s="6" t="str">
        <f t="shared" si="168"/>
        <v>=4991*10000</v>
      </c>
      <c r="AD329" s="1">
        <f>4991*10000</f>
        <v>49910000</v>
      </c>
      <c r="AE329" s="8">
        <f t="shared" si="169"/>
        <v>4.9212243445248545</v>
      </c>
      <c r="AF329" s="7" t="s">
        <v>4305</v>
      </c>
      <c r="AG329" s="6" t="str">
        <f t="shared" si="170"/>
        <v>=842.9*10000</v>
      </c>
      <c r="AH329" s="1">
        <f>842.9*10000</f>
        <v>8429000</v>
      </c>
      <c r="AI329" s="8">
        <f t="shared" si="171"/>
        <v>-0.9635896328293736</v>
      </c>
      <c r="AJ329" s="6" t="s">
        <v>4306</v>
      </c>
      <c r="AK329" s="6" t="str">
        <f t="shared" si="172"/>
        <v>=2.315*100000000</v>
      </c>
      <c r="AL329" s="1">
        <f>2.315*100000000</f>
        <v>231500000</v>
      </c>
      <c r="AM329" s="8">
        <f t="shared" si="173"/>
        <v>0.21522309711286089</v>
      </c>
      <c r="AN329" s="6" t="s">
        <v>4307</v>
      </c>
      <c r="AO329" s="6" t="str">
        <f t="shared" si="174"/>
        <v>=1.905*100000000</v>
      </c>
      <c r="AP329" s="1">
        <f>1.905*100000000</f>
        <v>190500000</v>
      </c>
      <c r="AQ329" s="8">
        <f t="shared" si="175"/>
        <v>1.1455118819686902</v>
      </c>
      <c r="AR329" s="7" t="s">
        <v>4308</v>
      </c>
      <c r="AS329" s="6" t="str">
        <f t="shared" si="176"/>
        <v>=8879*10000</v>
      </c>
      <c r="AT329" s="1">
        <f>8879*10000</f>
        <v>88790000</v>
      </c>
      <c r="AU329" s="8">
        <f t="shared" si="177"/>
        <v>1.5131616190206623</v>
      </c>
      <c r="AV329" s="7" t="s">
        <v>4309</v>
      </c>
      <c r="AW329" s="6" t="str">
        <f t="shared" si="178"/>
        <v>=3533*10000</v>
      </c>
      <c r="AX329" s="1">
        <f>3533*10000</f>
        <v>35330000</v>
      </c>
      <c r="AY329" s="10">
        <f t="shared" si="179"/>
        <v>-0.82672878862187349</v>
      </c>
      <c r="AZ329" s="6" t="s">
        <v>190</v>
      </c>
      <c r="BA329" s="6" t="str">
        <f t="shared" si="180"/>
        <v>=2.039*100000000</v>
      </c>
      <c r="BB329" s="1">
        <f>2.039*100000000</f>
        <v>203900000</v>
      </c>
      <c r="BC329" s="8">
        <f t="shared" si="181"/>
        <v>0.54821564160971903</v>
      </c>
      <c r="BD329" s="6" t="s">
        <v>4310</v>
      </c>
      <c r="BE329" s="6" t="str">
        <f t="shared" si="182"/>
        <v>=1.317*100000000</v>
      </c>
      <c r="BF329" s="1">
        <f>1.317*100000000</f>
        <v>131700000</v>
      </c>
      <c r="BG329" s="8">
        <f t="shared" si="183"/>
        <v>0.65848129958443524</v>
      </c>
      <c r="BH329" s="7" t="s">
        <v>4311</v>
      </c>
      <c r="BI329" s="6" t="str">
        <f t="shared" si="184"/>
        <v>=7941*10000</v>
      </c>
      <c r="BJ329" s="1">
        <f>7941*10000</f>
        <v>79410000</v>
      </c>
      <c r="BK329" s="7" t="s">
        <v>4312</v>
      </c>
      <c r="BL329" s="1" t="str">
        <f t="shared" si="156"/>
        <v>=2997*10000</v>
      </c>
      <c r="BM329" s="16">
        <f t="shared" si="185"/>
        <v>1.6496496496496496</v>
      </c>
      <c r="BN329" s="1">
        <f>2997*10000</f>
        <v>29970000</v>
      </c>
    </row>
    <row r="330" spans="1:66">
      <c r="A330" s="17">
        <v>83</v>
      </c>
      <c r="B330">
        <v>600282</v>
      </c>
      <c r="C330" t="s">
        <v>31</v>
      </c>
      <c r="D330" s="6" t="s">
        <v>4313</v>
      </c>
      <c r="E330" s="7" t="str">
        <f t="shared" si="155"/>
        <v>=756.7*100000000</v>
      </c>
      <c r="F330" s="1">
        <f>756.7*100000000</f>
        <v>75670000000</v>
      </c>
      <c r="G330" s="8">
        <f t="shared" si="157"/>
        <v>0.27907369844489521</v>
      </c>
      <c r="H330" s="6" t="s">
        <v>4314</v>
      </c>
      <c r="I330" s="6" t="str">
        <f t="shared" si="158"/>
        <v>=591.6*100000000</v>
      </c>
      <c r="J330" s="1">
        <f>591.6*100000000</f>
        <v>59160000000</v>
      </c>
      <c r="K330" s="10">
        <f t="shared" si="159"/>
        <v>0.53303964757709255</v>
      </c>
      <c r="L330" s="6" t="s">
        <v>4315</v>
      </c>
      <c r="M330" s="6" t="str">
        <f t="shared" si="160"/>
        <v>=385.9*100000000</v>
      </c>
      <c r="N330" s="1">
        <f>385.9*100000000</f>
        <v>38590000000</v>
      </c>
      <c r="O330" s="8">
        <f t="shared" si="161"/>
        <v>1.2780401416765053</v>
      </c>
      <c r="P330" s="6" t="s">
        <v>4316</v>
      </c>
      <c r="Q330" s="6" t="str">
        <f t="shared" si="162"/>
        <v>=169.4*100000000</v>
      </c>
      <c r="R330" s="11">
        <f>169.4*100000000</f>
        <v>16940000000</v>
      </c>
      <c r="S330" s="8">
        <f t="shared" si="163"/>
        <v>-0.68109939759036153</v>
      </c>
      <c r="T330" s="6" t="s">
        <v>4317</v>
      </c>
      <c r="U330" s="6" t="str">
        <f t="shared" si="164"/>
        <v>=531.2*100000000</v>
      </c>
      <c r="V330" s="1">
        <f>531.2*100000000</f>
        <v>53120000000.000008</v>
      </c>
      <c r="W330" s="8">
        <f t="shared" si="165"/>
        <v>0.37403000517330592</v>
      </c>
      <c r="X330" s="6" t="s">
        <v>4318</v>
      </c>
      <c r="Y330" s="6" t="str">
        <f t="shared" si="166"/>
        <v>=386.6*100000000</v>
      </c>
      <c r="Z330" s="1">
        <f>386.6*100000000</f>
        <v>38660000000</v>
      </c>
      <c r="AA330" s="8">
        <f t="shared" si="167"/>
        <v>0.58702791461412152</v>
      </c>
      <c r="AB330" s="6" t="s">
        <v>4319</v>
      </c>
      <c r="AC330" s="6" t="str">
        <f t="shared" si="168"/>
        <v>=243.6*100000000</v>
      </c>
      <c r="AD330" s="1">
        <f>243.6*100000000</f>
        <v>24360000000</v>
      </c>
      <c r="AE330" s="8">
        <f t="shared" si="169"/>
        <v>1.1127493495229834</v>
      </c>
      <c r="AF330" s="6" t="s">
        <v>4320</v>
      </c>
      <c r="AG330" s="6" t="str">
        <f t="shared" si="170"/>
        <v>=115.3*100000000</v>
      </c>
      <c r="AH330" s="1">
        <f>115.3*100000000</f>
        <v>11530000000</v>
      </c>
      <c r="AI330" s="8">
        <f t="shared" si="171"/>
        <v>-0.75964144256827182</v>
      </c>
      <c r="AJ330" s="6" t="s">
        <v>4321</v>
      </c>
      <c r="AK330" s="6" t="str">
        <f t="shared" si="172"/>
        <v>=479.7*100000000</v>
      </c>
      <c r="AL330" s="1">
        <f>479.7*100000000</f>
        <v>47970000000</v>
      </c>
      <c r="AM330" s="8">
        <f t="shared" si="173"/>
        <v>0.30601687993465831</v>
      </c>
      <c r="AN330" s="6" t="s">
        <v>4322</v>
      </c>
      <c r="AO330" s="6" t="str">
        <f t="shared" si="174"/>
        <v>=367.3*100000000</v>
      </c>
      <c r="AP330" s="1">
        <f>367.3*100000000</f>
        <v>36730000000</v>
      </c>
      <c r="AQ330" s="8">
        <f t="shared" si="175"/>
        <v>0.5240663900414938</v>
      </c>
      <c r="AR330" s="6" t="s">
        <v>4323</v>
      </c>
      <c r="AS330" s="6" t="str">
        <f t="shared" si="176"/>
        <v>=241.0*100000000</v>
      </c>
      <c r="AT330" s="1">
        <f>241*100000000</f>
        <v>24100000000</v>
      </c>
      <c r="AU330" s="8">
        <f t="shared" si="177"/>
        <v>1.0389170896785109</v>
      </c>
      <c r="AV330" s="6" t="s">
        <v>539</v>
      </c>
      <c r="AW330" s="6" t="str">
        <f t="shared" si="178"/>
        <v>=118.2*100000000</v>
      </c>
      <c r="AX330" s="1">
        <f>118.2*100000000</f>
        <v>11820000000</v>
      </c>
      <c r="AY330" s="10">
        <f t="shared" si="179"/>
        <v>-0.72920962199312711</v>
      </c>
      <c r="AZ330" s="6" t="s">
        <v>4324</v>
      </c>
      <c r="BA330" s="6" t="str">
        <f t="shared" si="180"/>
        <v>=436.5*100000000</v>
      </c>
      <c r="BB330" s="1">
        <f>436.5*100000000</f>
        <v>43650000000</v>
      </c>
      <c r="BC330" s="8">
        <f t="shared" si="181"/>
        <v>0.29756242568371</v>
      </c>
      <c r="BD330" s="6" t="s">
        <v>4325</v>
      </c>
      <c r="BE330" s="6" t="str">
        <f t="shared" si="182"/>
        <v>=336.4*100000000</v>
      </c>
      <c r="BF330" s="1">
        <f>336.4*100000000</f>
        <v>33639999999.999996</v>
      </c>
      <c r="BG330" s="8">
        <f t="shared" si="183"/>
        <v>0.55596669750231253</v>
      </c>
      <c r="BH330" s="6" t="s">
        <v>4326</v>
      </c>
      <c r="BI330" s="6" t="str">
        <f t="shared" si="184"/>
        <v>=216.2*100000000</v>
      </c>
      <c r="BJ330" s="1">
        <f>216.2*100000000</f>
        <v>21620000000</v>
      </c>
      <c r="BK330" s="6" t="s">
        <v>4327</v>
      </c>
      <c r="BL330" s="1" t="str">
        <f t="shared" si="156"/>
        <v>=103.7*100000000</v>
      </c>
      <c r="BM330" s="16">
        <f t="shared" si="185"/>
        <v>1.0848601735776278</v>
      </c>
      <c r="BN330" s="1">
        <f>103.7*100000000</f>
        <v>10370000000</v>
      </c>
    </row>
    <row r="331" spans="1:66">
      <c r="A331" s="18"/>
      <c r="B331">
        <v>600282</v>
      </c>
      <c r="C331" t="s">
        <v>48</v>
      </c>
      <c r="D331" s="6" t="s">
        <v>4328</v>
      </c>
      <c r="E331" s="7" t="str">
        <f t="shared" si="155"/>
        <v>=50.28*100000000</v>
      </c>
      <c r="F331" s="1">
        <f>50.28*100000000</f>
        <v>5028000000</v>
      </c>
      <c r="G331" s="8">
        <f t="shared" si="157"/>
        <v>0.17641553579784744</v>
      </c>
      <c r="H331" s="6" t="s">
        <v>4329</v>
      </c>
      <c r="I331" s="6" t="str">
        <f t="shared" si="158"/>
        <v>=42.74*100000000</v>
      </c>
      <c r="J331" s="1">
        <f>42.74*100000000</f>
        <v>4274000000</v>
      </c>
      <c r="K331" s="10">
        <f t="shared" si="159"/>
        <v>0.52262201638760242</v>
      </c>
      <c r="L331" s="6" t="s">
        <v>4330</v>
      </c>
      <c r="M331" s="6" t="str">
        <f t="shared" si="160"/>
        <v>=28.07*100000000</v>
      </c>
      <c r="N331" s="1">
        <f>28.07*100000000</f>
        <v>2807000000</v>
      </c>
      <c r="O331" s="8">
        <f t="shared" si="161"/>
        <v>1.3489539748953976</v>
      </c>
      <c r="P331" s="6" t="s">
        <v>4331</v>
      </c>
      <c r="Q331" s="6" t="str">
        <f t="shared" si="162"/>
        <v>=11.95*100000000</v>
      </c>
      <c r="R331" s="11">
        <f>11.95*100000000</f>
        <v>1195000000</v>
      </c>
      <c r="S331" s="8">
        <f t="shared" si="163"/>
        <v>-0.69049469049469048</v>
      </c>
      <c r="T331" s="6" t="s">
        <v>4332</v>
      </c>
      <c r="U331" s="6" t="str">
        <f t="shared" si="164"/>
        <v>=38.61*100000000</v>
      </c>
      <c r="V331" s="1">
        <f>38.61*100000000</f>
        <v>3861000000</v>
      </c>
      <c r="W331" s="8">
        <f t="shared" si="165"/>
        <v>0.37012065294535129</v>
      </c>
      <c r="X331" s="6" t="s">
        <v>314</v>
      </c>
      <c r="Y331" s="6" t="str">
        <f t="shared" si="166"/>
        <v>=28.18*100000000</v>
      </c>
      <c r="Z331" s="1">
        <f>28.18*100000000</f>
        <v>2818000000</v>
      </c>
      <c r="AA331" s="8">
        <f t="shared" si="167"/>
        <v>0.65278592375366573</v>
      </c>
      <c r="AB331" s="6" t="s">
        <v>4333</v>
      </c>
      <c r="AC331" s="6" t="str">
        <f t="shared" si="168"/>
        <v>=17.05*100000000</v>
      </c>
      <c r="AD331" s="1">
        <f>17.05*100000000</f>
        <v>1705000000</v>
      </c>
      <c r="AE331" s="8">
        <f t="shared" si="169"/>
        <v>1.3634599390074855</v>
      </c>
      <c r="AF331" s="6" t="s">
        <v>4334</v>
      </c>
      <c r="AG331" s="6" t="str">
        <f t="shared" si="170"/>
        <v>=7.214*100000000</v>
      </c>
      <c r="AH331" s="1">
        <f>7.214*100000000</f>
        <v>721400000</v>
      </c>
      <c r="AI331" s="8">
        <f t="shared" si="171"/>
        <v>-0.82214003944773173</v>
      </c>
      <c r="AJ331" s="6" t="s">
        <v>4335</v>
      </c>
      <c r="AK331" s="6" t="str">
        <f t="shared" si="172"/>
        <v>=40.56*100000000</v>
      </c>
      <c r="AL331" s="1">
        <f>40.56*100000000</f>
        <v>4056000000</v>
      </c>
      <c r="AM331" s="8">
        <f t="shared" si="173"/>
        <v>0.19964507542147295</v>
      </c>
      <c r="AN331" s="6" t="s">
        <v>4336</v>
      </c>
      <c r="AO331" s="6" t="str">
        <f t="shared" si="174"/>
        <v>=33.81*100000000</v>
      </c>
      <c r="AP331" s="1">
        <f>33.81*100000000</f>
        <v>3381000000</v>
      </c>
      <c r="AQ331" s="8">
        <f t="shared" si="175"/>
        <v>0.25687732342007435</v>
      </c>
      <c r="AR331" s="6" t="s">
        <v>4337</v>
      </c>
      <c r="AS331" s="6" t="str">
        <f t="shared" si="176"/>
        <v>=26.90*100000000</v>
      </c>
      <c r="AT331" s="1">
        <f>26.9*100000000</f>
        <v>2690000000</v>
      </c>
      <c r="AU331" s="8">
        <f t="shared" si="177"/>
        <v>1.2971818958155423</v>
      </c>
      <c r="AV331" s="6" t="s">
        <v>1436</v>
      </c>
      <c r="AW331" s="6" t="str">
        <f t="shared" si="178"/>
        <v>=11.71*100000000</v>
      </c>
      <c r="AX331" s="1">
        <f>11.71*100000000</f>
        <v>1171000000</v>
      </c>
      <c r="AY331" s="10">
        <f t="shared" si="179"/>
        <v>-0.80606160980457109</v>
      </c>
      <c r="AZ331" s="6" t="s">
        <v>817</v>
      </c>
      <c r="BA331" s="6" t="str">
        <f t="shared" si="180"/>
        <v>=60.38*100000000</v>
      </c>
      <c r="BB331" s="1">
        <f>60.38*100000000</f>
        <v>6038000000</v>
      </c>
      <c r="BC331" s="8">
        <f t="shared" si="181"/>
        <v>0.19588037235096059</v>
      </c>
      <c r="BD331" s="6" t="s">
        <v>4338</v>
      </c>
      <c r="BE331" s="6" t="str">
        <f t="shared" si="182"/>
        <v>=50.49*100000000</v>
      </c>
      <c r="BF331" s="1">
        <f>50.49*100000000</f>
        <v>5049000000</v>
      </c>
      <c r="BG331" s="8">
        <f t="shared" si="183"/>
        <v>0.51576103272290608</v>
      </c>
      <c r="BH331" s="6" t="s">
        <v>4339</v>
      </c>
      <c r="BI331" s="6" t="str">
        <f t="shared" si="184"/>
        <v>=33.31*100000000</v>
      </c>
      <c r="BJ331" s="1">
        <f>33.31*100000000</f>
        <v>3331000000</v>
      </c>
      <c r="BK331" s="6" t="s">
        <v>4340</v>
      </c>
      <c r="BL331" s="1" t="str">
        <f t="shared" si="156"/>
        <v>=14.32*100000000</v>
      </c>
      <c r="BM331" s="16">
        <f t="shared" si="185"/>
        <v>1.3261173184357542</v>
      </c>
      <c r="BN331" s="1">
        <f>14.32*100000000</f>
        <v>1432000000</v>
      </c>
    </row>
    <row r="332" spans="1:66">
      <c r="A332" s="18"/>
      <c r="B332">
        <v>600282</v>
      </c>
      <c r="C332" t="s">
        <v>58</v>
      </c>
      <c r="D332" s="6" t="s">
        <v>4341</v>
      </c>
      <c r="E332" s="7" t="str">
        <f t="shared" si="155"/>
        <v>=49.78*100000000</v>
      </c>
      <c r="F332" s="1">
        <f>49.78*100000000</f>
        <v>4978000000</v>
      </c>
      <c r="G332" s="8">
        <f t="shared" si="157"/>
        <v>0.16281242700303666</v>
      </c>
      <c r="H332" s="6" t="s">
        <v>4342</v>
      </c>
      <c r="I332" s="6" t="str">
        <f t="shared" si="158"/>
        <v>=42.81*100000000</v>
      </c>
      <c r="J332" s="1">
        <f>42.81*100000000</f>
        <v>4281000000</v>
      </c>
      <c r="K332" s="10">
        <f t="shared" si="159"/>
        <v>0.52348754448398571</v>
      </c>
      <c r="L332" s="6" t="s">
        <v>1355</v>
      </c>
      <c r="M332" s="6" t="str">
        <f t="shared" si="160"/>
        <v>=28.10*100000000</v>
      </c>
      <c r="N332" s="1">
        <f>28.1*100000000</f>
        <v>2810000000</v>
      </c>
      <c r="O332" s="8">
        <f t="shared" si="161"/>
        <v>1.3319502074688796</v>
      </c>
      <c r="P332" s="6" t="s">
        <v>4343</v>
      </c>
      <c r="Q332" s="6" t="str">
        <f t="shared" si="162"/>
        <v>=12.05*100000000</v>
      </c>
      <c r="R332" s="11">
        <f>12.05*100000000</f>
        <v>1205000000</v>
      </c>
      <c r="S332" s="8">
        <f t="shared" si="163"/>
        <v>-0.68935292601185871</v>
      </c>
      <c r="T332" s="6" t="s">
        <v>4344</v>
      </c>
      <c r="U332" s="6" t="str">
        <f t="shared" si="164"/>
        <v>=38.79*100000000</v>
      </c>
      <c r="V332" s="1">
        <f>38.79*100000000</f>
        <v>3879000000</v>
      </c>
      <c r="W332" s="8">
        <f t="shared" si="165"/>
        <v>0.3586690017513135</v>
      </c>
      <c r="X332" s="6" t="s">
        <v>4345</v>
      </c>
      <c r="Y332" s="6" t="str">
        <f t="shared" si="166"/>
        <v>=28.55*100000000</v>
      </c>
      <c r="Z332" s="1">
        <f>28.55*100000000</f>
        <v>2855000000</v>
      </c>
      <c r="AA332" s="8">
        <f t="shared" si="167"/>
        <v>0.63892078071182523</v>
      </c>
      <c r="AB332" s="6" t="s">
        <v>4346</v>
      </c>
      <c r="AC332" s="6" t="str">
        <f t="shared" si="168"/>
        <v>=17.42*100000000</v>
      </c>
      <c r="AD332" s="1">
        <f>17.42*100000000</f>
        <v>1742000000.0000002</v>
      </c>
      <c r="AE332" s="8">
        <f t="shared" si="169"/>
        <v>1.4124082537044733</v>
      </c>
      <c r="AF332" s="6" t="s">
        <v>4347</v>
      </c>
      <c r="AG332" s="6" t="str">
        <f t="shared" si="170"/>
        <v>=7.221*100000000</v>
      </c>
      <c r="AH332" s="1">
        <f>7.221*100000000</f>
        <v>722100000</v>
      </c>
      <c r="AI332" s="8">
        <f t="shared" si="171"/>
        <v>-0.81494105586878529</v>
      </c>
      <c r="AJ332" s="6" t="s">
        <v>4348</v>
      </c>
      <c r="AK332" s="6" t="str">
        <f t="shared" si="172"/>
        <v>=39.02*100000000</v>
      </c>
      <c r="AL332" s="1">
        <f>39.02*100000000</f>
        <v>3902000000.0000005</v>
      </c>
      <c r="AM332" s="8">
        <f t="shared" si="173"/>
        <v>0.16582013743651045</v>
      </c>
      <c r="AN332" s="6" t="s">
        <v>4349</v>
      </c>
      <c r="AO332" s="6" t="str">
        <f t="shared" si="174"/>
        <v>=33.47*100000000</v>
      </c>
      <c r="AP332" s="1">
        <f>33.47*100000000</f>
        <v>3347000000</v>
      </c>
      <c r="AQ332" s="8">
        <f t="shared" si="175"/>
        <v>0.26016566265060243</v>
      </c>
      <c r="AR332" s="6" t="s">
        <v>4350</v>
      </c>
      <c r="AS332" s="6" t="str">
        <f t="shared" si="176"/>
        <v>=26.56*100000000</v>
      </c>
      <c r="AT332" s="1">
        <f>26.56*100000000</f>
        <v>2656000000</v>
      </c>
      <c r="AU332" s="8">
        <f t="shared" si="177"/>
        <v>1.2817869415807561</v>
      </c>
      <c r="AV332" s="6" t="s">
        <v>2454</v>
      </c>
      <c r="AW332" s="6" t="str">
        <f t="shared" si="178"/>
        <v>=11.64*100000000</v>
      </c>
      <c r="AX332" s="1">
        <f>11.64*100000000</f>
        <v>1164000000</v>
      </c>
      <c r="AY332" s="10">
        <f t="shared" si="179"/>
        <v>-0.80304568527918785</v>
      </c>
      <c r="AZ332" s="6" t="s">
        <v>2404</v>
      </c>
      <c r="BA332" s="6" t="str">
        <f t="shared" si="180"/>
        <v>=59.10*100000000</v>
      </c>
      <c r="BB332" s="1">
        <f>59.1*100000000</f>
        <v>5910000000</v>
      </c>
      <c r="BC332" s="8">
        <f t="shared" si="181"/>
        <v>0.17099266891222509</v>
      </c>
      <c r="BD332" s="6" t="s">
        <v>4351</v>
      </c>
      <c r="BE332" s="6" t="str">
        <f t="shared" si="182"/>
        <v>=50.47*100000000</v>
      </c>
      <c r="BF332" s="1">
        <f>50.47*100000000</f>
        <v>5047000000</v>
      </c>
      <c r="BG332" s="8">
        <f t="shared" si="183"/>
        <v>0.5169822663059811</v>
      </c>
      <c r="BH332" s="6" t="s">
        <v>1946</v>
      </c>
      <c r="BI332" s="6" t="str">
        <f t="shared" si="184"/>
        <v>=33.27*100000000</v>
      </c>
      <c r="BJ332" s="1">
        <f>33.27*100000000</f>
        <v>3327000000.0000005</v>
      </c>
      <c r="BK332" s="6" t="s">
        <v>4352</v>
      </c>
      <c r="BL332" s="1" t="str">
        <f t="shared" si="156"/>
        <v>=14.31*100000000</v>
      </c>
      <c r="BM332" s="16">
        <f t="shared" si="185"/>
        <v>1.3249475890985327</v>
      </c>
      <c r="BN332" s="1">
        <f>14.31*100000000</f>
        <v>1431000000</v>
      </c>
    </row>
    <row r="333" spans="1:66">
      <c r="A333" s="19"/>
      <c r="B333">
        <v>600282</v>
      </c>
      <c r="C333" t="s">
        <v>68</v>
      </c>
      <c r="D333" s="6" t="s">
        <v>4353</v>
      </c>
      <c r="E333" s="7" t="str">
        <f t="shared" si="155"/>
        <v>=40.95*100000000</v>
      </c>
      <c r="F333" s="1">
        <f>40.95*100000000</f>
        <v>4095000000.0000005</v>
      </c>
      <c r="G333" s="8">
        <f t="shared" si="157"/>
        <v>0.17638609594943996</v>
      </c>
      <c r="H333" s="6" t="s">
        <v>4354</v>
      </c>
      <c r="I333" s="6" t="str">
        <f t="shared" si="158"/>
        <v>=34.81*100000000</v>
      </c>
      <c r="J333" s="1">
        <f>34.81*100000000</f>
        <v>3481000000</v>
      </c>
      <c r="K333" s="10">
        <f t="shared" si="159"/>
        <v>0.53754416961130747</v>
      </c>
      <c r="L333" s="6" t="s">
        <v>4355</v>
      </c>
      <c r="M333" s="6" t="str">
        <f t="shared" si="160"/>
        <v>=22.64*100000000</v>
      </c>
      <c r="N333" s="1">
        <f>22.64*100000000</f>
        <v>2264000000</v>
      </c>
      <c r="O333" s="8">
        <f t="shared" si="161"/>
        <v>1.3139820114472607</v>
      </c>
      <c r="P333" s="6" t="s">
        <v>4356</v>
      </c>
      <c r="Q333" s="6" t="str">
        <f t="shared" si="162"/>
        <v>=9.784*100000000</v>
      </c>
      <c r="R333" s="11">
        <f>9.784*100000000</f>
        <v>978400000.00000012</v>
      </c>
      <c r="S333" s="8">
        <f t="shared" si="163"/>
        <v>-0.69309912170639898</v>
      </c>
      <c r="T333" s="6" t="s">
        <v>4357</v>
      </c>
      <c r="U333" s="6" t="str">
        <f t="shared" si="164"/>
        <v>=31.88*100000000</v>
      </c>
      <c r="V333" s="1">
        <f>31.88*100000000</f>
        <v>3188000000</v>
      </c>
      <c r="W333" s="8">
        <f t="shared" si="165"/>
        <v>0.34628378378378377</v>
      </c>
      <c r="X333" s="6" t="s">
        <v>4358</v>
      </c>
      <c r="Y333" s="6" t="str">
        <f t="shared" si="166"/>
        <v>=23.68*100000000</v>
      </c>
      <c r="Z333" s="1">
        <f>23.68*100000000</f>
        <v>2368000000</v>
      </c>
      <c r="AA333" s="8">
        <f t="shared" si="167"/>
        <v>0.61088435374149663</v>
      </c>
      <c r="AB333" s="6" t="s">
        <v>1096</v>
      </c>
      <c r="AC333" s="6" t="str">
        <f t="shared" si="168"/>
        <v>=14.70*100000000</v>
      </c>
      <c r="AD333" s="1">
        <f>14.7*100000000</f>
        <v>1470000000</v>
      </c>
      <c r="AE333" s="8">
        <f t="shared" si="169"/>
        <v>1.4881516587677726</v>
      </c>
      <c r="AF333" s="6" t="s">
        <v>4359</v>
      </c>
      <c r="AG333" s="6" t="str">
        <f t="shared" si="170"/>
        <v>=5.908*100000000</v>
      </c>
      <c r="AH333" s="1">
        <f>5.908*100000000</f>
        <v>590800000</v>
      </c>
      <c r="AI333" s="8">
        <f t="shared" si="171"/>
        <v>-0.82442793462109953</v>
      </c>
      <c r="AJ333" s="6" t="s">
        <v>4360</v>
      </c>
      <c r="AK333" s="6" t="str">
        <f t="shared" si="172"/>
        <v>=33.65*100000000</v>
      </c>
      <c r="AL333" s="1">
        <f>33.65*100000000</f>
        <v>3365000000</v>
      </c>
      <c r="AM333" s="8">
        <f t="shared" si="173"/>
        <v>0.18527650581190561</v>
      </c>
      <c r="AN333" s="6" t="s">
        <v>446</v>
      </c>
      <c r="AO333" s="6" t="str">
        <f t="shared" si="174"/>
        <v>=28.39*100000000</v>
      </c>
      <c r="AP333" s="1">
        <f>28.39*100000000</f>
        <v>2839000000</v>
      </c>
      <c r="AQ333" s="8">
        <f t="shared" si="175"/>
        <v>0.31679035250463822</v>
      </c>
      <c r="AR333" s="6" t="s">
        <v>4361</v>
      </c>
      <c r="AS333" s="6" t="str">
        <f t="shared" si="176"/>
        <v>=21.56*100000000</v>
      </c>
      <c r="AT333" s="1">
        <f>21.56*100000000</f>
        <v>2156000000</v>
      </c>
      <c r="AU333" s="8">
        <f t="shared" si="177"/>
        <v>1.2106018660924844</v>
      </c>
      <c r="AV333" s="6" t="s">
        <v>4362</v>
      </c>
      <c r="AW333" s="6" t="str">
        <f t="shared" si="178"/>
        <v>=9.753*100000000</v>
      </c>
      <c r="AX333" s="1">
        <f>9.753*100000000</f>
        <v>975300000</v>
      </c>
      <c r="AY333" s="10">
        <f t="shared" si="179"/>
        <v>-0.79428390634887158</v>
      </c>
      <c r="AZ333" s="6" t="s">
        <v>4363</v>
      </c>
      <c r="BA333" s="6" t="str">
        <f t="shared" si="180"/>
        <v>=47.41*100000000</v>
      </c>
      <c r="BB333" s="1">
        <f>47.41*100000000</f>
        <v>4741000000</v>
      </c>
      <c r="BC333" s="8">
        <f t="shared" si="181"/>
        <v>0.16601082144613885</v>
      </c>
      <c r="BD333" s="6" t="s">
        <v>4364</v>
      </c>
      <c r="BE333" s="6" t="str">
        <f t="shared" si="182"/>
        <v>=40.66*100000000</v>
      </c>
      <c r="BF333" s="1">
        <f>40.66*100000000</f>
        <v>4065999999.9999995</v>
      </c>
      <c r="BG333" s="8">
        <f t="shared" si="183"/>
        <v>0.47105643994211271</v>
      </c>
      <c r="BH333" s="6" t="s">
        <v>4365</v>
      </c>
      <c r="BI333" s="6" t="str">
        <f t="shared" si="184"/>
        <v>=27.64*100000000</v>
      </c>
      <c r="BJ333" s="1">
        <f>27.64*100000000</f>
        <v>2764000000</v>
      </c>
      <c r="BK333" s="6" t="s">
        <v>1896</v>
      </c>
      <c r="BL333" s="1" t="str">
        <f t="shared" si="156"/>
        <v>=12.42*100000000</v>
      </c>
      <c r="BM333" s="16">
        <f t="shared" si="185"/>
        <v>1.2254428341384862</v>
      </c>
      <c r="BN333" s="1">
        <f>12.42*100000000</f>
        <v>1242000000</v>
      </c>
    </row>
    <row r="334" spans="1:66">
      <c r="A334" s="17">
        <v>84</v>
      </c>
      <c r="B334">
        <v>600284</v>
      </c>
      <c r="C334" t="s">
        <v>31</v>
      </c>
      <c r="D334" s="6" t="s">
        <v>4366</v>
      </c>
      <c r="E334" s="7" t="str">
        <f t="shared" si="155"/>
        <v>=113.9*100000000</v>
      </c>
      <c r="F334" s="1">
        <f>113.9*100000000</f>
        <v>11390000000</v>
      </c>
      <c r="G334" s="8">
        <f t="shared" si="157"/>
        <v>0.56456043956043955</v>
      </c>
      <c r="H334" s="6" t="s">
        <v>4367</v>
      </c>
      <c r="I334" s="6" t="str">
        <f t="shared" si="158"/>
        <v>=72.80*100000000</v>
      </c>
      <c r="J334" s="1">
        <f>72.8*100000000</f>
        <v>7280000000</v>
      </c>
      <c r="K334" s="10">
        <f t="shared" si="159"/>
        <v>0.62065894924309883</v>
      </c>
      <c r="L334" s="6" t="s">
        <v>4368</v>
      </c>
      <c r="M334" s="6" t="str">
        <f t="shared" si="160"/>
        <v>=44.92*100000000</v>
      </c>
      <c r="N334" s="1">
        <f>44.92*100000000</f>
        <v>4492000000</v>
      </c>
      <c r="O334" s="8">
        <f t="shared" si="161"/>
        <v>0.5695317959468903</v>
      </c>
      <c r="P334" s="6" t="s">
        <v>831</v>
      </c>
      <c r="Q334" s="6" t="str">
        <f t="shared" si="162"/>
        <v>=28.62*100000000</v>
      </c>
      <c r="R334" s="11">
        <f>28.62*100000000</f>
        <v>2862000000</v>
      </c>
      <c r="S334" s="8">
        <f t="shared" si="163"/>
        <v>-0.65830945558739262</v>
      </c>
      <c r="T334" s="6" t="s">
        <v>4369</v>
      </c>
      <c r="U334" s="6" t="str">
        <f t="shared" si="164"/>
        <v>=83.76*100000000</v>
      </c>
      <c r="V334" s="1">
        <f>83.76*100000000</f>
        <v>8376000000.000001</v>
      </c>
      <c r="W334" s="8">
        <f t="shared" si="165"/>
        <v>0.40654911838790947</v>
      </c>
      <c r="X334" s="6" t="s">
        <v>4370</v>
      </c>
      <c r="Y334" s="6" t="str">
        <f t="shared" si="166"/>
        <v>=59.55*100000000</v>
      </c>
      <c r="Z334" s="1">
        <f>59.55*100000000</f>
        <v>5955000000</v>
      </c>
      <c r="AA334" s="8">
        <f t="shared" si="167"/>
        <v>0.57999469355266653</v>
      </c>
      <c r="AB334" s="6" t="s">
        <v>4371</v>
      </c>
      <c r="AC334" s="6" t="str">
        <f t="shared" si="168"/>
        <v>=37.69*100000000</v>
      </c>
      <c r="AD334" s="1">
        <f>37.69*100000000</f>
        <v>3769000000</v>
      </c>
      <c r="AE334" s="8">
        <f t="shared" si="169"/>
        <v>0.77615457115928366</v>
      </c>
      <c r="AF334" s="6" t="s">
        <v>4372</v>
      </c>
      <c r="AG334" s="6" t="str">
        <f t="shared" si="170"/>
        <v>=21.22*100000000</v>
      </c>
      <c r="AH334" s="1">
        <f>21.22*100000000</f>
        <v>2122000000</v>
      </c>
      <c r="AI334" s="8">
        <f t="shared" si="171"/>
        <v>-0.65884244372990353</v>
      </c>
      <c r="AJ334" s="6" t="s">
        <v>4373</v>
      </c>
      <c r="AK334" s="6" t="str">
        <f t="shared" si="172"/>
        <v>=62.20*100000000</v>
      </c>
      <c r="AL334" s="1">
        <f>62.2*100000000</f>
        <v>6220000000</v>
      </c>
      <c r="AM334" s="8">
        <f t="shared" si="173"/>
        <v>0.89518586227909813</v>
      </c>
      <c r="AN334" s="6" t="s">
        <v>4374</v>
      </c>
      <c r="AO334" s="6" t="str">
        <f t="shared" si="174"/>
        <v>=32.82*100000000</v>
      </c>
      <c r="AP334" s="1">
        <f>32.82*100000000</f>
        <v>3282000000</v>
      </c>
      <c r="AQ334" s="8">
        <f t="shared" si="175"/>
        <v>0.7579003749330474</v>
      </c>
      <c r="AR334" s="6" t="s">
        <v>3545</v>
      </c>
      <c r="AS334" s="6" t="str">
        <f t="shared" si="176"/>
        <v>=18.67*100000000</v>
      </c>
      <c r="AT334" s="1">
        <f>18.67*100000000</f>
        <v>1867000000.0000002</v>
      </c>
      <c r="AU334" s="8">
        <f t="shared" si="177"/>
        <v>1.4976588628762546</v>
      </c>
      <c r="AV334" s="6" t="s">
        <v>4375</v>
      </c>
      <c r="AW334" s="6" t="str">
        <f t="shared" si="178"/>
        <v>=7.475*100000000</v>
      </c>
      <c r="AX334" s="1">
        <f>7.475*100000000</f>
        <v>747500000</v>
      </c>
      <c r="AY334" s="10">
        <f t="shared" si="179"/>
        <v>-0.79643246187363836</v>
      </c>
      <c r="AZ334" s="6" t="s">
        <v>306</v>
      </c>
      <c r="BA334" s="6" t="str">
        <f t="shared" si="180"/>
        <v>=36.72*100000000</v>
      </c>
      <c r="BB334" s="1">
        <f>36.72*100000000</f>
        <v>3672000000</v>
      </c>
      <c r="BC334" s="8">
        <f t="shared" si="181"/>
        <v>0.89571502323180174</v>
      </c>
      <c r="BD334" s="6" t="s">
        <v>4376</v>
      </c>
      <c r="BE334" s="6" t="str">
        <f t="shared" si="182"/>
        <v>=19.37*100000000</v>
      </c>
      <c r="BF334" s="1">
        <f>19.37*100000000</f>
        <v>1937000000</v>
      </c>
      <c r="BG334" s="8">
        <f t="shared" si="183"/>
        <v>0.53730158730158728</v>
      </c>
      <c r="BH334" s="6" t="s">
        <v>4377</v>
      </c>
      <c r="BI334" s="6" t="str">
        <f t="shared" si="184"/>
        <v>=12.60*100000000</v>
      </c>
      <c r="BJ334" s="1">
        <f>12.6*100000000</f>
        <v>1260000000</v>
      </c>
      <c r="BK334" s="6" t="s">
        <v>4378</v>
      </c>
      <c r="BL334" s="1" t="str">
        <f t="shared" si="156"/>
        <v>=5.661*100000000</v>
      </c>
      <c r="BM334" s="16">
        <f t="shared" si="185"/>
        <v>1.2257551669316376</v>
      </c>
      <c r="BN334" s="1">
        <f>5.661*100000000</f>
        <v>566100000</v>
      </c>
    </row>
    <row r="335" spans="1:66">
      <c r="A335" s="18"/>
      <c r="B335">
        <v>600284</v>
      </c>
      <c r="C335" t="s">
        <v>48</v>
      </c>
      <c r="D335" s="6" t="s">
        <v>4379</v>
      </c>
      <c r="E335" s="7" t="str">
        <f t="shared" si="155"/>
        <v>=5.490*100000000</v>
      </c>
      <c r="F335" s="1">
        <f>5.49*100000000</f>
        <v>549000000</v>
      </c>
      <c r="G335" s="8">
        <f t="shared" si="157"/>
        <v>0.66111951588502271</v>
      </c>
      <c r="H335" s="6" t="s">
        <v>4380</v>
      </c>
      <c r="I335" s="6" t="str">
        <f t="shared" si="158"/>
        <v>=3.305*100000000</v>
      </c>
      <c r="J335" s="1">
        <f>3.305*100000000</f>
        <v>330500000</v>
      </c>
      <c r="K335" s="10">
        <f t="shared" si="159"/>
        <v>0.41906397595534545</v>
      </c>
      <c r="L335" s="6" t="s">
        <v>3888</v>
      </c>
      <c r="M335" s="6" t="str">
        <f t="shared" si="160"/>
        <v>=2.329*100000000</v>
      </c>
      <c r="N335" s="1">
        <f>2.329*100000000</f>
        <v>232900000.00000003</v>
      </c>
      <c r="O335" s="8">
        <f t="shared" si="161"/>
        <v>0.73546944858420271</v>
      </c>
      <c r="P335" s="6" t="s">
        <v>4381</v>
      </c>
      <c r="Q335" s="6" t="str">
        <f t="shared" si="162"/>
        <v>=1.342*100000000</v>
      </c>
      <c r="R335" s="11">
        <f>1.342*100000000</f>
        <v>134200000.00000001</v>
      </c>
      <c r="S335" s="8">
        <f t="shared" si="163"/>
        <v>-0.73686274509803917</v>
      </c>
      <c r="T335" s="6" t="s">
        <v>1189</v>
      </c>
      <c r="U335" s="6" t="str">
        <f t="shared" si="164"/>
        <v>=5.100*100000000</v>
      </c>
      <c r="V335" s="1">
        <f>5.1*100000000</f>
        <v>509999999.99999994</v>
      </c>
      <c r="W335" s="8">
        <f t="shared" si="165"/>
        <v>0.89661584232056502</v>
      </c>
      <c r="X335" s="6" t="s">
        <v>169</v>
      </c>
      <c r="Y335" s="6" t="str">
        <f t="shared" si="166"/>
        <v>=2.689*100000000</v>
      </c>
      <c r="Z335" s="1">
        <f>2.689*100000000</f>
        <v>268900000</v>
      </c>
      <c r="AA335" s="8">
        <f t="shared" si="167"/>
        <v>0.36428209030948755</v>
      </c>
      <c r="AB335" s="6" t="s">
        <v>4066</v>
      </c>
      <c r="AC335" s="6" t="str">
        <f t="shared" si="168"/>
        <v>=1.971*100000000</v>
      </c>
      <c r="AD335" s="1">
        <f>1.971*100000000</f>
        <v>197100000</v>
      </c>
      <c r="AE335" s="8">
        <f t="shared" si="169"/>
        <v>1.0589157004073959</v>
      </c>
      <c r="AF335" s="7" t="s">
        <v>4382</v>
      </c>
      <c r="AG335" s="6" t="str">
        <f t="shared" si="170"/>
        <v>=9573*10000</v>
      </c>
      <c r="AH335" s="1">
        <f>9573*10000</f>
        <v>95730000</v>
      </c>
      <c r="AI335" s="8">
        <f t="shared" si="171"/>
        <v>-0.7843433205676954</v>
      </c>
      <c r="AJ335" s="6" t="s">
        <v>1665</v>
      </c>
      <c r="AK335" s="6" t="str">
        <f t="shared" si="172"/>
        <v>=4.439*100000000</v>
      </c>
      <c r="AL335" s="1">
        <f>4.439*100000000</f>
        <v>443900000</v>
      </c>
      <c r="AM335" s="8">
        <f t="shared" si="173"/>
        <v>0.65634328358208938</v>
      </c>
      <c r="AN335" s="6" t="s">
        <v>4383</v>
      </c>
      <c r="AO335" s="6" t="str">
        <f t="shared" si="174"/>
        <v>=2.680*100000000</v>
      </c>
      <c r="AP335" s="1">
        <f>2.68*100000000</f>
        <v>268000000.00000003</v>
      </c>
      <c r="AQ335" s="8">
        <f t="shared" si="175"/>
        <v>0.58956109134045098</v>
      </c>
      <c r="AR335" s="6" t="s">
        <v>4384</v>
      </c>
      <c r="AS335" s="6" t="str">
        <f t="shared" si="176"/>
        <v>=1.686*100000000</v>
      </c>
      <c r="AT335" s="1">
        <f>1.686*100000000</f>
        <v>168600000</v>
      </c>
      <c r="AU335" s="8">
        <f t="shared" si="177"/>
        <v>1.0379547926991417</v>
      </c>
      <c r="AV335" s="7" t="s">
        <v>4385</v>
      </c>
      <c r="AW335" s="6" t="str">
        <f t="shared" si="178"/>
        <v>=8273*10000</v>
      </c>
      <c r="AX335" s="1">
        <f>8273*10000</f>
        <v>82730000</v>
      </c>
      <c r="AY335" s="10">
        <f t="shared" si="179"/>
        <v>-0.84886737303617099</v>
      </c>
      <c r="AZ335" s="6" t="s">
        <v>4386</v>
      </c>
      <c r="BA335" s="6" t="str">
        <f t="shared" si="180"/>
        <v>=5.474*100000000</v>
      </c>
      <c r="BB335" s="1">
        <f>5.474*100000000</f>
        <v>547400000</v>
      </c>
      <c r="BC335" s="8">
        <f t="shared" si="181"/>
        <v>1.2054794520547945</v>
      </c>
      <c r="BD335" s="6" t="s">
        <v>4387</v>
      </c>
      <c r="BE335" s="6" t="str">
        <f t="shared" si="182"/>
        <v>=2.482*100000000</v>
      </c>
      <c r="BF335" s="1">
        <f>2.482*100000000</f>
        <v>248200000.00000003</v>
      </c>
      <c r="BG335" s="8">
        <f t="shared" si="183"/>
        <v>0.36149204607789376</v>
      </c>
      <c r="BH335" s="6" t="s">
        <v>3396</v>
      </c>
      <c r="BI335" s="6" t="str">
        <f t="shared" si="184"/>
        <v>=1.823*100000000</v>
      </c>
      <c r="BJ335" s="1">
        <f>1.823*100000000</f>
        <v>182300000</v>
      </c>
      <c r="BK335" s="7" t="s">
        <v>4388</v>
      </c>
      <c r="BL335" s="1" t="str">
        <f t="shared" si="156"/>
        <v>=8486*10000</v>
      </c>
      <c r="BM335" s="16">
        <f t="shared" si="185"/>
        <v>1.1482441668630685</v>
      </c>
      <c r="BN335" s="1">
        <f>8486*10000</f>
        <v>84860000</v>
      </c>
    </row>
    <row r="336" spans="1:66">
      <c r="A336" s="18"/>
      <c r="B336">
        <v>600284</v>
      </c>
      <c r="C336" t="s">
        <v>58</v>
      </c>
      <c r="D336" s="6" t="s">
        <v>4389</v>
      </c>
      <c r="E336" s="7" t="str">
        <f t="shared" si="155"/>
        <v>=5.583*100000000</v>
      </c>
      <c r="F336" s="1">
        <f>5.583*100000000</f>
        <v>558300000</v>
      </c>
      <c r="G336" s="8">
        <f t="shared" si="157"/>
        <v>0.63484626647144948</v>
      </c>
      <c r="H336" s="6" t="s">
        <v>4390</v>
      </c>
      <c r="I336" s="6" t="str">
        <f t="shared" si="158"/>
        <v>=3.415*100000000</v>
      </c>
      <c r="J336" s="1">
        <f>3.415*100000000</f>
        <v>341500000</v>
      </c>
      <c r="K336" s="10">
        <f t="shared" si="159"/>
        <v>0.41174038859032658</v>
      </c>
      <c r="L336" s="6" t="s">
        <v>4391</v>
      </c>
      <c r="M336" s="6" t="str">
        <f t="shared" si="160"/>
        <v>=2.419*100000000</v>
      </c>
      <c r="N336" s="1">
        <f>2.419*100000000</f>
        <v>241900000</v>
      </c>
      <c r="O336" s="8">
        <f t="shared" si="161"/>
        <v>0.79584261321455085</v>
      </c>
      <c r="P336" s="6" t="s">
        <v>4392</v>
      </c>
      <c r="Q336" s="6" t="str">
        <f t="shared" si="162"/>
        <v>=1.347*100000000</v>
      </c>
      <c r="R336" s="11">
        <f>1.347*100000000</f>
        <v>134700000</v>
      </c>
      <c r="S336" s="8">
        <f t="shared" si="163"/>
        <v>-0.74244741873804976</v>
      </c>
      <c r="T336" s="6" t="s">
        <v>4393</v>
      </c>
      <c r="U336" s="6" t="str">
        <f t="shared" si="164"/>
        <v>=5.230*100000000</v>
      </c>
      <c r="V336" s="1">
        <f>5.23*100000000</f>
        <v>523000000.00000006</v>
      </c>
      <c r="W336" s="8">
        <f t="shared" si="165"/>
        <v>0.847403744259979</v>
      </c>
      <c r="X336" s="6" t="s">
        <v>4394</v>
      </c>
      <c r="Y336" s="6" t="str">
        <f t="shared" si="166"/>
        <v>=2.831*100000000</v>
      </c>
      <c r="Z336" s="1">
        <f>2.831*100000000</f>
        <v>283100000</v>
      </c>
      <c r="AA336" s="8">
        <f t="shared" si="167"/>
        <v>0.38706516413522785</v>
      </c>
      <c r="AB336" s="6" t="s">
        <v>4395</v>
      </c>
      <c r="AC336" s="6" t="str">
        <f t="shared" si="168"/>
        <v>=2.041*100000000</v>
      </c>
      <c r="AD336" s="1">
        <f>2.041*100000000</f>
        <v>204100000</v>
      </c>
      <c r="AE336" s="8">
        <f t="shared" si="169"/>
        <v>1.1289245853760301</v>
      </c>
      <c r="AF336" s="7" t="s">
        <v>4396</v>
      </c>
      <c r="AG336" s="6" t="str">
        <f t="shared" si="170"/>
        <v>=9587*10000</v>
      </c>
      <c r="AH336" s="1">
        <f>9587*10000</f>
        <v>95870000</v>
      </c>
      <c r="AI336" s="8">
        <f t="shared" si="171"/>
        <v>-0.79163225385785696</v>
      </c>
      <c r="AJ336" s="6" t="s">
        <v>2354</v>
      </c>
      <c r="AK336" s="6" t="str">
        <f t="shared" si="172"/>
        <v>=4.601*100000000</v>
      </c>
      <c r="AL336" s="1">
        <f>4.601*100000000</f>
        <v>460100000</v>
      </c>
      <c r="AM336" s="8">
        <f t="shared" si="173"/>
        <v>0.61665495432185524</v>
      </c>
      <c r="AN336" s="6" t="s">
        <v>4397</v>
      </c>
      <c r="AO336" s="6" t="str">
        <f t="shared" si="174"/>
        <v>=2.846*100000000</v>
      </c>
      <c r="AP336" s="1">
        <f>2.846*100000000</f>
        <v>284600000</v>
      </c>
      <c r="AQ336" s="8">
        <f t="shared" si="175"/>
        <v>0.53257942918686052</v>
      </c>
      <c r="AR336" s="6" t="s">
        <v>4398</v>
      </c>
      <c r="AS336" s="6" t="str">
        <f t="shared" si="176"/>
        <v>=1.857*100000000</v>
      </c>
      <c r="AT336" s="1">
        <f>1.857*100000000</f>
        <v>185700000</v>
      </c>
      <c r="AU336" s="8">
        <f t="shared" si="177"/>
        <v>1.197113109323237</v>
      </c>
      <c r="AV336" s="7" t="s">
        <v>4399</v>
      </c>
      <c r="AW336" s="6" t="str">
        <f t="shared" si="178"/>
        <v>=8452*10000</v>
      </c>
      <c r="AX336" s="1">
        <f>8452*10000</f>
        <v>84520000</v>
      </c>
      <c r="AY336" s="10">
        <f t="shared" si="179"/>
        <v>-0.84982231698649613</v>
      </c>
      <c r="AZ336" s="6" t="s">
        <v>4400</v>
      </c>
      <c r="BA336" s="6" t="str">
        <f t="shared" si="180"/>
        <v>=5.628*100000000</v>
      </c>
      <c r="BB336" s="1">
        <f>5.628*100000000</f>
        <v>562800000</v>
      </c>
      <c r="BC336" s="8">
        <f t="shared" si="181"/>
        <v>1.1505540695452809</v>
      </c>
      <c r="BD336" s="6" t="s">
        <v>4401</v>
      </c>
      <c r="BE336" s="6" t="str">
        <f t="shared" si="182"/>
        <v>=2.617*100000000</v>
      </c>
      <c r="BF336" s="1">
        <f>2.617*100000000</f>
        <v>261700000</v>
      </c>
      <c r="BG336" s="8">
        <f t="shared" si="183"/>
        <v>0.33793456032719837</v>
      </c>
      <c r="BH336" s="6" t="s">
        <v>2880</v>
      </c>
      <c r="BI336" s="6" t="str">
        <f t="shared" si="184"/>
        <v>=1.956*100000000</v>
      </c>
      <c r="BJ336" s="1">
        <f>1.956*100000000</f>
        <v>195600000</v>
      </c>
      <c r="BK336" s="7" t="s">
        <v>4402</v>
      </c>
      <c r="BL336" s="1" t="str">
        <f t="shared" si="156"/>
        <v>=9119*10000</v>
      </c>
      <c r="BM336" s="16">
        <f t="shared" si="185"/>
        <v>1.1449720364075009</v>
      </c>
      <c r="BN336" s="1">
        <f>9119*10000</f>
        <v>91190000</v>
      </c>
    </row>
    <row r="337" spans="1:66">
      <c r="A337" s="19"/>
      <c r="B337">
        <v>600284</v>
      </c>
      <c r="C337" t="s">
        <v>68</v>
      </c>
      <c r="D337" s="6" t="s">
        <v>4403</v>
      </c>
      <c r="E337" s="7" t="str">
        <f t="shared" si="155"/>
        <v>=5.380*100000000</v>
      </c>
      <c r="F337" s="1">
        <f>5.38*100000000</f>
        <v>538000000</v>
      </c>
      <c r="G337" s="8">
        <f t="shared" si="157"/>
        <v>0.6402439024390244</v>
      </c>
      <c r="H337" s="6" t="s">
        <v>4404</v>
      </c>
      <c r="I337" s="6" t="str">
        <f t="shared" si="158"/>
        <v>=3.280*100000000</v>
      </c>
      <c r="J337" s="1">
        <f>3.28*100000000</f>
        <v>328000000</v>
      </c>
      <c r="K337" s="10">
        <f t="shared" si="159"/>
        <v>0.51291512915129134</v>
      </c>
      <c r="L337" s="6" t="s">
        <v>4405</v>
      </c>
      <c r="M337" s="6" t="str">
        <f t="shared" si="160"/>
        <v>=2.168*100000000</v>
      </c>
      <c r="N337" s="1">
        <f>2.168*100000000</f>
        <v>216800000.00000003</v>
      </c>
      <c r="O337" s="8">
        <f t="shared" si="161"/>
        <v>0.78583196046128523</v>
      </c>
      <c r="P337" s="6" t="s">
        <v>4406</v>
      </c>
      <c r="Q337" s="6" t="str">
        <f t="shared" si="162"/>
        <v>=1.214*100000000</v>
      </c>
      <c r="R337" s="11">
        <f>1.214*100000000</f>
        <v>121400000</v>
      </c>
      <c r="S337" s="8">
        <f t="shared" si="163"/>
        <v>-0.73353819139596133</v>
      </c>
      <c r="T337" s="6" t="s">
        <v>4407</v>
      </c>
      <c r="U337" s="6" t="str">
        <f t="shared" si="164"/>
        <v>=4.556*100000000</v>
      </c>
      <c r="V337" s="1">
        <f>4.556*100000000</f>
        <v>455600000</v>
      </c>
      <c r="W337" s="8">
        <f t="shared" si="165"/>
        <v>0.76863354037267084</v>
      </c>
      <c r="X337" s="6" t="s">
        <v>4408</v>
      </c>
      <c r="Y337" s="6" t="str">
        <f t="shared" si="166"/>
        <v>=2.576*100000000</v>
      </c>
      <c r="Z337" s="1">
        <f>2.576*100000000</f>
        <v>257600000</v>
      </c>
      <c r="AA337" s="8">
        <f t="shared" si="167"/>
        <v>0.4068814855270344</v>
      </c>
      <c r="AB337" s="6" t="s">
        <v>4409</v>
      </c>
      <c r="AC337" s="6" t="str">
        <f t="shared" si="168"/>
        <v>=1.831*100000000</v>
      </c>
      <c r="AD337" s="1">
        <f>1.831*100000000</f>
        <v>183100000</v>
      </c>
      <c r="AE337" s="8">
        <f t="shared" si="169"/>
        <v>1.1617473435655254</v>
      </c>
      <c r="AF337" s="7" t="s">
        <v>4410</v>
      </c>
      <c r="AG337" s="6" t="str">
        <f t="shared" si="170"/>
        <v>=8470*10000</v>
      </c>
      <c r="AH337" s="1">
        <f>8470*10000</f>
        <v>84700000</v>
      </c>
      <c r="AI337" s="8">
        <f t="shared" si="171"/>
        <v>-0.7946168768186227</v>
      </c>
      <c r="AJ337" s="6" t="s">
        <v>4411</v>
      </c>
      <c r="AK337" s="6" t="str">
        <f t="shared" si="172"/>
        <v>=4.124*100000000</v>
      </c>
      <c r="AL337" s="1">
        <f>4.124*100000000</f>
        <v>412399999.99999994</v>
      </c>
      <c r="AM337" s="8">
        <f t="shared" si="173"/>
        <v>0.63003952569169952</v>
      </c>
      <c r="AN337" s="6" t="s">
        <v>4412</v>
      </c>
      <c r="AO337" s="6" t="str">
        <f t="shared" si="174"/>
        <v>=2.530*100000000</v>
      </c>
      <c r="AP337" s="1">
        <f>2.53*100000000</f>
        <v>252999999.99999997</v>
      </c>
      <c r="AQ337" s="8">
        <f t="shared" si="175"/>
        <v>0.5942028985507245</v>
      </c>
      <c r="AR337" s="6" t="s">
        <v>1449</v>
      </c>
      <c r="AS337" s="6" t="str">
        <f t="shared" si="176"/>
        <v>=1.587*100000000</v>
      </c>
      <c r="AT337" s="1">
        <f>1.587*100000000</f>
        <v>158700000</v>
      </c>
      <c r="AU337" s="8">
        <f t="shared" si="177"/>
        <v>1.1373737373737374</v>
      </c>
      <c r="AV337" s="7" t="s">
        <v>4413</v>
      </c>
      <c r="AW337" s="6" t="str">
        <f t="shared" si="178"/>
        <v>=7425*10000</v>
      </c>
      <c r="AX337" s="1">
        <f>7425*10000</f>
        <v>74250000</v>
      </c>
      <c r="AY337" s="10">
        <f t="shared" si="179"/>
        <v>-0.83911159263271939</v>
      </c>
      <c r="AZ337" s="6" t="s">
        <v>4414</v>
      </c>
      <c r="BA337" s="6" t="str">
        <f t="shared" si="180"/>
        <v>=4.615*100000000</v>
      </c>
      <c r="BB337" s="1">
        <f>4.615*100000000</f>
        <v>461500000</v>
      </c>
      <c r="BC337" s="8">
        <f t="shared" si="181"/>
        <v>1.1101966163694561</v>
      </c>
      <c r="BD337" s="6" t="s">
        <v>4415</v>
      </c>
      <c r="BE337" s="6" t="str">
        <f t="shared" si="182"/>
        <v>=2.187*100000000</v>
      </c>
      <c r="BF337" s="1">
        <f>2.187*100000000</f>
        <v>218699999.99999997</v>
      </c>
      <c r="BG337" s="8">
        <f t="shared" si="183"/>
        <v>0.32948328267477184</v>
      </c>
      <c r="BH337" s="6" t="s">
        <v>2783</v>
      </c>
      <c r="BI337" s="6" t="str">
        <f t="shared" si="184"/>
        <v>=1.645*100000000</v>
      </c>
      <c r="BJ337" s="1">
        <f>1.645*100000000</f>
        <v>164500000</v>
      </c>
      <c r="BK337" s="7" t="s">
        <v>4416</v>
      </c>
      <c r="BL337" s="1" t="str">
        <f t="shared" si="156"/>
        <v>=7486*10000</v>
      </c>
      <c r="BM337" s="16">
        <f t="shared" si="185"/>
        <v>1.1974352123964733</v>
      </c>
      <c r="BN337" s="1">
        <f>7486*10000</f>
        <v>74860000</v>
      </c>
    </row>
    <row r="338" spans="1:66">
      <c r="A338" s="17">
        <v>85</v>
      </c>
      <c r="B338">
        <v>600292</v>
      </c>
      <c r="C338" t="s">
        <v>31</v>
      </c>
      <c r="D338" s="6" t="s">
        <v>4417</v>
      </c>
      <c r="E338" s="7" t="str">
        <f t="shared" si="155"/>
        <v>=44.38*100000000</v>
      </c>
      <c r="F338" s="1">
        <f>44.38*100000000</f>
        <v>4438000000</v>
      </c>
      <c r="G338" s="8">
        <f t="shared" si="157"/>
        <v>0.42746863943390156</v>
      </c>
      <c r="H338" s="6" t="s">
        <v>4418</v>
      </c>
      <c r="I338" s="6" t="str">
        <f t="shared" si="158"/>
        <v>=31.09*100000000</v>
      </c>
      <c r="J338" s="1">
        <f>31.09*100000000</f>
        <v>3109000000</v>
      </c>
      <c r="K338" s="10">
        <f t="shared" si="159"/>
        <v>0.5733805668016192</v>
      </c>
      <c r="L338" s="6" t="s">
        <v>4419</v>
      </c>
      <c r="M338" s="6" t="str">
        <f t="shared" si="160"/>
        <v>=19.76*100000000</v>
      </c>
      <c r="N338" s="1">
        <f>19.76*100000000</f>
        <v>1976000000.0000002</v>
      </c>
      <c r="O338" s="8">
        <f t="shared" si="161"/>
        <v>1.0018235234525379</v>
      </c>
      <c r="P338" s="6" t="s">
        <v>4420</v>
      </c>
      <c r="Q338" s="6" t="str">
        <f t="shared" si="162"/>
        <v>=9.871*100000000</v>
      </c>
      <c r="R338" s="11">
        <f>9.871*100000000</f>
        <v>987100000</v>
      </c>
      <c r="S338" s="8">
        <f t="shared" si="163"/>
        <v>-0.73162044589450792</v>
      </c>
      <c r="T338" s="6" t="s">
        <v>4421</v>
      </c>
      <c r="U338" s="6" t="str">
        <f t="shared" si="164"/>
        <v>=36.78*100000000</v>
      </c>
      <c r="V338" s="1">
        <f>36.78*100000000</f>
        <v>3678000000</v>
      </c>
      <c r="W338" s="8">
        <f t="shared" si="165"/>
        <v>0.50799507995079951</v>
      </c>
      <c r="X338" s="6" t="s">
        <v>4422</v>
      </c>
      <c r="Y338" s="6" t="str">
        <f t="shared" si="166"/>
        <v>=24.39*100000000</v>
      </c>
      <c r="Z338" s="1">
        <f>24.39*100000000</f>
        <v>2439000000</v>
      </c>
      <c r="AA338" s="8">
        <f t="shared" si="167"/>
        <v>0.51962616822429908</v>
      </c>
      <c r="AB338" s="6" t="s">
        <v>4423</v>
      </c>
      <c r="AC338" s="6" t="str">
        <f t="shared" si="168"/>
        <v>=16.05*100000000</v>
      </c>
      <c r="AD338" s="1">
        <f>16.05*100000000</f>
        <v>1605000000</v>
      </c>
      <c r="AE338" s="8">
        <f t="shared" si="169"/>
        <v>1.3767214571301645</v>
      </c>
      <c r="AF338" s="6" t="s">
        <v>3117</v>
      </c>
      <c r="AG338" s="6" t="str">
        <f t="shared" si="170"/>
        <v>=6.753*100000000</v>
      </c>
      <c r="AH338" s="1">
        <f>6.753*100000000</f>
        <v>675300000</v>
      </c>
      <c r="AI338" s="8">
        <f t="shared" si="171"/>
        <v>-0.83399705014749259</v>
      </c>
      <c r="AJ338" s="6" t="s">
        <v>633</v>
      </c>
      <c r="AK338" s="6" t="str">
        <f t="shared" si="172"/>
        <v>=40.68*100000000</v>
      </c>
      <c r="AL338" s="1">
        <f>40.68*100000000</f>
        <v>4068000000</v>
      </c>
      <c r="AM338" s="8">
        <f t="shared" si="173"/>
        <v>0.38839590443686006</v>
      </c>
      <c r="AN338" s="6" t="s">
        <v>3613</v>
      </c>
      <c r="AO338" s="6" t="str">
        <f t="shared" si="174"/>
        <v>=29.30*100000000</v>
      </c>
      <c r="AP338" s="1">
        <f>29.3*100000000</f>
        <v>2930000000</v>
      </c>
      <c r="AQ338" s="8">
        <f t="shared" si="175"/>
        <v>0.5486257928118391</v>
      </c>
      <c r="AR338" s="6" t="s">
        <v>4424</v>
      </c>
      <c r="AS338" s="6" t="str">
        <f t="shared" si="176"/>
        <v>=18.92*100000000</v>
      </c>
      <c r="AT338" s="1">
        <f>18.92*100000000</f>
        <v>1892000000.0000002</v>
      </c>
      <c r="AU338" s="8">
        <f t="shared" si="177"/>
        <v>0.95656670113753905</v>
      </c>
      <c r="AV338" s="6" t="s">
        <v>4425</v>
      </c>
      <c r="AW338" s="6" t="str">
        <f t="shared" si="178"/>
        <v>=9.670*100000000</v>
      </c>
      <c r="AX338" s="1">
        <f>9.67*100000000</f>
        <v>967000000</v>
      </c>
      <c r="AY338" s="10">
        <f t="shared" si="179"/>
        <v>-0.73694232861806308</v>
      </c>
      <c r="AZ338" s="6" t="s">
        <v>4426</v>
      </c>
      <c r="BA338" s="6" t="str">
        <f t="shared" si="180"/>
        <v>=36.76*100000000</v>
      </c>
      <c r="BB338" s="1">
        <f>36.76*100000000</f>
        <v>3676000000</v>
      </c>
      <c r="BC338" s="8">
        <f t="shared" si="181"/>
        <v>0.48405329027048849</v>
      </c>
      <c r="BD338" s="6" t="s">
        <v>4427</v>
      </c>
      <c r="BE338" s="6" t="str">
        <f t="shared" si="182"/>
        <v>=24.77*100000000</v>
      </c>
      <c r="BF338" s="1">
        <f>24.77*100000000</f>
        <v>2477000000</v>
      </c>
      <c r="BG338" s="8">
        <f t="shared" si="183"/>
        <v>0.6624161073825503</v>
      </c>
      <c r="BH338" s="6" t="s">
        <v>4428</v>
      </c>
      <c r="BI338" s="6" t="str">
        <f t="shared" si="184"/>
        <v>=14.90*100000000</v>
      </c>
      <c r="BJ338" s="1">
        <f>14.9*100000000</f>
        <v>1490000000</v>
      </c>
      <c r="BK338" s="6" t="s">
        <v>4429</v>
      </c>
      <c r="BL338" s="1" t="str">
        <f t="shared" si="156"/>
        <v>=7.105*100000000</v>
      </c>
      <c r="BM338" s="16">
        <f t="shared" si="185"/>
        <v>1.0971147079521464</v>
      </c>
      <c r="BN338" s="1">
        <f>7.105*100000000</f>
        <v>710500000</v>
      </c>
    </row>
    <row r="339" spans="1:66">
      <c r="A339" s="18"/>
      <c r="B339">
        <v>600292</v>
      </c>
      <c r="C339" t="s">
        <v>48</v>
      </c>
      <c r="D339" s="6" t="s">
        <v>4430</v>
      </c>
      <c r="E339" s="7" t="str">
        <f t="shared" si="155"/>
        <v>=1.021*100000000</v>
      </c>
      <c r="F339" s="1">
        <f>1.021*100000000</f>
        <v>102099999.99999999</v>
      </c>
      <c r="G339" s="8">
        <f t="shared" si="157"/>
        <v>-0.22826908541194266</v>
      </c>
      <c r="H339" s="6" t="s">
        <v>4431</v>
      </c>
      <c r="I339" s="6" t="str">
        <f t="shared" si="158"/>
        <v>=1.323*100000000</v>
      </c>
      <c r="J339" s="1">
        <f>1.323*100000000</f>
        <v>132300000</v>
      </c>
      <c r="K339" s="10">
        <f t="shared" si="159"/>
        <v>0.74907456372289793</v>
      </c>
      <c r="L339" s="7" t="s">
        <v>4432</v>
      </c>
      <c r="M339" s="6" t="str">
        <f t="shared" si="160"/>
        <v>=7564*10000</v>
      </c>
      <c r="N339" s="1">
        <f>7564*10000</f>
        <v>75640000</v>
      </c>
      <c r="O339" s="8">
        <f t="shared" si="161"/>
        <v>1.5163007318695942</v>
      </c>
      <c r="P339" s="7" t="s">
        <v>4433</v>
      </c>
      <c r="Q339" s="6" t="str">
        <f t="shared" si="162"/>
        <v>=3006*10000</v>
      </c>
      <c r="R339" s="11">
        <f>3006*10000</f>
        <v>30060000</v>
      </c>
      <c r="S339" s="8">
        <f t="shared" si="163"/>
        <v>-0.61741122565864837</v>
      </c>
      <c r="T339" s="7" t="s">
        <v>4434</v>
      </c>
      <c r="U339" s="6" t="str">
        <f t="shared" si="164"/>
        <v>=7857*10000</v>
      </c>
      <c r="V339" s="1">
        <f>7857*10000</f>
        <v>78570000</v>
      </c>
      <c r="W339" s="8">
        <f t="shared" si="165"/>
        <v>-9.5024187975120938E-2</v>
      </c>
      <c r="X339" s="7" t="s">
        <v>4435</v>
      </c>
      <c r="Y339" s="6" t="str">
        <f t="shared" si="166"/>
        <v>=8682*10000</v>
      </c>
      <c r="Z339" s="1">
        <f>8682*10000</f>
        <v>86820000</v>
      </c>
      <c r="AA339" s="8">
        <f t="shared" si="167"/>
        <v>0.83280557314756176</v>
      </c>
      <c r="AB339" s="7" t="s">
        <v>4436</v>
      </c>
      <c r="AC339" s="6" t="str">
        <f t="shared" si="168"/>
        <v>=4737*10000</v>
      </c>
      <c r="AD339" s="1">
        <f>4737*10000</f>
        <v>47370000</v>
      </c>
      <c r="AE339" s="8">
        <f t="shared" si="169"/>
        <v>3.8870318786753328</v>
      </c>
      <c r="AF339" s="7" t="s">
        <v>4437</v>
      </c>
      <c r="AG339" s="6" t="str">
        <f t="shared" si="170"/>
        <v>=969.3*10000</v>
      </c>
      <c r="AH339" s="1">
        <f>969.3*10000</f>
        <v>9693000</v>
      </c>
      <c r="AI339" s="8">
        <f t="shared" si="171"/>
        <v>-0.9391143216080402</v>
      </c>
      <c r="AJ339" s="6" t="s">
        <v>4438</v>
      </c>
      <c r="AK339" s="6" t="str">
        <f t="shared" si="172"/>
        <v>=1.592*100000000</v>
      </c>
      <c r="AL339" s="1">
        <f>1.592*100000000</f>
        <v>159200000</v>
      </c>
      <c r="AM339" s="8">
        <f t="shared" si="173"/>
        <v>9.7931034482758625E-2</v>
      </c>
      <c r="AN339" s="6" t="s">
        <v>2178</v>
      </c>
      <c r="AO339" s="6" t="str">
        <f t="shared" si="174"/>
        <v>=1.450*100000000</v>
      </c>
      <c r="AP339" s="1">
        <f>1.45*100000000</f>
        <v>145000000</v>
      </c>
      <c r="AQ339" s="8">
        <f t="shared" si="175"/>
        <v>1.2741530740276035</v>
      </c>
      <c r="AR339" s="7" t="s">
        <v>4439</v>
      </c>
      <c r="AS339" s="6" t="str">
        <f t="shared" si="176"/>
        <v>=6376*10000</v>
      </c>
      <c r="AT339" s="1">
        <f>6376*10000</f>
        <v>63760000</v>
      </c>
      <c r="AU339" s="8">
        <f t="shared" si="177"/>
        <v>0.34884704886820395</v>
      </c>
      <c r="AV339" s="7" t="s">
        <v>4440</v>
      </c>
      <c r="AW339" s="6" t="str">
        <f t="shared" si="178"/>
        <v>=4727*10000</v>
      </c>
      <c r="AX339" s="1">
        <f>4727*10000</f>
        <v>47270000</v>
      </c>
      <c r="AY339" s="10">
        <f t="shared" si="179"/>
        <v>-0.73218130311614726</v>
      </c>
      <c r="AZ339" s="6" t="s">
        <v>4441</v>
      </c>
      <c r="BA339" s="6" t="str">
        <f t="shared" si="180"/>
        <v>=1.765*100000000</v>
      </c>
      <c r="BB339" s="1">
        <f>1.765*100000000</f>
        <v>176500000</v>
      </c>
      <c r="BC339" s="8">
        <f t="shared" si="181"/>
        <v>0.21724137931034482</v>
      </c>
      <c r="BD339" s="6" t="s">
        <v>2178</v>
      </c>
      <c r="BE339" s="6" t="str">
        <f t="shared" si="182"/>
        <v>=1.450*100000000</v>
      </c>
      <c r="BF339" s="1">
        <f>1.45*100000000</f>
        <v>145000000</v>
      </c>
      <c r="BG339" s="8">
        <f t="shared" si="183"/>
        <v>1.3860457462563764</v>
      </c>
      <c r="BH339" s="7" t="s">
        <v>4442</v>
      </c>
      <c r="BI339" s="6" t="str">
        <f t="shared" si="184"/>
        <v>=6077*10000</v>
      </c>
      <c r="BJ339" s="1">
        <f>6077*10000</f>
        <v>60770000</v>
      </c>
      <c r="BK339" s="7" t="s">
        <v>4443</v>
      </c>
      <c r="BL339" s="1" t="str">
        <f t="shared" si="156"/>
        <v>=4093*10000</v>
      </c>
      <c r="BM339" s="16">
        <f t="shared" si="185"/>
        <v>0.48473002687515271</v>
      </c>
      <c r="BN339" s="1">
        <f>4093*10000</f>
        <v>40930000</v>
      </c>
    </row>
    <row r="340" spans="1:66">
      <c r="A340" s="18"/>
      <c r="B340">
        <v>600292</v>
      </c>
      <c r="C340" t="s">
        <v>58</v>
      </c>
      <c r="D340" s="6" t="s">
        <v>4444</v>
      </c>
      <c r="E340" s="7" t="str">
        <f t="shared" si="155"/>
        <v>=1.054*100000000</v>
      </c>
      <c r="F340" s="1">
        <f>1.054*100000000</f>
        <v>105400000</v>
      </c>
      <c r="G340" s="8">
        <f t="shared" si="157"/>
        <v>-0.20930232558139536</v>
      </c>
      <c r="H340" s="6" t="s">
        <v>4282</v>
      </c>
      <c r="I340" s="6" t="str">
        <f t="shared" si="158"/>
        <v>=1.333*100000000</v>
      </c>
      <c r="J340" s="1">
        <f>1.333*100000000</f>
        <v>133300000</v>
      </c>
      <c r="K340" s="10">
        <f t="shared" si="159"/>
        <v>0.74020887728459528</v>
      </c>
      <c r="L340" s="7" t="s">
        <v>4445</v>
      </c>
      <c r="M340" s="6" t="str">
        <f t="shared" si="160"/>
        <v>=7660*10000</v>
      </c>
      <c r="N340" s="1">
        <f>7660*10000</f>
        <v>76600000</v>
      </c>
      <c r="O340" s="8">
        <f t="shared" si="161"/>
        <v>1.5482368596141052</v>
      </c>
      <c r="P340" s="7" t="s">
        <v>4433</v>
      </c>
      <c r="Q340" s="6" t="str">
        <f t="shared" si="162"/>
        <v>=3006*10000</v>
      </c>
      <c r="R340" s="11">
        <f>3006*10000</f>
        <v>30060000</v>
      </c>
      <c r="S340" s="8">
        <f t="shared" si="163"/>
        <v>-0.60143198090692129</v>
      </c>
      <c r="T340" s="7" t="s">
        <v>4446</v>
      </c>
      <c r="U340" s="6" t="str">
        <f t="shared" si="164"/>
        <v>=7542*10000</v>
      </c>
      <c r="V340" s="1">
        <f>7542*10000</f>
        <v>75420000</v>
      </c>
      <c r="W340" s="8">
        <f t="shared" si="165"/>
        <v>-0.11050831465974761</v>
      </c>
      <c r="X340" s="7" t="s">
        <v>4447</v>
      </c>
      <c r="Y340" s="6" t="str">
        <f t="shared" si="166"/>
        <v>=8479*10000</v>
      </c>
      <c r="Z340" s="1">
        <f>8479*10000</f>
        <v>84790000</v>
      </c>
      <c r="AA340" s="8">
        <f t="shared" si="167"/>
        <v>0.8746407251824011</v>
      </c>
      <c r="AB340" s="7" t="s">
        <v>4448</v>
      </c>
      <c r="AC340" s="6" t="str">
        <f t="shared" si="168"/>
        <v>=4523*10000</v>
      </c>
      <c r="AD340" s="1">
        <f>4523*10000</f>
        <v>45230000</v>
      </c>
      <c r="AE340" s="8">
        <f t="shared" si="169"/>
        <v>4.3691832858499522</v>
      </c>
      <c r="AF340" s="7" t="s">
        <v>4449</v>
      </c>
      <c r="AG340" s="6" t="str">
        <f t="shared" si="170"/>
        <v>=842.4*10000</v>
      </c>
      <c r="AH340" s="1">
        <f>842.4*10000</f>
        <v>8424000</v>
      </c>
      <c r="AI340" s="8">
        <f t="shared" si="171"/>
        <v>-0.94841396203306794</v>
      </c>
      <c r="AJ340" s="6" t="s">
        <v>4450</v>
      </c>
      <c r="AK340" s="6" t="str">
        <f t="shared" si="172"/>
        <v>=1.633*100000000</v>
      </c>
      <c r="AL340" s="1">
        <f>1.633*100000000</f>
        <v>163300000</v>
      </c>
      <c r="AM340" s="8">
        <f t="shared" si="173"/>
        <v>0.10636856368563685</v>
      </c>
      <c r="AN340" s="6" t="s">
        <v>4451</v>
      </c>
      <c r="AO340" s="6" t="str">
        <f t="shared" si="174"/>
        <v>=1.476*100000000</v>
      </c>
      <c r="AP340" s="1">
        <f>1.476*100000000</f>
        <v>147600000</v>
      </c>
      <c r="AQ340" s="8">
        <f t="shared" si="175"/>
        <v>1.2644983123657563</v>
      </c>
      <c r="AR340" s="7" t="s">
        <v>4452</v>
      </c>
      <c r="AS340" s="6" t="str">
        <f t="shared" si="176"/>
        <v>=6518*10000</v>
      </c>
      <c r="AT340" s="1">
        <f>6518*10000</f>
        <v>65180000</v>
      </c>
      <c r="AU340" s="8">
        <f t="shared" si="177"/>
        <v>0.36961546543391471</v>
      </c>
      <c r="AV340" s="7" t="s">
        <v>4453</v>
      </c>
      <c r="AW340" s="6" t="str">
        <f t="shared" si="178"/>
        <v>=4759*10000</v>
      </c>
      <c r="AX340" s="1">
        <f>4759*10000</f>
        <v>47590000</v>
      </c>
      <c r="AY340" s="10">
        <f t="shared" si="179"/>
        <v>-0.73721700717835448</v>
      </c>
      <c r="AZ340" s="6" t="s">
        <v>4454</v>
      </c>
      <c r="BA340" s="6" t="str">
        <f t="shared" si="180"/>
        <v>=1.811*100000000</v>
      </c>
      <c r="BB340" s="1">
        <f>1.811*100000000</f>
        <v>181100000</v>
      </c>
      <c r="BC340" s="8">
        <f t="shared" si="181"/>
        <v>0.20975283901135605</v>
      </c>
      <c r="BD340" s="6" t="s">
        <v>4455</v>
      </c>
      <c r="BE340" s="6" t="str">
        <f t="shared" si="182"/>
        <v>=1.497*100000000</v>
      </c>
      <c r="BF340" s="1">
        <f>1.497*100000000</f>
        <v>149700000</v>
      </c>
      <c r="BG340" s="8">
        <f t="shared" si="183"/>
        <v>1.3202107873527589</v>
      </c>
      <c r="BH340" s="7" t="s">
        <v>4456</v>
      </c>
      <c r="BI340" s="6" t="str">
        <f t="shared" si="184"/>
        <v>=6452*10000</v>
      </c>
      <c r="BJ340" s="1">
        <f>6452*10000</f>
        <v>64520000</v>
      </c>
      <c r="BK340" s="7" t="s">
        <v>4457</v>
      </c>
      <c r="BL340" s="1" t="str">
        <f t="shared" si="156"/>
        <v>=4166*10000</v>
      </c>
      <c r="BM340" s="16">
        <f t="shared" si="185"/>
        <v>0.54872779644743164</v>
      </c>
      <c r="BN340" s="1">
        <f>4166*10000</f>
        <v>41660000</v>
      </c>
    </row>
    <row r="341" spans="1:66">
      <c r="A341" s="19"/>
      <c r="B341">
        <v>600292</v>
      </c>
      <c r="C341" t="s">
        <v>68</v>
      </c>
      <c r="D341" s="7" t="s">
        <v>4458</v>
      </c>
      <c r="E341" s="7" t="str">
        <f t="shared" si="155"/>
        <v>=6131*10000</v>
      </c>
      <c r="F341" s="1">
        <f>6131*10000</f>
        <v>61310000</v>
      </c>
      <c r="G341" s="8">
        <f t="shared" si="157"/>
        <v>-0.32089056269384136</v>
      </c>
      <c r="H341" s="7" t="s">
        <v>2719</v>
      </c>
      <c r="I341" s="6" t="str">
        <f t="shared" si="158"/>
        <v>=9028*10000</v>
      </c>
      <c r="J341" s="1">
        <f>9028*10000</f>
        <v>90280000</v>
      </c>
      <c r="K341" s="10">
        <f t="shared" si="159"/>
        <v>0.76776972782455455</v>
      </c>
      <c r="L341" s="7" t="s">
        <v>2691</v>
      </c>
      <c r="M341" s="6" t="str">
        <f t="shared" si="160"/>
        <v>=5107*10000</v>
      </c>
      <c r="N341" s="1">
        <f>5107*10000</f>
        <v>51070000</v>
      </c>
      <c r="O341" s="8">
        <f t="shared" si="161"/>
        <v>1.7800762112139357</v>
      </c>
      <c r="P341" s="7" t="s">
        <v>4459</v>
      </c>
      <c r="Q341" s="6" t="str">
        <f t="shared" si="162"/>
        <v>=1837*10000</v>
      </c>
      <c r="R341" s="11">
        <f>1837*10000</f>
        <v>18370000</v>
      </c>
      <c r="S341" s="8">
        <f t="shared" si="163"/>
        <v>-0.5479822834645669</v>
      </c>
      <c r="T341" s="7" t="s">
        <v>4460</v>
      </c>
      <c r="U341" s="6" t="str">
        <f t="shared" si="164"/>
        <v>=4064*10000</v>
      </c>
      <c r="V341" s="1">
        <f>4064*10000</f>
        <v>40640000</v>
      </c>
      <c r="W341" s="8">
        <f t="shared" si="165"/>
        <v>-0.2883908247242164</v>
      </c>
      <c r="X341" s="7" t="s">
        <v>4461</v>
      </c>
      <c r="Y341" s="6" t="str">
        <f t="shared" si="166"/>
        <v>=5711*10000</v>
      </c>
      <c r="Z341" s="1">
        <f>5711*10000</f>
        <v>57110000</v>
      </c>
      <c r="AA341" s="8">
        <f t="shared" si="167"/>
        <v>1.0965491923641704</v>
      </c>
      <c r="AB341" s="7" t="s">
        <v>4462</v>
      </c>
      <c r="AC341" s="6" t="str">
        <f t="shared" si="168"/>
        <v>=2724*10000</v>
      </c>
      <c r="AD341" s="1">
        <f>2724*10000</f>
        <v>27240000</v>
      </c>
      <c r="AE341" s="8">
        <f t="shared" si="169"/>
        <v>24.105990783410139</v>
      </c>
      <c r="AF341" s="7" t="s">
        <v>4463</v>
      </c>
      <c r="AG341" s="6" t="str">
        <f t="shared" si="170"/>
        <v>=108.5*10000</v>
      </c>
      <c r="AH341" s="1">
        <f>108.5*10000</f>
        <v>1085000</v>
      </c>
      <c r="AI341" s="8">
        <f t="shared" si="171"/>
        <v>-0.99132693844924058</v>
      </c>
      <c r="AJ341" s="6" t="s">
        <v>4464</v>
      </c>
      <c r="AK341" s="6" t="str">
        <f t="shared" si="172"/>
        <v>=1.251*100000000</v>
      </c>
      <c r="AL341" s="1">
        <f>1.251*100000000</f>
        <v>125099999.99999999</v>
      </c>
      <c r="AM341" s="8">
        <f t="shared" si="173"/>
        <v>8.0310880829015552E-2</v>
      </c>
      <c r="AN341" s="6" t="s">
        <v>4465</v>
      </c>
      <c r="AO341" s="6" t="str">
        <f t="shared" si="174"/>
        <v>=1.158*100000000</v>
      </c>
      <c r="AP341" s="1">
        <f>1.158*100000000</f>
        <v>115799999.99999999</v>
      </c>
      <c r="AQ341" s="8">
        <f t="shared" si="175"/>
        <v>1.6312201772324468</v>
      </c>
      <c r="AR341" s="7" t="s">
        <v>3571</v>
      </c>
      <c r="AS341" s="6" t="str">
        <f t="shared" si="176"/>
        <v>=4401*10000</v>
      </c>
      <c r="AT341" s="1">
        <f>4401*10000</f>
        <v>44010000</v>
      </c>
      <c r="AU341" s="8">
        <f t="shared" si="177"/>
        <v>0.30787518573551265</v>
      </c>
      <c r="AV341" s="7" t="s">
        <v>4466</v>
      </c>
      <c r="AW341" s="6" t="str">
        <f t="shared" si="178"/>
        <v>=3365*10000</v>
      </c>
      <c r="AX341" s="1">
        <f>3365*10000</f>
        <v>33650000</v>
      </c>
      <c r="AY341" s="10">
        <f t="shared" si="179"/>
        <v>-0.75184365781710916</v>
      </c>
      <c r="AZ341" s="6" t="s">
        <v>4467</v>
      </c>
      <c r="BA341" s="6" t="str">
        <f t="shared" si="180"/>
        <v>=1.356*100000000</v>
      </c>
      <c r="BB341" s="1">
        <f>1.356*100000000</f>
        <v>135600000</v>
      </c>
      <c r="BC341" s="8">
        <f t="shared" si="181"/>
        <v>0.19893899204244031</v>
      </c>
      <c r="BD341" s="6" t="s">
        <v>4468</v>
      </c>
      <c r="BE341" s="6" t="str">
        <f t="shared" si="182"/>
        <v>=1.131*100000000</v>
      </c>
      <c r="BF341" s="1">
        <f>1.131*100000000</f>
        <v>113100000</v>
      </c>
      <c r="BG341" s="8">
        <f t="shared" si="183"/>
        <v>1.7161383285302594</v>
      </c>
      <c r="BH341" s="7" t="s">
        <v>4469</v>
      </c>
      <c r="BI341" s="6" t="str">
        <f t="shared" si="184"/>
        <v>=4164*10000</v>
      </c>
      <c r="BJ341" s="1">
        <f>4164*10000</f>
        <v>41640000</v>
      </c>
      <c r="BK341" s="7" t="s">
        <v>4470</v>
      </c>
      <c r="BL341" s="1" t="str">
        <f t="shared" si="156"/>
        <v>=2455*10000</v>
      </c>
      <c r="BM341" s="16">
        <f t="shared" si="185"/>
        <v>0.69613034623217918</v>
      </c>
      <c r="BN341" s="1">
        <f>2455*10000</f>
        <v>24550000</v>
      </c>
    </row>
    <row r="342" spans="1:66">
      <c r="A342" s="17">
        <v>86</v>
      </c>
      <c r="B342">
        <v>600298</v>
      </c>
      <c r="C342" t="s">
        <v>31</v>
      </c>
      <c r="D342" s="6" t="s">
        <v>1786</v>
      </c>
      <c r="E342" s="7" t="str">
        <f t="shared" si="155"/>
        <v>=106.8*100000000</v>
      </c>
      <c r="F342" s="1">
        <f>106.8*100000000</f>
        <v>10680000000</v>
      </c>
      <c r="G342" s="8">
        <f t="shared" si="157"/>
        <v>0.40637345272583619</v>
      </c>
      <c r="H342" s="6" t="s">
        <v>4471</v>
      </c>
      <c r="I342" s="6" t="str">
        <f t="shared" si="158"/>
        <v>=75.94*100000000</v>
      </c>
      <c r="J342" s="1">
        <f>75.94*100000000</f>
        <v>7594000000</v>
      </c>
      <c r="K342" s="10">
        <f t="shared" si="159"/>
        <v>0.45089797478028276</v>
      </c>
      <c r="L342" s="6" t="s">
        <v>4472</v>
      </c>
      <c r="M342" s="6" t="str">
        <f t="shared" si="160"/>
        <v>=52.34*100000000</v>
      </c>
      <c r="N342" s="1">
        <f>52.34*100000000</f>
        <v>5234000000</v>
      </c>
      <c r="O342" s="8">
        <f t="shared" si="161"/>
        <v>0.9706325301204819</v>
      </c>
      <c r="P342" s="6" t="s">
        <v>4350</v>
      </c>
      <c r="Q342" s="6" t="str">
        <f t="shared" si="162"/>
        <v>=26.56*100000000</v>
      </c>
      <c r="R342" s="11">
        <f>26.56*100000000</f>
        <v>2656000000</v>
      </c>
      <c r="S342" s="8">
        <f t="shared" si="163"/>
        <v>-0.70267547296540911</v>
      </c>
      <c r="T342" s="6" t="s">
        <v>4473</v>
      </c>
      <c r="U342" s="6" t="str">
        <f t="shared" si="164"/>
        <v>=89.33*100000000</v>
      </c>
      <c r="V342" s="1">
        <f>89.33*100000000</f>
        <v>8933000000</v>
      </c>
      <c r="W342" s="8">
        <f t="shared" si="165"/>
        <v>0.39013383131030172</v>
      </c>
      <c r="X342" s="6" t="s">
        <v>4474</v>
      </c>
      <c r="Y342" s="6" t="str">
        <f t="shared" si="166"/>
        <v>=64.26*100000000</v>
      </c>
      <c r="Z342" s="1">
        <f>64.26*100000000</f>
        <v>6426000000.000001</v>
      </c>
      <c r="AA342" s="8">
        <f t="shared" si="167"/>
        <v>0.47996315062183348</v>
      </c>
      <c r="AB342" s="6" t="s">
        <v>4475</v>
      </c>
      <c r="AC342" s="6" t="str">
        <f t="shared" si="168"/>
        <v>=43.42*100000000</v>
      </c>
      <c r="AD342" s="1">
        <f>43.42*100000000</f>
        <v>4342000000</v>
      </c>
      <c r="AE342" s="8">
        <f t="shared" si="169"/>
        <v>1.118048780487805</v>
      </c>
      <c r="AF342" s="6" t="s">
        <v>4476</v>
      </c>
      <c r="AG342" s="6" t="str">
        <f t="shared" si="170"/>
        <v>=20.50*100000000</v>
      </c>
      <c r="AH342" s="1">
        <f>20.5*100000000</f>
        <v>2050000000</v>
      </c>
      <c r="AI342" s="8">
        <f t="shared" si="171"/>
        <v>-0.73213119038285634</v>
      </c>
      <c r="AJ342" s="6" t="s">
        <v>4477</v>
      </c>
      <c r="AK342" s="6" t="str">
        <f t="shared" si="172"/>
        <v>=76.53*100000000</v>
      </c>
      <c r="AL342" s="1">
        <f>76.53*100000000</f>
        <v>7653000000</v>
      </c>
      <c r="AM342" s="8">
        <f t="shared" si="173"/>
        <v>0.37643884892086332</v>
      </c>
      <c r="AN342" s="6" t="s">
        <v>4478</v>
      </c>
      <c r="AO342" s="6" t="str">
        <f t="shared" si="174"/>
        <v>=55.60*100000000</v>
      </c>
      <c r="AP342" s="1">
        <f>55.6*100000000</f>
        <v>5560000000</v>
      </c>
      <c r="AQ342" s="8">
        <f t="shared" si="175"/>
        <v>0.49703823371028538</v>
      </c>
      <c r="AR342" s="6" t="s">
        <v>4479</v>
      </c>
      <c r="AS342" s="6" t="str">
        <f t="shared" si="176"/>
        <v>=37.14*100000000</v>
      </c>
      <c r="AT342" s="1">
        <f>37.14*100000000</f>
        <v>3714000000</v>
      </c>
      <c r="AU342" s="8">
        <f t="shared" si="177"/>
        <v>1.0406593406593407</v>
      </c>
      <c r="AV342" s="6" t="s">
        <v>3357</v>
      </c>
      <c r="AW342" s="6" t="str">
        <f t="shared" si="178"/>
        <v>=18.20*100000000</v>
      </c>
      <c r="AX342" s="1">
        <f>18.2*100000000</f>
        <v>1820000000</v>
      </c>
      <c r="AY342" s="10">
        <f t="shared" si="179"/>
        <v>-0.7277894107089441</v>
      </c>
      <c r="AZ342" s="6" t="s">
        <v>4480</v>
      </c>
      <c r="BA342" s="6" t="str">
        <f t="shared" si="180"/>
        <v>=66.86*100000000</v>
      </c>
      <c r="BB342" s="1">
        <f>66.86*100000000</f>
        <v>6686000000</v>
      </c>
      <c r="BC342" s="8">
        <f t="shared" si="181"/>
        <v>0.36476832006531945</v>
      </c>
      <c r="BD342" s="6" t="s">
        <v>4481</v>
      </c>
      <c r="BE342" s="6" t="str">
        <f t="shared" si="182"/>
        <v>=48.99*100000000</v>
      </c>
      <c r="BF342" s="1">
        <f>48.99*100000000</f>
        <v>4899000000</v>
      </c>
      <c r="BG342" s="8">
        <f t="shared" si="183"/>
        <v>0.47249774571686182</v>
      </c>
      <c r="BH342" s="6" t="s">
        <v>1946</v>
      </c>
      <c r="BI342" s="6" t="str">
        <f t="shared" si="184"/>
        <v>=33.27*100000000</v>
      </c>
      <c r="BJ342" s="1">
        <f>33.27*100000000</f>
        <v>3327000000.0000005</v>
      </c>
      <c r="BK342" s="6" t="s">
        <v>3363</v>
      </c>
      <c r="BL342" s="1" t="str">
        <f t="shared" si="156"/>
        <v>=16.30*100000000</v>
      </c>
      <c r="BM342" s="16">
        <f t="shared" si="185"/>
        <v>1.0411042944785278</v>
      </c>
      <c r="BN342" s="1">
        <f>16.3*100000000</f>
        <v>1630000000</v>
      </c>
    </row>
    <row r="343" spans="1:66">
      <c r="A343" s="18"/>
      <c r="B343">
        <v>600298</v>
      </c>
      <c r="C343" t="s">
        <v>48</v>
      </c>
      <c r="D343" s="6" t="s">
        <v>4482</v>
      </c>
      <c r="E343" s="7" t="str">
        <f t="shared" si="155"/>
        <v>=14.99*100000000</v>
      </c>
      <c r="F343" s="1">
        <f>14.99*100000000</f>
        <v>1499000000</v>
      </c>
      <c r="G343" s="8">
        <f t="shared" si="157"/>
        <v>0.28780068728522334</v>
      </c>
      <c r="H343" s="6" t="s">
        <v>2454</v>
      </c>
      <c r="I343" s="6" t="str">
        <f t="shared" si="158"/>
        <v>=11.64*100000000</v>
      </c>
      <c r="J343" s="1">
        <f>11.64*100000000</f>
        <v>1164000000</v>
      </c>
      <c r="K343" s="10">
        <f t="shared" si="159"/>
        <v>0.19913464510147302</v>
      </c>
      <c r="L343" s="6" t="s">
        <v>4483</v>
      </c>
      <c r="M343" s="6" t="str">
        <f t="shared" si="160"/>
        <v>=9.707*100000000</v>
      </c>
      <c r="N343" s="1">
        <f>9.707*100000000</f>
        <v>970700000.00000012</v>
      </c>
      <c r="O343" s="8">
        <f t="shared" si="161"/>
        <v>0.83809884491573605</v>
      </c>
      <c r="P343" s="6" t="s">
        <v>4484</v>
      </c>
      <c r="Q343" s="6" t="str">
        <f t="shared" si="162"/>
        <v>=5.281*100000000</v>
      </c>
      <c r="R343" s="11">
        <f>5.281*100000000</f>
        <v>528099999.99999994</v>
      </c>
      <c r="S343" s="8">
        <f t="shared" si="163"/>
        <v>-0.67521525215252154</v>
      </c>
      <c r="T343" s="6" t="s">
        <v>4012</v>
      </c>
      <c r="U343" s="6" t="str">
        <f t="shared" si="164"/>
        <v>=16.26*100000000</v>
      </c>
      <c r="V343" s="1">
        <f>16.26*100000000</f>
        <v>1626000000.0000002</v>
      </c>
      <c r="W343" s="8">
        <f t="shared" si="165"/>
        <v>0.30707395498392304</v>
      </c>
      <c r="X343" s="6" t="s">
        <v>3919</v>
      </c>
      <c r="Y343" s="6" t="str">
        <f t="shared" si="166"/>
        <v>=12.44*100000000</v>
      </c>
      <c r="Z343" s="1">
        <f>12.44*100000000</f>
        <v>1244000000</v>
      </c>
      <c r="AA343" s="8">
        <f t="shared" si="167"/>
        <v>0.40216411181244366</v>
      </c>
      <c r="AB343" s="6" t="s">
        <v>4485</v>
      </c>
      <c r="AC343" s="6" t="str">
        <f t="shared" si="168"/>
        <v>=8.872*100000000</v>
      </c>
      <c r="AD343" s="1">
        <f>8.872*100000000</f>
        <v>887200000</v>
      </c>
      <c r="AE343" s="8">
        <f t="shared" si="169"/>
        <v>1.3212977498691785</v>
      </c>
      <c r="AF343" s="6" t="s">
        <v>124</v>
      </c>
      <c r="AG343" s="6" t="str">
        <f t="shared" si="170"/>
        <v>=3.822*100000000</v>
      </c>
      <c r="AH343" s="1">
        <f>3.822*100000000</f>
        <v>382200000</v>
      </c>
      <c r="AI343" s="8">
        <f t="shared" si="171"/>
        <v>-0.65222929936305729</v>
      </c>
      <c r="AJ343" s="6" t="s">
        <v>4075</v>
      </c>
      <c r="AK343" s="6" t="str">
        <f t="shared" si="172"/>
        <v>=10.99*100000000</v>
      </c>
      <c r="AL343" s="1">
        <f>10.99*100000000</f>
        <v>1099000000</v>
      </c>
      <c r="AM343" s="8">
        <f t="shared" si="173"/>
        <v>0.34863173395508673</v>
      </c>
      <c r="AN343" s="6" t="s">
        <v>4486</v>
      </c>
      <c r="AO343" s="6" t="str">
        <f t="shared" si="174"/>
        <v>=8.149*100000000</v>
      </c>
      <c r="AP343" s="1">
        <f>8.149*100000000</f>
        <v>814899999.99999988</v>
      </c>
      <c r="AQ343" s="8">
        <f t="shared" si="175"/>
        <v>0.41352992194275784</v>
      </c>
      <c r="AR343" s="6" t="s">
        <v>4487</v>
      </c>
      <c r="AS343" s="6" t="str">
        <f t="shared" si="176"/>
        <v>=5.765*100000000</v>
      </c>
      <c r="AT343" s="1">
        <f>5.765*100000000</f>
        <v>576500000</v>
      </c>
      <c r="AU343" s="8">
        <f t="shared" si="177"/>
        <v>1.0073119777158774</v>
      </c>
      <c r="AV343" s="6" t="s">
        <v>4488</v>
      </c>
      <c r="AW343" s="6" t="str">
        <f t="shared" si="178"/>
        <v>=2.872*100000000</v>
      </c>
      <c r="AX343" s="1">
        <f>2.872*100000000</f>
        <v>287200000</v>
      </c>
      <c r="AY343" s="10">
        <f t="shared" si="179"/>
        <v>-0.70567739290838283</v>
      </c>
      <c r="AZ343" s="6" t="s">
        <v>4489</v>
      </c>
      <c r="BA343" s="6" t="str">
        <f t="shared" si="180"/>
        <v>=9.758*100000000</v>
      </c>
      <c r="BB343" s="1">
        <f>9.758*100000000</f>
        <v>975799999.99999988</v>
      </c>
      <c r="BC343" s="8">
        <f t="shared" si="181"/>
        <v>0.27189781021897796</v>
      </c>
      <c r="BD343" s="6" t="s">
        <v>4490</v>
      </c>
      <c r="BE343" s="6" t="str">
        <f t="shared" si="182"/>
        <v>=7.672*100000000</v>
      </c>
      <c r="BF343" s="1">
        <f>7.672*100000000</f>
        <v>767200000</v>
      </c>
      <c r="BG343" s="8">
        <f t="shared" si="183"/>
        <v>0.35237087960514718</v>
      </c>
      <c r="BH343" s="6" t="s">
        <v>4491</v>
      </c>
      <c r="BI343" s="6" t="str">
        <f t="shared" si="184"/>
        <v>=5.673*100000000</v>
      </c>
      <c r="BJ343" s="1">
        <f>5.673*100000000</f>
        <v>567300000</v>
      </c>
      <c r="BK343" s="6" t="s">
        <v>4492</v>
      </c>
      <c r="BL343" s="1" t="str">
        <f t="shared" si="156"/>
        <v>=2.937*100000000</v>
      </c>
      <c r="BM343" s="16">
        <f t="shared" si="185"/>
        <v>0.93156281920326867</v>
      </c>
      <c r="BN343" s="1">
        <f>2.937*100000000</f>
        <v>293700000</v>
      </c>
    </row>
    <row r="344" spans="1:66">
      <c r="A344" s="18"/>
      <c r="B344">
        <v>600298</v>
      </c>
      <c r="C344" t="s">
        <v>58</v>
      </c>
      <c r="D344" s="6" t="s">
        <v>4493</v>
      </c>
      <c r="E344" s="7" t="str">
        <f t="shared" si="155"/>
        <v>=15.17*100000000</v>
      </c>
      <c r="F344" s="1">
        <f>15.17*100000000</f>
        <v>1517000000</v>
      </c>
      <c r="G344" s="8">
        <f t="shared" si="157"/>
        <v>0.27908937605396289</v>
      </c>
      <c r="H344" s="6" t="s">
        <v>4494</v>
      </c>
      <c r="I344" s="6" t="str">
        <f t="shared" si="158"/>
        <v>=11.86*100000000</v>
      </c>
      <c r="J344" s="1">
        <f>11.86*100000000</f>
        <v>1186000000</v>
      </c>
      <c r="K344" s="10">
        <f t="shared" si="159"/>
        <v>0.21205927439959121</v>
      </c>
      <c r="L344" s="6" t="s">
        <v>4495</v>
      </c>
      <c r="M344" s="6" t="str">
        <f t="shared" si="160"/>
        <v>=9.785*100000000</v>
      </c>
      <c r="N344" s="1">
        <f>9.785*100000000</f>
        <v>978500000</v>
      </c>
      <c r="O344" s="8">
        <f t="shared" si="161"/>
        <v>0.84032349069023882</v>
      </c>
      <c r="P344" s="6" t="s">
        <v>4496</v>
      </c>
      <c r="Q344" s="6" t="str">
        <f t="shared" si="162"/>
        <v>=5.317*100000000</v>
      </c>
      <c r="R344" s="11">
        <f>5.317*100000000</f>
        <v>531700000</v>
      </c>
      <c r="S344" s="8">
        <f t="shared" si="163"/>
        <v>-0.67320221266133984</v>
      </c>
      <c r="T344" s="6" t="s">
        <v>2636</v>
      </c>
      <c r="U344" s="6" t="str">
        <f t="shared" si="164"/>
        <v>=16.27*100000000</v>
      </c>
      <c r="V344" s="1">
        <f>16.27*100000000</f>
        <v>1627000000</v>
      </c>
      <c r="W344" s="8">
        <f t="shared" si="165"/>
        <v>0.30473135525260625</v>
      </c>
      <c r="X344" s="6" t="s">
        <v>55</v>
      </c>
      <c r="Y344" s="6" t="str">
        <f t="shared" si="166"/>
        <v>=12.47*100000000</v>
      </c>
      <c r="Z344" s="1">
        <f>12.47*100000000</f>
        <v>1247000000</v>
      </c>
      <c r="AA344" s="8">
        <f t="shared" si="167"/>
        <v>0.40665538635081783</v>
      </c>
      <c r="AB344" s="6" t="s">
        <v>461</v>
      </c>
      <c r="AC344" s="6" t="str">
        <f t="shared" si="168"/>
        <v>=8.865*100000000</v>
      </c>
      <c r="AD344" s="1">
        <f>8.865*100000000</f>
        <v>886500000</v>
      </c>
      <c r="AE344" s="8">
        <f t="shared" si="169"/>
        <v>1.3200732792462706</v>
      </c>
      <c r="AF344" s="6" t="s">
        <v>4497</v>
      </c>
      <c r="AG344" s="6" t="str">
        <f t="shared" si="170"/>
        <v>=3.821*100000000</v>
      </c>
      <c r="AH344" s="1">
        <f>3.821*100000000</f>
        <v>382100000</v>
      </c>
      <c r="AI344" s="8">
        <f t="shared" si="171"/>
        <v>-0.65545536519386838</v>
      </c>
      <c r="AJ344" s="6" t="s">
        <v>4498</v>
      </c>
      <c r="AK344" s="6" t="str">
        <f t="shared" si="172"/>
        <v>=11.09*100000000</v>
      </c>
      <c r="AL344" s="1">
        <f>11.09*100000000</f>
        <v>1109000000</v>
      </c>
      <c r="AM344" s="8">
        <f t="shared" si="173"/>
        <v>0.34882023838482124</v>
      </c>
      <c r="AN344" s="6" t="s">
        <v>4499</v>
      </c>
      <c r="AO344" s="6" t="str">
        <f t="shared" si="174"/>
        <v>=8.222*100000000</v>
      </c>
      <c r="AP344" s="1">
        <f>8.222*100000000</f>
        <v>822200000</v>
      </c>
      <c r="AQ344" s="8">
        <f t="shared" si="175"/>
        <v>0.41295755284413127</v>
      </c>
      <c r="AR344" s="6" t="s">
        <v>4500</v>
      </c>
      <c r="AS344" s="6" t="str">
        <f t="shared" si="176"/>
        <v>=5.819*100000000</v>
      </c>
      <c r="AT344" s="1">
        <f>5.819*100000000</f>
        <v>581900000</v>
      </c>
      <c r="AU344" s="8">
        <f t="shared" si="177"/>
        <v>0.99212598425196852</v>
      </c>
      <c r="AV344" s="6" t="s">
        <v>4501</v>
      </c>
      <c r="AW344" s="6" t="str">
        <f t="shared" si="178"/>
        <v>=2.921*100000000</v>
      </c>
      <c r="AX344" s="1">
        <f>2.921*100000000</f>
        <v>292100000</v>
      </c>
      <c r="AY344" s="10">
        <f t="shared" si="179"/>
        <v>-0.70254582484725048</v>
      </c>
      <c r="AZ344" s="6" t="s">
        <v>4502</v>
      </c>
      <c r="BA344" s="6" t="str">
        <f t="shared" si="180"/>
        <v>=9.820*100000000</v>
      </c>
      <c r="BB344" s="1">
        <f>9.82*100000000</f>
        <v>982000000</v>
      </c>
      <c r="BC344" s="8">
        <f t="shared" si="181"/>
        <v>0.24856961220597584</v>
      </c>
      <c r="BD344" s="6" t="s">
        <v>4503</v>
      </c>
      <c r="BE344" s="6" t="str">
        <f t="shared" si="182"/>
        <v>=7.865*100000000</v>
      </c>
      <c r="BF344" s="1">
        <f>7.865*100000000</f>
        <v>786500000</v>
      </c>
      <c r="BG344" s="8">
        <f t="shared" si="183"/>
        <v>0.36474058650008678</v>
      </c>
      <c r="BH344" s="6" t="s">
        <v>4504</v>
      </c>
      <c r="BI344" s="6" t="str">
        <f t="shared" si="184"/>
        <v>=5.763*100000000</v>
      </c>
      <c r="BJ344" s="1">
        <f>5.763*100000000</f>
        <v>576300000</v>
      </c>
      <c r="BK344" s="6" t="s">
        <v>4505</v>
      </c>
      <c r="BL344" s="1" t="str">
        <f t="shared" si="156"/>
        <v>=3.003*100000000</v>
      </c>
      <c r="BM344" s="16">
        <f t="shared" si="185"/>
        <v>0.91908091908091905</v>
      </c>
      <c r="BN344" s="1">
        <f>3.003*100000000</f>
        <v>300300000</v>
      </c>
    </row>
    <row r="345" spans="1:66">
      <c r="A345" s="19"/>
      <c r="B345">
        <v>600298</v>
      </c>
      <c r="C345" t="s">
        <v>68</v>
      </c>
      <c r="D345" s="6" t="s">
        <v>4506</v>
      </c>
      <c r="E345" s="7" t="str">
        <f t="shared" si="155"/>
        <v>=13.21*100000000</v>
      </c>
      <c r="F345" s="1">
        <f>13.21*100000000</f>
        <v>1321000000</v>
      </c>
      <c r="G345" s="8">
        <f t="shared" si="157"/>
        <v>0.27879961277831561</v>
      </c>
      <c r="H345" s="6" t="s">
        <v>1108</v>
      </c>
      <c r="I345" s="6" t="str">
        <f t="shared" si="158"/>
        <v>=10.33*100000000</v>
      </c>
      <c r="J345" s="1">
        <f>10.33*100000000</f>
        <v>1033000000</v>
      </c>
      <c r="K345" s="10">
        <f t="shared" si="159"/>
        <v>0.22859181731684111</v>
      </c>
      <c r="L345" s="6" t="s">
        <v>4241</v>
      </c>
      <c r="M345" s="6" t="str">
        <f t="shared" si="160"/>
        <v>=8.408*100000000</v>
      </c>
      <c r="N345" s="1">
        <f>8.408*100000000</f>
        <v>840800000</v>
      </c>
      <c r="O345" s="8">
        <f t="shared" si="161"/>
        <v>0.87177203918076585</v>
      </c>
      <c r="P345" s="6" t="s">
        <v>4507</v>
      </c>
      <c r="Q345" s="6" t="str">
        <f t="shared" si="162"/>
        <v>=4.492*100000000</v>
      </c>
      <c r="R345" s="11">
        <f>4.492*100000000</f>
        <v>449200000</v>
      </c>
      <c r="S345" s="8">
        <f t="shared" si="163"/>
        <v>-0.68410689170182837</v>
      </c>
      <c r="T345" s="6" t="s">
        <v>4508</v>
      </c>
      <c r="U345" s="6" t="str">
        <f t="shared" si="164"/>
        <v>=14.22*100000000</v>
      </c>
      <c r="V345" s="1">
        <f>14.22*100000000</f>
        <v>1422000000</v>
      </c>
      <c r="W345" s="8">
        <f t="shared" si="165"/>
        <v>0.34531693472090824</v>
      </c>
      <c r="X345" s="6" t="s">
        <v>930</v>
      </c>
      <c r="Y345" s="6" t="str">
        <f t="shared" si="166"/>
        <v>=10.57*100000000</v>
      </c>
      <c r="Z345" s="1">
        <f>10.57*100000000</f>
        <v>1057000000</v>
      </c>
      <c r="AA345" s="8">
        <f t="shared" si="167"/>
        <v>0.40895761130365238</v>
      </c>
      <c r="AB345" s="6" t="s">
        <v>4509</v>
      </c>
      <c r="AC345" s="6" t="str">
        <f t="shared" si="168"/>
        <v>=7.502*100000000</v>
      </c>
      <c r="AD345" s="1">
        <f>7.502*100000000</f>
        <v>750200000</v>
      </c>
      <c r="AE345" s="8">
        <f t="shared" si="169"/>
        <v>1.3473091364205256</v>
      </c>
      <c r="AF345" s="6" t="s">
        <v>4510</v>
      </c>
      <c r="AG345" s="6" t="str">
        <f t="shared" si="170"/>
        <v>=3.196*100000000</v>
      </c>
      <c r="AH345" s="1">
        <f>3.196*100000000</f>
        <v>319600000</v>
      </c>
      <c r="AI345" s="8">
        <f t="shared" si="171"/>
        <v>-0.65996382593892966</v>
      </c>
      <c r="AJ345" s="6" t="s">
        <v>4511</v>
      </c>
      <c r="AK345" s="6" t="str">
        <f t="shared" si="172"/>
        <v>=9.399*100000000</v>
      </c>
      <c r="AL345" s="1">
        <f>9.399*100000000</f>
        <v>939899999.99999988</v>
      </c>
      <c r="AM345" s="8">
        <f t="shared" si="173"/>
        <v>0.36158192090395463</v>
      </c>
      <c r="AN345" s="6" t="s">
        <v>893</v>
      </c>
      <c r="AO345" s="6" t="str">
        <f t="shared" si="174"/>
        <v>=6.903*100000000</v>
      </c>
      <c r="AP345" s="1">
        <f>6.903*100000000</f>
        <v>690300000</v>
      </c>
      <c r="AQ345" s="8">
        <f t="shared" si="175"/>
        <v>0.43334717607973422</v>
      </c>
      <c r="AR345" s="6" t="s">
        <v>4512</v>
      </c>
      <c r="AS345" s="6" t="str">
        <f t="shared" si="176"/>
        <v>=4.816*100000000</v>
      </c>
      <c r="AT345" s="1">
        <f>4.816*100000000</f>
        <v>481600000</v>
      </c>
      <c r="AU345" s="8">
        <f t="shared" si="177"/>
        <v>0.95851972346482306</v>
      </c>
      <c r="AV345" s="6" t="s">
        <v>4297</v>
      </c>
      <c r="AW345" s="6" t="str">
        <f t="shared" si="178"/>
        <v>=2.459*100000000</v>
      </c>
      <c r="AX345" s="1">
        <f>2.459*100000000</f>
        <v>245900000</v>
      </c>
      <c r="AY345" s="10">
        <f t="shared" si="179"/>
        <v>-0.72668667333555625</v>
      </c>
      <c r="AZ345" s="6" t="s">
        <v>4513</v>
      </c>
      <c r="BA345" s="6" t="str">
        <f t="shared" si="180"/>
        <v>=8.997*100000000</v>
      </c>
      <c r="BB345" s="1">
        <f>8.997*100000000</f>
        <v>899700000</v>
      </c>
      <c r="BC345" s="8">
        <f t="shared" si="181"/>
        <v>0.28473511352277597</v>
      </c>
      <c r="BD345" s="6" t="s">
        <v>4514</v>
      </c>
      <c r="BE345" s="6" t="str">
        <f t="shared" si="182"/>
        <v>=7.003*100000000</v>
      </c>
      <c r="BF345" s="1">
        <f>7.003*100000000</f>
        <v>700300000</v>
      </c>
      <c r="BG345" s="8">
        <f t="shared" si="183"/>
        <v>0.34776751347190143</v>
      </c>
      <c r="BH345" s="6" t="s">
        <v>4515</v>
      </c>
      <c r="BI345" s="6" t="str">
        <f t="shared" si="184"/>
        <v>=5.196*100000000</v>
      </c>
      <c r="BJ345" s="1">
        <f>5.196*100000000</f>
        <v>519600000</v>
      </c>
      <c r="BK345" s="6" t="s">
        <v>4516</v>
      </c>
      <c r="BL345" s="1" t="str">
        <f t="shared" si="156"/>
        <v>=2.836*100000000</v>
      </c>
      <c r="BM345" s="16">
        <f t="shared" si="185"/>
        <v>0.83215796897038086</v>
      </c>
      <c r="BN345" s="1">
        <f>2.836*100000000</f>
        <v>283600000</v>
      </c>
    </row>
    <row r="346" spans="1:66">
      <c r="A346" s="17">
        <v>87</v>
      </c>
      <c r="B346">
        <v>600299</v>
      </c>
      <c r="C346" t="s">
        <v>31</v>
      </c>
      <c r="D346" s="6" t="s">
        <v>1634</v>
      </c>
      <c r="E346" s="7" t="str">
        <f t="shared" si="155"/>
        <v>=128.7*100000000</v>
      </c>
      <c r="F346" s="1">
        <f>128.7*100000000</f>
        <v>12869999999.999998</v>
      </c>
      <c r="G346" s="8">
        <f t="shared" si="157"/>
        <v>0.37750187306004473</v>
      </c>
      <c r="H346" s="6" t="s">
        <v>4517</v>
      </c>
      <c r="I346" s="6" t="str">
        <f t="shared" si="158"/>
        <v>=93.43*100000000</v>
      </c>
      <c r="J346" s="1">
        <f>93.43*100000000</f>
        <v>9343000000</v>
      </c>
      <c r="K346" s="10">
        <f t="shared" si="159"/>
        <v>0.56263589228968058</v>
      </c>
      <c r="L346" s="6" t="s">
        <v>4518</v>
      </c>
      <c r="M346" s="6" t="str">
        <f t="shared" si="160"/>
        <v>=59.79*100000000</v>
      </c>
      <c r="N346" s="1">
        <f>59.79*100000000</f>
        <v>5979000000</v>
      </c>
      <c r="O346" s="8">
        <f t="shared" si="161"/>
        <v>0.99699398797595196</v>
      </c>
      <c r="P346" s="6" t="s">
        <v>4141</v>
      </c>
      <c r="Q346" s="6" t="str">
        <f t="shared" si="162"/>
        <v>=29.94*100000000</v>
      </c>
      <c r="R346" s="11">
        <f>29.94*100000000</f>
        <v>2994000000</v>
      </c>
      <c r="S346" s="8">
        <f t="shared" si="163"/>
        <v>-0.74861460957178838</v>
      </c>
      <c r="T346" s="6" t="s">
        <v>4116</v>
      </c>
      <c r="U346" s="6" t="str">
        <f t="shared" si="164"/>
        <v>=119.1*100000000</v>
      </c>
      <c r="V346" s="1">
        <f>119.1*100000000</f>
        <v>11910000000</v>
      </c>
      <c r="W346" s="8">
        <f t="shared" si="165"/>
        <v>0.34106519536088276</v>
      </c>
      <c r="X346" s="6" t="s">
        <v>4519</v>
      </c>
      <c r="Y346" s="6" t="str">
        <f t="shared" si="166"/>
        <v>=88.81*100000000</v>
      </c>
      <c r="Z346" s="1">
        <f>88.81*100000000</f>
        <v>8881000000</v>
      </c>
      <c r="AA346" s="8">
        <f t="shared" si="167"/>
        <v>0.50883452259599049</v>
      </c>
      <c r="AB346" s="6" t="s">
        <v>4520</v>
      </c>
      <c r="AC346" s="6" t="str">
        <f t="shared" si="168"/>
        <v>=58.86*100000000</v>
      </c>
      <c r="AD346" s="1">
        <f>58.86*100000000</f>
        <v>5886000000</v>
      </c>
      <c r="AE346" s="8">
        <f t="shared" si="169"/>
        <v>1.0638148667601683</v>
      </c>
      <c r="AF346" s="6" t="s">
        <v>4521</v>
      </c>
      <c r="AG346" s="6" t="str">
        <f t="shared" si="170"/>
        <v>=28.52*100000000</v>
      </c>
      <c r="AH346" s="1">
        <f>28.52*100000000</f>
        <v>2852000000</v>
      </c>
      <c r="AI346" s="8">
        <f t="shared" si="171"/>
        <v>-0.74398563734290846</v>
      </c>
      <c r="AJ346" s="6" t="s">
        <v>3241</v>
      </c>
      <c r="AK346" s="6" t="str">
        <f t="shared" si="172"/>
        <v>=111.4*100000000</v>
      </c>
      <c r="AL346" s="1">
        <f>111.4*100000000</f>
        <v>11140000000</v>
      </c>
      <c r="AM346" s="8">
        <f t="shared" si="173"/>
        <v>0.34006977023938412</v>
      </c>
      <c r="AN346" s="6" t="s">
        <v>4522</v>
      </c>
      <c r="AO346" s="6" t="str">
        <f t="shared" si="174"/>
        <v>=83.13*100000000</v>
      </c>
      <c r="AP346" s="1">
        <f>83.13*100000000</f>
        <v>8313000000</v>
      </c>
      <c r="AQ346" s="8">
        <f t="shared" si="175"/>
        <v>0.55180138137016987</v>
      </c>
      <c r="AR346" s="6" t="s">
        <v>4523</v>
      </c>
      <c r="AS346" s="6" t="str">
        <f t="shared" si="176"/>
        <v>=53.57*100000000</v>
      </c>
      <c r="AT346" s="1">
        <f>53.57*100000000</f>
        <v>5357000000</v>
      </c>
      <c r="AU346" s="8">
        <f t="shared" si="177"/>
        <v>0.96011708744968893</v>
      </c>
      <c r="AV346" s="6" t="s">
        <v>2286</v>
      </c>
      <c r="AW346" s="6" t="str">
        <f t="shared" si="178"/>
        <v>=27.33*100000000</v>
      </c>
      <c r="AX346" s="1">
        <f>27.33*100000000</f>
        <v>2733000000</v>
      </c>
      <c r="AY346" s="10">
        <f t="shared" si="179"/>
        <v>-0.76068301225919444</v>
      </c>
      <c r="AZ346" s="6" t="s">
        <v>4524</v>
      </c>
      <c r="BA346" s="6" t="str">
        <f t="shared" si="180"/>
        <v>=114.2*100000000</v>
      </c>
      <c r="BB346" s="1">
        <f>114.2*100000000</f>
        <v>11420000000</v>
      </c>
      <c r="BC346" s="8">
        <f t="shared" si="181"/>
        <v>0.33958944281524928</v>
      </c>
      <c r="BD346" s="6" t="s">
        <v>4525</v>
      </c>
      <c r="BE346" s="6" t="str">
        <f t="shared" si="182"/>
        <v>=85.25*100000000</v>
      </c>
      <c r="BF346" s="1">
        <f>85.25*100000000</f>
        <v>8525000000</v>
      </c>
      <c r="BG346" s="8">
        <f t="shared" si="183"/>
        <v>0.4826086956521739</v>
      </c>
      <c r="BH346" s="6" t="s">
        <v>4526</v>
      </c>
      <c r="BI346" s="6" t="str">
        <f t="shared" si="184"/>
        <v>=57.50*100000000</v>
      </c>
      <c r="BJ346" s="1">
        <f>57.5*100000000</f>
        <v>5750000000</v>
      </c>
      <c r="BK346" s="6" t="s">
        <v>1349</v>
      </c>
      <c r="BL346" s="1" t="str">
        <f t="shared" si="156"/>
        <v>=30.14*100000000</v>
      </c>
      <c r="BM346" s="16">
        <f t="shared" si="185"/>
        <v>0.90776376907763767</v>
      </c>
      <c r="BN346" s="1">
        <f>30.14*100000000</f>
        <v>3014000000</v>
      </c>
    </row>
    <row r="347" spans="1:66">
      <c r="A347" s="18"/>
      <c r="B347">
        <v>600299</v>
      </c>
      <c r="C347" t="s">
        <v>48</v>
      </c>
      <c r="D347" s="6" t="s">
        <v>3264</v>
      </c>
      <c r="E347" s="7" t="str">
        <f t="shared" si="155"/>
        <v>=20.65*100000000</v>
      </c>
      <c r="F347" s="1">
        <f>20.65*100000000</f>
        <v>2064999999.9999998</v>
      </c>
      <c r="G347" s="8">
        <f t="shared" si="157"/>
        <v>0.21613663133097749</v>
      </c>
      <c r="H347" s="6" t="s">
        <v>1123</v>
      </c>
      <c r="I347" s="6" t="str">
        <f t="shared" si="158"/>
        <v>=16.98*100000000</v>
      </c>
      <c r="J347" s="1">
        <f>16.98*100000000</f>
        <v>1698000000</v>
      </c>
      <c r="K347" s="10">
        <f t="shared" si="159"/>
        <v>0.56786703601108035</v>
      </c>
      <c r="L347" s="6" t="s">
        <v>4527</v>
      </c>
      <c r="M347" s="6" t="str">
        <f t="shared" si="160"/>
        <v>=10.83*100000000</v>
      </c>
      <c r="N347" s="1">
        <f>10.83*100000000</f>
        <v>1083000000</v>
      </c>
      <c r="O347" s="8">
        <f t="shared" si="161"/>
        <v>1.2233627591870251</v>
      </c>
      <c r="P347" s="6" t="s">
        <v>1828</v>
      </c>
      <c r="Q347" s="6" t="str">
        <f t="shared" si="162"/>
        <v>=4.871*100000000</v>
      </c>
      <c r="R347" s="11">
        <f>4.871*100000000</f>
        <v>487100000.00000006</v>
      </c>
      <c r="S347" s="8">
        <f t="shared" si="163"/>
        <v>-0.76192570869990228</v>
      </c>
      <c r="T347" s="6" t="s">
        <v>4528</v>
      </c>
      <c r="U347" s="6" t="str">
        <f t="shared" si="164"/>
        <v>=20.46*100000000</v>
      </c>
      <c r="V347" s="1">
        <f>20.46*100000000</f>
        <v>2046000000</v>
      </c>
      <c r="W347" s="8">
        <f t="shared" si="165"/>
        <v>0.23924894003634142</v>
      </c>
      <c r="X347" s="6" t="s">
        <v>4529</v>
      </c>
      <c r="Y347" s="6" t="str">
        <f t="shared" si="166"/>
        <v>=16.51*100000000</v>
      </c>
      <c r="Z347" s="1">
        <f>16.51*100000000</f>
        <v>1651000000.0000002</v>
      </c>
      <c r="AA347" s="8">
        <f t="shared" si="167"/>
        <v>0.51052150045745681</v>
      </c>
      <c r="AB347" s="6" t="s">
        <v>1379</v>
      </c>
      <c r="AC347" s="6" t="str">
        <f t="shared" si="168"/>
        <v>=10.93*100000000</v>
      </c>
      <c r="AD347" s="1">
        <f>10.93*100000000</f>
        <v>1093000000</v>
      </c>
      <c r="AE347" s="8">
        <f t="shared" si="169"/>
        <v>1.306880540312368</v>
      </c>
      <c r="AF347" s="6" t="s">
        <v>4530</v>
      </c>
      <c r="AG347" s="6" t="str">
        <f t="shared" si="170"/>
        <v>=4.738*100000000</v>
      </c>
      <c r="AH347" s="1">
        <f>4.738*100000000</f>
        <v>473800000.00000006</v>
      </c>
      <c r="AI347" s="8">
        <f t="shared" si="171"/>
        <v>-0.70182504719949657</v>
      </c>
      <c r="AJ347" s="6" t="s">
        <v>4531</v>
      </c>
      <c r="AK347" s="6" t="str">
        <f t="shared" si="172"/>
        <v>=15.89*100000000</v>
      </c>
      <c r="AL347" s="1">
        <f>15.89*100000000</f>
        <v>1589000000</v>
      </c>
      <c r="AM347" s="8">
        <f t="shared" si="173"/>
        <v>0.11196641007697691</v>
      </c>
      <c r="AN347" s="6" t="s">
        <v>4532</v>
      </c>
      <c r="AO347" s="6" t="str">
        <f t="shared" si="174"/>
        <v>=14.29*100000000</v>
      </c>
      <c r="AP347" s="1">
        <f>14.29*100000000</f>
        <v>1429000000</v>
      </c>
      <c r="AQ347" s="8">
        <f t="shared" si="175"/>
        <v>0.5370549639668708</v>
      </c>
      <c r="AR347" s="6" t="s">
        <v>4533</v>
      </c>
      <c r="AS347" s="6" t="str">
        <f t="shared" si="176"/>
        <v>=9.297*100000000</v>
      </c>
      <c r="AT347" s="1">
        <f>9.297*100000000</f>
        <v>929700000.00000012</v>
      </c>
      <c r="AU347" s="8">
        <f t="shared" si="177"/>
        <v>0.96429326008873917</v>
      </c>
      <c r="AV347" s="6" t="s">
        <v>4534</v>
      </c>
      <c r="AW347" s="6" t="str">
        <f t="shared" si="178"/>
        <v>=4.733*100000000</v>
      </c>
      <c r="AX347" s="1">
        <f>4.733*100000000</f>
        <v>473299999.99999994</v>
      </c>
      <c r="AY347" s="10">
        <f t="shared" si="179"/>
        <v>-0.71607678464307145</v>
      </c>
      <c r="AZ347" s="6" t="s">
        <v>4535</v>
      </c>
      <c r="BA347" s="6" t="str">
        <f t="shared" si="180"/>
        <v>=16.67*100000000</v>
      </c>
      <c r="BB347" s="1">
        <f>16.67*100000000</f>
        <v>1667000000.0000002</v>
      </c>
      <c r="BC347" s="8">
        <f t="shared" si="181"/>
        <v>0.28132205995388182</v>
      </c>
      <c r="BD347" s="6" t="s">
        <v>177</v>
      </c>
      <c r="BE347" s="6" t="str">
        <f t="shared" si="182"/>
        <v>=13.01*100000000</v>
      </c>
      <c r="BF347" s="1">
        <f>13.01*100000000</f>
        <v>1301000000</v>
      </c>
      <c r="BG347" s="8">
        <f t="shared" si="183"/>
        <v>0.44716351501668522</v>
      </c>
      <c r="BH347" s="6" t="s">
        <v>4536</v>
      </c>
      <c r="BI347" s="6" t="str">
        <f t="shared" si="184"/>
        <v>=8.990*100000000</v>
      </c>
      <c r="BJ347" s="1">
        <f>8.99*100000000</f>
        <v>899000000</v>
      </c>
      <c r="BK347" s="6" t="s">
        <v>4537</v>
      </c>
      <c r="BL347" s="1" t="str">
        <f t="shared" si="156"/>
        <v>=6.358*100000000</v>
      </c>
      <c r="BM347" s="16">
        <f t="shared" si="185"/>
        <v>0.41396665618118905</v>
      </c>
      <c r="BN347" s="1">
        <f>6.358*100000000</f>
        <v>635800000</v>
      </c>
    </row>
    <row r="348" spans="1:66">
      <c r="A348" s="18"/>
      <c r="B348">
        <v>600299</v>
      </c>
      <c r="C348" t="s">
        <v>58</v>
      </c>
      <c r="D348" s="6" t="s">
        <v>1192</v>
      </c>
      <c r="E348" s="7" t="str">
        <f t="shared" si="155"/>
        <v>=20.49*100000000</v>
      </c>
      <c r="F348" s="1">
        <f>20.49*100000000</f>
        <v>2048999999.9999998</v>
      </c>
      <c r="G348" s="8">
        <f t="shared" si="157"/>
        <v>0.21386255924170602</v>
      </c>
      <c r="H348" s="6" t="s">
        <v>325</v>
      </c>
      <c r="I348" s="6" t="str">
        <f t="shared" si="158"/>
        <v>=16.88*100000000</v>
      </c>
      <c r="J348" s="1">
        <f>16.88*100000000</f>
        <v>1688000000</v>
      </c>
      <c r="K348" s="10">
        <f t="shared" si="159"/>
        <v>0.57462686567164156</v>
      </c>
      <c r="L348" s="6" t="s">
        <v>4538</v>
      </c>
      <c r="M348" s="6" t="str">
        <f t="shared" si="160"/>
        <v>=10.72*100000000</v>
      </c>
      <c r="N348" s="1">
        <f>10.72*100000000</f>
        <v>1072000000.0000001</v>
      </c>
      <c r="O348" s="8">
        <f t="shared" si="161"/>
        <v>1.2231439236831192</v>
      </c>
      <c r="P348" s="6" t="s">
        <v>4539</v>
      </c>
      <c r="Q348" s="6" t="str">
        <f t="shared" si="162"/>
        <v>=4.822*100000000</v>
      </c>
      <c r="R348" s="11">
        <f>4.822*100000000</f>
        <v>482200000</v>
      </c>
      <c r="S348" s="8">
        <f t="shared" si="163"/>
        <v>-0.75865865865865867</v>
      </c>
      <c r="T348" s="6" t="s">
        <v>4540</v>
      </c>
      <c r="U348" s="6" t="str">
        <f t="shared" si="164"/>
        <v>=19.98*100000000</v>
      </c>
      <c r="V348" s="1">
        <f>19.98*100000000</f>
        <v>1998000000</v>
      </c>
      <c r="W348" s="8">
        <f t="shared" si="165"/>
        <v>0.2371517027863779</v>
      </c>
      <c r="X348" s="6" t="s">
        <v>4541</v>
      </c>
      <c r="Y348" s="6" t="str">
        <f t="shared" si="166"/>
        <v>=16.15*100000000</v>
      </c>
      <c r="Z348" s="1">
        <f>16.15*100000000</f>
        <v>1614999999.9999998</v>
      </c>
      <c r="AA348" s="8">
        <f t="shared" si="167"/>
        <v>0.47758462946020108</v>
      </c>
      <c r="AB348" s="6" t="s">
        <v>1379</v>
      </c>
      <c r="AC348" s="6" t="str">
        <f t="shared" si="168"/>
        <v>=10.93*100000000</v>
      </c>
      <c r="AD348" s="1">
        <f>10.93*100000000</f>
        <v>1093000000</v>
      </c>
      <c r="AE348" s="8">
        <f t="shared" si="169"/>
        <v>1.3132275132275133</v>
      </c>
      <c r="AF348" s="6" t="s">
        <v>4542</v>
      </c>
      <c r="AG348" s="6" t="str">
        <f t="shared" si="170"/>
        <v>=4.725*100000000</v>
      </c>
      <c r="AH348" s="1">
        <f>4.725*100000000</f>
        <v>472499999.99999994</v>
      </c>
      <c r="AI348" s="8">
        <f t="shared" si="171"/>
        <v>-0.72719399538106233</v>
      </c>
      <c r="AJ348" s="6" t="s">
        <v>4543</v>
      </c>
      <c r="AK348" s="6" t="str">
        <f t="shared" si="172"/>
        <v>=17.32*100000000</v>
      </c>
      <c r="AL348" s="1">
        <f>17.32*100000000</f>
        <v>1732000000</v>
      </c>
      <c r="AM348" s="8">
        <f t="shared" si="173"/>
        <v>0.21034241788958771</v>
      </c>
      <c r="AN348" s="6" t="s">
        <v>4352</v>
      </c>
      <c r="AO348" s="6" t="str">
        <f t="shared" si="174"/>
        <v>=14.31*100000000</v>
      </c>
      <c r="AP348" s="1">
        <f>14.31*100000000</f>
        <v>1431000000</v>
      </c>
      <c r="AQ348" s="8">
        <f t="shared" si="175"/>
        <v>0.53441990135106154</v>
      </c>
      <c r="AR348" s="6" t="s">
        <v>4544</v>
      </c>
      <c r="AS348" s="6" t="str">
        <f t="shared" si="176"/>
        <v>=9.326*100000000</v>
      </c>
      <c r="AT348" s="1">
        <f>9.326*100000000</f>
        <v>932600000</v>
      </c>
      <c r="AU348" s="8">
        <f t="shared" si="177"/>
        <v>0.96378184881027607</v>
      </c>
      <c r="AV348" s="6" t="s">
        <v>4545</v>
      </c>
      <c r="AW348" s="6" t="str">
        <f t="shared" si="178"/>
        <v>=4.749*100000000</v>
      </c>
      <c r="AX348" s="1">
        <f>4.749*100000000</f>
        <v>474899999.99999994</v>
      </c>
      <c r="AY348" s="10">
        <f t="shared" si="179"/>
        <v>-0.71681574239713775</v>
      </c>
      <c r="AZ348" s="6" t="s">
        <v>1970</v>
      </c>
      <c r="BA348" s="6" t="str">
        <f t="shared" si="180"/>
        <v>=16.77*100000000</v>
      </c>
      <c r="BB348" s="1">
        <f>16.77*100000000</f>
        <v>1677000000</v>
      </c>
      <c r="BC348" s="8">
        <f t="shared" si="181"/>
        <v>0.28604294478527609</v>
      </c>
      <c r="BD348" s="6" t="s">
        <v>4546</v>
      </c>
      <c r="BE348" s="6" t="str">
        <f t="shared" si="182"/>
        <v>=13.04*100000000</v>
      </c>
      <c r="BF348" s="1">
        <f>13.04*100000000</f>
        <v>1304000000</v>
      </c>
      <c r="BG348" s="8">
        <f t="shared" si="183"/>
        <v>0.45066192012459655</v>
      </c>
      <c r="BH348" s="6" t="s">
        <v>4085</v>
      </c>
      <c r="BI348" s="6" t="str">
        <f t="shared" si="184"/>
        <v>=8.989*100000000</v>
      </c>
      <c r="BJ348" s="1">
        <f>8.989*100000000</f>
        <v>898900000.00000012</v>
      </c>
      <c r="BK348" s="6" t="s">
        <v>4547</v>
      </c>
      <c r="BL348" s="1" t="str">
        <f t="shared" si="156"/>
        <v>=6.343*100000000</v>
      </c>
      <c r="BM348" s="16">
        <f t="shared" si="185"/>
        <v>0.41715276682957608</v>
      </c>
      <c r="BN348" s="1">
        <f>6.343*100000000</f>
        <v>634300000</v>
      </c>
    </row>
    <row r="349" spans="1:66">
      <c r="A349" s="19"/>
      <c r="B349">
        <v>600299</v>
      </c>
      <c r="C349" t="s">
        <v>68</v>
      </c>
      <c r="D349" s="6" t="s">
        <v>4548</v>
      </c>
      <c r="E349" s="7" t="str">
        <f t="shared" si="155"/>
        <v>=15.36*100000000</v>
      </c>
      <c r="F349" s="1">
        <f>15.36*100000000</f>
        <v>1536000000</v>
      </c>
      <c r="G349" s="8">
        <f t="shared" si="157"/>
        <v>0.19812792511700469</v>
      </c>
      <c r="H349" s="6" t="s">
        <v>4549</v>
      </c>
      <c r="I349" s="6" t="str">
        <f t="shared" si="158"/>
        <v>=12.82*100000000</v>
      </c>
      <c r="J349" s="1">
        <f>12.82*100000000</f>
        <v>1282000000</v>
      </c>
      <c r="K349" s="10">
        <f t="shared" si="159"/>
        <v>0.57127098909180019</v>
      </c>
      <c r="L349" s="6" t="s">
        <v>4550</v>
      </c>
      <c r="M349" s="6" t="str">
        <f t="shared" si="160"/>
        <v>=8.159*100000000</v>
      </c>
      <c r="N349" s="1">
        <f>8.159*100000000</f>
        <v>815900000.00000012</v>
      </c>
      <c r="O349" s="8">
        <f t="shared" si="161"/>
        <v>1.2219498910675384</v>
      </c>
      <c r="P349" s="6" t="s">
        <v>4551</v>
      </c>
      <c r="Q349" s="6" t="str">
        <f t="shared" si="162"/>
        <v>=3.672*100000000</v>
      </c>
      <c r="R349" s="11">
        <f>3.672*100000000</f>
        <v>367200000</v>
      </c>
      <c r="S349" s="8">
        <f t="shared" si="163"/>
        <v>-0.75138794854434665</v>
      </c>
      <c r="T349" s="6" t="s">
        <v>4552</v>
      </c>
      <c r="U349" s="6" t="str">
        <f t="shared" si="164"/>
        <v>=14.77*100000000</v>
      </c>
      <c r="V349" s="1">
        <f>14.77*100000000</f>
        <v>1477000000</v>
      </c>
      <c r="W349" s="8">
        <f t="shared" si="165"/>
        <v>0.23909395973154363</v>
      </c>
      <c r="X349" s="6" t="s">
        <v>4553</v>
      </c>
      <c r="Y349" s="6" t="str">
        <f t="shared" si="166"/>
        <v>=11.92*100000000</v>
      </c>
      <c r="Z349" s="1">
        <f>11.92*100000000</f>
        <v>1192000000</v>
      </c>
      <c r="AA349" s="8">
        <f t="shared" si="167"/>
        <v>0.4685228532709127</v>
      </c>
      <c r="AB349" s="6" t="s">
        <v>4554</v>
      </c>
      <c r="AC349" s="6" t="str">
        <f t="shared" si="168"/>
        <v>=8.117*100000000</v>
      </c>
      <c r="AD349" s="1">
        <f>8.117*100000000</f>
        <v>811700000.00000012</v>
      </c>
      <c r="AE349" s="8">
        <f t="shared" si="169"/>
        <v>1.3534357784865181</v>
      </c>
      <c r="AF349" s="6" t="s">
        <v>4555</v>
      </c>
      <c r="AG349" s="6" t="str">
        <f t="shared" si="170"/>
        <v>=3.449*100000000</v>
      </c>
      <c r="AH349" s="1">
        <f>3.449*100000000</f>
        <v>344900000</v>
      </c>
      <c r="AI349" s="8">
        <f t="shared" si="171"/>
        <v>-0.72561654733492442</v>
      </c>
      <c r="AJ349" s="6" t="s">
        <v>4556</v>
      </c>
      <c r="AK349" s="6" t="str">
        <f t="shared" si="172"/>
        <v>=12.57*100000000</v>
      </c>
      <c r="AL349" s="1">
        <f>12.57*100000000</f>
        <v>1257000000</v>
      </c>
      <c r="AM349" s="8">
        <f t="shared" si="173"/>
        <v>0.22634146341463415</v>
      </c>
      <c r="AN349" s="6" t="s">
        <v>183</v>
      </c>
      <c r="AO349" s="6" t="str">
        <f t="shared" si="174"/>
        <v>=10.25*100000000</v>
      </c>
      <c r="AP349" s="1">
        <f>10.25*100000000</f>
        <v>1025000000</v>
      </c>
      <c r="AQ349" s="8">
        <f t="shared" si="175"/>
        <v>0.51604792190504367</v>
      </c>
      <c r="AR349" s="6" t="s">
        <v>4557</v>
      </c>
      <c r="AS349" s="6" t="str">
        <f t="shared" si="176"/>
        <v>=6.761*100000000</v>
      </c>
      <c r="AT349" s="1">
        <f>6.761*100000000</f>
        <v>676100000</v>
      </c>
      <c r="AU349" s="8">
        <f t="shared" si="177"/>
        <v>0.96369445251234387</v>
      </c>
      <c r="AV349" s="6" t="s">
        <v>4558</v>
      </c>
      <c r="AW349" s="6" t="str">
        <f t="shared" si="178"/>
        <v>=3.443*100000000</v>
      </c>
      <c r="AX349" s="1">
        <f>3.443*100000000</f>
        <v>344300000</v>
      </c>
      <c r="AY349" s="10">
        <f t="shared" si="179"/>
        <v>-0.71685855263157894</v>
      </c>
      <c r="AZ349" s="6" t="s">
        <v>4080</v>
      </c>
      <c r="BA349" s="6" t="str">
        <f t="shared" si="180"/>
        <v>=12.16*100000000</v>
      </c>
      <c r="BB349" s="1">
        <f>12.16*100000000</f>
        <v>1216000000</v>
      </c>
      <c r="BC349" s="8">
        <f t="shared" si="181"/>
        <v>0.32303340224132288</v>
      </c>
      <c r="BD349" s="6" t="s">
        <v>4559</v>
      </c>
      <c r="BE349" s="6" t="str">
        <f t="shared" si="182"/>
        <v>=9.191*100000000</v>
      </c>
      <c r="BF349" s="1">
        <f>9.191*100000000</f>
        <v>919100000.00000012</v>
      </c>
      <c r="BG349" s="8">
        <f t="shared" si="183"/>
        <v>0.44014415543716723</v>
      </c>
      <c r="BH349" s="6" t="s">
        <v>1934</v>
      </c>
      <c r="BI349" s="6" t="str">
        <f t="shared" si="184"/>
        <v>=6.382*100000000</v>
      </c>
      <c r="BJ349" s="1">
        <f>6.382*100000000</f>
        <v>638200000</v>
      </c>
      <c r="BK349" s="6" t="s">
        <v>4560</v>
      </c>
      <c r="BL349" s="1" t="str">
        <f t="shared" si="156"/>
        <v>=4.470*100000000</v>
      </c>
      <c r="BM349" s="16">
        <f t="shared" si="185"/>
        <v>0.42774049217002236</v>
      </c>
      <c r="BN349" s="1">
        <f>4.47*100000000</f>
        <v>447000000</v>
      </c>
    </row>
    <row r="350" spans="1:66">
      <c r="A350" s="17">
        <v>88</v>
      </c>
      <c r="B350">
        <v>600300</v>
      </c>
      <c r="C350" t="s">
        <v>31</v>
      </c>
      <c r="D350" s="6" t="s">
        <v>4561</v>
      </c>
      <c r="E350" s="7" t="str">
        <f t="shared" si="155"/>
        <v>=45.68*100000000</v>
      </c>
      <c r="F350" s="1">
        <f>45.68*100000000</f>
        <v>4568000000</v>
      </c>
      <c r="G350" s="8">
        <f t="shared" si="157"/>
        <v>0.40208717004297112</v>
      </c>
      <c r="H350" s="6" t="s">
        <v>4562</v>
      </c>
      <c r="I350" s="6" t="str">
        <f t="shared" si="158"/>
        <v>=32.58*100000000</v>
      </c>
      <c r="J350" s="1">
        <f>32.58*100000000</f>
        <v>3258000000</v>
      </c>
      <c r="K350" s="10">
        <f t="shared" si="159"/>
        <v>0.60098280098280077</v>
      </c>
      <c r="L350" s="6" t="s">
        <v>4563</v>
      </c>
      <c r="M350" s="6" t="str">
        <f t="shared" si="160"/>
        <v>=20.35*100000000</v>
      </c>
      <c r="N350" s="1">
        <f>20.35*100000000</f>
        <v>2035000000.0000002</v>
      </c>
      <c r="O350" s="8">
        <f t="shared" si="161"/>
        <v>0.89478584729981403</v>
      </c>
      <c r="P350" s="6" t="s">
        <v>4564</v>
      </c>
      <c r="Q350" s="6" t="str">
        <f t="shared" si="162"/>
        <v>=10.74*100000000</v>
      </c>
      <c r="R350" s="11">
        <f>10.74*100000000</f>
        <v>1074000000</v>
      </c>
      <c r="S350" s="8">
        <f t="shared" si="163"/>
        <v>-0.77620337570327147</v>
      </c>
      <c r="T350" s="6" t="s">
        <v>4565</v>
      </c>
      <c r="U350" s="6" t="str">
        <f t="shared" si="164"/>
        <v>=47.99*100000000</v>
      </c>
      <c r="V350" s="1">
        <f>47.99*100000000</f>
        <v>4799000000</v>
      </c>
      <c r="W350" s="8">
        <f t="shared" si="165"/>
        <v>0.23590007725985063</v>
      </c>
      <c r="X350" s="6" t="s">
        <v>4566</v>
      </c>
      <c r="Y350" s="6" t="str">
        <f t="shared" si="166"/>
        <v>=38.83*100000000</v>
      </c>
      <c r="Z350" s="1">
        <f>38.83*100000000</f>
        <v>3883000000</v>
      </c>
      <c r="AA350" s="8">
        <f t="shared" si="167"/>
        <v>0.53660466956865849</v>
      </c>
      <c r="AB350" s="6" t="s">
        <v>4567</v>
      </c>
      <c r="AC350" s="6" t="str">
        <f t="shared" si="168"/>
        <v>=25.27*100000000</v>
      </c>
      <c r="AD350" s="1">
        <f>25.27*100000000</f>
        <v>2527000000</v>
      </c>
      <c r="AE350" s="8">
        <f t="shared" si="169"/>
        <v>1.3727699530516433</v>
      </c>
      <c r="AF350" s="6" t="s">
        <v>3146</v>
      </c>
      <c r="AG350" s="6" t="str">
        <f t="shared" si="170"/>
        <v>=10.65*100000000</v>
      </c>
      <c r="AH350" s="1">
        <f>10.65*100000000</f>
        <v>1065000000</v>
      </c>
      <c r="AI350" s="8">
        <f t="shared" si="171"/>
        <v>-0.78864854137725737</v>
      </c>
      <c r="AJ350" s="6" t="s">
        <v>4073</v>
      </c>
      <c r="AK350" s="6" t="str">
        <f t="shared" si="172"/>
        <v>=50.39*100000000</v>
      </c>
      <c r="AL350" s="1">
        <f>50.39*100000000</f>
        <v>5039000000</v>
      </c>
      <c r="AM350" s="8">
        <f t="shared" si="173"/>
        <v>0.32640168465385627</v>
      </c>
      <c r="AN350" s="6" t="s">
        <v>4568</v>
      </c>
      <c r="AO350" s="6" t="str">
        <f t="shared" si="174"/>
        <v>=37.99*100000000</v>
      </c>
      <c r="AP350" s="1">
        <f>37.99*100000000</f>
        <v>3799000000</v>
      </c>
      <c r="AQ350" s="8">
        <f t="shared" si="175"/>
        <v>0.34668557249202409</v>
      </c>
      <c r="AR350" s="6" t="s">
        <v>4569</v>
      </c>
      <c r="AS350" s="6" t="str">
        <f t="shared" si="176"/>
        <v>=28.21*100000000</v>
      </c>
      <c r="AT350" s="1">
        <f>28.21*100000000</f>
        <v>2821000000</v>
      </c>
      <c r="AU350" s="8">
        <f t="shared" si="177"/>
        <v>0.84018264840182644</v>
      </c>
      <c r="AV350" s="6" t="s">
        <v>4570</v>
      </c>
      <c r="AW350" s="6" t="str">
        <f t="shared" si="178"/>
        <v>=15.33*100000000</v>
      </c>
      <c r="AX350" s="1">
        <f>15.33*100000000</f>
        <v>1533000000</v>
      </c>
      <c r="AY350" s="10">
        <f t="shared" si="179"/>
        <v>-0.69541029207232263</v>
      </c>
      <c r="AZ350" s="6" t="s">
        <v>4571</v>
      </c>
      <c r="BA350" s="6" t="str">
        <f t="shared" si="180"/>
        <v>=50.33*100000000</v>
      </c>
      <c r="BB350" s="1">
        <f>50.33*100000000</f>
        <v>5033000000</v>
      </c>
      <c r="BC350" s="8">
        <f t="shared" si="181"/>
        <v>0.35005364806866951</v>
      </c>
      <c r="BD350" s="6" t="s">
        <v>823</v>
      </c>
      <c r="BE350" s="6" t="str">
        <f t="shared" si="182"/>
        <v>=37.28*100000000</v>
      </c>
      <c r="BF350" s="1">
        <f>37.28*100000000</f>
        <v>3728000000</v>
      </c>
      <c r="BG350" s="8">
        <f t="shared" si="183"/>
        <v>0.35909588042289464</v>
      </c>
      <c r="BH350" s="6" t="s">
        <v>1327</v>
      </c>
      <c r="BI350" s="6" t="str">
        <f t="shared" si="184"/>
        <v>=27.43*100000000</v>
      </c>
      <c r="BJ350" s="1">
        <f>27.43*100000000</f>
        <v>2743000000</v>
      </c>
      <c r="BK350" s="6" t="s">
        <v>54</v>
      </c>
      <c r="BL350" s="1" t="str">
        <f t="shared" si="156"/>
        <v>=15.28*100000000</v>
      </c>
      <c r="BM350" s="16">
        <f t="shared" si="185"/>
        <v>0.79515706806282727</v>
      </c>
      <c r="BN350" s="1">
        <f>15.28*100000000</f>
        <v>1528000000</v>
      </c>
    </row>
    <row r="351" spans="1:66">
      <c r="A351" s="18"/>
      <c r="B351">
        <v>600300</v>
      </c>
      <c r="C351" t="s">
        <v>48</v>
      </c>
      <c r="D351" s="6" t="s">
        <v>4572</v>
      </c>
      <c r="E351" s="7" t="str">
        <f t="shared" si="155"/>
        <v>=3.189*100000000</v>
      </c>
      <c r="F351" s="1">
        <f>3.189*100000000</f>
        <v>318900000</v>
      </c>
      <c r="G351" s="8">
        <f t="shared" si="157"/>
        <v>0.32323651452282159</v>
      </c>
      <c r="H351" s="6" t="s">
        <v>944</v>
      </c>
      <c r="I351" s="6" t="str">
        <f t="shared" si="158"/>
        <v>=2.410*100000000</v>
      </c>
      <c r="J351" s="1">
        <f>2.41*100000000</f>
        <v>241000000</v>
      </c>
      <c r="K351" s="10">
        <f t="shared" si="159"/>
        <v>0.97540983606557374</v>
      </c>
      <c r="L351" s="6" t="s">
        <v>4573</v>
      </c>
      <c r="M351" s="6" t="str">
        <f t="shared" si="160"/>
        <v>=1.220*100000000</v>
      </c>
      <c r="N351" s="1">
        <f>1.22*100000000</f>
        <v>122000000</v>
      </c>
      <c r="O351" s="8">
        <f t="shared" si="161"/>
        <v>0.42773551784669395</v>
      </c>
      <c r="P351" s="7" t="s">
        <v>4574</v>
      </c>
      <c r="Q351" s="6" t="str">
        <f t="shared" si="162"/>
        <v>=8545*10000</v>
      </c>
      <c r="R351" s="11">
        <f>8545*10000</f>
        <v>85450000</v>
      </c>
      <c r="S351" s="8">
        <f t="shared" si="163"/>
        <v>-0.85100261551874457</v>
      </c>
      <c r="T351" s="6" t="s">
        <v>4575</v>
      </c>
      <c r="U351" s="6" t="str">
        <f t="shared" si="164"/>
        <v>=5.735*100000000</v>
      </c>
      <c r="V351" s="1">
        <f>5.735*100000000</f>
        <v>573500000</v>
      </c>
      <c r="W351" s="8">
        <f t="shared" si="165"/>
        <v>0.45965894629676762</v>
      </c>
      <c r="X351" s="6" t="s">
        <v>2810</v>
      </c>
      <c r="Y351" s="6" t="str">
        <f t="shared" si="166"/>
        <v>=3.929*100000000</v>
      </c>
      <c r="Z351" s="1">
        <f>3.929*100000000</f>
        <v>392900000</v>
      </c>
      <c r="AA351" s="8">
        <f t="shared" si="167"/>
        <v>1.004591836734694</v>
      </c>
      <c r="AB351" s="6" t="s">
        <v>4576</v>
      </c>
      <c r="AC351" s="6" t="str">
        <f t="shared" si="168"/>
        <v>=1.960*100000000</v>
      </c>
      <c r="AD351" s="1">
        <f>1.96*100000000</f>
        <v>196000000</v>
      </c>
      <c r="AE351" s="8">
        <f t="shared" si="169"/>
        <v>0.65400843881856541</v>
      </c>
      <c r="AF351" s="6" t="s">
        <v>4577</v>
      </c>
      <c r="AG351" s="6" t="str">
        <f t="shared" si="170"/>
        <v>=1.185*100000000</v>
      </c>
      <c r="AH351" s="1">
        <f>1.185*100000000</f>
        <v>118500000</v>
      </c>
      <c r="AI351" s="8">
        <f t="shared" si="171"/>
        <v>0.40352955110742628</v>
      </c>
      <c r="AJ351" s="7" t="s">
        <v>4578</v>
      </c>
      <c r="AK351" s="6" t="str">
        <f t="shared" si="172"/>
        <v>=8443*10000</v>
      </c>
      <c r="AL351" s="1">
        <f>8443*10000</f>
        <v>84430000</v>
      </c>
      <c r="AM351" s="8">
        <f t="shared" si="173"/>
        <v>-0.24683318465655665</v>
      </c>
      <c r="AN351" s="6" t="s">
        <v>3894</v>
      </c>
      <c r="AO351" s="6" t="str">
        <f t="shared" si="174"/>
        <v>=1.121*100000000</v>
      </c>
      <c r="AP351" s="1">
        <f>1.121*100000000</f>
        <v>112100000</v>
      </c>
      <c r="AQ351" s="8">
        <f t="shared" si="175"/>
        <v>3.1278748850046001E-2</v>
      </c>
      <c r="AR351" s="6" t="s">
        <v>4290</v>
      </c>
      <c r="AS351" s="6" t="str">
        <f t="shared" si="176"/>
        <v>=1.087*100000000</v>
      </c>
      <c r="AT351" s="1">
        <f>1.087*100000000</f>
        <v>108700000</v>
      </c>
      <c r="AU351" s="8">
        <f t="shared" si="177"/>
        <v>2.7410207939508508E-2</v>
      </c>
      <c r="AV351" s="6" t="s">
        <v>119</v>
      </c>
      <c r="AW351" s="6" t="str">
        <f t="shared" si="178"/>
        <v>=1.058*100000000</v>
      </c>
      <c r="AX351" s="1">
        <f>1.058*100000000</f>
        <v>105800000</v>
      </c>
      <c r="AY351" s="10">
        <f t="shared" si="179"/>
        <v>16.172536925823731</v>
      </c>
      <c r="AZ351" s="7" t="s">
        <v>4579</v>
      </c>
      <c r="BA351" s="6" t="str">
        <f t="shared" si="180"/>
        <v>=616.1*10000</v>
      </c>
      <c r="BB351" s="1">
        <f>616.1*10000</f>
        <v>6161000</v>
      </c>
      <c r="BC351" s="8">
        <f t="shared" si="181"/>
        <v>-0.96612974161627263</v>
      </c>
      <c r="BD351" s="6" t="s">
        <v>2041</v>
      </c>
      <c r="BE351" s="6" t="str">
        <f t="shared" si="182"/>
        <v>=1.819*100000000</v>
      </c>
      <c r="BF351" s="1">
        <f>1.819*100000000</f>
        <v>181900000</v>
      </c>
      <c r="BG351" s="8">
        <f t="shared" si="183"/>
        <v>6.7488262910798125E-2</v>
      </c>
      <c r="BH351" s="6" t="s">
        <v>3577</v>
      </c>
      <c r="BI351" s="6" t="str">
        <f t="shared" si="184"/>
        <v>=1.704*100000000</v>
      </c>
      <c r="BJ351" s="1">
        <f>1.704*100000000</f>
        <v>170400000</v>
      </c>
      <c r="BK351" s="7" t="s">
        <v>4580</v>
      </c>
      <c r="BL351" s="1" t="str">
        <f t="shared" si="156"/>
        <v>=8520*10000</v>
      </c>
      <c r="BM351" s="16">
        <f t="shared" si="185"/>
        <v>1</v>
      </c>
      <c r="BN351" s="1">
        <f>8520*10000</f>
        <v>85200000</v>
      </c>
    </row>
    <row r="352" spans="1:66">
      <c r="A352" s="18"/>
      <c r="B352">
        <v>600300</v>
      </c>
      <c r="C352" t="s">
        <v>58</v>
      </c>
      <c r="D352" s="6" t="s">
        <v>4026</v>
      </c>
      <c r="E352" s="7" t="str">
        <f t="shared" si="155"/>
        <v>=3.145*100000000</v>
      </c>
      <c r="F352" s="1">
        <f>3.145*100000000</f>
        <v>314500000</v>
      </c>
      <c r="G352" s="8">
        <f t="shared" si="157"/>
        <v>0.30714879467996675</v>
      </c>
      <c r="H352" s="6" t="s">
        <v>4581</v>
      </c>
      <c r="I352" s="6" t="str">
        <f t="shared" si="158"/>
        <v>=2.406*100000000</v>
      </c>
      <c r="J352" s="1">
        <f>2.406*100000000</f>
        <v>240600000</v>
      </c>
      <c r="K352" s="10">
        <f t="shared" si="159"/>
        <v>0.96247960848287117</v>
      </c>
      <c r="L352" s="6" t="s">
        <v>4582</v>
      </c>
      <c r="M352" s="6" t="str">
        <f t="shared" si="160"/>
        <v>=1.226*100000000</v>
      </c>
      <c r="N352" s="1">
        <f>1.226*100000000</f>
        <v>122600000</v>
      </c>
      <c r="O352" s="8">
        <f t="shared" si="161"/>
        <v>0.42475305055200463</v>
      </c>
      <c r="P352" s="7" t="s">
        <v>4583</v>
      </c>
      <c r="Q352" s="6" t="str">
        <f t="shared" si="162"/>
        <v>=8605*10000</v>
      </c>
      <c r="R352" s="11">
        <f>8605*10000</f>
        <v>86050000</v>
      </c>
      <c r="S352" s="8">
        <f t="shared" si="163"/>
        <v>-0.84061863308020002</v>
      </c>
      <c r="T352" s="6" t="s">
        <v>4584</v>
      </c>
      <c r="U352" s="6" t="str">
        <f t="shared" si="164"/>
        <v>=5.399*100000000</v>
      </c>
      <c r="V352" s="1">
        <f>5.399*100000000</f>
        <v>539900000</v>
      </c>
      <c r="W352" s="8">
        <f t="shared" si="165"/>
        <v>0.3091658583899129</v>
      </c>
      <c r="X352" s="6" t="s">
        <v>4411</v>
      </c>
      <c r="Y352" s="6" t="str">
        <f t="shared" si="166"/>
        <v>=4.124*100000000</v>
      </c>
      <c r="Z352" s="1">
        <f>4.124*100000000</f>
        <v>412399999.99999994</v>
      </c>
      <c r="AA352" s="8">
        <f t="shared" si="167"/>
        <v>0.92530345471521913</v>
      </c>
      <c r="AB352" s="6" t="s">
        <v>4585</v>
      </c>
      <c r="AC352" s="6" t="str">
        <f t="shared" si="168"/>
        <v>=2.142*100000000</v>
      </c>
      <c r="AD352" s="1">
        <f>2.142*100000000</f>
        <v>214200000</v>
      </c>
      <c r="AE352" s="8">
        <f t="shared" si="169"/>
        <v>0.60690172543135779</v>
      </c>
      <c r="AF352" s="6" t="s">
        <v>4282</v>
      </c>
      <c r="AG352" s="6" t="str">
        <f t="shared" si="170"/>
        <v>=1.333*100000000</v>
      </c>
      <c r="AH352" s="1">
        <f>1.333*100000000</f>
        <v>133300000</v>
      </c>
      <c r="AI352" s="8">
        <f t="shared" si="171"/>
        <v>0.50264908127606811</v>
      </c>
      <c r="AJ352" s="7" t="s">
        <v>4586</v>
      </c>
      <c r="AK352" s="6" t="str">
        <f t="shared" si="172"/>
        <v>=8871*10000</v>
      </c>
      <c r="AL352" s="1">
        <f>8871*10000</f>
        <v>88710000</v>
      </c>
      <c r="AM352" s="8">
        <f t="shared" si="173"/>
        <v>-0.24694397283531408</v>
      </c>
      <c r="AN352" s="6" t="s">
        <v>4587</v>
      </c>
      <c r="AO352" s="6" t="str">
        <f t="shared" si="174"/>
        <v>=1.178*100000000</v>
      </c>
      <c r="AP352" s="1">
        <f>1.178*100000000</f>
        <v>117800000</v>
      </c>
      <c r="AQ352" s="8">
        <f t="shared" si="175"/>
        <v>4.7111111111111111E-2</v>
      </c>
      <c r="AR352" s="6" t="s">
        <v>4588</v>
      </c>
      <c r="AS352" s="6" t="str">
        <f t="shared" si="176"/>
        <v>=1.125*100000000</v>
      </c>
      <c r="AT352" s="1">
        <f>1.125*100000000</f>
        <v>112500000</v>
      </c>
      <c r="AU352" s="8">
        <f t="shared" si="177"/>
        <v>6.3327032136105854E-2</v>
      </c>
      <c r="AV352" s="6" t="s">
        <v>119</v>
      </c>
      <c r="AW352" s="6" t="str">
        <f t="shared" si="178"/>
        <v>=1.058*100000000</v>
      </c>
      <c r="AX352" s="1">
        <f>1.058*100000000</f>
        <v>105800000</v>
      </c>
      <c r="AY352" s="10">
        <f t="shared" si="179"/>
        <v>0.87322946175637395</v>
      </c>
      <c r="AZ352" s="7" t="s">
        <v>4589</v>
      </c>
      <c r="BA352" s="6" t="str">
        <f t="shared" si="180"/>
        <v>=5648*10000</v>
      </c>
      <c r="BB352" s="1">
        <f>5648*10000</f>
        <v>56480000</v>
      </c>
      <c r="BC352" s="8">
        <f t="shared" si="181"/>
        <v>-0.6867443150305047</v>
      </c>
      <c r="BD352" s="6" t="s">
        <v>2975</v>
      </c>
      <c r="BE352" s="6" t="str">
        <f t="shared" si="182"/>
        <v>=1.803*100000000</v>
      </c>
      <c r="BF352" s="1">
        <f>1.803*100000000</f>
        <v>180300000</v>
      </c>
      <c r="BG352" s="8">
        <f t="shared" si="183"/>
        <v>6.623299822590184E-2</v>
      </c>
      <c r="BH352" s="6" t="s">
        <v>4590</v>
      </c>
      <c r="BI352" s="6" t="str">
        <f t="shared" si="184"/>
        <v>=1.691*100000000</v>
      </c>
      <c r="BJ352" s="1">
        <f>1.691*100000000</f>
        <v>169100000</v>
      </c>
      <c r="BK352" s="7" t="s">
        <v>4591</v>
      </c>
      <c r="BL352" s="1" t="str">
        <f t="shared" si="156"/>
        <v>=8484*10000</v>
      </c>
      <c r="BM352" s="16">
        <f t="shared" si="185"/>
        <v>0.99316360207449317</v>
      </c>
      <c r="BN352" s="1">
        <f>8484*10000</f>
        <v>84840000</v>
      </c>
    </row>
    <row r="353" spans="1:66">
      <c r="A353" s="19"/>
      <c r="B353">
        <v>600300</v>
      </c>
      <c r="C353" t="s">
        <v>68</v>
      </c>
      <c r="D353" s="6" t="s">
        <v>491</v>
      </c>
      <c r="E353" s="7" t="str">
        <f t="shared" si="155"/>
        <v>=2.234*100000000</v>
      </c>
      <c r="F353" s="1">
        <f>2.234*100000000</f>
        <v>223400000</v>
      </c>
      <c r="G353" s="8">
        <f t="shared" si="157"/>
        <v>0.27366020524515394</v>
      </c>
      <c r="H353" s="6" t="s">
        <v>4592</v>
      </c>
      <c r="I353" s="6" t="str">
        <f t="shared" si="158"/>
        <v>=1.754*100000000</v>
      </c>
      <c r="J353" s="1">
        <f>1.754*100000000</f>
        <v>175400000</v>
      </c>
      <c r="K353" s="10">
        <f t="shared" si="159"/>
        <v>0.93790741354546459</v>
      </c>
      <c r="L353" s="7" t="s">
        <v>4593</v>
      </c>
      <c r="M353" s="6" t="str">
        <f t="shared" si="160"/>
        <v>=9051*10000</v>
      </c>
      <c r="N353" s="1">
        <f>9051*10000</f>
        <v>90510000</v>
      </c>
      <c r="O353" s="8">
        <f t="shared" si="161"/>
        <v>0.41201248049921996</v>
      </c>
      <c r="P353" s="7" t="s">
        <v>4594</v>
      </c>
      <c r="Q353" s="6" t="str">
        <f t="shared" si="162"/>
        <v>=6410*10000</v>
      </c>
      <c r="R353" s="11">
        <f>6410*10000</f>
        <v>64100000</v>
      </c>
      <c r="S353" s="8">
        <f t="shared" si="163"/>
        <v>-0.85395306447938024</v>
      </c>
      <c r="T353" s="6" t="s">
        <v>4595</v>
      </c>
      <c r="U353" s="6" t="str">
        <f t="shared" si="164"/>
        <v>=4.389*100000000</v>
      </c>
      <c r="V353" s="1">
        <f>4.389*100000000</f>
        <v>438900000</v>
      </c>
      <c r="W353" s="8">
        <f t="shared" si="165"/>
        <v>0.37845477386934673</v>
      </c>
      <c r="X353" s="6" t="s">
        <v>4596</v>
      </c>
      <c r="Y353" s="6" t="str">
        <f t="shared" si="166"/>
        <v>=3.184*100000000</v>
      </c>
      <c r="Z353" s="1">
        <f>3.184*100000000</f>
        <v>318400000</v>
      </c>
      <c r="AA353" s="8">
        <f t="shared" si="167"/>
        <v>1.1645139360978927</v>
      </c>
      <c r="AB353" s="6" t="s">
        <v>4597</v>
      </c>
      <c r="AC353" s="6" t="str">
        <f t="shared" si="168"/>
        <v>=1.471*100000000</v>
      </c>
      <c r="AD353" s="1">
        <f>1.471*100000000</f>
        <v>147100000</v>
      </c>
      <c r="AE353" s="8">
        <f t="shared" si="169"/>
        <v>0.51088742810188992</v>
      </c>
      <c r="AF353" s="7" t="s">
        <v>4598</v>
      </c>
      <c r="AG353" s="6" t="str">
        <f t="shared" si="170"/>
        <v>=9736*10000</v>
      </c>
      <c r="AH353" s="1">
        <f>9736*10000</f>
        <v>97360000</v>
      </c>
      <c r="AI353" s="8">
        <f t="shared" si="171"/>
        <v>1.1814922697736949</v>
      </c>
      <c r="AJ353" s="7" t="s">
        <v>4599</v>
      </c>
      <c r="AK353" s="6" t="str">
        <f t="shared" si="172"/>
        <v>=4463*10000</v>
      </c>
      <c r="AL353" s="1">
        <f>4463*10000</f>
        <v>44630000</v>
      </c>
      <c r="AM353" s="8">
        <f t="shared" si="173"/>
        <v>-0.45380002447680823</v>
      </c>
      <c r="AN353" s="7" t="s">
        <v>4600</v>
      </c>
      <c r="AO353" s="6" t="str">
        <f t="shared" si="174"/>
        <v>=8171*10000</v>
      </c>
      <c r="AP353" s="1">
        <f>8171*10000</f>
        <v>81710000</v>
      </c>
      <c r="AQ353" s="8">
        <f t="shared" si="175"/>
        <v>-7.3897767199365291E-2</v>
      </c>
      <c r="AR353" s="7" t="s">
        <v>4601</v>
      </c>
      <c r="AS353" s="6" t="str">
        <f t="shared" si="176"/>
        <v>=8823*10000</v>
      </c>
      <c r="AT353" s="1">
        <f>8823*10000</f>
        <v>88230000</v>
      </c>
      <c r="AU353" s="8">
        <f t="shared" si="177"/>
        <v>-2.3139946855624448E-2</v>
      </c>
      <c r="AV353" s="7" t="s">
        <v>4602</v>
      </c>
      <c r="AW353" s="6" t="str">
        <f t="shared" si="178"/>
        <v>=9032*10000</v>
      </c>
      <c r="AX353" s="1">
        <f>9032*10000</f>
        <v>90320000</v>
      </c>
      <c r="AY353" s="10">
        <f t="shared" si="179"/>
        <v>1.769702545231524</v>
      </c>
      <c r="AZ353" s="7" t="s">
        <v>4603</v>
      </c>
      <c r="BA353" s="6" t="str">
        <f t="shared" si="180"/>
        <v>=3261*10000</v>
      </c>
      <c r="BB353" s="1">
        <f>3261*10000</f>
        <v>32610000</v>
      </c>
      <c r="BC353" s="8">
        <f t="shared" si="181"/>
        <v>-0.68583815028901729</v>
      </c>
      <c r="BD353" s="6" t="s">
        <v>1576</v>
      </c>
      <c r="BE353" s="6" t="str">
        <f t="shared" si="182"/>
        <v>=1.038*100000000</v>
      </c>
      <c r="BF353" s="1">
        <f>1.038*100000000</f>
        <v>103800000</v>
      </c>
      <c r="BG353" s="8">
        <f t="shared" si="183"/>
        <v>-6.1482820976491992E-2</v>
      </c>
      <c r="BH353" s="6" t="s">
        <v>3575</v>
      </c>
      <c r="BI353" s="6" t="str">
        <f t="shared" si="184"/>
        <v>=1.106*100000000</v>
      </c>
      <c r="BJ353" s="1">
        <f>1.106*100000000</f>
        <v>110600000.00000001</v>
      </c>
      <c r="BK353" s="7" t="s">
        <v>4604</v>
      </c>
      <c r="BL353" s="1" t="str">
        <f t="shared" si="156"/>
        <v>=5968*10000</v>
      </c>
      <c r="BM353" s="16">
        <f t="shared" si="185"/>
        <v>0.85321715817694399</v>
      </c>
      <c r="BN353" s="1">
        <f>5968*10000</f>
        <v>59680000</v>
      </c>
    </row>
    <row r="354" spans="1:66">
      <c r="A354" s="17">
        <v>89</v>
      </c>
      <c r="B354">
        <v>600306</v>
      </c>
      <c r="C354" t="s">
        <v>31</v>
      </c>
      <c r="D354" s="6" t="s">
        <v>4605</v>
      </c>
      <c r="E354" s="7" t="str">
        <f t="shared" si="155"/>
        <v>=1.523*100000000</v>
      </c>
      <c r="F354" s="1">
        <f>1.523*100000000</f>
        <v>152300000</v>
      </c>
      <c r="G354" s="8">
        <f t="shared" si="157"/>
        <v>0.39724770642201818</v>
      </c>
      <c r="H354" s="6" t="s">
        <v>4606</v>
      </c>
      <c r="I354" s="6" t="str">
        <f t="shared" si="158"/>
        <v>=1.090*100000000</v>
      </c>
      <c r="J354" s="1">
        <f>1.09*100000000</f>
        <v>109000000.00000001</v>
      </c>
      <c r="K354" s="10">
        <f t="shared" si="159"/>
        <v>0.52853737203758255</v>
      </c>
      <c r="L354" s="7" t="s">
        <v>4607</v>
      </c>
      <c r="M354" s="6" t="str">
        <f t="shared" si="160"/>
        <v>=7131*10000</v>
      </c>
      <c r="N354" s="1">
        <f>7131*10000</f>
        <v>71310000</v>
      </c>
      <c r="O354" s="8">
        <f t="shared" si="161"/>
        <v>0.97261410788381741</v>
      </c>
      <c r="P354" s="7" t="s">
        <v>4608</v>
      </c>
      <c r="Q354" s="6" t="str">
        <f t="shared" si="162"/>
        <v>=3615*10000</v>
      </c>
      <c r="R354" s="11">
        <f>3615*10000</f>
        <v>36150000</v>
      </c>
      <c r="S354" s="8">
        <f t="shared" si="163"/>
        <v>-0.81162063574778531</v>
      </c>
      <c r="T354" s="6" t="s">
        <v>4609</v>
      </c>
      <c r="U354" s="6" t="str">
        <f t="shared" si="164"/>
        <v>=1.919*100000000</v>
      </c>
      <c r="V354" s="1">
        <f>1.919*100000000</f>
        <v>191900000</v>
      </c>
      <c r="W354" s="8">
        <f t="shared" si="165"/>
        <v>0.32986832986832987</v>
      </c>
      <c r="X354" s="6" t="s">
        <v>1930</v>
      </c>
      <c r="Y354" s="6" t="str">
        <f t="shared" si="166"/>
        <v>=1.443*100000000</v>
      </c>
      <c r="Z354" s="1">
        <f>1.443*100000000</f>
        <v>144300000</v>
      </c>
      <c r="AA354" s="8">
        <f t="shared" si="167"/>
        <v>0.45728135730155522</v>
      </c>
      <c r="AB354" s="7" t="s">
        <v>4610</v>
      </c>
      <c r="AC354" s="6" t="str">
        <f t="shared" si="168"/>
        <v>=9902*10000</v>
      </c>
      <c r="AD354" s="1">
        <f>9902*10000</f>
        <v>99020000</v>
      </c>
      <c r="AE354" s="8">
        <f t="shared" si="169"/>
        <v>0.93701095461658845</v>
      </c>
      <c r="AF354" s="7" t="s">
        <v>4611</v>
      </c>
      <c r="AG354" s="6" t="str">
        <f t="shared" si="170"/>
        <v>=5112*10000</v>
      </c>
      <c r="AH354" s="1">
        <f>5112*10000</f>
        <v>51120000</v>
      </c>
      <c r="AI354" s="8">
        <f t="shared" si="171"/>
        <v>-0.9486643904398474</v>
      </c>
      <c r="AJ354" s="6" t="s">
        <v>4612</v>
      </c>
      <c r="AK354" s="6" t="str">
        <f t="shared" si="172"/>
        <v>=9.958*100000000</v>
      </c>
      <c r="AL354" s="1">
        <f>9.958*100000000</f>
        <v>995800000</v>
      </c>
      <c r="AM354" s="8">
        <f t="shared" si="173"/>
        <v>0.34313461019692476</v>
      </c>
      <c r="AN354" s="6" t="s">
        <v>4613</v>
      </c>
      <c r="AO354" s="6" t="str">
        <f t="shared" si="174"/>
        <v>=7.414*100000000</v>
      </c>
      <c r="AP354" s="1">
        <f>7.414*100000000</f>
        <v>741400000</v>
      </c>
      <c r="AQ354" s="8">
        <f t="shared" si="175"/>
        <v>0.40336929774749181</v>
      </c>
      <c r="AR354" s="6" t="s">
        <v>4009</v>
      </c>
      <c r="AS354" s="6" t="str">
        <f t="shared" si="176"/>
        <v>=5.283*100000000</v>
      </c>
      <c r="AT354" s="1">
        <f>5.283*100000000</f>
        <v>528300000.00000006</v>
      </c>
      <c r="AU354" s="8">
        <f t="shared" si="177"/>
        <v>0.80738966814916202</v>
      </c>
      <c r="AV354" s="6" t="s">
        <v>3831</v>
      </c>
      <c r="AW354" s="6" t="str">
        <f t="shared" si="178"/>
        <v>=2.923*100000000</v>
      </c>
      <c r="AX354" s="1">
        <f>2.923*100000000</f>
        <v>292300000</v>
      </c>
      <c r="AY354" s="10">
        <f t="shared" si="179"/>
        <v>-0.70673221631383565</v>
      </c>
      <c r="AZ354" s="6" t="s">
        <v>1322</v>
      </c>
      <c r="BA354" s="6" t="str">
        <f t="shared" si="180"/>
        <v>=9.967*100000000</v>
      </c>
      <c r="BB354" s="1">
        <f>9.967*100000000</f>
        <v>996700000</v>
      </c>
      <c r="BC354" s="8">
        <f t="shared" si="181"/>
        <v>0.44302881135080352</v>
      </c>
      <c r="BD354" s="6" t="s">
        <v>2363</v>
      </c>
      <c r="BE354" s="6" t="str">
        <f t="shared" si="182"/>
        <v>=6.907*100000000</v>
      </c>
      <c r="BF354" s="1">
        <f>6.907*100000000</f>
        <v>690700000</v>
      </c>
      <c r="BG354" s="8">
        <f t="shared" si="183"/>
        <v>0.52708379394207405</v>
      </c>
      <c r="BH354" s="6" t="s">
        <v>4614</v>
      </c>
      <c r="BI354" s="6" t="str">
        <f t="shared" si="184"/>
        <v>=4.523*100000000</v>
      </c>
      <c r="BJ354" s="1">
        <f>4.523*100000000</f>
        <v>452299999.99999994</v>
      </c>
      <c r="BK354" s="6" t="s">
        <v>1990</v>
      </c>
      <c r="BL354" s="1" t="str">
        <f t="shared" si="156"/>
        <v>=2.405*100000000</v>
      </c>
      <c r="BM354" s="16">
        <f t="shared" si="185"/>
        <v>0.8806652806652806</v>
      </c>
      <c r="BN354" s="1">
        <f>2.405*100000000</f>
        <v>240499999.99999997</v>
      </c>
    </row>
    <row r="355" spans="1:66">
      <c r="A355" s="18"/>
      <c r="B355">
        <v>600306</v>
      </c>
      <c r="C355" t="s">
        <v>48</v>
      </c>
      <c r="D355" s="6">
        <f>-1.027*100000000</f>
        <v>-102699999.99999999</v>
      </c>
      <c r="E355" s="7" t="str">
        <f t="shared" si="155"/>
        <v>=-102700000</v>
      </c>
      <c r="F355" s="1">
        <f>-102700000</f>
        <v>-102700000</v>
      </c>
      <c r="G355" s="8">
        <f t="shared" si="157"/>
        <v>0.864560639070443</v>
      </c>
      <c r="H355" s="7">
        <f>-5508*10000</f>
        <v>-55080000</v>
      </c>
      <c r="I355" s="6" t="str">
        <f t="shared" si="158"/>
        <v>=-55080000</v>
      </c>
      <c r="J355" s="1">
        <f>-55080000</f>
        <v>-55080000</v>
      </c>
      <c r="K355" s="10">
        <f t="shared" si="159"/>
        <v>0.47826086956521741</v>
      </c>
      <c r="L355" s="7">
        <f>-3726*10000</f>
        <v>-37260000</v>
      </c>
      <c r="M355" s="6" t="str">
        <f t="shared" si="160"/>
        <v>=-37260000</v>
      </c>
      <c r="N355" s="1">
        <f>-37260000</f>
        <v>-37260000</v>
      </c>
      <c r="O355" s="8">
        <f t="shared" si="161"/>
        <v>1.2957486136783734</v>
      </c>
      <c r="P355" s="7">
        <f>-1623*10000</f>
        <v>-16230000</v>
      </c>
      <c r="Q355" s="6" t="str">
        <f t="shared" si="162"/>
        <v>=-16230000</v>
      </c>
      <c r="R355" s="11">
        <f>-16230000</f>
        <v>-16230000</v>
      </c>
      <c r="S355" s="8">
        <f t="shared" si="163"/>
        <v>-0.87399068322981366</v>
      </c>
      <c r="T355" s="6">
        <f>-1.288*100000000</f>
        <v>-128800000</v>
      </c>
      <c r="U355" s="6" t="str">
        <f t="shared" si="164"/>
        <v>=-128800000</v>
      </c>
      <c r="V355" s="1">
        <f>-128800000</f>
        <v>-128800000</v>
      </c>
      <c r="W355" s="8">
        <f t="shared" si="165"/>
        <v>0.33471502590673574</v>
      </c>
      <c r="X355" s="7">
        <f>-9650*10000</f>
        <v>-96500000</v>
      </c>
      <c r="Y355" s="6" t="str">
        <f t="shared" si="166"/>
        <v>=-96500000</v>
      </c>
      <c r="Z355" s="1">
        <f>-96500000</f>
        <v>-96500000</v>
      </c>
      <c r="AA355" s="8">
        <f t="shared" si="167"/>
        <v>0.5047559644472166</v>
      </c>
      <c r="AB355" s="7">
        <f>-6413*10000</f>
        <v>-64130000</v>
      </c>
      <c r="AC355" s="6" t="str">
        <f t="shared" si="168"/>
        <v>=-64130000</v>
      </c>
      <c r="AD355" s="1">
        <f>-64130000</f>
        <v>-64130000</v>
      </c>
      <c r="AE355" s="8">
        <f t="shared" si="169"/>
        <v>2.0920925747348118</v>
      </c>
      <c r="AF355" s="7">
        <f>-2074*10000</f>
        <v>-20740000</v>
      </c>
      <c r="AG355" s="6" t="str">
        <f t="shared" si="170"/>
        <v>=-20740000</v>
      </c>
      <c r="AH355" s="1">
        <f>-20740000</f>
        <v>-20740000</v>
      </c>
      <c r="AI355" s="8">
        <f t="shared" si="171"/>
        <v>-0.78373305526590198</v>
      </c>
      <c r="AJ355" s="7">
        <f>-9590*10000</f>
        <v>-95900000</v>
      </c>
      <c r="AK355" s="6" t="str">
        <f t="shared" si="172"/>
        <v>=-95900000</v>
      </c>
      <c r="AL355" s="1">
        <f>-95900000</f>
        <v>-95900000</v>
      </c>
      <c r="AM355" s="8">
        <f t="shared" si="173"/>
        <v>0.34389013452914796</v>
      </c>
      <c r="AN355" s="7">
        <f>-7136*10000</f>
        <v>-71360000</v>
      </c>
      <c r="AO355" s="6" t="str">
        <f t="shared" si="174"/>
        <v>=-71360000</v>
      </c>
      <c r="AP355" s="1">
        <f>-71360000</f>
        <v>-71360000</v>
      </c>
      <c r="AQ355" s="8">
        <f t="shared" si="175"/>
        <v>0.63369963369963367</v>
      </c>
      <c r="AR355" s="7">
        <f>-4368*10000</f>
        <v>-43680000</v>
      </c>
      <c r="AS355" s="6" t="str">
        <f t="shared" si="176"/>
        <v>=-43680000</v>
      </c>
      <c r="AT355" s="1">
        <f>-43680000</f>
        <v>-43680000</v>
      </c>
      <c r="AU355" s="8">
        <f t="shared" si="177"/>
        <v>1.6472727272727272</v>
      </c>
      <c r="AV355" s="7">
        <f>-1650*10000</f>
        <v>-16500000</v>
      </c>
      <c r="AW355" s="6" t="str">
        <f t="shared" si="178"/>
        <v>=-16500000</v>
      </c>
      <c r="AX355" s="1">
        <f>-16500000</f>
        <v>-16500000</v>
      </c>
      <c r="AY355" s="10">
        <f t="shared" si="179"/>
        <v>-0.86192468619246865</v>
      </c>
      <c r="AZ355" s="6">
        <f>-1.195*100000000</f>
        <v>-119500000</v>
      </c>
      <c r="BA355" s="6" t="str">
        <f t="shared" si="180"/>
        <v>=-119500000</v>
      </c>
      <c r="BB355" s="1">
        <f>-119500000</f>
        <v>-119500000</v>
      </c>
      <c r="BC355" s="8">
        <f t="shared" si="181"/>
        <v>0.43405736229449177</v>
      </c>
      <c r="BD355" s="7">
        <f>-8333*10000</f>
        <v>-83330000</v>
      </c>
      <c r="BE355" s="6" t="str">
        <f t="shared" si="182"/>
        <v>=-83330000</v>
      </c>
      <c r="BF355" s="1">
        <f>-83330000</f>
        <v>-83330000</v>
      </c>
      <c r="BG355" s="8">
        <f t="shared" si="183"/>
        <v>0.60682607018897028</v>
      </c>
      <c r="BH355" s="7">
        <f>-5186*10000</f>
        <v>-51860000</v>
      </c>
      <c r="BI355" s="6" t="str">
        <f t="shared" si="184"/>
        <v>=-51860000</v>
      </c>
      <c r="BJ355" s="1">
        <f>-51860000</f>
        <v>-51860000</v>
      </c>
      <c r="BK355" s="7">
        <f>-2235*10000</f>
        <v>-22350000</v>
      </c>
      <c r="BL355" s="1" t="str">
        <f t="shared" si="156"/>
        <v>=-22350000</v>
      </c>
      <c r="BM355" s="16">
        <f t="shared" si="185"/>
        <v>1.320357941834452</v>
      </c>
      <c r="BN355" s="1">
        <f>-22350000</f>
        <v>-22350000</v>
      </c>
    </row>
    <row r="356" spans="1:66">
      <c r="A356" s="18"/>
      <c r="B356">
        <v>600306</v>
      </c>
      <c r="C356" t="s">
        <v>58</v>
      </c>
      <c r="D356" s="6">
        <f>-1.036*100000000</f>
        <v>-103600000</v>
      </c>
      <c r="E356" s="7" t="str">
        <f t="shared" si="155"/>
        <v>=-103600000</v>
      </c>
      <c r="F356" s="1">
        <f>-103600000</f>
        <v>-103600000</v>
      </c>
      <c r="G356" s="8">
        <f t="shared" si="157"/>
        <v>0.84079601990049746</v>
      </c>
      <c r="H356" s="7">
        <f>-5628*10000</f>
        <v>-56280000</v>
      </c>
      <c r="I356" s="6" t="str">
        <f t="shared" si="158"/>
        <v>=-56280000</v>
      </c>
      <c r="J356" s="1">
        <f>-56280000</f>
        <v>-56280000</v>
      </c>
      <c r="K356" s="10">
        <f t="shared" si="159"/>
        <v>0.45878693623639194</v>
      </c>
      <c r="L356" s="7">
        <f>-3858*10000</f>
        <v>-38580000</v>
      </c>
      <c r="M356" s="6" t="str">
        <f t="shared" si="160"/>
        <v>=-38580000</v>
      </c>
      <c r="N356" s="1">
        <f>-38580000</f>
        <v>-38580000</v>
      </c>
      <c r="O356" s="8">
        <f t="shared" si="161"/>
        <v>1.3770794824399262</v>
      </c>
      <c r="P356" s="7">
        <f>-1623*10000</f>
        <v>-16230000</v>
      </c>
      <c r="Q356" s="6" t="str">
        <f t="shared" si="162"/>
        <v>=-16230000</v>
      </c>
      <c r="R356" s="11">
        <f>-16230000</f>
        <v>-16230000</v>
      </c>
      <c r="S356" s="8">
        <f t="shared" si="163"/>
        <v>-0.88814610613370093</v>
      </c>
      <c r="T356" s="6">
        <f>-1.451*100000000</f>
        <v>-145100000</v>
      </c>
      <c r="U356" s="6" t="str">
        <f t="shared" si="164"/>
        <v>=-145100000</v>
      </c>
      <c r="V356" s="1">
        <f>-145100000</f>
        <v>-145100000</v>
      </c>
      <c r="W356" s="8">
        <f t="shared" si="165"/>
        <v>0.50175947008900845</v>
      </c>
      <c r="X356" s="7">
        <f>-9662*10000</f>
        <v>-96620000</v>
      </c>
      <c r="Y356" s="6" t="str">
        <f t="shared" si="166"/>
        <v>=-96620000</v>
      </c>
      <c r="Z356" s="1">
        <f>-96620000</f>
        <v>-96620000</v>
      </c>
      <c r="AA356" s="8">
        <f t="shared" si="167"/>
        <v>0.50592269326683292</v>
      </c>
      <c r="AB356" s="7">
        <f>-6416*10000</f>
        <v>-64160000</v>
      </c>
      <c r="AC356" s="6" t="str">
        <f t="shared" si="168"/>
        <v>=-64160000</v>
      </c>
      <c r="AD356" s="1">
        <f>-64160000</f>
        <v>-64160000</v>
      </c>
      <c r="AE356" s="8">
        <f t="shared" si="169"/>
        <v>2.086099086099086</v>
      </c>
      <c r="AF356" s="7">
        <f>-2079*10000</f>
        <v>-20790000</v>
      </c>
      <c r="AG356" s="6" t="str">
        <f t="shared" si="170"/>
        <v>=-20790000</v>
      </c>
      <c r="AH356" s="1">
        <f>-20790000</f>
        <v>-20790000</v>
      </c>
      <c r="AI356" s="8">
        <f t="shared" si="171"/>
        <v>-0.78280401170079394</v>
      </c>
      <c r="AJ356" s="7">
        <f>-9572*10000</f>
        <v>-95720000</v>
      </c>
      <c r="AK356" s="6" t="str">
        <f t="shared" si="172"/>
        <v>=-95720000</v>
      </c>
      <c r="AL356" s="1">
        <f>-95720000</f>
        <v>-95720000</v>
      </c>
      <c r="AM356" s="8">
        <f t="shared" si="173"/>
        <v>0.33949062412538483</v>
      </c>
      <c r="AN356" s="7">
        <f>-7146*10000</f>
        <v>-71460000</v>
      </c>
      <c r="AO356" s="6" t="str">
        <f t="shared" si="174"/>
        <v>=-71460000</v>
      </c>
      <c r="AP356" s="1">
        <f>-71460000</f>
        <v>-71460000</v>
      </c>
      <c r="AQ356" s="8">
        <f t="shared" si="175"/>
        <v>0.63113444419082398</v>
      </c>
      <c r="AR356" s="7">
        <f>-4381*10000</f>
        <v>-43810000</v>
      </c>
      <c r="AS356" s="6" t="str">
        <f t="shared" si="176"/>
        <v>=-43810000</v>
      </c>
      <c r="AT356" s="1">
        <f>-43810000</f>
        <v>-43810000</v>
      </c>
      <c r="AU356" s="8">
        <f t="shared" si="177"/>
        <v>1.6567616737416617</v>
      </c>
      <c r="AV356" s="7">
        <f>-1649*10000</f>
        <v>-16490000</v>
      </c>
      <c r="AW356" s="6" t="str">
        <f t="shared" si="178"/>
        <v>=-16490000</v>
      </c>
      <c r="AX356" s="1">
        <f>-16490000</f>
        <v>-16490000</v>
      </c>
      <c r="AY356" s="10">
        <f t="shared" si="179"/>
        <v>-0.86439144736842111</v>
      </c>
      <c r="AZ356" s="6">
        <f>-1.216*100000000</f>
        <v>-121600000</v>
      </c>
      <c r="BA356" s="6" t="str">
        <f t="shared" si="180"/>
        <v>=-121600000</v>
      </c>
      <c r="BB356" s="1">
        <f>-121600000</f>
        <v>-121600000</v>
      </c>
      <c r="BC356" s="8">
        <f t="shared" si="181"/>
        <v>0.46294513955726663</v>
      </c>
      <c r="BD356" s="7">
        <f>-8312*10000</f>
        <v>-83120000</v>
      </c>
      <c r="BE356" s="6" t="str">
        <f t="shared" si="182"/>
        <v>=-83120000</v>
      </c>
      <c r="BF356" s="1">
        <f>-83120000</f>
        <v>-83120000</v>
      </c>
      <c r="BG356" s="8">
        <f t="shared" si="183"/>
        <v>0.60960495739736642</v>
      </c>
      <c r="BH356" s="7">
        <f>-5164*10000</f>
        <v>-51640000</v>
      </c>
      <c r="BI356" s="6" t="str">
        <f t="shared" si="184"/>
        <v>=-51640000</v>
      </c>
      <c r="BJ356" s="1">
        <f>-51640000</f>
        <v>-51640000</v>
      </c>
      <c r="BK356" s="7">
        <f>-2235*10000</f>
        <v>-22350000</v>
      </c>
      <c r="BL356" s="1" t="str">
        <f t="shared" si="156"/>
        <v>=-22350000</v>
      </c>
      <c r="BM356" s="16">
        <f t="shared" si="185"/>
        <v>1.3105145413870245</v>
      </c>
      <c r="BN356" s="1">
        <f>-22350000</f>
        <v>-22350000</v>
      </c>
    </row>
    <row r="357" spans="1:66">
      <c r="A357" s="19"/>
      <c r="B357">
        <v>600306</v>
      </c>
      <c r="C357" t="s">
        <v>68</v>
      </c>
      <c r="D357" s="6">
        <f>-1.057*100000000</f>
        <v>-105700000</v>
      </c>
      <c r="E357" s="7" t="str">
        <f t="shared" si="155"/>
        <v>=-105700000</v>
      </c>
      <c r="F357" s="1">
        <f>-105700000</f>
        <v>-105700000</v>
      </c>
      <c r="G357" s="8">
        <f t="shared" si="157"/>
        <v>0.81210354877421564</v>
      </c>
      <c r="H357" s="7">
        <f>-5833*10000</f>
        <v>-58330000</v>
      </c>
      <c r="I357" s="6" t="str">
        <f t="shared" si="158"/>
        <v>=-58330000</v>
      </c>
      <c r="J357" s="1">
        <f>-58330000</f>
        <v>-58330000</v>
      </c>
      <c r="K357" s="10">
        <f t="shared" si="159"/>
        <v>0.47409653778114735</v>
      </c>
      <c r="L357" s="7">
        <f>-3957*10000</f>
        <v>-39570000</v>
      </c>
      <c r="M357" s="6" t="str">
        <f t="shared" si="160"/>
        <v>=-39570000</v>
      </c>
      <c r="N357" s="1">
        <f>-39570000</f>
        <v>-39570000</v>
      </c>
      <c r="O357" s="8">
        <f t="shared" si="161"/>
        <v>1.3032596041909197</v>
      </c>
      <c r="P357" s="7">
        <f>-1718*10000</f>
        <v>-17180000</v>
      </c>
      <c r="Q357" s="6" t="str">
        <f t="shared" si="162"/>
        <v>=-17180000</v>
      </c>
      <c r="R357" s="11">
        <f>-17180000</f>
        <v>-17180000</v>
      </c>
      <c r="S357" s="8">
        <f t="shared" si="163"/>
        <v>-0.88477531857813552</v>
      </c>
      <c r="T357" s="6">
        <f>-1.491*100000000</f>
        <v>-149100000</v>
      </c>
      <c r="U357" s="6" t="str">
        <f t="shared" si="164"/>
        <v>=-149100000</v>
      </c>
      <c r="V357" s="1">
        <f>-149100000</f>
        <v>-149100000</v>
      </c>
      <c r="W357" s="8">
        <f t="shared" si="165"/>
        <v>0.50302419354838712</v>
      </c>
      <c r="X357" s="7">
        <f>-9920*10000</f>
        <v>-99200000</v>
      </c>
      <c r="Y357" s="6" t="str">
        <f t="shared" si="166"/>
        <v>=-99200000</v>
      </c>
      <c r="Z357" s="1">
        <f>-99200000</f>
        <v>-99200000</v>
      </c>
      <c r="AA357" s="8">
        <f t="shared" si="167"/>
        <v>0.50989345509893458</v>
      </c>
      <c r="AB357" s="7">
        <f>-6570*10000</f>
        <v>-65700000</v>
      </c>
      <c r="AC357" s="6" t="str">
        <f t="shared" si="168"/>
        <v>=-65700000</v>
      </c>
      <c r="AD357" s="1">
        <f>-65700000</f>
        <v>-65700000</v>
      </c>
      <c r="AE357" s="8">
        <f t="shared" si="169"/>
        <v>1.9070796460176991</v>
      </c>
      <c r="AF357" s="7">
        <f>-2260*10000</f>
        <v>-22600000</v>
      </c>
      <c r="AG357" s="6" t="str">
        <f t="shared" si="170"/>
        <v>=-22600000</v>
      </c>
      <c r="AH357" s="1">
        <f>-22600000</f>
        <v>-22600000</v>
      </c>
      <c r="AI357" s="8">
        <f t="shared" si="171"/>
        <v>-0.78699340245051841</v>
      </c>
      <c r="AJ357" s="6">
        <f>-1.061*100000000</f>
        <v>-106100000</v>
      </c>
      <c r="AK357" s="6" t="str">
        <f t="shared" si="172"/>
        <v>=-106100000</v>
      </c>
      <c r="AL357" s="1">
        <f>-106100000</f>
        <v>-106100000</v>
      </c>
      <c r="AM357" s="8">
        <f t="shared" si="173"/>
        <v>0.36410388274620725</v>
      </c>
      <c r="AN357" s="7">
        <f>-7778*10000</f>
        <v>-77780000</v>
      </c>
      <c r="AO357" s="6" t="str">
        <f t="shared" si="174"/>
        <v>=-77780000</v>
      </c>
      <c r="AP357" s="1">
        <f>-77780000</f>
        <v>-77780000</v>
      </c>
      <c r="AQ357" s="8">
        <f t="shared" si="175"/>
        <v>0.59189521080638563</v>
      </c>
      <c r="AR357" s="7">
        <f>-4886*10000</f>
        <v>-48860000</v>
      </c>
      <c r="AS357" s="6" t="str">
        <f t="shared" si="176"/>
        <v>=-48860000</v>
      </c>
      <c r="AT357" s="1">
        <f>-48860000</f>
        <v>-48860000</v>
      </c>
      <c r="AU357" s="8">
        <f t="shared" si="177"/>
        <v>1.5172591447707366</v>
      </c>
      <c r="AV357" s="7">
        <f>-1941*10000</f>
        <v>-19410000</v>
      </c>
      <c r="AW357" s="6" t="str">
        <f t="shared" si="178"/>
        <v>=-19410000</v>
      </c>
      <c r="AX357" s="1">
        <f>-19410000</f>
        <v>-19410000</v>
      </c>
      <c r="AY357" s="10">
        <f t="shared" si="179"/>
        <v>-0.84788401253918499</v>
      </c>
      <c r="AZ357" s="6">
        <f>-1.276*100000000</f>
        <v>-127600000</v>
      </c>
      <c r="BA357" s="6" t="str">
        <f t="shared" si="180"/>
        <v>=-127600000</v>
      </c>
      <c r="BB357" s="1">
        <f>-127600000</f>
        <v>-127600000</v>
      </c>
      <c r="BC357" s="8">
        <f t="shared" si="181"/>
        <v>0.47719379485992131</v>
      </c>
      <c r="BD357" s="7">
        <f>-8638*10000</f>
        <v>-86380000</v>
      </c>
      <c r="BE357" s="6" t="str">
        <f t="shared" si="182"/>
        <v>=-86380000</v>
      </c>
      <c r="BF357" s="1">
        <f>-86380000</f>
        <v>-86380000</v>
      </c>
      <c r="BG357" s="8">
        <f t="shared" si="183"/>
        <v>0.58874379253264664</v>
      </c>
      <c r="BH357" s="7">
        <f>-5437*10000</f>
        <v>-54370000</v>
      </c>
      <c r="BI357" s="6" t="str">
        <f t="shared" si="184"/>
        <v>=-54370000</v>
      </c>
      <c r="BJ357" s="1">
        <f>-54370000</f>
        <v>-54370000</v>
      </c>
      <c r="BK357" s="7">
        <f>-2439*10000</f>
        <v>-24390000</v>
      </c>
      <c r="BL357" s="1" t="str">
        <f t="shared" si="156"/>
        <v>=-24390000</v>
      </c>
      <c r="BM357" s="16">
        <f t="shared" si="185"/>
        <v>1.2291922919229192</v>
      </c>
      <c r="BN357" s="1">
        <f>-24390000</f>
        <v>-24390000</v>
      </c>
    </row>
    <row r="358" spans="1:66">
      <c r="A358" s="17">
        <v>90</v>
      </c>
      <c r="B358">
        <v>600308</v>
      </c>
      <c r="C358" t="s">
        <v>31</v>
      </c>
      <c r="D358" s="6" t="s">
        <v>4615</v>
      </c>
      <c r="E358" s="7" t="str">
        <f t="shared" si="155"/>
        <v>=149.0*100000000</v>
      </c>
      <c r="F358" s="1">
        <f>149*100000000</f>
        <v>14900000000</v>
      </c>
      <c r="G358" s="8">
        <f t="shared" si="157"/>
        <v>0.33632286995515698</v>
      </c>
      <c r="H358" s="6" t="s">
        <v>4616</v>
      </c>
      <c r="I358" s="6" t="str">
        <f t="shared" si="158"/>
        <v>=111.5*100000000</v>
      </c>
      <c r="J358" s="1">
        <f>111.5*100000000</f>
        <v>11150000000</v>
      </c>
      <c r="K358" s="10">
        <f t="shared" si="159"/>
        <v>0.49543991416309013</v>
      </c>
      <c r="L358" s="6" t="s">
        <v>4617</v>
      </c>
      <c r="M358" s="6" t="str">
        <f t="shared" si="160"/>
        <v>=74.56*100000000</v>
      </c>
      <c r="N358" s="1">
        <f>74.56*100000000</f>
        <v>7456000000</v>
      </c>
      <c r="O358" s="8">
        <f t="shared" si="161"/>
        <v>0.9098360655737705</v>
      </c>
      <c r="P358" s="6" t="s">
        <v>1333</v>
      </c>
      <c r="Q358" s="6" t="str">
        <f t="shared" si="162"/>
        <v>=39.04*100000000</v>
      </c>
      <c r="R358" s="11">
        <f>39.04*100000000</f>
        <v>3904000000</v>
      </c>
      <c r="S358" s="8">
        <f t="shared" si="163"/>
        <v>-0.68285946385052798</v>
      </c>
      <c r="T358" s="6" t="s">
        <v>4618</v>
      </c>
      <c r="U358" s="6" t="str">
        <f t="shared" si="164"/>
        <v>=123.1*100000000</v>
      </c>
      <c r="V358" s="1">
        <f>123.1*100000000</f>
        <v>12310000000</v>
      </c>
      <c r="W358" s="8">
        <f t="shared" si="165"/>
        <v>0.38782412626832019</v>
      </c>
      <c r="X358" s="6" t="s">
        <v>4619</v>
      </c>
      <c r="Y358" s="6" t="str">
        <f t="shared" si="166"/>
        <v>=88.70*100000000</v>
      </c>
      <c r="Z358" s="1">
        <f>88.7*100000000</f>
        <v>8870000000</v>
      </c>
      <c r="AA358" s="8">
        <f t="shared" si="167"/>
        <v>0.64716805942432687</v>
      </c>
      <c r="AB358" s="6" t="s">
        <v>4620</v>
      </c>
      <c r="AC358" s="6" t="str">
        <f t="shared" si="168"/>
        <v>=53.85*100000000</v>
      </c>
      <c r="AD358" s="1">
        <f>53.85*100000000</f>
        <v>5385000000</v>
      </c>
      <c r="AE358" s="8">
        <f t="shared" si="169"/>
        <v>1.0839783281733746</v>
      </c>
      <c r="AF358" s="6" t="s">
        <v>4621</v>
      </c>
      <c r="AG358" s="6" t="str">
        <f t="shared" si="170"/>
        <v>=25.84*100000000</v>
      </c>
      <c r="AH358" s="1">
        <f>25.84*100000000</f>
        <v>2584000000</v>
      </c>
      <c r="AI358" s="8">
        <f t="shared" si="171"/>
        <v>-0.80915805022156573</v>
      </c>
      <c r="AJ358" s="6" t="s">
        <v>4622</v>
      </c>
      <c r="AK358" s="6" t="str">
        <f t="shared" si="172"/>
        <v>=135.4*100000000</v>
      </c>
      <c r="AL358" s="1">
        <f>135.4*100000000</f>
        <v>13540000000</v>
      </c>
      <c r="AM358" s="8">
        <f t="shared" si="173"/>
        <v>0.3472636815920398</v>
      </c>
      <c r="AN358" s="6" t="s">
        <v>4623</v>
      </c>
      <c r="AO358" s="6" t="str">
        <f t="shared" si="174"/>
        <v>=100.5*100000000</v>
      </c>
      <c r="AP358" s="1">
        <f>100.5*100000000</f>
        <v>10050000000</v>
      </c>
      <c r="AQ358" s="8">
        <f t="shared" si="175"/>
        <v>0.53505422330838548</v>
      </c>
      <c r="AR358" s="6" t="s">
        <v>4624</v>
      </c>
      <c r="AS358" s="6" t="str">
        <f t="shared" si="176"/>
        <v>=65.47*100000000</v>
      </c>
      <c r="AT358" s="1">
        <f>65.47*100000000</f>
        <v>6547000000</v>
      </c>
      <c r="AU358" s="8">
        <f t="shared" si="177"/>
        <v>1.0601006922592826</v>
      </c>
      <c r="AV358" s="6" t="s">
        <v>4625</v>
      </c>
      <c r="AW358" s="6" t="str">
        <f t="shared" si="178"/>
        <v>=31.78*100000000</v>
      </c>
      <c r="AX358" s="1">
        <f>31.78*100000000</f>
        <v>3178000000</v>
      </c>
      <c r="AY358" s="10">
        <f t="shared" si="179"/>
        <v>-0.78468834688346889</v>
      </c>
      <c r="AZ358" s="6" t="s">
        <v>4626</v>
      </c>
      <c r="BA358" s="6" t="str">
        <f t="shared" si="180"/>
        <v>=147.6*100000000</v>
      </c>
      <c r="BB358" s="1">
        <f>147.6*100000000</f>
        <v>14760000000</v>
      </c>
      <c r="BC358" s="8">
        <f t="shared" si="181"/>
        <v>0.32614555256064692</v>
      </c>
      <c r="BD358" s="6" t="s">
        <v>4627</v>
      </c>
      <c r="BE358" s="6" t="str">
        <f t="shared" si="182"/>
        <v>=111.3*100000000</v>
      </c>
      <c r="BF358" s="1">
        <f>111.3*100000000</f>
        <v>11130000000</v>
      </c>
      <c r="BG358" s="8">
        <f t="shared" si="183"/>
        <v>0.49979787090688604</v>
      </c>
      <c r="BH358" s="6" t="s">
        <v>4628</v>
      </c>
      <c r="BI358" s="6" t="str">
        <f t="shared" si="184"/>
        <v>=74.21*100000000</v>
      </c>
      <c r="BJ358" s="1">
        <f>74.21*100000000</f>
        <v>7420999999.999999</v>
      </c>
      <c r="BK358" s="6" t="s">
        <v>4426</v>
      </c>
      <c r="BL358" s="1" t="str">
        <f t="shared" si="156"/>
        <v>=36.76*100000000</v>
      </c>
      <c r="BM358" s="16">
        <f t="shared" si="185"/>
        <v>1.0187704026115341</v>
      </c>
      <c r="BN358" s="1">
        <f>36.76*100000000</f>
        <v>3676000000</v>
      </c>
    </row>
    <row r="359" spans="1:66">
      <c r="A359" s="18"/>
      <c r="B359">
        <v>600308</v>
      </c>
      <c r="C359" t="s">
        <v>48</v>
      </c>
      <c r="D359" s="6" t="s">
        <v>4629</v>
      </c>
      <c r="E359" s="7" t="str">
        <f t="shared" si="155"/>
        <v>=10.14*100000000</v>
      </c>
      <c r="F359" s="1">
        <f>10.14*100000000</f>
        <v>1014000000</v>
      </c>
      <c r="G359" s="8">
        <f t="shared" si="157"/>
        <v>0.13791942542924476</v>
      </c>
      <c r="H359" s="6" t="s">
        <v>4630</v>
      </c>
      <c r="I359" s="6" t="str">
        <f t="shared" si="158"/>
        <v>=8.911*100000000</v>
      </c>
      <c r="J359" s="1">
        <f>8.911*100000000</f>
        <v>891100000</v>
      </c>
      <c r="K359" s="10">
        <f t="shared" si="159"/>
        <v>0.32940474414441295</v>
      </c>
      <c r="L359" s="6" t="s">
        <v>1384</v>
      </c>
      <c r="M359" s="6" t="str">
        <f t="shared" si="160"/>
        <v>=6.703*100000000</v>
      </c>
      <c r="N359" s="1">
        <f>6.703*100000000</f>
        <v>670300000</v>
      </c>
      <c r="O359" s="8">
        <f t="shared" si="161"/>
        <v>0.71169560776302354</v>
      </c>
      <c r="P359" s="6" t="s">
        <v>4631</v>
      </c>
      <c r="Q359" s="6" t="str">
        <f t="shared" si="162"/>
        <v>=3.916*100000000</v>
      </c>
      <c r="R359" s="11">
        <f>3.916*100000000</f>
        <v>391600000</v>
      </c>
      <c r="S359" s="8">
        <f t="shared" si="163"/>
        <v>-0.53918569075076483</v>
      </c>
      <c r="T359" s="6" t="s">
        <v>3684</v>
      </c>
      <c r="U359" s="6" t="str">
        <f t="shared" si="164"/>
        <v>=8.498*100000000</v>
      </c>
      <c r="V359" s="1">
        <f>8.498*100000000</f>
        <v>849799999.99999988</v>
      </c>
      <c r="W359" s="8">
        <f t="shared" si="165"/>
        <v>0.43450371370695456</v>
      </c>
      <c r="X359" s="6" t="s">
        <v>4632</v>
      </c>
      <c r="Y359" s="6" t="str">
        <f t="shared" si="166"/>
        <v>=5.924*100000000</v>
      </c>
      <c r="Z359" s="1">
        <f>5.924*100000000</f>
        <v>592400000</v>
      </c>
      <c r="AA359" s="8">
        <f t="shared" si="167"/>
        <v>0.8044471519951264</v>
      </c>
      <c r="AB359" s="6" t="s">
        <v>4633</v>
      </c>
      <c r="AC359" s="6" t="str">
        <f t="shared" si="168"/>
        <v>=3.283*100000000</v>
      </c>
      <c r="AD359" s="1">
        <f>3.283*100000000</f>
        <v>328300000</v>
      </c>
      <c r="AE359" s="8">
        <f t="shared" si="169"/>
        <v>0.68014329580347999</v>
      </c>
      <c r="AF359" s="6" t="s">
        <v>4634</v>
      </c>
      <c r="AG359" s="6" t="str">
        <f t="shared" si="170"/>
        <v>=1.954*100000000</v>
      </c>
      <c r="AH359" s="1">
        <f>1.954*100000000</f>
        <v>195400000</v>
      </c>
      <c r="AI359" s="8">
        <f t="shared" si="171"/>
        <v>-0.72812021705857799</v>
      </c>
      <c r="AJ359" s="6" t="s">
        <v>4635</v>
      </c>
      <c r="AK359" s="6" t="str">
        <f t="shared" si="172"/>
        <v>=7.187*100000000</v>
      </c>
      <c r="AL359" s="1">
        <f>7.187*100000000</f>
        <v>718700000</v>
      </c>
      <c r="AM359" s="8">
        <f t="shared" si="173"/>
        <v>0.22207107634755993</v>
      </c>
      <c r="AN359" s="6" t="s">
        <v>4636</v>
      </c>
      <c r="AO359" s="6" t="str">
        <f t="shared" si="174"/>
        <v>=5.881*100000000</v>
      </c>
      <c r="AP359" s="1">
        <f>5.881*100000000</f>
        <v>588100000</v>
      </c>
      <c r="AQ359" s="8">
        <f t="shared" si="175"/>
        <v>0.73685764914353225</v>
      </c>
      <c r="AR359" s="6" t="s">
        <v>2853</v>
      </c>
      <c r="AS359" s="6" t="str">
        <f t="shared" si="176"/>
        <v>=3.386*100000000</v>
      </c>
      <c r="AT359" s="1">
        <f>3.386*100000000</f>
        <v>338600000</v>
      </c>
      <c r="AU359" s="8">
        <f t="shared" si="177"/>
        <v>1.4897058823529412</v>
      </c>
      <c r="AV359" s="6" t="s">
        <v>4637</v>
      </c>
      <c r="AW359" s="6" t="str">
        <f t="shared" si="178"/>
        <v>=1.360*100000000</v>
      </c>
      <c r="AX359" s="1">
        <f>1.36*100000000</f>
        <v>136000000</v>
      </c>
      <c r="AY359" s="10">
        <f t="shared" si="179"/>
        <v>-0.85095890410958908</v>
      </c>
      <c r="AZ359" s="6" t="s">
        <v>4638</v>
      </c>
      <c r="BA359" s="6" t="str">
        <f t="shared" si="180"/>
        <v>=9.125*100000000</v>
      </c>
      <c r="BB359" s="1">
        <f>9.125*100000000</f>
        <v>912500000</v>
      </c>
      <c r="BC359" s="8">
        <f t="shared" si="181"/>
        <v>9.2421884352927086E-2</v>
      </c>
      <c r="BD359" s="6" t="s">
        <v>4639</v>
      </c>
      <c r="BE359" s="6" t="str">
        <f t="shared" si="182"/>
        <v>=8.353*100000000</v>
      </c>
      <c r="BF359" s="1">
        <f>8.353*100000000</f>
        <v>835300000</v>
      </c>
      <c r="BG359" s="8">
        <f t="shared" si="183"/>
        <v>0.70018318746183594</v>
      </c>
      <c r="BH359" s="6" t="s">
        <v>4640</v>
      </c>
      <c r="BI359" s="6" t="str">
        <f t="shared" si="184"/>
        <v>=4.913*100000000</v>
      </c>
      <c r="BJ359" s="1">
        <f>4.913*100000000</f>
        <v>491300000</v>
      </c>
      <c r="BK359" s="6" t="s">
        <v>4641</v>
      </c>
      <c r="BL359" s="1" t="str">
        <f t="shared" si="156"/>
        <v>=2.133*100000000</v>
      </c>
      <c r="BM359" s="16">
        <f t="shared" si="185"/>
        <v>1.303328645100797</v>
      </c>
      <c r="BN359" s="1">
        <f>2.133*100000000</f>
        <v>213300000</v>
      </c>
    </row>
    <row r="360" spans="1:66">
      <c r="A360" s="18"/>
      <c r="B360">
        <v>600308</v>
      </c>
      <c r="C360" t="s">
        <v>58</v>
      </c>
      <c r="D360" s="6" t="s">
        <v>4642</v>
      </c>
      <c r="E360" s="7" t="str">
        <f t="shared" si="155"/>
        <v>=9.942*100000000</v>
      </c>
      <c r="F360" s="1">
        <f>9.942*100000000</f>
        <v>994200000</v>
      </c>
      <c r="G360" s="8">
        <f t="shared" si="157"/>
        <v>9.5778684007494772E-2</v>
      </c>
      <c r="H360" s="6" t="s">
        <v>4643</v>
      </c>
      <c r="I360" s="6" t="str">
        <f t="shared" si="158"/>
        <v>=9.073*100000000</v>
      </c>
      <c r="J360" s="1">
        <f>9.073*100000000</f>
        <v>907300000</v>
      </c>
      <c r="K360" s="10">
        <f t="shared" si="159"/>
        <v>0.32704402515723269</v>
      </c>
      <c r="L360" s="6" t="s">
        <v>4644</v>
      </c>
      <c r="M360" s="6" t="str">
        <f t="shared" si="160"/>
        <v>=6.837*100000000</v>
      </c>
      <c r="N360" s="1">
        <f>6.837*100000000</f>
        <v>683700000</v>
      </c>
      <c r="O360" s="8">
        <f t="shared" si="161"/>
        <v>0.71224643125469567</v>
      </c>
      <c r="P360" s="6" t="s">
        <v>4645</v>
      </c>
      <c r="Q360" s="6" t="str">
        <f t="shared" si="162"/>
        <v>=3.993*100000000</v>
      </c>
      <c r="R360" s="11">
        <f>3.993*100000000</f>
        <v>399300000</v>
      </c>
      <c r="S360" s="8">
        <f t="shared" si="163"/>
        <v>-0.52447302608074309</v>
      </c>
      <c r="T360" s="6" t="s">
        <v>4646</v>
      </c>
      <c r="U360" s="6" t="str">
        <f t="shared" si="164"/>
        <v>=8.397*100000000</v>
      </c>
      <c r="V360" s="1">
        <f>8.397*100000000</f>
        <v>839700000</v>
      </c>
      <c r="W360" s="8">
        <f t="shared" si="165"/>
        <v>0.40936555891238668</v>
      </c>
      <c r="X360" s="6" t="s">
        <v>4647</v>
      </c>
      <c r="Y360" s="6" t="str">
        <f t="shared" si="166"/>
        <v>=5.958*100000000</v>
      </c>
      <c r="Z360" s="1">
        <f>5.958*100000000</f>
        <v>595800000</v>
      </c>
      <c r="AA360" s="8">
        <f t="shared" si="167"/>
        <v>0.81480353335363997</v>
      </c>
      <c r="AB360" s="6" t="s">
        <v>4633</v>
      </c>
      <c r="AC360" s="6" t="str">
        <f t="shared" si="168"/>
        <v>=3.283*100000000</v>
      </c>
      <c r="AD360" s="1">
        <f>3.283*100000000</f>
        <v>328300000</v>
      </c>
      <c r="AE360" s="8">
        <f t="shared" si="169"/>
        <v>0.73428420496566293</v>
      </c>
      <c r="AF360" s="6" t="s">
        <v>2359</v>
      </c>
      <c r="AG360" s="6" t="str">
        <f t="shared" si="170"/>
        <v>=1.893*100000000</v>
      </c>
      <c r="AH360" s="1">
        <f>1.893*100000000</f>
        <v>189300000</v>
      </c>
      <c r="AI360" s="8">
        <f t="shared" si="171"/>
        <v>-0.76349325337331331</v>
      </c>
      <c r="AJ360" s="6" t="s">
        <v>4648</v>
      </c>
      <c r="AK360" s="6" t="str">
        <f t="shared" si="172"/>
        <v>=8.004*100000000</v>
      </c>
      <c r="AL360" s="1">
        <f>8.004*100000000</f>
        <v>800400000</v>
      </c>
      <c r="AM360" s="8">
        <f t="shared" si="173"/>
        <v>0.32188274153592072</v>
      </c>
      <c r="AN360" s="6" t="s">
        <v>4649</v>
      </c>
      <c r="AO360" s="6" t="str">
        <f t="shared" si="174"/>
        <v>=6.055*100000000</v>
      </c>
      <c r="AP360" s="1">
        <f>6.055*100000000</f>
        <v>605500000</v>
      </c>
      <c r="AQ360" s="8">
        <f t="shared" si="175"/>
        <v>0.7586407203020622</v>
      </c>
      <c r="AR360" s="6" t="s">
        <v>4558</v>
      </c>
      <c r="AS360" s="6" t="str">
        <f t="shared" si="176"/>
        <v>=3.443*100000000</v>
      </c>
      <c r="AT360" s="1">
        <f>3.443*100000000</f>
        <v>344300000</v>
      </c>
      <c r="AU360" s="8">
        <f t="shared" si="177"/>
        <v>1.4805475504322767</v>
      </c>
      <c r="AV360" s="6" t="s">
        <v>4650</v>
      </c>
      <c r="AW360" s="6" t="str">
        <f t="shared" si="178"/>
        <v>=1.388*100000000</v>
      </c>
      <c r="AX360" s="1">
        <f>1.388*100000000</f>
        <v>138800000</v>
      </c>
      <c r="AY360" s="10">
        <f t="shared" si="179"/>
        <v>-0.84968594325319469</v>
      </c>
      <c r="AZ360" s="6" t="s">
        <v>4126</v>
      </c>
      <c r="BA360" s="6" t="str">
        <f t="shared" si="180"/>
        <v>=9.234*100000000</v>
      </c>
      <c r="BB360" s="1">
        <f>9.234*100000000</f>
        <v>923400000</v>
      </c>
      <c r="BC360" s="8">
        <f t="shared" si="181"/>
        <v>9.2393233171655181E-2</v>
      </c>
      <c r="BD360" s="6" t="s">
        <v>4651</v>
      </c>
      <c r="BE360" s="6" t="str">
        <f t="shared" si="182"/>
        <v>=8.453*100000000</v>
      </c>
      <c r="BF360" s="1">
        <f>8.453*100000000</f>
        <v>845299999.99999988</v>
      </c>
      <c r="BG360" s="8">
        <f t="shared" si="183"/>
        <v>0.69738955823293125</v>
      </c>
      <c r="BH360" s="6" t="s">
        <v>4652</v>
      </c>
      <c r="BI360" s="6" t="str">
        <f t="shared" si="184"/>
        <v>=4.980*100000000</v>
      </c>
      <c r="BJ360" s="1">
        <f>4.98*100000000</f>
        <v>498000000.00000006</v>
      </c>
      <c r="BK360" s="6" t="s">
        <v>4653</v>
      </c>
      <c r="BL360" s="1" t="str">
        <f t="shared" si="156"/>
        <v>=2.178*100000000</v>
      </c>
      <c r="BM360" s="16">
        <f t="shared" si="185"/>
        <v>1.2865013774104685</v>
      </c>
      <c r="BN360" s="1">
        <f>2.178*100000000</f>
        <v>217800000</v>
      </c>
    </row>
    <row r="361" spans="1:66">
      <c r="A361" s="19"/>
      <c r="B361">
        <v>600308</v>
      </c>
      <c r="C361" t="s">
        <v>68</v>
      </c>
      <c r="D361" s="6" t="s">
        <v>4654</v>
      </c>
      <c r="E361" s="7" t="str">
        <f t="shared" si="155"/>
        <v>=7.728*100000000</v>
      </c>
      <c r="F361" s="1">
        <f>7.728*100000000</f>
        <v>772800000</v>
      </c>
      <c r="G361" s="8">
        <f t="shared" si="157"/>
        <v>4.5171760887205842E-2</v>
      </c>
      <c r="H361" s="6" t="s">
        <v>4655</v>
      </c>
      <c r="I361" s="6" t="str">
        <f t="shared" si="158"/>
        <v>=7.394*100000000</v>
      </c>
      <c r="J361" s="1">
        <f>7.394*100000000</f>
        <v>739400000</v>
      </c>
      <c r="K361" s="10">
        <f t="shared" si="159"/>
        <v>0.28703220191470846</v>
      </c>
      <c r="L361" s="6" t="s">
        <v>4656</v>
      </c>
      <c r="M361" s="6" t="str">
        <f t="shared" si="160"/>
        <v>=5.745*100000000</v>
      </c>
      <c r="N361" s="1">
        <f>5.745*100000000</f>
        <v>574500000</v>
      </c>
      <c r="O361" s="8">
        <f t="shared" si="161"/>
        <v>0.76987060998151569</v>
      </c>
      <c r="P361" s="6" t="s">
        <v>4657</v>
      </c>
      <c r="Q361" s="6" t="str">
        <f t="shared" si="162"/>
        <v>=3.246*100000000</v>
      </c>
      <c r="R361" s="11">
        <f>3.246*100000000</f>
        <v>324600000</v>
      </c>
      <c r="S361" s="8">
        <f t="shared" si="163"/>
        <v>-0.49814471243042674</v>
      </c>
      <c r="T361" s="6" t="s">
        <v>4658</v>
      </c>
      <c r="U361" s="6" t="str">
        <f t="shared" si="164"/>
        <v>=6.468*100000000</v>
      </c>
      <c r="V361" s="1">
        <f>6.468*100000000</f>
        <v>646800000</v>
      </c>
      <c r="W361" s="8">
        <f t="shared" si="165"/>
        <v>0.39667458432304037</v>
      </c>
      <c r="X361" s="6" t="s">
        <v>4659</v>
      </c>
      <c r="Y361" s="6" t="str">
        <f t="shared" si="166"/>
        <v>=4.631*100000000</v>
      </c>
      <c r="Z361" s="1">
        <f>4.631*100000000</f>
        <v>463100000</v>
      </c>
      <c r="AA361" s="8">
        <f t="shared" si="167"/>
        <v>0.77229238423268276</v>
      </c>
      <c r="AB361" s="6" t="s">
        <v>4660</v>
      </c>
      <c r="AC361" s="6" t="str">
        <f t="shared" si="168"/>
        <v>=2.613*100000000</v>
      </c>
      <c r="AD361" s="1">
        <f>2.613*100000000</f>
        <v>261300000</v>
      </c>
      <c r="AE361" s="8">
        <f t="shared" si="169"/>
        <v>0.75134048257372654</v>
      </c>
      <c r="AF361" s="6" t="s">
        <v>2530</v>
      </c>
      <c r="AG361" s="6" t="str">
        <f t="shared" si="170"/>
        <v>=1.492*100000000</v>
      </c>
      <c r="AH361" s="1">
        <f>1.492*100000000</f>
        <v>149200000</v>
      </c>
      <c r="AI361" s="8">
        <f t="shared" si="171"/>
        <v>-0.77179565616396451</v>
      </c>
      <c r="AJ361" s="6" t="s">
        <v>1824</v>
      </c>
      <c r="AK361" s="6" t="str">
        <f t="shared" si="172"/>
        <v>=6.538*100000000</v>
      </c>
      <c r="AL361" s="1">
        <f>6.538*100000000</f>
        <v>653800000</v>
      </c>
      <c r="AM361" s="8">
        <f t="shared" si="173"/>
        <v>0.40180102915951993</v>
      </c>
      <c r="AN361" s="6" t="s">
        <v>4661</v>
      </c>
      <c r="AO361" s="6" t="str">
        <f t="shared" si="174"/>
        <v>=4.664*100000000</v>
      </c>
      <c r="AP361" s="1">
        <f>4.664*100000000</f>
        <v>466399999.99999994</v>
      </c>
      <c r="AQ361" s="8">
        <f t="shared" si="175"/>
        <v>0.77069096431283202</v>
      </c>
      <c r="AR361" s="6" t="s">
        <v>4662</v>
      </c>
      <c r="AS361" s="6" t="str">
        <f t="shared" si="176"/>
        <v>=2.634*100000000</v>
      </c>
      <c r="AT361" s="1">
        <f>2.634*100000000</f>
        <v>263400000</v>
      </c>
      <c r="AU361" s="8">
        <f t="shared" si="177"/>
        <v>1.7076480263157894</v>
      </c>
      <c r="AV361" s="7" t="s">
        <v>2883</v>
      </c>
      <c r="AW361" s="6" t="str">
        <f t="shared" si="178"/>
        <v>=9728*10000</v>
      </c>
      <c r="AX361" s="1">
        <f>9728*10000</f>
        <v>97280000</v>
      </c>
      <c r="AY361" s="10">
        <f t="shared" si="179"/>
        <v>-0.86496390893947805</v>
      </c>
      <c r="AZ361" s="6" t="s">
        <v>4663</v>
      </c>
      <c r="BA361" s="6" t="str">
        <f t="shared" si="180"/>
        <v>=7.204*100000000</v>
      </c>
      <c r="BB361" s="1">
        <f>7.204*100000000</f>
        <v>720400000</v>
      </c>
      <c r="BC361" s="8">
        <f t="shared" si="181"/>
        <v>9.7334348819497332E-2</v>
      </c>
      <c r="BD361" s="6" t="s">
        <v>4664</v>
      </c>
      <c r="BE361" s="6" t="str">
        <f t="shared" si="182"/>
        <v>=6.565*100000000</v>
      </c>
      <c r="BF361" s="1">
        <f>6.565*100000000</f>
        <v>656500000</v>
      </c>
      <c r="BG361" s="8">
        <f t="shared" si="183"/>
        <v>0.75019994668088508</v>
      </c>
      <c r="BH361" s="6" t="s">
        <v>4665</v>
      </c>
      <c r="BI361" s="6" t="str">
        <f t="shared" si="184"/>
        <v>=3.751*100000000</v>
      </c>
      <c r="BJ361" s="1">
        <f>3.751*100000000</f>
        <v>375100000</v>
      </c>
      <c r="BK361" s="6" t="s">
        <v>4666</v>
      </c>
      <c r="BL361" s="1" t="str">
        <f t="shared" si="156"/>
        <v>=1.651*100000000</v>
      </c>
      <c r="BM361" s="16">
        <f t="shared" si="185"/>
        <v>1.2719563900666262</v>
      </c>
      <c r="BN361" s="1">
        <f>1.651*100000000</f>
        <v>165100000</v>
      </c>
    </row>
    <row r="362" spans="1:66">
      <c r="A362" s="17">
        <v>91</v>
      </c>
      <c r="B362">
        <v>600309</v>
      </c>
      <c r="C362" t="s">
        <v>31</v>
      </c>
      <c r="D362" s="6" t="s">
        <v>4667</v>
      </c>
      <c r="E362" s="7" t="str">
        <f t="shared" si="155"/>
        <v>=1455*100000000</v>
      </c>
      <c r="F362" s="1">
        <f>1455*100000000</f>
        <v>145500000000</v>
      </c>
      <c r="G362" s="8">
        <f t="shared" si="157"/>
        <v>0.35601118359739048</v>
      </c>
      <c r="H362" s="6" t="s">
        <v>4668</v>
      </c>
      <c r="I362" s="6" t="str">
        <f t="shared" si="158"/>
        <v>=1073*100000000</v>
      </c>
      <c r="J362" s="1">
        <f>1073*100000000</f>
        <v>107300000000</v>
      </c>
      <c r="K362" s="10">
        <f t="shared" si="159"/>
        <v>0.5858705291161691</v>
      </c>
      <c r="L362" s="6" t="s">
        <v>4669</v>
      </c>
      <c r="M362" s="6" t="str">
        <f t="shared" si="160"/>
        <v>=676.6*100000000</v>
      </c>
      <c r="N362" s="1">
        <f>676.6*100000000</f>
        <v>67660000000</v>
      </c>
      <c r="O362" s="8">
        <f t="shared" si="161"/>
        <v>1.1609709358032576</v>
      </c>
      <c r="P362" s="6" t="s">
        <v>4670</v>
      </c>
      <c r="Q362" s="6" t="str">
        <f t="shared" si="162"/>
        <v>=313.1*100000000</v>
      </c>
      <c r="R362" s="11">
        <f>313.1*100000000</f>
        <v>31310000000.000004</v>
      </c>
      <c r="S362" s="8">
        <f t="shared" si="163"/>
        <v>-0.57360751736347537</v>
      </c>
      <c r="T362" s="6" t="s">
        <v>4671</v>
      </c>
      <c r="U362" s="6" t="str">
        <f t="shared" si="164"/>
        <v>=734.3*100000000</v>
      </c>
      <c r="V362" s="1">
        <f>734.3*100000000</f>
        <v>73430000000</v>
      </c>
      <c r="W362" s="8">
        <f t="shared" si="165"/>
        <v>0.49157018078407477</v>
      </c>
      <c r="X362" s="6" t="s">
        <v>4672</v>
      </c>
      <c r="Y362" s="6" t="str">
        <f t="shared" si="166"/>
        <v>=492.3*100000000</v>
      </c>
      <c r="Z362" s="1">
        <f>492.3*100000000</f>
        <v>49230000000</v>
      </c>
      <c r="AA362" s="8">
        <f t="shared" si="167"/>
        <v>0.59268845033969575</v>
      </c>
      <c r="AB362" s="6" t="s">
        <v>4673</v>
      </c>
      <c r="AC362" s="6" t="str">
        <f t="shared" si="168"/>
        <v>=309.1*100000000</v>
      </c>
      <c r="AD362" s="1">
        <f>309.1*100000000</f>
        <v>30910000000.000004</v>
      </c>
      <c r="AE362" s="8">
        <f t="shared" si="169"/>
        <v>1.0149934810951762</v>
      </c>
      <c r="AF362" s="6" t="s">
        <v>4674</v>
      </c>
      <c r="AG362" s="6" t="str">
        <f t="shared" si="170"/>
        <v>=153.4*100000000</v>
      </c>
      <c r="AH362" s="1">
        <f>153.4*100000000</f>
        <v>15340000000</v>
      </c>
      <c r="AI362" s="8">
        <f t="shared" si="171"/>
        <v>-0.77457751653196183</v>
      </c>
      <c r="AJ362" s="6" t="s">
        <v>4675</v>
      </c>
      <c r="AK362" s="6" t="str">
        <f t="shared" si="172"/>
        <v>=680.5*100000000</v>
      </c>
      <c r="AL362" s="1">
        <f>680.5*100000000</f>
        <v>68050000000</v>
      </c>
      <c r="AM362" s="8">
        <f t="shared" si="173"/>
        <v>0.40193654717758548</v>
      </c>
      <c r="AN362" s="6" t="s">
        <v>4676</v>
      </c>
      <c r="AO362" s="6" t="str">
        <f t="shared" si="174"/>
        <v>=485.4*100000000</v>
      </c>
      <c r="AP362" s="1">
        <f>485.4*100000000</f>
        <v>48540000000</v>
      </c>
      <c r="AQ362" s="8">
        <f t="shared" si="175"/>
        <v>0.53899809765377316</v>
      </c>
      <c r="AR362" s="6" t="s">
        <v>4677</v>
      </c>
      <c r="AS362" s="6" t="str">
        <f t="shared" si="176"/>
        <v>=315.4*100000000</v>
      </c>
      <c r="AT362" s="1">
        <f>315.4*100000000</f>
        <v>31539999999.999996</v>
      </c>
      <c r="AU362" s="8">
        <f t="shared" si="177"/>
        <v>0.97742946708463929</v>
      </c>
      <c r="AV362" s="6" t="s">
        <v>4678</v>
      </c>
      <c r="AW362" s="6" t="str">
        <f t="shared" si="178"/>
        <v>=159.5*100000000</v>
      </c>
      <c r="AX362" s="1">
        <f>159.5*100000000</f>
        <v>15950000000</v>
      </c>
      <c r="AY362" s="10">
        <f t="shared" si="179"/>
        <v>-0.78102690829214716</v>
      </c>
      <c r="AZ362" s="6" t="s">
        <v>4679</v>
      </c>
      <c r="BA362" s="6" t="str">
        <f t="shared" si="180"/>
        <v>=728.4*100000000</v>
      </c>
      <c r="BB362" s="1">
        <f>728.4*100000000</f>
        <v>72840000000</v>
      </c>
      <c r="BC362" s="8">
        <f t="shared" si="181"/>
        <v>0.3133790119004688</v>
      </c>
      <c r="BD362" s="6" t="s">
        <v>4680</v>
      </c>
      <c r="BE362" s="6" t="str">
        <f t="shared" si="182"/>
        <v>=554.6*100000000</v>
      </c>
      <c r="BF362" s="1">
        <f>554.6*100000000</f>
        <v>55460000000</v>
      </c>
      <c r="BG362" s="8">
        <f t="shared" si="183"/>
        <v>0.48845947396672035</v>
      </c>
      <c r="BH362" s="6" t="s">
        <v>4681</v>
      </c>
      <c r="BI362" s="6" t="str">
        <f t="shared" si="184"/>
        <v>=372.6*100000000</v>
      </c>
      <c r="BJ362" s="1">
        <f>372.6*100000000</f>
        <v>37260000000</v>
      </c>
      <c r="BK362" s="6" t="s">
        <v>4682</v>
      </c>
      <c r="BL362" s="1" t="str">
        <f t="shared" si="156"/>
        <v>=174.0*100000000</v>
      </c>
      <c r="BM362" s="16">
        <f t="shared" si="185"/>
        <v>1.1413793103448275</v>
      </c>
      <c r="BN362" s="1">
        <f>174*100000000</f>
        <v>17400000000</v>
      </c>
    </row>
    <row r="363" spans="1:66">
      <c r="A363" s="18"/>
      <c r="B363">
        <v>600309</v>
      </c>
      <c r="C363" t="s">
        <v>48</v>
      </c>
      <c r="D363" s="6" t="s">
        <v>4683</v>
      </c>
      <c r="E363" s="7" t="str">
        <f t="shared" si="155"/>
        <v>=294.3*100000000</v>
      </c>
      <c r="F363" s="1">
        <f>294.3*100000000</f>
        <v>29430000000</v>
      </c>
      <c r="G363" s="8">
        <f t="shared" si="157"/>
        <v>0.23655462184873949</v>
      </c>
      <c r="H363" s="6" t="s">
        <v>4684</v>
      </c>
      <c r="I363" s="6" t="str">
        <f t="shared" si="158"/>
        <v>=238.0*100000000</v>
      </c>
      <c r="J363" s="1">
        <f>238*100000000</f>
        <v>23800000000</v>
      </c>
      <c r="K363" s="10">
        <f t="shared" si="159"/>
        <v>0.47459727385377942</v>
      </c>
      <c r="L363" s="6" t="s">
        <v>4685</v>
      </c>
      <c r="M363" s="6" t="str">
        <f t="shared" si="160"/>
        <v>=161.4*100000000</v>
      </c>
      <c r="N363" s="1">
        <f>161.4*100000000</f>
        <v>16140000000</v>
      </c>
      <c r="O363" s="8">
        <f t="shared" si="161"/>
        <v>1.0586734693877549</v>
      </c>
      <c r="P363" s="6" t="s">
        <v>4686</v>
      </c>
      <c r="Q363" s="6" t="str">
        <f t="shared" si="162"/>
        <v>=78.40*100000000</v>
      </c>
      <c r="R363" s="11">
        <f>78.4*100000000</f>
        <v>7840000000.000001</v>
      </c>
      <c r="S363" s="8">
        <f t="shared" si="163"/>
        <v>-0.33671742808798638</v>
      </c>
      <c r="T363" s="6" t="s">
        <v>539</v>
      </c>
      <c r="U363" s="6" t="str">
        <f t="shared" si="164"/>
        <v>=118.2*100000000</v>
      </c>
      <c r="V363" s="1">
        <f>118.2*100000000</f>
        <v>11820000000</v>
      </c>
      <c r="W363" s="8">
        <f t="shared" si="165"/>
        <v>0.8331265508684863</v>
      </c>
      <c r="X363" s="6" t="s">
        <v>4687</v>
      </c>
      <c r="Y363" s="6" t="str">
        <f t="shared" si="166"/>
        <v>=64.48*100000000</v>
      </c>
      <c r="Z363" s="1">
        <f>64.48*100000000</f>
        <v>6448000000</v>
      </c>
      <c r="AA363" s="8">
        <f t="shared" si="167"/>
        <v>0.92765321375186816</v>
      </c>
      <c r="AB363" s="6" t="s">
        <v>4688</v>
      </c>
      <c r="AC363" s="6" t="str">
        <f t="shared" si="168"/>
        <v>=33.45*100000000</v>
      </c>
      <c r="AD363" s="1">
        <f>33.45*100000000</f>
        <v>3345000000.0000005</v>
      </c>
      <c r="AE363" s="8">
        <f t="shared" si="169"/>
        <v>0.98046181172291325</v>
      </c>
      <c r="AF363" s="6" t="s">
        <v>4689</v>
      </c>
      <c r="AG363" s="6" t="str">
        <f t="shared" si="170"/>
        <v>=16.89*100000000</v>
      </c>
      <c r="AH363" s="1">
        <f>16.89*100000000</f>
        <v>1689000000</v>
      </c>
      <c r="AI363" s="8">
        <f t="shared" si="171"/>
        <v>-0.86268292682926828</v>
      </c>
      <c r="AJ363" s="6" t="s">
        <v>2029</v>
      </c>
      <c r="AK363" s="6" t="str">
        <f t="shared" si="172"/>
        <v>=123.0*100000000</v>
      </c>
      <c r="AL363" s="1">
        <f>123*100000000</f>
        <v>12300000000</v>
      </c>
      <c r="AM363" s="8">
        <f t="shared" si="173"/>
        <v>0.22754491017964071</v>
      </c>
      <c r="AN363" s="6" t="s">
        <v>4690</v>
      </c>
      <c r="AO363" s="6" t="str">
        <f t="shared" si="174"/>
        <v>=100.2*100000000</v>
      </c>
      <c r="AP363" s="1">
        <f>100.2*100000000</f>
        <v>10020000000</v>
      </c>
      <c r="AQ363" s="8">
        <f t="shared" si="175"/>
        <v>0.42694389062945032</v>
      </c>
      <c r="AR363" s="6" t="s">
        <v>4691</v>
      </c>
      <c r="AS363" s="6" t="str">
        <f t="shared" si="176"/>
        <v>=70.22*100000000</v>
      </c>
      <c r="AT363" s="1">
        <f>70.22*100000000</f>
        <v>7022000000</v>
      </c>
      <c r="AU363" s="8">
        <f t="shared" si="177"/>
        <v>0.95598885793871868</v>
      </c>
      <c r="AV363" s="6" t="s">
        <v>4692</v>
      </c>
      <c r="AW363" s="6" t="str">
        <f t="shared" si="178"/>
        <v>=35.90*100000000</v>
      </c>
      <c r="AX363" s="1">
        <f>35.9*100000000</f>
        <v>3590000000</v>
      </c>
      <c r="AY363" s="10">
        <f t="shared" si="179"/>
        <v>-0.81683673469387752</v>
      </c>
      <c r="AZ363" s="6" t="s">
        <v>4693</v>
      </c>
      <c r="BA363" s="6" t="str">
        <f t="shared" si="180"/>
        <v>=196.0*100000000</v>
      </c>
      <c r="BB363" s="1">
        <f>196*100000000</f>
        <v>19600000000</v>
      </c>
      <c r="BC363" s="8">
        <f t="shared" si="181"/>
        <v>0.14956011730205279</v>
      </c>
      <c r="BD363" s="6" t="s">
        <v>1850</v>
      </c>
      <c r="BE363" s="6" t="str">
        <f t="shared" si="182"/>
        <v>=170.5*100000000</v>
      </c>
      <c r="BF363" s="1">
        <f>170.5*100000000</f>
        <v>17050000000</v>
      </c>
      <c r="BG363" s="8">
        <f t="shared" si="183"/>
        <v>0.29756468797564689</v>
      </c>
      <c r="BH363" s="6" t="s">
        <v>4694</v>
      </c>
      <c r="BI363" s="6" t="str">
        <f t="shared" si="184"/>
        <v>=131.4*100000000</v>
      </c>
      <c r="BJ363" s="1">
        <f>131.4*100000000</f>
        <v>13140000000</v>
      </c>
      <c r="BK363" s="6" t="s">
        <v>4695</v>
      </c>
      <c r="BL363" s="1" t="str">
        <f t="shared" si="156"/>
        <v>=64.97*100000000</v>
      </c>
      <c r="BM363" s="16">
        <f t="shared" si="185"/>
        <v>1.0224719101123596</v>
      </c>
      <c r="BN363" s="1">
        <f>64.97*100000000</f>
        <v>6497000000</v>
      </c>
    </row>
    <row r="364" spans="1:66">
      <c r="A364" s="18"/>
      <c r="B364">
        <v>600309</v>
      </c>
      <c r="C364" t="s">
        <v>58</v>
      </c>
      <c r="D364" s="6" t="s">
        <v>395</v>
      </c>
      <c r="E364" s="7" t="str">
        <f t="shared" si="155"/>
        <v>=291.5*100000000</v>
      </c>
      <c r="F364" s="1">
        <f>291.5*100000000</f>
        <v>29150000000</v>
      </c>
      <c r="G364" s="8">
        <f t="shared" si="157"/>
        <v>0.23412362404741743</v>
      </c>
      <c r="H364" s="6" t="s">
        <v>1624</v>
      </c>
      <c r="I364" s="6" t="str">
        <f t="shared" si="158"/>
        <v>=236.2*100000000</v>
      </c>
      <c r="J364" s="1">
        <f>236.2*100000000</f>
        <v>23620000000</v>
      </c>
      <c r="K364" s="10">
        <f t="shared" si="159"/>
        <v>0.46253869969040246</v>
      </c>
      <c r="L364" s="6" t="s">
        <v>4696</v>
      </c>
      <c r="M364" s="6" t="str">
        <f t="shared" si="160"/>
        <v>=161.5*100000000</v>
      </c>
      <c r="N364" s="1">
        <f>161.5*100000000</f>
        <v>16150000000</v>
      </c>
      <c r="O364" s="8">
        <f t="shared" si="161"/>
        <v>1.06126356094448</v>
      </c>
      <c r="P364" s="6" t="s">
        <v>4697</v>
      </c>
      <c r="Q364" s="6" t="str">
        <f t="shared" si="162"/>
        <v>=78.35*100000000</v>
      </c>
      <c r="R364" s="11">
        <f>78.35*100000000</f>
        <v>7834999999.999999</v>
      </c>
      <c r="S364" s="8">
        <f t="shared" si="163"/>
        <v>-0.33205456095481678</v>
      </c>
      <c r="T364" s="6" t="s">
        <v>4698</v>
      </c>
      <c r="U364" s="6" t="str">
        <f t="shared" si="164"/>
        <v>=117.3*100000000</v>
      </c>
      <c r="V364" s="1">
        <f>117.3*100000000</f>
        <v>11730000000</v>
      </c>
      <c r="W364" s="8">
        <f t="shared" si="165"/>
        <v>0.83826986365773393</v>
      </c>
      <c r="X364" s="6" t="s">
        <v>4699</v>
      </c>
      <c r="Y364" s="6" t="str">
        <f t="shared" si="166"/>
        <v>=63.81*100000000</v>
      </c>
      <c r="Z364" s="1">
        <f>63.81*100000000</f>
        <v>6381000000</v>
      </c>
      <c r="AA364" s="8">
        <f t="shared" si="167"/>
        <v>0.91967509025270755</v>
      </c>
      <c r="AB364" s="6" t="s">
        <v>4700</v>
      </c>
      <c r="AC364" s="6" t="str">
        <f t="shared" si="168"/>
        <v>=33.24*100000000</v>
      </c>
      <c r="AD364" s="1">
        <f>33.24*100000000</f>
        <v>3324000000</v>
      </c>
      <c r="AE364" s="8">
        <f t="shared" si="169"/>
        <v>0.98092967818831944</v>
      </c>
      <c r="AF364" s="6" t="s">
        <v>4701</v>
      </c>
      <c r="AG364" s="6" t="str">
        <f t="shared" si="170"/>
        <v>=16.78*100000000</v>
      </c>
      <c r="AH364" s="1">
        <f>16.78*100000000</f>
        <v>1678000000</v>
      </c>
      <c r="AI364" s="8">
        <f t="shared" si="171"/>
        <v>-0.86313213703099512</v>
      </c>
      <c r="AJ364" s="6" t="s">
        <v>2736</v>
      </c>
      <c r="AK364" s="6" t="str">
        <f t="shared" si="172"/>
        <v>=122.6*100000000</v>
      </c>
      <c r="AL364" s="1">
        <f>122.6*100000000</f>
        <v>12260000000</v>
      </c>
      <c r="AM364" s="8">
        <f t="shared" si="173"/>
        <v>0.22233300099700898</v>
      </c>
      <c r="AN364" s="6" t="s">
        <v>3011</v>
      </c>
      <c r="AO364" s="6" t="str">
        <f t="shared" si="174"/>
        <v>=100.3*100000000</v>
      </c>
      <c r="AP364" s="1">
        <f>100.3*100000000</f>
        <v>10030000000</v>
      </c>
      <c r="AQ364" s="8">
        <f t="shared" si="175"/>
        <v>0.42979330007127564</v>
      </c>
      <c r="AR364" s="6" t="s">
        <v>4702</v>
      </c>
      <c r="AS364" s="6" t="str">
        <f t="shared" si="176"/>
        <v>=70.15*100000000</v>
      </c>
      <c r="AT364" s="1">
        <f>70.15*100000000</f>
        <v>7015000000.000001</v>
      </c>
      <c r="AU364" s="8">
        <f t="shared" si="177"/>
        <v>0.95458344942881057</v>
      </c>
      <c r="AV364" s="6" t="s">
        <v>4703</v>
      </c>
      <c r="AW364" s="6" t="str">
        <f t="shared" si="178"/>
        <v>=35.89*100000000</v>
      </c>
      <c r="AX364" s="1">
        <f>35.89*100000000</f>
        <v>3589000000</v>
      </c>
      <c r="AY364" s="10">
        <f t="shared" si="179"/>
        <v>-0.81594871794871793</v>
      </c>
      <c r="AZ364" s="6" t="s">
        <v>2405</v>
      </c>
      <c r="BA364" s="6" t="str">
        <f t="shared" si="180"/>
        <v>=195.0*100000000</v>
      </c>
      <c r="BB364" s="1">
        <f>195*100000000</f>
        <v>19500000000</v>
      </c>
      <c r="BC364" s="8">
        <f t="shared" si="181"/>
        <v>0.14571092831962409</v>
      </c>
      <c r="BD364" s="6" t="s">
        <v>4704</v>
      </c>
      <c r="BE364" s="6" t="str">
        <f t="shared" si="182"/>
        <v>=170.2*100000000</v>
      </c>
      <c r="BF364" s="1">
        <f>170.2*100000000</f>
        <v>17019999999.999998</v>
      </c>
      <c r="BG364" s="8">
        <f t="shared" si="183"/>
        <v>0.29626808834729595</v>
      </c>
      <c r="BH364" s="6" t="s">
        <v>4705</v>
      </c>
      <c r="BI364" s="6" t="str">
        <f t="shared" si="184"/>
        <v>=131.3*100000000</v>
      </c>
      <c r="BJ364" s="1">
        <f>131.3*100000000</f>
        <v>13130000000.000002</v>
      </c>
      <c r="BK364" s="6" t="s">
        <v>4706</v>
      </c>
      <c r="BL364" s="1" t="str">
        <f t="shared" si="156"/>
        <v>=64.94*100000000</v>
      </c>
      <c r="BM364" s="16">
        <f t="shared" si="185"/>
        <v>1.0218663381583002</v>
      </c>
      <c r="BN364" s="1">
        <f>64.94*100000000</f>
        <v>6494000000</v>
      </c>
    </row>
    <row r="365" spans="1:66">
      <c r="A365" s="19"/>
      <c r="B365">
        <v>600309</v>
      </c>
      <c r="C365" t="s">
        <v>68</v>
      </c>
      <c r="D365" s="6" t="s">
        <v>4707</v>
      </c>
      <c r="E365" s="7" t="str">
        <f t="shared" si="155"/>
        <v>=250.4*100000000</v>
      </c>
      <c r="F365" s="1">
        <f>250.4*100000000</f>
        <v>25040000000</v>
      </c>
      <c r="G365" s="8">
        <f t="shared" si="157"/>
        <v>0.2595573440643863</v>
      </c>
      <c r="H365" s="6" t="s">
        <v>4708</v>
      </c>
      <c r="I365" s="6" t="str">
        <f t="shared" si="158"/>
        <v>=198.8*100000000</v>
      </c>
      <c r="J365" s="1">
        <f>198.8*100000000</f>
        <v>19880000000</v>
      </c>
      <c r="K365" s="10">
        <f t="shared" si="159"/>
        <v>0.44267053701015946</v>
      </c>
      <c r="L365" s="6" t="s">
        <v>4709</v>
      </c>
      <c r="M365" s="6" t="str">
        <f t="shared" si="160"/>
        <v>=137.8*100000000</v>
      </c>
      <c r="N365" s="1">
        <f>137.8*100000000</f>
        <v>13780000000.000002</v>
      </c>
      <c r="O365" s="8">
        <f t="shared" si="161"/>
        <v>1.0417839679952592</v>
      </c>
      <c r="P365" s="6" t="s">
        <v>4710</v>
      </c>
      <c r="Q365" s="6" t="str">
        <f t="shared" si="162"/>
        <v>=67.49*100000000</v>
      </c>
      <c r="R365" s="11">
        <f>67.49*100000000</f>
        <v>6748999999.999999</v>
      </c>
      <c r="S365" s="8">
        <f t="shared" si="163"/>
        <v>-0.35168107588856878</v>
      </c>
      <c r="T365" s="6" t="s">
        <v>4711</v>
      </c>
      <c r="U365" s="6" t="str">
        <f t="shared" si="164"/>
        <v>=104.1*100000000</v>
      </c>
      <c r="V365" s="1">
        <f>104.1*100000000</f>
        <v>10410000000</v>
      </c>
      <c r="W365" s="8">
        <f t="shared" si="165"/>
        <v>0.85198363280555056</v>
      </c>
      <c r="X365" s="6" t="s">
        <v>4712</v>
      </c>
      <c r="Y365" s="6" t="str">
        <f t="shared" si="166"/>
        <v>=56.21*100000000</v>
      </c>
      <c r="Z365" s="1">
        <f>56.21*100000000</f>
        <v>5621000000</v>
      </c>
      <c r="AA365" s="8">
        <f t="shared" si="167"/>
        <v>0.85695407994714234</v>
      </c>
      <c r="AB365" s="6" t="s">
        <v>4713</v>
      </c>
      <c r="AC365" s="6" t="str">
        <f t="shared" si="168"/>
        <v>=30.27*100000000</v>
      </c>
      <c r="AD365" s="1">
        <f>30.27*100000000</f>
        <v>3027000000</v>
      </c>
      <c r="AE365" s="8">
        <f t="shared" si="169"/>
        <v>1.0247491638795987</v>
      </c>
      <c r="AF365" s="6" t="s">
        <v>4714</v>
      </c>
      <c r="AG365" s="6" t="str">
        <f t="shared" si="170"/>
        <v>=14.95*100000000</v>
      </c>
      <c r="AH365" s="1">
        <f>14.95*100000000</f>
        <v>1495000000</v>
      </c>
      <c r="AI365" s="8">
        <f t="shared" si="171"/>
        <v>-0.85882908404154867</v>
      </c>
      <c r="AJ365" s="6" t="s">
        <v>522</v>
      </c>
      <c r="AK365" s="6" t="str">
        <f t="shared" si="172"/>
        <v>=105.9*100000000</v>
      </c>
      <c r="AL365" s="1">
        <f>105.9*100000000</f>
        <v>10590000000</v>
      </c>
      <c r="AM365" s="8">
        <f t="shared" si="173"/>
        <v>0.27883105905083927</v>
      </c>
      <c r="AN365" s="6" t="s">
        <v>4715</v>
      </c>
      <c r="AO365" s="6" t="str">
        <f t="shared" si="174"/>
        <v>=82.81*100000000</v>
      </c>
      <c r="AP365" s="1">
        <f>82.81*100000000</f>
        <v>8281000000</v>
      </c>
      <c r="AQ365" s="8">
        <f t="shared" si="175"/>
        <v>0.40929203539823011</v>
      </c>
      <c r="AR365" s="6" t="s">
        <v>4716</v>
      </c>
      <c r="AS365" s="6" t="str">
        <f t="shared" si="176"/>
        <v>=58.76*100000000</v>
      </c>
      <c r="AT365" s="1">
        <f>58.76*100000000</f>
        <v>5876000000</v>
      </c>
      <c r="AU365" s="8">
        <f t="shared" si="177"/>
        <v>1.0027266530334016</v>
      </c>
      <c r="AV365" s="6" t="s">
        <v>327</v>
      </c>
      <c r="AW365" s="6" t="str">
        <f t="shared" si="178"/>
        <v>=29.34*100000000</v>
      </c>
      <c r="AX365" s="1">
        <f>29.34*100000000</f>
        <v>2934000000</v>
      </c>
      <c r="AY365" s="10">
        <f t="shared" si="179"/>
        <v>-0.81742377100186681</v>
      </c>
      <c r="AZ365" s="6" t="s">
        <v>4717</v>
      </c>
      <c r="BA365" s="6" t="str">
        <f t="shared" si="180"/>
        <v>=160.7*100000000</v>
      </c>
      <c r="BB365" s="1">
        <f>160.7*100000000</f>
        <v>16069999999.999998</v>
      </c>
      <c r="BC365" s="8">
        <f t="shared" si="181"/>
        <v>0.15279770444763258</v>
      </c>
      <c r="BD365" s="6" t="s">
        <v>4718</v>
      </c>
      <c r="BE365" s="6" t="str">
        <f t="shared" si="182"/>
        <v>=139.4*100000000</v>
      </c>
      <c r="BF365" s="1">
        <f>139.4*100000000</f>
        <v>13940000000</v>
      </c>
      <c r="BG365" s="8">
        <f t="shared" si="183"/>
        <v>0.29313543599257885</v>
      </c>
      <c r="BH365" s="6" t="s">
        <v>4719</v>
      </c>
      <c r="BI365" s="6" t="str">
        <f t="shared" si="184"/>
        <v>=107.8*100000000</v>
      </c>
      <c r="BJ365" s="1">
        <f>107.8*100000000</f>
        <v>10780000000</v>
      </c>
      <c r="BK365" s="6" t="s">
        <v>4720</v>
      </c>
      <c r="BL365" s="1" t="str">
        <f t="shared" si="156"/>
        <v>=53.12*100000000</v>
      </c>
      <c r="BM365" s="16">
        <f t="shared" si="185"/>
        <v>1.0293674698795181</v>
      </c>
      <c r="BN365" s="1">
        <f>53.12*100000000</f>
        <v>5312000000</v>
      </c>
    </row>
    <row r="366" spans="1:66">
      <c r="A366" s="17">
        <v>92</v>
      </c>
      <c r="B366">
        <v>600310</v>
      </c>
      <c r="C366" t="s">
        <v>31</v>
      </c>
      <c r="D366" s="6" t="s">
        <v>4721</v>
      </c>
      <c r="E366" s="7" t="str">
        <f t="shared" si="155"/>
        <v>=170.8*100000000</v>
      </c>
      <c r="F366" s="1">
        <f>170.8*100000000</f>
        <v>17080000000.000002</v>
      </c>
      <c r="G366" s="8">
        <f t="shared" si="157"/>
        <v>1.3649851632047591E-2</v>
      </c>
      <c r="H366" s="6" t="s">
        <v>4722</v>
      </c>
      <c r="I366" s="6" t="str">
        <f t="shared" si="158"/>
        <v>=168.5*100000000</v>
      </c>
      <c r="J366" s="1">
        <f>168.5*100000000</f>
        <v>16850000000</v>
      </c>
      <c r="K366" s="10">
        <f t="shared" si="159"/>
        <v>0.40066500415627598</v>
      </c>
      <c r="L366" s="6" t="s">
        <v>4723</v>
      </c>
      <c r="M366" s="6" t="str">
        <f t="shared" si="160"/>
        <v>=120.3*100000000</v>
      </c>
      <c r="N366" s="1">
        <f>120.3*100000000</f>
        <v>12030000000</v>
      </c>
      <c r="O366" s="8">
        <f t="shared" si="161"/>
        <v>1.4875930521091811</v>
      </c>
      <c r="P366" s="6" t="s">
        <v>4724</v>
      </c>
      <c r="Q366" s="6" t="str">
        <f t="shared" si="162"/>
        <v>=48.36*100000000</v>
      </c>
      <c r="R366" s="11">
        <f>48.36*100000000</f>
        <v>4836000000</v>
      </c>
      <c r="S366" s="8">
        <f t="shared" si="163"/>
        <v>-0.74207999999999996</v>
      </c>
      <c r="T366" s="6" t="s">
        <v>4725</v>
      </c>
      <c r="U366" s="6" t="str">
        <f t="shared" si="164"/>
        <v>=187.5*100000000</v>
      </c>
      <c r="V366" s="1">
        <f>187.5*100000000</f>
        <v>18750000000</v>
      </c>
      <c r="W366" s="8">
        <f t="shared" si="165"/>
        <v>-0.19562419562419561</v>
      </c>
      <c r="X366" s="6" t="s">
        <v>4726</v>
      </c>
      <c r="Y366" s="6" t="str">
        <f t="shared" si="166"/>
        <v>=233.1*100000000</v>
      </c>
      <c r="Z366" s="1">
        <f>233.1*100000000</f>
        <v>23310000000</v>
      </c>
      <c r="AA366" s="8">
        <f t="shared" si="167"/>
        <v>1.0269565217391305</v>
      </c>
      <c r="AB366" s="6" t="s">
        <v>4727</v>
      </c>
      <c r="AC366" s="6" t="str">
        <f t="shared" si="168"/>
        <v>=115.0*100000000</v>
      </c>
      <c r="AD366" s="1">
        <f>115*100000000</f>
        <v>11500000000</v>
      </c>
      <c r="AE366" s="8">
        <f t="shared" si="169"/>
        <v>1.9321774604793474</v>
      </c>
      <c r="AF366" s="6" t="s">
        <v>4728</v>
      </c>
      <c r="AG366" s="6" t="str">
        <f t="shared" si="170"/>
        <v>=39.22*100000000</v>
      </c>
      <c r="AH366" s="1">
        <f>39.22*100000000</f>
        <v>3922000000</v>
      </c>
      <c r="AI366" s="8">
        <f t="shared" si="171"/>
        <v>-0.85177626606198031</v>
      </c>
      <c r="AJ366" s="6" t="s">
        <v>4729</v>
      </c>
      <c r="AK366" s="6" t="str">
        <f t="shared" si="172"/>
        <v>=264.6*100000000</v>
      </c>
      <c r="AL366" s="1">
        <f>264.6*100000000</f>
        <v>26460000000.000004</v>
      </c>
      <c r="AM366" s="8">
        <f t="shared" si="173"/>
        <v>0.35901386748844394</v>
      </c>
      <c r="AN366" s="6" t="s">
        <v>4730</v>
      </c>
      <c r="AO366" s="6" t="str">
        <f t="shared" si="174"/>
        <v>=194.7*100000000</v>
      </c>
      <c r="AP366" s="1">
        <f>194.7*100000000</f>
        <v>19470000000</v>
      </c>
      <c r="AQ366" s="8">
        <f t="shared" si="175"/>
        <v>1.5203883495145631</v>
      </c>
      <c r="AR366" s="6" t="s">
        <v>4731</v>
      </c>
      <c r="AS366" s="6" t="str">
        <f t="shared" si="176"/>
        <v>=77.25*100000000</v>
      </c>
      <c r="AT366" s="1">
        <f>77.25*100000000</f>
        <v>7725000000</v>
      </c>
      <c r="AU366" s="8">
        <f t="shared" si="177"/>
        <v>1.3219116321009916</v>
      </c>
      <c r="AV366" s="6" t="s">
        <v>1946</v>
      </c>
      <c r="AW366" s="6" t="str">
        <f t="shared" si="178"/>
        <v>=33.27*100000000</v>
      </c>
      <c r="AX366" s="1">
        <f>33.27*100000000</f>
        <v>3327000000.0000005</v>
      </c>
      <c r="AY366" s="10">
        <f t="shared" si="179"/>
        <v>-0.72112321877619445</v>
      </c>
      <c r="AZ366" s="6" t="s">
        <v>4732</v>
      </c>
      <c r="BA366" s="6" t="str">
        <f t="shared" si="180"/>
        <v>=119.3*100000000</v>
      </c>
      <c r="BB366" s="1">
        <f>119.3*100000000</f>
        <v>11930000000</v>
      </c>
      <c r="BC366" s="8">
        <f t="shared" si="181"/>
        <v>0.26591680814940577</v>
      </c>
      <c r="BD366" s="6" t="s">
        <v>4733</v>
      </c>
      <c r="BE366" s="6" t="str">
        <f t="shared" si="182"/>
        <v>=94.24*100000000</v>
      </c>
      <c r="BF366" s="1">
        <f>94.24*100000000</f>
        <v>9424000000</v>
      </c>
      <c r="BG366" s="8">
        <f t="shared" si="183"/>
        <v>0.43702348276913694</v>
      </c>
      <c r="BH366" s="6" t="s">
        <v>4734</v>
      </c>
      <c r="BI366" s="6" t="str">
        <f t="shared" si="184"/>
        <v>=65.58*100000000</v>
      </c>
      <c r="BJ366" s="1">
        <f>65.58*100000000</f>
        <v>6558000000</v>
      </c>
      <c r="BK366" s="6" t="s">
        <v>4735</v>
      </c>
      <c r="BL366" s="1" t="str">
        <f t="shared" si="156"/>
        <v>=34.27*100000000</v>
      </c>
      <c r="BM366" s="16">
        <f t="shared" si="185"/>
        <v>0.91362707907791041</v>
      </c>
      <c r="BN366" s="1">
        <f>34.27*100000000</f>
        <v>3427000000.0000005</v>
      </c>
    </row>
    <row r="367" spans="1:66">
      <c r="A367" s="18"/>
      <c r="B367">
        <v>600310</v>
      </c>
      <c r="C367" t="s">
        <v>48</v>
      </c>
      <c r="D367" s="7" t="s">
        <v>4736</v>
      </c>
      <c r="E367" s="7" t="str">
        <f t="shared" si="155"/>
        <v>=9421*10000</v>
      </c>
      <c r="F367" s="1">
        <f>9421*10000</f>
        <v>94210000</v>
      </c>
      <c r="G367" s="8">
        <f t="shared" si="157"/>
        <v>-1.6904935823854744E-2</v>
      </c>
      <c r="H367" s="7" t="s">
        <v>4737</v>
      </c>
      <c r="I367" s="6" t="str">
        <f t="shared" si="158"/>
        <v>=9583*10000</v>
      </c>
      <c r="J367" s="1">
        <f>9583*10000</f>
        <v>95830000</v>
      </c>
      <c r="K367" s="10">
        <f t="shared" si="159"/>
        <v>-1.5937422552664189</v>
      </c>
      <c r="L367" s="6">
        <f>-1.614*100000000</f>
        <v>-161400000</v>
      </c>
      <c r="M367" s="6" t="str">
        <f t="shared" si="160"/>
        <v>=-161400000</v>
      </c>
      <c r="N367" s="1">
        <f>-161400000</f>
        <v>-161400000</v>
      </c>
      <c r="O367" s="8">
        <f t="shared" si="161"/>
        <v>-0.42562277580071173</v>
      </c>
      <c r="P367" s="6">
        <f>-2.81*100000000</f>
        <v>-281000000</v>
      </c>
      <c r="Q367" s="6" t="str">
        <f t="shared" si="162"/>
        <v>=-281000000</v>
      </c>
      <c r="R367" s="11">
        <f>-281000000</f>
        <v>-281000000</v>
      </c>
      <c r="S367" s="8">
        <f t="shared" si="163"/>
        <v>-1.8166230746875909</v>
      </c>
      <c r="T367" s="6" t="s">
        <v>4738</v>
      </c>
      <c r="U367" s="6" t="str">
        <f t="shared" si="164"/>
        <v>=3.441*100000000</v>
      </c>
      <c r="V367" s="1">
        <f>3.441*100000000</f>
        <v>344100000</v>
      </c>
      <c r="W367" s="8">
        <f t="shared" si="165"/>
        <v>0.33838973162193681</v>
      </c>
      <c r="X367" s="6" t="s">
        <v>4739</v>
      </c>
      <c r="Y367" s="6" t="str">
        <f t="shared" si="166"/>
        <v>=2.571*100000000</v>
      </c>
      <c r="Z367" s="1">
        <f>2.571*100000000</f>
        <v>257100000.00000003</v>
      </c>
      <c r="AA367" s="8">
        <f t="shared" si="167"/>
        <v>-26.761523046092186</v>
      </c>
      <c r="AB367" s="7">
        <f>-998*10000</f>
        <v>-9980000</v>
      </c>
      <c r="AC367" s="6" t="str">
        <f t="shared" si="168"/>
        <v>=-9980000</v>
      </c>
      <c r="AD367" s="1">
        <f>-9980000</f>
        <v>-9980000</v>
      </c>
      <c r="AE367" s="8">
        <f t="shared" si="169"/>
        <v>-0.93472858077174625</v>
      </c>
      <c r="AF367" s="6">
        <f>-1.529*100000000</f>
        <v>-152900000</v>
      </c>
      <c r="AG367" s="6" t="str">
        <f t="shared" si="170"/>
        <v>=-152900000</v>
      </c>
      <c r="AH367" s="1">
        <f>-152900000</f>
        <v>-152900000</v>
      </c>
      <c r="AI367" s="8">
        <f t="shared" si="171"/>
        <v>-1.6065053550178501</v>
      </c>
      <c r="AJ367" s="6" t="s">
        <v>3383</v>
      </c>
      <c r="AK367" s="6" t="str">
        <f t="shared" si="172"/>
        <v>=2.521*100000000</v>
      </c>
      <c r="AL367" s="1">
        <f>2.521*100000000</f>
        <v>252100000</v>
      </c>
      <c r="AM367" s="8">
        <f t="shared" si="173"/>
        <v>-2.0970873786407881E-2</v>
      </c>
      <c r="AN367" s="6" t="s">
        <v>1442</v>
      </c>
      <c r="AO367" s="6" t="str">
        <f t="shared" si="174"/>
        <v>=2.575*100000000</v>
      </c>
      <c r="AP367" s="1">
        <f>2.575*100000000</f>
        <v>257500000.00000003</v>
      </c>
      <c r="AQ367" s="8">
        <f t="shared" si="175"/>
        <v>0.15574506283662476</v>
      </c>
      <c r="AR367" s="6" t="s">
        <v>4740</v>
      </c>
      <c r="AS367" s="6" t="str">
        <f t="shared" si="176"/>
        <v>=2.228*100000000</v>
      </c>
      <c r="AT367" s="1">
        <f>2.228*100000000</f>
        <v>222800000.00000003</v>
      </c>
      <c r="AU367" s="8">
        <f t="shared" si="177"/>
        <v>-0.2683087027914613</v>
      </c>
      <c r="AV367" s="6" t="s">
        <v>4741</v>
      </c>
      <c r="AW367" s="6" t="str">
        <f t="shared" si="178"/>
        <v>=3.045*100000000</v>
      </c>
      <c r="AX367" s="1">
        <f>3.045*100000000</f>
        <v>304500000</v>
      </c>
      <c r="AY367" s="10">
        <f t="shared" si="179"/>
        <v>1.3882352941176472</v>
      </c>
      <c r="AZ367" s="6" t="s">
        <v>1266</v>
      </c>
      <c r="BA367" s="6" t="str">
        <f t="shared" si="180"/>
        <v>=1.275*100000000</v>
      </c>
      <c r="BB367" s="1">
        <f>1.275*100000000</f>
        <v>127499999.99999999</v>
      </c>
      <c r="BC367" s="8">
        <f t="shared" si="181"/>
        <v>1.2317521442324519</v>
      </c>
      <c r="BD367" s="7" t="s">
        <v>4742</v>
      </c>
      <c r="BE367" s="6" t="str">
        <f t="shared" si="182"/>
        <v>=5713*10000</v>
      </c>
      <c r="BF367" s="1">
        <f>5713*10000</f>
        <v>57130000</v>
      </c>
      <c r="BG367" s="8">
        <f t="shared" si="183"/>
        <v>0.22307856989937916</v>
      </c>
      <c r="BH367" s="7" t="s">
        <v>4743</v>
      </c>
      <c r="BI367" s="6" t="str">
        <f t="shared" si="184"/>
        <v>=4671*10000</v>
      </c>
      <c r="BJ367" s="1">
        <f>4671*10000</f>
        <v>46710000</v>
      </c>
      <c r="BK367" s="7">
        <f>-6928*10000</f>
        <v>-69280000</v>
      </c>
      <c r="BL367" s="1" t="str">
        <f t="shared" si="156"/>
        <v>=-69280000</v>
      </c>
      <c r="BM367" s="16">
        <f t="shared" si="185"/>
        <v>-1.6742205542725173</v>
      </c>
      <c r="BN367" s="1">
        <f>-69280000</f>
        <v>-69280000</v>
      </c>
    </row>
    <row r="368" spans="1:66">
      <c r="A368" s="18"/>
      <c r="B368">
        <v>600310</v>
      </c>
      <c r="C368" t="s">
        <v>58</v>
      </c>
      <c r="D368" s="6" t="s">
        <v>4744</v>
      </c>
      <c r="E368" s="7" t="str">
        <f t="shared" si="155"/>
        <v>=1.351*100000000</v>
      </c>
      <c r="F368" s="1">
        <f>1.351*100000000</f>
        <v>135100000</v>
      </c>
      <c r="G368" s="8">
        <f t="shared" si="157"/>
        <v>6.4617809298660484E-2</v>
      </c>
      <c r="H368" s="6" t="s">
        <v>4745</v>
      </c>
      <c r="I368" s="6" t="str">
        <f t="shared" si="158"/>
        <v>=1.269*100000000</v>
      </c>
      <c r="J368" s="1">
        <f>1.269*100000000</f>
        <v>126899999.99999999</v>
      </c>
      <c r="K368" s="10">
        <f t="shared" si="159"/>
        <v>-1.9620924943138742</v>
      </c>
      <c r="L368" s="6">
        <f>-1.319*100000000</f>
        <v>-131900000</v>
      </c>
      <c r="M368" s="6" t="str">
        <f t="shared" si="160"/>
        <v>=-131900000</v>
      </c>
      <c r="N368" s="1">
        <f>-131900000</f>
        <v>-131900000</v>
      </c>
      <c r="O368" s="8">
        <f t="shared" si="161"/>
        <v>-0.53027065527065531</v>
      </c>
      <c r="P368" s="6">
        <f>-2.808*100000000</f>
        <v>-280800000</v>
      </c>
      <c r="Q368" s="6" t="str">
        <f t="shared" si="162"/>
        <v>=-280800000</v>
      </c>
      <c r="R368" s="11">
        <f>-280800000</f>
        <v>-280800000</v>
      </c>
      <c r="S368" s="8">
        <f t="shared" si="163"/>
        <v>-1.7854545454545454</v>
      </c>
      <c r="T368" s="6" t="s">
        <v>4746</v>
      </c>
      <c r="U368" s="6" t="str">
        <f t="shared" si="164"/>
        <v>=3.575*100000000</v>
      </c>
      <c r="V368" s="1">
        <f>3.575*100000000</f>
        <v>357500000</v>
      </c>
      <c r="W368" s="8">
        <f t="shared" si="165"/>
        <v>0.3495658739146848</v>
      </c>
      <c r="X368" s="6" t="s">
        <v>1291</v>
      </c>
      <c r="Y368" s="6" t="str">
        <f t="shared" si="166"/>
        <v>=2.649*100000000</v>
      </c>
      <c r="Z368" s="1">
        <f>2.649*100000000</f>
        <v>264900000</v>
      </c>
      <c r="AA368" s="8">
        <f t="shared" si="167"/>
        <v>-60.195530726256983</v>
      </c>
      <c r="AB368" s="7">
        <f>-447.5*10000</f>
        <v>-4475000</v>
      </c>
      <c r="AC368" s="6" t="str">
        <f t="shared" si="168"/>
        <v>=-4475000</v>
      </c>
      <c r="AD368" s="1">
        <f>-4475000</f>
        <v>-4475000</v>
      </c>
      <c r="AE368" s="8">
        <f t="shared" si="169"/>
        <v>-0.97067496723460023</v>
      </c>
      <c r="AF368" s="6">
        <f>-1.526*100000000</f>
        <v>-152600000</v>
      </c>
      <c r="AG368" s="6" t="str">
        <f t="shared" si="170"/>
        <v>=-152600000</v>
      </c>
      <c r="AH368" s="1">
        <f>-152600000</f>
        <v>-152600000</v>
      </c>
      <c r="AI368" s="8">
        <f t="shared" si="171"/>
        <v>-1.6074840764331211</v>
      </c>
      <c r="AJ368" s="6" t="s">
        <v>4747</v>
      </c>
      <c r="AK368" s="6" t="str">
        <f t="shared" si="172"/>
        <v>=2.512*100000000</v>
      </c>
      <c r="AL368" s="1">
        <f>2.512*100000000</f>
        <v>251200000</v>
      </c>
      <c r="AM368" s="8">
        <f t="shared" si="173"/>
        <v>-3.0864197530864196E-2</v>
      </c>
      <c r="AN368" s="6" t="s">
        <v>4748</v>
      </c>
      <c r="AO368" s="6" t="str">
        <f t="shared" si="174"/>
        <v>=2.592*100000000</v>
      </c>
      <c r="AP368" s="1">
        <f>2.592*100000000</f>
        <v>259200000</v>
      </c>
      <c r="AQ368" s="8">
        <f t="shared" si="175"/>
        <v>0.13584574934268187</v>
      </c>
      <c r="AR368" s="6" t="s">
        <v>3874</v>
      </c>
      <c r="AS368" s="6" t="str">
        <f t="shared" si="176"/>
        <v>=2.282*100000000</v>
      </c>
      <c r="AT368" s="1">
        <f>2.282*100000000</f>
        <v>228200000</v>
      </c>
      <c r="AU368" s="8">
        <f t="shared" si="177"/>
        <v>-0.26196636481241914</v>
      </c>
      <c r="AV368" s="6" t="s">
        <v>4749</v>
      </c>
      <c r="AW368" s="6" t="str">
        <f t="shared" si="178"/>
        <v>=3.092*100000000</v>
      </c>
      <c r="AX368" s="1">
        <f>3.092*100000000</f>
        <v>309200000</v>
      </c>
      <c r="AY368" s="10">
        <f t="shared" si="179"/>
        <v>1.1472222222222221</v>
      </c>
      <c r="AZ368" s="6" t="s">
        <v>4750</v>
      </c>
      <c r="BA368" s="6" t="str">
        <f t="shared" si="180"/>
        <v>=1.440*100000000</v>
      </c>
      <c r="BB368" s="1">
        <f>1.44*100000000</f>
        <v>144000000</v>
      </c>
      <c r="BC368" s="8">
        <f t="shared" si="181"/>
        <v>1.2824536376604849</v>
      </c>
      <c r="BD368" s="7" t="s">
        <v>4751</v>
      </c>
      <c r="BE368" s="6" t="str">
        <f t="shared" si="182"/>
        <v>=6309*10000</v>
      </c>
      <c r="BF368" s="1">
        <f>6309*10000</f>
        <v>63090000</v>
      </c>
      <c r="BG368" s="8">
        <f t="shared" si="183"/>
        <v>0.23802982731554159</v>
      </c>
      <c r="BH368" s="7" t="s">
        <v>4752</v>
      </c>
      <c r="BI368" s="6" t="str">
        <f t="shared" si="184"/>
        <v>=5096*10000</v>
      </c>
      <c r="BJ368" s="1">
        <f>5096*10000</f>
        <v>50960000</v>
      </c>
      <c r="BK368" s="7">
        <f>-6595*10000</f>
        <v>-65950000</v>
      </c>
      <c r="BL368" s="1" t="str">
        <f t="shared" si="156"/>
        <v>=-65950000</v>
      </c>
      <c r="BM368" s="16">
        <f t="shared" si="185"/>
        <v>-1.7727065959059893</v>
      </c>
      <c r="BN368" s="1">
        <f>-65950000</f>
        <v>-65950000</v>
      </c>
    </row>
    <row r="369" spans="1:66">
      <c r="A369" s="19"/>
      <c r="B369">
        <v>600310</v>
      </c>
      <c r="C369" t="s">
        <v>68</v>
      </c>
      <c r="D369" s="7" t="s">
        <v>4753</v>
      </c>
      <c r="E369" s="7" t="str">
        <f t="shared" si="155"/>
        <v>=9932*10000</v>
      </c>
      <c r="F369" s="1">
        <f>9932*10000</f>
        <v>99320000</v>
      </c>
      <c r="G369" s="8">
        <f t="shared" si="157"/>
        <v>4.6795952782462055E-2</v>
      </c>
      <c r="H369" s="7" t="s">
        <v>1754</v>
      </c>
      <c r="I369" s="6" t="str">
        <f t="shared" si="158"/>
        <v>=9488*10000</v>
      </c>
      <c r="J369" s="1">
        <f>9488*10000</f>
        <v>94880000</v>
      </c>
      <c r="K369" s="10">
        <f t="shared" si="159"/>
        <v>-1.9903966597077245</v>
      </c>
      <c r="L369" s="7">
        <f>-9580*10000</f>
        <v>-95800000</v>
      </c>
      <c r="M369" s="6" t="str">
        <f t="shared" si="160"/>
        <v>=-95800000</v>
      </c>
      <c r="N369" s="1">
        <f>-95800000</f>
        <v>-95800000</v>
      </c>
      <c r="O369" s="8">
        <f t="shared" si="161"/>
        <v>-0.59543918918918914</v>
      </c>
      <c r="P369" s="6">
        <f>-2.368*100000000</f>
        <v>-236800000</v>
      </c>
      <c r="Q369" s="6" t="str">
        <f t="shared" si="162"/>
        <v>=-236800000</v>
      </c>
      <c r="R369" s="11">
        <f>-236800000</f>
        <v>-236800000</v>
      </c>
      <c r="S369" s="8">
        <f t="shared" si="163"/>
        <v>-1.8230795968022246</v>
      </c>
      <c r="T369" s="6" t="s">
        <v>4754</v>
      </c>
      <c r="U369" s="6" t="str">
        <f t="shared" si="164"/>
        <v>=2.877*100000000</v>
      </c>
      <c r="V369" s="1">
        <f>2.877*100000000</f>
        <v>287700000</v>
      </c>
      <c r="W369" s="8">
        <f t="shared" si="165"/>
        <v>0.38450433108758442</v>
      </c>
      <c r="X369" s="6" t="s">
        <v>4755</v>
      </c>
      <c r="Y369" s="6" t="str">
        <f t="shared" si="166"/>
        <v>=2.078*100000000</v>
      </c>
      <c r="Z369" s="1">
        <f>2.078*100000000</f>
        <v>207799999.99999997</v>
      </c>
      <c r="AA369" s="8">
        <f t="shared" si="167"/>
        <v>-22.418264275407129</v>
      </c>
      <c r="AB369" s="7">
        <f>-970.2*10000</f>
        <v>-9702000</v>
      </c>
      <c r="AC369" s="6" t="str">
        <f t="shared" si="168"/>
        <v>=-9702000</v>
      </c>
      <c r="AD369" s="1">
        <f>-9702000</f>
        <v>-9702000</v>
      </c>
      <c r="AE369" s="8">
        <f t="shared" si="169"/>
        <v>-0.93143462897526497</v>
      </c>
      <c r="AF369" s="6">
        <f>-1.415*100000000</f>
        <v>-141500000</v>
      </c>
      <c r="AG369" s="6" t="str">
        <f t="shared" si="170"/>
        <v>=-141500000</v>
      </c>
      <c r="AH369" s="1">
        <f>-141500000</f>
        <v>-141500000</v>
      </c>
      <c r="AI369" s="8">
        <f t="shared" si="171"/>
        <v>-1.7416142557651992</v>
      </c>
      <c r="AJ369" s="6" t="s">
        <v>4756</v>
      </c>
      <c r="AK369" s="6" t="str">
        <f t="shared" si="172"/>
        <v>=1.908*100000000</v>
      </c>
      <c r="AL369" s="1">
        <f>1.908*100000000</f>
        <v>190800000</v>
      </c>
      <c r="AM369" s="8">
        <f t="shared" si="173"/>
        <v>-0.10042432814710042</v>
      </c>
      <c r="AN369" s="6" t="s">
        <v>4757</v>
      </c>
      <c r="AO369" s="6" t="str">
        <f t="shared" si="174"/>
        <v>=2.121*100000000</v>
      </c>
      <c r="AP369" s="1">
        <f>2.121*100000000</f>
        <v>212100000</v>
      </c>
      <c r="AQ369" s="8">
        <f t="shared" si="175"/>
        <v>0.14093598708983324</v>
      </c>
      <c r="AR369" s="6" t="s">
        <v>4758</v>
      </c>
      <c r="AS369" s="6" t="str">
        <f t="shared" si="176"/>
        <v>=1.859*100000000</v>
      </c>
      <c r="AT369" s="1">
        <f>1.859*100000000</f>
        <v>185900000</v>
      </c>
      <c r="AU369" s="8">
        <f t="shared" si="177"/>
        <v>-0.32473665092626225</v>
      </c>
      <c r="AV369" s="6" t="s">
        <v>4759</v>
      </c>
      <c r="AW369" s="6" t="str">
        <f t="shared" si="178"/>
        <v>=2.753*100000000</v>
      </c>
      <c r="AX369" s="1">
        <f>2.753*100000000</f>
        <v>275300000</v>
      </c>
      <c r="AY369" s="10">
        <f t="shared" si="179"/>
        <v>1.7149901380670611</v>
      </c>
      <c r="AZ369" s="6" t="s">
        <v>4298</v>
      </c>
      <c r="BA369" s="6" t="str">
        <f t="shared" si="180"/>
        <v>=1.014*100000000</v>
      </c>
      <c r="BB369" s="1">
        <f>1.014*100000000</f>
        <v>101400000</v>
      </c>
      <c r="BC369" s="8">
        <f t="shared" si="181"/>
        <v>1.7987855368479162</v>
      </c>
      <c r="BD369" s="7" t="s">
        <v>4760</v>
      </c>
      <c r="BE369" s="6" t="str">
        <f t="shared" si="182"/>
        <v>=3623*10000</v>
      </c>
      <c r="BF369" s="1">
        <f>3623*10000</f>
        <v>36230000</v>
      </c>
      <c r="BG369" s="8">
        <f t="shared" si="183"/>
        <v>0.44977991196478589</v>
      </c>
      <c r="BH369" s="7" t="s">
        <v>4761</v>
      </c>
      <c r="BI369" s="6" t="str">
        <f t="shared" si="184"/>
        <v>=2499*10000</v>
      </c>
      <c r="BJ369" s="1">
        <f>2499*10000</f>
        <v>24990000</v>
      </c>
      <c r="BK369" s="7">
        <f>-6995*10000</f>
        <v>-69950000</v>
      </c>
      <c r="BL369" s="1" t="str">
        <f t="shared" si="156"/>
        <v>=-69950000</v>
      </c>
      <c r="BM369" s="16">
        <f t="shared" si="185"/>
        <v>-1.3572551822730521</v>
      </c>
      <c r="BN369" s="1">
        <f>-69950000</f>
        <v>-69950000</v>
      </c>
    </row>
    <row r="370" spans="1:66">
      <c r="A370" s="17">
        <v>93</v>
      </c>
      <c r="B370">
        <v>600313</v>
      </c>
      <c r="C370" t="s">
        <v>31</v>
      </c>
      <c r="D370" s="6" t="s">
        <v>4762</v>
      </c>
      <c r="E370" s="7" t="str">
        <f t="shared" si="155"/>
        <v>=37.64*100000000</v>
      </c>
      <c r="F370" s="1">
        <f>37.64*100000000</f>
        <v>3764000000</v>
      </c>
      <c r="G370" s="8">
        <f t="shared" si="157"/>
        <v>0.34236804564907275</v>
      </c>
      <c r="H370" s="6" t="s">
        <v>4763</v>
      </c>
      <c r="I370" s="6" t="str">
        <f t="shared" si="158"/>
        <v>=28.04*100000000</v>
      </c>
      <c r="J370" s="1">
        <f>28.04*100000000</f>
        <v>2804000000</v>
      </c>
      <c r="K370" s="10">
        <f t="shared" si="159"/>
        <v>0.36514118792599803</v>
      </c>
      <c r="L370" s="6" t="s">
        <v>2671</v>
      </c>
      <c r="M370" s="6" t="str">
        <f t="shared" si="160"/>
        <v>=20.54*100000000</v>
      </c>
      <c r="N370" s="1">
        <f>20.54*100000000</f>
        <v>2054000000</v>
      </c>
      <c r="O370" s="8">
        <f t="shared" si="161"/>
        <v>1.2071781646249733</v>
      </c>
      <c r="P370" s="6" t="s">
        <v>4764</v>
      </c>
      <c r="Q370" s="6" t="str">
        <f t="shared" si="162"/>
        <v>=9.306*100000000</v>
      </c>
      <c r="R370" s="11">
        <f>9.306*100000000</f>
        <v>930599999.99999988</v>
      </c>
      <c r="S370" s="8">
        <f t="shared" si="163"/>
        <v>-0.74594594594594599</v>
      </c>
      <c r="T370" s="6" t="s">
        <v>4765</v>
      </c>
      <c r="U370" s="6" t="str">
        <f t="shared" si="164"/>
        <v>=36.63*100000000</v>
      </c>
      <c r="V370" s="1">
        <f>36.63*100000000</f>
        <v>3663000000.0000005</v>
      </c>
      <c r="W370" s="8">
        <f t="shared" si="165"/>
        <v>0.60587461639631757</v>
      </c>
      <c r="X370" s="6" t="s">
        <v>2952</v>
      </c>
      <c r="Y370" s="6" t="str">
        <f t="shared" si="166"/>
        <v>=22.81*100000000</v>
      </c>
      <c r="Z370" s="1">
        <f>22.81*100000000</f>
        <v>2281000000</v>
      </c>
      <c r="AA370" s="8">
        <f t="shared" si="167"/>
        <v>0.81752988047808761</v>
      </c>
      <c r="AB370" s="6" t="s">
        <v>4766</v>
      </c>
      <c r="AC370" s="6" t="str">
        <f t="shared" si="168"/>
        <v>=12.55*100000000</v>
      </c>
      <c r="AD370" s="1">
        <f>12.55*100000000</f>
        <v>1255000000</v>
      </c>
      <c r="AE370" s="8">
        <f t="shared" si="169"/>
        <v>3.0759987008769083</v>
      </c>
      <c r="AF370" s="6" t="s">
        <v>4767</v>
      </c>
      <c r="AG370" s="6" t="str">
        <f t="shared" si="170"/>
        <v>=3.079*100000000</v>
      </c>
      <c r="AH370" s="1">
        <f>3.079*100000000</f>
        <v>307900000</v>
      </c>
      <c r="AI370" s="8">
        <f t="shared" si="171"/>
        <v>-0.9400506230529595</v>
      </c>
      <c r="AJ370" s="6" t="s">
        <v>4768</v>
      </c>
      <c r="AK370" s="6" t="str">
        <f t="shared" si="172"/>
        <v>=51.36*100000000</v>
      </c>
      <c r="AL370" s="1">
        <f>51.36*100000000</f>
        <v>5136000000</v>
      </c>
      <c r="AM370" s="8">
        <f t="shared" si="173"/>
        <v>0.31759876859928182</v>
      </c>
      <c r="AN370" s="6" t="s">
        <v>4769</v>
      </c>
      <c r="AO370" s="6" t="str">
        <f t="shared" si="174"/>
        <v>=38.98*100000000</v>
      </c>
      <c r="AP370" s="1">
        <f>38.98*100000000</f>
        <v>3897999999.9999995</v>
      </c>
      <c r="AQ370" s="8">
        <f t="shared" si="175"/>
        <v>0.65872340425531895</v>
      </c>
      <c r="AR370" s="6" t="s">
        <v>4770</v>
      </c>
      <c r="AS370" s="6" t="str">
        <f t="shared" si="176"/>
        <v>=23.50*100000000</v>
      </c>
      <c r="AT370" s="1">
        <f>23.5*100000000</f>
        <v>2350000000</v>
      </c>
      <c r="AU370" s="8">
        <f t="shared" si="177"/>
        <v>1.6134341637010674</v>
      </c>
      <c r="AV370" s="6" t="s">
        <v>4771</v>
      </c>
      <c r="AW370" s="6" t="str">
        <f t="shared" si="178"/>
        <v>=8.992*100000000</v>
      </c>
      <c r="AX370" s="1">
        <f>8.992*100000000</f>
        <v>899200000.00000012</v>
      </c>
      <c r="AY370" s="10">
        <f t="shared" si="179"/>
        <v>-0.7390597794544399</v>
      </c>
      <c r="AZ370" s="6" t="s">
        <v>4772</v>
      </c>
      <c r="BA370" s="6" t="str">
        <f t="shared" si="180"/>
        <v>=34.46*100000000</v>
      </c>
      <c r="BB370" s="1">
        <f>34.46*100000000</f>
        <v>3446000000</v>
      </c>
      <c r="BC370" s="8">
        <f t="shared" si="181"/>
        <v>0.50875656742556918</v>
      </c>
      <c r="BD370" s="6" t="s">
        <v>4773</v>
      </c>
      <c r="BE370" s="6" t="str">
        <f t="shared" si="182"/>
        <v>=22.84*100000000</v>
      </c>
      <c r="BF370" s="1">
        <f>22.84*100000000</f>
        <v>2284000000</v>
      </c>
      <c r="BG370" s="8">
        <f t="shared" si="183"/>
        <v>0.54637779282329046</v>
      </c>
      <c r="BH370" s="6" t="s">
        <v>4552</v>
      </c>
      <c r="BI370" s="6" t="str">
        <f t="shared" si="184"/>
        <v>=14.77*100000000</v>
      </c>
      <c r="BJ370" s="1">
        <f>14.77*100000000</f>
        <v>1477000000</v>
      </c>
      <c r="BK370" s="6" t="s">
        <v>4774</v>
      </c>
      <c r="BL370" s="1" t="str">
        <f t="shared" si="156"/>
        <v>=6.053*100000000</v>
      </c>
      <c r="BM370" s="16">
        <f t="shared" si="185"/>
        <v>1.4401123409879399</v>
      </c>
      <c r="BN370" s="1">
        <f>6.053*100000000</f>
        <v>605300000</v>
      </c>
    </row>
    <row r="371" spans="1:66">
      <c r="A371" s="18"/>
      <c r="B371">
        <v>600313</v>
      </c>
      <c r="C371" t="s">
        <v>48</v>
      </c>
      <c r="D371" s="7" t="s">
        <v>4775</v>
      </c>
      <c r="E371" s="7" t="str">
        <f t="shared" si="155"/>
        <v>=9396*10000</v>
      </c>
      <c r="F371" s="1">
        <f>9396*10000</f>
        <v>93960000</v>
      </c>
      <c r="G371" s="8">
        <f t="shared" si="157"/>
        <v>-9.3445825932504434</v>
      </c>
      <c r="H371" s="7">
        <f>-1126*10000</f>
        <v>-11260000</v>
      </c>
      <c r="I371" s="6" t="str">
        <f t="shared" si="158"/>
        <v>=-11260000</v>
      </c>
      <c r="J371" s="1">
        <f>-11260000</f>
        <v>-11260000</v>
      </c>
      <c r="K371" s="10">
        <f t="shared" si="159"/>
        <v>0.43971359161232582</v>
      </c>
      <c r="L371" s="7">
        <f>-782.1*10000</f>
        <v>-7821000</v>
      </c>
      <c r="M371" s="6" t="str">
        <f t="shared" si="160"/>
        <v>=-7821000</v>
      </c>
      <c r="N371" s="1">
        <f>-7821000</f>
        <v>-7821000</v>
      </c>
      <c r="O371" s="8">
        <f t="shared" si="161"/>
        <v>4.5864285714285717</v>
      </c>
      <c r="P371" s="7">
        <f>-140*10000</f>
        <v>-1400000</v>
      </c>
      <c r="Q371" s="6" t="str">
        <f t="shared" si="162"/>
        <v>=-1400000</v>
      </c>
      <c r="R371" s="11">
        <f>-1400000</f>
        <v>-1400000</v>
      </c>
      <c r="S371" s="8">
        <f t="shared" si="163"/>
        <v>-1.0246565692145122</v>
      </c>
      <c r="T371" s="7" t="s">
        <v>4776</v>
      </c>
      <c r="U371" s="6" t="str">
        <f t="shared" si="164"/>
        <v>=5678*10000</v>
      </c>
      <c r="V371" s="1">
        <f>5678*10000</f>
        <v>56780000</v>
      </c>
      <c r="W371" s="8">
        <f t="shared" si="165"/>
        <v>-4.0170031880977684</v>
      </c>
      <c r="X371" s="7">
        <f>-1882*10000</f>
        <v>-18820000</v>
      </c>
      <c r="Y371" s="6" t="str">
        <f t="shared" si="166"/>
        <v>=-18820000</v>
      </c>
      <c r="Z371" s="1">
        <f>-18820000</f>
        <v>-18820000</v>
      </c>
      <c r="AA371" s="8">
        <f t="shared" si="167"/>
        <v>-0.14493412085415719</v>
      </c>
      <c r="AB371" s="7">
        <f>-2201*10000</f>
        <v>-22010000</v>
      </c>
      <c r="AC371" s="6" t="str">
        <f t="shared" si="168"/>
        <v>=-22010000</v>
      </c>
      <c r="AD371" s="1">
        <f>-22010000</f>
        <v>-22010000</v>
      </c>
      <c r="AE371" s="8">
        <f t="shared" si="169"/>
        <v>0.15416885159937074</v>
      </c>
      <c r="AF371" s="7">
        <f>-1907*10000</f>
        <v>-19070000</v>
      </c>
      <c r="AG371" s="6" t="str">
        <f t="shared" si="170"/>
        <v>=-19070000</v>
      </c>
      <c r="AH371" s="1">
        <f>-19070000</f>
        <v>-19070000</v>
      </c>
      <c r="AI371" s="8">
        <f t="shared" si="171"/>
        <v>-1.3628234398782344</v>
      </c>
      <c r="AJ371" s="7" t="s">
        <v>2091</v>
      </c>
      <c r="AK371" s="6" t="str">
        <f t="shared" si="172"/>
        <v>=5256*10000</v>
      </c>
      <c r="AL371" s="1">
        <f>5256*10000</f>
        <v>52560000</v>
      </c>
      <c r="AM371" s="8">
        <f t="shared" si="173"/>
        <v>-4.7489300998573469</v>
      </c>
      <c r="AN371" s="7">
        <f>-1402*10000</f>
        <v>-14020000</v>
      </c>
      <c r="AO371" s="6" t="str">
        <f t="shared" si="174"/>
        <v>=-14020000</v>
      </c>
      <c r="AP371" s="1">
        <f>-14020000</f>
        <v>-14020000</v>
      </c>
      <c r="AQ371" s="8">
        <f t="shared" si="175"/>
        <v>-0.26171669299631384</v>
      </c>
      <c r="AR371" s="7">
        <f>-1899*10000</f>
        <v>-18990000</v>
      </c>
      <c r="AS371" s="6" t="str">
        <f t="shared" si="176"/>
        <v>=-18990000</v>
      </c>
      <c r="AT371" s="1">
        <f>-18990000</f>
        <v>-18990000</v>
      </c>
      <c r="AU371" s="8">
        <f t="shared" si="177"/>
        <v>0.47897196261682246</v>
      </c>
      <c r="AV371" s="7">
        <f>-1284*10000</f>
        <v>-12840000</v>
      </c>
      <c r="AW371" s="6" t="str">
        <f t="shared" si="178"/>
        <v>=-12840000</v>
      </c>
      <c r="AX371" s="1">
        <f>-12840000</f>
        <v>-12840000</v>
      </c>
      <c r="AY371" s="10">
        <f t="shared" si="179"/>
        <v>-2.0174326465927099</v>
      </c>
      <c r="AZ371" s="7" t="s">
        <v>4777</v>
      </c>
      <c r="BA371" s="6" t="str">
        <f t="shared" si="180"/>
        <v>=1262*10000</v>
      </c>
      <c r="BB371" s="1">
        <f>1262*10000</f>
        <v>12620000</v>
      </c>
      <c r="BC371" s="8">
        <f t="shared" si="181"/>
        <v>-6.656656207978485</v>
      </c>
      <c r="BD371" s="7">
        <f>-223.1*10000</f>
        <v>-2231000</v>
      </c>
      <c r="BE371" s="6" t="str">
        <f t="shared" si="182"/>
        <v>=-2231000</v>
      </c>
      <c r="BF371" s="1">
        <f>-2231000</f>
        <v>-2231000</v>
      </c>
      <c r="BG371" s="8">
        <f t="shared" si="183"/>
        <v>-0.9185469149324571</v>
      </c>
      <c r="BH371" s="7">
        <f>-2739*10000</f>
        <v>-27390000</v>
      </c>
      <c r="BI371" s="6" t="str">
        <f t="shared" si="184"/>
        <v>=-27390000</v>
      </c>
      <c r="BJ371" s="1">
        <f>-27390000</f>
        <v>-27390000</v>
      </c>
      <c r="BK371" s="7">
        <f>-2103*10000</f>
        <v>-21030000</v>
      </c>
      <c r="BL371" s="1" t="str">
        <f t="shared" si="156"/>
        <v>=-21030000</v>
      </c>
      <c r="BM371" s="16">
        <f t="shared" si="185"/>
        <v>0.30242510699001429</v>
      </c>
      <c r="BN371" s="1">
        <f>-21030000</f>
        <v>-21030000</v>
      </c>
    </row>
    <row r="372" spans="1:66">
      <c r="A372" s="18"/>
      <c r="B372">
        <v>600313</v>
      </c>
      <c r="C372" t="s">
        <v>58</v>
      </c>
      <c r="D372" s="7" t="s">
        <v>4778</v>
      </c>
      <c r="E372" s="7" t="str">
        <f t="shared" si="155"/>
        <v>=9378*10000</v>
      </c>
      <c r="F372" s="1">
        <f>9378*10000</f>
        <v>93780000</v>
      </c>
      <c r="G372" s="8">
        <f t="shared" si="157"/>
        <v>-9.8806818181818183</v>
      </c>
      <c r="H372" s="7">
        <f>-1056*10000</f>
        <v>-10560000</v>
      </c>
      <c r="I372" s="6" t="str">
        <f t="shared" si="158"/>
        <v>=-10560000</v>
      </c>
      <c r="J372" s="1">
        <f>-10560000</f>
        <v>-10560000</v>
      </c>
      <c r="K372" s="10">
        <f t="shared" si="159"/>
        <v>0.56699807093040511</v>
      </c>
      <c r="L372" s="7">
        <f>-673.9*10000</f>
        <v>-6739000</v>
      </c>
      <c r="M372" s="6" t="str">
        <f t="shared" si="160"/>
        <v>=-6739000</v>
      </c>
      <c r="N372" s="1">
        <f>-6739000</f>
        <v>-6739000</v>
      </c>
      <c r="O372" s="8">
        <f t="shared" si="161"/>
        <v>3.8586878154289832</v>
      </c>
      <c r="P372" s="7">
        <f>-138.7*10000</f>
        <v>-1387000</v>
      </c>
      <c r="Q372" s="6" t="str">
        <f t="shared" si="162"/>
        <v>=-1387000</v>
      </c>
      <c r="R372" s="11">
        <f>-1387000</f>
        <v>-1387000</v>
      </c>
      <c r="S372" s="8">
        <f t="shared" si="163"/>
        <v>-1.0238890802617981</v>
      </c>
      <c r="T372" s="7" t="s">
        <v>4779</v>
      </c>
      <c r="U372" s="6" t="str">
        <f t="shared" si="164"/>
        <v>=5806*10000</v>
      </c>
      <c r="V372" s="1">
        <f>5806*10000</f>
        <v>58060000</v>
      </c>
      <c r="W372" s="8">
        <f t="shared" si="165"/>
        <v>-4.3618992472495659</v>
      </c>
      <c r="X372" s="7">
        <f>-1727*10000</f>
        <v>-17270000</v>
      </c>
      <c r="Y372" s="6" t="str">
        <f t="shared" si="166"/>
        <v>=-17270000</v>
      </c>
      <c r="Z372" s="1">
        <f>-17270000</f>
        <v>-17270000</v>
      </c>
      <c r="AA372" s="8">
        <f t="shared" si="167"/>
        <v>-0.19711761971176198</v>
      </c>
      <c r="AB372" s="7">
        <f>-2151*10000</f>
        <v>-21510000</v>
      </c>
      <c r="AC372" s="6" t="str">
        <f t="shared" si="168"/>
        <v>=-21510000</v>
      </c>
      <c r="AD372" s="1">
        <f>-21510000</f>
        <v>-21510000</v>
      </c>
      <c r="AE372" s="8">
        <f t="shared" si="169"/>
        <v>0.12794965915049816</v>
      </c>
      <c r="AF372" s="7">
        <f>-1907*10000</f>
        <v>-19070000</v>
      </c>
      <c r="AG372" s="6" t="str">
        <f t="shared" si="170"/>
        <v>=-19070000</v>
      </c>
      <c r="AH372" s="1">
        <f>-19070000</f>
        <v>-19070000</v>
      </c>
      <c r="AI372" s="8">
        <f t="shared" si="171"/>
        <v>-1.3554520037278659</v>
      </c>
      <c r="AJ372" s="7" t="s">
        <v>4780</v>
      </c>
      <c r="AK372" s="6" t="str">
        <f t="shared" si="172"/>
        <v>=5365*10000</v>
      </c>
      <c r="AL372" s="1">
        <f>5365*10000</f>
        <v>53650000</v>
      </c>
      <c r="AM372" s="8">
        <f t="shared" si="173"/>
        <v>-4.6949035812672175</v>
      </c>
      <c r="AN372" s="7">
        <f>-1452*10000</f>
        <v>-14520000</v>
      </c>
      <c r="AO372" s="6" t="str">
        <f t="shared" si="174"/>
        <v>=-14520000</v>
      </c>
      <c r="AP372" s="1">
        <f>-14520000</f>
        <v>-14520000</v>
      </c>
      <c r="AQ372" s="8">
        <f t="shared" si="175"/>
        <v>-0.27472527472527475</v>
      </c>
      <c r="AR372" s="7">
        <f>-2002*10000</f>
        <v>-20020000</v>
      </c>
      <c r="AS372" s="6" t="str">
        <f t="shared" si="176"/>
        <v>=-20020000</v>
      </c>
      <c r="AT372" s="1">
        <f>-20020000</f>
        <v>-20020000</v>
      </c>
      <c r="AU372" s="8">
        <f t="shared" si="177"/>
        <v>0.56040530007794231</v>
      </c>
      <c r="AV372" s="7">
        <f>-1283*10000</f>
        <v>-12830000</v>
      </c>
      <c r="AW372" s="6" t="str">
        <f t="shared" si="178"/>
        <v>=-12830000</v>
      </c>
      <c r="AX372" s="1">
        <f>-12830000</f>
        <v>-12830000</v>
      </c>
      <c r="AY372" s="10">
        <f t="shared" si="179"/>
        <v>-1.2187553282182437</v>
      </c>
      <c r="AZ372" s="7" t="s">
        <v>4781</v>
      </c>
      <c r="BA372" s="6" t="str">
        <f t="shared" si="180"/>
        <v>=5865*10000</v>
      </c>
      <c r="BB372" s="1">
        <f>5865*10000</f>
        <v>58650000</v>
      </c>
      <c r="BC372" s="8">
        <f t="shared" si="181"/>
        <v>9.2302459445316583</v>
      </c>
      <c r="BD372" s="7" t="s">
        <v>4782</v>
      </c>
      <c r="BE372" s="6" t="str">
        <f t="shared" si="182"/>
        <v>=573.3*10000</v>
      </c>
      <c r="BF372" s="1">
        <f>573.3*10000</f>
        <v>5733000</v>
      </c>
      <c r="BG372" s="8">
        <f t="shared" si="183"/>
        <v>-1.2096927578639356</v>
      </c>
      <c r="BH372" s="7">
        <f>-2734*10000</f>
        <v>-27340000</v>
      </c>
      <c r="BI372" s="6" t="str">
        <f t="shared" si="184"/>
        <v>=-27340000</v>
      </c>
      <c r="BJ372" s="1">
        <f>-27340000</f>
        <v>-27340000</v>
      </c>
      <c r="BK372" s="7">
        <f>-1985*10000</f>
        <v>-19850000</v>
      </c>
      <c r="BL372" s="1" t="str">
        <f t="shared" si="156"/>
        <v>=-19850000</v>
      </c>
      <c r="BM372" s="16">
        <f t="shared" si="185"/>
        <v>0.3773299748110831</v>
      </c>
      <c r="BN372" s="1">
        <f>-19850000</f>
        <v>-19850000</v>
      </c>
    </row>
    <row r="373" spans="1:66">
      <c r="A373" s="19"/>
      <c r="B373">
        <v>600313</v>
      </c>
      <c r="C373" t="s">
        <v>68</v>
      </c>
      <c r="D373" s="7" t="s">
        <v>4783</v>
      </c>
      <c r="E373" s="7" t="str">
        <f t="shared" si="155"/>
        <v>=7509*10000</v>
      </c>
      <c r="F373" s="1">
        <f>7509*10000</f>
        <v>75090000</v>
      </c>
      <c r="G373" s="8">
        <f t="shared" si="157"/>
        <v>-6.7364400305576773</v>
      </c>
      <c r="H373" s="7">
        <f>-1309*10000</f>
        <v>-13090000</v>
      </c>
      <c r="I373" s="6" t="str">
        <f t="shared" si="158"/>
        <v>=-13090000</v>
      </c>
      <c r="J373" s="1">
        <f>-13090000</f>
        <v>-13090000</v>
      </c>
      <c r="K373" s="10">
        <f t="shared" si="159"/>
        <v>6.7699836867862975E-2</v>
      </c>
      <c r="L373" s="7">
        <f>-1226*10000</f>
        <v>-12260000</v>
      </c>
      <c r="M373" s="6" t="str">
        <f t="shared" si="160"/>
        <v>=-12260000</v>
      </c>
      <c r="N373" s="1">
        <f>-12260000</f>
        <v>-12260000</v>
      </c>
      <c r="O373" s="8">
        <f t="shared" si="161"/>
        <v>2.4603443409539936</v>
      </c>
      <c r="P373" s="7">
        <f>-354.3*10000</f>
        <v>-3543000</v>
      </c>
      <c r="Q373" s="6" t="str">
        <f t="shared" si="162"/>
        <v>=-3543000</v>
      </c>
      <c r="R373" s="11">
        <f>-3543000</f>
        <v>-3543000</v>
      </c>
      <c r="S373" s="8">
        <f t="shared" si="163"/>
        <v>-1.0692262602579132</v>
      </c>
      <c r="T373" s="7" t="s">
        <v>4784</v>
      </c>
      <c r="U373" s="6" t="str">
        <f t="shared" si="164"/>
        <v>=5118*10000</v>
      </c>
      <c r="V373" s="1">
        <f>5118*10000</f>
        <v>51180000</v>
      </c>
      <c r="W373" s="8">
        <f t="shared" si="165"/>
        <v>-3.5654135338345863</v>
      </c>
      <c r="X373" s="7">
        <f>-1995*10000</f>
        <v>-19950000</v>
      </c>
      <c r="Y373" s="6" t="str">
        <f t="shared" si="166"/>
        <v>=-19950000</v>
      </c>
      <c r="Z373" s="1">
        <f>-19950000</f>
        <v>-19950000</v>
      </c>
      <c r="AA373" s="8">
        <f t="shared" si="167"/>
        <v>-0.10618279569892473</v>
      </c>
      <c r="AB373" s="7">
        <f>-2232*10000</f>
        <v>-22320000</v>
      </c>
      <c r="AC373" s="6" t="str">
        <f t="shared" si="168"/>
        <v>=-22320000</v>
      </c>
      <c r="AD373" s="1">
        <f>-22320000</f>
        <v>-22320000</v>
      </c>
      <c r="AE373" s="8">
        <f t="shared" si="169"/>
        <v>0.17042475091767173</v>
      </c>
      <c r="AF373" s="7">
        <f>-1907*10000</f>
        <v>-19070000</v>
      </c>
      <c r="AG373" s="6" t="str">
        <f t="shared" si="170"/>
        <v>=-19070000</v>
      </c>
      <c r="AH373" s="1">
        <f>-19070000</f>
        <v>-19070000</v>
      </c>
      <c r="AI373" s="8">
        <f t="shared" si="171"/>
        <v>-1.420971302428256</v>
      </c>
      <c r="AJ373" s="7" t="s">
        <v>4785</v>
      </c>
      <c r="AK373" s="6" t="str">
        <f t="shared" si="172"/>
        <v>=4530*10000</v>
      </c>
      <c r="AL373" s="1">
        <f>4530*10000</f>
        <v>45300000</v>
      </c>
      <c r="AM373" s="8">
        <f t="shared" si="173"/>
        <v>-3.3147675012774656</v>
      </c>
      <c r="AN373" s="7">
        <f>-1957*10000</f>
        <v>-19570000</v>
      </c>
      <c r="AO373" s="6" t="str">
        <f t="shared" si="174"/>
        <v>=-19570000</v>
      </c>
      <c r="AP373" s="1">
        <f>-19570000</f>
        <v>-19570000</v>
      </c>
      <c r="AQ373" s="8">
        <f t="shared" si="175"/>
        <v>-2.0030045067601403E-2</v>
      </c>
      <c r="AR373" s="7">
        <f>-1997*10000</f>
        <v>-19970000</v>
      </c>
      <c r="AS373" s="6" t="str">
        <f t="shared" si="176"/>
        <v>=-19970000</v>
      </c>
      <c r="AT373" s="1">
        <f>-19970000</f>
        <v>-19970000</v>
      </c>
      <c r="AU373" s="8">
        <f t="shared" si="177"/>
        <v>0.5528771384136858</v>
      </c>
      <c r="AV373" s="7">
        <f>-1286*10000</f>
        <v>-12860000</v>
      </c>
      <c r="AW373" s="6" t="str">
        <f t="shared" si="178"/>
        <v>=-12860000</v>
      </c>
      <c r="AX373" s="1">
        <f>-12860000</f>
        <v>-12860000</v>
      </c>
      <c r="AY373" s="10">
        <f t="shared" si="179"/>
        <v>-1.2335209733067005</v>
      </c>
      <c r="AZ373" s="7" t="s">
        <v>4786</v>
      </c>
      <c r="BA373" s="6" t="str">
        <f t="shared" si="180"/>
        <v>=5507*10000</v>
      </c>
      <c r="BB373" s="1">
        <f>5507*10000</f>
        <v>55070000</v>
      </c>
      <c r="BC373" s="8">
        <f t="shared" si="181"/>
        <v>45.27731092436975</v>
      </c>
      <c r="BD373" s="7" t="s">
        <v>4787</v>
      </c>
      <c r="BE373" s="6" t="str">
        <f t="shared" si="182"/>
        <v>=119.0*10000</v>
      </c>
      <c r="BF373" s="1">
        <f>119*10000</f>
        <v>1190000</v>
      </c>
      <c r="BG373" s="8">
        <f t="shared" si="183"/>
        <v>-1.0419457173070144</v>
      </c>
      <c r="BH373" s="7">
        <f>-2837*10000</f>
        <v>-28370000</v>
      </c>
      <c r="BI373" s="6" t="str">
        <f t="shared" si="184"/>
        <v>=-28370000</v>
      </c>
      <c r="BJ373" s="1">
        <f>-28370000</f>
        <v>-28370000</v>
      </c>
      <c r="BK373" s="7">
        <f>-2108*10000</f>
        <v>-21080000</v>
      </c>
      <c r="BL373" s="1" t="str">
        <f t="shared" si="156"/>
        <v>=-21080000</v>
      </c>
      <c r="BM373" s="16">
        <f t="shared" si="185"/>
        <v>0.34582542694497154</v>
      </c>
      <c r="BN373" s="1">
        <f>-21080000</f>
        <v>-21080000</v>
      </c>
    </row>
    <row r="374" spans="1:66">
      <c r="A374" s="17">
        <v>94</v>
      </c>
      <c r="B374">
        <v>600315</v>
      </c>
      <c r="C374" t="s">
        <v>31</v>
      </c>
      <c r="D374" s="6" t="s">
        <v>4788</v>
      </c>
      <c r="E374" s="7" t="str">
        <f t="shared" si="155"/>
        <v>=76.46*100000000</v>
      </c>
      <c r="F374" s="1">
        <f>76.46*100000000</f>
        <v>7645999999.999999</v>
      </c>
      <c r="G374" s="8">
        <f t="shared" si="157"/>
        <v>0.3114922813036019</v>
      </c>
      <c r="H374" s="6" t="s">
        <v>4789</v>
      </c>
      <c r="I374" s="6" t="str">
        <f t="shared" si="158"/>
        <v>=58.30*100000000</v>
      </c>
      <c r="J374" s="1">
        <f>58.3*100000000</f>
        <v>5830000000</v>
      </c>
      <c r="K374" s="10">
        <f t="shared" si="159"/>
        <v>0.38479809976247031</v>
      </c>
      <c r="L374" s="6" t="s">
        <v>4790</v>
      </c>
      <c r="M374" s="6" t="str">
        <f t="shared" si="160"/>
        <v>=42.10*100000000</v>
      </c>
      <c r="N374" s="1">
        <f>42.1*100000000</f>
        <v>4210000000</v>
      </c>
      <c r="O374" s="8">
        <f t="shared" si="161"/>
        <v>0.9905437352245865</v>
      </c>
      <c r="P374" s="6" t="s">
        <v>4791</v>
      </c>
      <c r="Q374" s="6" t="str">
        <f t="shared" si="162"/>
        <v>=21.15*100000000</v>
      </c>
      <c r="R374" s="11">
        <f>21.15*100000000</f>
        <v>2114999999.9999998</v>
      </c>
      <c r="S374" s="8">
        <f t="shared" si="163"/>
        <v>-0.69923208191126274</v>
      </c>
      <c r="T374" s="6" t="s">
        <v>4792</v>
      </c>
      <c r="U374" s="6" t="str">
        <f t="shared" si="164"/>
        <v>=70.32*100000000</v>
      </c>
      <c r="V374" s="1">
        <f>70.32*100000000</f>
        <v>7031999999.999999</v>
      </c>
      <c r="W374" s="8">
        <f t="shared" si="165"/>
        <v>0.31145095113763505</v>
      </c>
      <c r="X374" s="6" t="s">
        <v>4793</v>
      </c>
      <c r="Y374" s="6" t="str">
        <f t="shared" si="166"/>
        <v>=53.62*100000000</v>
      </c>
      <c r="Z374" s="1">
        <f>53.62*100000000</f>
        <v>5362000000</v>
      </c>
      <c r="AA374" s="8">
        <f t="shared" si="167"/>
        <v>0.45508819538670287</v>
      </c>
      <c r="AB374" s="6" t="s">
        <v>4794</v>
      </c>
      <c r="AC374" s="6" t="str">
        <f t="shared" si="168"/>
        <v>=36.85*100000000</v>
      </c>
      <c r="AD374" s="1">
        <f>36.85*100000000</f>
        <v>3685000000</v>
      </c>
      <c r="AE374" s="8">
        <f t="shared" si="169"/>
        <v>1.2132132132132136</v>
      </c>
      <c r="AF374" s="6" t="s">
        <v>2630</v>
      </c>
      <c r="AG374" s="6" t="str">
        <f t="shared" si="170"/>
        <v>=16.65*100000000</v>
      </c>
      <c r="AH374" s="1">
        <f>16.65*100000000</f>
        <v>1664999999.9999998</v>
      </c>
      <c r="AI374" s="8">
        <f t="shared" si="171"/>
        <v>-0.78083453994998031</v>
      </c>
      <c r="AJ374" s="6" t="s">
        <v>4795</v>
      </c>
      <c r="AK374" s="6" t="str">
        <f t="shared" si="172"/>
        <v>=75.97*100000000</v>
      </c>
      <c r="AL374" s="1">
        <f>75.97*100000000</f>
        <v>7597000000</v>
      </c>
      <c r="AM374" s="8">
        <f t="shared" si="173"/>
        <v>0.32467306015693115</v>
      </c>
      <c r="AN374" s="6" t="s">
        <v>4796</v>
      </c>
      <c r="AO374" s="6" t="str">
        <f t="shared" si="174"/>
        <v>=57.35*100000000</v>
      </c>
      <c r="AP374" s="1">
        <f>57.35*100000000</f>
        <v>5735000000</v>
      </c>
      <c r="AQ374" s="8">
        <f t="shared" si="175"/>
        <v>0.46189140963548325</v>
      </c>
      <c r="AR374" s="6" t="s">
        <v>4797</v>
      </c>
      <c r="AS374" s="6" t="str">
        <f t="shared" si="176"/>
        <v>=39.23*100000000</v>
      </c>
      <c r="AT374" s="1">
        <f>39.23*100000000</f>
        <v>3922999999.9999995</v>
      </c>
      <c r="AU374" s="8">
        <f t="shared" si="177"/>
        <v>1.0076765609007163</v>
      </c>
      <c r="AV374" s="6" t="s">
        <v>4798</v>
      </c>
      <c r="AW374" s="6" t="str">
        <f t="shared" si="178"/>
        <v>=19.54*100000000</v>
      </c>
      <c r="AX374" s="1">
        <f>19.54*100000000</f>
        <v>1954000000</v>
      </c>
      <c r="AY374" s="10">
        <f t="shared" si="179"/>
        <v>-0.72625385261978148</v>
      </c>
      <c r="AZ374" s="6" t="s">
        <v>636</v>
      </c>
      <c r="BA374" s="6" t="str">
        <f t="shared" si="180"/>
        <v>=71.38*100000000</v>
      </c>
      <c r="BB374" s="1">
        <f>71.38*100000000</f>
        <v>7138000000</v>
      </c>
      <c r="BC374" s="8">
        <f t="shared" si="181"/>
        <v>0.3169741697416974</v>
      </c>
      <c r="BD374" s="6" t="s">
        <v>4799</v>
      </c>
      <c r="BE374" s="6" t="str">
        <f t="shared" si="182"/>
        <v>=54.20*100000000</v>
      </c>
      <c r="BF374" s="1">
        <f>54.2*100000000</f>
        <v>5420000000</v>
      </c>
      <c r="BG374" s="8">
        <f t="shared" si="183"/>
        <v>0.47885402455661663</v>
      </c>
      <c r="BH374" s="6" t="s">
        <v>4800</v>
      </c>
      <c r="BI374" s="6" t="str">
        <f t="shared" si="184"/>
        <v>=36.65*100000000</v>
      </c>
      <c r="BJ374" s="1">
        <f>36.65*100000000</f>
        <v>3665000000</v>
      </c>
      <c r="BK374" s="6" t="s">
        <v>4801</v>
      </c>
      <c r="BL374" s="1" t="str">
        <f t="shared" si="156"/>
        <v>=18.60*100000000</v>
      </c>
      <c r="BM374" s="16">
        <f t="shared" si="185"/>
        <v>0.97043010752688141</v>
      </c>
      <c r="BN374" s="1">
        <f>18.6*100000000</f>
        <v>1860000000.0000002</v>
      </c>
    </row>
    <row r="375" spans="1:66">
      <c r="A375" s="18"/>
      <c r="B375">
        <v>600315</v>
      </c>
      <c r="C375" t="s">
        <v>48</v>
      </c>
      <c r="D375" s="6" t="s">
        <v>4802</v>
      </c>
      <c r="E375" s="7" t="str">
        <f t="shared" si="155"/>
        <v>=7.523*100000000</v>
      </c>
      <c r="F375" s="1">
        <f>7.523*100000000</f>
        <v>752300000</v>
      </c>
      <c r="G375" s="8">
        <f t="shared" si="157"/>
        <v>0.4902931854199683</v>
      </c>
      <c r="H375" s="6" t="s">
        <v>4803</v>
      </c>
      <c r="I375" s="6" t="str">
        <f t="shared" si="158"/>
        <v>=5.048*100000000</v>
      </c>
      <c r="J375" s="1">
        <f>5.048*100000000</f>
        <v>504800000</v>
      </c>
      <c r="K375" s="10">
        <f t="shared" si="159"/>
        <v>0.47000582411182296</v>
      </c>
      <c r="L375" s="6" t="s">
        <v>4804</v>
      </c>
      <c r="M375" s="6" t="str">
        <f t="shared" si="160"/>
        <v>=3.434*100000000</v>
      </c>
      <c r="N375" s="1">
        <f>3.434*100000000</f>
        <v>343400000</v>
      </c>
      <c r="O375" s="8">
        <f t="shared" si="161"/>
        <v>0.71442835746380429</v>
      </c>
      <c r="P375" s="6" t="s">
        <v>4805</v>
      </c>
      <c r="Q375" s="6" t="str">
        <f t="shared" si="162"/>
        <v>=2.003*100000000</v>
      </c>
      <c r="R375" s="11">
        <f>2.003*100000000</f>
        <v>200300000</v>
      </c>
      <c r="S375" s="8">
        <f t="shared" si="163"/>
        <v>-0.62476582989883855</v>
      </c>
      <c r="T375" s="6" t="s">
        <v>4806</v>
      </c>
      <c r="U375" s="6" t="str">
        <f t="shared" si="164"/>
        <v>=5.338*100000000</v>
      </c>
      <c r="V375" s="1">
        <f>5.338*100000000</f>
        <v>533800000</v>
      </c>
      <c r="W375" s="8">
        <f t="shared" si="165"/>
        <v>0.39665096807953953</v>
      </c>
      <c r="X375" s="6" t="s">
        <v>124</v>
      </c>
      <c r="Y375" s="6" t="str">
        <f t="shared" si="166"/>
        <v>=3.822*100000000</v>
      </c>
      <c r="Z375" s="1">
        <f>3.822*100000000</f>
        <v>382200000</v>
      </c>
      <c r="AA375" s="8">
        <f t="shared" si="167"/>
        <v>0.73097826086956497</v>
      </c>
      <c r="AB375" s="6" t="s">
        <v>4807</v>
      </c>
      <c r="AC375" s="6" t="str">
        <f t="shared" si="168"/>
        <v>=2.208*100000000</v>
      </c>
      <c r="AD375" s="1">
        <f>2.208*100000000</f>
        <v>220800000.00000003</v>
      </c>
      <c r="AE375" s="8">
        <f t="shared" si="169"/>
        <v>0.63313609467455645</v>
      </c>
      <c r="AF375" s="6" t="s">
        <v>3897</v>
      </c>
      <c r="AG375" s="6" t="str">
        <f t="shared" si="170"/>
        <v>=1.352*100000000</v>
      </c>
      <c r="AH375" s="1">
        <f>1.352*100000000</f>
        <v>135200000</v>
      </c>
      <c r="AI375" s="8">
        <f t="shared" si="171"/>
        <v>-0.8069123107683519</v>
      </c>
      <c r="AJ375" s="6" t="s">
        <v>4808</v>
      </c>
      <c r="AK375" s="6" t="str">
        <f t="shared" si="172"/>
        <v>=7.002*100000000</v>
      </c>
      <c r="AL375" s="1">
        <f>7.002*100000000</f>
        <v>700200000</v>
      </c>
      <c r="AM375" s="8">
        <f t="shared" si="173"/>
        <v>6.2680224616785546E-2</v>
      </c>
      <c r="AN375" s="6" t="s">
        <v>4809</v>
      </c>
      <c r="AO375" s="6" t="str">
        <f t="shared" si="174"/>
        <v>=6.589*100000000</v>
      </c>
      <c r="AP375" s="1">
        <f>6.589*100000000</f>
        <v>658900000</v>
      </c>
      <c r="AQ375" s="8">
        <f t="shared" si="175"/>
        <v>0.23876668546719307</v>
      </c>
      <c r="AR375" s="6" t="s">
        <v>1690</v>
      </c>
      <c r="AS375" s="6" t="str">
        <f t="shared" si="176"/>
        <v>=5.319*100000000</v>
      </c>
      <c r="AT375" s="1">
        <f>5.319*100000000</f>
        <v>531900000</v>
      </c>
      <c r="AU375" s="8">
        <f t="shared" si="177"/>
        <v>0.94124087591240879</v>
      </c>
      <c r="AV375" s="6" t="s">
        <v>4810</v>
      </c>
      <c r="AW375" s="6" t="str">
        <f t="shared" si="178"/>
        <v>=2.740*100000000</v>
      </c>
      <c r="AX375" s="1">
        <f>2.74*100000000</f>
        <v>274000000</v>
      </c>
      <c r="AY375" s="10">
        <f t="shared" si="179"/>
        <v>-0.57604827479498688</v>
      </c>
      <c r="AZ375" s="6" t="s">
        <v>4811</v>
      </c>
      <c r="BA375" s="6" t="str">
        <f t="shared" si="180"/>
        <v>=6.463*100000000</v>
      </c>
      <c r="BB375" s="1">
        <f>6.463*100000000</f>
        <v>646300000</v>
      </c>
      <c r="BC375" s="8">
        <f t="shared" si="181"/>
        <v>0.23222116301239276</v>
      </c>
      <c r="BD375" s="6" t="s">
        <v>4812</v>
      </c>
      <c r="BE375" s="6" t="str">
        <f t="shared" si="182"/>
        <v>=5.245*100000000</v>
      </c>
      <c r="BF375" s="1">
        <f>5.245*100000000</f>
        <v>524500000</v>
      </c>
      <c r="BG375" s="8">
        <f t="shared" si="183"/>
        <v>0.43345176277671493</v>
      </c>
      <c r="BH375" s="6" t="s">
        <v>4813</v>
      </c>
      <c r="BI375" s="6" t="str">
        <f t="shared" si="184"/>
        <v>=3.659*100000000</v>
      </c>
      <c r="BJ375" s="1">
        <f>3.659*100000000</f>
        <v>365900000</v>
      </c>
      <c r="BK375" s="6" t="s">
        <v>4814</v>
      </c>
      <c r="BL375" s="1" t="str">
        <f t="shared" si="156"/>
        <v>=1.822*100000000</v>
      </c>
      <c r="BM375" s="16">
        <f t="shared" si="185"/>
        <v>1.0082327113062568</v>
      </c>
      <c r="BN375" s="1">
        <f>1.822*100000000</f>
        <v>182200000</v>
      </c>
    </row>
    <row r="376" spans="1:66">
      <c r="A376" s="18"/>
      <c r="B376">
        <v>600315</v>
      </c>
      <c r="C376" t="s">
        <v>58</v>
      </c>
      <c r="D376" s="6" t="s">
        <v>925</v>
      </c>
      <c r="E376" s="7" t="str">
        <f t="shared" si="155"/>
        <v>=7.643*100000000</v>
      </c>
      <c r="F376" s="1">
        <f>7.643*100000000</f>
        <v>764300000</v>
      </c>
      <c r="G376" s="8">
        <f t="shared" si="157"/>
        <v>0.50512012603387157</v>
      </c>
      <c r="H376" s="6" t="s">
        <v>113</v>
      </c>
      <c r="I376" s="6" t="str">
        <f t="shared" si="158"/>
        <v>=5.078*100000000</v>
      </c>
      <c r="J376" s="1">
        <f>5.078*100000000</f>
        <v>507800000</v>
      </c>
      <c r="K376" s="10">
        <f t="shared" si="159"/>
        <v>0.4663586485706035</v>
      </c>
      <c r="L376" s="6" t="s">
        <v>4815</v>
      </c>
      <c r="M376" s="6" t="str">
        <f t="shared" si="160"/>
        <v>=3.463*100000000</v>
      </c>
      <c r="N376" s="1">
        <f>3.463*100000000</f>
        <v>346300000</v>
      </c>
      <c r="O376" s="8">
        <f t="shared" si="161"/>
        <v>0.71605550049554034</v>
      </c>
      <c r="P376" s="6" t="s">
        <v>198</v>
      </c>
      <c r="Q376" s="6" t="str">
        <f t="shared" si="162"/>
        <v>=2.018*100000000</v>
      </c>
      <c r="R376" s="11">
        <f>2.018*100000000</f>
        <v>201799999.99999997</v>
      </c>
      <c r="S376" s="8">
        <f t="shared" si="163"/>
        <v>-0.62209737827715361</v>
      </c>
      <c r="T376" s="6" t="s">
        <v>4816</v>
      </c>
      <c r="U376" s="6" t="str">
        <f t="shared" si="164"/>
        <v>=5.340*100000000</v>
      </c>
      <c r="V376" s="1">
        <f>5.34*100000000</f>
        <v>534000000</v>
      </c>
      <c r="W376" s="8">
        <f t="shared" si="165"/>
        <v>0.39717425431711145</v>
      </c>
      <c r="X376" s="6" t="s">
        <v>124</v>
      </c>
      <c r="Y376" s="6" t="str">
        <f t="shared" si="166"/>
        <v>=3.822*100000000</v>
      </c>
      <c r="Z376" s="1">
        <f>3.822*100000000</f>
        <v>382200000</v>
      </c>
      <c r="AA376" s="8">
        <f t="shared" si="167"/>
        <v>0.73176257362936137</v>
      </c>
      <c r="AB376" s="6" t="s">
        <v>4817</v>
      </c>
      <c r="AC376" s="6" t="str">
        <f t="shared" si="168"/>
        <v>=2.207*100000000</v>
      </c>
      <c r="AD376" s="1">
        <f>2.207*100000000</f>
        <v>220699999.99999997</v>
      </c>
      <c r="AE376" s="8">
        <f t="shared" si="169"/>
        <v>0.63360473723167998</v>
      </c>
      <c r="AF376" s="6" t="s">
        <v>4744</v>
      </c>
      <c r="AG376" s="6" t="str">
        <f t="shared" si="170"/>
        <v>=1.351*100000000</v>
      </c>
      <c r="AH376" s="1">
        <f>1.351*100000000</f>
        <v>135100000</v>
      </c>
      <c r="AI376" s="8">
        <f t="shared" si="171"/>
        <v>-0.80754985754985753</v>
      </c>
      <c r="AJ376" s="6" t="s">
        <v>4818</v>
      </c>
      <c r="AK376" s="6" t="str">
        <f t="shared" si="172"/>
        <v>=7.020*100000000</v>
      </c>
      <c r="AL376" s="1">
        <f>7.02*100000000</f>
        <v>702000000</v>
      </c>
      <c r="AM376" s="8">
        <f t="shared" si="173"/>
        <v>6.2831188493565476E-2</v>
      </c>
      <c r="AN376" s="6" t="s">
        <v>4819</v>
      </c>
      <c r="AO376" s="6" t="str">
        <f t="shared" si="174"/>
        <v>=6.605*100000000</v>
      </c>
      <c r="AP376" s="1">
        <f>6.605*100000000</f>
        <v>660500000</v>
      </c>
      <c r="AQ376" s="8">
        <f t="shared" si="175"/>
        <v>0.23805060918462981</v>
      </c>
      <c r="AR376" s="6" t="s">
        <v>4820</v>
      </c>
      <c r="AS376" s="6" t="str">
        <f t="shared" si="176"/>
        <v>=5.335*100000000</v>
      </c>
      <c r="AT376" s="1">
        <f>5.335*100000000</f>
        <v>533500000</v>
      </c>
      <c r="AU376" s="8">
        <f t="shared" si="177"/>
        <v>0.93647912885662432</v>
      </c>
      <c r="AV376" s="6" t="s">
        <v>4821</v>
      </c>
      <c r="AW376" s="6" t="str">
        <f t="shared" si="178"/>
        <v>=2.755*100000000</v>
      </c>
      <c r="AX376" s="1">
        <f>2.755*100000000</f>
        <v>275500000</v>
      </c>
      <c r="AY376" s="10">
        <f t="shared" si="179"/>
        <v>-0.57366140513772823</v>
      </c>
      <c r="AZ376" s="6" t="s">
        <v>1415</v>
      </c>
      <c r="BA376" s="6" t="str">
        <f t="shared" si="180"/>
        <v>=6.462*100000000</v>
      </c>
      <c r="BB376" s="1">
        <f>6.462*100000000</f>
        <v>646200000</v>
      </c>
      <c r="BC376" s="8">
        <f t="shared" si="181"/>
        <v>0.23367697594501705</v>
      </c>
      <c r="BD376" s="6" t="s">
        <v>4822</v>
      </c>
      <c r="BE376" s="6" t="str">
        <f t="shared" si="182"/>
        <v>=5.238*100000000</v>
      </c>
      <c r="BF376" s="1">
        <f>5.238*100000000</f>
        <v>523800000.00000006</v>
      </c>
      <c r="BG376" s="8">
        <f t="shared" si="183"/>
        <v>0.43546177034804073</v>
      </c>
      <c r="BH376" s="6" t="s">
        <v>4823</v>
      </c>
      <c r="BI376" s="6" t="str">
        <f t="shared" si="184"/>
        <v>=3.649*100000000</v>
      </c>
      <c r="BJ376" s="1">
        <f>3.649*100000000</f>
        <v>364900000</v>
      </c>
      <c r="BK376" s="6" t="s">
        <v>4814</v>
      </c>
      <c r="BL376" s="1" t="str">
        <f t="shared" si="156"/>
        <v>=1.822*100000000</v>
      </c>
      <c r="BM376" s="16">
        <f t="shared" si="185"/>
        <v>1.0027442371020856</v>
      </c>
      <c r="BN376" s="1">
        <f>1.822*100000000</f>
        <v>182200000</v>
      </c>
    </row>
    <row r="377" spans="1:66">
      <c r="A377" s="19"/>
      <c r="B377">
        <v>600315</v>
      </c>
      <c r="C377" t="s">
        <v>68</v>
      </c>
      <c r="D377" s="6" t="s">
        <v>4824</v>
      </c>
      <c r="E377" s="7" t="str">
        <f t="shared" si="155"/>
        <v>=6.493*100000000</v>
      </c>
      <c r="F377" s="1">
        <f>6.493*100000000</f>
        <v>649300000</v>
      </c>
      <c r="G377" s="8">
        <f t="shared" si="157"/>
        <v>0.54411414982164086</v>
      </c>
      <c r="H377" s="6" t="s">
        <v>4825</v>
      </c>
      <c r="I377" s="6" t="str">
        <f t="shared" si="158"/>
        <v>=4.205*100000000</v>
      </c>
      <c r="J377" s="1">
        <f>4.205*100000000</f>
        <v>420500000</v>
      </c>
      <c r="K377" s="10">
        <f t="shared" si="159"/>
        <v>0.47130860741777469</v>
      </c>
      <c r="L377" s="6" t="s">
        <v>4826</v>
      </c>
      <c r="M377" s="6" t="str">
        <f t="shared" si="160"/>
        <v>=2.858*100000000</v>
      </c>
      <c r="N377" s="1">
        <f>2.858*100000000</f>
        <v>285800000</v>
      </c>
      <c r="O377" s="8">
        <f t="shared" si="161"/>
        <v>0.68912529550827428</v>
      </c>
      <c r="P377" s="6" t="s">
        <v>4827</v>
      </c>
      <c r="Q377" s="6" t="str">
        <f t="shared" si="162"/>
        <v>=1.692*100000000</v>
      </c>
      <c r="R377" s="11">
        <f>1.692*100000000</f>
        <v>169200000</v>
      </c>
      <c r="S377" s="8">
        <f t="shared" si="163"/>
        <v>-0.60669456066945604</v>
      </c>
      <c r="T377" s="6" t="s">
        <v>4828</v>
      </c>
      <c r="U377" s="6" t="str">
        <f t="shared" si="164"/>
        <v>=4.302*100000000</v>
      </c>
      <c r="V377" s="1">
        <f>4.302*100000000</f>
        <v>430199999.99999994</v>
      </c>
      <c r="W377" s="8">
        <f t="shared" si="165"/>
        <v>0.37840435757769925</v>
      </c>
      <c r="X377" s="6" t="s">
        <v>4829</v>
      </c>
      <c r="Y377" s="6" t="str">
        <f t="shared" si="166"/>
        <v>=3.121*100000000</v>
      </c>
      <c r="Z377" s="1">
        <f>3.121*100000000</f>
        <v>312100000</v>
      </c>
      <c r="AA377" s="8">
        <f t="shared" si="167"/>
        <v>0.70174482006543071</v>
      </c>
      <c r="AB377" s="6" t="s">
        <v>2311</v>
      </c>
      <c r="AC377" s="6" t="str">
        <f t="shared" si="168"/>
        <v>=1.834*100000000</v>
      </c>
      <c r="AD377" s="1">
        <f>1.834*100000000</f>
        <v>183400000</v>
      </c>
      <c r="AE377" s="8">
        <f t="shared" si="169"/>
        <v>0.53859060402684567</v>
      </c>
      <c r="AF377" s="6" t="s">
        <v>2162</v>
      </c>
      <c r="AG377" s="6" t="str">
        <f t="shared" si="170"/>
        <v>=1.192*100000000</v>
      </c>
      <c r="AH377" s="1">
        <f>1.192*100000000</f>
        <v>119200000</v>
      </c>
      <c r="AI377" s="8">
        <f t="shared" si="171"/>
        <v>-0.78603482319152751</v>
      </c>
      <c r="AJ377" s="6" t="s">
        <v>3975</v>
      </c>
      <c r="AK377" s="6" t="str">
        <f t="shared" si="172"/>
        <v>=5.571*100000000</v>
      </c>
      <c r="AL377" s="1">
        <f>5.571*100000000</f>
        <v>557100000</v>
      </c>
      <c r="AM377" s="8">
        <f t="shared" si="173"/>
        <v>3.0903034789045151E-2</v>
      </c>
      <c r="AN377" s="6" t="s">
        <v>4830</v>
      </c>
      <c r="AO377" s="6" t="str">
        <f t="shared" si="174"/>
        <v>=5.404*100000000</v>
      </c>
      <c r="AP377" s="1">
        <f>5.404*100000000</f>
        <v>540400000</v>
      </c>
      <c r="AQ377" s="8">
        <f t="shared" si="175"/>
        <v>0.21739130434782608</v>
      </c>
      <c r="AR377" s="6" t="s">
        <v>1665</v>
      </c>
      <c r="AS377" s="6" t="str">
        <f t="shared" si="176"/>
        <v>=4.439*100000000</v>
      </c>
      <c r="AT377" s="1">
        <f>4.439*100000000</f>
        <v>443900000</v>
      </c>
      <c r="AU377" s="8">
        <f t="shared" si="177"/>
        <v>0.90270038576939537</v>
      </c>
      <c r="AV377" s="6" t="s">
        <v>4831</v>
      </c>
      <c r="AW377" s="6" t="str">
        <f t="shared" si="178"/>
        <v>=2.333*100000000</v>
      </c>
      <c r="AX377" s="1">
        <f>2.333*100000000</f>
        <v>233300000.00000003</v>
      </c>
      <c r="AY377" s="10">
        <f t="shared" si="179"/>
        <v>-0.56828275351591417</v>
      </c>
      <c r="AZ377" s="6" t="s">
        <v>4830</v>
      </c>
      <c r="BA377" s="6" t="str">
        <f t="shared" si="180"/>
        <v>=5.404*100000000</v>
      </c>
      <c r="BB377" s="1">
        <f>5.404*100000000</f>
        <v>540400000</v>
      </c>
      <c r="BC377" s="8">
        <f t="shared" si="181"/>
        <v>0.19083296606434552</v>
      </c>
      <c r="BD377" s="6" t="s">
        <v>4832</v>
      </c>
      <c r="BE377" s="6" t="str">
        <f t="shared" si="182"/>
        <v>=4.538*100000000</v>
      </c>
      <c r="BF377" s="1">
        <f>4.538*100000000</f>
        <v>453800000</v>
      </c>
      <c r="BG377" s="8">
        <f t="shared" si="183"/>
        <v>0.43244949494949497</v>
      </c>
      <c r="BH377" s="6" t="s">
        <v>4833</v>
      </c>
      <c r="BI377" s="6" t="str">
        <f t="shared" si="184"/>
        <v>=3.168*100000000</v>
      </c>
      <c r="BJ377" s="1">
        <f>3.168*100000000</f>
        <v>316800000</v>
      </c>
      <c r="BK377" s="6" t="s">
        <v>4834</v>
      </c>
      <c r="BL377" s="1" t="str">
        <f t="shared" si="156"/>
        <v>=1.507*100000000</v>
      </c>
      <c r="BM377" s="16">
        <f t="shared" si="185"/>
        <v>1.1021897810218979</v>
      </c>
      <c r="BN377" s="1">
        <f>1.507*100000000</f>
        <v>150700000</v>
      </c>
    </row>
    <row r="378" spans="1:66">
      <c r="A378" s="17">
        <v>95</v>
      </c>
      <c r="B378">
        <v>600316</v>
      </c>
      <c r="C378" t="s">
        <v>31</v>
      </c>
      <c r="D378" s="6" t="s">
        <v>4835</v>
      </c>
      <c r="E378" s="7" t="str">
        <f t="shared" si="155"/>
        <v>=72.14*100000000</v>
      </c>
      <c r="F378" s="1">
        <f>72.14*100000000</f>
        <v>7214000000</v>
      </c>
      <c r="G378" s="8">
        <f t="shared" si="157"/>
        <v>0.67650476411805716</v>
      </c>
      <c r="H378" s="6" t="s">
        <v>4836</v>
      </c>
      <c r="I378" s="6" t="str">
        <f t="shared" si="158"/>
        <v>=43.03*100000000</v>
      </c>
      <c r="J378" s="1">
        <f>43.03*100000000</f>
        <v>4303000000</v>
      </c>
      <c r="K378" s="10">
        <f t="shared" si="159"/>
        <v>0.59903381642512077</v>
      </c>
      <c r="L378" s="6" t="s">
        <v>2629</v>
      </c>
      <c r="M378" s="6" t="str">
        <f t="shared" si="160"/>
        <v>=26.91*100000000</v>
      </c>
      <c r="N378" s="1">
        <f>26.91*100000000</f>
        <v>2691000000</v>
      </c>
      <c r="O378" s="8">
        <f t="shared" si="161"/>
        <v>3.8087919942816297</v>
      </c>
      <c r="P378" s="6" t="s">
        <v>4837</v>
      </c>
      <c r="Q378" s="6" t="str">
        <f t="shared" si="162"/>
        <v>=5.596*100000000</v>
      </c>
      <c r="R378" s="11">
        <f>5.596*100000000</f>
        <v>559600000</v>
      </c>
      <c r="S378" s="8">
        <f t="shared" si="163"/>
        <v>-0.88960347208522395</v>
      </c>
      <c r="T378" s="6" t="s">
        <v>4838</v>
      </c>
      <c r="U378" s="6" t="str">
        <f t="shared" si="164"/>
        <v>=50.69*100000000</v>
      </c>
      <c r="V378" s="1">
        <f>50.69*100000000</f>
        <v>5069000000</v>
      </c>
      <c r="W378" s="8">
        <f t="shared" si="165"/>
        <v>0.6807029177718833</v>
      </c>
      <c r="X378" s="6" t="s">
        <v>4839</v>
      </c>
      <c r="Y378" s="6" t="str">
        <f t="shared" si="166"/>
        <v>=30.16*100000000</v>
      </c>
      <c r="Z378" s="1">
        <f>30.16*100000000</f>
        <v>3016000000</v>
      </c>
      <c r="AA378" s="8">
        <f t="shared" si="167"/>
        <v>0.35978358881875566</v>
      </c>
      <c r="AB378" s="6" t="s">
        <v>3330</v>
      </c>
      <c r="AC378" s="6" t="str">
        <f t="shared" si="168"/>
        <v>=22.18*100000000</v>
      </c>
      <c r="AD378" s="1">
        <f>22.18*100000000</f>
        <v>2218000000</v>
      </c>
      <c r="AE378" s="8">
        <f t="shared" si="169"/>
        <v>9.432737535277516</v>
      </c>
      <c r="AF378" s="6" t="s">
        <v>4840</v>
      </c>
      <c r="AG378" s="6" t="str">
        <f t="shared" si="170"/>
        <v>=2.126*100000000</v>
      </c>
      <c r="AH378" s="1">
        <f>2.126*100000000</f>
        <v>212600000</v>
      </c>
      <c r="AI378" s="8">
        <f t="shared" si="171"/>
        <v>-0.95190045248868782</v>
      </c>
      <c r="AJ378" s="6" t="s">
        <v>4841</v>
      </c>
      <c r="AK378" s="6" t="str">
        <f t="shared" si="172"/>
        <v>=44.20*100000000</v>
      </c>
      <c r="AL378" s="1">
        <f>44.2*100000000</f>
        <v>4420000000</v>
      </c>
      <c r="AM378" s="8">
        <f t="shared" si="173"/>
        <v>1.6</v>
      </c>
      <c r="AN378" s="6" t="s">
        <v>1424</v>
      </c>
      <c r="AO378" s="6" t="str">
        <f t="shared" si="174"/>
        <v>=17.00*100000000</v>
      </c>
      <c r="AP378" s="1">
        <f>17*100000000</f>
        <v>1700000000</v>
      </c>
      <c r="AQ378" s="8">
        <f t="shared" si="175"/>
        <v>0.50842945874001777</v>
      </c>
      <c r="AR378" s="6" t="s">
        <v>4842</v>
      </c>
      <c r="AS378" s="6" t="str">
        <f t="shared" si="176"/>
        <v>=11.27*100000000</v>
      </c>
      <c r="AT378" s="1">
        <f>11.27*100000000</f>
        <v>1127000000</v>
      </c>
      <c r="AU378" s="8">
        <f t="shared" si="177"/>
        <v>1.557875624148888</v>
      </c>
      <c r="AV378" s="6" t="s">
        <v>4843</v>
      </c>
      <c r="AW378" s="6" t="str">
        <f t="shared" si="178"/>
        <v>=4.406*100000000</v>
      </c>
      <c r="AX378" s="1">
        <f>4.406*100000000</f>
        <v>440599999.99999994</v>
      </c>
      <c r="AY378" s="10">
        <f t="shared" si="179"/>
        <v>-0.85410596026490071</v>
      </c>
      <c r="AZ378" s="6" t="s">
        <v>3359</v>
      </c>
      <c r="BA378" s="6" t="str">
        <f t="shared" si="180"/>
        <v>=30.20*100000000</v>
      </c>
      <c r="BB378" s="1">
        <f>30.2*100000000</f>
        <v>3020000000</v>
      </c>
      <c r="BC378" s="8">
        <f t="shared" si="181"/>
        <v>1.2758100979653353</v>
      </c>
      <c r="BD378" s="6" t="s">
        <v>4844</v>
      </c>
      <c r="BE378" s="6" t="str">
        <f t="shared" si="182"/>
        <v>=13.27*100000000</v>
      </c>
      <c r="BF378" s="1">
        <f>13.27*100000000</f>
        <v>1327000000</v>
      </c>
      <c r="BG378" s="8">
        <f t="shared" si="183"/>
        <v>1.9594112399643175</v>
      </c>
      <c r="BH378" s="6" t="s">
        <v>4845</v>
      </c>
      <c r="BI378" s="6" t="str">
        <f t="shared" si="184"/>
        <v>=4.484*100000000</v>
      </c>
      <c r="BJ378" s="1">
        <f>4.484*100000000</f>
        <v>448400000</v>
      </c>
      <c r="BK378" s="6" t="s">
        <v>4846</v>
      </c>
      <c r="BL378" s="1" t="str">
        <f t="shared" si="156"/>
        <v>=2.463*100000000</v>
      </c>
      <c r="BM378" s="16">
        <f t="shared" si="185"/>
        <v>0.82054405196914337</v>
      </c>
      <c r="BN378" s="1">
        <f>2.463*100000000</f>
        <v>246300000</v>
      </c>
    </row>
    <row r="379" spans="1:66">
      <c r="A379" s="18"/>
      <c r="B379">
        <v>600316</v>
      </c>
      <c r="C379" t="s">
        <v>48</v>
      </c>
      <c r="D379" s="6" t="s">
        <v>4847</v>
      </c>
      <c r="E379" s="7" t="str">
        <f t="shared" si="155"/>
        <v>=1.779*100000000</v>
      </c>
      <c r="F379" s="1">
        <f>1.779*100000000</f>
        <v>177900000</v>
      </c>
      <c r="G379" s="8">
        <f t="shared" si="157"/>
        <v>1.1038315988647114</v>
      </c>
      <c r="H379" s="7" t="s">
        <v>4848</v>
      </c>
      <c r="I379" s="6" t="str">
        <f t="shared" si="158"/>
        <v>=8456*10000</v>
      </c>
      <c r="J379" s="1">
        <f>8456*10000</f>
        <v>84560000</v>
      </c>
      <c r="K379" s="10">
        <f t="shared" si="159"/>
        <v>0.11822269240941549</v>
      </c>
      <c r="L379" s="7" t="s">
        <v>4849</v>
      </c>
      <c r="M379" s="6" t="str">
        <f t="shared" si="160"/>
        <v>=7562*10000</v>
      </c>
      <c r="N379" s="1">
        <f>7562*10000</f>
        <v>75620000</v>
      </c>
      <c r="O379" s="8">
        <f t="shared" si="161"/>
        <v>0.5977181491654342</v>
      </c>
      <c r="P379" s="7" t="s">
        <v>4850</v>
      </c>
      <c r="Q379" s="6" t="str">
        <f t="shared" si="162"/>
        <v>=4733*10000</v>
      </c>
      <c r="R379" s="11">
        <f>4733*10000</f>
        <v>47330000</v>
      </c>
      <c r="S379" s="8">
        <f t="shared" si="163"/>
        <v>-0.68192204301075265</v>
      </c>
      <c r="T379" s="6" t="s">
        <v>4851</v>
      </c>
      <c r="U379" s="6" t="str">
        <f t="shared" si="164"/>
        <v>=1.488*100000000</v>
      </c>
      <c r="V379" s="1">
        <f>1.488*100000000</f>
        <v>148800000</v>
      </c>
      <c r="W379" s="8">
        <f t="shared" si="165"/>
        <v>9.1018329938900209</v>
      </c>
      <c r="X379" s="7" t="s">
        <v>4852</v>
      </c>
      <c r="Y379" s="6" t="str">
        <f t="shared" si="166"/>
        <v>=1473*10000</v>
      </c>
      <c r="Z379" s="1">
        <f>1473*10000</f>
        <v>14730000</v>
      </c>
      <c r="AA379" s="8">
        <f t="shared" si="167"/>
        <v>0.36768802228412256</v>
      </c>
      <c r="AB379" s="7" t="s">
        <v>4853</v>
      </c>
      <c r="AC379" s="6" t="str">
        <f t="shared" si="168"/>
        <v>=1077*10000</v>
      </c>
      <c r="AD379" s="1">
        <f>1077*10000</f>
        <v>10770000</v>
      </c>
      <c r="AE379" s="8">
        <f t="shared" si="169"/>
        <v>-2.001860465116279</v>
      </c>
      <c r="AF379" s="7">
        <f>-1075*10000</f>
        <v>-10750000</v>
      </c>
      <c r="AG379" s="6" t="str">
        <f t="shared" si="170"/>
        <v>=-10750000</v>
      </c>
      <c r="AH379" s="1">
        <f>-10750000</f>
        <v>-10750000</v>
      </c>
      <c r="AI379" s="8">
        <f t="shared" si="171"/>
        <v>-1.1070717131474104</v>
      </c>
      <c r="AJ379" s="6" t="s">
        <v>4854</v>
      </c>
      <c r="AK379" s="6" t="str">
        <f t="shared" si="172"/>
        <v>=1.004*100000000</v>
      </c>
      <c r="AL379" s="1">
        <f>1.004*100000000</f>
        <v>100400000</v>
      </c>
      <c r="AM379" s="8">
        <f t="shared" si="173"/>
        <v>-2.4982838382330996</v>
      </c>
      <c r="AN379" s="7">
        <f>-6701*10000</f>
        <v>-67010000</v>
      </c>
      <c r="AO379" s="6" t="str">
        <f t="shared" si="174"/>
        <v>=-67010000</v>
      </c>
      <c r="AP379" s="1">
        <f>-67010000</f>
        <v>-67010000</v>
      </c>
      <c r="AQ379" s="8">
        <f t="shared" si="175"/>
        <v>0.44761287535104777</v>
      </c>
      <c r="AR379" s="7">
        <f>-4629*10000</f>
        <v>-46290000</v>
      </c>
      <c r="AS379" s="6" t="str">
        <f t="shared" si="176"/>
        <v>=-46290000</v>
      </c>
      <c r="AT379" s="1">
        <f>-46290000</f>
        <v>-46290000</v>
      </c>
      <c r="AU379" s="8">
        <f t="shared" si="177"/>
        <v>0.13123167155425219</v>
      </c>
      <c r="AV379" s="7">
        <f>-4092*10000</f>
        <v>-40920000</v>
      </c>
      <c r="AW379" s="6" t="str">
        <f t="shared" si="178"/>
        <v>=-40920000</v>
      </c>
      <c r="AX379" s="1">
        <f>-40920000</f>
        <v>-40920000</v>
      </c>
      <c r="AY379" s="10">
        <f t="shared" si="179"/>
        <v>-1.2417011222681631</v>
      </c>
      <c r="AZ379" s="6" t="s">
        <v>2859</v>
      </c>
      <c r="BA379" s="6" t="str">
        <f t="shared" si="180"/>
        <v>=1.693*100000000</v>
      </c>
      <c r="BB379" s="1">
        <f>1.693*100000000</f>
        <v>169300000</v>
      </c>
      <c r="BC379" s="8">
        <f t="shared" si="181"/>
        <v>-3.2220763879774248</v>
      </c>
      <c r="BD379" s="7">
        <f>-7619*10000</f>
        <v>-76190000</v>
      </c>
      <c r="BE379" s="6" t="str">
        <f t="shared" si="182"/>
        <v>=-76190000</v>
      </c>
      <c r="BF379" s="1">
        <f>-76190000</f>
        <v>-76190000</v>
      </c>
      <c r="BG379" s="8">
        <f t="shared" si="183"/>
        <v>0.5761274306992139</v>
      </c>
      <c r="BH379" s="7">
        <f>-4834*10000</f>
        <v>-48340000</v>
      </c>
      <c r="BI379" s="6" t="str">
        <f t="shared" si="184"/>
        <v>=-48340000</v>
      </c>
      <c r="BJ379" s="1">
        <f>-48340000</f>
        <v>-48340000</v>
      </c>
      <c r="BK379" s="7">
        <f>-2049*10000</f>
        <v>-20490000</v>
      </c>
      <c r="BL379" s="1" t="str">
        <f t="shared" si="156"/>
        <v>=-20490000</v>
      </c>
      <c r="BM379" s="16">
        <f t="shared" si="185"/>
        <v>1.3591996095656418</v>
      </c>
      <c r="BN379" s="1">
        <f>-20490000</f>
        <v>-20490000</v>
      </c>
    </row>
    <row r="380" spans="1:66">
      <c r="A380" s="18"/>
      <c r="B380">
        <v>600316</v>
      </c>
      <c r="C380" t="s">
        <v>58</v>
      </c>
      <c r="D380" s="6" t="s">
        <v>2980</v>
      </c>
      <c r="E380" s="7" t="str">
        <f t="shared" si="155"/>
        <v>=1.727*100000000</v>
      </c>
      <c r="F380" s="1">
        <f>1.727*100000000</f>
        <v>172700000</v>
      </c>
      <c r="G380" s="8">
        <f t="shared" si="157"/>
        <v>1.0779689568042354</v>
      </c>
      <c r="H380" s="7" t="s">
        <v>4855</v>
      </c>
      <c r="I380" s="6" t="str">
        <f t="shared" si="158"/>
        <v>=8311*10000</v>
      </c>
      <c r="J380" s="1">
        <f>8311*10000</f>
        <v>83110000</v>
      </c>
      <c r="K380" s="10">
        <f t="shared" si="159"/>
        <v>0.14146408460376322</v>
      </c>
      <c r="L380" s="7" t="s">
        <v>4856</v>
      </c>
      <c r="M380" s="6" t="str">
        <f t="shared" si="160"/>
        <v>=7281*10000</v>
      </c>
      <c r="N380" s="1">
        <f>7281*10000</f>
        <v>72810000</v>
      </c>
      <c r="O380" s="8">
        <f t="shared" si="161"/>
        <v>0.61333924218923108</v>
      </c>
      <c r="P380" s="7" t="s">
        <v>3390</v>
      </c>
      <c r="Q380" s="6" t="str">
        <f t="shared" si="162"/>
        <v>=4513*10000</v>
      </c>
      <c r="R380" s="11">
        <f>4513*10000</f>
        <v>45130000</v>
      </c>
      <c r="S380" s="8">
        <f t="shared" si="163"/>
        <v>-0.6999335106382979</v>
      </c>
      <c r="T380" s="6" t="s">
        <v>4857</v>
      </c>
      <c r="U380" s="6" t="str">
        <f t="shared" si="164"/>
        <v>=1.504*100000000</v>
      </c>
      <c r="V380" s="1">
        <f>1.504*100000000</f>
        <v>150400000</v>
      </c>
      <c r="W380" s="8">
        <f t="shared" si="165"/>
        <v>8.3824079850280722</v>
      </c>
      <c r="X380" s="7" t="s">
        <v>4858</v>
      </c>
      <c r="Y380" s="6" t="str">
        <f t="shared" si="166"/>
        <v>=1603*10000</v>
      </c>
      <c r="Z380" s="1">
        <f>1603*10000</f>
        <v>16030000</v>
      </c>
      <c r="AA380" s="8">
        <f t="shared" si="167"/>
        <v>0.48563484708063021</v>
      </c>
      <c r="AB380" s="7" t="s">
        <v>4859</v>
      </c>
      <c r="AC380" s="6" t="str">
        <f t="shared" si="168"/>
        <v>=1079*10000</v>
      </c>
      <c r="AD380" s="1">
        <f>1079*10000</f>
        <v>10790000</v>
      </c>
      <c r="AE380" s="8">
        <f t="shared" si="169"/>
        <v>-2.0084112149532709</v>
      </c>
      <c r="AF380" s="7">
        <f>-1070*10000</f>
        <v>-10700000</v>
      </c>
      <c r="AG380" s="6" t="str">
        <f t="shared" si="170"/>
        <v>=-10700000</v>
      </c>
      <c r="AH380" s="1">
        <f>-10700000</f>
        <v>-10700000</v>
      </c>
      <c r="AI380" s="8">
        <f t="shared" si="171"/>
        <v>-1.1034816247582204</v>
      </c>
      <c r="AJ380" s="6" t="s">
        <v>2179</v>
      </c>
      <c r="AK380" s="6" t="str">
        <f t="shared" si="172"/>
        <v>=1.034*100000000</v>
      </c>
      <c r="AL380" s="1">
        <f>1.034*100000000</f>
        <v>103400000</v>
      </c>
      <c r="AM380" s="8">
        <f t="shared" si="173"/>
        <v>-2.5116959064327484</v>
      </c>
      <c r="AN380" s="7">
        <f>-6840*10000</f>
        <v>-68400000</v>
      </c>
      <c r="AO380" s="6" t="str">
        <f t="shared" si="174"/>
        <v>=-68400000</v>
      </c>
      <c r="AP380" s="1">
        <f>-68400000</f>
        <v>-68400000</v>
      </c>
      <c r="AQ380" s="8">
        <f t="shared" si="175"/>
        <v>0.43216080402010049</v>
      </c>
      <c r="AR380" s="7">
        <f>-4776*10000</f>
        <v>-47760000</v>
      </c>
      <c r="AS380" s="6" t="str">
        <f t="shared" si="176"/>
        <v>=-47760000</v>
      </c>
      <c r="AT380" s="1">
        <f>-47760000</f>
        <v>-47760000</v>
      </c>
      <c r="AU380" s="8">
        <f t="shared" si="177"/>
        <v>0.17087521451336113</v>
      </c>
      <c r="AV380" s="7">
        <f>-4079*10000</f>
        <v>-40790000</v>
      </c>
      <c r="AW380" s="6" t="str">
        <f t="shared" si="178"/>
        <v>=-40790000</v>
      </c>
      <c r="AX380" s="1">
        <f>-40790000</f>
        <v>-40790000</v>
      </c>
      <c r="AY380" s="10">
        <f t="shared" si="179"/>
        <v>-1.2458710066305003</v>
      </c>
      <c r="AZ380" s="6" t="s">
        <v>4860</v>
      </c>
      <c r="BA380" s="6" t="str">
        <f t="shared" si="180"/>
        <v>=1.659*100000000</v>
      </c>
      <c r="BB380" s="1">
        <f>1.659*100000000</f>
        <v>165900000</v>
      </c>
      <c r="BC380" s="8">
        <f t="shared" si="181"/>
        <v>-3.1632546616247228</v>
      </c>
      <c r="BD380" s="7">
        <f>-7669*10000</f>
        <v>-76690000</v>
      </c>
      <c r="BE380" s="6" t="str">
        <f t="shared" si="182"/>
        <v>=-76690000</v>
      </c>
      <c r="BF380" s="1">
        <f>-76690000</f>
        <v>-76690000</v>
      </c>
      <c r="BG380" s="8">
        <f t="shared" si="183"/>
        <v>0.56958657388456813</v>
      </c>
      <c r="BH380" s="7">
        <f>-4886*10000</f>
        <v>-48860000</v>
      </c>
      <c r="BI380" s="6" t="str">
        <f t="shared" si="184"/>
        <v>=-48860000</v>
      </c>
      <c r="BJ380" s="1">
        <f>-48860000</f>
        <v>-48860000</v>
      </c>
      <c r="BK380" s="7">
        <f>-2017*10000</f>
        <v>-20170000</v>
      </c>
      <c r="BL380" s="1" t="str">
        <f t="shared" si="156"/>
        <v>=-20170000</v>
      </c>
      <c r="BM380" s="16">
        <f t="shared" si="185"/>
        <v>1.4224095190877541</v>
      </c>
      <c r="BN380" s="1">
        <f>-20170000</f>
        <v>-20170000</v>
      </c>
    </row>
    <row r="381" spans="1:66">
      <c r="A381" s="19"/>
      <c r="B381">
        <v>600316</v>
      </c>
      <c r="C381" t="s">
        <v>68</v>
      </c>
      <c r="D381" s="6" t="s">
        <v>3510</v>
      </c>
      <c r="E381" s="7" t="str">
        <f t="shared" si="155"/>
        <v>=1.516*100000000</v>
      </c>
      <c r="F381" s="1">
        <f>1.516*100000000</f>
        <v>151600000</v>
      </c>
      <c r="G381" s="8">
        <f t="shared" si="157"/>
        <v>1.2310522442972773</v>
      </c>
      <c r="H381" s="7" t="s">
        <v>1526</v>
      </c>
      <c r="I381" s="6" t="str">
        <f t="shared" si="158"/>
        <v>=6795*10000</v>
      </c>
      <c r="J381" s="1">
        <f>6795*10000</f>
        <v>67950000</v>
      </c>
      <c r="K381" s="10">
        <f t="shared" si="159"/>
        <v>0.1713497672815032</v>
      </c>
      <c r="L381" s="7" t="s">
        <v>4861</v>
      </c>
      <c r="M381" s="6" t="str">
        <f t="shared" si="160"/>
        <v>=5801*10000</v>
      </c>
      <c r="N381" s="1">
        <f>5801*10000</f>
        <v>58010000</v>
      </c>
      <c r="O381" s="8">
        <f t="shared" si="161"/>
        <v>0.68879184861717613</v>
      </c>
      <c r="P381" s="7" t="s">
        <v>4862</v>
      </c>
      <c r="Q381" s="6" t="str">
        <f t="shared" si="162"/>
        <v>=3435*10000</v>
      </c>
      <c r="R381" s="11">
        <f>3435*10000</f>
        <v>34350000</v>
      </c>
      <c r="S381" s="8">
        <f t="shared" si="163"/>
        <v>-0.74327354260089684</v>
      </c>
      <c r="T381" s="6" t="s">
        <v>4863</v>
      </c>
      <c r="U381" s="6" t="str">
        <f t="shared" si="164"/>
        <v>=1.338*100000000</v>
      </c>
      <c r="V381" s="1">
        <f>1.338*100000000</f>
        <v>133800000.00000001</v>
      </c>
      <c r="W381" s="8">
        <f t="shared" si="165"/>
        <v>8.8021978021978029</v>
      </c>
      <c r="X381" s="7" t="s">
        <v>4864</v>
      </c>
      <c r="Y381" s="6" t="str">
        <f t="shared" si="166"/>
        <v>=1365*10000</v>
      </c>
      <c r="Z381" s="1">
        <f>1365*10000</f>
        <v>13650000</v>
      </c>
      <c r="AA381" s="8">
        <f t="shared" si="167"/>
        <v>0.35820895522388058</v>
      </c>
      <c r="AB381" s="7" t="s">
        <v>4865</v>
      </c>
      <c r="AC381" s="6" t="str">
        <f t="shared" si="168"/>
        <v>=1005*10000</v>
      </c>
      <c r="AD381" s="1">
        <f>1005*10000</f>
        <v>10050000</v>
      </c>
      <c r="AE381" s="8">
        <f t="shared" si="169"/>
        <v>-1.83889816360601</v>
      </c>
      <c r="AF381" s="7">
        <f>-1198*10000</f>
        <v>-11980000</v>
      </c>
      <c r="AG381" s="6" t="str">
        <f t="shared" si="170"/>
        <v>=-11980000</v>
      </c>
      <c r="AH381" s="1">
        <f>-11980000</f>
        <v>-11980000</v>
      </c>
      <c r="AI381" s="8">
        <f t="shared" si="171"/>
        <v>-1.1432842961368257</v>
      </c>
      <c r="AJ381" s="7" t="s">
        <v>4866</v>
      </c>
      <c r="AK381" s="6" t="str">
        <f t="shared" si="172"/>
        <v>=8361*10000</v>
      </c>
      <c r="AL381" s="1">
        <f>8361*10000</f>
        <v>83610000</v>
      </c>
      <c r="AM381" s="8">
        <f t="shared" si="173"/>
        <v>-2.0538190068061506</v>
      </c>
      <c r="AN381" s="7">
        <f>-7934*10000</f>
        <v>-79340000</v>
      </c>
      <c r="AO381" s="6" t="str">
        <f t="shared" si="174"/>
        <v>=-79340000</v>
      </c>
      <c r="AP381" s="1">
        <f>-79340000</f>
        <v>-79340000</v>
      </c>
      <c r="AQ381" s="8">
        <f t="shared" si="175"/>
        <v>0.53938688397361267</v>
      </c>
      <c r="AR381" s="7">
        <f>-5154*10000</f>
        <v>-51540000</v>
      </c>
      <c r="AS381" s="6" t="str">
        <f t="shared" si="176"/>
        <v>=-51540000</v>
      </c>
      <c r="AT381" s="1">
        <f>-51540000</f>
        <v>-51540000</v>
      </c>
      <c r="AU381" s="8">
        <f t="shared" si="177"/>
        <v>0.15405284370801611</v>
      </c>
      <c r="AV381" s="7">
        <f>-4466*10000</f>
        <v>-44660000</v>
      </c>
      <c r="AW381" s="6" t="str">
        <f t="shared" si="178"/>
        <v>=-44660000</v>
      </c>
      <c r="AX381" s="1">
        <f>-44660000</f>
        <v>-44660000</v>
      </c>
      <c r="AY381" s="10">
        <f t="shared" si="179"/>
        <v>-1.3103544127866573</v>
      </c>
      <c r="AZ381" s="6" t="s">
        <v>3551</v>
      </c>
      <c r="BA381" s="6" t="str">
        <f t="shared" si="180"/>
        <v>=1.439*100000000</v>
      </c>
      <c r="BB381" s="1">
        <f>1.439*100000000</f>
        <v>143900000</v>
      </c>
      <c r="BC381" s="8">
        <f t="shared" si="181"/>
        <v>-2.9207154297917781</v>
      </c>
      <c r="BD381" s="7">
        <f>-7492*10000</f>
        <v>-74920000</v>
      </c>
      <c r="BE381" s="6" t="str">
        <f t="shared" si="182"/>
        <v>=-74920000</v>
      </c>
      <c r="BF381" s="1">
        <f>-74920000</f>
        <v>-74920000</v>
      </c>
      <c r="BG381" s="8">
        <f t="shared" si="183"/>
        <v>0.59642020029831666</v>
      </c>
      <c r="BH381" s="7">
        <f>-4693*10000</f>
        <v>-46930000</v>
      </c>
      <c r="BI381" s="6" t="str">
        <f t="shared" si="184"/>
        <v>=-46930000</v>
      </c>
      <c r="BJ381" s="1">
        <f>-46930000</f>
        <v>-46930000</v>
      </c>
      <c r="BK381" s="7">
        <f>-1877*10000</f>
        <v>-18770000</v>
      </c>
      <c r="BL381" s="1" t="str">
        <f t="shared" si="156"/>
        <v>=-18770000</v>
      </c>
      <c r="BM381" s="16">
        <f t="shared" si="185"/>
        <v>1.5002663825253064</v>
      </c>
      <c r="BN381" s="1">
        <f>-18770000</f>
        <v>-18770000</v>
      </c>
    </row>
    <row r="382" spans="1:66">
      <c r="A382" s="17">
        <v>96</v>
      </c>
      <c r="B382">
        <v>600318</v>
      </c>
      <c r="C382" t="s">
        <v>31</v>
      </c>
      <c r="D382" s="6" t="s">
        <v>4867</v>
      </c>
      <c r="E382" s="7" t="str">
        <f t="shared" si="155"/>
        <v>=3.954*100000000</v>
      </c>
      <c r="F382" s="1">
        <f>3.954*100000000</f>
        <v>395400000</v>
      </c>
      <c r="G382" s="8">
        <f t="shared" si="157"/>
        <v>0.29681862905870776</v>
      </c>
      <c r="H382" s="6" t="s">
        <v>4868</v>
      </c>
      <c r="I382" s="6" t="str">
        <f t="shared" si="158"/>
        <v>=3.049*100000000</v>
      </c>
      <c r="J382" s="1">
        <f>3.049*100000000</f>
        <v>304900000</v>
      </c>
      <c r="K382" s="10">
        <f t="shared" si="159"/>
        <v>0.43685202639019793</v>
      </c>
      <c r="L382" s="6" t="s">
        <v>4869</v>
      </c>
      <c r="M382" s="6" t="str">
        <f t="shared" si="160"/>
        <v>=2.122*100000000</v>
      </c>
      <c r="N382" s="1">
        <f>2.122*100000000</f>
        <v>212200000</v>
      </c>
      <c r="O382" s="8">
        <f t="shared" si="161"/>
        <v>0.96663577386468957</v>
      </c>
      <c r="P382" s="6" t="s">
        <v>4870</v>
      </c>
      <c r="Q382" s="6" t="str">
        <f t="shared" si="162"/>
        <v>=1.079*100000000</v>
      </c>
      <c r="R382" s="11">
        <f>1.079*100000000</f>
        <v>107900000</v>
      </c>
      <c r="S382" s="8">
        <f t="shared" si="163"/>
        <v>-0.78078017066233241</v>
      </c>
      <c r="T382" s="6" t="s">
        <v>4871</v>
      </c>
      <c r="U382" s="6" t="str">
        <f t="shared" si="164"/>
        <v>=4.922*100000000</v>
      </c>
      <c r="V382" s="1">
        <f>4.922*100000000</f>
        <v>492200000</v>
      </c>
      <c r="W382" s="8">
        <f t="shared" si="165"/>
        <v>0.38258426966292136</v>
      </c>
      <c r="X382" s="6" t="s">
        <v>4872</v>
      </c>
      <c r="Y382" s="6" t="str">
        <f t="shared" si="166"/>
        <v>=3.560*100000000</v>
      </c>
      <c r="Z382" s="1">
        <f>3.56*100000000</f>
        <v>356000000</v>
      </c>
      <c r="AA382" s="8">
        <f t="shared" si="167"/>
        <v>0.52724152724152729</v>
      </c>
      <c r="AB382" s="6" t="s">
        <v>1984</v>
      </c>
      <c r="AC382" s="6" t="str">
        <f t="shared" si="168"/>
        <v>=2.331*100000000</v>
      </c>
      <c r="AD382" s="1">
        <f>2.331*100000000</f>
        <v>233100000</v>
      </c>
      <c r="AE382" s="8">
        <f t="shared" si="169"/>
        <v>0.97375105842506349</v>
      </c>
      <c r="AF382" s="6" t="s">
        <v>4873</v>
      </c>
      <c r="AG382" s="6" t="str">
        <f t="shared" si="170"/>
        <v>=1.181*100000000</v>
      </c>
      <c r="AH382" s="1">
        <f>1.181*100000000</f>
        <v>118100000</v>
      </c>
      <c r="AI382" s="8">
        <f t="shared" si="171"/>
        <v>-0.77178743961352658</v>
      </c>
      <c r="AJ382" s="6" t="s">
        <v>4874</v>
      </c>
      <c r="AK382" s="6" t="str">
        <f t="shared" si="172"/>
        <v>=5.175*100000000</v>
      </c>
      <c r="AL382" s="1">
        <f>5.175*100000000</f>
        <v>517500000</v>
      </c>
      <c r="AM382" s="8">
        <f t="shared" si="173"/>
        <v>0.36868553292779688</v>
      </c>
      <c r="AN382" s="6" t="s">
        <v>4875</v>
      </c>
      <c r="AO382" s="6" t="str">
        <f t="shared" si="174"/>
        <v>=3.781*100000000</v>
      </c>
      <c r="AP382" s="1">
        <f>3.781*100000000</f>
        <v>378100000</v>
      </c>
      <c r="AQ382" s="8">
        <f t="shared" si="175"/>
        <v>0.53325223033252211</v>
      </c>
      <c r="AR382" s="6" t="s">
        <v>4876</v>
      </c>
      <c r="AS382" s="6" t="str">
        <f t="shared" si="176"/>
        <v>=2.466*100000000</v>
      </c>
      <c r="AT382" s="1">
        <f>2.466*100000000</f>
        <v>246600000.00000003</v>
      </c>
      <c r="AU382" s="8">
        <f t="shared" si="177"/>
        <v>0.88676358071920447</v>
      </c>
      <c r="AV382" s="6" t="s">
        <v>4877</v>
      </c>
      <c r="AW382" s="6" t="str">
        <f t="shared" si="178"/>
        <v>=1.307*100000000</v>
      </c>
      <c r="AX382" s="1">
        <f>1.307*100000000</f>
        <v>130700000</v>
      </c>
      <c r="AY382" s="10">
        <f t="shared" si="179"/>
        <v>-0.754968128983877</v>
      </c>
      <c r="AZ382" s="6" t="s">
        <v>4878</v>
      </c>
      <c r="BA382" s="6" t="str">
        <f t="shared" si="180"/>
        <v>=5.334*100000000</v>
      </c>
      <c r="BB382" s="1">
        <f>5.334*100000000</f>
        <v>533399999.99999994</v>
      </c>
      <c r="BC382" s="8">
        <f t="shared" si="181"/>
        <v>0.36594110115236861</v>
      </c>
      <c r="BD382" s="6" t="s">
        <v>4879</v>
      </c>
      <c r="BE382" s="6" t="str">
        <f t="shared" si="182"/>
        <v>=3.905*100000000</v>
      </c>
      <c r="BF382" s="1">
        <f>3.905*100000000</f>
        <v>390500000</v>
      </c>
      <c r="BG382" s="8">
        <f t="shared" si="183"/>
        <v>0.41948382406397672</v>
      </c>
      <c r="BH382" s="6" t="s">
        <v>260</v>
      </c>
      <c r="BI382" s="6" t="str">
        <f t="shared" si="184"/>
        <v>=2.751*100000000</v>
      </c>
      <c r="BJ382" s="1">
        <f>2.751*100000000</f>
        <v>275100000</v>
      </c>
      <c r="BK382" s="6" t="s">
        <v>4880</v>
      </c>
      <c r="BL382" s="1" t="str">
        <f t="shared" si="156"/>
        <v>=1.384*100000000</v>
      </c>
      <c r="BM382" s="16">
        <f t="shared" si="185"/>
        <v>0.98771676300578037</v>
      </c>
      <c r="BN382" s="1">
        <f>1.384*100000000</f>
        <v>138400000</v>
      </c>
    </row>
    <row r="383" spans="1:66">
      <c r="A383" s="18"/>
      <c r="B383">
        <v>600318</v>
      </c>
      <c r="C383" t="s">
        <v>48</v>
      </c>
      <c r="D383" s="6">
        <f>-1.956*100000000</f>
        <v>-195600000</v>
      </c>
      <c r="E383" s="7" t="str">
        <f t="shared" si="155"/>
        <v>=-195600000</v>
      </c>
      <c r="F383" s="1">
        <f>-195600000</f>
        <v>-195600000</v>
      </c>
      <c r="G383" s="8">
        <f t="shared" si="157"/>
        <v>-2.7621621621621619</v>
      </c>
      <c r="H383" s="6" t="s">
        <v>3656</v>
      </c>
      <c r="I383" s="6" t="str">
        <f t="shared" si="158"/>
        <v>=1.110*100000000</v>
      </c>
      <c r="J383" s="1">
        <f>1.11*100000000</f>
        <v>111000000.00000001</v>
      </c>
      <c r="K383" s="10">
        <f t="shared" si="159"/>
        <v>0.53952843273231643</v>
      </c>
      <c r="L383" s="7" t="s">
        <v>4881</v>
      </c>
      <c r="M383" s="6" t="str">
        <f t="shared" si="160"/>
        <v>=7210*10000</v>
      </c>
      <c r="N383" s="1">
        <f>7210*10000</f>
        <v>72100000</v>
      </c>
      <c r="O383" s="8">
        <f t="shared" si="161"/>
        <v>0.97642543859649122</v>
      </c>
      <c r="P383" s="7" t="s">
        <v>4882</v>
      </c>
      <c r="Q383" s="6" t="str">
        <f t="shared" si="162"/>
        <v>=3648*10000</v>
      </c>
      <c r="R383" s="11">
        <f>3648*10000</f>
        <v>36480000</v>
      </c>
      <c r="S383" s="8">
        <f t="shared" si="163"/>
        <v>-0.75904887714663138</v>
      </c>
      <c r="T383" s="6" t="s">
        <v>2101</v>
      </c>
      <c r="U383" s="6" t="str">
        <f t="shared" si="164"/>
        <v>=1.514*100000000</v>
      </c>
      <c r="V383" s="1">
        <f>1.514*100000000</f>
        <v>151400000</v>
      </c>
      <c r="W383" s="8">
        <f t="shared" si="165"/>
        <v>-1.2393998695368558E-2</v>
      </c>
      <c r="X383" s="6" t="s">
        <v>4289</v>
      </c>
      <c r="Y383" s="6" t="str">
        <f t="shared" si="166"/>
        <v>=1.533*100000000</v>
      </c>
      <c r="Z383" s="1">
        <f>1.533*100000000</f>
        <v>153300000</v>
      </c>
      <c r="AA383" s="8">
        <f t="shared" si="167"/>
        <v>0.68184311574328027</v>
      </c>
      <c r="AB383" s="7" t="s">
        <v>3446</v>
      </c>
      <c r="AC383" s="6" t="str">
        <f t="shared" si="168"/>
        <v>=9115*10000</v>
      </c>
      <c r="AD383" s="1">
        <f>9115*10000</f>
        <v>91150000</v>
      </c>
      <c r="AE383" s="8">
        <f t="shared" si="169"/>
        <v>0.99627682873412182</v>
      </c>
      <c r="AF383" s="7" t="s">
        <v>4883</v>
      </c>
      <c r="AG383" s="6" t="str">
        <f t="shared" si="170"/>
        <v>=4566*10000</v>
      </c>
      <c r="AH383" s="1">
        <f>4566*10000</f>
        <v>45660000</v>
      </c>
      <c r="AI383" s="8">
        <f t="shared" si="171"/>
        <v>-0.78703358208955221</v>
      </c>
      <c r="AJ383" s="6" t="s">
        <v>4884</v>
      </c>
      <c r="AK383" s="6" t="str">
        <f t="shared" si="172"/>
        <v>=2.144*100000000</v>
      </c>
      <c r="AL383" s="1">
        <f>2.144*100000000</f>
        <v>214400000</v>
      </c>
      <c r="AM383" s="8">
        <f t="shared" si="173"/>
        <v>0.37435897435897436</v>
      </c>
      <c r="AN383" s="6" t="s">
        <v>4885</v>
      </c>
      <c r="AO383" s="6" t="str">
        <f t="shared" si="174"/>
        <v>=1.560*100000000</v>
      </c>
      <c r="AP383" s="1">
        <f>1.56*100000000</f>
        <v>156000000</v>
      </c>
      <c r="AQ383" s="8">
        <f t="shared" si="175"/>
        <v>0.58439975624619134</v>
      </c>
      <c r="AR383" s="7" t="s">
        <v>4886</v>
      </c>
      <c r="AS383" s="6" t="str">
        <f t="shared" si="176"/>
        <v>=9846*10000</v>
      </c>
      <c r="AT383" s="1">
        <f>9846*10000</f>
        <v>98460000</v>
      </c>
      <c r="AU383" s="8">
        <f t="shared" si="177"/>
        <v>0.43632385120350109</v>
      </c>
      <c r="AV383" s="7" t="s">
        <v>4887</v>
      </c>
      <c r="AW383" s="6" t="str">
        <f t="shared" si="178"/>
        <v>=6855*10000</v>
      </c>
      <c r="AX383" s="1">
        <f>6855*10000</f>
        <v>68550000</v>
      </c>
      <c r="AY383" s="10">
        <f t="shared" si="179"/>
        <v>-0.70503442340791733</v>
      </c>
      <c r="AZ383" s="6" t="s">
        <v>133</v>
      </c>
      <c r="BA383" s="6" t="str">
        <f t="shared" si="180"/>
        <v>=2.324*100000000</v>
      </c>
      <c r="BB383" s="1">
        <f>2.324*100000000</f>
        <v>232399999.99999997</v>
      </c>
      <c r="BC383" s="8">
        <f t="shared" si="181"/>
        <v>0.4231475811390078</v>
      </c>
      <c r="BD383" s="6" t="s">
        <v>4450</v>
      </c>
      <c r="BE383" s="6" t="str">
        <f t="shared" si="182"/>
        <v>=1.633*100000000</v>
      </c>
      <c r="BF383" s="1">
        <f>1.633*100000000</f>
        <v>163300000</v>
      </c>
      <c r="BG383" s="8">
        <f t="shared" si="183"/>
        <v>0.24371667936024372</v>
      </c>
      <c r="BH383" s="6" t="s">
        <v>4888</v>
      </c>
      <c r="BI383" s="6" t="str">
        <f t="shared" si="184"/>
        <v>=1.313*100000000</v>
      </c>
      <c r="BJ383" s="1">
        <f>1.313*100000000</f>
        <v>131300000</v>
      </c>
      <c r="BK383" s="7" t="s">
        <v>4889</v>
      </c>
      <c r="BL383" s="1" t="str">
        <f t="shared" si="156"/>
        <v>=6714*10000</v>
      </c>
      <c r="BM383" s="16">
        <f t="shared" si="185"/>
        <v>0.95561513255883224</v>
      </c>
      <c r="BN383" s="1">
        <f>6714*10000</f>
        <v>67140000</v>
      </c>
    </row>
    <row r="384" spans="1:66">
      <c r="A384" s="18"/>
      <c r="B384">
        <v>600318</v>
      </c>
      <c r="C384" t="s">
        <v>58</v>
      </c>
      <c r="D384" s="6">
        <f>-1.933*100000000</f>
        <v>-193300000</v>
      </c>
      <c r="E384" s="7" t="str">
        <f t="shared" si="155"/>
        <v>=-193300000</v>
      </c>
      <c r="F384" s="1">
        <f>-193300000</f>
        <v>-193300000</v>
      </c>
      <c r="G384" s="8">
        <f t="shared" si="157"/>
        <v>-2.7075971731448765</v>
      </c>
      <c r="H384" s="6" t="s">
        <v>4890</v>
      </c>
      <c r="I384" s="6" t="str">
        <f t="shared" si="158"/>
        <v>=1.132*100000000</v>
      </c>
      <c r="J384" s="1">
        <f>1.132*100000000</f>
        <v>113199999.99999999</v>
      </c>
      <c r="K384" s="10">
        <f t="shared" si="159"/>
        <v>0.57069515748577748</v>
      </c>
      <c r="L384" s="7" t="s">
        <v>4891</v>
      </c>
      <c r="M384" s="6" t="str">
        <f t="shared" si="160"/>
        <v>=7207*10000</v>
      </c>
      <c r="N384" s="1">
        <f>7207*10000</f>
        <v>72070000</v>
      </c>
      <c r="O384" s="8">
        <f t="shared" si="161"/>
        <v>0.97831457589898441</v>
      </c>
      <c r="P384" s="7" t="s">
        <v>4892</v>
      </c>
      <c r="Q384" s="6" t="str">
        <f t="shared" si="162"/>
        <v>=3643*10000</v>
      </c>
      <c r="R384" s="11">
        <f>3643*10000</f>
        <v>36430000</v>
      </c>
      <c r="S384" s="8">
        <f t="shared" si="163"/>
        <v>-0.76722044728434502</v>
      </c>
      <c r="T384" s="6" t="s">
        <v>4893</v>
      </c>
      <c r="U384" s="6" t="str">
        <f t="shared" si="164"/>
        <v>=1.565*100000000</v>
      </c>
      <c r="V384" s="1">
        <f>1.565*100000000</f>
        <v>156500000</v>
      </c>
      <c r="W384" s="8">
        <f t="shared" si="165"/>
        <v>2.4885396201702686E-2</v>
      </c>
      <c r="X384" s="6" t="s">
        <v>2536</v>
      </c>
      <c r="Y384" s="6" t="str">
        <f t="shared" si="166"/>
        <v>=1.527*100000000</v>
      </c>
      <c r="Z384" s="1">
        <f>1.527*100000000</f>
        <v>152700000</v>
      </c>
      <c r="AA384" s="8">
        <f t="shared" si="167"/>
        <v>0.68505848598543373</v>
      </c>
      <c r="AB384" s="7" t="s">
        <v>4894</v>
      </c>
      <c r="AC384" s="6" t="str">
        <f t="shared" si="168"/>
        <v>=9062*10000</v>
      </c>
      <c r="AD384" s="1">
        <f>9062*10000</f>
        <v>90620000</v>
      </c>
      <c r="AE384" s="8">
        <f t="shared" si="169"/>
        <v>1.0066430469441985</v>
      </c>
      <c r="AF384" s="7" t="s">
        <v>4895</v>
      </c>
      <c r="AG384" s="6" t="str">
        <f t="shared" si="170"/>
        <v>=4516*10000</v>
      </c>
      <c r="AH384" s="1">
        <f>4516*10000</f>
        <v>45160000</v>
      </c>
      <c r="AI384" s="8">
        <f t="shared" si="171"/>
        <v>-0.78926738217452164</v>
      </c>
      <c r="AJ384" s="6" t="s">
        <v>4896</v>
      </c>
      <c r="AK384" s="6" t="str">
        <f t="shared" si="172"/>
        <v>=2.143*100000000</v>
      </c>
      <c r="AL384" s="1">
        <f>2.143*100000000</f>
        <v>214299999.99999997</v>
      </c>
      <c r="AM384" s="8">
        <f t="shared" si="173"/>
        <v>0.37636480411046863</v>
      </c>
      <c r="AN384" s="6" t="s">
        <v>4897</v>
      </c>
      <c r="AO384" s="6" t="str">
        <f t="shared" si="174"/>
        <v>=1.557*100000000</v>
      </c>
      <c r="AP384" s="1">
        <f>1.557*100000000</f>
        <v>155700000</v>
      </c>
      <c r="AQ384" s="8">
        <f t="shared" si="175"/>
        <v>0.58457154488092811</v>
      </c>
      <c r="AR384" s="7" t="s">
        <v>4898</v>
      </c>
      <c r="AS384" s="6" t="str">
        <f t="shared" si="176"/>
        <v>=9826*10000</v>
      </c>
      <c r="AT384" s="1">
        <f>9826*10000</f>
        <v>98260000</v>
      </c>
      <c r="AU384" s="8">
        <f t="shared" si="177"/>
        <v>0.43760058522311629</v>
      </c>
      <c r="AV384" s="7" t="s">
        <v>4899</v>
      </c>
      <c r="AW384" s="6" t="str">
        <f t="shared" si="178"/>
        <v>=6835*10000</v>
      </c>
      <c r="AX384" s="1">
        <f>6835*10000</f>
        <v>68350000</v>
      </c>
      <c r="AY384" s="10">
        <f t="shared" si="179"/>
        <v>-0.7067782067782068</v>
      </c>
      <c r="AZ384" s="6" t="s">
        <v>1984</v>
      </c>
      <c r="BA384" s="6" t="str">
        <f t="shared" si="180"/>
        <v>=2.331*100000000</v>
      </c>
      <c r="BB384" s="1">
        <f>2.331*100000000</f>
        <v>233100000</v>
      </c>
      <c r="BC384" s="8">
        <f t="shared" si="181"/>
        <v>0.41961023142509135</v>
      </c>
      <c r="BD384" s="6" t="s">
        <v>2356</v>
      </c>
      <c r="BE384" s="6" t="str">
        <f t="shared" si="182"/>
        <v>=1.642*100000000</v>
      </c>
      <c r="BF384" s="1">
        <f>1.642*100000000</f>
        <v>164200000</v>
      </c>
      <c r="BG384" s="8">
        <f t="shared" si="183"/>
        <v>0.24111866969009826</v>
      </c>
      <c r="BH384" s="6" t="s">
        <v>4431</v>
      </c>
      <c r="BI384" s="6" t="str">
        <f t="shared" si="184"/>
        <v>=1.323*100000000</v>
      </c>
      <c r="BJ384" s="1">
        <f>1.323*100000000</f>
        <v>132300000</v>
      </c>
      <c r="BK384" s="7" t="s">
        <v>4900</v>
      </c>
      <c r="BL384" s="1" t="str">
        <f t="shared" si="156"/>
        <v>=6766*10000</v>
      </c>
      <c r="BM384" s="16">
        <f t="shared" si="185"/>
        <v>0.95536506059710313</v>
      </c>
      <c r="BN384" s="1">
        <f>6766*10000</f>
        <v>67660000</v>
      </c>
    </row>
    <row r="385" spans="1:66">
      <c r="A385" s="19"/>
      <c r="B385">
        <v>600318</v>
      </c>
      <c r="C385" t="s">
        <v>68</v>
      </c>
      <c r="D385" s="6">
        <f>-2.431*100000000</f>
        <v>-243100000</v>
      </c>
      <c r="E385" s="7" t="str">
        <f t="shared" si="155"/>
        <v>=-243100000</v>
      </c>
      <c r="F385" s="1">
        <f>-243100000</f>
        <v>-243100000</v>
      </c>
      <c r="G385" s="8">
        <f t="shared" si="157"/>
        <v>-4.9722222222222223</v>
      </c>
      <c r="H385" s="7" t="s">
        <v>4901</v>
      </c>
      <c r="I385" s="6" t="str">
        <f t="shared" si="158"/>
        <v>=6120*10000</v>
      </c>
      <c r="J385" s="1">
        <f>6120*10000</f>
        <v>61200000</v>
      </c>
      <c r="K385" s="10">
        <f t="shared" si="159"/>
        <v>0.62549800796812749</v>
      </c>
      <c r="L385" s="7" t="s">
        <v>4902</v>
      </c>
      <c r="M385" s="6" t="str">
        <f t="shared" si="160"/>
        <v>=3765*10000</v>
      </c>
      <c r="N385" s="1">
        <f>3765*10000</f>
        <v>37650000</v>
      </c>
      <c r="O385" s="8">
        <f t="shared" si="161"/>
        <v>0.82944606413994171</v>
      </c>
      <c r="P385" s="7" t="s">
        <v>4903</v>
      </c>
      <c r="Q385" s="6" t="str">
        <f t="shared" si="162"/>
        <v>=2058*10000</v>
      </c>
      <c r="R385" s="11">
        <f>2058*10000</f>
        <v>20580000</v>
      </c>
      <c r="S385" s="8">
        <f t="shared" si="163"/>
        <v>-0.74993924665856626</v>
      </c>
      <c r="T385" s="7" t="s">
        <v>4904</v>
      </c>
      <c r="U385" s="6" t="str">
        <f t="shared" si="164"/>
        <v>=8230*10000</v>
      </c>
      <c r="V385" s="1">
        <f>8230*10000</f>
        <v>82300000</v>
      </c>
      <c r="W385" s="8">
        <f t="shared" si="165"/>
        <v>-0.16165834776408272</v>
      </c>
      <c r="X385" s="7" t="s">
        <v>4905</v>
      </c>
      <c r="Y385" s="6" t="str">
        <f t="shared" si="166"/>
        <v>=9817*10000</v>
      </c>
      <c r="Z385" s="1">
        <f>9817*10000</f>
        <v>98170000</v>
      </c>
      <c r="AA385" s="8">
        <f t="shared" si="167"/>
        <v>0.81426723341341711</v>
      </c>
      <c r="AB385" s="7" t="s">
        <v>4906</v>
      </c>
      <c r="AC385" s="6" t="str">
        <f t="shared" si="168"/>
        <v>=5411*10000</v>
      </c>
      <c r="AD385" s="1">
        <f>5411*10000</f>
        <v>54110000</v>
      </c>
      <c r="AE385" s="8">
        <f t="shared" si="169"/>
        <v>0.93112062812276941</v>
      </c>
      <c r="AF385" s="7" t="s">
        <v>4907</v>
      </c>
      <c r="AG385" s="6" t="str">
        <f t="shared" si="170"/>
        <v>=2802*10000</v>
      </c>
      <c r="AH385" s="1">
        <f>2802*10000</f>
        <v>28020000</v>
      </c>
      <c r="AI385" s="8">
        <f t="shared" si="171"/>
        <v>-0.79798125450612833</v>
      </c>
      <c r="AJ385" s="6" t="s">
        <v>2160</v>
      </c>
      <c r="AK385" s="6" t="str">
        <f t="shared" si="172"/>
        <v>=1.387*100000000</v>
      </c>
      <c r="AL385" s="1">
        <f>1.387*100000000</f>
        <v>138700000</v>
      </c>
      <c r="AM385" s="8">
        <f t="shared" si="173"/>
        <v>0.30972615675165249</v>
      </c>
      <c r="AN385" s="6" t="s">
        <v>4908</v>
      </c>
      <c r="AO385" s="6" t="str">
        <f t="shared" si="174"/>
        <v>=1.059*100000000</v>
      </c>
      <c r="AP385" s="1">
        <f>1.059*100000000</f>
        <v>105900000</v>
      </c>
      <c r="AQ385" s="8">
        <f t="shared" si="175"/>
        <v>0.61432926829268297</v>
      </c>
      <c r="AR385" s="7" t="s">
        <v>4909</v>
      </c>
      <c r="AS385" s="6" t="str">
        <f t="shared" si="176"/>
        <v>=6560*10000</v>
      </c>
      <c r="AT385" s="1">
        <f>6560*10000</f>
        <v>65600000</v>
      </c>
      <c r="AU385" s="8">
        <f t="shared" si="177"/>
        <v>0.37037810737413829</v>
      </c>
      <c r="AV385" s="7" t="s">
        <v>3164</v>
      </c>
      <c r="AW385" s="6" t="str">
        <f t="shared" si="178"/>
        <v>=4787*10000</v>
      </c>
      <c r="AX385" s="1">
        <f>4787*10000</f>
        <v>47870000</v>
      </c>
      <c r="AY385" s="10">
        <f t="shared" si="179"/>
        <v>-0.68794002607561933</v>
      </c>
      <c r="AZ385" s="6" t="s">
        <v>2085</v>
      </c>
      <c r="BA385" s="6" t="str">
        <f t="shared" si="180"/>
        <v>=1.534*100000000</v>
      </c>
      <c r="BB385" s="1">
        <f>1.534*100000000</f>
        <v>153400000</v>
      </c>
      <c r="BC385" s="8">
        <f t="shared" si="181"/>
        <v>0.42168674698795183</v>
      </c>
      <c r="BD385" s="6" t="s">
        <v>4870</v>
      </c>
      <c r="BE385" s="6" t="str">
        <f t="shared" si="182"/>
        <v>=1.079*100000000</v>
      </c>
      <c r="BF385" s="1">
        <f>1.079*100000000</f>
        <v>107900000</v>
      </c>
      <c r="BG385" s="8">
        <f t="shared" si="183"/>
        <v>0.21522693997071743</v>
      </c>
      <c r="BH385" s="7" t="s">
        <v>4308</v>
      </c>
      <c r="BI385" s="6" t="str">
        <f t="shared" si="184"/>
        <v>=8879*10000</v>
      </c>
      <c r="BJ385" s="1">
        <f>8879*10000</f>
        <v>88790000</v>
      </c>
      <c r="BK385" s="7" t="s">
        <v>4910</v>
      </c>
      <c r="BL385" s="1" t="str">
        <f t="shared" si="156"/>
        <v>=4604*10000</v>
      </c>
      <c r="BM385" s="16">
        <f t="shared" si="185"/>
        <v>0.92854039965247614</v>
      </c>
      <c r="BN385" s="1">
        <f>4604*10000</f>
        <v>46040000</v>
      </c>
    </row>
    <row r="386" spans="1:66">
      <c r="A386" s="17">
        <v>97</v>
      </c>
      <c r="B386">
        <v>600319</v>
      </c>
      <c r="C386" t="s">
        <v>31</v>
      </c>
      <c r="D386" s="6" t="s">
        <v>4911</v>
      </c>
      <c r="E386" s="7" t="str">
        <f t="shared" ref="E386:E449" si="186">"="&amp;D386</f>
        <v>=1.927*100000000</v>
      </c>
      <c r="F386" s="1">
        <f>1.927*100000000</f>
        <v>192700000</v>
      </c>
      <c r="G386" s="8">
        <f t="shared" si="157"/>
        <v>0.97823632070629296</v>
      </c>
      <c r="H386" s="7" t="s">
        <v>4912</v>
      </c>
      <c r="I386" s="6" t="str">
        <f t="shared" si="158"/>
        <v>=9741*10000</v>
      </c>
      <c r="J386" s="1">
        <f>9741*10000</f>
        <v>97410000</v>
      </c>
      <c r="K386" s="10">
        <f t="shared" si="159"/>
        <v>3.0135970333745363</v>
      </c>
      <c r="L386" s="7" t="s">
        <v>4913</v>
      </c>
      <c r="M386" s="6" t="str">
        <f t="shared" si="160"/>
        <v>=2427*10000</v>
      </c>
      <c r="N386" s="1">
        <f>2427*10000</f>
        <v>24270000</v>
      </c>
      <c r="O386" s="8">
        <f t="shared" si="161"/>
        <v>299.59450086698041</v>
      </c>
      <c r="P386" s="7" t="s">
        <v>4914</v>
      </c>
      <c r="Q386" s="6" t="str">
        <f t="shared" si="162"/>
        <v>=8.074*10000</v>
      </c>
      <c r="R386" s="11">
        <f>8.074*10000</f>
        <v>80740</v>
      </c>
      <c r="S386" s="8">
        <f t="shared" si="163"/>
        <v>-0.99836193954148911</v>
      </c>
      <c r="T386" s="7" t="s">
        <v>4915</v>
      </c>
      <c r="U386" s="6" t="str">
        <f t="shared" si="164"/>
        <v>=4929*10000</v>
      </c>
      <c r="V386" s="1">
        <f>4929*10000</f>
        <v>49290000</v>
      </c>
      <c r="W386" s="8">
        <f t="shared" si="165"/>
        <v>0.15056022408963585</v>
      </c>
      <c r="X386" s="7" t="s">
        <v>4916</v>
      </c>
      <c r="Y386" s="6" t="str">
        <f t="shared" si="166"/>
        <v>=4284*10000</v>
      </c>
      <c r="Z386" s="1">
        <f>4284*10000</f>
        <v>42840000</v>
      </c>
      <c r="AA386" s="8">
        <f t="shared" si="167"/>
        <v>0.10554838709677419</v>
      </c>
      <c r="AB386" s="7" t="s">
        <v>4917</v>
      </c>
      <c r="AC386" s="6" t="str">
        <f t="shared" si="168"/>
        <v>=3875*10000</v>
      </c>
      <c r="AD386" s="1">
        <f>3875*10000</f>
        <v>38750000</v>
      </c>
      <c r="AE386" s="8">
        <f t="shared" si="169"/>
        <v>0.71536077910579898</v>
      </c>
      <c r="AF386" s="7" t="s">
        <v>4918</v>
      </c>
      <c r="AG386" s="6" t="str">
        <f t="shared" si="170"/>
        <v>=2259*10000</v>
      </c>
      <c r="AH386" s="1">
        <f>2259*10000</f>
        <v>22590000</v>
      </c>
      <c r="AI386" s="8">
        <f t="shared" si="171"/>
        <v>-0.98635045317220549</v>
      </c>
      <c r="AJ386" s="6" t="s">
        <v>4919</v>
      </c>
      <c r="AK386" s="6" t="str">
        <f t="shared" si="172"/>
        <v>=16.55*100000000</v>
      </c>
      <c r="AL386" s="1">
        <f>16.55*100000000</f>
        <v>1655000000</v>
      </c>
      <c r="AM386" s="8">
        <f t="shared" si="173"/>
        <v>0.17626154939587776</v>
      </c>
      <c r="AN386" s="6" t="s">
        <v>4920</v>
      </c>
      <c r="AO386" s="6" t="str">
        <f t="shared" si="174"/>
        <v>=14.07*100000000</v>
      </c>
      <c r="AP386" s="1">
        <f>14.07*100000000</f>
        <v>1407000000</v>
      </c>
      <c r="AQ386" s="8">
        <f t="shared" si="175"/>
        <v>0.46425226350296595</v>
      </c>
      <c r="AR386" s="6" t="s">
        <v>4921</v>
      </c>
      <c r="AS386" s="6" t="str">
        <f t="shared" si="176"/>
        <v>=9.609*100000000</v>
      </c>
      <c r="AT386" s="1">
        <f>9.609*100000000</f>
        <v>960900000</v>
      </c>
      <c r="AU386" s="8">
        <f t="shared" si="177"/>
        <v>0.84398388025331006</v>
      </c>
      <c r="AV386" s="6" t="s">
        <v>4127</v>
      </c>
      <c r="AW386" s="6" t="str">
        <f t="shared" si="178"/>
        <v>=5.211*100000000</v>
      </c>
      <c r="AX386" s="1">
        <f>5.211*100000000</f>
        <v>521100000.00000006</v>
      </c>
      <c r="AY386" s="10">
        <f t="shared" si="179"/>
        <v>-0.74074626865671644</v>
      </c>
      <c r="AZ386" s="6" t="s">
        <v>4922</v>
      </c>
      <c r="BA386" s="6" t="str">
        <f t="shared" si="180"/>
        <v>=20.10*100000000</v>
      </c>
      <c r="BB386" s="1">
        <f>20.1*100000000</f>
        <v>2010000000.0000002</v>
      </c>
      <c r="BC386" s="8">
        <f t="shared" si="181"/>
        <v>0.28188775510204095</v>
      </c>
      <c r="BD386" s="6" t="s">
        <v>4095</v>
      </c>
      <c r="BE386" s="6" t="str">
        <f t="shared" si="182"/>
        <v>=15.68*100000000</v>
      </c>
      <c r="BF386" s="1">
        <f>15.68*100000000</f>
        <v>1568000000</v>
      </c>
      <c r="BG386" s="8">
        <f t="shared" si="183"/>
        <v>0.47645951035781559</v>
      </c>
      <c r="BH386" s="6" t="s">
        <v>4923</v>
      </c>
      <c r="BI386" s="6" t="str">
        <f t="shared" si="184"/>
        <v>=10.62*100000000</v>
      </c>
      <c r="BJ386" s="1">
        <f>10.62*100000000</f>
        <v>1061999999.9999999</v>
      </c>
      <c r="BK386" s="6" t="s">
        <v>2455</v>
      </c>
      <c r="BL386" s="1" t="str">
        <f t="shared" ref="BL386:BL449" si="187">"="&amp;BK386</f>
        <v>=5.055*100000000</v>
      </c>
      <c r="BM386" s="16">
        <f t="shared" si="185"/>
        <v>1.1008902077151332</v>
      </c>
      <c r="BN386" s="1">
        <f>5.055*100000000</f>
        <v>505500000</v>
      </c>
    </row>
    <row r="387" spans="1:66">
      <c r="A387" s="18"/>
      <c r="B387">
        <v>600319</v>
      </c>
      <c r="C387" t="s">
        <v>48</v>
      </c>
      <c r="D387" s="6" t="s">
        <v>4924</v>
      </c>
      <c r="E387" s="7" t="str">
        <f t="shared" si="186"/>
        <v>=1.897*100000000</v>
      </c>
      <c r="F387" s="1">
        <f>1.897*100000000</f>
        <v>189700000</v>
      </c>
      <c r="G387" s="8">
        <f t="shared" ref="G387:G450" si="188">(F387-J387)/J387</f>
        <v>-6.5630498533724344</v>
      </c>
      <c r="H387" s="7">
        <f>-3410*10000</f>
        <v>-34100000</v>
      </c>
      <c r="I387" s="6" t="str">
        <f t="shared" ref="I387:I450" si="189">"="&amp;H387</f>
        <v>=-34100000</v>
      </c>
      <c r="J387" s="1">
        <f>-34100000</f>
        <v>-34100000</v>
      </c>
      <c r="K387" s="10">
        <f t="shared" ref="K387:K450" si="190">(J387-N387)/N387</f>
        <v>1.7882256745707277</v>
      </c>
      <c r="L387" s="7">
        <f>-1223*10000</f>
        <v>-12230000</v>
      </c>
      <c r="M387" s="6" t="str">
        <f t="shared" ref="M387:M450" si="191">"="&amp;L387</f>
        <v>=-12230000</v>
      </c>
      <c r="N387" s="1">
        <f>-12230000</f>
        <v>-12230000</v>
      </c>
      <c r="O387" s="8">
        <f t="shared" ref="O387:O450" si="192">(N387-R387)/R387</f>
        <v>0.74514840182648401</v>
      </c>
      <c r="P387" s="7">
        <f>-700.8*10000</f>
        <v>-7008000</v>
      </c>
      <c r="Q387" s="6" t="str">
        <f t="shared" ref="Q387:Q450" si="193">"="&amp;P387</f>
        <v>=-7008000</v>
      </c>
      <c r="R387" s="11">
        <f>-7008000</f>
        <v>-7008000</v>
      </c>
      <c r="S387" s="8">
        <f t="shared" ref="S387:S450" si="194">(R387-V387)/V387</f>
        <v>-0.72795031055900616</v>
      </c>
      <c r="T387" s="7">
        <f>-2576*10000</f>
        <v>-25760000</v>
      </c>
      <c r="U387" s="6" t="str">
        <f t="shared" ref="U387:U450" si="195">"="&amp;T387</f>
        <v>=-25760000</v>
      </c>
      <c r="V387" s="1">
        <f>-25760000</f>
        <v>-25760000</v>
      </c>
      <c r="W387" s="8">
        <f t="shared" ref="W387:W450" si="196">(V387-Z387)/Z387</f>
        <v>0.31697341513292432</v>
      </c>
      <c r="X387" s="7">
        <f>-1956*10000</f>
        <v>-19560000</v>
      </c>
      <c r="Y387" s="6" t="str">
        <f t="shared" ref="Y387:Y450" si="197">"="&amp;X387</f>
        <v>=-19560000</v>
      </c>
      <c r="Z387" s="1">
        <f>-19560000</f>
        <v>-19560000</v>
      </c>
      <c r="AA387" s="8">
        <f t="shared" ref="AA387:AA450" si="198">(Z387-AD387)/AD387</f>
        <v>0.16706443914081145</v>
      </c>
      <c r="AB387" s="7">
        <f>-1676*10000</f>
        <v>-16760000</v>
      </c>
      <c r="AC387" s="6" t="str">
        <f t="shared" ref="AC387:AC450" si="199">"="&amp;AB387</f>
        <v>=-16760000</v>
      </c>
      <c r="AD387" s="1">
        <f>-16760000</f>
        <v>-16760000</v>
      </c>
      <c r="AE387" s="8">
        <f t="shared" ref="AE387:AE450" si="200">(AD387-AH387)/AH387</f>
        <v>1.2523854320655825</v>
      </c>
      <c r="AF387" s="7">
        <f>-744.1*10000</f>
        <v>-7441000</v>
      </c>
      <c r="AG387" s="6" t="str">
        <f t="shared" ref="AG387:AG450" si="201">"="&amp;AF387</f>
        <v>=-7441000</v>
      </c>
      <c r="AH387" s="1">
        <f>-7441000</f>
        <v>-7441000</v>
      </c>
      <c r="AI387" s="8">
        <f t="shared" ref="AI387:AI450" si="202">(AH387-AL387)/AL387</f>
        <v>-0.75088717777033809</v>
      </c>
      <c r="AJ387" s="7">
        <f>-2987*10000</f>
        <v>-29870000</v>
      </c>
      <c r="AK387" s="6" t="str">
        <f t="shared" ref="AK387:AK450" si="203">"="&amp;AJ387</f>
        <v>=-29870000</v>
      </c>
      <c r="AL387" s="1">
        <f>-29870000</f>
        <v>-29870000</v>
      </c>
      <c r="AM387" s="8">
        <f t="shared" ref="AM387:AM450" si="204">(AL387-AP387)/AP387</f>
        <v>-2.5270961145194275</v>
      </c>
      <c r="AN387" s="7" t="s">
        <v>4925</v>
      </c>
      <c r="AO387" s="6" t="str">
        <f t="shared" ref="AO387:AO450" si="205">"="&amp;AN387</f>
        <v>=1956*10000</v>
      </c>
      <c r="AP387" s="1">
        <f>1956*10000</f>
        <v>19560000</v>
      </c>
      <c r="AQ387" s="8">
        <f t="shared" ref="AQ387:AQ450" si="206">(AP387-AT387)/AT387</f>
        <v>-6.0969755160825735E-2</v>
      </c>
      <c r="AR387" s="7" t="s">
        <v>4926</v>
      </c>
      <c r="AS387" s="6" t="str">
        <f t="shared" ref="AS387:AS450" si="207">"="&amp;AR387</f>
        <v>=2083*10000</v>
      </c>
      <c r="AT387" s="1">
        <f>2083*10000</f>
        <v>20830000</v>
      </c>
      <c r="AU387" s="8">
        <f t="shared" ref="AU387:AU450" si="208">(AT387-AX387)/AX387</f>
        <v>0.6544876886417792</v>
      </c>
      <c r="AV387" s="7" t="s">
        <v>4927</v>
      </c>
      <c r="AW387" s="6" t="str">
        <f t="shared" ref="AW387:AW450" si="209">"="&amp;AV387</f>
        <v>=1259*10000</v>
      </c>
      <c r="AX387" s="1">
        <f>1259*10000</f>
        <v>12590000</v>
      </c>
      <c r="AY387" s="10">
        <f t="shared" ref="AY387:AY450" si="210">(AX387-BB387)/BB387</f>
        <v>1.7903368794326242</v>
      </c>
      <c r="AZ387" s="7" t="s">
        <v>4928</v>
      </c>
      <c r="BA387" s="6" t="str">
        <f t="shared" ref="BA387:BA450" si="211">"="&amp;AZ387</f>
        <v>=451.2*10000</v>
      </c>
      <c r="BB387" s="1">
        <f>451.2*10000</f>
        <v>4512000</v>
      </c>
      <c r="BC387" s="8">
        <f t="shared" ref="BC387:BC450" si="212">(BB387-BF387)/BF387</f>
        <v>-0.5949730700179533</v>
      </c>
      <c r="BD387" s="7" t="s">
        <v>4929</v>
      </c>
      <c r="BE387" s="6" t="str">
        <f t="shared" ref="BE387:BE450" si="213">"="&amp;BD387</f>
        <v>=1114*10000</v>
      </c>
      <c r="BF387" s="1">
        <f>1114*10000</f>
        <v>11140000</v>
      </c>
      <c r="BG387" s="8">
        <f t="shared" ref="BG387:BG450" si="214">(BF387-BJ387)/BJ387</f>
        <v>-0.34238488783943327</v>
      </c>
      <c r="BH387" s="7" t="s">
        <v>4930</v>
      </c>
      <c r="BI387" s="6" t="str">
        <f t="shared" ref="BI387:BI450" si="215">"="&amp;BH387</f>
        <v>=1694*10000</v>
      </c>
      <c r="BJ387" s="1">
        <f>1694*10000</f>
        <v>16940000</v>
      </c>
      <c r="BK387" s="7" t="s">
        <v>4931</v>
      </c>
      <c r="BL387" s="1" t="str">
        <f t="shared" si="187"/>
        <v>=1134*10000</v>
      </c>
      <c r="BM387" s="16">
        <f t="shared" ref="BM387:BM450" si="216">(BJ387-BN387)/BN387</f>
        <v>0.49382716049382713</v>
      </c>
      <c r="BN387" s="1">
        <f>1134*10000</f>
        <v>11340000</v>
      </c>
    </row>
    <row r="388" spans="1:66">
      <c r="A388" s="18"/>
      <c r="B388">
        <v>600319</v>
      </c>
      <c r="C388" t="s">
        <v>58</v>
      </c>
      <c r="D388" s="6" t="s">
        <v>4932</v>
      </c>
      <c r="E388" s="7" t="str">
        <f t="shared" si="186"/>
        <v>=1.930*100000000</v>
      </c>
      <c r="F388" s="1">
        <f>1.93*100000000</f>
        <v>193000000</v>
      </c>
      <c r="G388" s="8">
        <f t="shared" si="188"/>
        <v>-6.5683785343335259</v>
      </c>
      <c r="H388" s="7">
        <f>-3466*10000</f>
        <v>-34660000</v>
      </c>
      <c r="I388" s="6" t="str">
        <f t="shared" si="189"/>
        <v>=-34660000</v>
      </c>
      <c r="J388" s="1">
        <f>-34660000</f>
        <v>-34660000</v>
      </c>
      <c r="K388" s="10">
        <f t="shared" si="190"/>
        <v>1.8668320926385442</v>
      </c>
      <c r="L388" s="7">
        <f>-1209*10000</f>
        <v>-12090000</v>
      </c>
      <c r="M388" s="6" t="str">
        <f t="shared" si="191"/>
        <v>=-12090000</v>
      </c>
      <c r="N388" s="1">
        <f>-12090000</f>
        <v>-12090000</v>
      </c>
      <c r="O388" s="8">
        <f t="shared" si="192"/>
        <v>0.72517123287671237</v>
      </c>
      <c r="P388" s="7">
        <f>-700.8*10000</f>
        <v>-7008000</v>
      </c>
      <c r="Q388" s="6" t="str">
        <f t="shared" si="193"/>
        <v>=-7008000</v>
      </c>
      <c r="R388" s="11">
        <f>-7008000</f>
        <v>-7008000</v>
      </c>
      <c r="S388" s="8">
        <f t="shared" si="194"/>
        <v>-0.72699649396182309</v>
      </c>
      <c r="T388" s="7">
        <f>-2567*10000</f>
        <v>-25670000</v>
      </c>
      <c r="U388" s="6" t="str">
        <f t="shared" si="195"/>
        <v>=-25670000</v>
      </c>
      <c r="V388" s="1">
        <f>-25670000</f>
        <v>-25670000</v>
      </c>
      <c r="W388" s="8">
        <f t="shared" si="196"/>
        <v>0.28478478478478481</v>
      </c>
      <c r="X388" s="7">
        <f>-1998*10000</f>
        <v>-19980000</v>
      </c>
      <c r="Y388" s="6" t="str">
        <f t="shared" si="197"/>
        <v>=-19980000</v>
      </c>
      <c r="Z388" s="1">
        <f>-19980000</f>
        <v>-19980000</v>
      </c>
      <c r="AA388" s="8">
        <f t="shared" si="198"/>
        <v>0.18154937906564164</v>
      </c>
      <c r="AB388" s="7">
        <f>-1691*10000</f>
        <v>-16910000</v>
      </c>
      <c r="AC388" s="6" t="str">
        <f t="shared" si="199"/>
        <v>=-16910000</v>
      </c>
      <c r="AD388" s="1">
        <f>-16910000</f>
        <v>-16910000</v>
      </c>
      <c r="AE388" s="8">
        <f t="shared" si="200"/>
        <v>1.2579783682734678</v>
      </c>
      <c r="AF388" s="7">
        <f>-748.9*10000</f>
        <v>-7489000</v>
      </c>
      <c r="AG388" s="6" t="str">
        <f t="shared" si="201"/>
        <v>=-7489000</v>
      </c>
      <c r="AH388" s="1">
        <f>-7489000</f>
        <v>-7489000</v>
      </c>
      <c r="AI388" s="8">
        <f t="shared" si="202"/>
        <v>-1.2562970568104039</v>
      </c>
      <c r="AJ388" s="7" t="s">
        <v>4933</v>
      </c>
      <c r="AK388" s="6" t="str">
        <f t="shared" si="203"/>
        <v>=2922*10000</v>
      </c>
      <c r="AL388" s="1">
        <f>2922*10000</f>
        <v>29220000</v>
      </c>
      <c r="AM388" s="8">
        <f t="shared" si="204"/>
        <v>0.4953940634595701</v>
      </c>
      <c r="AN388" s="7" t="s">
        <v>3290</v>
      </c>
      <c r="AO388" s="6" t="str">
        <f t="shared" si="205"/>
        <v>=1954*10000</v>
      </c>
      <c r="AP388" s="1">
        <f>1954*10000</f>
        <v>19540000</v>
      </c>
      <c r="AQ388" s="8">
        <f t="shared" si="206"/>
        <v>-5.9672762271414825E-2</v>
      </c>
      <c r="AR388" s="7" t="s">
        <v>4934</v>
      </c>
      <c r="AS388" s="6" t="str">
        <f t="shared" si="207"/>
        <v>=2078*10000</v>
      </c>
      <c r="AT388" s="1">
        <f>2078*10000</f>
        <v>20780000</v>
      </c>
      <c r="AU388" s="8">
        <f t="shared" si="208"/>
        <v>0.63364779874213839</v>
      </c>
      <c r="AV388" s="7" t="s">
        <v>4935</v>
      </c>
      <c r="AW388" s="6" t="str">
        <f t="shared" si="209"/>
        <v>=1272*10000</v>
      </c>
      <c r="AX388" s="1">
        <f>1272*10000</f>
        <v>12720000</v>
      </c>
      <c r="AY388" s="10">
        <f t="shared" si="210"/>
        <v>3.0939813324750562</v>
      </c>
      <c r="AZ388" s="7" t="s">
        <v>4936</v>
      </c>
      <c r="BA388" s="6" t="str">
        <f t="shared" si="211"/>
        <v>=310.7*10000</v>
      </c>
      <c r="BB388" s="1">
        <f>310.7*10000</f>
        <v>3107000</v>
      </c>
      <c r="BC388" s="8">
        <f t="shared" si="212"/>
        <v>-0.70409523809523811</v>
      </c>
      <c r="BD388" s="7" t="s">
        <v>4937</v>
      </c>
      <c r="BE388" s="6" t="str">
        <f t="shared" si="213"/>
        <v>=1050*10000</v>
      </c>
      <c r="BF388" s="1">
        <f>1050*10000</f>
        <v>10500000</v>
      </c>
      <c r="BG388" s="8">
        <f t="shared" si="214"/>
        <v>-0.35858277336591327</v>
      </c>
      <c r="BH388" s="7" t="s">
        <v>4938</v>
      </c>
      <c r="BI388" s="6" t="str">
        <f t="shared" si="215"/>
        <v>=1637*10000</v>
      </c>
      <c r="BJ388" s="1">
        <f>1637*10000</f>
        <v>16370000</v>
      </c>
      <c r="BK388" s="7" t="s">
        <v>4939</v>
      </c>
      <c r="BL388" s="1" t="str">
        <f t="shared" si="187"/>
        <v>=1133*10000</v>
      </c>
      <c r="BM388" s="16">
        <f t="shared" si="216"/>
        <v>0.44483671668137686</v>
      </c>
      <c r="BN388" s="1">
        <f>1133*10000</f>
        <v>11330000</v>
      </c>
    </row>
    <row r="389" spans="1:66">
      <c r="A389" s="19"/>
      <c r="B389">
        <v>600319</v>
      </c>
      <c r="C389" t="s">
        <v>68</v>
      </c>
      <c r="D389" s="6" t="s">
        <v>4932</v>
      </c>
      <c r="E389" s="7" t="str">
        <f t="shared" si="186"/>
        <v>=1.930*100000000</v>
      </c>
      <c r="F389" s="1">
        <f>1.93*100000000</f>
        <v>193000000</v>
      </c>
      <c r="G389" s="8">
        <f t="shared" si="188"/>
        <v>-6.5587557603686637</v>
      </c>
      <c r="H389" s="7">
        <f>-3472*10000</f>
        <v>-34720000</v>
      </c>
      <c r="I389" s="6" t="str">
        <f t="shared" si="189"/>
        <v>=-34720000</v>
      </c>
      <c r="J389" s="1">
        <f>-34720000</f>
        <v>-34720000</v>
      </c>
      <c r="K389" s="10">
        <f t="shared" si="190"/>
        <v>1.8576131687242798</v>
      </c>
      <c r="L389" s="7">
        <f>-1215*10000</f>
        <v>-12150000</v>
      </c>
      <c r="M389" s="6" t="str">
        <f t="shared" si="191"/>
        <v>=-12150000</v>
      </c>
      <c r="N389" s="1">
        <f>-12150000</f>
        <v>-12150000</v>
      </c>
      <c r="O389" s="8">
        <f t="shared" si="192"/>
        <v>0.73373287671232879</v>
      </c>
      <c r="P389" s="7">
        <f>-700.8*10000</f>
        <v>-7008000</v>
      </c>
      <c r="Q389" s="6" t="str">
        <f t="shared" si="193"/>
        <v>=-7008000</v>
      </c>
      <c r="R389" s="11">
        <f>-7008000</f>
        <v>-7008000</v>
      </c>
      <c r="S389" s="8">
        <f t="shared" si="194"/>
        <v>-0.72699649396182309</v>
      </c>
      <c r="T389" s="7">
        <f>-2567*10000</f>
        <v>-25670000</v>
      </c>
      <c r="U389" s="6" t="str">
        <f t="shared" si="195"/>
        <v>=-25670000</v>
      </c>
      <c r="V389" s="1">
        <f>-25670000</f>
        <v>-25670000</v>
      </c>
      <c r="W389" s="8">
        <f t="shared" si="196"/>
        <v>0.28478478478478481</v>
      </c>
      <c r="X389" s="7">
        <f>-1998*10000</f>
        <v>-19980000</v>
      </c>
      <c r="Y389" s="6" t="str">
        <f t="shared" si="197"/>
        <v>=-19980000</v>
      </c>
      <c r="Z389" s="1">
        <f>-19980000</f>
        <v>-19980000</v>
      </c>
      <c r="AA389" s="8">
        <f t="shared" si="198"/>
        <v>0.18154937906564164</v>
      </c>
      <c r="AB389" s="7">
        <f>-1691*10000</f>
        <v>-16910000</v>
      </c>
      <c r="AC389" s="6" t="str">
        <f t="shared" si="199"/>
        <v>=-16910000</v>
      </c>
      <c r="AD389" s="1">
        <f>-16910000</f>
        <v>-16910000</v>
      </c>
      <c r="AE389" s="8">
        <f t="shared" si="200"/>
        <v>1.2579783682734678</v>
      </c>
      <c r="AF389" s="7">
        <f>-748.9*10000</f>
        <v>-7489000</v>
      </c>
      <c r="AG389" s="6" t="str">
        <f t="shared" si="201"/>
        <v>=-7489000</v>
      </c>
      <c r="AH389" s="1">
        <f>-7489000</f>
        <v>-7489000</v>
      </c>
      <c r="AI389" s="8">
        <f t="shared" si="202"/>
        <v>-1.2562970568104039</v>
      </c>
      <c r="AJ389" s="7" t="s">
        <v>4933</v>
      </c>
      <c r="AK389" s="6" t="str">
        <f t="shared" si="203"/>
        <v>=2922*10000</v>
      </c>
      <c r="AL389" s="1">
        <f>2922*10000</f>
        <v>29220000</v>
      </c>
      <c r="AM389" s="8">
        <f t="shared" si="204"/>
        <v>0.4953940634595701</v>
      </c>
      <c r="AN389" s="7" t="s">
        <v>3290</v>
      </c>
      <c r="AO389" s="6" t="str">
        <f t="shared" si="205"/>
        <v>=1954*10000</v>
      </c>
      <c r="AP389" s="1">
        <f>1954*10000</f>
        <v>19540000</v>
      </c>
      <c r="AQ389" s="8">
        <f t="shared" si="206"/>
        <v>-5.9672762271414825E-2</v>
      </c>
      <c r="AR389" s="7" t="s">
        <v>4934</v>
      </c>
      <c r="AS389" s="6" t="str">
        <f t="shared" si="207"/>
        <v>=2078*10000</v>
      </c>
      <c r="AT389" s="1">
        <f>2078*10000</f>
        <v>20780000</v>
      </c>
      <c r="AU389" s="8">
        <f t="shared" si="208"/>
        <v>0.63364779874213839</v>
      </c>
      <c r="AV389" s="7" t="s">
        <v>4935</v>
      </c>
      <c r="AW389" s="6" t="str">
        <f t="shared" si="209"/>
        <v>=1272*10000</v>
      </c>
      <c r="AX389" s="1">
        <f>1272*10000</f>
        <v>12720000</v>
      </c>
      <c r="AY389" s="10">
        <f t="shared" si="210"/>
        <v>3.0939813324750562</v>
      </c>
      <c r="AZ389" s="7" t="s">
        <v>4936</v>
      </c>
      <c r="BA389" s="6" t="str">
        <f t="shared" si="211"/>
        <v>=310.7*10000</v>
      </c>
      <c r="BB389" s="1">
        <f>310.7*10000</f>
        <v>3107000</v>
      </c>
      <c r="BC389" s="8">
        <f t="shared" si="212"/>
        <v>-0.70409523809523811</v>
      </c>
      <c r="BD389" s="7" t="s">
        <v>4937</v>
      </c>
      <c r="BE389" s="6" t="str">
        <f t="shared" si="213"/>
        <v>=1050*10000</v>
      </c>
      <c r="BF389" s="1">
        <f>1050*10000</f>
        <v>10500000</v>
      </c>
      <c r="BG389" s="8">
        <f t="shared" si="214"/>
        <v>-0.35858277336591327</v>
      </c>
      <c r="BH389" s="7" t="s">
        <v>4938</v>
      </c>
      <c r="BI389" s="6" t="str">
        <f t="shared" si="215"/>
        <v>=1637*10000</v>
      </c>
      <c r="BJ389" s="1">
        <f>1637*10000</f>
        <v>16370000</v>
      </c>
      <c r="BK389" s="7" t="s">
        <v>4939</v>
      </c>
      <c r="BL389" s="1" t="str">
        <f t="shared" si="187"/>
        <v>=1133*10000</v>
      </c>
      <c r="BM389" s="16">
        <f t="shared" si="216"/>
        <v>0.44483671668137686</v>
      </c>
      <c r="BN389" s="1">
        <f>1133*10000</f>
        <v>11330000</v>
      </c>
    </row>
    <row r="390" spans="1:66">
      <c r="A390" s="17">
        <v>98</v>
      </c>
      <c r="B390">
        <v>600320</v>
      </c>
      <c r="C390" t="s">
        <v>31</v>
      </c>
      <c r="D390" s="6" t="s">
        <v>2027</v>
      </c>
      <c r="E390" s="7" t="str">
        <f t="shared" si="186"/>
        <v>=259.8*100000000</v>
      </c>
      <c r="F390" s="1">
        <f>259.8*100000000</f>
        <v>25980000000</v>
      </c>
      <c r="G390" s="8">
        <f t="shared" si="188"/>
        <v>0.62476547842401498</v>
      </c>
      <c r="H390" s="6" t="s">
        <v>4940</v>
      </c>
      <c r="I390" s="6" t="str">
        <f t="shared" si="189"/>
        <v>=159.9*100000000</v>
      </c>
      <c r="J390" s="1">
        <f>159.9*100000000</f>
        <v>15990000000</v>
      </c>
      <c r="K390" s="10">
        <f t="shared" si="190"/>
        <v>0.56304985337243407</v>
      </c>
      <c r="L390" s="6" t="s">
        <v>4941</v>
      </c>
      <c r="M390" s="6" t="str">
        <f t="shared" si="191"/>
        <v>=102.3*100000000</v>
      </c>
      <c r="N390" s="1">
        <f>102.3*100000000</f>
        <v>10230000000</v>
      </c>
      <c r="O390" s="8">
        <f t="shared" si="192"/>
        <v>1.4036654135338347</v>
      </c>
      <c r="P390" s="6" t="s">
        <v>2282</v>
      </c>
      <c r="Q390" s="6" t="str">
        <f t="shared" si="193"/>
        <v>=42.56*100000000</v>
      </c>
      <c r="R390" s="11">
        <f>42.56*100000000</f>
        <v>4256000000</v>
      </c>
      <c r="S390" s="8">
        <f t="shared" si="194"/>
        <v>-0.812180052956752</v>
      </c>
      <c r="T390" s="6" t="s">
        <v>4942</v>
      </c>
      <c r="U390" s="6" t="str">
        <f t="shared" si="195"/>
        <v>=226.6*100000000</v>
      </c>
      <c r="V390" s="1">
        <f>226.6*100000000</f>
        <v>22660000000</v>
      </c>
      <c r="W390" s="8">
        <f t="shared" si="196"/>
        <v>0.56599861782999328</v>
      </c>
      <c r="X390" s="6" t="s">
        <v>4943</v>
      </c>
      <c r="Y390" s="6" t="str">
        <f t="shared" si="197"/>
        <v>=144.7*100000000</v>
      </c>
      <c r="Z390" s="1">
        <f>144.7*100000000</f>
        <v>14469999999.999998</v>
      </c>
      <c r="AA390" s="8">
        <f t="shared" si="198"/>
        <v>0.58471142262621811</v>
      </c>
      <c r="AB390" s="6" t="s">
        <v>4944</v>
      </c>
      <c r="AC390" s="6" t="str">
        <f t="shared" si="199"/>
        <v>=91.31*100000000</v>
      </c>
      <c r="AD390" s="1">
        <f>91.31*100000000</f>
        <v>9131000000</v>
      </c>
      <c r="AE390" s="8">
        <f t="shared" si="200"/>
        <v>1.0681766704416762</v>
      </c>
      <c r="AF390" s="6" t="s">
        <v>4945</v>
      </c>
      <c r="AG390" s="6" t="str">
        <f t="shared" si="201"/>
        <v>=44.15*100000000</v>
      </c>
      <c r="AH390" s="1">
        <f>44.15*100000000</f>
        <v>4415000000</v>
      </c>
      <c r="AI390" s="8">
        <f t="shared" si="202"/>
        <v>-0.82052845528455287</v>
      </c>
      <c r="AJ390" s="6" t="s">
        <v>4946</v>
      </c>
      <c r="AK390" s="6" t="str">
        <f t="shared" si="203"/>
        <v>=246.0*100000000</v>
      </c>
      <c r="AL390" s="1">
        <f>246*100000000</f>
        <v>24600000000</v>
      </c>
      <c r="AM390" s="8">
        <f t="shared" si="204"/>
        <v>0.58301158301158296</v>
      </c>
      <c r="AN390" s="6" t="s">
        <v>4947</v>
      </c>
      <c r="AO390" s="6" t="str">
        <f t="shared" si="205"/>
        <v>=155.4*100000000</v>
      </c>
      <c r="AP390" s="1">
        <f>155.4*100000000</f>
        <v>15540000000</v>
      </c>
      <c r="AQ390" s="8">
        <f t="shared" si="206"/>
        <v>0.52502453385672232</v>
      </c>
      <c r="AR390" s="6" t="s">
        <v>3999</v>
      </c>
      <c r="AS390" s="6" t="str">
        <f t="shared" si="207"/>
        <v>=101.9*100000000</v>
      </c>
      <c r="AT390" s="1">
        <f>101.9*100000000</f>
        <v>10190000000</v>
      </c>
      <c r="AU390" s="8">
        <f t="shared" si="208"/>
        <v>1.1331379526899727</v>
      </c>
      <c r="AV390" s="6" t="s">
        <v>4267</v>
      </c>
      <c r="AW390" s="6" t="str">
        <f t="shared" si="209"/>
        <v>=47.77*100000000</v>
      </c>
      <c r="AX390" s="1">
        <f>47.77*100000000</f>
        <v>4777000000</v>
      </c>
      <c r="AY390" s="10">
        <f t="shared" si="210"/>
        <v>-0.78097203117835856</v>
      </c>
      <c r="AZ390" s="6" t="s">
        <v>4110</v>
      </c>
      <c r="BA390" s="6" t="str">
        <f t="shared" si="211"/>
        <v>=218.1*100000000</v>
      </c>
      <c r="BB390" s="1">
        <f>218.1*100000000</f>
        <v>21810000000</v>
      </c>
      <c r="BC390" s="8">
        <f t="shared" si="212"/>
        <v>0.47464503042596351</v>
      </c>
      <c r="BD390" s="6" t="s">
        <v>4948</v>
      </c>
      <c r="BE390" s="6" t="str">
        <f t="shared" si="213"/>
        <v>=147.9*100000000</v>
      </c>
      <c r="BF390" s="1">
        <f>147.9*100000000</f>
        <v>14790000000</v>
      </c>
      <c r="BG390" s="8">
        <f t="shared" si="214"/>
        <v>0.46871896722939427</v>
      </c>
      <c r="BH390" s="6" t="s">
        <v>4949</v>
      </c>
      <c r="BI390" s="6" t="str">
        <f t="shared" si="215"/>
        <v>=100.7*100000000</v>
      </c>
      <c r="BJ390" s="1">
        <f>100.7*100000000</f>
        <v>10070000000</v>
      </c>
      <c r="BK390" s="6" t="s">
        <v>4950</v>
      </c>
      <c r="BL390" s="1" t="str">
        <f t="shared" si="187"/>
        <v>=46.90*100000000</v>
      </c>
      <c r="BM390" s="16">
        <f t="shared" si="216"/>
        <v>1.1471215351812367</v>
      </c>
      <c r="BN390" s="1">
        <f>46.9*100000000</f>
        <v>4690000000</v>
      </c>
    </row>
    <row r="391" spans="1:66">
      <c r="A391" s="18"/>
      <c r="B391">
        <v>600320</v>
      </c>
      <c r="C391" t="s">
        <v>48</v>
      </c>
      <c r="D391" s="6" t="s">
        <v>4636</v>
      </c>
      <c r="E391" s="7" t="str">
        <f t="shared" si="186"/>
        <v>=5.881*100000000</v>
      </c>
      <c r="F391" s="1">
        <f>5.881*100000000</f>
        <v>588100000</v>
      </c>
      <c r="G391" s="8">
        <f t="shared" si="188"/>
        <v>2.0726227795193313</v>
      </c>
      <c r="H391" s="6" t="s">
        <v>1023</v>
      </c>
      <c r="I391" s="6" t="str">
        <f t="shared" si="189"/>
        <v>=1.914*100000000</v>
      </c>
      <c r="J391" s="1">
        <f>1.914*100000000</f>
        <v>191400000</v>
      </c>
      <c r="K391" s="10">
        <f t="shared" si="190"/>
        <v>0.8709677419354841</v>
      </c>
      <c r="L391" s="6" t="s">
        <v>4951</v>
      </c>
      <c r="M391" s="6" t="str">
        <f t="shared" si="191"/>
        <v>=1.023*100000000</v>
      </c>
      <c r="N391" s="1">
        <f>1.023*100000000</f>
        <v>102299999.99999999</v>
      </c>
      <c r="O391" s="8">
        <f t="shared" si="192"/>
        <v>2.0519093078758948</v>
      </c>
      <c r="P391" s="7" t="s">
        <v>4952</v>
      </c>
      <c r="Q391" s="6" t="str">
        <f t="shared" si="193"/>
        <v>=3352*10000</v>
      </c>
      <c r="R391" s="11">
        <f>3352*10000</f>
        <v>33520000</v>
      </c>
      <c r="S391" s="8">
        <f t="shared" si="194"/>
        <v>-0.93199431933455057</v>
      </c>
      <c r="T391" s="6" t="s">
        <v>4953</v>
      </c>
      <c r="U391" s="6" t="str">
        <f t="shared" si="195"/>
        <v>=4.929*100000000</v>
      </c>
      <c r="V391" s="1">
        <f>4.929*100000000</f>
        <v>492900000</v>
      </c>
      <c r="W391" s="8">
        <f t="shared" si="196"/>
        <v>2.1738570508692852</v>
      </c>
      <c r="X391" s="6" t="s">
        <v>1639</v>
      </c>
      <c r="Y391" s="6" t="str">
        <f t="shared" si="197"/>
        <v>=1.553*100000000</v>
      </c>
      <c r="Z391" s="1">
        <f>1.553*100000000</f>
        <v>155300000</v>
      </c>
      <c r="AA391" s="8">
        <f t="shared" si="198"/>
        <v>-5.2971776425013832</v>
      </c>
      <c r="AB391" s="7">
        <f>-3614*10000</f>
        <v>-36140000</v>
      </c>
      <c r="AC391" s="6" t="str">
        <f t="shared" si="199"/>
        <v>=-36140000</v>
      </c>
      <c r="AD391" s="1">
        <f>-36140000</f>
        <v>-36140000</v>
      </c>
      <c r="AE391" s="8">
        <f t="shared" si="200"/>
        <v>-0.69858215179316097</v>
      </c>
      <c r="AF391" s="6">
        <f>-1.199*100000000</f>
        <v>-119900000</v>
      </c>
      <c r="AG391" s="6" t="str">
        <f t="shared" si="201"/>
        <v>=-119900000</v>
      </c>
      <c r="AH391" s="1">
        <f>-119900000</f>
        <v>-119900000</v>
      </c>
      <c r="AI391" s="8">
        <f t="shared" si="202"/>
        <v>-1.198312934171353</v>
      </c>
      <c r="AJ391" s="6" t="s">
        <v>4954</v>
      </c>
      <c r="AK391" s="6" t="str">
        <f t="shared" si="203"/>
        <v>=6.046*100000000</v>
      </c>
      <c r="AL391" s="1">
        <f>6.046*100000000</f>
        <v>604600000</v>
      </c>
      <c r="AM391" s="8">
        <f t="shared" si="204"/>
        <v>1.1184302733006306</v>
      </c>
      <c r="AN391" s="6" t="s">
        <v>4955</v>
      </c>
      <c r="AO391" s="6" t="str">
        <f t="shared" si="205"/>
        <v>=2.854*100000000</v>
      </c>
      <c r="AP391" s="1">
        <f>2.854*100000000</f>
        <v>285400000</v>
      </c>
      <c r="AQ391" s="8">
        <f t="shared" si="206"/>
        <v>0.28327338129496388</v>
      </c>
      <c r="AR391" s="6" t="s">
        <v>4956</v>
      </c>
      <c r="AS391" s="6" t="str">
        <f t="shared" si="207"/>
        <v>=2.224*100000000</v>
      </c>
      <c r="AT391" s="1">
        <f>2.224*100000000</f>
        <v>222400000.00000003</v>
      </c>
      <c r="AU391" s="8">
        <f t="shared" si="208"/>
        <v>1.5289970434387086</v>
      </c>
      <c r="AV391" s="7" t="s">
        <v>4957</v>
      </c>
      <c r="AW391" s="6" t="str">
        <f t="shared" si="209"/>
        <v>=8794*10000</v>
      </c>
      <c r="AX391" s="1">
        <f>8794*10000</f>
        <v>87940000</v>
      </c>
      <c r="AY391" s="10">
        <f t="shared" si="210"/>
        <v>-0.85387171817879692</v>
      </c>
      <c r="AZ391" s="6" t="s">
        <v>4958</v>
      </c>
      <c r="BA391" s="6" t="str">
        <f t="shared" si="211"/>
        <v>=6.018*100000000</v>
      </c>
      <c r="BB391" s="1">
        <f>6.018*100000000</f>
        <v>601800000</v>
      </c>
      <c r="BC391" s="8">
        <f t="shared" si="212"/>
        <v>1.4785831960461284</v>
      </c>
      <c r="BD391" s="6" t="s">
        <v>3504</v>
      </c>
      <c r="BE391" s="6" t="str">
        <f t="shared" si="213"/>
        <v>=2.428*100000000</v>
      </c>
      <c r="BF391" s="1">
        <f>2.428*100000000</f>
        <v>242800000</v>
      </c>
      <c r="BG391" s="8">
        <f t="shared" si="214"/>
        <v>0.24067450178845171</v>
      </c>
      <c r="BH391" s="6" t="s">
        <v>1979</v>
      </c>
      <c r="BI391" s="6" t="str">
        <f t="shared" si="215"/>
        <v>=1.957*100000000</v>
      </c>
      <c r="BJ391" s="1">
        <f>1.957*100000000</f>
        <v>195700000</v>
      </c>
      <c r="BK391" s="7" t="s">
        <v>4959</v>
      </c>
      <c r="BL391" s="1" t="str">
        <f t="shared" si="187"/>
        <v>=7696*10000</v>
      </c>
      <c r="BM391" s="16">
        <f t="shared" si="216"/>
        <v>1.5428794178794178</v>
      </c>
      <c r="BN391" s="1">
        <f>7696*10000</f>
        <v>76960000</v>
      </c>
    </row>
    <row r="392" spans="1:66">
      <c r="A392" s="18"/>
      <c r="B392">
        <v>600320</v>
      </c>
      <c r="C392" t="s">
        <v>58</v>
      </c>
      <c r="D392" s="6" t="s">
        <v>4774</v>
      </c>
      <c r="E392" s="7" t="str">
        <f t="shared" si="186"/>
        <v>=6.053*100000000</v>
      </c>
      <c r="F392" s="1">
        <f>6.053*100000000</f>
        <v>605300000</v>
      </c>
      <c r="G392" s="8">
        <f t="shared" si="188"/>
        <v>1.9570102589154859</v>
      </c>
      <c r="H392" s="6" t="s">
        <v>4960</v>
      </c>
      <c r="I392" s="6" t="str">
        <f t="shared" si="189"/>
        <v>=2.047*100000000</v>
      </c>
      <c r="J392" s="1">
        <f>2.047*100000000</f>
        <v>204700000.00000003</v>
      </c>
      <c r="K392" s="10">
        <f t="shared" si="190"/>
        <v>0.86599817684594371</v>
      </c>
      <c r="L392" s="6" t="s">
        <v>4961</v>
      </c>
      <c r="M392" s="6" t="str">
        <f t="shared" si="191"/>
        <v>=1.097*100000000</v>
      </c>
      <c r="N392" s="1">
        <f>1.097*100000000</f>
        <v>109700000</v>
      </c>
      <c r="O392" s="8">
        <f t="shared" si="192"/>
        <v>1.9051906779661016</v>
      </c>
      <c r="P392" s="7" t="s">
        <v>4962</v>
      </c>
      <c r="Q392" s="6" t="str">
        <f t="shared" si="193"/>
        <v>=3776*10000</v>
      </c>
      <c r="R392" s="11">
        <f>3776*10000</f>
        <v>37760000</v>
      </c>
      <c r="S392" s="8">
        <f t="shared" si="194"/>
        <v>-0.92481083233771411</v>
      </c>
      <c r="T392" s="6" t="s">
        <v>3785</v>
      </c>
      <c r="U392" s="6" t="str">
        <f t="shared" si="195"/>
        <v>=5.022*100000000</v>
      </c>
      <c r="V392" s="1">
        <f>5.022*100000000</f>
        <v>502200000</v>
      </c>
      <c r="W392" s="8">
        <f t="shared" si="196"/>
        <v>2.1309226932668328</v>
      </c>
      <c r="X392" s="6" t="s">
        <v>1229</v>
      </c>
      <c r="Y392" s="6" t="str">
        <f t="shared" si="197"/>
        <v>=1.604*100000000</v>
      </c>
      <c r="Z392" s="1">
        <f>1.604*100000000</f>
        <v>160400000</v>
      </c>
      <c r="AA392" s="8">
        <f t="shared" si="198"/>
        <v>-5.6065479609419873</v>
      </c>
      <c r="AB392" s="7">
        <f>-3482*10000</f>
        <v>-34820000</v>
      </c>
      <c r="AC392" s="6" t="str">
        <f t="shared" si="199"/>
        <v>=-34820000</v>
      </c>
      <c r="AD392" s="1">
        <f>-34820000</f>
        <v>-34820000</v>
      </c>
      <c r="AE392" s="8">
        <f t="shared" si="200"/>
        <v>-0.71223140495867765</v>
      </c>
      <c r="AF392" s="6">
        <f>-1.21*100000000</f>
        <v>-121000000</v>
      </c>
      <c r="AG392" s="6" t="str">
        <f t="shared" si="201"/>
        <v>=-121000000</v>
      </c>
      <c r="AH392" s="1">
        <f>-121000000</f>
        <v>-121000000</v>
      </c>
      <c r="AI392" s="8">
        <f t="shared" si="202"/>
        <v>-1.2047723811135556</v>
      </c>
      <c r="AJ392" s="6" t="s">
        <v>4963</v>
      </c>
      <c r="AK392" s="6" t="str">
        <f t="shared" si="203"/>
        <v>=5.909*100000000</v>
      </c>
      <c r="AL392" s="1">
        <f>5.909*100000000</f>
        <v>590900000</v>
      </c>
      <c r="AM392" s="8">
        <f t="shared" si="204"/>
        <v>0.99830909705782889</v>
      </c>
      <c r="AN392" s="6" t="s">
        <v>4964</v>
      </c>
      <c r="AO392" s="6" t="str">
        <f t="shared" si="205"/>
        <v>=2.957*100000000</v>
      </c>
      <c r="AP392" s="1">
        <f>2.957*100000000</f>
        <v>295700000</v>
      </c>
      <c r="AQ392" s="8">
        <f t="shared" si="206"/>
        <v>0.29920913884007044</v>
      </c>
      <c r="AR392" s="6" t="s">
        <v>2156</v>
      </c>
      <c r="AS392" s="6" t="str">
        <f t="shared" si="207"/>
        <v>=2.276*100000000</v>
      </c>
      <c r="AT392" s="1">
        <f>2.276*100000000</f>
        <v>227599999.99999997</v>
      </c>
      <c r="AU392" s="8">
        <f t="shared" si="208"/>
        <v>1.3104253375291846</v>
      </c>
      <c r="AV392" s="7" t="s">
        <v>4965</v>
      </c>
      <c r="AW392" s="6" t="str">
        <f t="shared" si="209"/>
        <v>=9851*10000</v>
      </c>
      <c r="AX392" s="1">
        <f>9851*10000</f>
        <v>98510000</v>
      </c>
      <c r="AY392" s="10">
        <f t="shared" si="210"/>
        <v>-0.81658908955501763</v>
      </c>
      <c r="AZ392" s="6" t="s">
        <v>4966</v>
      </c>
      <c r="BA392" s="6" t="str">
        <f t="shared" si="211"/>
        <v>=5.371*100000000</v>
      </c>
      <c r="BB392" s="1">
        <f>5.371*100000000</f>
        <v>537100000</v>
      </c>
      <c r="BC392" s="8">
        <f t="shared" si="212"/>
        <v>1.1330420969023036</v>
      </c>
      <c r="BD392" s="6" t="s">
        <v>4967</v>
      </c>
      <c r="BE392" s="6" t="str">
        <f t="shared" si="213"/>
        <v>=2.518*100000000</v>
      </c>
      <c r="BF392" s="1">
        <f>2.518*100000000</f>
        <v>251799999.99999997</v>
      </c>
      <c r="BG392" s="8">
        <f t="shared" si="214"/>
        <v>0.279471544715447</v>
      </c>
      <c r="BH392" s="6" t="s">
        <v>4968</v>
      </c>
      <c r="BI392" s="6" t="str">
        <f t="shared" si="215"/>
        <v>=1.968*100000000</v>
      </c>
      <c r="BJ392" s="1">
        <f>1.968*100000000</f>
        <v>196800000</v>
      </c>
      <c r="BK392" s="7" t="s">
        <v>4969</v>
      </c>
      <c r="BL392" s="1" t="str">
        <f t="shared" si="187"/>
        <v>=7752*10000</v>
      </c>
      <c r="BM392" s="16">
        <f t="shared" si="216"/>
        <v>1.5386996904024768</v>
      </c>
      <c r="BN392" s="1">
        <f>7752*10000</f>
        <v>77520000</v>
      </c>
    </row>
    <row r="393" spans="1:66">
      <c r="A393" s="19"/>
      <c r="B393">
        <v>600320</v>
      </c>
      <c r="C393" t="s">
        <v>68</v>
      </c>
      <c r="D393" s="6" t="s">
        <v>4009</v>
      </c>
      <c r="E393" s="7" t="str">
        <f t="shared" si="186"/>
        <v>=5.283*100000000</v>
      </c>
      <c r="F393" s="1">
        <f>5.283*100000000</f>
        <v>528300000.00000006</v>
      </c>
      <c r="G393" s="8">
        <f t="shared" si="188"/>
        <v>1.9107438016528928</v>
      </c>
      <c r="H393" s="6" t="s">
        <v>2222</v>
      </c>
      <c r="I393" s="6" t="str">
        <f t="shared" si="189"/>
        <v>=1.815*100000000</v>
      </c>
      <c r="J393" s="1">
        <f>1.815*100000000</f>
        <v>181500000</v>
      </c>
      <c r="K393" s="10">
        <f t="shared" si="190"/>
        <v>1.0927014873746108</v>
      </c>
      <c r="L393" s="7" t="s">
        <v>4970</v>
      </c>
      <c r="M393" s="6" t="str">
        <f t="shared" si="191"/>
        <v>=8673*10000</v>
      </c>
      <c r="N393" s="1">
        <f>8673*10000</f>
        <v>86730000</v>
      </c>
      <c r="O393" s="8">
        <f t="shared" si="192"/>
        <v>1.6563552833078101</v>
      </c>
      <c r="P393" s="7" t="s">
        <v>4971</v>
      </c>
      <c r="Q393" s="6" t="str">
        <f t="shared" si="193"/>
        <v>=3265*10000</v>
      </c>
      <c r="R393" s="11">
        <f>3265*10000</f>
        <v>32650000</v>
      </c>
      <c r="S393" s="8">
        <f t="shared" si="194"/>
        <v>-0.92153328526796441</v>
      </c>
      <c r="T393" s="6" t="s">
        <v>4972</v>
      </c>
      <c r="U393" s="6" t="str">
        <f t="shared" si="195"/>
        <v>=4.161*100000000</v>
      </c>
      <c r="V393" s="1">
        <f>4.161*100000000</f>
        <v>416099999.99999994</v>
      </c>
      <c r="W393" s="8">
        <f t="shared" si="196"/>
        <v>2.3050039714058776</v>
      </c>
      <c r="X393" s="6" t="s">
        <v>4973</v>
      </c>
      <c r="Y393" s="6" t="str">
        <f t="shared" si="197"/>
        <v>=1.259*100000000</v>
      </c>
      <c r="Z393" s="1">
        <f>1.259*100000000</f>
        <v>125899999.99999999</v>
      </c>
      <c r="AA393" s="8">
        <f t="shared" si="198"/>
        <v>-3.2041316526610646</v>
      </c>
      <c r="AB393" s="7">
        <f>-5712*10000</f>
        <v>-57120000</v>
      </c>
      <c r="AC393" s="6" t="str">
        <f t="shared" si="199"/>
        <v>=-57120000</v>
      </c>
      <c r="AD393" s="1">
        <f>-57120000</f>
        <v>-57120000</v>
      </c>
      <c r="AE393" s="8">
        <f t="shared" si="200"/>
        <v>-0.49894736842105264</v>
      </c>
      <c r="AF393" s="6">
        <f>-1.14*100000000</f>
        <v>-113999999.99999999</v>
      </c>
      <c r="AG393" s="6" t="str">
        <f t="shared" si="201"/>
        <v>=-114000000</v>
      </c>
      <c r="AH393" s="1">
        <f>-114000000</f>
        <v>-114000000</v>
      </c>
      <c r="AI393" s="8">
        <f t="shared" si="202"/>
        <v>-1.2293301146650573</v>
      </c>
      <c r="AJ393" s="6" t="s">
        <v>4974</v>
      </c>
      <c r="AK393" s="6" t="str">
        <f t="shared" si="203"/>
        <v>=4.971*100000000</v>
      </c>
      <c r="AL393" s="1">
        <f>4.971*100000000</f>
        <v>497100000</v>
      </c>
      <c r="AM393" s="8">
        <f t="shared" si="204"/>
        <v>1.7268239166209545</v>
      </c>
      <c r="AN393" s="6" t="s">
        <v>3396</v>
      </c>
      <c r="AO393" s="6" t="str">
        <f t="shared" si="205"/>
        <v>=1.823*100000000</v>
      </c>
      <c r="AP393" s="1">
        <f>1.823*100000000</f>
        <v>182300000</v>
      </c>
      <c r="AQ393" s="8">
        <f t="shared" si="206"/>
        <v>3.5795454545454547E-2</v>
      </c>
      <c r="AR393" s="6" t="s">
        <v>4975</v>
      </c>
      <c r="AS393" s="6" t="str">
        <f t="shared" si="207"/>
        <v>=1.760*100000000</v>
      </c>
      <c r="AT393" s="1">
        <f>1.76*100000000</f>
        <v>176000000</v>
      </c>
      <c r="AU393" s="8">
        <f t="shared" si="208"/>
        <v>1.5280091927607009</v>
      </c>
      <c r="AV393" s="7" t="s">
        <v>4976</v>
      </c>
      <c r="AW393" s="6" t="str">
        <f t="shared" si="209"/>
        <v>=6962*10000</v>
      </c>
      <c r="AX393" s="1">
        <f>6962*10000</f>
        <v>69620000</v>
      </c>
      <c r="AY393" s="10">
        <f t="shared" si="210"/>
        <v>-0.823209751142712</v>
      </c>
      <c r="AZ393" s="6" t="s">
        <v>4977</v>
      </c>
      <c r="BA393" s="6" t="str">
        <f t="shared" si="211"/>
        <v>=3.938*100000000</v>
      </c>
      <c r="BB393" s="1">
        <f>3.938*100000000</f>
        <v>393800000</v>
      </c>
      <c r="BC393" s="8">
        <f t="shared" si="212"/>
        <v>1.4144696505211527</v>
      </c>
      <c r="BD393" s="6" t="s">
        <v>4978</v>
      </c>
      <c r="BE393" s="6" t="str">
        <f t="shared" si="213"/>
        <v>=1.631*100000000</v>
      </c>
      <c r="BF393" s="1">
        <f>1.631*100000000</f>
        <v>163100000</v>
      </c>
      <c r="BG393" s="8">
        <f t="shared" si="214"/>
        <v>0.22816265060240964</v>
      </c>
      <c r="BH393" s="6" t="s">
        <v>4979</v>
      </c>
      <c r="BI393" s="6" t="str">
        <f t="shared" si="215"/>
        <v>=1.328*100000000</v>
      </c>
      <c r="BJ393" s="1">
        <f>1.328*100000000</f>
        <v>132800000</v>
      </c>
      <c r="BK393" s="7" t="s">
        <v>4980</v>
      </c>
      <c r="BL393" s="1" t="str">
        <f t="shared" si="187"/>
        <v>=5455*10000</v>
      </c>
      <c r="BM393" s="16">
        <f t="shared" si="216"/>
        <v>1.4344637946837764</v>
      </c>
      <c r="BN393" s="1">
        <f>5455*10000</f>
        <v>54550000</v>
      </c>
    </row>
    <row r="394" spans="1:66">
      <c r="A394" s="17">
        <v>99</v>
      </c>
      <c r="B394">
        <v>600322</v>
      </c>
      <c r="C394" t="s">
        <v>31</v>
      </c>
      <c r="D394" s="6" t="s">
        <v>708</v>
      </c>
      <c r="E394" s="7" t="str">
        <f t="shared" si="186"/>
        <v>=46.65*100000000</v>
      </c>
      <c r="F394" s="1">
        <f>46.65*100000000</f>
        <v>4665000000</v>
      </c>
      <c r="G394" s="8">
        <f t="shared" si="188"/>
        <v>3.6142433234421363</v>
      </c>
      <c r="H394" s="6" t="s">
        <v>3662</v>
      </c>
      <c r="I394" s="6" t="str">
        <f t="shared" si="189"/>
        <v>=10.11*100000000</v>
      </c>
      <c r="J394" s="1">
        <f>10.11*100000000</f>
        <v>1011000000</v>
      </c>
      <c r="K394" s="10">
        <f t="shared" si="190"/>
        <v>1.0819604612850082</v>
      </c>
      <c r="L394" s="6" t="s">
        <v>95</v>
      </c>
      <c r="M394" s="6" t="str">
        <f t="shared" si="191"/>
        <v>=4.856*100000000</v>
      </c>
      <c r="N394" s="1">
        <f>4.856*100000000</f>
        <v>485600000</v>
      </c>
      <c r="O394" s="8">
        <f t="shared" si="192"/>
        <v>2.5316363636363635</v>
      </c>
      <c r="P394" s="6" t="s">
        <v>4981</v>
      </c>
      <c r="Q394" s="6" t="str">
        <f t="shared" si="193"/>
        <v>=1.375*100000000</v>
      </c>
      <c r="R394" s="11">
        <f>1.375*100000000</f>
        <v>137500000</v>
      </c>
      <c r="S394" s="8">
        <f t="shared" si="194"/>
        <v>-0.95005448601525611</v>
      </c>
      <c r="T394" s="6" t="s">
        <v>4982</v>
      </c>
      <c r="U394" s="6" t="str">
        <f t="shared" si="195"/>
        <v>=27.53*100000000</v>
      </c>
      <c r="V394" s="1">
        <f>27.53*100000000</f>
        <v>2753000000</v>
      </c>
      <c r="W394" s="8">
        <f t="shared" si="196"/>
        <v>0.41397021058038008</v>
      </c>
      <c r="X394" s="6" t="s">
        <v>4983</v>
      </c>
      <c r="Y394" s="6" t="str">
        <f t="shared" si="197"/>
        <v>=19.47*100000000</v>
      </c>
      <c r="Z394" s="1">
        <f>19.47*100000000</f>
        <v>1947000000</v>
      </c>
      <c r="AA394" s="8">
        <f t="shared" si="198"/>
        <v>0.61442786069651745</v>
      </c>
      <c r="AB394" s="6" t="s">
        <v>4984</v>
      </c>
      <c r="AC394" s="6" t="str">
        <f t="shared" si="199"/>
        <v>=12.06*100000000</v>
      </c>
      <c r="AD394" s="1">
        <f>12.06*100000000</f>
        <v>1206000000</v>
      </c>
      <c r="AE394" s="8">
        <f t="shared" si="200"/>
        <v>0.78375979884632452</v>
      </c>
      <c r="AF394" s="6" t="s">
        <v>4557</v>
      </c>
      <c r="AG394" s="6" t="str">
        <f t="shared" si="201"/>
        <v>=6.761*100000000</v>
      </c>
      <c r="AH394" s="1">
        <f>6.761*100000000</f>
        <v>676100000</v>
      </c>
      <c r="AI394" s="8">
        <f t="shared" si="202"/>
        <v>-0.92930782099539944</v>
      </c>
      <c r="AJ394" s="6" t="s">
        <v>4985</v>
      </c>
      <c r="AK394" s="6" t="str">
        <f t="shared" si="203"/>
        <v>=95.64*100000000</v>
      </c>
      <c r="AL394" s="1">
        <f>95.64*100000000</f>
        <v>9564000000</v>
      </c>
      <c r="AM394" s="8">
        <f t="shared" si="204"/>
        <v>1.9555006180469716</v>
      </c>
      <c r="AN394" s="6" t="s">
        <v>4986</v>
      </c>
      <c r="AO394" s="6" t="str">
        <f t="shared" si="205"/>
        <v>=32.36*100000000</v>
      </c>
      <c r="AP394" s="1">
        <f>32.36*100000000</f>
        <v>3236000000</v>
      </c>
      <c r="AQ394" s="8">
        <f t="shared" si="206"/>
        <v>5.2015604681404419E-2</v>
      </c>
      <c r="AR394" s="6" t="s">
        <v>4987</v>
      </c>
      <c r="AS394" s="6" t="str">
        <f t="shared" si="207"/>
        <v>=30.76*100000000</v>
      </c>
      <c r="AT394" s="1">
        <f>30.76*100000000</f>
        <v>3076000000</v>
      </c>
      <c r="AU394" s="8">
        <f t="shared" si="208"/>
        <v>0.3994540491355778</v>
      </c>
      <c r="AV394" s="6" t="s">
        <v>4988</v>
      </c>
      <c r="AW394" s="6" t="str">
        <f t="shared" si="209"/>
        <v>=21.98*100000000</v>
      </c>
      <c r="AX394" s="1">
        <f>21.98*100000000</f>
        <v>2198000000</v>
      </c>
      <c r="AY394" s="10">
        <f t="shared" si="210"/>
        <v>-0.35371949426639226</v>
      </c>
      <c r="AZ394" s="6" t="s">
        <v>4989</v>
      </c>
      <c r="BA394" s="6" t="str">
        <f t="shared" si="211"/>
        <v>=34.01*100000000</v>
      </c>
      <c r="BB394" s="1">
        <f>34.01*100000000</f>
        <v>3401000000</v>
      </c>
      <c r="BC394" s="8">
        <f t="shared" si="212"/>
        <v>0.46405510116229015</v>
      </c>
      <c r="BD394" s="6" t="s">
        <v>4990</v>
      </c>
      <c r="BE394" s="6" t="str">
        <f t="shared" si="213"/>
        <v>=23.23*100000000</v>
      </c>
      <c r="BF394" s="1">
        <f>23.23*100000000</f>
        <v>2323000000</v>
      </c>
      <c r="BG394" s="8">
        <f t="shared" si="214"/>
        <v>0.30213004484304934</v>
      </c>
      <c r="BH394" s="6" t="s">
        <v>3272</v>
      </c>
      <c r="BI394" s="6" t="str">
        <f t="shared" si="215"/>
        <v>=17.84*100000000</v>
      </c>
      <c r="BJ394" s="1">
        <f>17.84*100000000</f>
        <v>1784000000</v>
      </c>
      <c r="BK394" s="6" t="s">
        <v>1800</v>
      </c>
      <c r="BL394" s="1" t="str">
        <f t="shared" si="187"/>
        <v>=12.36*100000000</v>
      </c>
      <c r="BM394" s="16">
        <f t="shared" si="216"/>
        <v>0.44336569579288027</v>
      </c>
      <c r="BN394" s="1">
        <f>12.36*100000000</f>
        <v>1236000000</v>
      </c>
    </row>
    <row r="395" spans="1:66">
      <c r="A395" s="18"/>
      <c r="B395">
        <v>600322</v>
      </c>
      <c r="C395" t="s">
        <v>48</v>
      </c>
      <c r="D395" s="6">
        <f>-15.13*100000000</f>
        <v>-1513000000</v>
      </c>
      <c r="E395" s="7" t="str">
        <f t="shared" si="186"/>
        <v>=-1513000000</v>
      </c>
      <c r="F395" s="1">
        <f>-1513000000</f>
        <v>-1513000000</v>
      </c>
      <c r="G395" s="8">
        <f t="shared" si="188"/>
        <v>10.792673421667965</v>
      </c>
      <c r="H395" s="6">
        <f>-1.283*100000000</f>
        <v>-128299999.99999999</v>
      </c>
      <c r="I395" s="6" t="str">
        <f t="shared" si="189"/>
        <v>=-128300000</v>
      </c>
      <c r="J395" s="1">
        <f>-128300000</f>
        <v>-128300000</v>
      </c>
      <c r="K395" s="10">
        <f t="shared" si="190"/>
        <v>0.30478999288111464</v>
      </c>
      <c r="L395" s="7">
        <f>-9833*10000</f>
        <v>-98330000</v>
      </c>
      <c r="M395" s="6" t="str">
        <f t="shared" si="191"/>
        <v>=-98330000</v>
      </c>
      <c r="N395" s="1">
        <f>-98330000</f>
        <v>-98330000</v>
      </c>
      <c r="O395" s="8">
        <f t="shared" si="192"/>
        <v>1.8126430205949657</v>
      </c>
      <c r="P395" s="7">
        <f>-3496*10000</f>
        <v>-34960000</v>
      </c>
      <c r="Q395" s="6" t="str">
        <f t="shared" si="193"/>
        <v>=-34960000</v>
      </c>
      <c r="R395" s="11">
        <f>-34960000</f>
        <v>-34960000</v>
      </c>
      <c r="S395" s="8">
        <f t="shared" si="194"/>
        <v>-0.98695522388059698</v>
      </c>
      <c r="T395" s="6">
        <f>-26.8*100000000</f>
        <v>-2680000000</v>
      </c>
      <c r="U395" s="6" t="str">
        <f t="shared" si="195"/>
        <v>=-2680000000</v>
      </c>
      <c r="V395" s="1">
        <f>-2680000000</f>
        <v>-2680000000</v>
      </c>
      <c r="W395" s="8">
        <f t="shared" si="196"/>
        <v>-33.223157388481425</v>
      </c>
      <c r="X395" s="7" t="s">
        <v>4991</v>
      </c>
      <c r="Y395" s="6" t="str">
        <f t="shared" si="197"/>
        <v>=8317*10000</v>
      </c>
      <c r="Z395" s="1">
        <f>8317*10000</f>
        <v>83170000</v>
      </c>
      <c r="AA395" s="8">
        <f t="shared" si="198"/>
        <v>0.79982687729928592</v>
      </c>
      <c r="AB395" s="7" t="s">
        <v>4992</v>
      </c>
      <c r="AC395" s="6" t="str">
        <f t="shared" si="199"/>
        <v>=4621*10000</v>
      </c>
      <c r="AD395" s="1">
        <f>4621*10000</f>
        <v>46210000</v>
      </c>
      <c r="AE395" s="8">
        <f t="shared" si="200"/>
        <v>-0.15752051048313581</v>
      </c>
      <c r="AF395" s="7" t="s">
        <v>4993</v>
      </c>
      <c r="AG395" s="6" t="str">
        <f t="shared" si="201"/>
        <v>=5485*10000</v>
      </c>
      <c r="AH395" s="1">
        <f>5485*10000</f>
        <v>54850000</v>
      </c>
      <c r="AI395" s="8">
        <f t="shared" si="202"/>
        <v>-0.89990875912408763</v>
      </c>
      <c r="AJ395" s="6" t="s">
        <v>4994</v>
      </c>
      <c r="AK395" s="6" t="str">
        <f t="shared" si="203"/>
        <v>=5.480*100000000</v>
      </c>
      <c r="AL395" s="1">
        <f>5.48*100000000</f>
        <v>548000000</v>
      </c>
      <c r="AM395" s="8">
        <f t="shared" si="204"/>
        <v>0.45861059355869044</v>
      </c>
      <c r="AN395" s="6" t="s">
        <v>4995</v>
      </c>
      <c r="AO395" s="6" t="str">
        <f t="shared" si="205"/>
        <v>=3.757*100000000</v>
      </c>
      <c r="AP395" s="1">
        <f>3.757*100000000</f>
        <v>375700000</v>
      </c>
      <c r="AQ395" s="8">
        <f t="shared" si="206"/>
        <v>-6.0045033775331498E-2</v>
      </c>
      <c r="AR395" s="6" t="s">
        <v>4996</v>
      </c>
      <c r="AS395" s="6" t="str">
        <f t="shared" si="207"/>
        <v>=3.997*100000000</v>
      </c>
      <c r="AT395" s="1">
        <f>3.997*100000000</f>
        <v>399700000</v>
      </c>
      <c r="AU395" s="8">
        <f t="shared" si="208"/>
        <v>0.75537988581466842</v>
      </c>
      <c r="AV395" s="6" t="s">
        <v>4997</v>
      </c>
      <c r="AW395" s="6" t="str">
        <f t="shared" si="209"/>
        <v>=2.277*100000000</v>
      </c>
      <c r="AX395" s="1">
        <f>2.277*100000000</f>
        <v>227700000</v>
      </c>
      <c r="AY395" s="10">
        <f t="shared" si="210"/>
        <v>-6.9092395748160382E-2</v>
      </c>
      <c r="AZ395" s="6" t="s">
        <v>4998</v>
      </c>
      <c r="BA395" s="6" t="str">
        <f t="shared" si="211"/>
        <v>=2.446*100000000</v>
      </c>
      <c r="BB395" s="1">
        <f>2.446*100000000</f>
        <v>244600000.00000003</v>
      </c>
      <c r="BC395" s="8">
        <f t="shared" si="212"/>
        <v>-0.21552277100705572</v>
      </c>
      <c r="BD395" s="6" t="s">
        <v>132</v>
      </c>
      <c r="BE395" s="6" t="str">
        <f t="shared" si="213"/>
        <v>=3.118*100000000</v>
      </c>
      <c r="BF395" s="1">
        <f>3.118*100000000</f>
        <v>311800000</v>
      </c>
      <c r="BG395" s="8">
        <f t="shared" si="214"/>
        <v>0.29700499168053246</v>
      </c>
      <c r="BH395" s="6" t="s">
        <v>4999</v>
      </c>
      <c r="BI395" s="6" t="str">
        <f t="shared" si="215"/>
        <v>=2.404*100000000</v>
      </c>
      <c r="BJ395" s="1">
        <f>2.404*100000000</f>
        <v>240400000</v>
      </c>
      <c r="BK395" s="6" t="s">
        <v>5000</v>
      </c>
      <c r="BL395" s="1" t="str">
        <f t="shared" si="187"/>
        <v>=1.320*100000000</v>
      </c>
      <c r="BM395" s="16">
        <f t="shared" si="216"/>
        <v>0.82121212121212117</v>
      </c>
      <c r="BN395" s="1">
        <f>1.32*100000000</f>
        <v>132000000</v>
      </c>
    </row>
    <row r="396" spans="1:66">
      <c r="A396" s="18"/>
      <c r="B396">
        <v>600322</v>
      </c>
      <c r="C396" t="s">
        <v>58</v>
      </c>
      <c r="D396" s="6">
        <f>-15.51*100000000</f>
        <v>-1551000000</v>
      </c>
      <c r="E396" s="7" t="str">
        <f t="shared" si="186"/>
        <v>=-1551000000</v>
      </c>
      <c r="F396" s="1">
        <f>-1551000000</f>
        <v>-1551000000</v>
      </c>
      <c r="G396" s="8">
        <f t="shared" si="188"/>
        <v>10.661654135338345</v>
      </c>
      <c r="H396" s="6">
        <f>-1.33*100000000</f>
        <v>-133000000</v>
      </c>
      <c r="I396" s="6" t="str">
        <f t="shared" si="189"/>
        <v>=-133000000</v>
      </c>
      <c r="J396" s="1">
        <f>-133000000</f>
        <v>-133000000</v>
      </c>
      <c r="K396" s="10">
        <f t="shared" si="190"/>
        <v>0.35107679804957337</v>
      </c>
      <c r="L396" s="7">
        <f>-9844*10000</f>
        <v>-98440000</v>
      </c>
      <c r="M396" s="6" t="str">
        <f t="shared" si="191"/>
        <v>=-98440000</v>
      </c>
      <c r="N396" s="1">
        <f>-98440000</f>
        <v>-98440000</v>
      </c>
      <c r="O396" s="8">
        <f t="shared" si="192"/>
        <v>1.8061573546180159</v>
      </c>
      <c r="P396" s="7">
        <f>-3508*10000</f>
        <v>-35080000</v>
      </c>
      <c r="Q396" s="6" t="str">
        <f t="shared" si="193"/>
        <v>=-35080000</v>
      </c>
      <c r="R396" s="11">
        <f>-35080000</f>
        <v>-35080000</v>
      </c>
      <c r="S396" s="8">
        <f t="shared" si="194"/>
        <v>-0.98695910780669149</v>
      </c>
      <c r="T396" s="6">
        <f>-26.9*100000000</f>
        <v>-2690000000</v>
      </c>
      <c r="U396" s="6" t="str">
        <f t="shared" si="195"/>
        <v>=-2690000000</v>
      </c>
      <c r="V396" s="1">
        <f>-2690000000</f>
        <v>-2690000000</v>
      </c>
      <c r="W396" s="8">
        <f t="shared" si="196"/>
        <v>-33.027622335992383</v>
      </c>
      <c r="X396" s="7" t="s">
        <v>5001</v>
      </c>
      <c r="Y396" s="6" t="str">
        <f t="shared" si="197"/>
        <v>=8399*10000</v>
      </c>
      <c r="Z396" s="1">
        <f>8399*10000</f>
        <v>83990000</v>
      </c>
      <c r="AA396" s="8">
        <f t="shared" si="198"/>
        <v>0.81560743623000431</v>
      </c>
      <c r="AB396" s="7" t="s">
        <v>5002</v>
      </c>
      <c r="AC396" s="6" t="str">
        <f t="shared" si="199"/>
        <v>=4626*10000</v>
      </c>
      <c r="AD396" s="1">
        <f>4626*10000</f>
        <v>46260000</v>
      </c>
      <c r="AE396" s="8">
        <f t="shared" si="200"/>
        <v>-0.15630129491154476</v>
      </c>
      <c r="AF396" s="7" t="s">
        <v>5003</v>
      </c>
      <c r="AG396" s="6" t="str">
        <f t="shared" si="201"/>
        <v>=5483*10000</v>
      </c>
      <c r="AH396" s="1">
        <f>5483*10000</f>
        <v>54830000</v>
      </c>
      <c r="AI396" s="8">
        <f t="shared" si="202"/>
        <v>-0.90018204988166761</v>
      </c>
      <c r="AJ396" s="6" t="s">
        <v>5004</v>
      </c>
      <c r="AK396" s="6" t="str">
        <f t="shared" si="203"/>
        <v>=5.493*100000000</v>
      </c>
      <c r="AL396" s="1">
        <f>5.493*100000000</f>
        <v>549300000</v>
      </c>
      <c r="AM396" s="8">
        <f t="shared" si="204"/>
        <v>0.45973956949242628</v>
      </c>
      <c r="AN396" s="6" t="s">
        <v>1519</v>
      </c>
      <c r="AO396" s="6" t="str">
        <f t="shared" si="205"/>
        <v>=3.763*100000000</v>
      </c>
      <c r="AP396" s="1">
        <f>3.763*100000000</f>
        <v>376300000</v>
      </c>
      <c r="AQ396" s="8">
        <f t="shared" si="206"/>
        <v>-5.9485128717820683E-2</v>
      </c>
      <c r="AR396" s="6" t="s">
        <v>5005</v>
      </c>
      <c r="AS396" s="6" t="str">
        <f t="shared" si="207"/>
        <v>=4.001*100000000</v>
      </c>
      <c r="AT396" s="1">
        <f>4.001*100000000</f>
        <v>400100000.00000006</v>
      </c>
      <c r="AU396" s="8">
        <f t="shared" si="208"/>
        <v>0.75713658322354005</v>
      </c>
      <c r="AV396" s="6" t="s">
        <v>4997</v>
      </c>
      <c r="AW396" s="6" t="str">
        <f t="shared" si="209"/>
        <v>=2.277*100000000</v>
      </c>
      <c r="AX396" s="1">
        <f>2.277*100000000</f>
        <v>227700000</v>
      </c>
      <c r="AY396" s="10">
        <f t="shared" si="210"/>
        <v>-9.8217821782178222E-2</v>
      </c>
      <c r="AZ396" s="6" t="s">
        <v>5006</v>
      </c>
      <c r="BA396" s="6" t="str">
        <f t="shared" si="211"/>
        <v>=2.525*100000000</v>
      </c>
      <c r="BB396" s="1">
        <f>2.525*100000000</f>
        <v>252500000</v>
      </c>
      <c r="BC396" s="8">
        <f t="shared" si="212"/>
        <v>-9.4982078853046589E-2</v>
      </c>
      <c r="BD396" s="6" t="s">
        <v>5007</v>
      </c>
      <c r="BE396" s="6" t="str">
        <f t="shared" si="213"/>
        <v>=2.790*100000000</v>
      </c>
      <c r="BF396" s="1">
        <f>2.79*100000000</f>
        <v>279000000</v>
      </c>
      <c r="BG396" s="8">
        <f t="shared" si="214"/>
        <v>0.15960099750623441</v>
      </c>
      <c r="BH396" s="6" t="s">
        <v>4581</v>
      </c>
      <c r="BI396" s="6" t="str">
        <f t="shared" si="215"/>
        <v>=2.406*100000000</v>
      </c>
      <c r="BJ396" s="1">
        <f>2.406*100000000</f>
        <v>240600000</v>
      </c>
      <c r="BK396" s="6" t="s">
        <v>5000</v>
      </c>
      <c r="BL396" s="1" t="str">
        <f t="shared" si="187"/>
        <v>=1.320*100000000</v>
      </c>
      <c r="BM396" s="16">
        <f t="shared" si="216"/>
        <v>0.82272727272727275</v>
      </c>
      <c r="BN396" s="1">
        <f>1.32*100000000</f>
        <v>132000000</v>
      </c>
    </row>
    <row r="397" spans="1:66">
      <c r="A397" s="19"/>
      <c r="B397">
        <v>600322</v>
      </c>
      <c r="C397" t="s">
        <v>68</v>
      </c>
      <c r="D397" s="6">
        <f>-17.52*100000000</f>
        <v>-1752000000</v>
      </c>
      <c r="E397" s="7" t="str">
        <f t="shared" si="186"/>
        <v>=-1752000000</v>
      </c>
      <c r="F397" s="1">
        <f>-1752000000</f>
        <v>-1752000000</v>
      </c>
      <c r="G397" s="8">
        <f t="shared" si="188"/>
        <v>11.434350603264727</v>
      </c>
      <c r="H397" s="6">
        <f>-1.409*100000000</f>
        <v>-140900000</v>
      </c>
      <c r="I397" s="6" t="str">
        <f t="shared" si="189"/>
        <v>=-140900000</v>
      </c>
      <c r="J397" s="1">
        <f>-140900000</f>
        <v>-140900000</v>
      </c>
      <c r="K397" s="10">
        <f t="shared" si="190"/>
        <v>0.33301797540208139</v>
      </c>
      <c r="L397" s="6">
        <f>-1.057*100000000</f>
        <v>-105700000</v>
      </c>
      <c r="M397" s="6" t="str">
        <f t="shared" si="191"/>
        <v>=-105700000</v>
      </c>
      <c r="N397" s="1">
        <f>-105700000</f>
        <v>-105700000</v>
      </c>
      <c r="O397" s="8">
        <f t="shared" si="192"/>
        <v>1.9516894722144653</v>
      </c>
      <c r="P397" s="7">
        <f>-3581*10000</f>
        <v>-35810000</v>
      </c>
      <c r="Q397" s="6" t="str">
        <f t="shared" si="193"/>
        <v>=-35810000</v>
      </c>
      <c r="R397" s="11">
        <f>-35810000</f>
        <v>-35810000</v>
      </c>
      <c r="S397" s="8">
        <f t="shared" si="194"/>
        <v>-0.98722895863052784</v>
      </c>
      <c r="T397" s="6">
        <f>-28.04*100000000</f>
        <v>-2804000000</v>
      </c>
      <c r="U397" s="6" t="str">
        <f t="shared" si="195"/>
        <v>=-2804000000</v>
      </c>
      <c r="V397" s="1">
        <f>-2804000000</f>
        <v>-2804000000</v>
      </c>
      <c r="W397" s="8">
        <f t="shared" si="196"/>
        <v>-100.15134370579915</v>
      </c>
      <c r="X397" s="7" t="s">
        <v>5008</v>
      </c>
      <c r="Y397" s="6" t="str">
        <f t="shared" si="197"/>
        <v>=2828*10000</v>
      </c>
      <c r="Z397" s="1">
        <f>2828*10000</f>
        <v>28280000</v>
      </c>
      <c r="AA397" s="8">
        <f t="shared" si="198"/>
        <v>12.596153846153847</v>
      </c>
      <c r="AB397" s="7" t="s">
        <v>5009</v>
      </c>
      <c r="AC397" s="6" t="str">
        <f t="shared" si="199"/>
        <v>=208.0*10000</v>
      </c>
      <c r="AD397" s="1">
        <f>208*10000</f>
        <v>2080000</v>
      </c>
      <c r="AE397" s="8">
        <f t="shared" si="200"/>
        <v>-0.9244460588448965</v>
      </c>
      <c r="AF397" s="7" t="s">
        <v>5010</v>
      </c>
      <c r="AG397" s="6" t="str">
        <f t="shared" si="201"/>
        <v>=2753*10000</v>
      </c>
      <c r="AH397" s="1">
        <f>2753*10000</f>
        <v>27530000</v>
      </c>
      <c r="AI397" s="8">
        <f t="shared" si="202"/>
        <v>-0.85126958400864394</v>
      </c>
      <c r="AJ397" s="6" t="s">
        <v>5011</v>
      </c>
      <c r="AK397" s="6" t="str">
        <f t="shared" si="203"/>
        <v>=1.851*100000000</v>
      </c>
      <c r="AL397" s="1">
        <f>1.851*100000000</f>
        <v>185100000</v>
      </c>
      <c r="AM397" s="8">
        <f t="shared" si="204"/>
        <v>-0.28032659409020216</v>
      </c>
      <c r="AN397" s="6" t="s">
        <v>5012</v>
      </c>
      <c r="AO397" s="6" t="str">
        <f t="shared" si="205"/>
        <v>=2.572*100000000</v>
      </c>
      <c r="AP397" s="1">
        <f>2.572*100000000</f>
        <v>257200000</v>
      </c>
      <c r="AQ397" s="8">
        <f t="shared" si="206"/>
        <v>-8.5023123443614373E-2</v>
      </c>
      <c r="AR397" s="6" t="s">
        <v>5013</v>
      </c>
      <c r="AS397" s="6" t="str">
        <f t="shared" si="207"/>
        <v>=2.811*100000000</v>
      </c>
      <c r="AT397" s="1">
        <f>2.811*100000000</f>
        <v>281100000</v>
      </c>
      <c r="AU397" s="8">
        <f t="shared" si="208"/>
        <v>0.73091133004926112</v>
      </c>
      <c r="AV397" s="6" t="s">
        <v>2541</v>
      </c>
      <c r="AW397" s="6" t="str">
        <f t="shared" si="209"/>
        <v>=1.624*100000000</v>
      </c>
      <c r="AX397" s="1">
        <f>1.624*100000000</f>
        <v>162400000</v>
      </c>
      <c r="AY397" s="10">
        <f t="shared" si="210"/>
        <v>0.12777777777777777</v>
      </c>
      <c r="AZ397" s="6" t="s">
        <v>4750</v>
      </c>
      <c r="BA397" s="6" t="str">
        <f t="shared" si="211"/>
        <v>=1.440*100000000</v>
      </c>
      <c r="BB397" s="1">
        <f>1.44*100000000</f>
        <v>144000000</v>
      </c>
      <c r="BC397" s="8">
        <f t="shared" si="212"/>
        <v>-8.1046585832801527E-2</v>
      </c>
      <c r="BD397" s="6" t="s">
        <v>2170</v>
      </c>
      <c r="BE397" s="6" t="str">
        <f t="shared" si="213"/>
        <v>=1.567*100000000</v>
      </c>
      <c r="BF397" s="1">
        <f>1.567*100000000</f>
        <v>156700000</v>
      </c>
      <c r="BG397" s="8">
        <f t="shared" si="214"/>
        <v>7.8458362009635241E-2</v>
      </c>
      <c r="BH397" s="6" t="s">
        <v>3481</v>
      </c>
      <c r="BI397" s="6" t="str">
        <f t="shared" si="215"/>
        <v>=1.453*100000000</v>
      </c>
      <c r="BJ397" s="1">
        <f>1.453*100000000</f>
        <v>145300000</v>
      </c>
      <c r="BK397" s="7" t="s">
        <v>5014</v>
      </c>
      <c r="BL397" s="1" t="str">
        <f t="shared" si="187"/>
        <v>=7884*10000</v>
      </c>
      <c r="BM397" s="16">
        <f t="shared" si="216"/>
        <v>0.84297311009639775</v>
      </c>
      <c r="BN397" s="1">
        <f>7884*10000</f>
        <v>78840000</v>
      </c>
    </row>
    <row r="398" spans="1:66">
      <c r="A398" s="17">
        <v>100</v>
      </c>
      <c r="B398">
        <v>600323</v>
      </c>
      <c r="C398" t="s">
        <v>31</v>
      </c>
      <c r="D398" s="6" t="s">
        <v>5015</v>
      </c>
      <c r="E398" s="7" t="str">
        <f t="shared" si="186"/>
        <v>=117.8*100000000</v>
      </c>
      <c r="F398" s="1">
        <f>117.8*100000000</f>
        <v>11780000000</v>
      </c>
      <c r="G398" s="8">
        <f t="shared" si="188"/>
        <v>0.65356541268950052</v>
      </c>
      <c r="H398" s="6" t="s">
        <v>5016</v>
      </c>
      <c r="I398" s="6" t="str">
        <f t="shared" si="189"/>
        <v>=71.24*100000000</v>
      </c>
      <c r="J398" s="1">
        <f>71.24*100000000</f>
        <v>7123999999.999999</v>
      </c>
      <c r="K398" s="10">
        <f t="shared" si="190"/>
        <v>0.56537024829707738</v>
      </c>
      <c r="L398" s="6" t="s">
        <v>5017</v>
      </c>
      <c r="M398" s="6" t="str">
        <f t="shared" si="191"/>
        <v>=45.51*100000000</v>
      </c>
      <c r="N398" s="1">
        <f>45.51*100000000</f>
        <v>4551000000</v>
      </c>
      <c r="O398" s="8">
        <f t="shared" si="192"/>
        <v>1.2038740920096853</v>
      </c>
      <c r="P398" s="6" t="s">
        <v>3264</v>
      </c>
      <c r="Q398" s="6" t="str">
        <f t="shared" si="193"/>
        <v>=20.65*100000000</v>
      </c>
      <c r="R398" s="11">
        <f>20.65*100000000</f>
        <v>2064999999.9999998</v>
      </c>
      <c r="S398" s="8">
        <f t="shared" si="194"/>
        <v>-0.72396738403956695</v>
      </c>
      <c r="T398" s="6" t="s">
        <v>5018</v>
      </c>
      <c r="U398" s="6" t="str">
        <f t="shared" si="195"/>
        <v>=74.81*100000000</v>
      </c>
      <c r="V398" s="1">
        <f>74.81*100000000</f>
        <v>7481000000</v>
      </c>
      <c r="W398" s="8">
        <f t="shared" si="196"/>
        <v>0.4534680396347387</v>
      </c>
      <c r="X398" s="6" t="s">
        <v>5019</v>
      </c>
      <c r="Y398" s="6" t="str">
        <f t="shared" si="197"/>
        <v>=51.47*100000000</v>
      </c>
      <c r="Z398" s="1">
        <f>51.47*100000000</f>
        <v>5147000000</v>
      </c>
      <c r="AA398" s="8">
        <f t="shared" si="198"/>
        <v>0.64126275510204078</v>
      </c>
      <c r="AB398" s="6" t="s">
        <v>5020</v>
      </c>
      <c r="AC398" s="6" t="str">
        <f t="shared" si="199"/>
        <v>=31.36*100000000</v>
      </c>
      <c r="AD398" s="1">
        <f>31.36*100000000</f>
        <v>3136000000</v>
      </c>
      <c r="AE398" s="8">
        <f t="shared" si="200"/>
        <v>1.2225372076541461</v>
      </c>
      <c r="AF398" s="6" t="s">
        <v>2428</v>
      </c>
      <c r="AG398" s="6" t="str">
        <f t="shared" si="201"/>
        <v>=14.11*100000000</v>
      </c>
      <c r="AH398" s="1">
        <f>14.11*100000000</f>
        <v>1411000000</v>
      </c>
      <c r="AI398" s="8">
        <f t="shared" si="202"/>
        <v>-0.77094155844155843</v>
      </c>
      <c r="AJ398" s="6" t="s">
        <v>5021</v>
      </c>
      <c r="AK398" s="6" t="str">
        <f t="shared" si="203"/>
        <v>=61.60*100000000</v>
      </c>
      <c r="AL398" s="1">
        <f>61.6*100000000</f>
        <v>6160000000</v>
      </c>
      <c r="AM398" s="8">
        <f t="shared" si="204"/>
        <v>0.44228517911496135</v>
      </c>
      <c r="AN398" s="6" t="s">
        <v>5022</v>
      </c>
      <c r="AO398" s="6" t="str">
        <f t="shared" si="205"/>
        <v>=42.71*100000000</v>
      </c>
      <c r="AP398" s="1">
        <f>42.71*100000000</f>
        <v>4271000000</v>
      </c>
      <c r="AQ398" s="8">
        <f t="shared" si="206"/>
        <v>0.59902658180456758</v>
      </c>
      <c r="AR398" s="6" t="s">
        <v>5023</v>
      </c>
      <c r="AS398" s="6" t="str">
        <f t="shared" si="207"/>
        <v>=26.71*100000000</v>
      </c>
      <c r="AT398" s="1">
        <f>26.71*100000000</f>
        <v>2671000000</v>
      </c>
      <c r="AU398" s="8">
        <f t="shared" si="208"/>
        <v>1.1299840510366825</v>
      </c>
      <c r="AV398" s="6" t="s">
        <v>5024</v>
      </c>
      <c r="AW398" s="6" t="str">
        <f t="shared" si="209"/>
        <v>=12.54*100000000</v>
      </c>
      <c r="AX398" s="1">
        <f>12.54*100000000</f>
        <v>1254000000</v>
      </c>
      <c r="AY398" s="10">
        <f t="shared" si="210"/>
        <v>-0.7413899773149103</v>
      </c>
      <c r="AZ398" s="6" t="s">
        <v>5025</v>
      </c>
      <c r="BA398" s="6" t="str">
        <f t="shared" si="211"/>
        <v>=48.49*100000000</v>
      </c>
      <c r="BB398" s="1">
        <f>48.49*100000000</f>
        <v>4849000000</v>
      </c>
      <c r="BC398" s="8">
        <f t="shared" si="212"/>
        <v>0.35258019525801954</v>
      </c>
      <c r="BD398" s="6" t="s">
        <v>5026</v>
      </c>
      <c r="BE398" s="6" t="str">
        <f t="shared" si="213"/>
        <v>=35.85*100000000</v>
      </c>
      <c r="BF398" s="1">
        <f>35.85*100000000</f>
        <v>3585000000</v>
      </c>
      <c r="BG398" s="8">
        <f t="shared" si="214"/>
        <v>0.56618610747051112</v>
      </c>
      <c r="BH398" s="6" t="s">
        <v>5027</v>
      </c>
      <c r="BI398" s="6" t="str">
        <f t="shared" si="215"/>
        <v>=22.89*100000000</v>
      </c>
      <c r="BJ398" s="1">
        <f>22.89*100000000</f>
        <v>2289000000</v>
      </c>
      <c r="BK398" s="6" t="s">
        <v>1587</v>
      </c>
      <c r="BL398" s="1" t="str">
        <f t="shared" si="187"/>
        <v>=11.35*100000000</v>
      </c>
      <c r="BM398" s="16">
        <f t="shared" si="216"/>
        <v>1.0167400881057269</v>
      </c>
      <c r="BN398" s="1">
        <f>11.35*100000000</f>
        <v>1135000000</v>
      </c>
    </row>
    <row r="399" spans="1:66">
      <c r="A399" s="18"/>
      <c r="B399">
        <v>600323</v>
      </c>
      <c r="C399" t="s">
        <v>48</v>
      </c>
      <c r="D399" s="6" t="s">
        <v>2428</v>
      </c>
      <c r="E399" s="7" t="str">
        <f t="shared" si="186"/>
        <v>=14.11*100000000</v>
      </c>
      <c r="F399" s="1">
        <f>14.11*100000000</f>
        <v>1411000000</v>
      </c>
      <c r="G399" s="8">
        <f t="shared" si="188"/>
        <v>0.25199645075421473</v>
      </c>
      <c r="H399" s="6" t="s">
        <v>4842</v>
      </c>
      <c r="I399" s="6" t="str">
        <f t="shared" si="189"/>
        <v>=11.27*100000000</v>
      </c>
      <c r="J399" s="1">
        <f>11.27*100000000</f>
        <v>1127000000</v>
      </c>
      <c r="K399" s="10">
        <f t="shared" si="190"/>
        <v>0.48700356247526061</v>
      </c>
      <c r="L399" s="6" t="s">
        <v>1056</v>
      </c>
      <c r="M399" s="6" t="str">
        <f t="shared" si="191"/>
        <v>=7.579*100000000</v>
      </c>
      <c r="N399" s="1">
        <f>7.579*100000000</f>
        <v>757900000</v>
      </c>
      <c r="O399" s="8">
        <f t="shared" si="192"/>
        <v>1.6352573018080667</v>
      </c>
      <c r="P399" s="6" t="s">
        <v>1781</v>
      </c>
      <c r="Q399" s="6" t="str">
        <f t="shared" si="193"/>
        <v>=2.876*100000000</v>
      </c>
      <c r="R399" s="11">
        <f>2.876*100000000</f>
        <v>287600000</v>
      </c>
      <c r="S399" s="8">
        <f t="shared" si="194"/>
        <v>-0.77825751734772552</v>
      </c>
      <c r="T399" s="6" t="s">
        <v>2657</v>
      </c>
      <c r="U399" s="6" t="str">
        <f t="shared" si="195"/>
        <v>=12.97*100000000</v>
      </c>
      <c r="V399" s="1">
        <f>12.97*100000000</f>
        <v>1297000000</v>
      </c>
      <c r="W399" s="8">
        <f t="shared" si="196"/>
        <v>0.37934701690949696</v>
      </c>
      <c r="X399" s="6" t="s">
        <v>5028</v>
      </c>
      <c r="Y399" s="6" t="str">
        <f t="shared" si="197"/>
        <v>=9.403*100000000</v>
      </c>
      <c r="Z399" s="1">
        <f>9.403*100000000</f>
        <v>940300000</v>
      </c>
      <c r="AA399" s="8">
        <f t="shared" si="198"/>
        <v>0.66986325697034277</v>
      </c>
      <c r="AB399" s="6" t="s">
        <v>5029</v>
      </c>
      <c r="AC399" s="6" t="str">
        <f t="shared" si="199"/>
        <v>=5.631*100000000</v>
      </c>
      <c r="AD399" s="1">
        <f>5.631*100000000</f>
        <v>563100000</v>
      </c>
      <c r="AE399" s="8">
        <f t="shared" si="200"/>
        <v>2.2662412993039442</v>
      </c>
      <c r="AF399" s="6" t="s">
        <v>5030</v>
      </c>
      <c r="AG399" s="6" t="str">
        <f t="shared" si="201"/>
        <v>=1.724*100000000</v>
      </c>
      <c r="AH399" s="1">
        <f>1.724*100000000</f>
        <v>172400000</v>
      </c>
      <c r="AI399" s="8">
        <f t="shared" si="202"/>
        <v>-0.8382739212007505</v>
      </c>
      <c r="AJ399" s="6" t="s">
        <v>1413</v>
      </c>
      <c r="AK399" s="6" t="str">
        <f t="shared" si="203"/>
        <v>=10.66*100000000</v>
      </c>
      <c r="AL399" s="1">
        <f>10.66*100000000</f>
        <v>1066000000</v>
      </c>
      <c r="AM399" s="8">
        <f t="shared" si="204"/>
        <v>0.19266055045871544</v>
      </c>
      <c r="AN399" s="6" t="s">
        <v>5031</v>
      </c>
      <c r="AO399" s="6" t="str">
        <f t="shared" si="205"/>
        <v>=8.938*100000000</v>
      </c>
      <c r="AP399" s="1">
        <f>8.938*100000000</f>
        <v>893800000.00000012</v>
      </c>
      <c r="AQ399" s="8">
        <f t="shared" si="206"/>
        <v>0.60409188801148617</v>
      </c>
      <c r="AR399" s="6" t="s">
        <v>5032</v>
      </c>
      <c r="AS399" s="6" t="str">
        <f t="shared" si="207"/>
        <v>=5.572*100000000</v>
      </c>
      <c r="AT399" s="1">
        <f>5.572*100000000</f>
        <v>557200000</v>
      </c>
      <c r="AU399" s="8">
        <f t="shared" si="208"/>
        <v>1.5042696629213483</v>
      </c>
      <c r="AV399" s="6" t="s">
        <v>5033</v>
      </c>
      <c r="AW399" s="6" t="str">
        <f t="shared" si="209"/>
        <v>=2.225*100000000</v>
      </c>
      <c r="AX399" s="1">
        <f>2.225*100000000</f>
        <v>222500000</v>
      </c>
      <c r="AY399" s="10">
        <f t="shared" si="210"/>
        <v>-0.79791099000908261</v>
      </c>
      <c r="AZ399" s="6" t="s">
        <v>5034</v>
      </c>
      <c r="BA399" s="6" t="str">
        <f t="shared" si="211"/>
        <v>=11.01*100000000</v>
      </c>
      <c r="BB399" s="1">
        <f>11.01*100000000</f>
        <v>1101000000</v>
      </c>
      <c r="BC399" s="8">
        <f t="shared" si="212"/>
        <v>0.15590551181102363</v>
      </c>
      <c r="BD399" s="6" t="s">
        <v>5035</v>
      </c>
      <c r="BE399" s="6" t="str">
        <f t="shared" si="213"/>
        <v>=9.525*100000000</v>
      </c>
      <c r="BF399" s="1">
        <f>9.525*100000000</f>
        <v>952500000</v>
      </c>
      <c r="BG399" s="8">
        <f t="shared" si="214"/>
        <v>0.49318074933375139</v>
      </c>
      <c r="BH399" s="6" t="s">
        <v>5036</v>
      </c>
      <c r="BI399" s="6" t="str">
        <f t="shared" si="215"/>
        <v>=6.379*100000000</v>
      </c>
      <c r="BJ399" s="1">
        <f>6.379*100000000</f>
        <v>637900000</v>
      </c>
      <c r="BK399" s="6" t="s">
        <v>5037</v>
      </c>
      <c r="BL399" s="1" t="str">
        <f t="shared" si="187"/>
        <v>=3.878*100000000</v>
      </c>
      <c r="BM399" s="16">
        <f t="shared" si="216"/>
        <v>0.64492006188757089</v>
      </c>
      <c r="BN399" s="1">
        <f>3.878*100000000</f>
        <v>387800000</v>
      </c>
    </row>
    <row r="400" spans="1:66">
      <c r="A400" s="18"/>
      <c r="B400">
        <v>600323</v>
      </c>
      <c r="C400" t="s">
        <v>58</v>
      </c>
      <c r="D400" s="6" t="s">
        <v>220</v>
      </c>
      <c r="E400" s="7" t="str">
        <f t="shared" si="186"/>
        <v>=14.36*100000000</v>
      </c>
      <c r="F400" s="1">
        <f>14.36*100000000</f>
        <v>1436000000</v>
      </c>
      <c r="G400" s="8">
        <f t="shared" si="188"/>
        <v>0.2640845070422535</v>
      </c>
      <c r="H400" s="6" t="s">
        <v>5038</v>
      </c>
      <c r="I400" s="6" t="str">
        <f t="shared" si="189"/>
        <v>=11.36*100000000</v>
      </c>
      <c r="J400" s="1">
        <f>11.36*100000000</f>
        <v>1136000000</v>
      </c>
      <c r="K400" s="10">
        <f t="shared" si="190"/>
        <v>0.49140081396875412</v>
      </c>
      <c r="L400" s="6" t="s">
        <v>1197</v>
      </c>
      <c r="M400" s="6" t="str">
        <f t="shared" si="191"/>
        <v>=7.617*100000000</v>
      </c>
      <c r="N400" s="1">
        <f>7.617*100000000</f>
        <v>761700000</v>
      </c>
      <c r="O400" s="8">
        <f t="shared" si="192"/>
        <v>1.6049931600547196</v>
      </c>
      <c r="P400" s="6" t="s">
        <v>5039</v>
      </c>
      <c r="Q400" s="6" t="str">
        <f t="shared" si="193"/>
        <v>=2.924*100000000</v>
      </c>
      <c r="R400" s="11">
        <f>2.924*100000000</f>
        <v>292400000</v>
      </c>
      <c r="S400" s="8">
        <f t="shared" si="194"/>
        <v>-0.77490377213240957</v>
      </c>
      <c r="T400" s="6" t="s">
        <v>5040</v>
      </c>
      <c r="U400" s="6" t="str">
        <f t="shared" si="195"/>
        <v>=12.99*100000000</v>
      </c>
      <c r="V400" s="1">
        <f>12.99*100000000</f>
        <v>1299000000</v>
      </c>
      <c r="W400" s="8">
        <f t="shared" si="196"/>
        <v>0.37256973795435333</v>
      </c>
      <c r="X400" s="6" t="s">
        <v>5041</v>
      </c>
      <c r="Y400" s="6" t="str">
        <f t="shared" si="197"/>
        <v>=9.464*100000000</v>
      </c>
      <c r="Z400" s="1">
        <f>9.464*100000000</f>
        <v>946400000</v>
      </c>
      <c r="AA400" s="8">
        <f t="shared" si="198"/>
        <v>0.67178943649531886</v>
      </c>
      <c r="AB400" s="6" t="s">
        <v>4378</v>
      </c>
      <c r="AC400" s="6" t="str">
        <f t="shared" si="199"/>
        <v>=5.661*100000000</v>
      </c>
      <c r="AD400" s="1">
        <f>5.661*100000000</f>
        <v>566100000</v>
      </c>
      <c r="AE400" s="8">
        <f t="shared" si="200"/>
        <v>2.2836426914153134</v>
      </c>
      <c r="AF400" s="6" t="s">
        <v>5030</v>
      </c>
      <c r="AG400" s="6" t="str">
        <f t="shared" si="201"/>
        <v>=1.724*100000000</v>
      </c>
      <c r="AH400" s="1">
        <f>1.724*100000000</f>
        <v>172400000</v>
      </c>
      <c r="AI400" s="8">
        <f t="shared" si="202"/>
        <v>-0.84551971326164876</v>
      </c>
      <c r="AJ400" s="6" t="s">
        <v>5042</v>
      </c>
      <c r="AK400" s="6" t="str">
        <f t="shared" si="203"/>
        <v>=11.16*100000000</v>
      </c>
      <c r="AL400" s="1">
        <f>11.16*100000000</f>
        <v>1116000000</v>
      </c>
      <c r="AM400" s="8">
        <f t="shared" si="204"/>
        <v>0.22637362637362637</v>
      </c>
      <c r="AN400" s="6" t="s">
        <v>2757</v>
      </c>
      <c r="AO400" s="6" t="str">
        <f t="shared" si="205"/>
        <v>=9.100*100000000</v>
      </c>
      <c r="AP400" s="1">
        <f>9.1*100000000</f>
        <v>910000000</v>
      </c>
      <c r="AQ400" s="8">
        <f t="shared" si="206"/>
        <v>0.59202239328201545</v>
      </c>
      <c r="AR400" s="6" t="s">
        <v>3139</v>
      </c>
      <c r="AS400" s="6" t="str">
        <f t="shared" si="207"/>
        <v>=5.716*100000000</v>
      </c>
      <c r="AT400" s="1">
        <f>5.716*100000000</f>
        <v>571600000</v>
      </c>
      <c r="AU400" s="8">
        <f t="shared" si="208"/>
        <v>1.473388143660753</v>
      </c>
      <c r="AV400" s="6" t="s">
        <v>5043</v>
      </c>
      <c r="AW400" s="6" t="str">
        <f t="shared" si="209"/>
        <v>=2.311*100000000</v>
      </c>
      <c r="AX400" s="1">
        <f>2.311*100000000</f>
        <v>231100000</v>
      </c>
      <c r="AY400" s="10">
        <f t="shared" si="210"/>
        <v>-0.79198919891989195</v>
      </c>
      <c r="AZ400" s="6" t="s">
        <v>4104</v>
      </c>
      <c r="BA400" s="6" t="str">
        <f t="shared" si="211"/>
        <v>=11.11*100000000</v>
      </c>
      <c r="BB400" s="1">
        <f>11.11*100000000</f>
        <v>1111000000</v>
      </c>
      <c r="BC400" s="8">
        <f t="shared" si="212"/>
        <v>0.16067697450898469</v>
      </c>
      <c r="BD400" s="6" t="s">
        <v>5044</v>
      </c>
      <c r="BE400" s="6" t="str">
        <f t="shared" si="213"/>
        <v>=9.572*100000000</v>
      </c>
      <c r="BF400" s="1">
        <f>9.572*100000000</f>
        <v>957199999.99999988</v>
      </c>
      <c r="BG400" s="8">
        <f t="shared" si="214"/>
        <v>0.49282595134123502</v>
      </c>
      <c r="BH400" s="6" t="s">
        <v>5045</v>
      </c>
      <c r="BI400" s="6" t="str">
        <f t="shared" si="215"/>
        <v>=6.412*100000000</v>
      </c>
      <c r="BJ400" s="1">
        <f>6.412*100000000</f>
        <v>641200000</v>
      </c>
      <c r="BK400" s="6" t="s">
        <v>5046</v>
      </c>
      <c r="BL400" s="1" t="str">
        <f t="shared" si="187"/>
        <v>=3.885*100000000</v>
      </c>
      <c r="BM400" s="16">
        <f t="shared" si="216"/>
        <v>0.65045045045045047</v>
      </c>
      <c r="BN400" s="1">
        <f>3.885*100000000</f>
        <v>388500000</v>
      </c>
    </row>
    <row r="401" spans="1:66">
      <c r="A401" s="19"/>
      <c r="B401">
        <v>600323</v>
      </c>
      <c r="C401" t="s">
        <v>68</v>
      </c>
      <c r="D401" s="6" t="s">
        <v>4494</v>
      </c>
      <c r="E401" s="7" t="str">
        <f t="shared" si="186"/>
        <v>=11.86*100000000</v>
      </c>
      <c r="F401" s="1">
        <f>11.86*100000000</f>
        <v>1186000000</v>
      </c>
      <c r="G401" s="8">
        <f t="shared" si="188"/>
        <v>0.26493174061433444</v>
      </c>
      <c r="H401" s="6" t="s">
        <v>5047</v>
      </c>
      <c r="I401" s="6" t="str">
        <f t="shared" si="189"/>
        <v>=9.376*100000000</v>
      </c>
      <c r="J401" s="1">
        <f>9.376*100000000</f>
        <v>937600000</v>
      </c>
      <c r="K401" s="10">
        <f t="shared" si="190"/>
        <v>0.49204328453214513</v>
      </c>
      <c r="L401" s="6" t="s">
        <v>5048</v>
      </c>
      <c r="M401" s="6" t="str">
        <f t="shared" si="191"/>
        <v>=6.284*100000000</v>
      </c>
      <c r="N401" s="1">
        <f>6.284*100000000</f>
        <v>628400000</v>
      </c>
      <c r="O401" s="8">
        <f t="shared" si="192"/>
        <v>1.6161532056619483</v>
      </c>
      <c r="P401" s="6" t="s">
        <v>2570</v>
      </c>
      <c r="Q401" s="6" t="str">
        <f t="shared" si="193"/>
        <v>=2.402*100000000</v>
      </c>
      <c r="R401" s="11">
        <f>2.402*100000000</f>
        <v>240200000</v>
      </c>
      <c r="S401" s="8">
        <f t="shared" si="194"/>
        <v>-0.77296786389413985</v>
      </c>
      <c r="T401" s="6" t="s">
        <v>1383</v>
      </c>
      <c r="U401" s="6" t="str">
        <f t="shared" si="195"/>
        <v>=10.58*100000000</v>
      </c>
      <c r="V401" s="1">
        <f>10.58*100000000</f>
        <v>1058000000</v>
      </c>
      <c r="W401" s="8">
        <f t="shared" si="196"/>
        <v>0.37366917683718515</v>
      </c>
      <c r="X401" s="6" t="s">
        <v>1125</v>
      </c>
      <c r="Y401" s="6" t="str">
        <f t="shared" si="197"/>
        <v>=7.702*100000000</v>
      </c>
      <c r="Z401" s="1">
        <f>7.702*100000000</f>
        <v>770200000</v>
      </c>
      <c r="AA401" s="8">
        <f t="shared" si="198"/>
        <v>0.68533916849015319</v>
      </c>
      <c r="AB401" s="6" t="s">
        <v>5049</v>
      </c>
      <c r="AC401" s="6" t="str">
        <f t="shared" si="199"/>
        <v>=4.570*100000000</v>
      </c>
      <c r="AD401" s="1">
        <f>4.57*100000000</f>
        <v>457000000</v>
      </c>
      <c r="AE401" s="8">
        <f t="shared" si="200"/>
        <v>2.5126825518831666</v>
      </c>
      <c r="AF401" s="6" t="s">
        <v>1478</v>
      </c>
      <c r="AG401" s="6" t="str">
        <f t="shared" si="201"/>
        <v>=1.301*100000000</v>
      </c>
      <c r="AH401" s="1">
        <f>1.301*100000000</f>
        <v>130100000</v>
      </c>
      <c r="AI401" s="8">
        <f t="shared" si="202"/>
        <v>-0.85602036299247453</v>
      </c>
      <c r="AJ401" s="6" t="s">
        <v>5050</v>
      </c>
      <c r="AK401" s="6" t="str">
        <f t="shared" si="203"/>
        <v>=9.036*100000000</v>
      </c>
      <c r="AL401" s="1">
        <f>9.036*100000000</f>
        <v>903600000</v>
      </c>
      <c r="AM401" s="8">
        <f t="shared" si="204"/>
        <v>0.23882643268439813</v>
      </c>
      <c r="AN401" s="6" t="s">
        <v>5051</v>
      </c>
      <c r="AO401" s="6" t="str">
        <f t="shared" si="205"/>
        <v>=7.294*100000000</v>
      </c>
      <c r="AP401" s="1">
        <f>7.294*100000000</f>
        <v>729400000</v>
      </c>
      <c r="AQ401" s="8">
        <f t="shared" si="206"/>
        <v>0.62269187986651831</v>
      </c>
      <c r="AR401" s="6" t="s">
        <v>5052</v>
      </c>
      <c r="AS401" s="6" t="str">
        <f t="shared" si="207"/>
        <v>=4.495*100000000</v>
      </c>
      <c r="AT401" s="1">
        <f>4.495*100000000</f>
        <v>449500000</v>
      </c>
      <c r="AU401" s="8">
        <f t="shared" si="208"/>
        <v>1.4576271186440677</v>
      </c>
      <c r="AV401" s="6" t="s">
        <v>5053</v>
      </c>
      <c r="AW401" s="6" t="str">
        <f t="shared" si="209"/>
        <v>=1.829*100000000</v>
      </c>
      <c r="AX401" s="1">
        <f>1.829*100000000</f>
        <v>182900000</v>
      </c>
      <c r="AY401" s="10">
        <f t="shared" si="210"/>
        <v>-0.79135295459730781</v>
      </c>
      <c r="AZ401" s="6" t="s">
        <v>5054</v>
      </c>
      <c r="BA401" s="6" t="str">
        <f t="shared" si="211"/>
        <v>=8.766*100000000</v>
      </c>
      <c r="BB401" s="1">
        <f>8.766*100000000</f>
        <v>876600000</v>
      </c>
      <c r="BC401" s="8">
        <f t="shared" si="212"/>
        <v>0.16864418077589655</v>
      </c>
      <c r="BD401" s="6" t="s">
        <v>5055</v>
      </c>
      <c r="BE401" s="6" t="str">
        <f t="shared" si="213"/>
        <v>=7.501*100000000</v>
      </c>
      <c r="BF401" s="1">
        <f>7.501*100000000</f>
        <v>750100000</v>
      </c>
      <c r="BG401" s="8">
        <f t="shared" si="214"/>
        <v>0.48740828871703351</v>
      </c>
      <c r="BH401" s="6" t="s">
        <v>5056</v>
      </c>
      <c r="BI401" s="6" t="str">
        <f t="shared" si="215"/>
        <v>=5.043*100000000</v>
      </c>
      <c r="BJ401" s="1">
        <f>5.043*100000000</f>
        <v>504300000</v>
      </c>
      <c r="BK401" s="6" t="s">
        <v>5057</v>
      </c>
      <c r="BL401" s="1" t="str">
        <f t="shared" si="187"/>
        <v>=3.127*100000000</v>
      </c>
      <c r="BM401" s="16">
        <f t="shared" si="216"/>
        <v>0.61272785417332909</v>
      </c>
      <c r="BN401" s="1">
        <f>3.127*100000000</f>
        <v>312700000</v>
      </c>
    </row>
    <row r="402" spans="1:66">
      <c r="A402" s="17">
        <v>101</v>
      </c>
      <c r="B402">
        <v>600325</v>
      </c>
      <c r="C402" t="s">
        <v>31</v>
      </c>
      <c r="D402" s="6" t="s">
        <v>5058</v>
      </c>
      <c r="E402" s="7" t="str">
        <f t="shared" si="186"/>
        <v>=512.4*100000000</v>
      </c>
      <c r="F402" s="1">
        <f>512.4*100000000</f>
        <v>51240000000</v>
      </c>
      <c r="G402" s="8">
        <f t="shared" si="188"/>
        <v>0.78723404255319152</v>
      </c>
      <c r="H402" s="6" t="s">
        <v>5059</v>
      </c>
      <c r="I402" s="6" t="str">
        <f t="shared" si="189"/>
        <v>=286.7*100000000</v>
      </c>
      <c r="J402" s="1">
        <f>286.7*100000000</f>
        <v>28670000000</v>
      </c>
      <c r="K402" s="10">
        <f t="shared" si="190"/>
        <v>0.38035628310062591</v>
      </c>
      <c r="L402" s="6" t="s">
        <v>5060</v>
      </c>
      <c r="M402" s="6" t="str">
        <f t="shared" si="191"/>
        <v>=207.7*100000000</v>
      </c>
      <c r="N402" s="1">
        <f>207.7*100000000</f>
        <v>20770000000</v>
      </c>
      <c r="O402" s="8">
        <f t="shared" si="192"/>
        <v>2.2605965463108322</v>
      </c>
      <c r="P402" s="6" t="s">
        <v>5061</v>
      </c>
      <c r="Q402" s="6" t="str">
        <f t="shared" si="193"/>
        <v>=63.70*100000000</v>
      </c>
      <c r="R402" s="11">
        <f>63.7*100000000</f>
        <v>6370000000</v>
      </c>
      <c r="S402" s="8">
        <f t="shared" si="194"/>
        <v>-0.87512252499509902</v>
      </c>
      <c r="T402" s="6" t="s">
        <v>5062</v>
      </c>
      <c r="U402" s="6" t="str">
        <f t="shared" si="195"/>
        <v>=510.1*100000000</v>
      </c>
      <c r="V402" s="1">
        <f>510.1*100000000</f>
        <v>51010000000</v>
      </c>
      <c r="W402" s="8">
        <f t="shared" si="196"/>
        <v>0.77364394993045871</v>
      </c>
      <c r="X402" s="6" t="s">
        <v>5063</v>
      </c>
      <c r="Y402" s="6" t="str">
        <f t="shared" si="197"/>
        <v>=287.6*100000000</v>
      </c>
      <c r="Z402" s="1">
        <f>287.6*100000000</f>
        <v>28760000000.000004</v>
      </c>
      <c r="AA402" s="8">
        <f t="shared" si="198"/>
        <v>0.25754263226934865</v>
      </c>
      <c r="AB402" s="6" t="s">
        <v>5064</v>
      </c>
      <c r="AC402" s="6" t="str">
        <f t="shared" si="199"/>
        <v>=228.7*100000000</v>
      </c>
      <c r="AD402" s="1">
        <f>228.7*100000000</f>
        <v>22870000000</v>
      </c>
      <c r="AE402" s="8">
        <f t="shared" si="200"/>
        <v>1.5315474872703121</v>
      </c>
      <c r="AF402" s="6" t="s">
        <v>5065</v>
      </c>
      <c r="AG402" s="6" t="str">
        <f t="shared" si="201"/>
        <v>=90.34*100000000</v>
      </c>
      <c r="AH402" s="1">
        <f>90.34*100000000</f>
        <v>9034000000</v>
      </c>
      <c r="AI402" s="8">
        <f t="shared" si="202"/>
        <v>-0.72748114630467575</v>
      </c>
      <c r="AJ402" s="6" t="s">
        <v>5066</v>
      </c>
      <c r="AK402" s="6" t="str">
        <f t="shared" si="203"/>
        <v>=331.5*100000000</v>
      </c>
      <c r="AL402" s="1">
        <f>331.5*100000000</f>
        <v>33150000000</v>
      </c>
      <c r="AM402" s="8">
        <f t="shared" si="204"/>
        <v>0.70524691358024694</v>
      </c>
      <c r="AN402" s="6" t="s">
        <v>5067</v>
      </c>
      <c r="AO402" s="6" t="str">
        <f t="shared" si="205"/>
        <v>=194.4*100000000</v>
      </c>
      <c r="AP402" s="1">
        <f>194.4*100000000</f>
        <v>19440000000</v>
      </c>
      <c r="AQ402" s="8">
        <f t="shared" si="206"/>
        <v>0.36708860759493689</v>
      </c>
      <c r="AR402" s="6" t="s">
        <v>5068</v>
      </c>
      <c r="AS402" s="6" t="str">
        <f t="shared" si="207"/>
        <v>=142.2*100000000</v>
      </c>
      <c r="AT402" s="1">
        <f>142.2*100000000</f>
        <v>14219999999.999998</v>
      </c>
      <c r="AU402" s="8">
        <f t="shared" si="208"/>
        <v>1.1208053691275166</v>
      </c>
      <c r="AV402" s="6" t="s">
        <v>5069</v>
      </c>
      <c r="AW402" s="6" t="str">
        <f t="shared" si="209"/>
        <v>=67.05*100000000</v>
      </c>
      <c r="AX402" s="1">
        <f>67.05*100000000</f>
        <v>6705000000</v>
      </c>
      <c r="AY402" s="10">
        <f t="shared" si="210"/>
        <v>-0.71708860759493676</v>
      </c>
      <c r="AZ402" s="6" t="s">
        <v>5070</v>
      </c>
      <c r="BA402" s="6" t="str">
        <f t="shared" si="211"/>
        <v>=237.0*100000000</v>
      </c>
      <c r="BB402" s="1">
        <f>237*100000000</f>
        <v>23700000000</v>
      </c>
      <c r="BC402" s="8">
        <f t="shared" si="212"/>
        <v>0.80365296803652964</v>
      </c>
      <c r="BD402" s="6" t="s">
        <v>4694</v>
      </c>
      <c r="BE402" s="6" t="str">
        <f t="shared" si="213"/>
        <v>=131.4*100000000</v>
      </c>
      <c r="BF402" s="1">
        <f>131.4*100000000</f>
        <v>13140000000</v>
      </c>
      <c r="BG402" s="8">
        <f t="shared" si="214"/>
        <v>0.39342523860021211</v>
      </c>
      <c r="BH402" s="6" t="s">
        <v>5071</v>
      </c>
      <c r="BI402" s="6" t="str">
        <f t="shared" si="215"/>
        <v>=94.30*100000000</v>
      </c>
      <c r="BJ402" s="1">
        <f>94.3*100000000</f>
        <v>9430000000</v>
      </c>
      <c r="BK402" s="6" t="s">
        <v>4423</v>
      </c>
      <c r="BL402" s="1" t="str">
        <f t="shared" si="187"/>
        <v>=16.05*100000000</v>
      </c>
      <c r="BM402" s="16">
        <f t="shared" si="216"/>
        <v>4.8753894080996885</v>
      </c>
      <c r="BN402" s="1">
        <f>16.05*100000000</f>
        <v>1605000000</v>
      </c>
    </row>
    <row r="403" spans="1:66">
      <c r="A403" s="18"/>
      <c r="B403">
        <v>600325</v>
      </c>
      <c r="C403" t="s">
        <v>48</v>
      </c>
      <c r="D403" s="6" t="s">
        <v>5072</v>
      </c>
      <c r="E403" s="7" t="str">
        <f t="shared" si="186"/>
        <v>=69.62*100000000</v>
      </c>
      <c r="F403" s="1">
        <f>69.62*100000000</f>
        <v>6962000000</v>
      </c>
      <c r="G403" s="8">
        <f t="shared" si="188"/>
        <v>0.76566066446867864</v>
      </c>
      <c r="H403" s="6" t="s">
        <v>5073</v>
      </c>
      <c r="I403" s="6" t="str">
        <f t="shared" si="189"/>
        <v>=39.43*100000000</v>
      </c>
      <c r="J403" s="1">
        <f>39.43*100000000</f>
        <v>3943000000</v>
      </c>
      <c r="K403" s="10">
        <f t="shared" si="190"/>
        <v>0.24032714690154136</v>
      </c>
      <c r="L403" s="6" t="s">
        <v>5074</v>
      </c>
      <c r="M403" s="6" t="str">
        <f t="shared" si="191"/>
        <v>=31.79*100000000</v>
      </c>
      <c r="N403" s="1">
        <f>31.79*100000000</f>
        <v>3179000000</v>
      </c>
      <c r="O403" s="8">
        <f t="shared" si="192"/>
        <v>2.1663346613545817</v>
      </c>
      <c r="P403" s="6" t="s">
        <v>602</v>
      </c>
      <c r="Q403" s="6" t="str">
        <f t="shared" si="193"/>
        <v>=10.04*100000000</v>
      </c>
      <c r="R403" s="11">
        <f>10.04*100000000</f>
        <v>1003999999.9999999</v>
      </c>
      <c r="S403" s="8">
        <f t="shared" si="194"/>
        <v>-0.84208870714061024</v>
      </c>
      <c r="T403" s="6" t="s">
        <v>5075</v>
      </c>
      <c r="U403" s="6" t="str">
        <f t="shared" si="195"/>
        <v>=63.58*100000000</v>
      </c>
      <c r="V403" s="1">
        <f>63.58*100000000</f>
        <v>6358000000</v>
      </c>
      <c r="W403" s="8">
        <f t="shared" si="196"/>
        <v>0.93782383419689119</v>
      </c>
      <c r="X403" s="6" t="s">
        <v>5076</v>
      </c>
      <c r="Y403" s="6" t="str">
        <f t="shared" si="197"/>
        <v>=32.81*100000000</v>
      </c>
      <c r="Z403" s="1">
        <f>32.81*100000000</f>
        <v>3281000000</v>
      </c>
      <c r="AA403" s="8">
        <f t="shared" si="198"/>
        <v>0.17136736879685827</v>
      </c>
      <c r="AB403" s="6" t="s">
        <v>5077</v>
      </c>
      <c r="AC403" s="6" t="str">
        <f t="shared" si="199"/>
        <v>=28.01*100000000</v>
      </c>
      <c r="AD403" s="1">
        <f>28.01*100000000</f>
        <v>2801000000</v>
      </c>
      <c r="AE403" s="8">
        <f t="shared" si="200"/>
        <v>1.1934220830070477</v>
      </c>
      <c r="AF403" s="6" t="s">
        <v>3682</v>
      </c>
      <c r="AG403" s="6" t="str">
        <f t="shared" si="201"/>
        <v>=12.77*100000000</v>
      </c>
      <c r="AH403" s="1">
        <f>12.77*100000000</f>
        <v>1277000000</v>
      </c>
      <c r="AI403" s="8">
        <f t="shared" si="202"/>
        <v>-0.70684113865932052</v>
      </c>
      <c r="AJ403" s="6" t="s">
        <v>5078</v>
      </c>
      <c r="AK403" s="6" t="str">
        <f t="shared" si="203"/>
        <v>=43.56*100000000</v>
      </c>
      <c r="AL403" s="1">
        <f>43.56*100000000</f>
        <v>4356000000</v>
      </c>
      <c r="AM403" s="8">
        <f t="shared" si="204"/>
        <v>0.49331504970860474</v>
      </c>
      <c r="AN403" s="6" t="s">
        <v>5079</v>
      </c>
      <c r="AO403" s="6" t="str">
        <f t="shared" si="205"/>
        <v>=29.17*100000000</v>
      </c>
      <c r="AP403" s="1">
        <f>29.17*100000000</f>
        <v>2917000000</v>
      </c>
      <c r="AQ403" s="8">
        <f t="shared" si="206"/>
        <v>0.33501144164759727</v>
      </c>
      <c r="AR403" s="6" t="s">
        <v>5080</v>
      </c>
      <c r="AS403" s="6" t="str">
        <f t="shared" si="207"/>
        <v>=21.85*100000000</v>
      </c>
      <c r="AT403" s="1">
        <f>21.85*100000000</f>
        <v>2185000000</v>
      </c>
      <c r="AU403" s="8">
        <f t="shared" si="208"/>
        <v>1.1762948207171315</v>
      </c>
      <c r="AV403" s="6" t="s">
        <v>602</v>
      </c>
      <c r="AW403" s="6" t="str">
        <f t="shared" si="209"/>
        <v>=10.04*100000000</v>
      </c>
      <c r="AX403" s="1">
        <f>10.04*100000000</f>
        <v>1003999999.9999999</v>
      </c>
      <c r="AY403" s="10">
        <f t="shared" si="210"/>
        <v>-0.67581530513400068</v>
      </c>
      <c r="AZ403" s="6" t="s">
        <v>5081</v>
      </c>
      <c r="BA403" s="6" t="str">
        <f t="shared" si="211"/>
        <v>=30.97*100000000</v>
      </c>
      <c r="BB403" s="1">
        <f>30.97*100000000</f>
        <v>3097000000</v>
      </c>
      <c r="BC403" s="8">
        <f t="shared" si="212"/>
        <v>0.50339805825242701</v>
      </c>
      <c r="BD403" s="6" t="s">
        <v>5082</v>
      </c>
      <c r="BE403" s="6" t="str">
        <f t="shared" si="213"/>
        <v>=20.60*100000000</v>
      </c>
      <c r="BF403" s="1">
        <f>20.6*100000000</f>
        <v>2060000000.0000002</v>
      </c>
      <c r="BG403" s="8">
        <f t="shared" si="214"/>
        <v>0.21749408983451535</v>
      </c>
      <c r="BH403" s="6" t="s">
        <v>5083</v>
      </c>
      <c r="BI403" s="6" t="str">
        <f t="shared" si="215"/>
        <v>=16.92*100000000</v>
      </c>
      <c r="BJ403" s="1">
        <f>16.92*100000000</f>
        <v>1692000000.0000002</v>
      </c>
      <c r="BK403" s="6" t="s">
        <v>5084</v>
      </c>
      <c r="BL403" s="1" t="str">
        <f t="shared" si="187"/>
        <v>=6.056*100000000</v>
      </c>
      <c r="BM403" s="16">
        <f t="shared" si="216"/>
        <v>1.7939233817701457</v>
      </c>
      <c r="BN403" s="1">
        <f>6.056*100000000</f>
        <v>605600000</v>
      </c>
    </row>
    <row r="404" spans="1:66">
      <c r="A404" s="18"/>
      <c r="B404">
        <v>600325</v>
      </c>
      <c r="C404" t="s">
        <v>58</v>
      </c>
      <c r="D404" s="6" t="s">
        <v>5085</v>
      </c>
      <c r="E404" s="7" t="str">
        <f t="shared" si="186"/>
        <v>=68.29*100000000</v>
      </c>
      <c r="F404" s="1">
        <f>68.29*100000000</f>
        <v>6829000000.000001</v>
      </c>
      <c r="G404" s="8">
        <f t="shared" si="188"/>
        <v>0.77977586656241904</v>
      </c>
      <c r="H404" s="6" t="s">
        <v>5086</v>
      </c>
      <c r="I404" s="6" t="str">
        <f t="shared" si="189"/>
        <v>=38.37*100000000</v>
      </c>
      <c r="J404" s="1">
        <f>38.37*100000000</f>
        <v>3836999999.9999995</v>
      </c>
      <c r="K404" s="10">
        <f t="shared" si="190"/>
        <v>0.20850393700787387</v>
      </c>
      <c r="L404" s="6" t="s">
        <v>5087</v>
      </c>
      <c r="M404" s="6" t="str">
        <f t="shared" si="191"/>
        <v>=31.75*100000000</v>
      </c>
      <c r="N404" s="1">
        <f>31.75*100000000</f>
        <v>3175000000</v>
      </c>
      <c r="O404" s="8">
        <f t="shared" si="192"/>
        <v>2.1686626746506987</v>
      </c>
      <c r="P404" s="6" t="s">
        <v>5088</v>
      </c>
      <c r="Q404" s="6" t="str">
        <f t="shared" si="193"/>
        <v>=10.02*100000000</v>
      </c>
      <c r="R404" s="11">
        <f>10.02*100000000</f>
        <v>1002000000</v>
      </c>
      <c r="S404" s="8">
        <f t="shared" si="194"/>
        <v>-0.83975691667999364</v>
      </c>
      <c r="T404" s="6" t="s">
        <v>2022</v>
      </c>
      <c r="U404" s="6" t="str">
        <f t="shared" si="195"/>
        <v>=62.53*100000000</v>
      </c>
      <c r="V404" s="1">
        <f>62.53*100000000</f>
        <v>6253000000</v>
      </c>
      <c r="W404" s="8">
        <f t="shared" si="196"/>
        <v>0.94494556765163296</v>
      </c>
      <c r="X404" s="6" t="s">
        <v>5089</v>
      </c>
      <c r="Y404" s="6" t="str">
        <f t="shared" si="197"/>
        <v>=32.15*100000000</v>
      </c>
      <c r="Z404" s="1">
        <f>32.15*100000000</f>
        <v>3215000000</v>
      </c>
      <c r="AA404" s="8">
        <f t="shared" si="198"/>
        <v>0.17292958774170011</v>
      </c>
      <c r="AB404" s="6" t="s">
        <v>5090</v>
      </c>
      <c r="AC404" s="6" t="str">
        <f t="shared" si="199"/>
        <v>=27.41*100000000</v>
      </c>
      <c r="AD404" s="1">
        <f>27.41*100000000</f>
        <v>2741000000</v>
      </c>
      <c r="AE404" s="8">
        <f t="shared" si="200"/>
        <v>1.2122679580306699</v>
      </c>
      <c r="AF404" s="6" t="s">
        <v>903</v>
      </c>
      <c r="AG404" s="6" t="str">
        <f t="shared" si="201"/>
        <v>=12.39*100000000</v>
      </c>
      <c r="AH404" s="1">
        <f>12.39*100000000</f>
        <v>1239000000</v>
      </c>
      <c r="AI404" s="8">
        <f t="shared" si="202"/>
        <v>-0.71802457897132455</v>
      </c>
      <c r="AJ404" s="6" t="s">
        <v>5091</v>
      </c>
      <c r="AK404" s="6" t="str">
        <f t="shared" si="203"/>
        <v>=43.94*100000000</v>
      </c>
      <c r="AL404" s="1">
        <f>43.94*100000000</f>
        <v>4394000000</v>
      </c>
      <c r="AM404" s="8">
        <f t="shared" si="204"/>
        <v>0.48245614035087719</v>
      </c>
      <c r="AN404" s="6" t="s">
        <v>5092</v>
      </c>
      <c r="AO404" s="6" t="str">
        <f t="shared" si="205"/>
        <v>=29.64*100000000</v>
      </c>
      <c r="AP404" s="1">
        <f>29.64*100000000</f>
        <v>2964000000</v>
      </c>
      <c r="AQ404" s="8">
        <f t="shared" si="206"/>
        <v>0.33273381294964027</v>
      </c>
      <c r="AR404" s="6" t="s">
        <v>5093</v>
      </c>
      <c r="AS404" s="6" t="str">
        <f t="shared" si="207"/>
        <v>=22.24*100000000</v>
      </c>
      <c r="AT404" s="1">
        <f>22.24*100000000</f>
        <v>2224000000</v>
      </c>
      <c r="AU404" s="8">
        <f t="shared" si="208"/>
        <v>1.188976377952756</v>
      </c>
      <c r="AV404" s="6" t="s">
        <v>603</v>
      </c>
      <c r="AW404" s="6" t="str">
        <f t="shared" si="209"/>
        <v>=10.16*100000000</v>
      </c>
      <c r="AX404" s="1">
        <f>10.16*100000000</f>
        <v>1016000000</v>
      </c>
      <c r="AY404" s="10">
        <f t="shared" si="210"/>
        <v>-0.67066450567260938</v>
      </c>
      <c r="AZ404" s="6" t="s">
        <v>5094</v>
      </c>
      <c r="BA404" s="6" t="str">
        <f t="shared" si="211"/>
        <v>=30.85*100000000</v>
      </c>
      <c r="BB404" s="1">
        <f>30.85*100000000</f>
        <v>3085000000</v>
      </c>
      <c r="BC404" s="8">
        <f t="shared" si="212"/>
        <v>0.50341130604288498</v>
      </c>
      <c r="BD404" s="6" t="s">
        <v>5095</v>
      </c>
      <c r="BE404" s="6" t="str">
        <f t="shared" si="213"/>
        <v>=20.52*100000000</v>
      </c>
      <c r="BF404" s="1">
        <f>20.52*100000000</f>
        <v>2052000000</v>
      </c>
      <c r="BG404" s="8">
        <f t="shared" si="214"/>
        <v>0.21420118343195282</v>
      </c>
      <c r="BH404" s="6" t="s">
        <v>2459</v>
      </c>
      <c r="BI404" s="6" t="str">
        <f t="shared" si="215"/>
        <v>=16.90*100000000</v>
      </c>
      <c r="BJ404" s="1">
        <f>16.9*100000000</f>
        <v>1689999999.9999998</v>
      </c>
      <c r="BK404" s="6" t="s">
        <v>5096</v>
      </c>
      <c r="BL404" s="1" t="str">
        <f t="shared" si="187"/>
        <v>=6.030*100000000</v>
      </c>
      <c r="BM404" s="16">
        <f t="shared" si="216"/>
        <v>1.8026533996683247</v>
      </c>
      <c r="BN404" s="1">
        <f>6.03*100000000</f>
        <v>603000000</v>
      </c>
    </row>
    <row r="405" spans="1:66">
      <c r="A405" s="19"/>
      <c r="B405">
        <v>600325</v>
      </c>
      <c r="C405" t="s">
        <v>68</v>
      </c>
      <c r="D405" s="6" t="s">
        <v>5097</v>
      </c>
      <c r="E405" s="7" t="str">
        <f t="shared" si="186"/>
        <v>=46.77*100000000</v>
      </c>
      <c r="F405" s="1">
        <f>46.77*100000000</f>
        <v>4677000000</v>
      </c>
      <c r="G405" s="8">
        <f t="shared" si="188"/>
        <v>0.65792272243885153</v>
      </c>
      <c r="H405" s="6" t="s">
        <v>4569</v>
      </c>
      <c r="I405" s="6" t="str">
        <f t="shared" si="189"/>
        <v>=28.21*100000000</v>
      </c>
      <c r="J405" s="1">
        <f>28.21*100000000</f>
        <v>2821000000</v>
      </c>
      <c r="K405" s="10">
        <f t="shared" si="190"/>
        <v>0.19230769230769232</v>
      </c>
      <c r="L405" s="6" t="s">
        <v>5098</v>
      </c>
      <c r="M405" s="6" t="str">
        <f t="shared" si="191"/>
        <v>=23.66*100000000</v>
      </c>
      <c r="N405" s="1">
        <f>23.66*100000000</f>
        <v>2366000000</v>
      </c>
      <c r="O405" s="8">
        <f t="shared" si="192"/>
        <v>2.2251908396946565</v>
      </c>
      <c r="P405" s="6" t="s">
        <v>5099</v>
      </c>
      <c r="Q405" s="6" t="str">
        <f t="shared" si="193"/>
        <v>=7.336*100000000</v>
      </c>
      <c r="R405" s="11">
        <f>7.336*100000000</f>
        <v>733600000</v>
      </c>
      <c r="S405" s="8">
        <f t="shared" si="194"/>
        <v>-0.83912280701754383</v>
      </c>
      <c r="T405" s="6" t="s">
        <v>5100</v>
      </c>
      <c r="U405" s="6" t="str">
        <f t="shared" si="195"/>
        <v>=45.60*100000000</v>
      </c>
      <c r="V405" s="1">
        <f>45.6*100000000</f>
        <v>4560000000</v>
      </c>
      <c r="W405" s="8">
        <f t="shared" si="196"/>
        <v>0.80880602935343116</v>
      </c>
      <c r="X405" s="6" t="s">
        <v>5101</v>
      </c>
      <c r="Y405" s="6" t="str">
        <f t="shared" si="197"/>
        <v>=25.21*100000000</v>
      </c>
      <c r="Z405" s="1">
        <f>25.21*100000000</f>
        <v>2521000000</v>
      </c>
      <c r="AA405" s="8">
        <f t="shared" si="198"/>
        <v>0.17803738317757023</v>
      </c>
      <c r="AB405" s="6" t="s">
        <v>2426</v>
      </c>
      <c r="AC405" s="6" t="str">
        <f t="shared" si="199"/>
        <v>=21.40*100000000</v>
      </c>
      <c r="AD405" s="1">
        <f>21.4*100000000</f>
        <v>2139999999.9999998</v>
      </c>
      <c r="AE405" s="8">
        <f t="shared" si="200"/>
        <v>1.3651635720601236</v>
      </c>
      <c r="AF405" s="6" t="s">
        <v>5102</v>
      </c>
      <c r="AG405" s="6" t="str">
        <f t="shared" si="201"/>
        <v>=9.048*100000000</v>
      </c>
      <c r="AH405" s="1">
        <f>9.048*100000000</f>
        <v>904800000</v>
      </c>
      <c r="AI405" s="8">
        <f t="shared" si="202"/>
        <v>-0.72697646348823175</v>
      </c>
      <c r="AJ405" s="6" t="s">
        <v>5103</v>
      </c>
      <c r="AK405" s="6" t="str">
        <f t="shared" si="203"/>
        <v>=33.14*100000000</v>
      </c>
      <c r="AL405" s="1">
        <f>33.14*100000000</f>
        <v>3314000000</v>
      </c>
      <c r="AM405" s="8">
        <f t="shared" si="204"/>
        <v>0.52227836472209466</v>
      </c>
      <c r="AN405" s="6" t="s">
        <v>5104</v>
      </c>
      <c r="AO405" s="6" t="str">
        <f t="shared" si="205"/>
        <v>=21.77*100000000</v>
      </c>
      <c r="AP405" s="1">
        <f>21.77*100000000</f>
        <v>2177000000</v>
      </c>
      <c r="AQ405" s="8">
        <f t="shared" si="206"/>
        <v>0.31540785498489426</v>
      </c>
      <c r="AR405" s="6" t="s">
        <v>4919</v>
      </c>
      <c r="AS405" s="6" t="str">
        <f t="shared" si="207"/>
        <v>=16.55*100000000</v>
      </c>
      <c r="AT405" s="1">
        <f>16.55*100000000</f>
        <v>1655000000</v>
      </c>
      <c r="AU405" s="8">
        <f t="shared" si="208"/>
        <v>1.2037283621837549</v>
      </c>
      <c r="AV405" s="6" t="s">
        <v>5105</v>
      </c>
      <c r="AW405" s="6" t="str">
        <f t="shared" si="209"/>
        <v>=7.510*100000000</v>
      </c>
      <c r="AX405" s="1">
        <f>7.51*100000000</f>
        <v>751000000</v>
      </c>
      <c r="AY405" s="10">
        <f t="shared" si="210"/>
        <v>-0.68734388009991676</v>
      </c>
      <c r="AZ405" s="6" t="s">
        <v>5106</v>
      </c>
      <c r="BA405" s="6" t="str">
        <f t="shared" si="211"/>
        <v>=24.02*100000000</v>
      </c>
      <c r="BB405" s="1">
        <f>24.02*100000000</f>
        <v>2402000000</v>
      </c>
      <c r="BC405" s="8">
        <f t="shared" si="212"/>
        <v>0.52025316455696202</v>
      </c>
      <c r="BD405" s="6" t="s">
        <v>614</v>
      </c>
      <c r="BE405" s="6" t="str">
        <f t="shared" si="213"/>
        <v>=15.80*100000000</v>
      </c>
      <c r="BF405" s="1">
        <f>15.8*100000000</f>
        <v>1580000000</v>
      </c>
      <c r="BG405" s="8">
        <f t="shared" si="214"/>
        <v>0.19245283018867926</v>
      </c>
      <c r="BH405" s="6" t="s">
        <v>5107</v>
      </c>
      <c r="BI405" s="6" t="str">
        <f t="shared" si="215"/>
        <v>=13.25*100000000</v>
      </c>
      <c r="BJ405" s="1">
        <f>13.25*100000000</f>
        <v>1325000000</v>
      </c>
      <c r="BK405" s="6" t="s">
        <v>4378</v>
      </c>
      <c r="BL405" s="1" t="str">
        <f t="shared" si="187"/>
        <v>=5.661*100000000</v>
      </c>
      <c r="BM405" s="16">
        <f t="shared" si="216"/>
        <v>1.3405758699876347</v>
      </c>
      <c r="BN405" s="1">
        <f>5.661*100000000</f>
        <v>566100000</v>
      </c>
    </row>
    <row r="406" spans="1:66">
      <c r="A406" s="17">
        <v>102</v>
      </c>
      <c r="B406">
        <v>600329</v>
      </c>
      <c r="C406" t="s">
        <v>31</v>
      </c>
      <c r="D406" s="6" t="s">
        <v>5108</v>
      </c>
      <c r="E406" s="7" t="str">
        <f t="shared" si="186"/>
        <v>=69.08*100000000</v>
      </c>
      <c r="F406" s="1">
        <f>69.08*100000000</f>
        <v>6908000000</v>
      </c>
      <c r="G406" s="8">
        <f t="shared" si="188"/>
        <v>0.29073243647234681</v>
      </c>
      <c r="H406" s="6" t="s">
        <v>5109</v>
      </c>
      <c r="I406" s="6" t="str">
        <f t="shared" si="189"/>
        <v>=53.52*100000000</v>
      </c>
      <c r="J406" s="1">
        <f>53.52*100000000</f>
        <v>5352000000</v>
      </c>
      <c r="K406" s="10">
        <f t="shared" si="190"/>
        <v>0.47032967032967032</v>
      </c>
      <c r="L406" s="6" t="s">
        <v>5110</v>
      </c>
      <c r="M406" s="6" t="str">
        <f t="shared" si="191"/>
        <v>=36.40*100000000</v>
      </c>
      <c r="N406" s="1">
        <f>36.4*100000000</f>
        <v>3640000000</v>
      </c>
      <c r="O406" s="8">
        <f t="shared" si="192"/>
        <v>0.9923371647509579</v>
      </c>
      <c r="P406" s="6" t="s">
        <v>5111</v>
      </c>
      <c r="Q406" s="6" t="str">
        <f t="shared" si="193"/>
        <v>=18.27*100000000</v>
      </c>
      <c r="R406" s="11">
        <f>18.27*100000000</f>
        <v>1827000000</v>
      </c>
      <c r="S406" s="8">
        <f t="shared" si="194"/>
        <v>-0.72334948516050879</v>
      </c>
      <c r="T406" s="6" t="s">
        <v>5112</v>
      </c>
      <c r="U406" s="6" t="str">
        <f t="shared" si="195"/>
        <v>=66.04*100000000</v>
      </c>
      <c r="V406" s="1">
        <f>66.04*100000000</f>
        <v>6604000000.000001</v>
      </c>
      <c r="W406" s="8">
        <f t="shared" si="196"/>
        <v>0.33225741375832174</v>
      </c>
      <c r="X406" s="6" t="s">
        <v>5113</v>
      </c>
      <c r="Y406" s="6" t="str">
        <f t="shared" si="197"/>
        <v>=49.57*100000000</v>
      </c>
      <c r="Z406" s="1">
        <f>49.57*100000000</f>
        <v>4957000000</v>
      </c>
      <c r="AA406" s="8">
        <f t="shared" si="198"/>
        <v>0.50668693009118537</v>
      </c>
      <c r="AB406" s="6" t="s">
        <v>5114</v>
      </c>
      <c r="AC406" s="6" t="str">
        <f t="shared" si="199"/>
        <v>=32.90*100000000</v>
      </c>
      <c r="AD406" s="1">
        <f>32.9*100000000</f>
        <v>3290000000</v>
      </c>
      <c r="AE406" s="8">
        <f t="shared" si="200"/>
        <v>0.9867149758454109</v>
      </c>
      <c r="AF406" s="6" t="s">
        <v>5115</v>
      </c>
      <c r="AG406" s="6" t="str">
        <f t="shared" si="201"/>
        <v>=16.56*100000000</v>
      </c>
      <c r="AH406" s="1">
        <f>16.56*100000000</f>
        <v>1655999999.9999998</v>
      </c>
      <c r="AI406" s="8">
        <f t="shared" si="202"/>
        <v>-0.76322562196168142</v>
      </c>
      <c r="AJ406" s="6" t="s">
        <v>5116</v>
      </c>
      <c r="AK406" s="6" t="str">
        <f t="shared" si="203"/>
        <v>=69.94*100000000</v>
      </c>
      <c r="AL406" s="1">
        <f>69.94*100000000</f>
        <v>6994000000</v>
      </c>
      <c r="AM406" s="8">
        <f t="shared" si="204"/>
        <v>0.3509754684180027</v>
      </c>
      <c r="AN406" s="6" t="s">
        <v>5117</v>
      </c>
      <c r="AO406" s="6" t="str">
        <f t="shared" si="205"/>
        <v>=51.77*100000000</v>
      </c>
      <c r="AP406" s="1">
        <f>51.77*100000000</f>
        <v>5177000000</v>
      </c>
      <c r="AQ406" s="8">
        <f t="shared" si="206"/>
        <v>0.46491228070175417</v>
      </c>
      <c r="AR406" s="6" t="s">
        <v>5118</v>
      </c>
      <c r="AS406" s="6" t="str">
        <f t="shared" si="207"/>
        <v>=35.34*100000000</v>
      </c>
      <c r="AT406" s="1">
        <f>35.34*100000000</f>
        <v>3534000000.0000005</v>
      </c>
      <c r="AU406" s="8">
        <f t="shared" si="208"/>
        <v>1.0159726183685114</v>
      </c>
      <c r="AV406" s="6" t="s">
        <v>5119</v>
      </c>
      <c r="AW406" s="6" t="str">
        <f t="shared" si="209"/>
        <v>=17.53*100000000</v>
      </c>
      <c r="AX406" s="1">
        <f>17.53*100000000</f>
        <v>1753000000</v>
      </c>
      <c r="AY406" s="10">
        <f t="shared" si="210"/>
        <v>-0.72432772448498195</v>
      </c>
      <c r="AZ406" s="6" t="s">
        <v>5120</v>
      </c>
      <c r="BA406" s="6" t="str">
        <f t="shared" si="211"/>
        <v>=63.59*100000000</v>
      </c>
      <c r="BB406" s="1">
        <f>63.59*100000000</f>
        <v>6359000000</v>
      </c>
      <c r="BC406" s="8">
        <f t="shared" si="212"/>
        <v>0.35615269780336961</v>
      </c>
      <c r="BD406" s="6" t="s">
        <v>5121</v>
      </c>
      <c r="BE406" s="6" t="str">
        <f t="shared" si="213"/>
        <v>=46.89*100000000</v>
      </c>
      <c r="BF406" s="1">
        <f>46.89*100000000</f>
        <v>4689000000</v>
      </c>
      <c r="BG406" s="8">
        <f t="shared" si="214"/>
        <v>0.5067480719794345</v>
      </c>
      <c r="BH406" s="6" t="s">
        <v>5122</v>
      </c>
      <c r="BI406" s="6" t="str">
        <f t="shared" si="215"/>
        <v>=31.12*100000000</v>
      </c>
      <c r="BJ406" s="1">
        <f>31.12*100000000</f>
        <v>3112000000</v>
      </c>
      <c r="BK406" s="6" t="s">
        <v>4541</v>
      </c>
      <c r="BL406" s="1" t="str">
        <f t="shared" si="187"/>
        <v>=16.15*100000000</v>
      </c>
      <c r="BM406" s="16">
        <f t="shared" si="216"/>
        <v>0.92693498452012413</v>
      </c>
      <c r="BN406" s="1">
        <f>16.15*100000000</f>
        <v>1614999999.9999998</v>
      </c>
    </row>
    <row r="407" spans="1:66">
      <c r="A407" s="18"/>
      <c r="B407">
        <v>600329</v>
      </c>
      <c r="C407" t="s">
        <v>48</v>
      </c>
      <c r="D407" s="6" t="s">
        <v>5123</v>
      </c>
      <c r="E407" s="7" t="str">
        <f t="shared" si="186"/>
        <v>=8.667*100000000</v>
      </c>
      <c r="F407" s="1">
        <f>8.667*100000000</f>
        <v>866700000</v>
      </c>
      <c r="G407" s="8">
        <f t="shared" si="188"/>
        <v>0.14627694749371775</v>
      </c>
      <c r="H407" s="6" t="s">
        <v>5124</v>
      </c>
      <c r="I407" s="6" t="str">
        <f t="shared" si="189"/>
        <v>=7.561*100000000</v>
      </c>
      <c r="J407" s="1">
        <f>7.561*100000000</f>
        <v>756100000</v>
      </c>
      <c r="K407" s="10">
        <f t="shared" si="190"/>
        <v>0.41300691459540273</v>
      </c>
      <c r="L407" s="6" t="s">
        <v>1579</v>
      </c>
      <c r="M407" s="6" t="str">
        <f t="shared" si="191"/>
        <v>=5.351*100000000</v>
      </c>
      <c r="N407" s="1">
        <f>5.351*100000000</f>
        <v>535100000</v>
      </c>
      <c r="O407" s="8">
        <f t="shared" si="192"/>
        <v>1.1672742000810044</v>
      </c>
      <c r="P407" s="6" t="s">
        <v>5125</v>
      </c>
      <c r="Q407" s="6" t="str">
        <f t="shared" si="193"/>
        <v>=2.469*100000000</v>
      </c>
      <c r="R407" s="11">
        <f>2.469*100000000</f>
        <v>246900000</v>
      </c>
      <c r="S407" s="8">
        <f t="shared" si="194"/>
        <v>-0.68555781966377993</v>
      </c>
      <c r="T407" s="6" t="s">
        <v>5126</v>
      </c>
      <c r="U407" s="6" t="str">
        <f t="shared" si="195"/>
        <v>=7.852*100000000</v>
      </c>
      <c r="V407" s="1">
        <f>7.852*100000000</f>
        <v>785200000</v>
      </c>
      <c r="W407" s="8">
        <f t="shared" si="196"/>
        <v>0.35123042505592839</v>
      </c>
      <c r="X407" s="6" t="s">
        <v>5127</v>
      </c>
      <c r="Y407" s="6" t="str">
        <f t="shared" si="197"/>
        <v>=5.811*100000000</v>
      </c>
      <c r="Z407" s="1">
        <f>5.811*100000000</f>
        <v>581100000</v>
      </c>
      <c r="AA407" s="8">
        <f t="shared" si="198"/>
        <v>0.45895053979412503</v>
      </c>
      <c r="AB407" s="6" t="s">
        <v>5128</v>
      </c>
      <c r="AC407" s="6" t="str">
        <f t="shared" si="199"/>
        <v>=3.983*100000000</v>
      </c>
      <c r="AD407" s="1">
        <f>3.983*100000000</f>
        <v>398300000</v>
      </c>
      <c r="AE407" s="8">
        <f t="shared" si="200"/>
        <v>1.0457113507960965</v>
      </c>
      <c r="AF407" s="6" t="s">
        <v>5129</v>
      </c>
      <c r="AG407" s="6" t="str">
        <f t="shared" si="201"/>
        <v>=1.947*100000000</v>
      </c>
      <c r="AH407" s="1">
        <f>1.947*100000000</f>
        <v>194700000</v>
      </c>
      <c r="AI407" s="8">
        <f t="shared" si="202"/>
        <v>-0.74347826086956526</v>
      </c>
      <c r="AJ407" s="6" t="s">
        <v>5130</v>
      </c>
      <c r="AK407" s="6" t="str">
        <f t="shared" si="203"/>
        <v>=7.590*100000000</v>
      </c>
      <c r="AL407" s="1">
        <f>7.59*100000000</f>
        <v>759000000</v>
      </c>
      <c r="AM407" s="8">
        <f t="shared" si="204"/>
        <v>0.36732120338677715</v>
      </c>
      <c r="AN407" s="6" t="s">
        <v>5131</v>
      </c>
      <c r="AO407" s="6" t="str">
        <f t="shared" si="205"/>
        <v>=5.551*100000000</v>
      </c>
      <c r="AP407" s="1">
        <f>5.551*100000000</f>
        <v>555100000</v>
      </c>
      <c r="AQ407" s="8">
        <f t="shared" si="206"/>
        <v>0.40176767676767677</v>
      </c>
      <c r="AR407" s="6" t="s">
        <v>5132</v>
      </c>
      <c r="AS407" s="6" t="str">
        <f t="shared" si="207"/>
        <v>=3.960*100000000</v>
      </c>
      <c r="AT407" s="1">
        <f>3.96*100000000</f>
        <v>396000000</v>
      </c>
      <c r="AU407" s="8">
        <f t="shared" si="208"/>
        <v>0.81985294117647034</v>
      </c>
      <c r="AV407" s="6" t="s">
        <v>5133</v>
      </c>
      <c r="AW407" s="6" t="str">
        <f t="shared" si="209"/>
        <v>=2.176*100000000</v>
      </c>
      <c r="AX407" s="1">
        <f>2.176*100000000</f>
        <v>217600000.00000003</v>
      </c>
      <c r="AY407" s="10">
        <f t="shared" si="210"/>
        <v>-0.66079501169134836</v>
      </c>
      <c r="AZ407" s="6" t="s">
        <v>5134</v>
      </c>
      <c r="BA407" s="6" t="str">
        <f t="shared" si="211"/>
        <v>=6.415*100000000</v>
      </c>
      <c r="BB407" s="1">
        <f>6.415*100000000</f>
        <v>641500000</v>
      </c>
      <c r="BC407" s="8">
        <f t="shared" si="212"/>
        <v>0.38075764098148945</v>
      </c>
      <c r="BD407" s="6" t="s">
        <v>5135</v>
      </c>
      <c r="BE407" s="6" t="str">
        <f t="shared" si="213"/>
        <v>=4.646*100000000</v>
      </c>
      <c r="BF407" s="1">
        <f>4.646*100000000</f>
        <v>464600000</v>
      </c>
      <c r="BG407" s="8">
        <f t="shared" si="214"/>
        <v>0.31205874046879412</v>
      </c>
      <c r="BH407" s="6" t="s">
        <v>5136</v>
      </c>
      <c r="BI407" s="6" t="str">
        <f t="shared" si="215"/>
        <v>=3.541*100000000</v>
      </c>
      <c r="BJ407" s="1">
        <f>3.541*100000000</f>
        <v>354100000</v>
      </c>
      <c r="BK407" s="6" t="s">
        <v>5137</v>
      </c>
      <c r="BL407" s="1" t="str">
        <f t="shared" si="187"/>
        <v>=1.984*100000000</v>
      </c>
      <c r="BM407" s="16">
        <f t="shared" si="216"/>
        <v>0.78477822580645162</v>
      </c>
      <c r="BN407" s="1">
        <f>1.984*100000000</f>
        <v>198400000</v>
      </c>
    </row>
    <row r="408" spans="1:66">
      <c r="A408" s="18"/>
      <c r="B408">
        <v>600329</v>
      </c>
      <c r="C408" t="s">
        <v>58</v>
      </c>
      <c r="D408" s="6" t="s">
        <v>5138</v>
      </c>
      <c r="E408" s="7" t="str">
        <f t="shared" si="186"/>
        <v>=8.728*100000000</v>
      </c>
      <c r="F408" s="1">
        <f>8.728*100000000</f>
        <v>872800000</v>
      </c>
      <c r="G408" s="8">
        <f t="shared" si="188"/>
        <v>0.14255792643016102</v>
      </c>
      <c r="H408" s="6" t="s">
        <v>5139</v>
      </c>
      <c r="I408" s="6" t="str">
        <f t="shared" si="189"/>
        <v>=7.639*100000000</v>
      </c>
      <c r="J408" s="1">
        <f>7.639*100000000</f>
        <v>763900000</v>
      </c>
      <c r="K408" s="10">
        <f t="shared" si="190"/>
        <v>0.41567828020756115</v>
      </c>
      <c r="L408" s="6" t="s">
        <v>5140</v>
      </c>
      <c r="M408" s="6" t="str">
        <f t="shared" si="191"/>
        <v>=5.396*100000000</v>
      </c>
      <c r="N408" s="1">
        <f>5.396*100000000</f>
        <v>539600000</v>
      </c>
      <c r="O408" s="8">
        <f t="shared" si="192"/>
        <v>1.1714285714285715</v>
      </c>
      <c r="P408" s="6" t="s">
        <v>5141</v>
      </c>
      <c r="Q408" s="6" t="str">
        <f t="shared" si="193"/>
        <v>=2.485*100000000</v>
      </c>
      <c r="R408" s="11">
        <f>2.485*100000000</f>
        <v>248500000</v>
      </c>
      <c r="S408" s="8">
        <f t="shared" si="194"/>
        <v>-0.67647441739356851</v>
      </c>
      <c r="T408" s="6" t="s">
        <v>5142</v>
      </c>
      <c r="U408" s="6" t="str">
        <f t="shared" si="195"/>
        <v>=7.681*100000000</v>
      </c>
      <c r="V408" s="1">
        <f>7.681*100000000</f>
        <v>768100000</v>
      </c>
      <c r="W408" s="8">
        <f t="shared" si="196"/>
        <v>0.36115541378699273</v>
      </c>
      <c r="X408" s="6" t="s">
        <v>3148</v>
      </c>
      <c r="Y408" s="6" t="str">
        <f t="shared" si="197"/>
        <v>=5.643*100000000</v>
      </c>
      <c r="Z408" s="1">
        <f>5.643*100000000</f>
        <v>564300000</v>
      </c>
      <c r="AA408" s="8">
        <f t="shared" si="198"/>
        <v>0.47761194029850745</v>
      </c>
      <c r="AB408" s="6" t="s">
        <v>5143</v>
      </c>
      <c r="AC408" s="6" t="str">
        <f t="shared" si="199"/>
        <v>=3.819*100000000</v>
      </c>
      <c r="AD408" s="1">
        <f>3.819*100000000</f>
        <v>381900000</v>
      </c>
      <c r="AE408" s="8">
        <f t="shared" si="200"/>
        <v>0.94252288911495419</v>
      </c>
      <c r="AF408" s="6" t="s">
        <v>5144</v>
      </c>
      <c r="AG408" s="6" t="str">
        <f t="shared" si="201"/>
        <v>=1.966*100000000</v>
      </c>
      <c r="AH408" s="1">
        <f>1.966*100000000</f>
        <v>196600000</v>
      </c>
      <c r="AI408" s="8">
        <f t="shared" si="202"/>
        <v>-0.73543264701924371</v>
      </c>
      <c r="AJ408" s="6" t="s">
        <v>5145</v>
      </c>
      <c r="AK408" s="6" t="str">
        <f t="shared" si="203"/>
        <v>=7.431*100000000</v>
      </c>
      <c r="AL408" s="1">
        <f>7.431*100000000</f>
        <v>743100000</v>
      </c>
      <c r="AM408" s="8">
        <f t="shared" si="204"/>
        <v>0.35874931431705981</v>
      </c>
      <c r="AN408" s="6" t="s">
        <v>5146</v>
      </c>
      <c r="AO408" s="6" t="str">
        <f t="shared" si="205"/>
        <v>=5.469*100000000</v>
      </c>
      <c r="AP408" s="1">
        <f>5.469*100000000</f>
        <v>546900000</v>
      </c>
      <c r="AQ408" s="8">
        <f t="shared" si="206"/>
        <v>0.38385627530364375</v>
      </c>
      <c r="AR408" s="6" t="s">
        <v>5147</v>
      </c>
      <c r="AS408" s="6" t="str">
        <f t="shared" si="207"/>
        <v>=3.952*100000000</v>
      </c>
      <c r="AT408" s="1">
        <f>3.952*100000000</f>
        <v>395200000</v>
      </c>
      <c r="AU408" s="8">
        <f t="shared" si="208"/>
        <v>0.81617647058823506</v>
      </c>
      <c r="AV408" s="6" t="s">
        <v>5133</v>
      </c>
      <c r="AW408" s="6" t="str">
        <f t="shared" si="209"/>
        <v>=2.176*100000000</v>
      </c>
      <c r="AX408" s="1">
        <f>2.176*100000000</f>
        <v>217600000.00000003</v>
      </c>
      <c r="AY408" s="10">
        <f t="shared" si="210"/>
        <v>-0.66031845145176393</v>
      </c>
      <c r="AZ408" s="6" t="s">
        <v>5148</v>
      </c>
      <c r="BA408" s="6" t="str">
        <f t="shared" si="211"/>
        <v>=6.406*100000000</v>
      </c>
      <c r="BB408" s="1">
        <f>6.406*100000000</f>
        <v>640600000</v>
      </c>
      <c r="BC408" s="8">
        <f t="shared" si="212"/>
        <v>0.37911733046286344</v>
      </c>
      <c r="BD408" s="6" t="s">
        <v>5149</v>
      </c>
      <c r="BE408" s="6" t="str">
        <f t="shared" si="213"/>
        <v>=4.645*100000000</v>
      </c>
      <c r="BF408" s="1">
        <f>4.645*100000000</f>
        <v>464499999.99999994</v>
      </c>
      <c r="BG408" s="8">
        <f t="shared" si="214"/>
        <v>0.31066591422121881</v>
      </c>
      <c r="BH408" s="6" t="s">
        <v>109</v>
      </c>
      <c r="BI408" s="6" t="str">
        <f t="shared" si="215"/>
        <v>=3.544*100000000</v>
      </c>
      <c r="BJ408" s="1">
        <f>3.544*100000000</f>
        <v>354400000</v>
      </c>
      <c r="BK408" s="6" t="s">
        <v>5150</v>
      </c>
      <c r="BL408" s="1" t="str">
        <f t="shared" si="187"/>
        <v>=1.988*100000000</v>
      </c>
      <c r="BM408" s="16">
        <f t="shared" si="216"/>
        <v>0.78269617706237427</v>
      </c>
      <c r="BN408" s="1">
        <f>1.988*100000000</f>
        <v>198800000</v>
      </c>
    </row>
    <row r="409" spans="1:66">
      <c r="A409" s="19"/>
      <c r="B409">
        <v>600329</v>
      </c>
      <c r="C409" t="s">
        <v>68</v>
      </c>
      <c r="D409" s="6" t="s">
        <v>5151</v>
      </c>
      <c r="E409" s="7" t="str">
        <f t="shared" si="186"/>
        <v>=7.869*100000000</v>
      </c>
      <c r="F409" s="1">
        <f>7.869*100000000</f>
        <v>786900000</v>
      </c>
      <c r="G409" s="8">
        <f t="shared" si="188"/>
        <v>0.16233382570162483</v>
      </c>
      <c r="H409" s="6" t="s">
        <v>5152</v>
      </c>
      <c r="I409" s="6" t="str">
        <f t="shared" si="189"/>
        <v>=6.770*100000000</v>
      </c>
      <c r="J409" s="1">
        <f>6.77*100000000</f>
        <v>677000000</v>
      </c>
      <c r="K409" s="10">
        <f t="shared" si="190"/>
        <v>0.43250105797714772</v>
      </c>
      <c r="L409" s="6" t="s">
        <v>5153</v>
      </c>
      <c r="M409" s="6" t="str">
        <f t="shared" si="191"/>
        <v>=4.726*100000000</v>
      </c>
      <c r="N409" s="1">
        <f>4.726*100000000</f>
        <v>472600000</v>
      </c>
      <c r="O409" s="8">
        <f t="shared" si="192"/>
        <v>1.1798892988929885</v>
      </c>
      <c r="P409" s="6" t="s">
        <v>4405</v>
      </c>
      <c r="Q409" s="6" t="str">
        <f t="shared" si="193"/>
        <v>=2.168*100000000</v>
      </c>
      <c r="R409" s="11">
        <f>2.168*100000000</f>
        <v>216800000.00000003</v>
      </c>
      <c r="S409" s="8">
        <f t="shared" si="194"/>
        <v>-0.68103575106664704</v>
      </c>
      <c r="T409" s="6" t="s">
        <v>5154</v>
      </c>
      <c r="U409" s="6" t="str">
        <f t="shared" si="195"/>
        <v>=6.797*100000000</v>
      </c>
      <c r="V409" s="1">
        <f>6.797*100000000</f>
        <v>679700000</v>
      </c>
      <c r="W409" s="8">
        <f t="shared" si="196"/>
        <v>0.37758411025537092</v>
      </c>
      <c r="X409" s="6" t="s">
        <v>5155</v>
      </c>
      <c r="Y409" s="6" t="str">
        <f t="shared" si="197"/>
        <v>=4.934*100000000</v>
      </c>
      <c r="Z409" s="1">
        <f>4.934*100000000</f>
        <v>493400000</v>
      </c>
      <c r="AA409" s="8">
        <f t="shared" si="198"/>
        <v>0.47813061713600957</v>
      </c>
      <c r="AB409" s="6" t="s">
        <v>5156</v>
      </c>
      <c r="AC409" s="6" t="str">
        <f t="shared" si="199"/>
        <v>=3.338*100000000</v>
      </c>
      <c r="AD409" s="1">
        <f>3.338*100000000</f>
        <v>333800000</v>
      </c>
      <c r="AE409" s="8">
        <f t="shared" si="200"/>
        <v>0.91179839633447879</v>
      </c>
      <c r="AF409" s="6" t="s">
        <v>5157</v>
      </c>
      <c r="AG409" s="6" t="str">
        <f t="shared" si="201"/>
        <v>=1.746*100000000</v>
      </c>
      <c r="AH409" s="1">
        <f>1.746*100000000</f>
        <v>174600000</v>
      </c>
      <c r="AI409" s="8">
        <f t="shared" si="202"/>
        <v>-0.72521246458923516</v>
      </c>
      <c r="AJ409" s="6" t="s">
        <v>5158</v>
      </c>
      <c r="AK409" s="6" t="str">
        <f t="shared" si="203"/>
        <v>=6.354*100000000</v>
      </c>
      <c r="AL409" s="1">
        <f>6.354*100000000</f>
        <v>635400000</v>
      </c>
      <c r="AM409" s="8">
        <f t="shared" si="204"/>
        <v>0.40110253583241456</v>
      </c>
      <c r="AN409" s="6" t="s">
        <v>2868</v>
      </c>
      <c r="AO409" s="6" t="str">
        <f t="shared" si="205"/>
        <v>=4.535*100000000</v>
      </c>
      <c r="AP409" s="1">
        <f>4.535*100000000</f>
        <v>453500000</v>
      </c>
      <c r="AQ409" s="8">
        <f t="shared" si="206"/>
        <v>0.28143543373834418</v>
      </c>
      <c r="AR409" s="6" t="s">
        <v>5159</v>
      </c>
      <c r="AS409" s="6" t="str">
        <f t="shared" si="207"/>
        <v>=3.539*100000000</v>
      </c>
      <c r="AT409" s="1">
        <f>3.539*100000000</f>
        <v>353900000</v>
      </c>
      <c r="AU409" s="8">
        <f t="shared" si="208"/>
        <v>0.84707724425887265</v>
      </c>
      <c r="AV409" s="6" t="s">
        <v>5160</v>
      </c>
      <c r="AW409" s="6" t="str">
        <f t="shared" si="209"/>
        <v>=1.916*100000000</v>
      </c>
      <c r="AX409" s="1">
        <f>1.916*100000000</f>
        <v>191600000</v>
      </c>
      <c r="AY409" s="10">
        <f t="shared" si="210"/>
        <v>-0.66255723846424797</v>
      </c>
      <c r="AZ409" s="6" t="s">
        <v>5161</v>
      </c>
      <c r="BA409" s="6" t="str">
        <f t="shared" si="211"/>
        <v>=5.678*100000000</v>
      </c>
      <c r="BB409" s="1">
        <f>5.678*100000000</f>
        <v>567800000</v>
      </c>
      <c r="BC409" s="8">
        <f t="shared" si="212"/>
        <v>0.40718711276332092</v>
      </c>
      <c r="BD409" s="6" t="s">
        <v>498</v>
      </c>
      <c r="BE409" s="6" t="str">
        <f t="shared" si="213"/>
        <v>=4.035*100000000</v>
      </c>
      <c r="BF409" s="1">
        <f>4.035*100000000</f>
        <v>403500000</v>
      </c>
      <c r="BG409" s="8">
        <f t="shared" si="214"/>
        <v>0.28013959390862941</v>
      </c>
      <c r="BH409" s="6" t="s">
        <v>5162</v>
      </c>
      <c r="BI409" s="6" t="str">
        <f t="shared" si="215"/>
        <v>=3.152*100000000</v>
      </c>
      <c r="BJ409" s="1">
        <f>3.152*100000000</f>
        <v>315200000</v>
      </c>
      <c r="BK409" s="6" t="s">
        <v>5163</v>
      </c>
      <c r="BL409" s="1" t="str">
        <f t="shared" si="187"/>
        <v>=1.741*100000000</v>
      </c>
      <c r="BM409" s="16">
        <f t="shared" si="216"/>
        <v>0.81045376220562892</v>
      </c>
      <c r="BN409" s="1">
        <f>1.741*100000000</f>
        <v>174100000</v>
      </c>
    </row>
    <row r="410" spans="1:66">
      <c r="A410" s="17">
        <v>103</v>
      </c>
      <c r="B410">
        <v>600330</v>
      </c>
      <c r="C410" t="s">
        <v>31</v>
      </c>
      <c r="D410" s="6" t="s">
        <v>1165</v>
      </c>
      <c r="E410" s="7" t="str">
        <f t="shared" si="186"/>
        <v>=40.85*100000000</v>
      </c>
      <c r="F410" s="1">
        <f>40.85*100000000</f>
        <v>4085000000</v>
      </c>
      <c r="G410" s="8">
        <f t="shared" si="188"/>
        <v>0.32629870129870131</v>
      </c>
      <c r="H410" s="6" t="s">
        <v>5164</v>
      </c>
      <c r="I410" s="6" t="str">
        <f t="shared" si="189"/>
        <v>=30.80*100000000</v>
      </c>
      <c r="J410" s="1">
        <f>30.8*100000000</f>
        <v>3080000000</v>
      </c>
      <c r="K410" s="10">
        <f t="shared" si="190"/>
        <v>0.67664670658682635</v>
      </c>
      <c r="L410" s="6" t="s">
        <v>5165</v>
      </c>
      <c r="M410" s="6" t="str">
        <f t="shared" si="191"/>
        <v>=18.37*100000000</v>
      </c>
      <c r="N410" s="1">
        <f>18.37*100000000</f>
        <v>1837000000</v>
      </c>
      <c r="O410" s="8">
        <f t="shared" si="192"/>
        <v>1.1591443347437709</v>
      </c>
      <c r="P410" s="6" t="s">
        <v>3358</v>
      </c>
      <c r="Q410" s="6" t="str">
        <f t="shared" si="193"/>
        <v>=8.508*100000000</v>
      </c>
      <c r="R410" s="11">
        <f>8.508*100000000</f>
        <v>850799999.99999988</v>
      </c>
      <c r="S410" s="8">
        <f t="shared" si="194"/>
        <v>-0.73041825095057034</v>
      </c>
      <c r="T410" s="6" t="s">
        <v>5166</v>
      </c>
      <c r="U410" s="6" t="str">
        <f t="shared" si="195"/>
        <v>=31.56*100000000</v>
      </c>
      <c r="V410" s="1">
        <f>31.56*100000000</f>
        <v>3156000000</v>
      </c>
      <c r="W410" s="8">
        <f t="shared" si="196"/>
        <v>0.41715312079030087</v>
      </c>
      <c r="X410" s="6" t="s">
        <v>5167</v>
      </c>
      <c r="Y410" s="6" t="str">
        <f t="shared" si="197"/>
        <v>=22.27*100000000</v>
      </c>
      <c r="Z410" s="1">
        <f>22.27*100000000</f>
        <v>2227000000</v>
      </c>
      <c r="AA410" s="8">
        <f t="shared" si="198"/>
        <v>0.58055358410220015</v>
      </c>
      <c r="AB410" s="6" t="s">
        <v>5168</v>
      </c>
      <c r="AC410" s="6" t="str">
        <f t="shared" si="199"/>
        <v>=14.09*100000000</v>
      </c>
      <c r="AD410" s="1">
        <f>14.09*100000000</f>
        <v>1409000000</v>
      </c>
      <c r="AE410" s="8">
        <f t="shared" si="200"/>
        <v>1.7551818537348456</v>
      </c>
      <c r="AF410" s="6" t="s">
        <v>5169</v>
      </c>
      <c r="AG410" s="6" t="str">
        <f t="shared" si="201"/>
        <v>=5.114*100000000</v>
      </c>
      <c r="AH410" s="1">
        <f>5.114*100000000</f>
        <v>511400000</v>
      </c>
      <c r="AI410" s="8">
        <f t="shared" si="202"/>
        <v>-0.8160431654676259</v>
      </c>
      <c r="AJ410" s="6" t="s">
        <v>321</v>
      </c>
      <c r="AK410" s="6" t="str">
        <f t="shared" si="203"/>
        <v>=27.80*100000000</v>
      </c>
      <c r="AL410" s="1">
        <f>27.8*100000000</f>
        <v>2780000000</v>
      </c>
      <c r="AM410" s="8">
        <f t="shared" si="204"/>
        <v>0.46547179757511858</v>
      </c>
      <c r="AN410" s="6" t="s">
        <v>5170</v>
      </c>
      <c r="AO410" s="6" t="str">
        <f t="shared" si="205"/>
        <v>=18.97*100000000</v>
      </c>
      <c r="AP410" s="1">
        <f>18.97*100000000</f>
        <v>1897000000</v>
      </c>
      <c r="AQ410" s="8">
        <f t="shared" si="206"/>
        <v>0.60626587637595253</v>
      </c>
      <c r="AR410" s="6" t="s">
        <v>5171</v>
      </c>
      <c r="AS410" s="6" t="str">
        <f t="shared" si="207"/>
        <v>=11.81*100000000</v>
      </c>
      <c r="AT410" s="1">
        <f>11.81*100000000</f>
        <v>1181000000</v>
      </c>
      <c r="AU410" s="8">
        <f t="shared" si="208"/>
        <v>1.209955089820359</v>
      </c>
      <c r="AV410" s="6" t="s">
        <v>5172</v>
      </c>
      <c r="AW410" s="6" t="str">
        <f t="shared" si="209"/>
        <v>=5.344*100000000</v>
      </c>
      <c r="AX410" s="1">
        <f>5.344*100000000</f>
        <v>534400000.00000006</v>
      </c>
      <c r="AY410" s="10">
        <f t="shared" si="210"/>
        <v>-0.79524904214559389</v>
      </c>
      <c r="AZ410" s="6" t="s">
        <v>5173</v>
      </c>
      <c r="BA410" s="6" t="str">
        <f t="shared" si="211"/>
        <v>=26.10*100000000</v>
      </c>
      <c r="BB410" s="1">
        <f>26.1*100000000</f>
        <v>2610000000</v>
      </c>
      <c r="BC410" s="8">
        <f t="shared" si="212"/>
        <v>0.36792452830188699</v>
      </c>
      <c r="BD410" s="6" t="s">
        <v>5174</v>
      </c>
      <c r="BE410" s="6" t="str">
        <f t="shared" si="213"/>
        <v>=19.08*100000000</v>
      </c>
      <c r="BF410" s="1">
        <f>19.08*100000000</f>
        <v>1907999999.9999998</v>
      </c>
      <c r="BG410" s="8">
        <f t="shared" si="214"/>
        <v>0.54244139046079209</v>
      </c>
      <c r="BH410" s="6" t="s">
        <v>2745</v>
      </c>
      <c r="BI410" s="6" t="str">
        <f t="shared" si="215"/>
        <v>=12.37*100000000</v>
      </c>
      <c r="BJ410" s="1">
        <f>12.37*100000000</f>
        <v>1237000000</v>
      </c>
      <c r="BK410" s="6" t="s">
        <v>5175</v>
      </c>
      <c r="BL410" s="1" t="str">
        <f t="shared" si="187"/>
        <v>=5.918*100000000</v>
      </c>
      <c r="BM410" s="16">
        <f t="shared" si="216"/>
        <v>1.090233186887462</v>
      </c>
      <c r="BN410" s="1">
        <f>5.918*100000000</f>
        <v>591800000</v>
      </c>
    </row>
    <row r="411" spans="1:66">
      <c r="A411" s="18"/>
      <c r="B411">
        <v>600330</v>
      </c>
      <c r="C411" t="s">
        <v>48</v>
      </c>
      <c r="D411" s="6" t="s">
        <v>5176</v>
      </c>
      <c r="E411" s="7" t="str">
        <f t="shared" si="186"/>
        <v>=4.553*100000000</v>
      </c>
      <c r="F411" s="1">
        <f>4.553*100000000</f>
        <v>455300000</v>
      </c>
      <c r="G411" s="8">
        <f t="shared" si="188"/>
        <v>0.17164179104477612</v>
      </c>
      <c r="H411" s="6" t="s">
        <v>5177</v>
      </c>
      <c r="I411" s="6" t="str">
        <f t="shared" si="189"/>
        <v>=3.886*100000000</v>
      </c>
      <c r="J411" s="1">
        <f>3.886*100000000</f>
        <v>388600000</v>
      </c>
      <c r="K411" s="10">
        <f t="shared" si="190"/>
        <v>0.52811639795517085</v>
      </c>
      <c r="L411" s="6" t="s">
        <v>5178</v>
      </c>
      <c r="M411" s="6" t="str">
        <f t="shared" si="191"/>
        <v>=2.543*100000000</v>
      </c>
      <c r="N411" s="1">
        <f>2.543*100000000</f>
        <v>254300000.00000003</v>
      </c>
      <c r="O411" s="8">
        <f t="shared" si="192"/>
        <v>1.1753635585970919</v>
      </c>
      <c r="P411" s="6" t="s">
        <v>5179</v>
      </c>
      <c r="Q411" s="6" t="str">
        <f t="shared" si="193"/>
        <v>=1.169*100000000</v>
      </c>
      <c r="R411" s="11">
        <f>1.169*100000000</f>
        <v>116900000</v>
      </c>
      <c r="S411" s="8">
        <f t="shared" si="194"/>
        <v>-0.73027226580526072</v>
      </c>
      <c r="T411" s="6" t="s">
        <v>5180</v>
      </c>
      <c r="U411" s="6" t="str">
        <f t="shared" si="195"/>
        <v>=4.334*100000000</v>
      </c>
      <c r="V411" s="1">
        <f>4.334*100000000</f>
        <v>433399999.99999994</v>
      </c>
      <c r="W411" s="8">
        <f t="shared" si="196"/>
        <v>0.17835780315388783</v>
      </c>
      <c r="X411" s="6" t="s">
        <v>5181</v>
      </c>
      <c r="Y411" s="6" t="str">
        <f t="shared" si="197"/>
        <v>=3.678*100000000</v>
      </c>
      <c r="Z411" s="1">
        <f>3.678*100000000</f>
        <v>367800000</v>
      </c>
      <c r="AA411" s="8">
        <f t="shared" si="198"/>
        <v>0.57718696397941704</v>
      </c>
      <c r="AB411" s="6" t="s">
        <v>4018</v>
      </c>
      <c r="AC411" s="6" t="str">
        <f t="shared" si="199"/>
        <v>=2.332*100000000</v>
      </c>
      <c r="AD411" s="1">
        <f>2.332*100000000</f>
        <v>233199999.99999997</v>
      </c>
      <c r="AE411" s="8">
        <f t="shared" si="200"/>
        <v>1.1855670103092781</v>
      </c>
      <c r="AF411" s="6" t="s">
        <v>1937</v>
      </c>
      <c r="AG411" s="6" t="str">
        <f t="shared" si="201"/>
        <v>=1.067*100000000</v>
      </c>
      <c r="AH411" s="1">
        <f>1.067*100000000</f>
        <v>106700000</v>
      </c>
      <c r="AI411" s="8">
        <f t="shared" si="202"/>
        <v>-0.46836073741903339</v>
      </c>
      <c r="AJ411" s="6" t="s">
        <v>5182</v>
      </c>
      <c r="AK411" s="6" t="str">
        <f t="shared" si="203"/>
        <v>=2.007*100000000</v>
      </c>
      <c r="AL411" s="1">
        <f>2.007*100000000</f>
        <v>200700000</v>
      </c>
      <c r="AM411" s="8">
        <f t="shared" si="204"/>
        <v>0.12816188870151771</v>
      </c>
      <c r="AN411" s="6" t="s">
        <v>4847</v>
      </c>
      <c r="AO411" s="6" t="str">
        <f t="shared" si="205"/>
        <v>=1.779*100000000</v>
      </c>
      <c r="AP411" s="1">
        <f>1.779*100000000</f>
        <v>177900000</v>
      </c>
      <c r="AQ411" s="8">
        <f t="shared" si="206"/>
        <v>0.33860045146726864</v>
      </c>
      <c r="AR411" s="6" t="s">
        <v>5183</v>
      </c>
      <c r="AS411" s="6" t="str">
        <f t="shared" si="207"/>
        <v>=1.329*100000000</v>
      </c>
      <c r="AT411" s="1">
        <f>1.329*100000000</f>
        <v>132900000</v>
      </c>
      <c r="AU411" s="8">
        <f t="shared" si="208"/>
        <v>0.41608950452850291</v>
      </c>
      <c r="AV411" s="7" t="s">
        <v>5184</v>
      </c>
      <c r="AW411" s="6" t="str">
        <f t="shared" si="209"/>
        <v>=9385*10000</v>
      </c>
      <c r="AX411" s="1">
        <f>9385*10000</f>
        <v>93850000</v>
      </c>
      <c r="AY411" s="10">
        <f t="shared" si="210"/>
        <v>-0.70054243777919589</v>
      </c>
      <c r="AZ411" s="6" t="s">
        <v>2638</v>
      </c>
      <c r="BA411" s="6" t="str">
        <f t="shared" si="211"/>
        <v>=3.134*100000000</v>
      </c>
      <c r="BB411" s="1">
        <f>3.134*100000000</f>
        <v>313400000</v>
      </c>
      <c r="BC411" s="8">
        <f t="shared" si="212"/>
        <v>0.21756021756021771</v>
      </c>
      <c r="BD411" s="6" t="s">
        <v>3451</v>
      </c>
      <c r="BE411" s="6" t="str">
        <f t="shared" si="213"/>
        <v>=2.574*100000000</v>
      </c>
      <c r="BF411" s="1">
        <f>2.574*100000000</f>
        <v>257399999.99999997</v>
      </c>
      <c r="BG411" s="8">
        <f t="shared" si="214"/>
        <v>0.51411764705882335</v>
      </c>
      <c r="BH411" s="6" t="s">
        <v>5185</v>
      </c>
      <c r="BI411" s="6" t="str">
        <f t="shared" si="215"/>
        <v>=1.700*100000000</v>
      </c>
      <c r="BJ411" s="1">
        <f>1.7*100000000</f>
        <v>170000000</v>
      </c>
      <c r="BK411" s="7" t="s">
        <v>5186</v>
      </c>
      <c r="BL411" s="1" t="str">
        <f t="shared" si="187"/>
        <v>=7683*10000</v>
      </c>
      <c r="BM411" s="16">
        <f t="shared" si="216"/>
        <v>1.212677339580893</v>
      </c>
      <c r="BN411" s="1">
        <f>7683*10000</f>
        <v>76830000</v>
      </c>
    </row>
    <row r="412" spans="1:66">
      <c r="A412" s="18"/>
      <c r="B412">
        <v>600330</v>
      </c>
      <c r="C412" t="s">
        <v>58</v>
      </c>
      <c r="D412" s="6" t="s">
        <v>5187</v>
      </c>
      <c r="E412" s="7" t="str">
        <f t="shared" si="186"/>
        <v>=4.458*100000000</v>
      </c>
      <c r="F412" s="1">
        <f>4.458*100000000</f>
        <v>445800000</v>
      </c>
      <c r="G412" s="8">
        <f t="shared" si="188"/>
        <v>0.15074858027878163</v>
      </c>
      <c r="H412" s="6" t="s">
        <v>5188</v>
      </c>
      <c r="I412" s="6" t="str">
        <f t="shared" si="189"/>
        <v>=3.874*100000000</v>
      </c>
      <c r="J412" s="1">
        <f>3.874*100000000</f>
        <v>387400000</v>
      </c>
      <c r="K412" s="10">
        <f t="shared" si="190"/>
        <v>0.52820512820512822</v>
      </c>
      <c r="L412" s="6" t="s">
        <v>5189</v>
      </c>
      <c r="M412" s="6" t="str">
        <f t="shared" si="191"/>
        <v>=2.535*100000000</v>
      </c>
      <c r="N412" s="1">
        <f>2.535*100000000</f>
        <v>253500000</v>
      </c>
      <c r="O412" s="8">
        <f t="shared" si="192"/>
        <v>1.1759656652360515</v>
      </c>
      <c r="P412" s="6" t="s">
        <v>5190</v>
      </c>
      <c r="Q412" s="6" t="str">
        <f t="shared" si="193"/>
        <v>=1.165*100000000</v>
      </c>
      <c r="R412" s="11">
        <f>1.165*100000000</f>
        <v>116500000</v>
      </c>
      <c r="S412" s="8">
        <f t="shared" si="194"/>
        <v>-0.72875436554132711</v>
      </c>
      <c r="T412" s="6" t="s">
        <v>905</v>
      </c>
      <c r="U412" s="6" t="str">
        <f t="shared" si="195"/>
        <v>=4.295*100000000</v>
      </c>
      <c r="V412" s="1">
        <f>4.295*100000000</f>
        <v>429500000</v>
      </c>
      <c r="W412" s="8">
        <f t="shared" si="196"/>
        <v>0.17478118161925602</v>
      </c>
      <c r="X412" s="6" t="s">
        <v>5191</v>
      </c>
      <c r="Y412" s="6" t="str">
        <f t="shared" si="197"/>
        <v>=3.656*100000000</v>
      </c>
      <c r="Z412" s="1">
        <f>3.656*100000000</f>
        <v>365600000</v>
      </c>
      <c r="AA412" s="8">
        <f t="shared" si="198"/>
        <v>0.57790246007768642</v>
      </c>
      <c r="AB412" s="6" t="s">
        <v>1760</v>
      </c>
      <c r="AC412" s="6" t="str">
        <f t="shared" si="199"/>
        <v>=2.317*100000000</v>
      </c>
      <c r="AD412" s="1">
        <f>2.317*100000000</f>
        <v>231700000.00000003</v>
      </c>
      <c r="AE412" s="8">
        <f t="shared" si="200"/>
        <v>1.1796801505174039</v>
      </c>
      <c r="AF412" s="6" t="s">
        <v>5192</v>
      </c>
      <c r="AG412" s="6" t="str">
        <f t="shared" si="201"/>
        <v>=1.063*100000000</v>
      </c>
      <c r="AH412" s="1">
        <f>1.063*100000000</f>
        <v>106300000</v>
      </c>
      <c r="AI412" s="8">
        <f t="shared" si="202"/>
        <v>-0.46177215189873416</v>
      </c>
      <c r="AJ412" s="6" t="s">
        <v>5193</v>
      </c>
      <c r="AK412" s="6" t="str">
        <f t="shared" si="203"/>
        <v>=1.975*100000000</v>
      </c>
      <c r="AL412" s="1">
        <f>1.975*100000000</f>
        <v>197500000</v>
      </c>
      <c r="AM412" s="8">
        <f t="shared" si="204"/>
        <v>0.12152186257808063</v>
      </c>
      <c r="AN412" s="6" t="s">
        <v>5194</v>
      </c>
      <c r="AO412" s="6" t="str">
        <f t="shared" si="205"/>
        <v>=1.761*100000000</v>
      </c>
      <c r="AP412" s="1">
        <f>1.761*100000000</f>
        <v>176100000</v>
      </c>
      <c r="AQ412" s="8">
        <f t="shared" si="206"/>
        <v>0.33207261724659609</v>
      </c>
      <c r="AR412" s="6" t="s">
        <v>5195</v>
      </c>
      <c r="AS412" s="6" t="str">
        <f t="shared" si="207"/>
        <v>=1.322*100000000</v>
      </c>
      <c r="AT412" s="1">
        <f>1.322*100000000</f>
        <v>132200000</v>
      </c>
      <c r="AU412" s="8">
        <f t="shared" si="208"/>
        <v>0.40728124334681709</v>
      </c>
      <c r="AV412" s="7" t="s">
        <v>5196</v>
      </c>
      <c r="AW412" s="6" t="str">
        <f t="shared" si="209"/>
        <v>=9394*10000</v>
      </c>
      <c r="AX412" s="1">
        <f>9394*10000</f>
        <v>93940000</v>
      </c>
      <c r="AY412" s="10">
        <f t="shared" si="210"/>
        <v>-0.70044642857142858</v>
      </c>
      <c r="AZ412" s="6" t="s">
        <v>5197</v>
      </c>
      <c r="BA412" s="6" t="str">
        <f t="shared" si="211"/>
        <v>=3.136*100000000</v>
      </c>
      <c r="BB412" s="1">
        <f>3.136*100000000</f>
        <v>313600000</v>
      </c>
      <c r="BC412" s="8">
        <f t="shared" si="212"/>
        <v>0.21409214092140907</v>
      </c>
      <c r="BD412" s="6" t="s">
        <v>2389</v>
      </c>
      <c r="BE412" s="6" t="str">
        <f t="shared" si="213"/>
        <v>=2.583*100000000</v>
      </c>
      <c r="BF412" s="1">
        <f>2.583*100000000</f>
        <v>258300000.00000003</v>
      </c>
      <c r="BG412" s="8">
        <f t="shared" si="214"/>
        <v>0.51141018139262739</v>
      </c>
      <c r="BH412" s="6" t="s">
        <v>5198</v>
      </c>
      <c r="BI412" s="6" t="str">
        <f t="shared" si="215"/>
        <v>=1.709*100000000</v>
      </c>
      <c r="BJ412" s="1">
        <f>1.709*100000000</f>
        <v>170900000</v>
      </c>
      <c r="BK412" s="7" t="s">
        <v>5199</v>
      </c>
      <c r="BL412" s="1" t="str">
        <f t="shared" si="187"/>
        <v>=7809*10000</v>
      </c>
      <c r="BM412" s="16">
        <f t="shared" si="216"/>
        <v>1.1885004482007939</v>
      </c>
      <c r="BN412" s="1">
        <f>7809*10000</f>
        <v>78090000</v>
      </c>
    </row>
    <row r="413" spans="1:66">
      <c r="A413" s="19"/>
      <c r="B413">
        <v>600330</v>
      </c>
      <c r="C413" t="s">
        <v>68</v>
      </c>
      <c r="D413" s="6" t="s">
        <v>5200</v>
      </c>
      <c r="E413" s="7" t="str">
        <f t="shared" si="186"/>
        <v>=4.212*100000000</v>
      </c>
      <c r="F413" s="1">
        <f>4.212*100000000</f>
        <v>421200000</v>
      </c>
      <c r="G413" s="8">
        <f t="shared" si="188"/>
        <v>0.2037725064304087</v>
      </c>
      <c r="H413" s="6" t="s">
        <v>5201</v>
      </c>
      <c r="I413" s="6" t="str">
        <f t="shared" si="189"/>
        <v>=3.499*100000000</v>
      </c>
      <c r="J413" s="1">
        <f>3.499*100000000</f>
        <v>349900000</v>
      </c>
      <c r="K413" s="10">
        <f t="shared" si="190"/>
        <v>0.55166297117516627</v>
      </c>
      <c r="L413" s="6" t="s">
        <v>5202</v>
      </c>
      <c r="M413" s="6" t="str">
        <f t="shared" si="191"/>
        <v>=2.255*100000000</v>
      </c>
      <c r="N413" s="1">
        <f>2.255*100000000</f>
        <v>225500000</v>
      </c>
      <c r="O413" s="8">
        <f t="shared" si="192"/>
        <v>1.1253534401508012</v>
      </c>
      <c r="P413" s="6" t="s">
        <v>5203</v>
      </c>
      <c r="Q413" s="6" t="str">
        <f t="shared" si="193"/>
        <v>=1.061*100000000</v>
      </c>
      <c r="R413" s="11">
        <f>1.061*100000000</f>
        <v>106100000</v>
      </c>
      <c r="S413" s="8">
        <f t="shared" si="194"/>
        <v>-0.72527187985499741</v>
      </c>
      <c r="T413" s="6" t="s">
        <v>5204</v>
      </c>
      <c r="U413" s="6" t="str">
        <f t="shared" si="195"/>
        <v>=3.862*100000000</v>
      </c>
      <c r="V413" s="1">
        <f>3.862*100000000</f>
        <v>386200000</v>
      </c>
      <c r="W413" s="8">
        <f t="shared" si="196"/>
        <v>0.1399055489964581</v>
      </c>
      <c r="X413" s="6" t="s">
        <v>5205</v>
      </c>
      <c r="Y413" s="6" t="str">
        <f t="shared" si="197"/>
        <v>=3.388*100000000</v>
      </c>
      <c r="Z413" s="1">
        <f>3.388*100000000</f>
        <v>338800000</v>
      </c>
      <c r="AA413" s="8">
        <f t="shared" si="198"/>
        <v>0.59135744480976982</v>
      </c>
      <c r="AB413" s="6" t="s">
        <v>5206</v>
      </c>
      <c r="AC413" s="6" t="str">
        <f t="shared" si="199"/>
        <v>=2.129*100000000</v>
      </c>
      <c r="AD413" s="1">
        <f>2.129*100000000</f>
        <v>212900000</v>
      </c>
      <c r="AE413" s="8">
        <f t="shared" si="200"/>
        <v>1.1797890856967339</v>
      </c>
      <c r="AF413" s="7" t="s">
        <v>5207</v>
      </c>
      <c r="AG413" s="6" t="str">
        <f t="shared" si="201"/>
        <v>=9767*10000</v>
      </c>
      <c r="AH413" s="1">
        <f>9767*10000</f>
        <v>97670000</v>
      </c>
      <c r="AI413" s="8">
        <f t="shared" si="202"/>
        <v>-0.41759093619558735</v>
      </c>
      <c r="AJ413" s="6" t="s">
        <v>5208</v>
      </c>
      <c r="AK413" s="6" t="str">
        <f t="shared" si="203"/>
        <v>=1.677*100000000</v>
      </c>
      <c r="AL413" s="1">
        <f>1.677*100000000</f>
        <v>167700000</v>
      </c>
      <c r="AM413" s="8">
        <f t="shared" si="204"/>
        <v>0.14237057220708446</v>
      </c>
      <c r="AN413" s="6" t="s">
        <v>5209</v>
      </c>
      <c r="AO413" s="6" t="str">
        <f t="shared" si="205"/>
        <v>=1.468*100000000</v>
      </c>
      <c r="AP413" s="1">
        <f>1.468*100000000</f>
        <v>146800000</v>
      </c>
      <c r="AQ413" s="8">
        <f t="shared" si="206"/>
        <v>0.3177737881508077</v>
      </c>
      <c r="AR413" s="6" t="s">
        <v>5210</v>
      </c>
      <c r="AS413" s="6" t="str">
        <f t="shared" si="207"/>
        <v>=1.114*100000000</v>
      </c>
      <c r="AT413" s="1">
        <f>1.114*100000000</f>
        <v>111400000.00000001</v>
      </c>
      <c r="AU413" s="8">
        <f t="shared" si="208"/>
        <v>0.34411196911196928</v>
      </c>
      <c r="AV413" s="7" t="s">
        <v>5211</v>
      </c>
      <c r="AW413" s="6" t="str">
        <f t="shared" si="209"/>
        <v>=8288*10000</v>
      </c>
      <c r="AX413" s="1">
        <f>8288*10000</f>
        <v>82880000</v>
      </c>
      <c r="AY413" s="10">
        <f t="shared" si="210"/>
        <v>-0.71469879518072288</v>
      </c>
      <c r="AZ413" s="6" t="s">
        <v>5212</v>
      </c>
      <c r="BA413" s="6" t="str">
        <f t="shared" si="211"/>
        <v>=2.905*100000000</v>
      </c>
      <c r="BB413" s="1">
        <f>2.905*100000000</f>
        <v>290500000</v>
      </c>
      <c r="BC413" s="8">
        <f t="shared" si="212"/>
        <v>0.22729193071398396</v>
      </c>
      <c r="BD413" s="6" t="s">
        <v>5213</v>
      </c>
      <c r="BE413" s="6" t="str">
        <f t="shared" si="213"/>
        <v>=2.367*100000000</v>
      </c>
      <c r="BF413" s="1">
        <f>2.367*100000000</f>
        <v>236700000</v>
      </c>
      <c r="BG413" s="8">
        <f t="shared" si="214"/>
        <v>0.42504515352197469</v>
      </c>
      <c r="BH413" s="6" t="s">
        <v>5214</v>
      </c>
      <c r="BI413" s="6" t="str">
        <f t="shared" si="215"/>
        <v>=1.661*100000000</v>
      </c>
      <c r="BJ413" s="1">
        <f>1.661*100000000</f>
        <v>166100000</v>
      </c>
      <c r="BK413" s="7" t="s">
        <v>5215</v>
      </c>
      <c r="BL413" s="1" t="str">
        <f t="shared" si="187"/>
        <v>=8514*10000</v>
      </c>
      <c r="BM413" s="16">
        <f t="shared" si="216"/>
        <v>0.95090439276485783</v>
      </c>
      <c r="BN413" s="1">
        <f>8514*10000</f>
        <v>85140000</v>
      </c>
    </row>
    <row r="414" spans="1:66">
      <c r="A414" s="17">
        <v>104</v>
      </c>
      <c r="B414">
        <v>600332</v>
      </c>
      <c r="C414" t="s">
        <v>31</v>
      </c>
      <c r="D414" s="6" t="s">
        <v>5216</v>
      </c>
      <c r="E414" s="7" t="str">
        <f t="shared" si="186"/>
        <v>=690.1*100000000</v>
      </c>
      <c r="F414" s="1">
        <f>690.1*100000000</f>
        <v>69010000000</v>
      </c>
      <c r="G414" s="8">
        <f t="shared" si="188"/>
        <v>0.28894284646992902</v>
      </c>
      <c r="H414" s="6" t="s">
        <v>5217</v>
      </c>
      <c r="I414" s="6" t="str">
        <f t="shared" si="189"/>
        <v>=535.4*100000000</v>
      </c>
      <c r="J414" s="1">
        <f>535.4*100000000</f>
        <v>53540000000</v>
      </c>
      <c r="K414" s="10">
        <f t="shared" si="190"/>
        <v>0.48187102131192916</v>
      </c>
      <c r="L414" s="6" t="s">
        <v>5218</v>
      </c>
      <c r="M414" s="6" t="str">
        <f t="shared" si="191"/>
        <v>=361.3*100000000</v>
      </c>
      <c r="N414" s="1">
        <f>361.3*100000000</f>
        <v>36130000000</v>
      </c>
      <c r="O414" s="8">
        <f t="shared" si="192"/>
        <v>0.80199501246882798</v>
      </c>
      <c r="P414" s="6" t="s">
        <v>5219</v>
      </c>
      <c r="Q414" s="6" t="str">
        <f t="shared" si="193"/>
        <v>=200.5*100000000</v>
      </c>
      <c r="R414" s="11">
        <f>200.5*100000000</f>
        <v>20050000000</v>
      </c>
      <c r="S414" s="8">
        <f t="shared" si="194"/>
        <v>-0.67488243878709264</v>
      </c>
      <c r="T414" s="6" t="s">
        <v>5220</v>
      </c>
      <c r="U414" s="6" t="str">
        <f t="shared" si="195"/>
        <v>=616.7*100000000</v>
      </c>
      <c r="V414" s="1">
        <f>616.7*100000000</f>
        <v>61670000000.000008</v>
      </c>
      <c r="W414" s="8">
        <f t="shared" si="196"/>
        <v>0.31548634812286708</v>
      </c>
      <c r="X414" s="6" t="s">
        <v>5221</v>
      </c>
      <c r="Y414" s="6" t="str">
        <f t="shared" si="197"/>
        <v>=468.8*100000000</v>
      </c>
      <c r="Z414" s="1">
        <f>468.8*100000000</f>
        <v>46880000000</v>
      </c>
      <c r="AA414" s="8">
        <f t="shared" si="198"/>
        <v>0.53856252051197895</v>
      </c>
      <c r="AB414" s="6" t="s">
        <v>5222</v>
      </c>
      <c r="AC414" s="6" t="str">
        <f t="shared" si="199"/>
        <v>=304.7*100000000</v>
      </c>
      <c r="AD414" s="1">
        <f>304.7*100000000</f>
        <v>30470000000</v>
      </c>
      <c r="AE414" s="8">
        <f t="shared" si="200"/>
        <v>0.79446407538280306</v>
      </c>
      <c r="AF414" s="6" t="s">
        <v>852</v>
      </c>
      <c r="AG414" s="6" t="str">
        <f t="shared" si="201"/>
        <v>=169.8*100000000</v>
      </c>
      <c r="AH414" s="1">
        <f>169.8*100000000</f>
        <v>16980000000.000002</v>
      </c>
      <c r="AI414" s="8">
        <f t="shared" si="202"/>
        <v>-0.73856812933025406</v>
      </c>
      <c r="AJ414" s="6" t="s">
        <v>5223</v>
      </c>
      <c r="AK414" s="6" t="str">
        <f t="shared" si="203"/>
        <v>=649.5*100000000</v>
      </c>
      <c r="AL414" s="1">
        <f>649.5*100000000</f>
        <v>64950000000</v>
      </c>
      <c r="AM414" s="8">
        <f t="shared" si="204"/>
        <v>0.29744306831801837</v>
      </c>
      <c r="AN414" s="6" t="s">
        <v>5224</v>
      </c>
      <c r="AO414" s="6" t="str">
        <f t="shared" si="205"/>
        <v>=500.6*100000000</v>
      </c>
      <c r="AP414" s="1">
        <f>500.6*100000000</f>
        <v>50060000000</v>
      </c>
      <c r="AQ414" s="8">
        <f t="shared" si="206"/>
        <v>0.50149970005998823</v>
      </c>
      <c r="AR414" s="6" t="s">
        <v>5225</v>
      </c>
      <c r="AS414" s="6" t="str">
        <f t="shared" si="207"/>
        <v>=333.4*100000000</v>
      </c>
      <c r="AT414" s="1">
        <f>333.4*100000000</f>
        <v>33339999999.999996</v>
      </c>
      <c r="AU414" s="8">
        <f t="shared" si="208"/>
        <v>0.8460686600221482</v>
      </c>
      <c r="AV414" s="6" t="s">
        <v>5226</v>
      </c>
      <c r="AW414" s="6" t="str">
        <f t="shared" si="209"/>
        <v>=180.6*100000000</v>
      </c>
      <c r="AX414" s="1">
        <f>180.6*100000000</f>
        <v>18060000000</v>
      </c>
      <c r="AY414" s="10">
        <f t="shared" si="210"/>
        <v>-0.57234193701160307</v>
      </c>
      <c r="AZ414" s="6" t="s">
        <v>5227</v>
      </c>
      <c r="BA414" s="6" t="str">
        <f t="shared" si="211"/>
        <v>=422.3*100000000</v>
      </c>
      <c r="BB414" s="1">
        <f>422.3*100000000</f>
        <v>42230000000</v>
      </c>
      <c r="BC414" s="8">
        <f t="shared" si="212"/>
        <v>0.41331994645247655</v>
      </c>
      <c r="BD414" s="6" t="s">
        <v>5228</v>
      </c>
      <c r="BE414" s="6" t="str">
        <f t="shared" si="213"/>
        <v>=298.8*100000000</v>
      </c>
      <c r="BF414" s="1">
        <f>298.8*100000000</f>
        <v>29880000000</v>
      </c>
      <c r="BG414" s="8">
        <f t="shared" si="214"/>
        <v>1.013477088948787</v>
      </c>
      <c r="BH414" s="6" t="s">
        <v>5229</v>
      </c>
      <c r="BI414" s="6" t="str">
        <f t="shared" si="215"/>
        <v>=148.4*100000000</v>
      </c>
      <c r="BJ414" s="1">
        <f>148.4*100000000</f>
        <v>14840000000</v>
      </c>
      <c r="BK414" s="6" t="s">
        <v>5230</v>
      </c>
      <c r="BL414" s="1" t="str">
        <f t="shared" si="187"/>
        <v>=69.09*100000000</v>
      </c>
      <c r="BM414" s="16">
        <f t="shared" si="216"/>
        <v>1.1479229989868287</v>
      </c>
      <c r="BN414" s="1">
        <f>69.09*100000000</f>
        <v>6909000000</v>
      </c>
    </row>
    <row r="415" spans="1:66">
      <c r="A415" s="18"/>
      <c r="B415">
        <v>600332</v>
      </c>
      <c r="C415" t="s">
        <v>48</v>
      </c>
      <c r="D415" s="6" t="s">
        <v>5231</v>
      </c>
      <c r="E415" s="7" t="str">
        <f t="shared" si="186"/>
        <v>=47.86*100000000</v>
      </c>
      <c r="F415" s="1">
        <f>47.86*100000000</f>
        <v>4786000000</v>
      </c>
      <c r="G415" s="8">
        <f t="shared" si="188"/>
        <v>0.1229469732519945</v>
      </c>
      <c r="H415" s="6" t="s">
        <v>5232</v>
      </c>
      <c r="I415" s="6" t="str">
        <f t="shared" si="189"/>
        <v>=42.62*100000000</v>
      </c>
      <c r="J415" s="1">
        <f>42.62*100000000</f>
        <v>4261999999.9999995</v>
      </c>
      <c r="K415" s="10">
        <f t="shared" si="190"/>
        <v>0.31340523882896731</v>
      </c>
      <c r="L415" s="6" t="s">
        <v>5233</v>
      </c>
      <c r="M415" s="6" t="str">
        <f t="shared" si="191"/>
        <v>=32.45*100000000</v>
      </c>
      <c r="N415" s="1">
        <f>32.45*100000000</f>
        <v>3245000000.0000005</v>
      </c>
      <c r="O415" s="8">
        <f t="shared" si="192"/>
        <v>0.59224730127576075</v>
      </c>
      <c r="P415" s="6" t="s">
        <v>583</v>
      </c>
      <c r="Q415" s="6" t="str">
        <f t="shared" si="193"/>
        <v>=20.38*100000000</v>
      </c>
      <c r="R415" s="11">
        <f>20.38*100000000</f>
        <v>2038000000</v>
      </c>
      <c r="S415" s="8">
        <f t="shared" si="194"/>
        <v>-0.44498910675381265</v>
      </c>
      <c r="T415" s="6" t="s">
        <v>306</v>
      </c>
      <c r="U415" s="6" t="str">
        <f t="shared" si="195"/>
        <v>=36.72*100000000</v>
      </c>
      <c r="V415" s="1">
        <f>36.72*100000000</f>
        <v>3672000000</v>
      </c>
      <c r="W415" s="8">
        <f t="shared" si="196"/>
        <v>6.25E-2</v>
      </c>
      <c r="X415" s="6" t="s">
        <v>828</v>
      </c>
      <c r="Y415" s="6" t="str">
        <f t="shared" si="197"/>
        <v>=34.56*100000000</v>
      </c>
      <c r="Z415" s="1">
        <f>34.56*100000000</f>
        <v>3456000000</v>
      </c>
      <c r="AA415" s="8">
        <f t="shared" si="198"/>
        <v>0.52988047808764938</v>
      </c>
      <c r="AB415" s="6" t="s">
        <v>5234</v>
      </c>
      <c r="AC415" s="6" t="str">
        <f t="shared" si="199"/>
        <v>=22.59*100000000</v>
      </c>
      <c r="AD415" s="1">
        <f>22.59*100000000</f>
        <v>2259000000</v>
      </c>
      <c r="AE415" s="8">
        <f t="shared" si="200"/>
        <v>0.49010554089709762</v>
      </c>
      <c r="AF415" s="6" t="s">
        <v>5235</v>
      </c>
      <c r="AG415" s="6" t="str">
        <f t="shared" si="201"/>
        <v>=15.16*100000000</v>
      </c>
      <c r="AH415" s="1">
        <f>15.16*100000000</f>
        <v>1516000000</v>
      </c>
      <c r="AI415" s="8">
        <f t="shared" si="202"/>
        <v>-0.62614056720098643</v>
      </c>
      <c r="AJ415" s="6" t="s">
        <v>5236</v>
      </c>
      <c r="AK415" s="6" t="str">
        <f t="shared" si="203"/>
        <v>=40.55*100000000</v>
      </c>
      <c r="AL415" s="1">
        <f>40.55*100000000</f>
        <v>4054999999.9999995</v>
      </c>
      <c r="AM415" s="8">
        <f t="shared" si="204"/>
        <v>2.1925403225806332E-2</v>
      </c>
      <c r="AN415" s="6" t="s">
        <v>5237</v>
      </c>
      <c r="AO415" s="6" t="str">
        <f t="shared" si="205"/>
        <v>=39.68*100000000</v>
      </c>
      <c r="AP415" s="1">
        <f>39.68*100000000</f>
        <v>3968000000</v>
      </c>
      <c r="AQ415" s="8">
        <f t="shared" si="206"/>
        <v>0.24897702234812716</v>
      </c>
      <c r="AR415" s="6" t="s">
        <v>5238</v>
      </c>
      <c r="AS415" s="6" t="str">
        <f t="shared" si="207"/>
        <v>=31.77*100000000</v>
      </c>
      <c r="AT415" s="1">
        <f>31.77*100000000</f>
        <v>3177000000</v>
      </c>
      <c r="AU415" s="8">
        <f t="shared" si="208"/>
        <v>0.79491525423728815</v>
      </c>
      <c r="AV415" s="6" t="s">
        <v>5239</v>
      </c>
      <c r="AW415" s="6" t="str">
        <f t="shared" si="209"/>
        <v>=17.70*100000000</v>
      </c>
      <c r="AX415" s="1">
        <f>17.7*100000000</f>
        <v>1770000000</v>
      </c>
      <c r="AY415" s="10">
        <f t="shared" si="210"/>
        <v>-0.53858185610010423</v>
      </c>
      <c r="AZ415" s="6" t="s">
        <v>5240</v>
      </c>
      <c r="BA415" s="6" t="str">
        <f t="shared" si="211"/>
        <v>=38.36*100000000</v>
      </c>
      <c r="BB415" s="1">
        <f>38.36*100000000</f>
        <v>3836000000</v>
      </c>
      <c r="BC415" s="8">
        <f t="shared" si="212"/>
        <v>7.3529411764705881E-3</v>
      </c>
      <c r="BD415" s="6" t="s">
        <v>5241</v>
      </c>
      <c r="BE415" s="6" t="str">
        <f t="shared" si="213"/>
        <v>=38.08*100000000</v>
      </c>
      <c r="BF415" s="1">
        <f>38.08*100000000</f>
        <v>3808000000</v>
      </c>
      <c r="BG415" s="8">
        <f t="shared" si="214"/>
        <v>0.27699530516431925</v>
      </c>
      <c r="BH415" s="6" t="s">
        <v>5242</v>
      </c>
      <c r="BI415" s="6" t="str">
        <f t="shared" si="215"/>
        <v>=29.82*100000000</v>
      </c>
      <c r="BJ415" s="1">
        <f>29.82*100000000</f>
        <v>2982000000</v>
      </c>
      <c r="BK415" s="6" t="s">
        <v>4245</v>
      </c>
      <c r="BL415" s="1" t="str">
        <f t="shared" si="187"/>
        <v>=11.26*100000000</v>
      </c>
      <c r="BM415" s="16">
        <f t="shared" si="216"/>
        <v>1.6483126110124333</v>
      </c>
      <c r="BN415" s="1">
        <f>11.26*100000000</f>
        <v>1126000000</v>
      </c>
    </row>
    <row r="416" spans="1:66">
      <c r="A416" s="18"/>
      <c r="B416">
        <v>600332</v>
      </c>
      <c r="C416" t="s">
        <v>58</v>
      </c>
      <c r="D416" s="6" t="s">
        <v>3417</v>
      </c>
      <c r="E416" s="7" t="str">
        <f t="shared" si="186"/>
        <v>=47.23*100000000</v>
      </c>
      <c r="F416" s="1">
        <f>47.23*100000000</f>
        <v>4723000000</v>
      </c>
      <c r="G416" s="8">
        <f t="shared" si="188"/>
        <v>0.12318668252080869</v>
      </c>
      <c r="H416" s="6" t="s">
        <v>5243</v>
      </c>
      <c r="I416" s="6" t="str">
        <f t="shared" si="189"/>
        <v>=42.05*100000000</v>
      </c>
      <c r="J416" s="1">
        <f>42.05*100000000</f>
        <v>4204999999.9999995</v>
      </c>
      <c r="K416" s="10">
        <f t="shared" si="190"/>
        <v>0.31859517089996847</v>
      </c>
      <c r="L416" s="6" t="s">
        <v>5244</v>
      </c>
      <c r="M416" s="6" t="str">
        <f t="shared" si="191"/>
        <v>=31.89*100000000</v>
      </c>
      <c r="N416" s="1">
        <f>31.89*100000000</f>
        <v>3189000000</v>
      </c>
      <c r="O416" s="8">
        <f t="shared" si="192"/>
        <v>0.56170421155729655</v>
      </c>
      <c r="P416" s="6" t="s">
        <v>5245</v>
      </c>
      <c r="Q416" s="6" t="str">
        <f t="shared" si="193"/>
        <v>=20.42*100000000</v>
      </c>
      <c r="R416" s="11">
        <f>20.42*100000000</f>
        <v>2042000000.0000002</v>
      </c>
      <c r="S416" s="8">
        <f t="shared" si="194"/>
        <v>-0.45386466969778011</v>
      </c>
      <c r="T416" s="6" t="s">
        <v>5246</v>
      </c>
      <c r="U416" s="6" t="str">
        <f t="shared" si="195"/>
        <v>=37.39*100000000</v>
      </c>
      <c r="V416" s="1">
        <f>37.39*100000000</f>
        <v>3739000000</v>
      </c>
      <c r="W416" s="8">
        <f t="shared" si="196"/>
        <v>7.5661680092059841E-2</v>
      </c>
      <c r="X416" s="6" t="s">
        <v>5247</v>
      </c>
      <c r="Y416" s="6" t="str">
        <f t="shared" si="197"/>
        <v>=34.76*100000000</v>
      </c>
      <c r="Z416" s="1">
        <f>34.76*100000000</f>
        <v>3476000000</v>
      </c>
      <c r="AA416" s="8">
        <f t="shared" si="198"/>
        <v>0.53465783664459166</v>
      </c>
      <c r="AB416" s="6" t="s">
        <v>5248</v>
      </c>
      <c r="AC416" s="6" t="str">
        <f t="shared" si="199"/>
        <v>=22.65*100000000</v>
      </c>
      <c r="AD416" s="1">
        <f>22.65*100000000</f>
        <v>2265000000</v>
      </c>
      <c r="AE416" s="8">
        <f t="shared" si="200"/>
        <v>0.49013157894736842</v>
      </c>
      <c r="AF416" s="6" t="s">
        <v>5249</v>
      </c>
      <c r="AG416" s="6" t="str">
        <f t="shared" si="201"/>
        <v>=15.20*100000000</v>
      </c>
      <c r="AH416" s="1">
        <f>15.2*100000000</f>
        <v>1520000000</v>
      </c>
      <c r="AI416" s="8">
        <f t="shared" si="202"/>
        <v>-0.6318721240009687</v>
      </c>
      <c r="AJ416" s="6" t="s">
        <v>5250</v>
      </c>
      <c r="AK416" s="6" t="str">
        <f t="shared" si="203"/>
        <v>=41.29*100000000</v>
      </c>
      <c r="AL416" s="1">
        <f>41.29*100000000</f>
        <v>4129000000</v>
      </c>
      <c r="AM416" s="8">
        <f t="shared" si="204"/>
        <v>1.9254505060478894E-2</v>
      </c>
      <c r="AN416" s="6" t="s">
        <v>5251</v>
      </c>
      <c r="AO416" s="6" t="str">
        <f t="shared" si="205"/>
        <v>=40.51*100000000</v>
      </c>
      <c r="AP416" s="1">
        <f>40.51*100000000</f>
        <v>4051000000</v>
      </c>
      <c r="AQ416" s="8">
        <f t="shared" si="206"/>
        <v>0.26120797011207991</v>
      </c>
      <c r="AR416" s="6" t="s">
        <v>5252</v>
      </c>
      <c r="AS416" s="6" t="str">
        <f t="shared" si="207"/>
        <v>=32.12*100000000</v>
      </c>
      <c r="AT416" s="1">
        <f>32.12*100000000</f>
        <v>3211999999.9999995</v>
      </c>
      <c r="AU416" s="8">
        <f t="shared" si="208"/>
        <v>0.81059751972942495</v>
      </c>
      <c r="AV416" s="6" t="s">
        <v>5253</v>
      </c>
      <c r="AW416" s="6" t="str">
        <f t="shared" si="209"/>
        <v>=17.74*100000000</v>
      </c>
      <c r="AX416" s="1">
        <f>17.74*100000000</f>
        <v>1773999999.9999998</v>
      </c>
      <c r="AY416" s="10">
        <f t="shared" si="210"/>
        <v>-0.55859666583727297</v>
      </c>
      <c r="AZ416" s="6" t="s">
        <v>5254</v>
      </c>
      <c r="BA416" s="6" t="str">
        <f t="shared" si="211"/>
        <v>=40.19*100000000</v>
      </c>
      <c r="BB416" s="1">
        <f>40.19*100000000</f>
        <v>4019000000</v>
      </c>
      <c r="BC416" s="8">
        <f t="shared" si="212"/>
        <v>9.545340366742025E-3</v>
      </c>
      <c r="BD416" s="6" t="s">
        <v>5255</v>
      </c>
      <c r="BE416" s="6" t="str">
        <f t="shared" si="213"/>
        <v>=39.81*100000000</v>
      </c>
      <c r="BF416" s="1">
        <f>39.81*100000000</f>
        <v>3981000000</v>
      </c>
      <c r="BG416" s="8">
        <f t="shared" si="214"/>
        <v>0.322152108933909</v>
      </c>
      <c r="BH416" s="6" t="s">
        <v>2466</v>
      </c>
      <c r="BI416" s="6" t="str">
        <f t="shared" si="215"/>
        <v>=30.11*100000000</v>
      </c>
      <c r="BJ416" s="1">
        <f>30.11*100000000</f>
        <v>3011000000</v>
      </c>
      <c r="BK416" s="6" t="s">
        <v>5256</v>
      </c>
      <c r="BL416" s="1" t="str">
        <f t="shared" si="187"/>
        <v>=11.43*100000000</v>
      </c>
      <c r="BM416" s="16">
        <f t="shared" si="216"/>
        <v>1.6342957130358706</v>
      </c>
      <c r="BN416" s="1">
        <f>11.43*100000000</f>
        <v>1143000000</v>
      </c>
    </row>
    <row r="417" spans="1:66">
      <c r="A417" s="19"/>
      <c r="B417">
        <v>600332</v>
      </c>
      <c r="C417" t="s">
        <v>68</v>
      </c>
      <c r="D417" s="6" t="s">
        <v>5257</v>
      </c>
      <c r="E417" s="7" t="str">
        <f t="shared" si="186"/>
        <v>=39.69*100000000</v>
      </c>
      <c r="F417" s="1">
        <f>39.69*100000000</f>
        <v>3969000000</v>
      </c>
      <c r="G417" s="8">
        <f t="shared" si="188"/>
        <v>0.13109147905386134</v>
      </c>
      <c r="H417" s="6" t="s">
        <v>5258</v>
      </c>
      <c r="I417" s="6" t="str">
        <f t="shared" si="189"/>
        <v>=35.09*100000000</v>
      </c>
      <c r="J417" s="1">
        <f>35.09*100000000</f>
        <v>3509000000.0000005</v>
      </c>
      <c r="K417" s="10">
        <f t="shared" si="190"/>
        <v>0.32415094339622658</v>
      </c>
      <c r="L417" s="6" t="s">
        <v>5259</v>
      </c>
      <c r="M417" s="6" t="str">
        <f t="shared" si="191"/>
        <v>=26.50*100000000</v>
      </c>
      <c r="N417" s="1">
        <f>26.5*100000000</f>
        <v>2650000000</v>
      </c>
      <c r="O417" s="8">
        <f t="shared" si="192"/>
        <v>0.55516431924882625</v>
      </c>
      <c r="P417" s="6" t="s">
        <v>5260</v>
      </c>
      <c r="Q417" s="6" t="str">
        <f t="shared" si="193"/>
        <v>=17.04*100000000</v>
      </c>
      <c r="R417" s="11">
        <f>17.04*100000000</f>
        <v>1704000000</v>
      </c>
      <c r="S417" s="8">
        <f t="shared" si="194"/>
        <v>-0.44890038809831823</v>
      </c>
      <c r="T417" s="6" t="s">
        <v>1430</v>
      </c>
      <c r="U417" s="6" t="str">
        <f t="shared" si="195"/>
        <v>=30.92*100000000</v>
      </c>
      <c r="V417" s="1">
        <f>30.92*100000000</f>
        <v>3092000000</v>
      </c>
      <c r="W417" s="8">
        <f t="shared" si="196"/>
        <v>9.1037402964008474E-2</v>
      </c>
      <c r="X417" s="6" t="s">
        <v>5261</v>
      </c>
      <c r="Y417" s="6" t="str">
        <f t="shared" si="197"/>
        <v>=28.34*100000000</v>
      </c>
      <c r="Z417" s="1">
        <f>28.34*100000000</f>
        <v>2834000000</v>
      </c>
      <c r="AA417" s="8">
        <f t="shared" si="198"/>
        <v>0.50344827586206875</v>
      </c>
      <c r="AB417" s="6" t="s">
        <v>5262</v>
      </c>
      <c r="AC417" s="6" t="str">
        <f t="shared" si="199"/>
        <v>=18.85*100000000</v>
      </c>
      <c r="AD417" s="1">
        <f>18.85*100000000</f>
        <v>1885000000.0000002</v>
      </c>
      <c r="AE417" s="8">
        <f t="shared" si="200"/>
        <v>0.4972200158856237</v>
      </c>
      <c r="AF417" s="6" t="s">
        <v>5263</v>
      </c>
      <c r="AG417" s="6" t="str">
        <f t="shared" si="201"/>
        <v>=12.59*100000000</v>
      </c>
      <c r="AH417" s="1">
        <f>12.59*100000000</f>
        <v>1259000000</v>
      </c>
      <c r="AI417" s="8">
        <f t="shared" si="202"/>
        <v>-0.63411798895669858</v>
      </c>
      <c r="AJ417" s="6" t="s">
        <v>5264</v>
      </c>
      <c r="AK417" s="6" t="str">
        <f t="shared" si="203"/>
        <v>=34.41*100000000</v>
      </c>
      <c r="AL417" s="1">
        <f>34.41*100000000</f>
        <v>3440999999.9999995</v>
      </c>
      <c r="AM417" s="8">
        <f t="shared" si="204"/>
        <v>1.804733727810651E-2</v>
      </c>
      <c r="AN417" s="6" t="s">
        <v>5265</v>
      </c>
      <c r="AO417" s="6" t="str">
        <f t="shared" si="205"/>
        <v>=33.80*100000000</v>
      </c>
      <c r="AP417" s="1">
        <f>33.8*100000000</f>
        <v>3379999999.9999995</v>
      </c>
      <c r="AQ417" s="8">
        <f t="shared" si="206"/>
        <v>0.26213592233009692</v>
      </c>
      <c r="AR417" s="6" t="s">
        <v>5266</v>
      </c>
      <c r="AS417" s="6" t="str">
        <f t="shared" si="207"/>
        <v>=26.78*100000000</v>
      </c>
      <c r="AT417" s="1">
        <f>26.78*100000000</f>
        <v>2678000000</v>
      </c>
      <c r="AU417" s="8">
        <f t="shared" si="208"/>
        <v>0.82798634812286687</v>
      </c>
      <c r="AV417" s="6" t="s">
        <v>5267</v>
      </c>
      <c r="AW417" s="6" t="str">
        <f t="shared" si="209"/>
        <v>=14.65*100000000</v>
      </c>
      <c r="AX417" s="1">
        <f>14.65*100000000</f>
        <v>1465000000</v>
      </c>
      <c r="AY417" s="10">
        <f t="shared" si="210"/>
        <v>-0.5854555744199208</v>
      </c>
      <c r="AZ417" s="6" t="s">
        <v>5118</v>
      </c>
      <c r="BA417" s="6" t="str">
        <f t="shared" si="211"/>
        <v>=35.34*100000000</v>
      </c>
      <c r="BB417" s="1">
        <f>35.34*100000000</f>
        <v>3534000000.0000005</v>
      </c>
      <c r="BC417" s="8">
        <f t="shared" si="212"/>
        <v>7.1245369051011675E-3</v>
      </c>
      <c r="BD417" s="6" t="s">
        <v>5258</v>
      </c>
      <c r="BE417" s="6" t="str">
        <f t="shared" si="213"/>
        <v>=35.09*100000000</v>
      </c>
      <c r="BF417" s="1">
        <f>35.09*100000000</f>
        <v>3509000000.0000005</v>
      </c>
      <c r="BG417" s="8">
        <f t="shared" si="214"/>
        <v>0.3196690485144793</v>
      </c>
      <c r="BH417" s="6" t="s">
        <v>5268</v>
      </c>
      <c r="BI417" s="6" t="str">
        <f t="shared" si="215"/>
        <v>=26.59*100000000</v>
      </c>
      <c r="BJ417" s="1">
        <f>26.59*100000000</f>
        <v>2659000000</v>
      </c>
      <c r="BK417" s="6" t="s">
        <v>5269</v>
      </c>
      <c r="BL417" s="1" t="str">
        <f t="shared" si="187"/>
        <v>=9.265*100000000</v>
      </c>
      <c r="BM417" s="16">
        <f t="shared" si="216"/>
        <v>1.8699406368051807</v>
      </c>
      <c r="BN417" s="1">
        <f>9.265*100000000</f>
        <v>926500000</v>
      </c>
    </row>
    <row r="418" spans="1:66">
      <c r="A418" s="17">
        <v>105</v>
      </c>
      <c r="B418">
        <v>600335</v>
      </c>
      <c r="C418" t="s">
        <v>31</v>
      </c>
      <c r="D418" s="6" t="s">
        <v>5270</v>
      </c>
      <c r="E418" s="7" t="str">
        <f t="shared" si="186"/>
        <v>=439.5*100000000</v>
      </c>
      <c r="F418" s="1">
        <f>439.5*100000000</f>
        <v>43950000000</v>
      </c>
      <c r="G418" s="8">
        <f t="shared" si="188"/>
        <v>0.3864353312302839</v>
      </c>
      <c r="H418" s="6" t="s">
        <v>5271</v>
      </c>
      <c r="I418" s="6" t="str">
        <f t="shared" si="189"/>
        <v>=317.0*100000000</v>
      </c>
      <c r="J418" s="1">
        <f>317*100000000</f>
        <v>31700000000</v>
      </c>
      <c r="K418" s="10">
        <f t="shared" si="190"/>
        <v>0.3705144833549503</v>
      </c>
      <c r="L418" s="6" t="s">
        <v>5272</v>
      </c>
      <c r="M418" s="6" t="str">
        <f t="shared" si="191"/>
        <v>=231.3*100000000</v>
      </c>
      <c r="N418" s="1">
        <f>231.3*100000000</f>
        <v>23130000000</v>
      </c>
      <c r="O418" s="8">
        <f t="shared" si="192"/>
        <v>0.9115702479338843</v>
      </c>
      <c r="P418" s="6" t="s">
        <v>5273</v>
      </c>
      <c r="Q418" s="6" t="str">
        <f t="shared" si="193"/>
        <v>=121.0*100000000</v>
      </c>
      <c r="R418" s="11">
        <f>121*100000000</f>
        <v>12100000000</v>
      </c>
      <c r="S418" s="8">
        <f t="shared" si="194"/>
        <v>-0.7258101065035123</v>
      </c>
      <c r="T418" s="6" t="s">
        <v>5274</v>
      </c>
      <c r="U418" s="6" t="str">
        <f t="shared" si="195"/>
        <v>=441.3*100000000</v>
      </c>
      <c r="V418" s="1">
        <f>441.3*100000000</f>
        <v>44130000000</v>
      </c>
      <c r="W418" s="8">
        <f t="shared" si="196"/>
        <v>0.47542627883650934</v>
      </c>
      <c r="X418" s="6" t="s">
        <v>5275</v>
      </c>
      <c r="Y418" s="6" t="str">
        <f t="shared" si="197"/>
        <v>=299.1*100000000</v>
      </c>
      <c r="Z418" s="1">
        <f>299.1*100000000</f>
        <v>29910000000.000004</v>
      </c>
      <c r="AA418" s="8">
        <f t="shared" si="198"/>
        <v>0.6353198469108805</v>
      </c>
      <c r="AB418" s="6" t="s">
        <v>5276</v>
      </c>
      <c r="AC418" s="6" t="str">
        <f t="shared" si="199"/>
        <v>=182.9*100000000</v>
      </c>
      <c r="AD418" s="1">
        <f>182.9*100000000</f>
        <v>18290000000</v>
      </c>
      <c r="AE418" s="8">
        <f t="shared" si="200"/>
        <v>1.8065060610710451</v>
      </c>
      <c r="AF418" s="6" t="s">
        <v>5277</v>
      </c>
      <c r="AG418" s="6" t="str">
        <f t="shared" si="201"/>
        <v>=65.17*100000000</v>
      </c>
      <c r="AH418" s="1">
        <f>65.17*100000000</f>
        <v>6517000000</v>
      </c>
      <c r="AI418" s="8">
        <f t="shared" si="202"/>
        <v>-0.87505751533742326</v>
      </c>
      <c r="AJ418" s="6" t="s">
        <v>5278</v>
      </c>
      <c r="AK418" s="6" t="str">
        <f t="shared" si="203"/>
        <v>=521.6*100000000</v>
      </c>
      <c r="AL418" s="1">
        <f>521.6*100000000</f>
        <v>52160000000</v>
      </c>
      <c r="AM418" s="8">
        <f t="shared" si="204"/>
        <v>0.39167556029882605</v>
      </c>
      <c r="AN418" s="6" t="s">
        <v>5279</v>
      </c>
      <c r="AO418" s="6" t="str">
        <f t="shared" si="205"/>
        <v>=374.8*100000000</v>
      </c>
      <c r="AP418" s="1">
        <f>374.8*100000000</f>
        <v>37480000000</v>
      </c>
      <c r="AQ418" s="8">
        <f t="shared" si="206"/>
        <v>0.4037453183520599</v>
      </c>
      <c r="AR418" s="6" t="s">
        <v>5280</v>
      </c>
      <c r="AS418" s="6" t="str">
        <f t="shared" si="207"/>
        <v>=267.0*100000000</v>
      </c>
      <c r="AT418" s="1">
        <f>267*100000000</f>
        <v>26700000000</v>
      </c>
      <c r="AU418" s="8">
        <f t="shared" si="208"/>
        <v>1.295786758383491</v>
      </c>
      <c r="AV418" s="6" t="s">
        <v>5281</v>
      </c>
      <c r="AW418" s="6" t="str">
        <f t="shared" si="209"/>
        <v>=116.3*100000000</v>
      </c>
      <c r="AX418" s="1">
        <f>116.3*100000000</f>
        <v>11630000000</v>
      </c>
      <c r="AY418" s="10">
        <f t="shared" si="210"/>
        <v>-0.79202432045779692</v>
      </c>
      <c r="AZ418" s="6" t="s">
        <v>5282</v>
      </c>
      <c r="BA418" s="6" t="str">
        <f t="shared" si="211"/>
        <v>=559.2*100000000</v>
      </c>
      <c r="BB418" s="1">
        <f>559.2*100000000</f>
        <v>55920000000.000008</v>
      </c>
      <c r="BC418" s="8">
        <f t="shared" si="212"/>
        <v>0.35926105979581935</v>
      </c>
      <c r="BD418" s="6" t="s">
        <v>5283</v>
      </c>
      <c r="BE418" s="6" t="str">
        <f t="shared" si="213"/>
        <v>=411.4*100000000</v>
      </c>
      <c r="BF418" s="1">
        <f>411.4*100000000</f>
        <v>41140000000</v>
      </c>
      <c r="BG418" s="8">
        <f t="shared" si="214"/>
        <v>0.71202663337494798</v>
      </c>
      <c r="BH418" s="6" t="s">
        <v>5284</v>
      </c>
      <c r="BI418" s="6" t="str">
        <f t="shared" si="215"/>
        <v>=240.3*100000000</v>
      </c>
      <c r="BJ418" s="1">
        <f>240.3*100000000</f>
        <v>24030000000</v>
      </c>
      <c r="BK418" s="6" t="s">
        <v>2620</v>
      </c>
      <c r="BL418" s="1" t="str">
        <f t="shared" si="187"/>
        <v>=102.1*100000000</v>
      </c>
      <c r="BM418" s="16">
        <f t="shared" si="216"/>
        <v>1.3535749265426054</v>
      </c>
      <c r="BN418" s="1">
        <f>102.1*100000000</f>
        <v>10210000000</v>
      </c>
    </row>
    <row r="419" spans="1:66">
      <c r="A419" s="18"/>
      <c r="B419">
        <v>600335</v>
      </c>
      <c r="C419" t="s">
        <v>48</v>
      </c>
      <c r="D419" s="6" t="s">
        <v>5285</v>
      </c>
      <c r="E419" s="7" t="str">
        <f t="shared" si="186"/>
        <v>=4.324*100000000</v>
      </c>
      <c r="F419" s="1">
        <f>4.324*100000000</f>
        <v>432400000</v>
      </c>
      <c r="G419" s="8">
        <f t="shared" si="188"/>
        <v>0.45540222147425108</v>
      </c>
      <c r="H419" s="6" t="s">
        <v>117</v>
      </c>
      <c r="I419" s="6" t="str">
        <f t="shared" si="189"/>
        <v>=2.971*100000000</v>
      </c>
      <c r="J419" s="1">
        <f>2.971*100000000</f>
        <v>297100000</v>
      </c>
      <c r="K419" s="10">
        <f t="shared" si="190"/>
        <v>0.61029810298102982</v>
      </c>
      <c r="L419" s="6" t="s">
        <v>5286</v>
      </c>
      <c r="M419" s="6" t="str">
        <f t="shared" si="191"/>
        <v>=1.845*100000000</v>
      </c>
      <c r="N419" s="1">
        <f>1.845*100000000</f>
        <v>184500000</v>
      </c>
      <c r="O419" s="8">
        <f t="shared" si="192"/>
        <v>2.2864267901674387</v>
      </c>
      <c r="P419" s="7" t="s">
        <v>5287</v>
      </c>
      <c r="Q419" s="6" t="str">
        <f t="shared" si="193"/>
        <v>=5614*10000</v>
      </c>
      <c r="R419" s="11">
        <f>5614*10000</f>
        <v>56140000</v>
      </c>
      <c r="S419" s="8">
        <f t="shared" si="194"/>
        <v>-0.89672553348050033</v>
      </c>
      <c r="T419" s="6" t="s">
        <v>5288</v>
      </c>
      <c r="U419" s="6" t="str">
        <f t="shared" si="195"/>
        <v>=5.436*100000000</v>
      </c>
      <c r="V419" s="1">
        <f>5.436*100000000</f>
        <v>543600000</v>
      </c>
      <c r="W419" s="8">
        <f t="shared" si="196"/>
        <v>1.1999190611088628</v>
      </c>
      <c r="X419" s="6" t="s">
        <v>5289</v>
      </c>
      <c r="Y419" s="6" t="str">
        <f t="shared" si="197"/>
        <v>=2.471*100000000</v>
      </c>
      <c r="Z419" s="1">
        <f>2.471*100000000</f>
        <v>247100000</v>
      </c>
      <c r="AA419" s="8">
        <f t="shared" si="198"/>
        <v>-0.13298245614035087</v>
      </c>
      <c r="AB419" s="6" t="s">
        <v>5290</v>
      </c>
      <c r="AC419" s="6" t="str">
        <f t="shared" si="199"/>
        <v>=2.850*100000000</v>
      </c>
      <c r="AD419" s="1">
        <f>2.85*100000000</f>
        <v>285000000</v>
      </c>
      <c r="AE419" s="8">
        <f t="shared" si="200"/>
        <v>30.096563011456627</v>
      </c>
      <c r="AF419" s="7" t="s">
        <v>5291</v>
      </c>
      <c r="AG419" s="6" t="str">
        <f t="shared" si="201"/>
        <v>=916.5*10000</v>
      </c>
      <c r="AH419" s="1">
        <f>916.5*10000</f>
        <v>9165000</v>
      </c>
      <c r="AI419" s="8">
        <f t="shared" si="202"/>
        <v>-0.98610521528198913</v>
      </c>
      <c r="AJ419" s="6" t="s">
        <v>5292</v>
      </c>
      <c r="AK419" s="6" t="str">
        <f t="shared" si="203"/>
        <v>=6.596*100000000</v>
      </c>
      <c r="AL419" s="1">
        <f>6.596*100000000</f>
        <v>659600000</v>
      </c>
      <c r="AM419" s="8">
        <f t="shared" si="204"/>
        <v>5.434782608695652E-2</v>
      </c>
      <c r="AN419" s="6" t="s">
        <v>5293</v>
      </c>
      <c r="AO419" s="6" t="str">
        <f t="shared" si="205"/>
        <v>=6.256*100000000</v>
      </c>
      <c r="AP419" s="1">
        <f>6.256*100000000</f>
        <v>625600000</v>
      </c>
      <c r="AQ419" s="8">
        <f t="shared" si="206"/>
        <v>0.1259899208063355</v>
      </c>
      <c r="AR419" s="6" t="s">
        <v>5294</v>
      </c>
      <c r="AS419" s="6" t="str">
        <f t="shared" si="207"/>
        <v>=5.556*100000000</v>
      </c>
      <c r="AT419" s="1">
        <f>5.556*100000000</f>
        <v>555600000</v>
      </c>
      <c r="AU419" s="8">
        <f t="shared" si="208"/>
        <v>0.61183637946040037</v>
      </c>
      <c r="AV419" s="6" t="s">
        <v>5295</v>
      </c>
      <c r="AW419" s="6" t="str">
        <f t="shared" si="209"/>
        <v>=3.447*100000000</v>
      </c>
      <c r="AX419" s="1">
        <f>3.447*100000000</f>
        <v>344700000</v>
      </c>
      <c r="AY419" s="10">
        <f t="shared" si="210"/>
        <v>-0.69495575221238937</v>
      </c>
      <c r="AZ419" s="6" t="s">
        <v>5296</v>
      </c>
      <c r="BA419" s="6" t="str">
        <f t="shared" si="211"/>
        <v>=11.30*100000000</v>
      </c>
      <c r="BB419" s="1">
        <f>11.3*100000000</f>
        <v>1130000000</v>
      </c>
      <c r="BC419" s="8">
        <f t="shared" si="212"/>
        <v>0.33601324190115867</v>
      </c>
      <c r="BD419" s="6" t="s">
        <v>5297</v>
      </c>
      <c r="BE419" s="6" t="str">
        <f t="shared" si="213"/>
        <v>=8.458*100000000</v>
      </c>
      <c r="BF419" s="1">
        <f>8.458*100000000</f>
        <v>845800000</v>
      </c>
      <c r="BG419" s="8">
        <f t="shared" si="214"/>
        <v>0.37260629665692957</v>
      </c>
      <c r="BH419" s="6" t="s">
        <v>2658</v>
      </c>
      <c r="BI419" s="6" t="str">
        <f t="shared" si="215"/>
        <v>=6.162*100000000</v>
      </c>
      <c r="BJ419" s="1">
        <f>6.162*100000000</f>
        <v>616200000</v>
      </c>
      <c r="BK419" s="6" t="s">
        <v>3501</v>
      </c>
      <c r="BL419" s="1" t="str">
        <f t="shared" si="187"/>
        <v>=2.328*100000000</v>
      </c>
      <c r="BM419" s="16">
        <f t="shared" si="216"/>
        <v>1.6469072164948455</v>
      </c>
      <c r="BN419" s="1">
        <f>2.328*100000000</f>
        <v>232799999.99999997</v>
      </c>
    </row>
    <row r="420" spans="1:66">
      <c r="A420" s="18"/>
      <c r="B420">
        <v>600335</v>
      </c>
      <c r="C420" t="s">
        <v>58</v>
      </c>
      <c r="D420" s="6" t="s">
        <v>5298</v>
      </c>
      <c r="E420" s="7" t="str">
        <f t="shared" si="186"/>
        <v>=4.284*100000000</v>
      </c>
      <c r="F420" s="1">
        <f>4.284*100000000</f>
        <v>428400000</v>
      </c>
      <c r="G420" s="8">
        <f t="shared" si="188"/>
        <v>0.46913580246913578</v>
      </c>
      <c r="H420" s="6" t="s">
        <v>5299</v>
      </c>
      <c r="I420" s="6" t="str">
        <f t="shared" si="189"/>
        <v>=2.916*100000000</v>
      </c>
      <c r="J420" s="1">
        <f>2.916*100000000</f>
        <v>291600000</v>
      </c>
      <c r="K420" s="10">
        <f t="shared" si="190"/>
        <v>0.50386797318205256</v>
      </c>
      <c r="L420" s="6" t="s">
        <v>5300</v>
      </c>
      <c r="M420" s="6" t="str">
        <f t="shared" si="191"/>
        <v>=1.939*100000000</v>
      </c>
      <c r="N420" s="1">
        <f>1.939*100000000</f>
        <v>193900000</v>
      </c>
      <c r="O420" s="8">
        <f t="shared" si="192"/>
        <v>2.1513083048919226</v>
      </c>
      <c r="P420" s="7" t="s">
        <v>5301</v>
      </c>
      <c r="Q420" s="6" t="str">
        <f t="shared" si="193"/>
        <v>=6153*10000</v>
      </c>
      <c r="R420" s="11">
        <f>6153*10000</f>
        <v>61530000</v>
      </c>
      <c r="S420" s="8">
        <f t="shared" si="194"/>
        <v>-0.87664394546912594</v>
      </c>
      <c r="T420" s="6" t="s">
        <v>5302</v>
      </c>
      <c r="U420" s="6" t="str">
        <f t="shared" si="195"/>
        <v>=4.988*100000000</v>
      </c>
      <c r="V420" s="1">
        <f>4.988*100000000</f>
        <v>498800000.00000006</v>
      </c>
      <c r="W420" s="8">
        <f t="shared" si="196"/>
        <v>0.8412698412698415</v>
      </c>
      <c r="X420" s="6" t="s">
        <v>5303</v>
      </c>
      <c r="Y420" s="6" t="str">
        <f t="shared" si="197"/>
        <v>=2.709*100000000</v>
      </c>
      <c r="Z420" s="1">
        <f>2.709*100000000</f>
        <v>270900000</v>
      </c>
      <c r="AA420" s="8">
        <f t="shared" si="198"/>
        <v>-0.10505450941526263</v>
      </c>
      <c r="AB420" s="6" t="s">
        <v>5304</v>
      </c>
      <c r="AC420" s="6" t="str">
        <f t="shared" si="199"/>
        <v>=3.027*100000000</v>
      </c>
      <c r="AD420" s="1">
        <f>3.027*100000000</f>
        <v>302700000</v>
      </c>
      <c r="AE420" s="8">
        <f t="shared" si="200"/>
        <v>14.022332506203474</v>
      </c>
      <c r="AF420" s="7" t="s">
        <v>5305</v>
      </c>
      <c r="AG420" s="6" t="str">
        <f t="shared" si="201"/>
        <v>=2015*10000</v>
      </c>
      <c r="AH420" s="1">
        <f>2015*10000</f>
        <v>20150000</v>
      </c>
      <c r="AI420" s="8">
        <f t="shared" si="202"/>
        <v>-0.97131672597864771</v>
      </c>
      <c r="AJ420" s="6" t="s">
        <v>5306</v>
      </c>
      <c r="AK420" s="6" t="str">
        <f t="shared" si="203"/>
        <v>=7.025*100000000</v>
      </c>
      <c r="AL420" s="1">
        <f>7.025*100000000</f>
        <v>702500000</v>
      </c>
      <c r="AM420" s="8">
        <f t="shared" si="204"/>
        <v>7.5803981623277186E-2</v>
      </c>
      <c r="AN420" s="6" t="s">
        <v>5307</v>
      </c>
      <c r="AO420" s="6" t="str">
        <f t="shared" si="205"/>
        <v>=6.530*100000000</v>
      </c>
      <c r="AP420" s="1">
        <f>6.53*100000000</f>
        <v>653000000</v>
      </c>
      <c r="AQ420" s="8">
        <f t="shared" si="206"/>
        <v>0.15759617089168587</v>
      </c>
      <c r="AR420" s="6" t="s">
        <v>5308</v>
      </c>
      <c r="AS420" s="6" t="str">
        <f t="shared" si="207"/>
        <v>=5.641*100000000</v>
      </c>
      <c r="AT420" s="1">
        <f>5.641*100000000</f>
        <v>564100000</v>
      </c>
      <c r="AU420" s="8">
        <f t="shared" si="208"/>
        <v>0.62004595060310164</v>
      </c>
      <c r="AV420" s="6" t="s">
        <v>5309</v>
      </c>
      <c r="AW420" s="6" t="str">
        <f t="shared" si="209"/>
        <v>=3.482*100000000</v>
      </c>
      <c r="AX420" s="1">
        <f>3.482*100000000</f>
        <v>348200000</v>
      </c>
      <c r="AY420" s="10">
        <f t="shared" si="210"/>
        <v>-0.68715184186882305</v>
      </c>
      <c r="AZ420" s="6" t="s">
        <v>2419</v>
      </c>
      <c r="BA420" s="6" t="str">
        <f t="shared" si="211"/>
        <v>=11.13*100000000</v>
      </c>
      <c r="BB420" s="1">
        <f>11.13*100000000</f>
        <v>1113000000</v>
      </c>
      <c r="BC420" s="8">
        <f t="shared" si="212"/>
        <v>0.38072199478972835</v>
      </c>
      <c r="BD420" s="6" t="s">
        <v>5310</v>
      </c>
      <c r="BE420" s="6" t="str">
        <f t="shared" si="213"/>
        <v>=8.061*100000000</v>
      </c>
      <c r="BF420" s="1">
        <f>8.061*100000000</f>
        <v>806100000</v>
      </c>
      <c r="BG420" s="8">
        <f t="shared" si="214"/>
        <v>0.30247212796897721</v>
      </c>
      <c r="BH420" s="6" t="s">
        <v>5311</v>
      </c>
      <c r="BI420" s="6" t="str">
        <f t="shared" si="215"/>
        <v>=6.189*100000000</v>
      </c>
      <c r="BJ420" s="1">
        <f>6.189*100000000</f>
        <v>618900000</v>
      </c>
      <c r="BK420" s="6" t="s">
        <v>5312</v>
      </c>
      <c r="BL420" s="1" t="str">
        <f t="shared" si="187"/>
        <v>=2.337*100000000</v>
      </c>
      <c r="BM420" s="16">
        <f t="shared" si="216"/>
        <v>1.6482670089858791</v>
      </c>
      <c r="BN420" s="1">
        <f>2.337*100000000</f>
        <v>233700000.00000003</v>
      </c>
    </row>
    <row r="421" spans="1:66">
      <c r="A421" s="19"/>
      <c r="B421">
        <v>600335</v>
      </c>
      <c r="C421" t="s">
        <v>68</v>
      </c>
      <c r="D421" s="6" t="s">
        <v>5313</v>
      </c>
      <c r="E421" s="7" t="str">
        <f t="shared" si="186"/>
        <v>=2.776*100000000</v>
      </c>
      <c r="F421" s="1">
        <f>2.776*100000000</f>
        <v>277600000</v>
      </c>
      <c r="G421" s="8">
        <f t="shared" si="188"/>
        <v>0.44207792207792207</v>
      </c>
      <c r="H421" s="6" t="s">
        <v>5314</v>
      </c>
      <c r="I421" s="6" t="str">
        <f t="shared" si="189"/>
        <v>=1.925*100000000</v>
      </c>
      <c r="J421" s="1">
        <f>1.925*100000000</f>
        <v>192500000</v>
      </c>
      <c r="K421" s="10">
        <f t="shared" si="190"/>
        <v>0.63829787234042556</v>
      </c>
      <c r="L421" s="6" t="s">
        <v>5315</v>
      </c>
      <c r="M421" s="6" t="str">
        <f t="shared" si="191"/>
        <v>=1.175*100000000</v>
      </c>
      <c r="N421" s="1">
        <f>1.175*100000000</f>
        <v>117500000</v>
      </c>
      <c r="O421" s="8">
        <f t="shared" si="192"/>
        <v>4.7569818716315533</v>
      </c>
      <c r="P421" s="7" t="s">
        <v>5316</v>
      </c>
      <c r="Q421" s="6" t="str">
        <f t="shared" si="193"/>
        <v>=2041*10000</v>
      </c>
      <c r="R421" s="11">
        <f>2041*10000</f>
        <v>20410000</v>
      </c>
      <c r="S421" s="8">
        <f t="shared" si="194"/>
        <v>-0.91845785057930485</v>
      </c>
      <c r="T421" s="6" t="s">
        <v>5317</v>
      </c>
      <c r="U421" s="6" t="str">
        <f t="shared" si="195"/>
        <v>=2.503*100000000</v>
      </c>
      <c r="V421" s="1">
        <f>2.503*100000000</f>
        <v>250300000</v>
      </c>
      <c r="W421" s="8">
        <f t="shared" si="196"/>
        <v>0.72501722949689873</v>
      </c>
      <c r="X421" s="6" t="s">
        <v>5318</v>
      </c>
      <c r="Y421" s="6" t="str">
        <f t="shared" si="197"/>
        <v>=1.451*100000000</v>
      </c>
      <c r="Z421" s="1">
        <f>1.451*100000000</f>
        <v>145100000</v>
      </c>
      <c r="AA421" s="8">
        <f t="shared" si="198"/>
        <v>-0.34432896520560324</v>
      </c>
      <c r="AB421" s="6" t="s">
        <v>5319</v>
      </c>
      <c r="AC421" s="6" t="str">
        <f t="shared" si="199"/>
        <v>=2.213*100000000</v>
      </c>
      <c r="AD421" s="1">
        <f>2.213*100000000</f>
        <v>221300000</v>
      </c>
      <c r="AE421" s="8">
        <f t="shared" si="200"/>
        <v>47.488168273444344</v>
      </c>
      <c r="AF421" s="7" t="s">
        <v>5320</v>
      </c>
      <c r="AG421" s="6" t="str">
        <f t="shared" si="201"/>
        <v>=456.4*10000</v>
      </c>
      <c r="AH421" s="1">
        <f>456.4*10000</f>
        <v>4564000</v>
      </c>
      <c r="AI421" s="8">
        <f t="shared" si="202"/>
        <v>-0.99162107582155312</v>
      </c>
      <c r="AJ421" s="6" t="s">
        <v>371</v>
      </c>
      <c r="AK421" s="6" t="str">
        <f t="shared" si="203"/>
        <v>=5.447*100000000</v>
      </c>
      <c r="AL421" s="1">
        <f>5.447*100000000</f>
        <v>544700000</v>
      </c>
      <c r="AM421" s="8">
        <f t="shared" si="204"/>
        <v>0.17645788336933046</v>
      </c>
      <c r="AN421" s="6" t="s">
        <v>5321</v>
      </c>
      <c r="AO421" s="6" t="str">
        <f t="shared" si="205"/>
        <v>=4.630*100000000</v>
      </c>
      <c r="AP421" s="1">
        <f>4.63*100000000</f>
        <v>463000000</v>
      </c>
      <c r="AQ421" s="8">
        <f t="shared" si="206"/>
        <v>0.14405732641462812</v>
      </c>
      <c r="AR421" s="6" t="s">
        <v>5322</v>
      </c>
      <c r="AS421" s="6" t="str">
        <f t="shared" si="207"/>
        <v>=4.047*100000000</v>
      </c>
      <c r="AT421" s="1">
        <f>4.047*100000000</f>
        <v>404700000</v>
      </c>
      <c r="AU421" s="8">
        <f t="shared" si="208"/>
        <v>0.57839313572542905</v>
      </c>
      <c r="AV421" s="6" t="s">
        <v>5323</v>
      </c>
      <c r="AW421" s="6" t="str">
        <f t="shared" si="209"/>
        <v>=2.564*100000000</v>
      </c>
      <c r="AX421" s="1">
        <f>2.564*100000000</f>
        <v>256400000</v>
      </c>
      <c r="AY421" s="10">
        <f t="shared" si="210"/>
        <v>-0.6714505381855459</v>
      </c>
      <c r="AZ421" s="6" t="s">
        <v>5324</v>
      </c>
      <c r="BA421" s="6" t="str">
        <f t="shared" si="211"/>
        <v>=7.804*100000000</v>
      </c>
      <c r="BB421" s="1">
        <f>7.804*100000000</f>
        <v>780400000</v>
      </c>
      <c r="BC421" s="8">
        <f t="shared" si="212"/>
        <v>0.3171308016877637</v>
      </c>
      <c r="BD421" s="6" t="s">
        <v>5325</v>
      </c>
      <c r="BE421" s="6" t="str">
        <f t="shared" si="213"/>
        <v>=5.925*100000000</v>
      </c>
      <c r="BF421" s="1">
        <f>5.925*100000000</f>
        <v>592500000</v>
      </c>
      <c r="BG421" s="8">
        <f t="shared" si="214"/>
        <v>0.34201585503963761</v>
      </c>
      <c r="BH421" s="6" t="s">
        <v>5326</v>
      </c>
      <c r="BI421" s="6" t="str">
        <f t="shared" si="215"/>
        <v>=4.415*100000000</v>
      </c>
      <c r="BJ421" s="1">
        <f>4.415*100000000</f>
        <v>441500000</v>
      </c>
      <c r="BK421" s="6" t="s">
        <v>5327</v>
      </c>
      <c r="BL421" s="1" t="str">
        <f t="shared" si="187"/>
        <v>=1.990*100000000</v>
      </c>
      <c r="BM421" s="16">
        <f t="shared" si="216"/>
        <v>1.2185929648241205</v>
      </c>
      <c r="BN421" s="1">
        <f>1.99*100000000</f>
        <v>199000000</v>
      </c>
    </row>
    <row r="422" spans="1:66">
      <c r="A422" s="17">
        <v>106</v>
      </c>
      <c r="B422">
        <v>600346</v>
      </c>
      <c r="C422" t="s">
        <v>31</v>
      </c>
      <c r="D422" s="6" t="s">
        <v>5328</v>
      </c>
      <c r="E422" s="7" t="str">
        <f t="shared" si="186"/>
        <v>=1980*100000000</v>
      </c>
      <c r="F422" s="1">
        <f>1980*100000000</f>
        <v>198000000000</v>
      </c>
      <c r="G422" s="8">
        <f t="shared" si="188"/>
        <v>0.30693069306930693</v>
      </c>
      <c r="H422" s="6" t="s">
        <v>5329</v>
      </c>
      <c r="I422" s="6" t="str">
        <f t="shared" si="189"/>
        <v>=1515*100000000</v>
      </c>
      <c r="J422" s="1">
        <f>1515*100000000</f>
        <v>151500000000</v>
      </c>
      <c r="K422" s="10">
        <f t="shared" si="190"/>
        <v>0.44837476099426388</v>
      </c>
      <c r="L422" s="6" t="s">
        <v>5330</v>
      </c>
      <c r="M422" s="6" t="str">
        <f t="shared" si="191"/>
        <v>=1046*100000000</v>
      </c>
      <c r="N422" s="1">
        <f>1046*100000000</f>
        <v>104600000000</v>
      </c>
      <c r="O422" s="8">
        <f t="shared" si="192"/>
        <v>0.96505729851587474</v>
      </c>
      <c r="P422" s="6" t="s">
        <v>5331</v>
      </c>
      <c r="Q422" s="6" t="str">
        <f t="shared" si="193"/>
        <v>=532.3*100000000</v>
      </c>
      <c r="R422" s="11">
        <f>532.3*100000000</f>
        <v>53229999999.999992</v>
      </c>
      <c r="S422" s="8">
        <f t="shared" si="194"/>
        <v>-0.6507217847769029</v>
      </c>
      <c r="T422" s="6" t="s">
        <v>5332</v>
      </c>
      <c r="U422" s="6" t="str">
        <f t="shared" si="195"/>
        <v>=1524*100000000</v>
      </c>
      <c r="V422" s="1">
        <f>1524*100000000</f>
        <v>152400000000</v>
      </c>
      <c r="W422" s="8">
        <f t="shared" si="196"/>
        <v>0.47531461761858662</v>
      </c>
      <c r="X422" s="6" t="s">
        <v>5333</v>
      </c>
      <c r="Y422" s="6" t="str">
        <f t="shared" si="197"/>
        <v>=1033*100000000</v>
      </c>
      <c r="Z422" s="1">
        <f>1033*100000000</f>
        <v>103300000000</v>
      </c>
      <c r="AA422" s="8">
        <f t="shared" si="198"/>
        <v>0.53355106888361048</v>
      </c>
      <c r="AB422" s="6" t="s">
        <v>5334</v>
      </c>
      <c r="AC422" s="6" t="str">
        <f t="shared" si="199"/>
        <v>=673.6*100000000</v>
      </c>
      <c r="AD422" s="1">
        <f>673.6*100000000</f>
        <v>67360000000</v>
      </c>
      <c r="AE422" s="8">
        <f t="shared" si="200"/>
        <v>1.262680550890158</v>
      </c>
      <c r="AF422" s="6" t="s">
        <v>5335</v>
      </c>
      <c r="AG422" s="6" t="str">
        <f t="shared" si="201"/>
        <v>=297.7*100000000</v>
      </c>
      <c r="AH422" s="1">
        <f>297.7*100000000</f>
        <v>29770000000</v>
      </c>
      <c r="AI422" s="8">
        <f t="shared" si="202"/>
        <v>-0.70466269841269846</v>
      </c>
      <c r="AJ422" s="6" t="s">
        <v>5336</v>
      </c>
      <c r="AK422" s="6" t="str">
        <f t="shared" si="203"/>
        <v>=1008*100000000</v>
      </c>
      <c r="AL422" s="1">
        <f>1008*100000000</f>
        <v>100800000000</v>
      </c>
      <c r="AM422" s="8">
        <f t="shared" si="204"/>
        <v>0.32058168478972882</v>
      </c>
      <c r="AN422" s="6" t="s">
        <v>5337</v>
      </c>
      <c r="AO422" s="6" t="str">
        <f t="shared" si="205"/>
        <v>=763.3*100000000</v>
      </c>
      <c r="AP422" s="1">
        <f>763.3*100000000</f>
        <v>76330000000</v>
      </c>
      <c r="AQ422" s="8">
        <f t="shared" si="206"/>
        <v>0.80321285140562249</v>
      </c>
      <c r="AR422" s="6" t="s">
        <v>5338</v>
      </c>
      <c r="AS422" s="6" t="str">
        <f t="shared" si="207"/>
        <v>=423.3*100000000</v>
      </c>
      <c r="AT422" s="1">
        <f>423.3*100000000</f>
        <v>42330000000</v>
      </c>
      <c r="AU422" s="8">
        <f t="shared" si="208"/>
        <v>1.8126245847176079</v>
      </c>
      <c r="AV422" s="6" t="s">
        <v>5339</v>
      </c>
      <c r="AW422" s="6" t="str">
        <f t="shared" si="209"/>
        <v>=150.5*100000000</v>
      </c>
      <c r="AX422" s="1">
        <f>150.5*100000000</f>
        <v>15050000000</v>
      </c>
      <c r="AY422" s="10">
        <f t="shared" si="210"/>
        <v>-0.7494589645413684</v>
      </c>
      <c r="AZ422" s="6" t="s">
        <v>5340</v>
      </c>
      <c r="BA422" s="6" t="str">
        <f t="shared" si="211"/>
        <v>=600.7*100000000</v>
      </c>
      <c r="BB422" s="1">
        <f>600.7*100000000</f>
        <v>60070000000.000008</v>
      </c>
      <c r="BC422" s="8">
        <f t="shared" si="212"/>
        <v>0.37052247319187787</v>
      </c>
      <c r="BD422" s="6" t="s">
        <v>5341</v>
      </c>
      <c r="BE422" s="6" t="str">
        <f t="shared" si="213"/>
        <v>=438.3*100000000</v>
      </c>
      <c r="BF422" s="1">
        <f>438.3*100000000</f>
        <v>43830000000</v>
      </c>
      <c r="BG422" s="8">
        <f t="shared" si="214"/>
        <v>0.65708884688090741</v>
      </c>
      <c r="BH422" s="6" t="s">
        <v>2408</v>
      </c>
      <c r="BI422" s="6" t="str">
        <f t="shared" si="215"/>
        <v>=264.5*100000000</v>
      </c>
      <c r="BJ422" s="1">
        <f>264.5*100000000</f>
        <v>26450000000</v>
      </c>
      <c r="BK422" s="6" t="s">
        <v>204</v>
      </c>
      <c r="BL422" s="1" t="str">
        <f t="shared" si="187"/>
        <v>=115.8*100000000</v>
      </c>
      <c r="BM422" s="16">
        <f t="shared" si="216"/>
        <v>1.2841105354058722</v>
      </c>
      <c r="BN422" s="1">
        <f>115.8*100000000</f>
        <v>11580000000</v>
      </c>
    </row>
    <row r="423" spans="1:66">
      <c r="A423" s="18"/>
      <c r="B423">
        <v>600346</v>
      </c>
      <c r="C423" t="s">
        <v>48</v>
      </c>
      <c r="D423" s="6" t="s">
        <v>5342</v>
      </c>
      <c r="E423" s="7" t="str">
        <f t="shared" si="186"/>
        <v>=197.9*100000000</v>
      </c>
      <c r="F423" s="1">
        <f>197.9*100000000</f>
        <v>19790000000</v>
      </c>
      <c r="G423" s="8">
        <f t="shared" si="188"/>
        <v>0.21784615384615386</v>
      </c>
      <c r="H423" s="6" t="s">
        <v>5343</v>
      </c>
      <c r="I423" s="6" t="str">
        <f t="shared" si="189"/>
        <v>=162.5*100000000</v>
      </c>
      <c r="J423" s="1">
        <f>162.5*100000000</f>
        <v>16250000000</v>
      </c>
      <c r="K423" s="10">
        <f t="shared" si="190"/>
        <v>0.47459165154264971</v>
      </c>
      <c r="L423" s="6" t="s">
        <v>5344</v>
      </c>
      <c r="M423" s="6" t="str">
        <f t="shared" si="191"/>
        <v>=110.2*100000000</v>
      </c>
      <c r="N423" s="1">
        <f>110.2*100000000</f>
        <v>11020000000</v>
      </c>
      <c r="O423" s="8">
        <f t="shared" si="192"/>
        <v>1.1369012992049641</v>
      </c>
      <c r="P423" s="6" t="s">
        <v>5345</v>
      </c>
      <c r="Q423" s="6" t="str">
        <f t="shared" si="193"/>
        <v>=51.57*100000000</v>
      </c>
      <c r="R423" s="11">
        <f>51.57*100000000</f>
        <v>5157000000</v>
      </c>
      <c r="S423" s="8">
        <f t="shared" si="194"/>
        <v>-0.71429362880886427</v>
      </c>
      <c r="T423" s="6" t="s">
        <v>5346</v>
      </c>
      <c r="U423" s="6" t="str">
        <f t="shared" si="195"/>
        <v>=180.5*100000000</v>
      </c>
      <c r="V423" s="1">
        <f>180.5*100000000</f>
        <v>18050000000</v>
      </c>
      <c r="W423" s="8">
        <f t="shared" si="196"/>
        <v>0.35918674698795161</v>
      </c>
      <c r="X423" s="6" t="s">
        <v>1792</v>
      </c>
      <c r="Y423" s="6" t="str">
        <f t="shared" si="197"/>
        <v>=132.8*100000000</v>
      </c>
      <c r="Z423" s="1">
        <f>132.8*100000000</f>
        <v>13280000000.000002</v>
      </c>
      <c r="AA423" s="8">
        <f t="shared" si="198"/>
        <v>0.76384646035330062</v>
      </c>
      <c r="AB423" s="6" t="s">
        <v>5347</v>
      </c>
      <c r="AC423" s="6" t="str">
        <f t="shared" si="199"/>
        <v>=75.29*100000000</v>
      </c>
      <c r="AD423" s="1">
        <f>75.29*100000000</f>
        <v>7529000000.000001</v>
      </c>
      <c r="AE423" s="8">
        <f t="shared" si="200"/>
        <v>1.5917383820998283</v>
      </c>
      <c r="AF423" s="6" t="s">
        <v>5348</v>
      </c>
      <c r="AG423" s="6" t="str">
        <f t="shared" si="201"/>
        <v>=29.05*100000000</v>
      </c>
      <c r="AH423" s="1">
        <f>29.05*100000000</f>
        <v>2905000000</v>
      </c>
      <c r="AI423" s="8">
        <f t="shared" si="202"/>
        <v>-0.78025718608169436</v>
      </c>
      <c r="AJ423" s="6" t="s">
        <v>5349</v>
      </c>
      <c r="AK423" s="6" t="str">
        <f t="shared" si="203"/>
        <v>=132.2*100000000</v>
      </c>
      <c r="AL423" s="1">
        <f>132.2*100000000</f>
        <v>13219999999.999998</v>
      </c>
      <c r="AM423" s="8">
        <f t="shared" si="204"/>
        <v>0.47974031788672467</v>
      </c>
      <c r="AN423" s="6" t="s">
        <v>5350</v>
      </c>
      <c r="AO423" s="6" t="str">
        <f t="shared" si="205"/>
        <v>=89.34*100000000</v>
      </c>
      <c r="AP423" s="1">
        <f>89.34*100000000</f>
        <v>8934000000</v>
      </c>
      <c r="AQ423" s="8">
        <f t="shared" si="206"/>
        <v>0.69364928909952606</v>
      </c>
      <c r="AR423" s="6" t="s">
        <v>5351</v>
      </c>
      <c r="AS423" s="6" t="str">
        <f t="shared" si="207"/>
        <v>=52.75*100000000</v>
      </c>
      <c r="AT423" s="1">
        <f>52.75*100000000</f>
        <v>5275000000</v>
      </c>
      <c r="AU423" s="8">
        <f t="shared" si="208"/>
        <v>7.6745601052458481</v>
      </c>
      <c r="AV423" s="6" t="s">
        <v>5352</v>
      </c>
      <c r="AW423" s="6" t="str">
        <f t="shared" si="209"/>
        <v>=6.081*100000000</v>
      </c>
      <c r="AX423" s="1">
        <f>6.081*100000000</f>
        <v>608100000</v>
      </c>
      <c r="AY423" s="10">
        <f t="shared" si="210"/>
        <v>-0.852367079388201</v>
      </c>
      <c r="AZ423" s="6" t="s">
        <v>5353</v>
      </c>
      <c r="BA423" s="6" t="str">
        <f t="shared" si="211"/>
        <v>=41.19*100000000</v>
      </c>
      <c r="BB423" s="1">
        <f>41.19*100000000</f>
        <v>4119000000</v>
      </c>
      <c r="BC423" s="8">
        <f t="shared" si="212"/>
        <v>-7.5835763966793812E-2</v>
      </c>
      <c r="BD423" s="6" t="s">
        <v>5354</v>
      </c>
      <c r="BE423" s="6" t="str">
        <f t="shared" si="213"/>
        <v>=44.57*100000000</v>
      </c>
      <c r="BF423" s="1">
        <f>44.57*100000000</f>
        <v>4457000000</v>
      </c>
      <c r="BG423" s="8">
        <f t="shared" si="214"/>
        <v>1.0529709811146937</v>
      </c>
      <c r="BH423" s="6" t="s">
        <v>5355</v>
      </c>
      <c r="BI423" s="6" t="str">
        <f t="shared" si="215"/>
        <v>=21.71*100000000</v>
      </c>
      <c r="BJ423" s="1">
        <f>21.71*100000000</f>
        <v>2171000000</v>
      </c>
      <c r="BK423" s="6" t="s">
        <v>5356</v>
      </c>
      <c r="BL423" s="1" t="str">
        <f t="shared" si="187"/>
        <v>=11.60*100000000</v>
      </c>
      <c r="BM423" s="16">
        <f t="shared" si="216"/>
        <v>0.87155172413793103</v>
      </c>
      <c r="BN423" s="1">
        <f>11.6*100000000</f>
        <v>1160000000</v>
      </c>
    </row>
    <row r="424" spans="1:66">
      <c r="A424" s="18"/>
      <c r="B424">
        <v>600346</v>
      </c>
      <c r="C424" t="s">
        <v>58</v>
      </c>
      <c r="D424" s="6" t="s">
        <v>5357</v>
      </c>
      <c r="E424" s="7" t="str">
        <f t="shared" si="186"/>
        <v>=198.3*100000000</v>
      </c>
      <c r="F424" s="1">
        <f>198.3*100000000</f>
        <v>19830000000</v>
      </c>
      <c r="G424" s="8">
        <f t="shared" si="188"/>
        <v>0.21955719557195572</v>
      </c>
      <c r="H424" s="6" t="s">
        <v>5358</v>
      </c>
      <c r="I424" s="6" t="str">
        <f t="shared" si="189"/>
        <v>=162.6*100000000</v>
      </c>
      <c r="J424" s="1">
        <f>162.6*100000000</f>
        <v>16260000000</v>
      </c>
      <c r="K424" s="10">
        <f t="shared" si="190"/>
        <v>0.47416137805983682</v>
      </c>
      <c r="L424" s="6" t="s">
        <v>3245</v>
      </c>
      <c r="M424" s="6" t="str">
        <f t="shared" si="191"/>
        <v>=110.3*100000000</v>
      </c>
      <c r="N424" s="1">
        <f>110.3*100000000</f>
        <v>11030000000</v>
      </c>
      <c r="O424" s="8">
        <f t="shared" si="192"/>
        <v>1.1380112424888544</v>
      </c>
      <c r="P424" s="6" t="s">
        <v>5359</v>
      </c>
      <c r="Q424" s="6" t="str">
        <f t="shared" si="193"/>
        <v>=51.59*100000000</v>
      </c>
      <c r="R424" s="11">
        <f>51.59*100000000</f>
        <v>5159000000</v>
      </c>
      <c r="S424" s="8">
        <f t="shared" si="194"/>
        <v>-0.71402439024390241</v>
      </c>
      <c r="T424" s="6" t="s">
        <v>2771</v>
      </c>
      <c r="U424" s="6" t="str">
        <f t="shared" si="195"/>
        <v>=180.4*100000000</v>
      </c>
      <c r="V424" s="1">
        <f>180.4*100000000</f>
        <v>18040000000</v>
      </c>
      <c r="W424" s="8">
        <f t="shared" si="196"/>
        <v>0.35945742275810116</v>
      </c>
      <c r="X424" s="6" t="s">
        <v>1071</v>
      </c>
      <c r="Y424" s="6" t="str">
        <f t="shared" si="197"/>
        <v>=132.7*100000000</v>
      </c>
      <c r="Z424" s="1">
        <f>132.7*100000000</f>
        <v>13269999999.999998</v>
      </c>
      <c r="AA424" s="8">
        <f t="shared" si="198"/>
        <v>0.76886163689682729</v>
      </c>
      <c r="AB424" s="6" t="s">
        <v>5360</v>
      </c>
      <c r="AC424" s="6" t="str">
        <f t="shared" si="199"/>
        <v>=75.02*100000000</v>
      </c>
      <c r="AD424" s="1">
        <f>75.02*100000000</f>
        <v>7502000000</v>
      </c>
      <c r="AE424" s="8">
        <f t="shared" si="200"/>
        <v>1.5985452026324904</v>
      </c>
      <c r="AF424" s="6" t="s">
        <v>5361</v>
      </c>
      <c r="AG424" s="6" t="str">
        <f t="shared" si="201"/>
        <v>=28.87*100000000</v>
      </c>
      <c r="AH424" s="1">
        <f>28.87*100000000</f>
        <v>2887000000</v>
      </c>
      <c r="AI424" s="8">
        <f t="shared" si="202"/>
        <v>-0.78145344436033304</v>
      </c>
      <c r="AJ424" s="6" t="s">
        <v>1905</v>
      </c>
      <c r="AK424" s="6" t="str">
        <f t="shared" si="203"/>
        <v>=132.1*100000000</v>
      </c>
      <c r="AL424" s="1">
        <f>132.1*100000000</f>
        <v>13210000000</v>
      </c>
      <c r="AM424" s="8">
        <f t="shared" si="204"/>
        <v>0.47845551203133746</v>
      </c>
      <c r="AN424" s="6" t="s">
        <v>5362</v>
      </c>
      <c r="AO424" s="6" t="str">
        <f t="shared" si="205"/>
        <v>=89.35*100000000</v>
      </c>
      <c r="AP424" s="1">
        <f>89.35*100000000</f>
        <v>8935000000</v>
      </c>
      <c r="AQ424" s="8">
        <f t="shared" si="206"/>
        <v>0.69223484848484851</v>
      </c>
      <c r="AR424" s="6" t="s">
        <v>5363</v>
      </c>
      <c r="AS424" s="6" t="str">
        <f t="shared" si="207"/>
        <v>=52.80*100000000</v>
      </c>
      <c r="AT424" s="1">
        <f>52.8*100000000</f>
        <v>5280000000</v>
      </c>
      <c r="AU424" s="8">
        <f t="shared" si="208"/>
        <v>7.6899275839368002</v>
      </c>
      <c r="AV424" s="6" t="s">
        <v>5364</v>
      </c>
      <c r="AW424" s="6" t="str">
        <f t="shared" si="209"/>
        <v>=6.076*100000000</v>
      </c>
      <c r="AX424" s="1">
        <f>6.076*100000000</f>
        <v>607600000</v>
      </c>
      <c r="AY424" s="10">
        <f t="shared" si="210"/>
        <v>-0.85323671497584541</v>
      </c>
      <c r="AZ424" s="6" t="s">
        <v>5365</v>
      </c>
      <c r="BA424" s="6" t="str">
        <f t="shared" si="211"/>
        <v>=41.40*100000000</v>
      </c>
      <c r="BB424" s="1">
        <f>41.4*100000000</f>
        <v>4140000000</v>
      </c>
      <c r="BC424" s="8">
        <f t="shared" si="212"/>
        <v>-7.0707070707070704E-2</v>
      </c>
      <c r="BD424" s="6" t="s">
        <v>5366</v>
      </c>
      <c r="BE424" s="6" t="str">
        <f t="shared" si="213"/>
        <v>=44.55*100000000</v>
      </c>
      <c r="BF424" s="1">
        <f>44.55*100000000</f>
        <v>4455000000</v>
      </c>
      <c r="BG424" s="8">
        <f t="shared" si="214"/>
        <v>1.0558375634517767</v>
      </c>
      <c r="BH424" s="6" t="s">
        <v>5367</v>
      </c>
      <c r="BI424" s="6" t="str">
        <f t="shared" si="215"/>
        <v>=21.67*100000000</v>
      </c>
      <c r="BJ424" s="1">
        <f>21.67*100000000</f>
        <v>2167000000</v>
      </c>
      <c r="BK424" s="6" t="s">
        <v>5356</v>
      </c>
      <c r="BL424" s="1" t="str">
        <f t="shared" si="187"/>
        <v>=11.60*100000000</v>
      </c>
      <c r="BM424" s="16">
        <f t="shared" si="216"/>
        <v>0.86810344827586206</v>
      </c>
      <c r="BN424" s="1">
        <f>11.6*100000000</f>
        <v>1160000000</v>
      </c>
    </row>
    <row r="425" spans="1:66">
      <c r="A425" s="19"/>
      <c r="B425">
        <v>600346</v>
      </c>
      <c r="C425" t="s">
        <v>68</v>
      </c>
      <c r="D425" s="6" t="s">
        <v>4947</v>
      </c>
      <c r="E425" s="7" t="str">
        <f t="shared" si="186"/>
        <v>=155.4*100000000</v>
      </c>
      <c r="F425" s="1">
        <f>155.4*100000000</f>
        <v>15540000000</v>
      </c>
      <c r="G425" s="8">
        <f t="shared" si="188"/>
        <v>0.22169811320754718</v>
      </c>
      <c r="H425" s="6" t="s">
        <v>5368</v>
      </c>
      <c r="I425" s="6" t="str">
        <f t="shared" si="189"/>
        <v>=127.2*100000000</v>
      </c>
      <c r="J425" s="1">
        <f>127.2*100000000</f>
        <v>12720000000</v>
      </c>
      <c r="K425" s="10">
        <f t="shared" si="190"/>
        <v>0.47222222222222221</v>
      </c>
      <c r="L425" s="6" t="s">
        <v>5369</v>
      </c>
      <c r="M425" s="6" t="str">
        <f t="shared" si="191"/>
        <v>=86.40*100000000</v>
      </c>
      <c r="N425" s="1">
        <f>86.4*100000000</f>
        <v>8640000000</v>
      </c>
      <c r="O425" s="8">
        <f t="shared" si="192"/>
        <v>1.0981058766391452</v>
      </c>
      <c r="P425" s="6" t="s">
        <v>5370</v>
      </c>
      <c r="Q425" s="6" t="str">
        <f t="shared" si="193"/>
        <v>=41.18*100000000</v>
      </c>
      <c r="R425" s="11">
        <f>41.18*100000000</f>
        <v>4118000000</v>
      </c>
      <c r="S425" s="8">
        <f t="shared" si="194"/>
        <v>-0.69473684210526321</v>
      </c>
      <c r="T425" s="6" t="s">
        <v>5371</v>
      </c>
      <c r="U425" s="6" t="str">
        <f t="shared" si="195"/>
        <v>=134.9*100000000</v>
      </c>
      <c r="V425" s="1">
        <f>134.9*100000000</f>
        <v>13490000000</v>
      </c>
      <c r="W425" s="8">
        <f t="shared" si="196"/>
        <v>0.3611139138331147</v>
      </c>
      <c r="X425" s="6" t="s">
        <v>5372</v>
      </c>
      <c r="Y425" s="6" t="str">
        <f t="shared" si="197"/>
        <v>=99.11*100000000</v>
      </c>
      <c r="Z425" s="1">
        <f>99.11*100000000</f>
        <v>9911000000</v>
      </c>
      <c r="AA425" s="8">
        <f t="shared" si="198"/>
        <v>0.78705373241976195</v>
      </c>
      <c r="AB425" s="6" t="s">
        <v>5373</v>
      </c>
      <c r="AC425" s="6" t="str">
        <f t="shared" si="199"/>
        <v>=55.46*100000000</v>
      </c>
      <c r="AD425" s="1">
        <f>55.46*100000000</f>
        <v>5546000000</v>
      </c>
      <c r="AE425" s="8">
        <f t="shared" si="200"/>
        <v>1.5604801477377654</v>
      </c>
      <c r="AF425" s="6" t="s">
        <v>5374</v>
      </c>
      <c r="AG425" s="6" t="str">
        <f t="shared" si="201"/>
        <v>=21.66*100000000</v>
      </c>
      <c r="AH425" s="1">
        <f>21.66*100000000</f>
        <v>2166000000</v>
      </c>
      <c r="AI425" s="8">
        <f t="shared" si="202"/>
        <v>-0.78575667655786352</v>
      </c>
      <c r="AJ425" s="6" t="s">
        <v>82</v>
      </c>
      <c r="AK425" s="6" t="str">
        <f t="shared" si="203"/>
        <v>=101.1*100000000</v>
      </c>
      <c r="AL425" s="1">
        <f>101.1*100000000</f>
        <v>10110000000</v>
      </c>
      <c r="AM425" s="8">
        <f t="shared" si="204"/>
        <v>0.48458149779735704</v>
      </c>
      <c r="AN425" s="6" t="s">
        <v>5375</v>
      </c>
      <c r="AO425" s="6" t="str">
        <f t="shared" si="205"/>
        <v>=68.10*100000000</v>
      </c>
      <c r="AP425" s="1">
        <f>68.1*100000000</f>
        <v>6809999999.999999</v>
      </c>
      <c r="AQ425" s="8">
        <f t="shared" si="206"/>
        <v>0.68940709501364406</v>
      </c>
      <c r="AR425" s="6" t="s">
        <v>5376</v>
      </c>
      <c r="AS425" s="6" t="str">
        <f t="shared" si="207"/>
        <v>=40.31*100000000</v>
      </c>
      <c r="AT425" s="1">
        <f>40.31*100000000</f>
        <v>4031000000</v>
      </c>
      <c r="AU425" s="8">
        <f t="shared" si="208"/>
        <v>7.4049207673060886</v>
      </c>
      <c r="AV425" s="6" t="s">
        <v>5377</v>
      </c>
      <c r="AW425" s="6" t="str">
        <f t="shared" si="209"/>
        <v>=4.796*100000000</v>
      </c>
      <c r="AX425" s="1">
        <f>4.796*100000000</f>
        <v>479600000</v>
      </c>
      <c r="AY425" s="10">
        <f t="shared" si="210"/>
        <v>-0.85902410346854796</v>
      </c>
      <c r="AZ425" s="6" t="s">
        <v>5378</v>
      </c>
      <c r="BA425" s="6" t="str">
        <f t="shared" si="211"/>
        <v>=34.02*100000000</v>
      </c>
      <c r="BB425" s="1">
        <f>34.02*100000000</f>
        <v>3402000000.0000005</v>
      </c>
      <c r="BC425" s="8">
        <f t="shared" si="212"/>
        <v>-8.4991931145777175E-2</v>
      </c>
      <c r="BD425" s="6" t="s">
        <v>5379</v>
      </c>
      <c r="BE425" s="6" t="str">
        <f t="shared" si="213"/>
        <v>=37.18*100000000</v>
      </c>
      <c r="BF425" s="1">
        <f>37.18*100000000</f>
        <v>3718000000</v>
      </c>
      <c r="BG425" s="8">
        <f t="shared" si="214"/>
        <v>0.95170603674540677</v>
      </c>
      <c r="BH425" s="6" t="s">
        <v>5380</v>
      </c>
      <c r="BI425" s="6" t="str">
        <f t="shared" si="215"/>
        <v>=19.05*100000000</v>
      </c>
      <c r="BJ425" s="1">
        <f>19.05*100000000</f>
        <v>1905000000</v>
      </c>
      <c r="BK425" s="6" t="s">
        <v>4258</v>
      </c>
      <c r="BL425" s="1" t="str">
        <f t="shared" si="187"/>
        <v>=11.04*100000000</v>
      </c>
      <c r="BM425" s="16">
        <f t="shared" si="216"/>
        <v>0.72554347826086951</v>
      </c>
      <c r="BN425" s="1">
        <f>11.04*100000000</f>
        <v>1104000000</v>
      </c>
    </row>
    <row r="426" spans="1:66">
      <c r="A426" s="17">
        <v>107</v>
      </c>
      <c r="B426">
        <v>600350</v>
      </c>
      <c r="C426" t="s">
        <v>31</v>
      </c>
      <c r="D426" s="6" t="s">
        <v>5381</v>
      </c>
      <c r="E426" s="7" t="str">
        <f t="shared" si="186"/>
        <v>=162.0*100000000</v>
      </c>
      <c r="F426" s="1">
        <f>162*100000000</f>
        <v>16200000000</v>
      </c>
      <c r="G426" s="8">
        <f t="shared" si="188"/>
        <v>0.61838161838161843</v>
      </c>
      <c r="H426" s="6" t="s">
        <v>5382</v>
      </c>
      <c r="I426" s="6" t="str">
        <f t="shared" si="189"/>
        <v>=100.1*100000000</v>
      </c>
      <c r="J426" s="1">
        <f>100.1*100000000</f>
        <v>10010000000</v>
      </c>
      <c r="K426" s="10">
        <f t="shared" si="190"/>
        <v>0.52266504411317327</v>
      </c>
      <c r="L426" s="6" t="s">
        <v>5383</v>
      </c>
      <c r="M426" s="6" t="str">
        <f t="shared" si="191"/>
        <v>=65.74*100000000</v>
      </c>
      <c r="N426" s="1">
        <f>65.74*100000000</f>
        <v>6573999999.999999</v>
      </c>
      <c r="O426" s="8">
        <f t="shared" si="192"/>
        <v>1.2224475997295468</v>
      </c>
      <c r="P426" s="6" t="s">
        <v>2264</v>
      </c>
      <c r="Q426" s="6" t="str">
        <f t="shared" si="193"/>
        <v>=29.58*100000000</v>
      </c>
      <c r="R426" s="11">
        <f>29.58*100000000</f>
        <v>2958000000</v>
      </c>
      <c r="S426" s="8">
        <f t="shared" si="194"/>
        <v>-0.77246153846153842</v>
      </c>
      <c r="T426" s="6" t="s">
        <v>5384</v>
      </c>
      <c r="U426" s="6" t="str">
        <f t="shared" si="195"/>
        <v>=130.0*100000000</v>
      </c>
      <c r="V426" s="1">
        <f>130*100000000</f>
        <v>13000000000</v>
      </c>
      <c r="W426" s="8">
        <f t="shared" si="196"/>
        <v>0.71390903098220193</v>
      </c>
      <c r="X426" s="6" t="s">
        <v>5385</v>
      </c>
      <c r="Y426" s="6" t="str">
        <f t="shared" si="197"/>
        <v>=75.85*100000000</v>
      </c>
      <c r="Z426" s="1">
        <f>75.85*100000000</f>
        <v>7584999999.999999</v>
      </c>
      <c r="AA426" s="8">
        <f t="shared" si="198"/>
        <v>0.87283950617283923</v>
      </c>
      <c r="AB426" s="6" t="s">
        <v>5386</v>
      </c>
      <c r="AC426" s="6" t="str">
        <f t="shared" si="199"/>
        <v>=40.50*100000000</v>
      </c>
      <c r="AD426" s="1">
        <f>40.5*100000000</f>
        <v>4050000000</v>
      </c>
      <c r="AE426" s="8">
        <f t="shared" si="200"/>
        <v>1.4907749077490773</v>
      </c>
      <c r="AF426" s="6" t="s">
        <v>4012</v>
      </c>
      <c r="AG426" s="6" t="str">
        <f t="shared" si="201"/>
        <v>=16.26*100000000</v>
      </c>
      <c r="AH426" s="1">
        <f>16.26*100000000</f>
        <v>1626000000.0000002</v>
      </c>
      <c r="AI426" s="8">
        <f t="shared" si="202"/>
        <v>-0.8438040345821326</v>
      </c>
      <c r="AJ426" s="6" t="s">
        <v>4711</v>
      </c>
      <c r="AK426" s="6" t="str">
        <f t="shared" si="203"/>
        <v>=104.1*100000000</v>
      </c>
      <c r="AL426" s="1">
        <f>104.1*100000000</f>
        <v>10410000000</v>
      </c>
      <c r="AM426" s="8">
        <f t="shared" si="204"/>
        <v>0.30434782608695654</v>
      </c>
      <c r="AN426" s="6" t="s">
        <v>5387</v>
      </c>
      <c r="AO426" s="6" t="str">
        <f t="shared" si="205"/>
        <v>=79.81*100000000</v>
      </c>
      <c r="AP426" s="1">
        <f>79.81*100000000</f>
        <v>7981000000</v>
      </c>
      <c r="AQ426" s="8">
        <f t="shared" si="206"/>
        <v>0.67597648047039061</v>
      </c>
      <c r="AR426" s="6" t="s">
        <v>5388</v>
      </c>
      <c r="AS426" s="6" t="str">
        <f t="shared" si="207"/>
        <v>=47.62*100000000</v>
      </c>
      <c r="AT426" s="1">
        <f>47.62*100000000</f>
        <v>4762000000</v>
      </c>
      <c r="AU426" s="8">
        <f t="shared" si="208"/>
        <v>1.9706799750467874</v>
      </c>
      <c r="AV426" s="6" t="s">
        <v>5389</v>
      </c>
      <c r="AW426" s="6" t="str">
        <f t="shared" si="209"/>
        <v>=16.03*100000000</v>
      </c>
      <c r="AX426" s="1">
        <f>16.03*100000000</f>
        <v>1603000000</v>
      </c>
      <c r="AY426" s="10">
        <f t="shared" si="210"/>
        <v>-0.76526577829843323</v>
      </c>
      <c r="AZ426" s="6" t="s">
        <v>5085</v>
      </c>
      <c r="BA426" s="6" t="str">
        <f t="shared" si="211"/>
        <v>=68.29*100000000</v>
      </c>
      <c r="BB426" s="1">
        <f>68.29*100000000</f>
        <v>6829000000.000001</v>
      </c>
      <c r="BC426" s="8">
        <f t="shared" si="212"/>
        <v>0.38266855638793296</v>
      </c>
      <c r="BD426" s="6" t="s">
        <v>5390</v>
      </c>
      <c r="BE426" s="6" t="str">
        <f t="shared" si="213"/>
        <v>=49.39*100000000</v>
      </c>
      <c r="BF426" s="1">
        <f>49.39*100000000</f>
        <v>4939000000</v>
      </c>
      <c r="BG426" s="8">
        <f t="shared" si="214"/>
        <v>0.64633333333333332</v>
      </c>
      <c r="BH426" s="6" t="s">
        <v>5391</v>
      </c>
      <c r="BI426" s="6" t="str">
        <f t="shared" si="215"/>
        <v>=30.00*100000000</v>
      </c>
      <c r="BJ426" s="1">
        <f>30*100000000</f>
        <v>3000000000</v>
      </c>
      <c r="BK426" s="6" t="s">
        <v>5392</v>
      </c>
      <c r="BL426" s="1" t="str">
        <f t="shared" si="187"/>
        <v>=13.94*100000000</v>
      </c>
      <c r="BM426" s="16">
        <f t="shared" si="216"/>
        <v>1.1520803443328551</v>
      </c>
      <c r="BN426" s="1">
        <f>13.94*100000000</f>
        <v>1394000000</v>
      </c>
    </row>
    <row r="427" spans="1:66">
      <c r="A427" s="18"/>
      <c r="B427">
        <v>600350</v>
      </c>
      <c r="C427" t="s">
        <v>48</v>
      </c>
      <c r="D427" s="6" t="s">
        <v>5393</v>
      </c>
      <c r="E427" s="7" t="str">
        <f t="shared" si="186"/>
        <v>=51.52*100000000</v>
      </c>
      <c r="F427" s="1">
        <f>51.52*100000000</f>
        <v>5152000000</v>
      </c>
      <c r="G427" s="8">
        <f t="shared" si="188"/>
        <v>0.69864820309924169</v>
      </c>
      <c r="H427" s="6" t="s">
        <v>5394</v>
      </c>
      <c r="I427" s="6" t="str">
        <f t="shared" si="189"/>
        <v>=30.33*100000000</v>
      </c>
      <c r="J427" s="1">
        <f>30.33*100000000</f>
        <v>3033000000</v>
      </c>
      <c r="K427" s="10">
        <f t="shared" si="190"/>
        <v>0.51801801801801806</v>
      </c>
      <c r="L427" s="6" t="s">
        <v>4540</v>
      </c>
      <c r="M427" s="6" t="str">
        <f t="shared" si="191"/>
        <v>=19.98*100000000</v>
      </c>
      <c r="N427" s="1">
        <f>19.98*100000000</f>
        <v>1998000000</v>
      </c>
      <c r="O427" s="8">
        <f t="shared" si="192"/>
        <v>1.1994715984147952</v>
      </c>
      <c r="P427" s="6" t="s">
        <v>5395</v>
      </c>
      <c r="Q427" s="6" t="str">
        <f t="shared" si="193"/>
        <v>=9.084*100000000</v>
      </c>
      <c r="R427" s="11">
        <f>9.084*100000000</f>
        <v>908400000</v>
      </c>
      <c r="S427" s="8">
        <f t="shared" si="194"/>
        <v>-0.75756605284227385</v>
      </c>
      <c r="T427" s="6" t="s">
        <v>5396</v>
      </c>
      <c r="U427" s="6" t="str">
        <f t="shared" si="195"/>
        <v>=37.47*100000000</v>
      </c>
      <c r="V427" s="1">
        <f>37.47*100000000</f>
        <v>3747000000</v>
      </c>
      <c r="W427" s="8">
        <f t="shared" si="196"/>
        <v>0.83946980854197351</v>
      </c>
      <c r="X427" s="6" t="s">
        <v>5397</v>
      </c>
      <c r="Y427" s="6" t="str">
        <f t="shared" si="197"/>
        <v>=20.37*100000000</v>
      </c>
      <c r="Z427" s="1">
        <f>20.37*100000000</f>
        <v>2037000000</v>
      </c>
      <c r="AA427" s="8">
        <f t="shared" si="198"/>
        <v>3.1896338955162484</v>
      </c>
      <c r="AB427" s="6" t="s">
        <v>5398</v>
      </c>
      <c r="AC427" s="6" t="str">
        <f t="shared" si="199"/>
        <v>=4.862*100000000</v>
      </c>
      <c r="AD427" s="1">
        <f>4.862*100000000</f>
        <v>486200000</v>
      </c>
      <c r="AE427" s="8">
        <f t="shared" si="200"/>
        <v>-3.3374999999999999</v>
      </c>
      <c r="AF427" s="6">
        <f>-2.08*100000000</f>
        <v>-208000000</v>
      </c>
      <c r="AG427" s="6" t="str">
        <f t="shared" si="201"/>
        <v>=-208000000</v>
      </c>
      <c r="AH427" s="1">
        <f>-208000000</f>
        <v>-208000000</v>
      </c>
      <c r="AI427" s="8">
        <f t="shared" si="202"/>
        <v>-1.0463458110516934</v>
      </c>
      <c r="AJ427" s="6" t="s">
        <v>5399</v>
      </c>
      <c r="AK427" s="6" t="str">
        <f t="shared" si="203"/>
        <v>=44.88*100000000</v>
      </c>
      <c r="AL427" s="1">
        <f>44.88*100000000</f>
        <v>4488000000</v>
      </c>
      <c r="AM427" s="8">
        <f t="shared" si="204"/>
        <v>0.4514877102199224</v>
      </c>
      <c r="AN427" s="6" t="s">
        <v>1430</v>
      </c>
      <c r="AO427" s="6" t="str">
        <f t="shared" si="205"/>
        <v>=30.92*100000000</v>
      </c>
      <c r="AP427" s="1">
        <f>30.92*100000000</f>
        <v>3092000000</v>
      </c>
      <c r="AQ427" s="8">
        <f t="shared" si="206"/>
        <v>0.34434782608695652</v>
      </c>
      <c r="AR427" s="6" t="s">
        <v>5400</v>
      </c>
      <c r="AS427" s="6" t="str">
        <f t="shared" si="207"/>
        <v>=23.00*100000000</v>
      </c>
      <c r="AT427" s="1">
        <f>23*100000000</f>
        <v>2300000000</v>
      </c>
      <c r="AU427" s="8">
        <f t="shared" si="208"/>
        <v>1.7528426092160383</v>
      </c>
      <c r="AV427" s="6" t="s">
        <v>5401</v>
      </c>
      <c r="AW427" s="6" t="str">
        <f t="shared" si="209"/>
        <v>=8.355*100000000</v>
      </c>
      <c r="AX427" s="1">
        <f>8.355*100000000</f>
        <v>835500000</v>
      </c>
      <c r="AY427" s="10">
        <f t="shared" si="210"/>
        <v>-0.83369824840764328</v>
      </c>
      <c r="AZ427" s="6" t="s">
        <v>5402</v>
      </c>
      <c r="BA427" s="6" t="str">
        <f t="shared" si="211"/>
        <v>=50.24*100000000</v>
      </c>
      <c r="BB427" s="1">
        <f>50.24*100000000</f>
        <v>5024000000</v>
      </c>
      <c r="BC427" s="8">
        <f t="shared" si="212"/>
        <v>6.9618905684479454E-2</v>
      </c>
      <c r="BD427" s="6" t="s">
        <v>5403</v>
      </c>
      <c r="BE427" s="6" t="str">
        <f t="shared" si="213"/>
        <v>=46.97*100000000</v>
      </c>
      <c r="BF427" s="1">
        <f>46.97*100000000</f>
        <v>4697000000</v>
      </c>
      <c r="BG427" s="8">
        <f t="shared" si="214"/>
        <v>0.22765290120230006</v>
      </c>
      <c r="BH427" s="6" t="s">
        <v>5404</v>
      </c>
      <c r="BI427" s="6" t="str">
        <f t="shared" si="215"/>
        <v>=38.26*100000000</v>
      </c>
      <c r="BJ427" s="1">
        <f>38.26*100000000</f>
        <v>3826000000</v>
      </c>
      <c r="BK427" s="6" t="s">
        <v>5405</v>
      </c>
      <c r="BL427" s="1" t="str">
        <f t="shared" si="187"/>
        <v>=7.213*100000000</v>
      </c>
      <c r="BM427" s="16">
        <f t="shared" si="216"/>
        <v>4.3043116595036741</v>
      </c>
      <c r="BN427" s="1">
        <f>7.213*100000000</f>
        <v>721300000</v>
      </c>
    </row>
    <row r="428" spans="1:66">
      <c r="A428" s="18"/>
      <c r="B428">
        <v>600350</v>
      </c>
      <c r="C428" t="s">
        <v>58</v>
      </c>
      <c r="D428" s="6" t="s">
        <v>5406</v>
      </c>
      <c r="E428" s="7" t="str">
        <f t="shared" si="186"/>
        <v>=51.85*100000000</v>
      </c>
      <c r="F428" s="1">
        <f>51.85*100000000</f>
        <v>5185000000</v>
      </c>
      <c r="G428" s="8">
        <f t="shared" si="188"/>
        <v>0.68234912394548997</v>
      </c>
      <c r="H428" s="6" t="s">
        <v>5407</v>
      </c>
      <c r="I428" s="6" t="str">
        <f t="shared" si="189"/>
        <v>=30.82*100000000</v>
      </c>
      <c r="J428" s="1">
        <f>30.82*100000000</f>
        <v>3082000000</v>
      </c>
      <c r="K428" s="10">
        <f t="shared" si="190"/>
        <v>0.52197530864197528</v>
      </c>
      <c r="L428" s="6" t="s">
        <v>1358</v>
      </c>
      <c r="M428" s="6" t="str">
        <f t="shared" si="191"/>
        <v>=20.25*100000000</v>
      </c>
      <c r="N428" s="1">
        <f>20.25*100000000</f>
        <v>2025000000</v>
      </c>
      <c r="O428" s="8">
        <f t="shared" si="192"/>
        <v>1.1982197134172818</v>
      </c>
      <c r="P428" s="6" t="s">
        <v>5408</v>
      </c>
      <c r="Q428" s="6" t="str">
        <f t="shared" si="193"/>
        <v>=9.212*100000000</v>
      </c>
      <c r="R428" s="11">
        <f>9.212*100000000</f>
        <v>921200000</v>
      </c>
      <c r="S428" s="8">
        <f t="shared" si="194"/>
        <v>-0.75834207764952777</v>
      </c>
      <c r="T428" s="6" t="s">
        <v>5409</v>
      </c>
      <c r="U428" s="6" t="str">
        <f t="shared" si="195"/>
        <v>=38.12*100000000</v>
      </c>
      <c r="V428" s="1">
        <f>38.12*100000000</f>
        <v>3811999999.9999995</v>
      </c>
      <c r="W428" s="8">
        <f t="shared" si="196"/>
        <v>0.8713794796269021</v>
      </c>
      <c r="X428" s="6" t="s">
        <v>5397</v>
      </c>
      <c r="Y428" s="6" t="str">
        <f t="shared" si="197"/>
        <v>=20.37*100000000</v>
      </c>
      <c r="Z428" s="1">
        <f>20.37*100000000</f>
        <v>2037000000</v>
      </c>
      <c r="AA428" s="8">
        <f t="shared" si="198"/>
        <v>3.2130299896587382</v>
      </c>
      <c r="AB428" s="6" t="s">
        <v>1755</v>
      </c>
      <c r="AC428" s="6" t="str">
        <f t="shared" si="199"/>
        <v>=4.835*100000000</v>
      </c>
      <c r="AD428" s="1">
        <f>4.835*100000000</f>
        <v>483500000</v>
      </c>
      <c r="AE428" s="8">
        <f t="shared" si="200"/>
        <v>-3.4580579562785969</v>
      </c>
      <c r="AF428" s="6">
        <f>-1.967*100000000</f>
        <v>-196700000</v>
      </c>
      <c r="AG428" s="6" t="str">
        <f t="shared" si="201"/>
        <v>=-196700000</v>
      </c>
      <c r="AH428" s="1">
        <f>-196700000</f>
        <v>-196700000</v>
      </c>
      <c r="AI428" s="8">
        <f t="shared" si="202"/>
        <v>-1.0446031746031745</v>
      </c>
      <c r="AJ428" s="6" t="s">
        <v>5410</v>
      </c>
      <c r="AK428" s="6" t="str">
        <f t="shared" si="203"/>
        <v>=44.10*100000000</v>
      </c>
      <c r="AL428" s="1">
        <f>44.1*100000000</f>
        <v>4410000000</v>
      </c>
      <c r="AM428" s="8">
        <f t="shared" si="204"/>
        <v>0.39689578713968959</v>
      </c>
      <c r="AN428" s="6" t="s">
        <v>5411</v>
      </c>
      <c r="AO428" s="6" t="str">
        <f t="shared" si="205"/>
        <v>=31.57*100000000</v>
      </c>
      <c r="AP428" s="1">
        <f>31.57*100000000</f>
        <v>3157000000</v>
      </c>
      <c r="AQ428" s="8">
        <f t="shared" si="206"/>
        <v>0.35319331333047577</v>
      </c>
      <c r="AR428" s="6" t="s">
        <v>5412</v>
      </c>
      <c r="AS428" s="6" t="str">
        <f t="shared" si="207"/>
        <v>=23.33*100000000</v>
      </c>
      <c r="AT428" s="1">
        <f>23.33*100000000</f>
        <v>2333000000</v>
      </c>
      <c r="AU428" s="8">
        <f t="shared" si="208"/>
        <v>1.7573572863727691</v>
      </c>
      <c r="AV428" s="6" t="s">
        <v>5413</v>
      </c>
      <c r="AW428" s="6" t="str">
        <f t="shared" si="209"/>
        <v>=8.461*100000000</v>
      </c>
      <c r="AX428" s="1">
        <f>8.461*100000000</f>
        <v>846100000</v>
      </c>
      <c r="AY428" s="10">
        <f t="shared" si="210"/>
        <v>-0.80382564340366336</v>
      </c>
      <c r="AZ428" s="6" t="s">
        <v>5414</v>
      </c>
      <c r="BA428" s="6" t="str">
        <f t="shared" si="211"/>
        <v>=43.13*100000000</v>
      </c>
      <c r="BB428" s="1">
        <f>43.13*100000000</f>
        <v>4313000000</v>
      </c>
      <c r="BC428" s="8">
        <f t="shared" si="212"/>
        <v>-3.7061844161643223E-2</v>
      </c>
      <c r="BD428" s="6" t="s">
        <v>5415</v>
      </c>
      <c r="BE428" s="6" t="str">
        <f t="shared" si="213"/>
        <v>=44.79*100000000</v>
      </c>
      <c r="BF428" s="1">
        <f>44.79*100000000</f>
        <v>4479000000</v>
      </c>
      <c r="BG428" s="8">
        <f t="shared" si="214"/>
        <v>0.16156639004149378</v>
      </c>
      <c r="BH428" s="6" t="s">
        <v>5416</v>
      </c>
      <c r="BI428" s="6" t="str">
        <f t="shared" si="215"/>
        <v>=38.56*100000000</v>
      </c>
      <c r="BJ428" s="1">
        <f>38.56*100000000</f>
        <v>3856000000</v>
      </c>
      <c r="BK428" s="6" t="s">
        <v>5417</v>
      </c>
      <c r="BL428" s="1" t="str">
        <f t="shared" si="187"/>
        <v>=7.351*100000000</v>
      </c>
      <c r="BM428" s="16">
        <f t="shared" si="216"/>
        <v>4.2455448238334919</v>
      </c>
      <c r="BN428" s="1">
        <f>7.351*100000000</f>
        <v>735100000</v>
      </c>
    </row>
    <row r="429" spans="1:66">
      <c r="A429" s="19"/>
      <c r="B429">
        <v>600350</v>
      </c>
      <c r="C429" t="s">
        <v>68</v>
      </c>
      <c r="D429" s="6" t="s">
        <v>4219</v>
      </c>
      <c r="E429" s="7" t="str">
        <f t="shared" si="186"/>
        <v>=39.18*100000000</v>
      </c>
      <c r="F429" s="1">
        <f>39.18*100000000</f>
        <v>3918000000</v>
      </c>
      <c r="G429" s="8">
        <f t="shared" si="188"/>
        <v>0.66298811544991509</v>
      </c>
      <c r="H429" s="6" t="s">
        <v>5418</v>
      </c>
      <c r="I429" s="6" t="str">
        <f t="shared" si="189"/>
        <v>=23.56*100000000</v>
      </c>
      <c r="J429" s="1">
        <f>23.56*100000000</f>
        <v>2356000000</v>
      </c>
      <c r="K429" s="10">
        <f t="shared" si="190"/>
        <v>0.53385416666666663</v>
      </c>
      <c r="L429" s="6" t="s">
        <v>4548</v>
      </c>
      <c r="M429" s="6" t="str">
        <f t="shared" si="191"/>
        <v>=15.36*100000000</v>
      </c>
      <c r="N429" s="1">
        <f>15.36*100000000</f>
        <v>1536000000</v>
      </c>
      <c r="O429" s="8">
        <f t="shared" si="192"/>
        <v>1.183058555997726</v>
      </c>
      <c r="P429" s="6" t="s">
        <v>5419</v>
      </c>
      <c r="Q429" s="6" t="str">
        <f t="shared" si="193"/>
        <v>=7.036*100000000</v>
      </c>
      <c r="R429" s="11">
        <f>7.036*100000000</f>
        <v>703600000</v>
      </c>
      <c r="S429" s="8">
        <f t="shared" si="194"/>
        <v>-0.74507246376811598</v>
      </c>
      <c r="T429" s="6" t="s">
        <v>5420</v>
      </c>
      <c r="U429" s="6" t="str">
        <f t="shared" si="195"/>
        <v>=27.60*100000000</v>
      </c>
      <c r="V429" s="1">
        <f>27.6*100000000</f>
        <v>2760000000</v>
      </c>
      <c r="W429" s="8">
        <f t="shared" si="196"/>
        <v>0.79570592062459333</v>
      </c>
      <c r="X429" s="6" t="s">
        <v>5421</v>
      </c>
      <c r="Y429" s="6" t="str">
        <f t="shared" si="197"/>
        <v>=15.37*100000000</v>
      </c>
      <c r="Z429" s="1">
        <f>15.37*100000000</f>
        <v>1537000000</v>
      </c>
      <c r="AA429" s="8">
        <f t="shared" si="198"/>
        <v>3.6309129255799939</v>
      </c>
      <c r="AB429" s="6" t="s">
        <v>1026</v>
      </c>
      <c r="AC429" s="6" t="str">
        <f t="shared" si="199"/>
        <v>=3.319*100000000</v>
      </c>
      <c r="AD429" s="1">
        <f>3.319*100000000</f>
        <v>331900000</v>
      </c>
      <c r="AE429" s="8">
        <f t="shared" si="200"/>
        <v>-2.2839458413926499</v>
      </c>
      <c r="AF429" s="6">
        <f>-2.585*100000000</f>
        <v>-258500000</v>
      </c>
      <c r="AG429" s="6" t="str">
        <f t="shared" si="201"/>
        <v>=-258500000</v>
      </c>
      <c r="AH429" s="1">
        <f>-258500000</f>
        <v>-258500000</v>
      </c>
      <c r="AI429" s="8">
        <f t="shared" si="202"/>
        <v>-1.0805045157271878</v>
      </c>
      <c r="AJ429" s="6" t="s">
        <v>2294</v>
      </c>
      <c r="AK429" s="6" t="str">
        <f t="shared" si="203"/>
        <v>=32.11*100000000</v>
      </c>
      <c r="AL429" s="1">
        <f>32.11*100000000</f>
        <v>3211000000</v>
      </c>
      <c r="AM429" s="8">
        <f t="shared" si="204"/>
        <v>0.36001694197373996</v>
      </c>
      <c r="AN429" s="6" t="s">
        <v>533</v>
      </c>
      <c r="AO429" s="6" t="str">
        <f t="shared" si="205"/>
        <v>=23.61*100000000</v>
      </c>
      <c r="AP429" s="1">
        <f>23.61*100000000</f>
        <v>2361000000</v>
      </c>
      <c r="AQ429" s="8">
        <f t="shared" si="206"/>
        <v>0.35845799769850401</v>
      </c>
      <c r="AR429" s="6" t="s">
        <v>3360</v>
      </c>
      <c r="AS429" s="6" t="str">
        <f t="shared" si="207"/>
        <v>=17.38*100000000</v>
      </c>
      <c r="AT429" s="1">
        <f>17.38*100000000</f>
        <v>1738000000</v>
      </c>
      <c r="AU429" s="8">
        <f t="shared" si="208"/>
        <v>1.6854140914709519</v>
      </c>
      <c r="AV429" s="6" t="s">
        <v>5422</v>
      </c>
      <c r="AW429" s="6" t="str">
        <f t="shared" si="209"/>
        <v>=6.472*100000000</v>
      </c>
      <c r="AX429" s="1">
        <f>6.472*100000000</f>
        <v>647200000</v>
      </c>
      <c r="AY429" s="10">
        <f t="shared" si="210"/>
        <v>-0.82151130722559296</v>
      </c>
      <c r="AZ429" s="6" t="s">
        <v>5423</v>
      </c>
      <c r="BA429" s="6" t="str">
        <f t="shared" si="211"/>
        <v>=36.26*100000000</v>
      </c>
      <c r="BB429" s="1">
        <f>36.26*100000000</f>
        <v>3626000000</v>
      </c>
      <c r="BC429" s="8">
        <f t="shared" si="212"/>
        <v>-7.6628352490421452E-3</v>
      </c>
      <c r="BD429" s="6" t="s">
        <v>5424</v>
      </c>
      <c r="BE429" s="6" t="str">
        <f t="shared" si="213"/>
        <v>=36.54*100000000</v>
      </c>
      <c r="BF429" s="1">
        <f>36.54*100000000</f>
        <v>3654000000</v>
      </c>
      <c r="BG429" s="8">
        <f t="shared" si="214"/>
        <v>0.12292562999385372</v>
      </c>
      <c r="BH429" s="6" t="s">
        <v>231</v>
      </c>
      <c r="BI429" s="6" t="str">
        <f t="shared" si="215"/>
        <v>=32.54*100000000</v>
      </c>
      <c r="BJ429" s="1">
        <f>32.54*100000000</f>
        <v>3254000000</v>
      </c>
      <c r="BK429" s="6" t="s">
        <v>4359</v>
      </c>
      <c r="BL429" s="1" t="str">
        <f t="shared" si="187"/>
        <v>=5.908*100000000</v>
      </c>
      <c r="BM429" s="16">
        <f t="shared" si="216"/>
        <v>4.5077860528097498</v>
      </c>
      <c r="BN429" s="1">
        <f>5.908*100000000</f>
        <v>590800000</v>
      </c>
    </row>
    <row r="430" spans="1:66">
      <c r="A430" s="17">
        <v>108</v>
      </c>
      <c r="B430">
        <v>600353</v>
      </c>
      <c r="C430" t="s">
        <v>31</v>
      </c>
      <c r="D430" s="6" t="s">
        <v>5425</v>
      </c>
      <c r="E430" s="7" t="str">
        <f t="shared" si="186"/>
        <v>=10.07*100000000</v>
      </c>
      <c r="F430" s="1">
        <f>10.07*100000000</f>
        <v>1007000000</v>
      </c>
      <c r="G430" s="8">
        <f t="shared" si="188"/>
        <v>0.49473059225174409</v>
      </c>
      <c r="H430" s="6" t="s">
        <v>5426</v>
      </c>
      <c r="I430" s="6" t="str">
        <f t="shared" si="189"/>
        <v>=6.737*100000000</v>
      </c>
      <c r="J430" s="1">
        <f>6.737*100000000</f>
        <v>673700000</v>
      </c>
      <c r="K430" s="10">
        <f t="shared" si="190"/>
        <v>0.66222551196644464</v>
      </c>
      <c r="L430" s="6" t="s">
        <v>5427</v>
      </c>
      <c r="M430" s="6" t="str">
        <f t="shared" si="191"/>
        <v>=4.053*100000000</v>
      </c>
      <c r="N430" s="1">
        <f>4.053*100000000</f>
        <v>405300000</v>
      </c>
      <c r="O430" s="8">
        <f t="shared" si="192"/>
        <v>1.6559633027522935</v>
      </c>
      <c r="P430" s="6" t="s">
        <v>5428</v>
      </c>
      <c r="Q430" s="6" t="str">
        <f t="shared" si="193"/>
        <v>=1.526*100000000</v>
      </c>
      <c r="R430" s="11">
        <f>1.526*100000000</f>
        <v>152600000</v>
      </c>
      <c r="S430" s="8">
        <f t="shared" si="194"/>
        <v>-0.83082039911308203</v>
      </c>
      <c r="T430" s="6" t="s">
        <v>5429</v>
      </c>
      <c r="U430" s="6" t="str">
        <f t="shared" si="195"/>
        <v>=9.020*100000000</v>
      </c>
      <c r="V430" s="1">
        <f>9.02*100000000</f>
        <v>902000000</v>
      </c>
      <c r="W430" s="8">
        <f t="shared" si="196"/>
        <v>0.39305019305019306</v>
      </c>
      <c r="X430" s="6" t="s">
        <v>5430</v>
      </c>
      <c r="Y430" s="6" t="str">
        <f t="shared" si="197"/>
        <v>=6.475*100000000</v>
      </c>
      <c r="Z430" s="1">
        <f>6.475*100000000</f>
        <v>647500000</v>
      </c>
      <c r="AA430" s="8">
        <f t="shared" si="198"/>
        <v>0.46526363430640438</v>
      </c>
      <c r="AB430" s="6" t="s">
        <v>5431</v>
      </c>
      <c r="AC430" s="6" t="str">
        <f t="shared" si="199"/>
        <v>=4.419*100000000</v>
      </c>
      <c r="AD430" s="1">
        <f>4.419*100000000</f>
        <v>441899999.99999994</v>
      </c>
      <c r="AE430" s="8">
        <f t="shared" si="200"/>
        <v>1.410801963993453</v>
      </c>
      <c r="AF430" s="6" t="s">
        <v>5432</v>
      </c>
      <c r="AG430" s="6" t="str">
        <f t="shared" si="201"/>
        <v>=1.833*100000000</v>
      </c>
      <c r="AH430" s="1">
        <f>1.833*100000000</f>
        <v>183300000</v>
      </c>
      <c r="AI430" s="8">
        <f t="shared" si="202"/>
        <v>-0.84737718567860121</v>
      </c>
      <c r="AJ430" s="6" t="s">
        <v>2731</v>
      </c>
      <c r="AK430" s="6" t="str">
        <f t="shared" si="203"/>
        <v>=12.01*100000000</v>
      </c>
      <c r="AL430" s="1">
        <f>12.01*100000000</f>
        <v>1201000000</v>
      </c>
      <c r="AM430" s="8">
        <f t="shared" si="204"/>
        <v>0.3685050136736554</v>
      </c>
      <c r="AN430" s="6" t="s">
        <v>4170</v>
      </c>
      <c r="AO430" s="6" t="str">
        <f t="shared" si="205"/>
        <v>=8.776*100000000</v>
      </c>
      <c r="AP430" s="1">
        <f>8.776*100000000</f>
        <v>877600000</v>
      </c>
      <c r="AQ430" s="8">
        <f t="shared" si="206"/>
        <v>0.50635084105732919</v>
      </c>
      <c r="AR430" s="6" t="s">
        <v>5433</v>
      </c>
      <c r="AS430" s="6" t="str">
        <f t="shared" si="207"/>
        <v>=5.826*100000000</v>
      </c>
      <c r="AT430" s="1">
        <f>5.826*100000000</f>
        <v>582600000</v>
      </c>
      <c r="AU430" s="8">
        <f t="shared" si="208"/>
        <v>1.0427769985974755</v>
      </c>
      <c r="AV430" s="6" t="s">
        <v>5434</v>
      </c>
      <c r="AW430" s="6" t="str">
        <f t="shared" si="209"/>
        <v>=2.852*100000000</v>
      </c>
      <c r="AX430" s="1">
        <f>2.852*100000000</f>
        <v>285200000</v>
      </c>
      <c r="AY430" s="10">
        <f t="shared" si="210"/>
        <v>-0.73068932955618504</v>
      </c>
      <c r="AZ430" s="6" t="s">
        <v>369</v>
      </c>
      <c r="BA430" s="6" t="str">
        <f t="shared" si="211"/>
        <v>=10.59*100000000</v>
      </c>
      <c r="BB430" s="1">
        <f>10.59*100000000</f>
        <v>1059000000</v>
      </c>
      <c r="BC430" s="8">
        <f t="shared" si="212"/>
        <v>0.40562782054685426</v>
      </c>
      <c r="BD430" s="6" t="s">
        <v>4152</v>
      </c>
      <c r="BE430" s="6" t="str">
        <f t="shared" si="213"/>
        <v>=7.534*100000000</v>
      </c>
      <c r="BF430" s="1">
        <f>7.534*100000000</f>
        <v>753400000</v>
      </c>
      <c r="BG430" s="8">
        <f t="shared" si="214"/>
        <v>0.5791238734018026</v>
      </c>
      <c r="BH430" s="6" t="s">
        <v>2298</v>
      </c>
      <c r="BI430" s="6" t="str">
        <f t="shared" si="215"/>
        <v>=4.771*100000000</v>
      </c>
      <c r="BJ430" s="1">
        <f>4.771*100000000</f>
        <v>477100000</v>
      </c>
      <c r="BK430" s="6" t="s">
        <v>5435</v>
      </c>
      <c r="BL430" s="1" t="str">
        <f t="shared" si="187"/>
        <v>=2.340*100000000</v>
      </c>
      <c r="BM430" s="16">
        <f t="shared" si="216"/>
        <v>1.038888888888889</v>
      </c>
      <c r="BN430" s="1">
        <f>2.34*100000000</f>
        <v>234000000</v>
      </c>
    </row>
    <row r="431" spans="1:66">
      <c r="A431" s="18"/>
      <c r="B431">
        <v>600353</v>
      </c>
      <c r="C431" t="s">
        <v>48</v>
      </c>
      <c r="D431" s="7" t="s">
        <v>5436</v>
      </c>
      <c r="E431" s="7" t="str">
        <f t="shared" si="186"/>
        <v>=8602*10000</v>
      </c>
      <c r="F431" s="1">
        <f>8602*10000</f>
        <v>86020000</v>
      </c>
      <c r="G431" s="8">
        <f t="shared" si="188"/>
        <v>0.23220169030224896</v>
      </c>
      <c r="H431" s="7" t="s">
        <v>5437</v>
      </c>
      <c r="I431" s="6" t="str">
        <f t="shared" si="189"/>
        <v>=6981*10000</v>
      </c>
      <c r="J431" s="1">
        <f>6981*10000</f>
        <v>69810000</v>
      </c>
      <c r="K431" s="10">
        <f t="shared" si="190"/>
        <v>0.88726682887266828</v>
      </c>
      <c r="L431" s="7" t="s">
        <v>5438</v>
      </c>
      <c r="M431" s="6" t="str">
        <f t="shared" si="191"/>
        <v>=3699*10000</v>
      </c>
      <c r="N431" s="1">
        <f>3699*10000</f>
        <v>36990000</v>
      </c>
      <c r="O431" s="8">
        <f t="shared" si="192"/>
        <v>1.8236641221374046</v>
      </c>
      <c r="P431" s="7" t="s">
        <v>5439</v>
      </c>
      <c r="Q431" s="6" t="str">
        <f t="shared" si="193"/>
        <v>=1310*10000</v>
      </c>
      <c r="R431" s="11">
        <f>1310*10000</f>
        <v>13100000</v>
      </c>
      <c r="S431" s="8">
        <f t="shared" si="194"/>
        <v>-0.79479949874686717</v>
      </c>
      <c r="T431" s="7" t="s">
        <v>5440</v>
      </c>
      <c r="U431" s="6" t="str">
        <f t="shared" si="195"/>
        <v>=6384*10000</v>
      </c>
      <c r="V431" s="1">
        <f>6384*10000</f>
        <v>63840000</v>
      </c>
      <c r="W431" s="8">
        <f t="shared" si="196"/>
        <v>-6.680309896214004E-2</v>
      </c>
      <c r="X431" s="7" t="s">
        <v>5441</v>
      </c>
      <c r="Y431" s="6" t="str">
        <f t="shared" si="197"/>
        <v>=6841*10000</v>
      </c>
      <c r="Z431" s="1">
        <f>6841*10000</f>
        <v>68410000</v>
      </c>
      <c r="AA431" s="8">
        <f t="shared" si="198"/>
        <v>0.84991887506760411</v>
      </c>
      <c r="AB431" s="7" t="s">
        <v>5442</v>
      </c>
      <c r="AC431" s="6" t="str">
        <f t="shared" si="199"/>
        <v>=3698*10000</v>
      </c>
      <c r="AD431" s="1">
        <f>3698*10000</f>
        <v>36980000</v>
      </c>
      <c r="AE431" s="8">
        <f t="shared" si="200"/>
        <v>-10.530927835051546</v>
      </c>
      <c r="AF431" s="7">
        <f>-388*10000</f>
        <v>-3880000</v>
      </c>
      <c r="AG431" s="6" t="str">
        <f t="shared" si="201"/>
        <v>=-3880000</v>
      </c>
      <c r="AH431" s="1">
        <f>-3880000</f>
        <v>-3880000</v>
      </c>
      <c r="AI431" s="8">
        <f t="shared" si="202"/>
        <v>-1.0482287134866377</v>
      </c>
      <c r="AJ431" s="7" t="s">
        <v>5443</v>
      </c>
      <c r="AK431" s="6" t="str">
        <f t="shared" si="203"/>
        <v>=8045*10000</v>
      </c>
      <c r="AL431" s="1">
        <f>8045*10000</f>
        <v>80450000</v>
      </c>
      <c r="AM431" s="8">
        <f t="shared" si="204"/>
        <v>-5.5751173708920188E-2</v>
      </c>
      <c r="AN431" s="7" t="s">
        <v>4580</v>
      </c>
      <c r="AO431" s="6" t="str">
        <f t="shared" si="205"/>
        <v>=8520*10000</v>
      </c>
      <c r="AP431" s="1">
        <f>8520*10000</f>
        <v>85200000</v>
      </c>
      <c r="AQ431" s="8">
        <f t="shared" si="206"/>
        <v>0.61272004542873371</v>
      </c>
      <c r="AR431" s="7" t="s">
        <v>5444</v>
      </c>
      <c r="AS431" s="6" t="str">
        <f t="shared" si="207"/>
        <v>=5283*10000</v>
      </c>
      <c r="AT431" s="1">
        <f>5283*10000</f>
        <v>52830000</v>
      </c>
      <c r="AU431" s="8">
        <f t="shared" si="208"/>
        <v>1.1722861842105263</v>
      </c>
      <c r="AV431" s="7" t="s">
        <v>5445</v>
      </c>
      <c r="AW431" s="6" t="str">
        <f t="shared" si="209"/>
        <v>=2432*10000</v>
      </c>
      <c r="AX431" s="1">
        <f>2432*10000</f>
        <v>24320000</v>
      </c>
      <c r="AY431" s="10">
        <f t="shared" si="210"/>
        <v>-0.65142611437580622</v>
      </c>
      <c r="AZ431" s="7" t="s">
        <v>5446</v>
      </c>
      <c r="BA431" s="6" t="str">
        <f t="shared" si="211"/>
        <v>=6977*10000</v>
      </c>
      <c r="BB431" s="1">
        <f>6977*10000</f>
        <v>69770000</v>
      </c>
      <c r="BC431" s="8">
        <f t="shared" si="212"/>
        <v>9.8913214679477085E-2</v>
      </c>
      <c r="BD431" s="7" t="s">
        <v>5447</v>
      </c>
      <c r="BE431" s="6" t="str">
        <f t="shared" si="213"/>
        <v>=6349*10000</v>
      </c>
      <c r="BF431" s="1">
        <f>6349*10000</f>
        <v>63490000</v>
      </c>
      <c r="BG431" s="8">
        <f t="shared" si="214"/>
        <v>0.68542606848951415</v>
      </c>
      <c r="BH431" s="7" t="s">
        <v>5448</v>
      </c>
      <c r="BI431" s="6" t="str">
        <f t="shared" si="215"/>
        <v>=3767*10000</v>
      </c>
      <c r="BJ431" s="1">
        <f>3767*10000</f>
        <v>37670000</v>
      </c>
      <c r="BK431" s="7" t="s">
        <v>5449</v>
      </c>
      <c r="BL431" s="1" t="str">
        <f t="shared" si="187"/>
        <v>=1570*10000</v>
      </c>
      <c r="BM431" s="16">
        <f t="shared" si="216"/>
        <v>1.3993630573248408</v>
      </c>
      <c r="BN431" s="1">
        <f>1570*10000</f>
        <v>15700000</v>
      </c>
    </row>
    <row r="432" spans="1:66">
      <c r="A432" s="18"/>
      <c r="B432">
        <v>600353</v>
      </c>
      <c r="C432" t="s">
        <v>58</v>
      </c>
      <c r="D432" s="7" t="s">
        <v>5450</v>
      </c>
      <c r="E432" s="7" t="str">
        <f t="shared" si="186"/>
        <v>=8594*10000</v>
      </c>
      <c r="F432" s="1">
        <f>8594*10000</f>
        <v>85940000</v>
      </c>
      <c r="G432" s="8">
        <f t="shared" si="188"/>
        <v>0.22999856877057392</v>
      </c>
      <c r="H432" s="7" t="s">
        <v>5451</v>
      </c>
      <c r="I432" s="6" t="str">
        <f t="shared" si="189"/>
        <v>=6987*10000</v>
      </c>
      <c r="J432" s="1">
        <f>6987*10000</f>
        <v>69870000</v>
      </c>
      <c r="K432" s="10">
        <f t="shared" si="190"/>
        <v>0.88633909287257018</v>
      </c>
      <c r="L432" s="7" t="s">
        <v>5452</v>
      </c>
      <c r="M432" s="6" t="str">
        <f t="shared" si="191"/>
        <v>=3704*10000</v>
      </c>
      <c r="N432" s="1">
        <f>3704*10000</f>
        <v>37040000</v>
      </c>
      <c r="O432" s="8">
        <f t="shared" si="192"/>
        <v>1.8296409472880062</v>
      </c>
      <c r="P432" s="7" t="s">
        <v>5453</v>
      </c>
      <c r="Q432" s="6" t="str">
        <f t="shared" si="193"/>
        <v>=1309*10000</v>
      </c>
      <c r="R432" s="11">
        <f>1309*10000</f>
        <v>13090000</v>
      </c>
      <c r="S432" s="8">
        <f t="shared" si="194"/>
        <v>-0.79527682202064431</v>
      </c>
      <c r="T432" s="7" t="s">
        <v>5454</v>
      </c>
      <c r="U432" s="6" t="str">
        <f t="shared" si="195"/>
        <v>=6394*10000</v>
      </c>
      <c r="V432" s="1">
        <f>6394*10000</f>
        <v>63940000</v>
      </c>
      <c r="W432" s="8">
        <f t="shared" si="196"/>
        <v>-8.5526315789473686E-2</v>
      </c>
      <c r="X432" s="7" t="s">
        <v>5455</v>
      </c>
      <c r="Y432" s="6" t="str">
        <f t="shared" si="197"/>
        <v>=6992*10000</v>
      </c>
      <c r="Z432" s="1">
        <f>6992*10000</f>
        <v>69920000</v>
      </c>
      <c r="AA432" s="8">
        <f t="shared" si="198"/>
        <v>0.83132530120481929</v>
      </c>
      <c r="AB432" s="7" t="s">
        <v>5456</v>
      </c>
      <c r="AC432" s="6" t="str">
        <f t="shared" si="199"/>
        <v>=3818*10000</v>
      </c>
      <c r="AD432" s="1">
        <f>3818*10000</f>
        <v>38180000</v>
      </c>
      <c r="AE432" s="8">
        <f t="shared" si="200"/>
        <v>-14.368347338935575</v>
      </c>
      <c r="AF432" s="7">
        <f>-285.6*10000</f>
        <v>-2856000</v>
      </c>
      <c r="AG432" s="6" t="str">
        <f t="shared" si="201"/>
        <v>=-2856000</v>
      </c>
      <c r="AH432" s="1">
        <f>-2856000</f>
        <v>-2856000</v>
      </c>
      <c r="AI432" s="8">
        <f t="shared" si="202"/>
        <v>-1.0339797739440808</v>
      </c>
      <c r="AJ432" s="7" t="s">
        <v>5457</v>
      </c>
      <c r="AK432" s="6" t="str">
        <f t="shared" si="203"/>
        <v>=8405*10000</v>
      </c>
      <c r="AL432" s="1">
        <f>8405*10000</f>
        <v>84050000</v>
      </c>
      <c r="AM432" s="8">
        <f t="shared" si="204"/>
        <v>-3.3352501437607818E-2</v>
      </c>
      <c r="AN432" s="7" t="s">
        <v>5458</v>
      </c>
      <c r="AO432" s="6" t="str">
        <f t="shared" si="205"/>
        <v>=8695*10000</v>
      </c>
      <c r="AP432" s="1">
        <f>8695*10000</f>
        <v>86950000</v>
      </c>
      <c r="AQ432" s="8">
        <f t="shared" si="206"/>
        <v>0.60602142593276687</v>
      </c>
      <c r="AR432" s="7" t="s">
        <v>5459</v>
      </c>
      <c r="AS432" s="6" t="str">
        <f t="shared" si="207"/>
        <v>=5414*10000</v>
      </c>
      <c r="AT432" s="1">
        <f>5414*10000</f>
        <v>54140000</v>
      </c>
      <c r="AU432" s="8">
        <f t="shared" si="208"/>
        <v>1.1484126984126983</v>
      </c>
      <c r="AV432" s="7" t="s">
        <v>5460</v>
      </c>
      <c r="AW432" s="6" t="str">
        <f t="shared" si="209"/>
        <v>=2520*10000</v>
      </c>
      <c r="AX432" s="1">
        <f>2520*10000</f>
        <v>25200000</v>
      </c>
      <c r="AY432" s="10">
        <f t="shared" si="210"/>
        <v>-0.64361476453118371</v>
      </c>
      <c r="AZ432" s="7" t="s">
        <v>5461</v>
      </c>
      <c r="BA432" s="6" t="str">
        <f t="shared" si="211"/>
        <v>=7071*10000</v>
      </c>
      <c r="BB432" s="1">
        <f>7071*10000</f>
        <v>70710000</v>
      </c>
      <c r="BC432" s="8">
        <f t="shared" si="212"/>
        <v>7.315222340264077E-2</v>
      </c>
      <c r="BD432" s="7" t="s">
        <v>5462</v>
      </c>
      <c r="BE432" s="6" t="str">
        <f t="shared" si="213"/>
        <v>=6589*10000</v>
      </c>
      <c r="BF432" s="1">
        <f>6589*10000</f>
        <v>65890000</v>
      </c>
      <c r="BG432" s="8">
        <f t="shared" si="214"/>
        <v>0.67787114845938379</v>
      </c>
      <c r="BH432" s="7" t="s">
        <v>5463</v>
      </c>
      <c r="BI432" s="6" t="str">
        <f t="shared" si="215"/>
        <v>=3927*10000</v>
      </c>
      <c r="BJ432" s="1">
        <f>3927*10000</f>
        <v>39270000</v>
      </c>
      <c r="BK432" s="7" t="s">
        <v>3810</v>
      </c>
      <c r="BL432" s="1" t="str">
        <f t="shared" si="187"/>
        <v>=1576*10000</v>
      </c>
      <c r="BM432" s="16">
        <f t="shared" si="216"/>
        <v>1.491751269035533</v>
      </c>
      <c r="BN432" s="1">
        <f>1576*10000</f>
        <v>15760000</v>
      </c>
    </row>
    <row r="433" spans="1:66">
      <c r="A433" s="19"/>
      <c r="B433">
        <v>600353</v>
      </c>
      <c r="C433" t="s">
        <v>68</v>
      </c>
      <c r="D433" s="7" t="s">
        <v>5464</v>
      </c>
      <c r="E433" s="7" t="str">
        <f t="shared" si="186"/>
        <v>=7900*10000</v>
      </c>
      <c r="F433" s="1">
        <f>7900*10000</f>
        <v>79000000</v>
      </c>
      <c r="G433" s="8">
        <f t="shared" si="188"/>
        <v>0.29656983423600852</v>
      </c>
      <c r="H433" s="7" t="s">
        <v>5465</v>
      </c>
      <c r="I433" s="6" t="str">
        <f t="shared" si="189"/>
        <v>=6093*10000</v>
      </c>
      <c r="J433" s="1">
        <f>6093*10000</f>
        <v>60930000</v>
      </c>
      <c r="K433" s="10">
        <f t="shared" si="190"/>
        <v>0.86273310914093548</v>
      </c>
      <c r="L433" s="7" t="s">
        <v>5466</v>
      </c>
      <c r="M433" s="6" t="str">
        <f t="shared" si="191"/>
        <v>=3271*10000</v>
      </c>
      <c r="N433" s="1">
        <f>3271*10000</f>
        <v>32710000</v>
      </c>
      <c r="O433" s="8">
        <f t="shared" si="192"/>
        <v>1.9101423487544484</v>
      </c>
      <c r="P433" s="7" t="s">
        <v>5467</v>
      </c>
      <c r="Q433" s="6" t="str">
        <f t="shared" si="193"/>
        <v>=1124*10000</v>
      </c>
      <c r="R433" s="11">
        <f>1124*10000</f>
        <v>11240000</v>
      </c>
      <c r="S433" s="8">
        <f t="shared" si="194"/>
        <v>-0.80677325081657214</v>
      </c>
      <c r="T433" s="7" t="s">
        <v>5468</v>
      </c>
      <c r="U433" s="6" t="str">
        <f t="shared" si="195"/>
        <v>=5817*10000</v>
      </c>
      <c r="V433" s="1">
        <f>5817*10000</f>
        <v>58170000</v>
      </c>
      <c r="W433" s="8">
        <f t="shared" si="196"/>
        <v>-3.9940584254827528E-2</v>
      </c>
      <c r="X433" s="7" t="s">
        <v>5469</v>
      </c>
      <c r="Y433" s="6" t="str">
        <f t="shared" si="197"/>
        <v>=6059*10000</v>
      </c>
      <c r="Z433" s="1">
        <f>6059*10000</f>
        <v>60590000</v>
      </c>
      <c r="AA433" s="8">
        <f t="shared" si="198"/>
        <v>0.85403916768665855</v>
      </c>
      <c r="AB433" s="7" t="s">
        <v>3187</v>
      </c>
      <c r="AC433" s="6" t="str">
        <f t="shared" si="199"/>
        <v>=3268*10000</v>
      </c>
      <c r="AD433" s="1">
        <f>3268*10000</f>
        <v>32680000</v>
      </c>
      <c r="AE433" s="8">
        <f t="shared" si="200"/>
        <v>-9.0751173708920181</v>
      </c>
      <c r="AF433" s="7">
        <f>-404.7*10000</f>
        <v>-4047000</v>
      </c>
      <c r="AG433" s="6" t="str">
        <f t="shared" si="201"/>
        <v>=-4047000</v>
      </c>
      <c r="AH433" s="1">
        <f>-4047000</f>
        <v>-4047000</v>
      </c>
      <c r="AI433" s="8">
        <f t="shared" si="202"/>
        <v>-1.0561537394200082</v>
      </c>
      <c r="AJ433" s="7" t="s">
        <v>4891</v>
      </c>
      <c r="AK433" s="6" t="str">
        <f t="shared" si="203"/>
        <v>=7207*10000</v>
      </c>
      <c r="AL433" s="1">
        <f>7207*10000</f>
        <v>72070000</v>
      </c>
      <c r="AM433" s="8">
        <f t="shared" si="204"/>
        <v>-4.1453641011468837E-3</v>
      </c>
      <c r="AN433" s="7" t="s">
        <v>5470</v>
      </c>
      <c r="AO433" s="6" t="str">
        <f t="shared" si="205"/>
        <v>=7237*10000</v>
      </c>
      <c r="AP433" s="1">
        <f>7237*10000</f>
        <v>72370000</v>
      </c>
      <c r="AQ433" s="8">
        <f t="shared" si="206"/>
        <v>0.639555958314454</v>
      </c>
      <c r="AR433" s="7" t="s">
        <v>5471</v>
      </c>
      <c r="AS433" s="6" t="str">
        <f t="shared" si="207"/>
        <v>=4414*10000</v>
      </c>
      <c r="AT433" s="1">
        <f>4414*10000</f>
        <v>44140000</v>
      </c>
      <c r="AU433" s="8">
        <f t="shared" si="208"/>
        <v>1.1170263788968824</v>
      </c>
      <c r="AV433" s="7" t="s">
        <v>5472</v>
      </c>
      <c r="AW433" s="6" t="str">
        <f t="shared" si="209"/>
        <v>=2085*10000</v>
      </c>
      <c r="AX433" s="1">
        <f>2085*10000</f>
        <v>20850000</v>
      </c>
      <c r="AY433" s="10">
        <f t="shared" si="210"/>
        <v>-0.66108582574772434</v>
      </c>
      <c r="AZ433" s="7" t="s">
        <v>5473</v>
      </c>
      <c r="BA433" s="6" t="str">
        <f t="shared" si="211"/>
        <v>=6152*10000</v>
      </c>
      <c r="BB433" s="1">
        <f>6152*10000</f>
        <v>61520000</v>
      </c>
      <c r="BC433" s="8">
        <f t="shared" si="212"/>
        <v>9.8963915684172912E-2</v>
      </c>
      <c r="BD433" s="7" t="s">
        <v>5474</v>
      </c>
      <c r="BE433" s="6" t="str">
        <f t="shared" si="213"/>
        <v>=5598*10000</v>
      </c>
      <c r="BF433" s="1">
        <f>5598*10000</f>
        <v>55980000</v>
      </c>
      <c r="BG433" s="8">
        <f t="shared" si="214"/>
        <v>0.68057640348243775</v>
      </c>
      <c r="BH433" s="7" t="s">
        <v>5475</v>
      </c>
      <c r="BI433" s="6" t="str">
        <f t="shared" si="215"/>
        <v>=3331*10000</v>
      </c>
      <c r="BJ433" s="1">
        <f>3331*10000</f>
        <v>33310000</v>
      </c>
      <c r="BK433" s="7" t="s">
        <v>5476</v>
      </c>
      <c r="BL433" s="1" t="str">
        <f t="shared" si="187"/>
        <v>=1308*10000</v>
      </c>
      <c r="BM433" s="16">
        <f t="shared" si="216"/>
        <v>1.5466360856269112</v>
      </c>
      <c r="BN433" s="1">
        <f>1308*10000</f>
        <v>13080000</v>
      </c>
    </row>
    <row r="434" spans="1:66">
      <c r="A434" s="17">
        <v>109</v>
      </c>
      <c r="B434">
        <v>600354</v>
      </c>
      <c r="C434" t="s">
        <v>31</v>
      </c>
      <c r="D434" s="6" t="s">
        <v>5477</v>
      </c>
      <c r="E434" s="7" t="str">
        <f t="shared" si="186"/>
        <v>=9.221*100000000</v>
      </c>
      <c r="F434" s="1">
        <f>9.221*100000000</f>
        <v>922100000</v>
      </c>
      <c r="G434" s="8">
        <f t="shared" si="188"/>
        <v>1.0914039464731231</v>
      </c>
      <c r="H434" s="6" t="s">
        <v>5478</v>
      </c>
      <c r="I434" s="6" t="str">
        <f t="shared" si="189"/>
        <v>=4.409*100000000</v>
      </c>
      <c r="J434" s="1">
        <f>4.409*100000000</f>
        <v>440900000</v>
      </c>
      <c r="K434" s="10">
        <f t="shared" si="190"/>
        <v>0.23639932697700505</v>
      </c>
      <c r="L434" s="6" t="s">
        <v>5479</v>
      </c>
      <c r="M434" s="6" t="str">
        <f t="shared" si="191"/>
        <v>=3.566*100000000</v>
      </c>
      <c r="N434" s="1">
        <f>3.566*100000000</f>
        <v>356600000</v>
      </c>
      <c r="O434" s="8">
        <f t="shared" si="192"/>
        <v>0.64407561088059018</v>
      </c>
      <c r="P434" s="6" t="s">
        <v>5480</v>
      </c>
      <c r="Q434" s="6" t="str">
        <f t="shared" si="193"/>
        <v>=2.169*100000000</v>
      </c>
      <c r="R434" s="11">
        <f>2.169*100000000</f>
        <v>216900000</v>
      </c>
      <c r="S434" s="8">
        <f t="shared" si="194"/>
        <v>-0.77268916369733809</v>
      </c>
      <c r="T434" s="6" t="s">
        <v>5481</v>
      </c>
      <c r="U434" s="6" t="str">
        <f t="shared" si="195"/>
        <v>=9.542*100000000</v>
      </c>
      <c r="V434" s="1">
        <f>9.542*100000000</f>
        <v>954200000</v>
      </c>
      <c r="W434" s="8">
        <f t="shared" si="196"/>
        <v>0.57303000329706566</v>
      </c>
      <c r="X434" s="6" t="s">
        <v>5482</v>
      </c>
      <c r="Y434" s="6" t="str">
        <f t="shared" si="197"/>
        <v>=6.066*100000000</v>
      </c>
      <c r="Z434" s="1">
        <f>6.066*100000000</f>
        <v>606600000</v>
      </c>
      <c r="AA434" s="8">
        <f t="shared" si="198"/>
        <v>0.4744773942634905</v>
      </c>
      <c r="AB434" s="6" t="s">
        <v>5483</v>
      </c>
      <c r="AC434" s="6" t="str">
        <f t="shared" si="199"/>
        <v>=4.114*100000000</v>
      </c>
      <c r="AD434" s="1">
        <f>4.114*100000000</f>
        <v>411400000</v>
      </c>
      <c r="AE434" s="8">
        <f t="shared" si="200"/>
        <v>1.1260981912144703</v>
      </c>
      <c r="AF434" s="6" t="s">
        <v>2182</v>
      </c>
      <c r="AG434" s="6" t="str">
        <f t="shared" si="201"/>
        <v>=1.935*100000000</v>
      </c>
      <c r="AH434" s="1">
        <f>1.935*100000000</f>
        <v>193500000</v>
      </c>
      <c r="AI434" s="8">
        <f t="shared" si="202"/>
        <v>-0.83657094594594594</v>
      </c>
      <c r="AJ434" s="6" t="s">
        <v>1402</v>
      </c>
      <c r="AK434" s="6" t="str">
        <f t="shared" si="203"/>
        <v>=11.84*100000000</v>
      </c>
      <c r="AL434" s="1">
        <f>11.84*100000000</f>
        <v>1184000000</v>
      </c>
      <c r="AM434" s="8">
        <f t="shared" si="204"/>
        <v>0.7289719626168224</v>
      </c>
      <c r="AN434" s="6" t="s">
        <v>5484</v>
      </c>
      <c r="AO434" s="6" t="str">
        <f t="shared" si="205"/>
        <v>=6.848*100000000</v>
      </c>
      <c r="AP434" s="1">
        <f>6.848*100000000</f>
        <v>684800000</v>
      </c>
      <c r="AQ434" s="8">
        <f t="shared" si="206"/>
        <v>0.50274303269694953</v>
      </c>
      <c r="AR434" s="6" t="s">
        <v>5485</v>
      </c>
      <c r="AS434" s="6" t="str">
        <f t="shared" si="207"/>
        <v>=4.557*100000000</v>
      </c>
      <c r="AT434" s="1">
        <f>4.557*100000000</f>
        <v>455700000.00000006</v>
      </c>
      <c r="AU434" s="8">
        <f t="shared" si="208"/>
        <v>1.3883647798742142</v>
      </c>
      <c r="AV434" s="6" t="s">
        <v>4756</v>
      </c>
      <c r="AW434" s="6" t="str">
        <f t="shared" si="209"/>
        <v>=1.908*100000000</v>
      </c>
      <c r="AX434" s="1">
        <f>1.908*100000000</f>
        <v>190800000</v>
      </c>
      <c r="AY434" s="10">
        <f t="shared" si="210"/>
        <v>-0.75140065146579804</v>
      </c>
      <c r="AZ434" s="6" t="s">
        <v>5486</v>
      </c>
      <c r="BA434" s="6" t="str">
        <f t="shared" si="211"/>
        <v>=7.675*100000000</v>
      </c>
      <c r="BB434" s="1">
        <f>7.675*100000000</f>
        <v>767500000</v>
      </c>
      <c r="BC434" s="8">
        <f t="shared" si="212"/>
        <v>1.0941336971350615</v>
      </c>
      <c r="BD434" s="6" t="s">
        <v>3143</v>
      </c>
      <c r="BE434" s="6" t="str">
        <f t="shared" si="213"/>
        <v>=3.665*100000000</v>
      </c>
      <c r="BF434" s="1">
        <f>3.665*100000000</f>
        <v>366500000</v>
      </c>
      <c r="BG434" s="8">
        <f t="shared" si="214"/>
        <v>0.77826297913634157</v>
      </c>
      <c r="BH434" s="6" t="s">
        <v>5487</v>
      </c>
      <c r="BI434" s="6" t="str">
        <f t="shared" si="215"/>
        <v>=2.061*100000000</v>
      </c>
      <c r="BJ434" s="1">
        <f>2.061*100000000</f>
        <v>206100000</v>
      </c>
      <c r="BK434" s="7" t="s">
        <v>5488</v>
      </c>
      <c r="BL434" s="1" t="str">
        <f t="shared" si="187"/>
        <v>=8565*10000</v>
      </c>
      <c r="BM434" s="16">
        <f t="shared" si="216"/>
        <v>1.4063047285464099</v>
      </c>
      <c r="BN434" s="1">
        <f>8565*10000</f>
        <v>85650000</v>
      </c>
    </row>
    <row r="435" spans="1:66">
      <c r="A435" s="18"/>
      <c r="B435">
        <v>600354</v>
      </c>
      <c r="C435" t="s">
        <v>48</v>
      </c>
      <c r="D435" s="7" t="s">
        <v>5489</v>
      </c>
      <c r="E435" s="7" t="str">
        <f t="shared" si="186"/>
        <v>=2669*10000</v>
      </c>
      <c r="F435" s="1">
        <f>2669*10000</f>
        <v>26690000</v>
      </c>
      <c r="G435" s="8">
        <f t="shared" si="188"/>
        <v>-2.288749396426847</v>
      </c>
      <c r="H435" s="7">
        <f>-2071*10000</f>
        <v>-20710000</v>
      </c>
      <c r="I435" s="6" t="str">
        <f t="shared" si="189"/>
        <v>=-20710000</v>
      </c>
      <c r="J435" s="1">
        <f>-20710000</f>
        <v>-20710000</v>
      </c>
      <c r="K435" s="10">
        <f t="shared" si="190"/>
        <v>-4.5018599932363879</v>
      </c>
      <c r="L435" s="7" t="s">
        <v>5490</v>
      </c>
      <c r="M435" s="6" t="str">
        <f t="shared" si="191"/>
        <v>=591.4*10000</v>
      </c>
      <c r="N435" s="1">
        <f>591.4*10000</f>
        <v>5914000</v>
      </c>
      <c r="O435" s="8">
        <f t="shared" si="192"/>
        <v>-0.80253756260434062</v>
      </c>
      <c r="P435" s="7" t="s">
        <v>5491</v>
      </c>
      <c r="Q435" s="6" t="str">
        <f t="shared" si="193"/>
        <v>=2995*10000</v>
      </c>
      <c r="R435" s="11">
        <f>2995*10000</f>
        <v>29950000</v>
      </c>
      <c r="S435" s="8">
        <f t="shared" si="194"/>
        <v>-0.20725251455796717</v>
      </c>
      <c r="T435" s="7" t="s">
        <v>1951</v>
      </c>
      <c r="U435" s="6" t="str">
        <f t="shared" si="195"/>
        <v>=3778*10000</v>
      </c>
      <c r="V435" s="1">
        <f>3778*10000</f>
        <v>37780000</v>
      </c>
      <c r="W435" s="8">
        <f t="shared" si="196"/>
        <v>-0.37574355584930602</v>
      </c>
      <c r="X435" s="7" t="s">
        <v>5492</v>
      </c>
      <c r="Y435" s="6" t="str">
        <f t="shared" si="197"/>
        <v>=6052*10000</v>
      </c>
      <c r="Z435" s="1">
        <f>6052*10000</f>
        <v>60520000</v>
      </c>
      <c r="AA435" s="8">
        <f t="shared" si="198"/>
        <v>-2.3524022346368714</v>
      </c>
      <c r="AB435" s="7">
        <f>-4475*10000</f>
        <v>-44750000</v>
      </c>
      <c r="AC435" s="6" t="str">
        <f t="shared" si="199"/>
        <v>=-44750000</v>
      </c>
      <c r="AD435" s="1">
        <f>-44750000</f>
        <v>-44750000</v>
      </c>
      <c r="AE435" s="8">
        <f t="shared" si="200"/>
        <v>3.2216981132075473</v>
      </c>
      <c r="AF435" s="7">
        <f>-1060*10000</f>
        <v>-10600000</v>
      </c>
      <c r="AG435" s="6" t="str">
        <f t="shared" si="201"/>
        <v>=-10600000</v>
      </c>
      <c r="AH435" s="1">
        <f>-10600000</f>
        <v>-10600000</v>
      </c>
      <c r="AI435" s="8">
        <f t="shared" si="202"/>
        <v>-0.95106186518928904</v>
      </c>
      <c r="AJ435" s="6">
        <f>-2.166*100000000</f>
        <v>-216600000</v>
      </c>
      <c r="AK435" s="6" t="str">
        <f t="shared" si="203"/>
        <v>=-216600000</v>
      </c>
      <c r="AL435" s="1">
        <f>-216600000</f>
        <v>-216600000</v>
      </c>
      <c r="AM435" s="8">
        <f t="shared" si="204"/>
        <v>0.56277056277056281</v>
      </c>
      <c r="AN435" s="6">
        <f>-1.386*100000000</f>
        <v>-138600000</v>
      </c>
      <c r="AO435" s="6" t="str">
        <f t="shared" si="205"/>
        <v>=-138600000</v>
      </c>
      <c r="AP435" s="1">
        <f>-138600000</f>
        <v>-138600000</v>
      </c>
      <c r="AQ435" s="8">
        <f t="shared" si="206"/>
        <v>0.39310483465674945</v>
      </c>
      <c r="AR435" s="7">
        <f>-9949*10000</f>
        <v>-99490000</v>
      </c>
      <c r="AS435" s="6" t="str">
        <f t="shared" si="207"/>
        <v>=-99490000</v>
      </c>
      <c r="AT435" s="1">
        <f>-99490000</f>
        <v>-99490000</v>
      </c>
      <c r="AU435" s="8">
        <f t="shared" si="208"/>
        <v>1.3062123319425127</v>
      </c>
      <c r="AV435" s="7">
        <f>-4314*10000</f>
        <v>-43140000</v>
      </c>
      <c r="AW435" s="6" t="str">
        <f t="shared" si="209"/>
        <v>=-43140000</v>
      </c>
      <c r="AX435" s="1">
        <f>-43140000</f>
        <v>-43140000</v>
      </c>
      <c r="AY435" s="10">
        <f t="shared" si="210"/>
        <v>-0.84039955604883465</v>
      </c>
      <c r="AZ435" s="6">
        <f>-2.703*100000000</f>
        <v>-270300000</v>
      </c>
      <c r="BA435" s="6" t="str">
        <f t="shared" si="211"/>
        <v>=-270300000</v>
      </c>
      <c r="BB435" s="1">
        <f>-270300000</f>
        <v>-270300000</v>
      </c>
      <c r="BC435" s="8">
        <f t="shared" si="212"/>
        <v>0.71075949367088609</v>
      </c>
      <c r="BD435" s="6">
        <f>-1.58*100000000</f>
        <v>-158000000</v>
      </c>
      <c r="BE435" s="6" t="str">
        <f t="shared" si="213"/>
        <v>=-158000000</v>
      </c>
      <c r="BF435" s="1">
        <f>-158000000</f>
        <v>-158000000</v>
      </c>
      <c r="BG435" s="8">
        <f t="shared" si="214"/>
        <v>0.52804642166344296</v>
      </c>
      <c r="BH435" s="6">
        <f>-1.034*100000000</f>
        <v>-103400000</v>
      </c>
      <c r="BI435" s="6" t="str">
        <f t="shared" si="215"/>
        <v>=-103400000</v>
      </c>
      <c r="BJ435" s="1">
        <f>-103400000</f>
        <v>-103400000</v>
      </c>
      <c r="BK435" s="7">
        <f>-5513*10000</f>
        <v>-55130000</v>
      </c>
      <c r="BL435" s="1" t="str">
        <f t="shared" si="187"/>
        <v>=-55130000</v>
      </c>
      <c r="BM435" s="16">
        <f t="shared" si="216"/>
        <v>0.87556684200979507</v>
      </c>
      <c r="BN435" s="1">
        <f>-55130000</f>
        <v>-55130000</v>
      </c>
    </row>
    <row r="436" spans="1:66">
      <c r="A436" s="18"/>
      <c r="B436">
        <v>600354</v>
      </c>
      <c r="C436" t="s">
        <v>58</v>
      </c>
      <c r="D436" s="7" t="s">
        <v>5493</v>
      </c>
      <c r="E436" s="7" t="str">
        <f t="shared" si="186"/>
        <v>=3609*10000</v>
      </c>
      <c r="F436" s="1">
        <f>3609*10000</f>
        <v>36090000</v>
      </c>
      <c r="G436" s="8">
        <f t="shared" si="188"/>
        <v>-4.1005154639175254</v>
      </c>
      <c r="H436" s="7">
        <f>-1164*10000</f>
        <v>-11640000</v>
      </c>
      <c r="I436" s="6" t="str">
        <f t="shared" si="189"/>
        <v>=-11640000</v>
      </c>
      <c r="J436" s="1">
        <f>-11640000</f>
        <v>-11640000</v>
      </c>
      <c r="K436" s="10">
        <f t="shared" si="190"/>
        <v>-2.0898876404494384</v>
      </c>
      <c r="L436" s="7" t="s">
        <v>5494</v>
      </c>
      <c r="M436" s="6" t="str">
        <f t="shared" si="191"/>
        <v>=1068*10000</v>
      </c>
      <c r="N436" s="1">
        <f>1068*10000</f>
        <v>10680000</v>
      </c>
      <c r="O436" s="8">
        <f t="shared" si="192"/>
        <v>-0.68364928909952605</v>
      </c>
      <c r="P436" s="7" t="s">
        <v>5495</v>
      </c>
      <c r="Q436" s="6" t="str">
        <f t="shared" si="193"/>
        <v>=3376*10000</v>
      </c>
      <c r="R436" s="11">
        <f>3376*10000</f>
        <v>33760000</v>
      </c>
      <c r="S436" s="8">
        <f t="shared" si="194"/>
        <v>5.8307210031347964E-2</v>
      </c>
      <c r="T436" s="7" t="s">
        <v>5496</v>
      </c>
      <c r="U436" s="6" t="str">
        <f t="shared" si="195"/>
        <v>=3190*10000</v>
      </c>
      <c r="V436" s="1">
        <f>3190*10000</f>
        <v>31900000</v>
      </c>
      <c r="W436" s="8">
        <f t="shared" si="196"/>
        <v>-0.46023688663282569</v>
      </c>
      <c r="X436" s="7" t="s">
        <v>5497</v>
      </c>
      <c r="Y436" s="6" t="str">
        <f t="shared" si="197"/>
        <v>=5910*10000</v>
      </c>
      <c r="Z436" s="1">
        <f>5910*10000</f>
        <v>59100000</v>
      </c>
      <c r="AA436" s="8">
        <f t="shared" si="198"/>
        <v>-2.2555768005098789</v>
      </c>
      <c r="AB436" s="7">
        <f>-4707*10000</f>
        <v>-47070000</v>
      </c>
      <c r="AC436" s="6" t="str">
        <f t="shared" si="199"/>
        <v>=-47070000</v>
      </c>
      <c r="AD436" s="1">
        <f>-47070000</f>
        <v>-47070000</v>
      </c>
      <c r="AE436" s="8">
        <f t="shared" si="200"/>
        <v>4.237565372204295</v>
      </c>
      <c r="AF436" s="7">
        <f>-898.7*10000</f>
        <v>-8987000</v>
      </c>
      <c r="AG436" s="6" t="str">
        <f t="shared" si="201"/>
        <v>=-8987000</v>
      </c>
      <c r="AH436" s="1">
        <f>-8987000</f>
        <v>-8987000</v>
      </c>
      <c r="AI436" s="8">
        <f t="shared" si="202"/>
        <v>-0.95756846081208691</v>
      </c>
      <c r="AJ436" s="6">
        <f>-2.118*100000000</f>
        <v>-211800000</v>
      </c>
      <c r="AK436" s="6" t="str">
        <f t="shared" si="203"/>
        <v>=-211800000</v>
      </c>
      <c r="AL436" s="1">
        <f>-211800000</f>
        <v>-211800000</v>
      </c>
      <c r="AM436" s="8">
        <f t="shared" si="204"/>
        <v>0.53034682080924855</v>
      </c>
      <c r="AN436" s="6">
        <f>-1.384*100000000</f>
        <v>-138400000</v>
      </c>
      <c r="AO436" s="6" t="str">
        <f t="shared" si="205"/>
        <v>=-138400000</v>
      </c>
      <c r="AP436" s="1">
        <f>-138400000</f>
        <v>-138400000</v>
      </c>
      <c r="AQ436" s="8">
        <f t="shared" si="206"/>
        <v>0.39628732849071829</v>
      </c>
      <c r="AR436" s="7">
        <f>-9912*10000</f>
        <v>-99120000</v>
      </c>
      <c r="AS436" s="6" t="str">
        <f t="shared" si="207"/>
        <v>=-99120000</v>
      </c>
      <c r="AT436" s="1">
        <f>-99120000</f>
        <v>-99120000</v>
      </c>
      <c r="AU436" s="8">
        <f t="shared" si="208"/>
        <v>1.3684587813620073</v>
      </c>
      <c r="AV436" s="7">
        <f>-4185*10000</f>
        <v>-41850000</v>
      </c>
      <c r="AW436" s="6" t="str">
        <f t="shared" si="209"/>
        <v>=-41850000</v>
      </c>
      <c r="AX436" s="1">
        <f>-41850000</f>
        <v>-41850000</v>
      </c>
      <c r="AY436" s="10">
        <f t="shared" si="210"/>
        <v>-0.8438432835820896</v>
      </c>
      <c r="AZ436" s="6">
        <f>-2.68*100000000</f>
        <v>-268000000.00000003</v>
      </c>
      <c r="BA436" s="6" t="str">
        <f t="shared" si="211"/>
        <v>=-268000000</v>
      </c>
      <c r="BB436" s="1">
        <f>-268000000</f>
        <v>-268000000</v>
      </c>
      <c r="BC436" s="8">
        <f t="shared" si="212"/>
        <v>0.7048346055979644</v>
      </c>
      <c r="BD436" s="6">
        <f>-1.572*100000000</f>
        <v>-157200000</v>
      </c>
      <c r="BE436" s="6" t="str">
        <f t="shared" si="213"/>
        <v>=-157200000</v>
      </c>
      <c r="BF436" s="1">
        <f>-157200000</f>
        <v>-157200000</v>
      </c>
      <c r="BG436" s="8">
        <f t="shared" si="214"/>
        <v>0.51299326275264678</v>
      </c>
      <c r="BH436" s="6">
        <f>-1.039*100000000</f>
        <v>-103899999.99999999</v>
      </c>
      <c r="BI436" s="6" t="str">
        <f t="shared" si="215"/>
        <v>=-103900000</v>
      </c>
      <c r="BJ436" s="1">
        <f>-103900000</f>
        <v>-103900000</v>
      </c>
      <c r="BK436" s="7">
        <f>-5579*10000</f>
        <v>-55790000</v>
      </c>
      <c r="BL436" s="1" t="str">
        <f t="shared" si="187"/>
        <v>=-55790000</v>
      </c>
      <c r="BM436" s="16">
        <f t="shared" si="216"/>
        <v>0.86234092131206308</v>
      </c>
      <c r="BN436" s="1">
        <f>-55790000</f>
        <v>-55790000</v>
      </c>
    </row>
    <row r="437" spans="1:66">
      <c r="A437" s="19"/>
      <c r="B437">
        <v>600354</v>
      </c>
      <c r="C437" t="s">
        <v>68</v>
      </c>
      <c r="D437" s="7" t="s">
        <v>5498</v>
      </c>
      <c r="E437" s="7" t="str">
        <f t="shared" si="186"/>
        <v>=4204*10000</v>
      </c>
      <c r="F437" s="1">
        <f>4204*10000</f>
        <v>42040000</v>
      </c>
      <c r="G437" s="8">
        <f t="shared" si="188"/>
        <v>-4.4657873042044516</v>
      </c>
      <c r="H437" s="7">
        <f>-1213*10000</f>
        <v>-12130000</v>
      </c>
      <c r="I437" s="6" t="str">
        <f t="shared" si="189"/>
        <v>=-12130000</v>
      </c>
      <c r="J437" s="1">
        <f>-12130000</f>
        <v>-12130000</v>
      </c>
      <c r="K437" s="10">
        <f t="shared" si="190"/>
        <v>-2.1685934489402698</v>
      </c>
      <c r="L437" s="7" t="s">
        <v>5499</v>
      </c>
      <c r="M437" s="6" t="str">
        <f t="shared" si="191"/>
        <v>=1038*10000</v>
      </c>
      <c r="N437" s="1">
        <f>1038*10000</f>
        <v>10380000</v>
      </c>
      <c r="O437" s="8">
        <f t="shared" si="192"/>
        <v>-0.68968609865470853</v>
      </c>
      <c r="P437" s="7" t="s">
        <v>2687</v>
      </c>
      <c r="Q437" s="6" t="str">
        <f t="shared" si="193"/>
        <v>=3345*10000</v>
      </c>
      <c r="R437" s="11">
        <f>3345*10000</f>
        <v>33450000</v>
      </c>
      <c r="S437" s="8">
        <f t="shared" si="194"/>
        <v>0.31796690307328607</v>
      </c>
      <c r="T437" s="7" t="s">
        <v>5500</v>
      </c>
      <c r="U437" s="6" t="str">
        <f t="shared" si="195"/>
        <v>=2538*10000</v>
      </c>
      <c r="V437" s="1">
        <f>2538*10000</f>
        <v>25380000</v>
      </c>
      <c r="W437" s="8">
        <f t="shared" si="196"/>
        <v>-0.56755835747146022</v>
      </c>
      <c r="X437" s="7" t="s">
        <v>5501</v>
      </c>
      <c r="Y437" s="6" t="str">
        <f t="shared" si="197"/>
        <v>=5869*10000</v>
      </c>
      <c r="Z437" s="1">
        <f>5869*10000</f>
        <v>58690000</v>
      </c>
      <c r="AA437" s="8">
        <f t="shared" si="198"/>
        <v>-2.3372066529961266</v>
      </c>
      <c r="AB437" s="7">
        <f>-4389*10000</f>
        <v>-43890000</v>
      </c>
      <c r="AC437" s="6" t="str">
        <f t="shared" si="199"/>
        <v>=-43890000</v>
      </c>
      <c r="AD437" s="1">
        <f>-43890000</f>
        <v>-43890000</v>
      </c>
      <c r="AE437" s="8">
        <f t="shared" si="200"/>
        <v>3.7956730769230771</v>
      </c>
      <c r="AF437" s="7">
        <f>-915.2*10000</f>
        <v>-9152000</v>
      </c>
      <c r="AG437" s="6" t="str">
        <f t="shared" si="201"/>
        <v>=-9152000</v>
      </c>
      <c r="AH437" s="1">
        <f>-9152000</f>
        <v>-9152000</v>
      </c>
      <c r="AI437" s="8">
        <f t="shared" si="202"/>
        <v>-0.95761000463177393</v>
      </c>
      <c r="AJ437" s="6">
        <f>-2.159*100000000</f>
        <v>-215899999.99999997</v>
      </c>
      <c r="AK437" s="6" t="str">
        <f t="shared" si="203"/>
        <v>=-215900000</v>
      </c>
      <c r="AL437" s="1">
        <f>-215900000</f>
        <v>-215900000</v>
      </c>
      <c r="AM437" s="8">
        <f t="shared" si="204"/>
        <v>0.51190476190476186</v>
      </c>
      <c r="AN437" s="6">
        <f>-1.428*100000000</f>
        <v>-142800000</v>
      </c>
      <c r="AO437" s="6" t="str">
        <f t="shared" si="205"/>
        <v>=-142800000</v>
      </c>
      <c r="AP437" s="1">
        <f>-142800000</f>
        <v>-142800000</v>
      </c>
      <c r="AQ437" s="8">
        <f t="shared" si="206"/>
        <v>0.38775510204081631</v>
      </c>
      <c r="AR437" s="6">
        <f>-1.029*100000000</f>
        <v>-102899999.99999999</v>
      </c>
      <c r="AS437" s="6" t="str">
        <f t="shared" si="207"/>
        <v>=-102900000</v>
      </c>
      <c r="AT437" s="1">
        <f>-102900000</f>
        <v>-102900000</v>
      </c>
      <c r="AU437" s="8">
        <f t="shared" si="208"/>
        <v>1.441860465116279</v>
      </c>
      <c r="AV437" s="7">
        <f>-4214*10000</f>
        <v>-42140000</v>
      </c>
      <c r="AW437" s="6" t="str">
        <f t="shared" si="209"/>
        <v>=-42140000</v>
      </c>
      <c r="AX437" s="1">
        <f>-42140000</f>
        <v>-42140000</v>
      </c>
      <c r="AY437" s="10">
        <f t="shared" si="210"/>
        <v>-0.84080090668681529</v>
      </c>
      <c r="AZ437" s="6">
        <f>-2.647*100000000</f>
        <v>-264699999.99999997</v>
      </c>
      <c r="BA437" s="6" t="str">
        <f t="shared" si="211"/>
        <v>=-264700000</v>
      </c>
      <c r="BB437" s="1">
        <f>-264700000</f>
        <v>-264700000</v>
      </c>
      <c r="BC437" s="8">
        <f t="shared" si="212"/>
        <v>0.67956852791878175</v>
      </c>
      <c r="BD437" s="6">
        <f>-1.576*100000000</f>
        <v>-157600000</v>
      </c>
      <c r="BE437" s="6" t="str">
        <f t="shared" si="213"/>
        <v>=-157600000</v>
      </c>
      <c r="BF437" s="1">
        <f>-157600000</f>
        <v>-157600000</v>
      </c>
      <c r="BG437" s="8">
        <f t="shared" si="214"/>
        <v>0.52417794970986464</v>
      </c>
      <c r="BH437" s="6">
        <f>-1.034*100000000</f>
        <v>-103400000</v>
      </c>
      <c r="BI437" s="6" t="str">
        <f t="shared" si="215"/>
        <v>=-103400000</v>
      </c>
      <c r="BJ437" s="1">
        <f>-103400000</f>
        <v>-103400000</v>
      </c>
      <c r="BK437" s="7">
        <f>-5578*10000</f>
        <v>-55780000</v>
      </c>
      <c r="BL437" s="1" t="str">
        <f t="shared" si="187"/>
        <v>=-55780000</v>
      </c>
      <c r="BM437" s="16">
        <f t="shared" si="216"/>
        <v>0.85371100752958051</v>
      </c>
      <c r="BN437" s="1">
        <f>-55780000</f>
        <v>-55780000</v>
      </c>
    </row>
    <row r="438" spans="1:66">
      <c r="A438" s="17">
        <v>110</v>
      </c>
      <c r="B438">
        <v>600355</v>
      </c>
      <c r="C438" t="s">
        <v>31</v>
      </c>
      <c r="D438" s="6" t="s">
        <v>5502</v>
      </c>
      <c r="E438" s="7" t="str">
        <f t="shared" si="186"/>
        <v>=2.639*100000000</v>
      </c>
      <c r="F438" s="1">
        <f>2.639*100000000</f>
        <v>263899999.99999997</v>
      </c>
      <c r="G438" s="8">
        <f t="shared" si="188"/>
        <v>0.24363807728557951</v>
      </c>
      <c r="H438" s="6" t="s">
        <v>4869</v>
      </c>
      <c r="I438" s="6" t="str">
        <f t="shared" si="189"/>
        <v>=2.122*100000000</v>
      </c>
      <c r="J438" s="1">
        <f>2.122*100000000</f>
        <v>212200000</v>
      </c>
      <c r="K438" s="10">
        <f t="shared" si="190"/>
        <v>0.48912280701754385</v>
      </c>
      <c r="L438" s="6" t="s">
        <v>5503</v>
      </c>
      <c r="M438" s="6" t="str">
        <f t="shared" si="191"/>
        <v>=1.425*100000000</v>
      </c>
      <c r="N438" s="1">
        <f>1.425*100000000</f>
        <v>142500000</v>
      </c>
      <c r="O438" s="8">
        <f t="shared" si="192"/>
        <v>1.1676300578034682</v>
      </c>
      <c r="P438" s="7" t="s">
        <v>5504</v>
      </c>
      <c r="Q438" s="6" t="str">
        <f t="shared" si="193"/>
        <v>=6574*10000</v>
      </c>
      <c r="R438" s="11">
        <f>6574*10000</f>
        <v>65740000</v>
      </c>
      <c r="S438" s="8">
        <f t="shared" si="194"/>
        <v>-0.66561546286876905</v>
      </c>
      <c r="T438" s="6" t="s">
        <v>5144</v>
      </c>
      <c r="U438" s="6" t="str">
        <f t="shared" si="195"/>
        <v>=1.966*100000000</v>
      </c>
      <c r="V438" s="1">
        <f>1.966*100000000</f>
        <v>196600000</v>
      </c>
      <c r="W438" s="8">
        <f t="shared" si="196"/>
        <v>0.53834115805946792</v>
      </c>
      <c r="X438" s="6" t="s">
        <v>5505</v>
      </c>
      <c r="Y438" s="6" t="str">
        <f t="shared" si="197"/>
        <v>=1.278*100000000</v>
      </c>
      <c r="Z438" s="1">
        <f>1.278*100000000</f>
        <v>127800000</v>
      </c>
      <c r="AA438" s="8">
        <f t="shared" si="198"/>
        <v>0.6257473603867193</v>
      </c>
      <c r="AB438" s="7" t="s">
        <v>5506</v>
      </c>
      <c r="AC438" s="6" t="str">
        <f t="shared" si="199"/>
        <v>=7861*10000</v>
      </c>
      <c r="AD438" s="1">
        <f>7861*10000</f>
        <v>78610000</v>
      </c>
      <c r="AE438" s="8">
        <f t="shared" si="200"/>
        <v>1.4428216283405841</v>
      </c>
      <c r="AF438" s="7" t="s">
        <v>5507</v>
      </c>
      <c r="AG438" s="6" t="str">
        <f t="shared" si="201"/>
        <v>=3218*10000</v>
      </c>
      <c r="AH438" s="1">
        <f>3218*10000</f>
        <v>32180000</v>
      </c>
      <c r="AI438" s="8">
        <f t="shared" si="202"/>
        <v>-0.89365499008592197</v>
      </c>
      <c r="AJ438" s="6" t="s">
        <v>5508</v>
      </c>
      <c r="AK438" s="6" t="str">
        <f t="shared" si="203"/>
        <v>=3.026*100000000</v>
      </c>
      <c r="AL438" s="1">
        <f>3.026*100000000</f>
        <v>302600000</v>
      </c>
      <c r="AM438" s="8">
        <f t="shared" si="204"/>
        <v>0.31679721496953872</v>
      </c>
      <c r="AN438" s="6" t="s">
        <v>2318</v>
      </c>
      <c r="AO438" s="6" t="str">
        <f t="shared" si="205"/>
        <v>=2.298*100000000</v>
      </c>
      <c r="AP438" s="1">
        <f>2.298*100000000</f>
        <v>229800000</v>
      </c>
      <c r="AQ438" s="8">
        <f t="shared" si="206"/>
        <v>0.46649649010848754</v>
      </c>
      <c r="AR438" s="6" t="s">
        <v>2170</v>
      </c>
      <c r="AS438" s="6" t="str">
        <f t="shared" si="207"/>
        <v>=1.567*100000000</v>
      </c>
      <c r="AT438" s="1">
        <f>1.567*100000000</f>
        <v>156700000</v>
      </c>
      <c r="AU438" s="8">
        <f t="shared" si="208"/>
        <v>0.63161182840483132</v>
      </c>
      <c r="AV438" s="7" t="s">
        <v>5509</v>
      </c>
      <c r="AW438" s="6" t="str">
        <f t="shared" si="209"/>
        <v>=9604*10000</v>
      </c>
      <c r="AX438" s="1">
        <f>9604*10000</f>
        <v>96040000</v>
      </c>
      <c r="AY438" s="10">
        <f t="shared" si="210"/>
        <v>-0.75857214680744089</v>
      </c>
      <c r="AZ438" s="6" t="s">
        <v>5510</v>
      </c>
      <c r="BA438" s="6" t="str">
        <f t="shared" si="211"/>
        <v>=3.978*100000000</v>
      </c>
      <c r="BB438" s="1">
        <f>3.978*100000000</f>
        <v>397800000</v>
      </c>
      <c r="BC438" s="8">
        <f t="shared" si="212"/>
        <v>0.34801762114537443</v>
      </c>
      <c r="BD438" s="6" t="s">
        <v>5511</v>
      </c>
      <c r="BE438" s="6" t="str">
        <f t="shared" si="213"/>
        <v>=2.951*100000000</v>
      </c>
      <c r="BF438" s="1">
        <f>2.951*100000000</f>
        <v>295100000</v>
      </c>
      <c r="BG438" s="8">
        <f t="shared" si="214"/>
        <v>0.3693735498839909</v>
      </c>
      <c r="BH438" s="6" t="s">
        <v>2155</v>
      </c>
      <c r="BI438" s="6" t="str">
        <f t="shared" si="215"/>
        <v>=2.155*100000000</v>
      </c>
      <c r="BJ438" s="1">
        <f>2.155*100000000</f>
        <v>215499999.99999997</v>
      </c>
      <c r="BK438" s="7" t="s">
        <v>3072</v>
      </c>
      <c r="BL438" s="1" t="str">
        <f t="shared" si="187"/>
        <v>=9197*10000</v>
      </c>
      <c r="BM438" s="16">
        <f t="shared" si="216"/>
        <v>1.3431553767532889</v>
      </c>
      <c r="BN438" s="1">
        <f>9197*10000</f>
        <v>91970000</v>
      </c>
    </row>
    <row r="439" spans="1:66">
      <c r="A439" s="18"/>
      <c r="B439">
        <v>600355</v>
      </c>
      <c r="C439" t="s">
        <v>48</v>
      </c>
      <c r="D439" s="7">
        <f>-922.8*10000</f>
        <v>-9228000</v>
      </c>
      <c r="E439" s="7" t="str">
        <f t="shared" si="186"/>
        <v>=-9228000</v>
      </c>
      <c r="F439" s="1">
        <f>-9228000</f>
        <v>-9228000</v>
      </c>
      <c r="G439" s="8">
        <f t="shared" si="188"/>
        <v>-3.9539052496798974</v>
      </c>
      <c r="H439" s="7" t="s">
        <v>5512</v>
      </c>
      <c r="I439" s="6" t="str">
        <f t="shared" si="189"/>
        <v>=312.4*10000</v>
      </c>
      <c r="J439" s="1">
        <f>312.4*10000</f>
        <v>3124000</v>
      </c>
      <c r="K439" s="10">
        <f t="shared" si="190"/>
        <v>8.1343025268258914E-2</v>
      </c>
      <c r="L439" s="7" t="s">
        <v>5513</v>
      </c>
      <c r="M439" s="6" t="str">
        <f t="shared" si="191"/>
        <v>=288.9*10000</v>
      </c>
      <c r="N439" s="1">
        <f>288.9*10000</f>
        <v>2889000</v>
      </c>
      <c r="O439" s="8">
        <f t="shared" si="192"/>
        <v>-10.361633182112767</v>
      </c>
      <c r="P439" s="7">
        <f>-30.86*10000</f>
        <v>-308600</v>
      </c>
      <c r="Q439" s="6" t="str">
        <f t="shared" si="193"/>
        <v>=-308600</v>
      </c>
      <c r="R439" s="11">
        <f>-308600</f>
        <v>-308600</v>
      </c>
      <c r="S439" s="8">
        <f t="shared" si="194"/>
        <v>-0.99119292237442924</v>
      </c>
      <c r="T439" s="7">
        <f>-3504*10000</f>
        <v>-35040000</v>
      </c>
      <c r="U439" s="6" t="str">
        <f t="shared" si="195"/>
        <v>=-35040000</v>
      </c>
      <c r="V439" s="1">
        <f>-35040000</f>
        <v>-35040000</v>
      </c>
      <c r="W439" s="8">
        <f t="shared" si="196"/>
        <v>0.3368943151468905</v>
      </c>
      <c r="X439" s="7">
        <f>-2621*10000</f>
        <v>-26210000</v>
      </c>
      <c r="Y439" s="6" t="str">
        <f t="shared" si="197"/>
        <v>=-26210000</v>
      </c>
      <c r="Z439" s="1">
        <f>-26210000</f>
        <v>-26210000</v>
      </c>
      <c r="AA439" s="8">
        <f t="shared" si="198"/>
        <v>0.47412823397075365</v>
      </c>
      <c r="AB439" s="7">
        <f>-1778*10000</f>
        <v>-17780000</v>
      </c>
      <c r="AC439" s="6" t="str">
        <f t="shared" si="199"/>
        <v>=-17780000</v>
      </c>
      <c r="AD439" s="1">
        <f>-17780000</f>
        <v>-17780000</v>
      </c>
      <c r="AE439" s="8">
        <f t="shared" si="200"/>
        <v>1.153324451980138</v>
      </c>
      <c r="AF439" s="7">
        <f>-825.7*10000</f>
        <v>-8257000</v>
      </c>
      <c r="AG439" s="6" t="str">
        <f t="shared" si="201"/>
        <v>=-8257000</v>
      </c>
      <c r="AH439" s="1">
        <f>-8257000</f>
        <v>-8257000</v>
      </c>
      <c r="AI439" s="8">
        <f t="shared" si="202"/>
        <v>-0.86966061562746644</v>
      </c>
      <c r="AJ439" s="7">
        <f>-6335*10000</f>
        <v>-63350000</v>
      </c>
      <c r="AK439" s="6" t="str">
        <f t="shared" si="203"/>
        <v>=-63350000</v>
      </c>
      <c r="AL439" s="1">
        <f>-63350000</f>
        <v>-63350000</v>
      </c>
      <c r="AM439" s="8">
        <f t="shared" si="204"/>
        <v>2.8324258923169996</v>
      </c>
      <c r="AN439" s="7">
        <f>-1653*10000</f>
        <v>-16530000</v>
      </c>
      <c r="AO439" s="6" t="str">
        <f t="shared" si="205"/>
        <v>=-16530000</v>
      </c>
      <c r="AP439" s="1">
        <f>-16530000</f>
        <v>-16530000</v>
      </c>
      <c r="AQ439" s="8">
        <f t="shared" si="206"/>
        <v>0.28238944918541503</v>
      </c>
      <c r="AR439" s="7">
        <f>-1289*10000</f>
        <v>-12890000</v>
      </c>
      <c r="AS439" s="6" t="str">
        <f t="shared" si="207"/>
        <v>=-12890000</v>
      </c>
      <c r="AT439" s="1">
        <f>-12890000</f>
        <v>-12890000</v>
      </c>
      <c r="AU439" s="8">
        <f t="shared" si="208"/>
        <v>-17.158957001378965</v>
      </c>
      <c r="AV439" s="7" t="s">
        <v>5514</v>
      </c>
      <c r="AW439" s="6" t="str">
        <f t="shared" si="209"/>
        <v>=79.77*10000</v>
      </c>
      <c r="AX439" s="1">
        <f>79.77*10000</f>
        <v>797700</v>
      </c>
      <c r="AY439" s="10">
        <f t="shared" si="210"/>
        <v>-0.93493474714518765</v>
      </c>
      <c r="AZ439" s="7" t="s">
        <v>5515</v>
      </c>
      <c r="BA439" s="6" t="str">
        <f t="shared" si="211"/>
        <v>=1226*10000</v>
      </c>
      <c r="BB439" s="1">
        <f>1226*10000</f>
        <v>12260000</v>
      </c>
      <c r="BC439" s="8">
        <f t="shared" si="212"/>
        <v>0.23464249748237664</v>
      </c>
      <c r="BD439" s="7" t="s">
        <v>5516</v>
      </c>
      <c r="BE439" s="6" t="str">
        <f t="shared" si="213"/>
        <v>=993.0*10000</v>
      </c>
      <c r="BF439" s="1">
        <f>993*10000</f>
        <v>9930000</v>
      </c>
      <c r="BG439" s="8">
        <f t="shared" si="214"/>
        <v>-1.006036217303823E-3</v>
      </c>
      <c r="BH439" s="7" t="s">
        <v>5517</v>
      </c>
      <c r="BI439" s="6" t="str">
        <f t="shared" si="215"/>
        <v>=994.0*10000</v>
      </c>
      <c r="BJ439" s="1">
        <f>994*10000</f>
        <v>9940000</v>
      </c>
      <c r="BK439" s="7">
        <f>-319.4*10000</f>
        <v>-3194000</v>
      </c>
      <c r="BL439" s="1" t="str">
        <f t="shared" si="187"/>
        <v>=-3194000</v>
      </c>
      <c r="BM439" s="16">
        <f t="shared" si="216"/>
        <v>-4.1120851596743897</v>
      </c>
      <c r="BN439" s="1">
        <f>-3194000</f>
        <v>-3194000</v>
      </c>
    </row>
    <row r="440" spans="1:66">
      <c r="A440" s="18"/>
      <c r="B440">
        <v>600355</v>
      </c>
      <c r="C440" t="s">
        <v>58</v>
      </c>
      <c r="D440" s="7">
        <f>-921.5*10000</f>
        <v>-9215000</v>
      </c>
      <c r="E440" s="7" t="str">
        <f t="shared" si="186"/>
        <v>=-9215000</v>
      </c>
      <c r="F440" s="1">
        <f>-9215000</f>
        <v>-9215000</v>
      </c>
      <c r="G440" s="8">
        <f t="shared" si="188"/>
        <v>-3.9328453214513051</v>
      </c>
      <c r="H440" s="7" t="s">
        <v>5518</v>
      </c>
      <c r="I440" s="6" t="str">
        <f t="shared" si="189"/>
        <v>=314.2*10000</v>
      </c>
      <c r="J440" s="1">
        <f>314.2*10000</f>
        <v>3142000</v>
      </c>
      <c r="K440" s="10">
        <f t="shared" si="190"/>
        <v>9.5155106308818405E-2</v>
      </c>
      <c r="L440" s="7" t="s">
        <v>5519</v>
      </c>
      <c r="M440" s="6" t="str">
        <f t="shared" si="191"/>
        <v>=286.9*10000</v>
      </c>
      <c r="N440" s="1">
        <f>286.9*10000</f>
        <v>2869000</v>
      </c>
      <c r="O440" s="8">
        <f t="shared" si="192"/>
        <v>-9.741620962827545</v>
      </c>
      <c r="P440" s="7">
        <f>-32.82*10000</f>
        <v>-328200</v>
      </c>
      <c r="Q440" s="6" t="str">
        <f t="shared" si="193"/>
        <v>=-328200</v>
      </c>
      <c r="R440" s="11">
        <f>-328200</f>
        <v>-328200</v>
      </c>
      <c r="S440" s="8">
        <f t="shared" si="194"/>
        <v>-0.99063890473474048</v>
      </c>
      <c r="T440" s="7">
        <f>-3506*10000</f>
        <v>-35060000</v>
      </c>
      <c r="U440" s="6" t="str">
        <f t="shared" si="195"/>
        <v>=-35060000</v>
      </c>
      <c r="V440" s="1">
        <f>-35060000</f>
        <v>-35060000</v>
      </c>
      <c r="W440" s="8">
        <f t="shared" si="196"/>
        <v>0.33765738267836704</v>
      </c>
      <c r="X440" s="7">
        <f>-2621*10000</f>
        <v>-26210000</v>
      </c>
      <c r="Y440" s="6" t="str">
        <f t="shared" si="197"/>
        <v>=-26210000</v>
      </c>
      <c r="Z440" s="1">
        <f>-26210000</f>
        <v>-26210000</v>
      </c>
      <c r="AA440" s="8">
        <f t="shared" si="198"/>
        <v>0.47329960652051717</v>
      </c>
      <c r="AB440" s="7">
        <f>-1779*10000</f>
        <v>-17790000</v>
      </c>
      <c r="AC440" s="6" t="str">
        <f t="shared" si="199"/>
        <v>=-17790000</v>
      </c>
      <c r="AD440" s="1">
        <f>-17790000</f>
        <v>-17790000</v>
      </c>
      <c r="AE440" s="8">
        <f t="shared" si="200"/>
        <v>1.1547965116279071</v>
      </c>
      <c r="AF440" s="7">
        <f>-825.6*10000</f>
        <v>-8256000</v>
      </c>
      <c r="AG440" s="6" t="str">
        <f t="shared" si="201"/>
        <v>=-8256000</v>
      </c>
      <c r="AH440" s="1">
        <f>-8256000</f>
        <v>-8256000</v>
      </c>
      <c r="AI440" s="8">
        <f t="shared" si="202"/>
        <v>-0.86965582570255762</v>
      </c>
      <c r="AJ440" s="7">
        <f>-6334*10000</f>
        <v>-63340000</v>
      </c>
      <c r="AK440" s="6" t="str">
        <f t="shared" si="203"/>
        <v>=-63340000</v>
      </c>
      <c r="AL440" s="1">
        <f>-63340000</f>
        <v>-63340000</v>
      </c>
      <c r="AM440" s="8">
        <f t="shared" si="204"/>
        <v>2.8295042321644499</v>
      </c>
      <c r="AN440" s="7">
        <f>-1654*10000</f>
        <v>-16540000</v>
      </c>
      <c r="AO440" s="6" t="str">
        <f t="shared" si="205"/>
        <v>=-16540000</v>
      </c>
      <c r="AP440" s="1">
        <f>-16540000</f>
        <v>-16540000</v>
      </c>
      <c r="AQ440" s="8">
        <f t="shared" si="206"/>
        <v>0.28316524437548485</v>
      </c>
      <c r="AR440" s="7">
        <f>-1289*10000</f>
        <v>-12890000</v>
      </c>
      <c r="AS440" s="6" t="str">
        <f t="shared" si="207"/>
        <v>=-12890000</v>
      </c>
      <c r="AT440" s="1">
        <f>-12890000</f>
        <v>-12890000</v>
      </c>
      <c r="AU440" s="8">
        <f t="shared" si="208"/>
        <v>-17.25063035804337</v>
      </c>
      <c r="AV440" s="7" t="s">
        <v>5520</v>
      </c>
      <c r="AW440" s="6" t="str">
        <f t="shared" si="209"/>
        <v>=79.32*10000</v>
      </c>
      <c r="AX440" s="1">
        <f>79.32*10000</f>
        <v>793199.99999999988</v>
      </c>
      <c r="AY440" s="10">
        <f t="shared" si="210"/>
        <v>-0.93444628099173555</v>
      </c>
      <c r="AZ440" s="7" t="s">
        <v>5521</v>
      </c>
      <c r="BA440" s="6" t="str">
        <f t="shared" si="211"/>
        <v>=1210*10000</v>
      </c>
      <c r="BB440" s="1">
        <f>1210*10000</f>
        <v>12100000</v>
      </c>
      <c r="BC440" s="8">
        <f t="shared" si="212"/>
        <v>0.24051671109288497</v>
      </c>
      <c r="BD440" s="7" t="s">
        <v>5522</v>
      </c>
      <c r="BE440" s="6" t="str">
        <f t="shared" si="213"/>
        <v>=975.4*10000</v>
      </c>
      <c r="BF440" s="1">
        <f>975.4*10000</f>
        <v>9754000</v>
      </c>
      <c r="BG440" s="8">
        <f t="shared" si="214"/>
        <v>-2.964325871409588E-3</v>
      </c>
      <c r="BH440" s="7" t="s">
        <v>5523</v>
      </c>
      <c r="BI440" s="6" t="str">
        <f t="shared" si="215"/>
        <v>=978.3*10000</v>
      </c>
      <c r="BJ440" s="1">
        <f>978.3*10000</f>
        <v>9783000</v>
      </c>
      <c r="BK440" s="7">
        <f>-320.4*10000</f>
        <v>-3204000</v>
      </c>
      <c r="BL440" s="1" t="str">
        <f t="shared" si="187"/>
        <v>=-3204000</v>
      </c>
      <c r="BM440" s="16">
        <f t="shared" si="216"/>
        <v>-4.0533707865168536</v>
      </c>
      <c r="BN440" s="1">
        <f>-3204000</f>
        <v>-3204000</v>
      </c>
    </row>
    <row r="441" spans="1:66">
      <c r="A441" s="19"/>
      <c r="B441">
        <v>600355</v>
      </c>
      <c r="C441" t="s">
        <v>68</v>
      </c>
      <c r="D441" s="7">
        <f>-934*10000</f>
        <v>-9340000</v>
      </c>
      <c r="E441" s="7" t="str">
        <f t="shared" si="186"/>
        <v>=-9340000</v>
      </c>
      <c r="F441" s="1">
        <f>-9340000</f>
        <v>-9340000</v>
      </c>
      <c r="G441" s="8">
        <f t="shared" si="188"/>
        <v>-4.9744680851063832</v>
      </c>
      <c r="H441" s="7" t="s">
        <v>5524</v>
      </c>
      <c r="I441" s="6" t="str">
        <f t="shared" si="189"/>
        <v>=235.0*10000</v>
      </c>
      <c r="J441" s="1">
        <f>235*10000</f>
        <v>2350000</v>
      </c>
      <c r="K441" s="10">
        <f t="shared" si="190"/>
        <v>0.25601282736504544</v>
      </c>
      <c r="L441" s="7" t="s">
        <v>5525</v>
      </c>
      <c r="M441" s="6" t="str">
        <f t="shared" si="191"/>
        <v>=187.1*10000</v>
      </c>
      <c r="N441" s="1">
        <f>187.1*10000</f>
        <v>1871000</v>
      </c>
      <c r="O441" s="8">
        <f t="shared" si="192"/>
        <v>-4.5482647449269864</v>
      </c>
      <c r="P441" s="7">
        <f>-52.73*10000</f>
        <v>-527300</v>
      </c>
      <c r="Q441" s="6" t="str">
        <f t="shared" si="193"/>
        <v>=-527300</v>
      </c>
      <c r="R441" s="11">
        <f>-527300</f>
        <v>-527300</v>
      </c>
      <c r="S441" s="8">
        <f t="shared" si="194"/>
        <v>-0.98513810597519724</v>
      </c>
      <c r="T441" s="7">
        <f>-3548*10000</f>
        <v>-35480000</v>
      </c>
      <c r="U441" s="6" t="str">
        <f t="shared" si="195"/>
        <v>=-35480000</v>
      </c>
      <c r="V441" s="1">
        <f>-35480000</f>
        <v>-35480000</v>
      </c>
      <c r="W441" s="8">
        <f t="shared" si="196"/>
        <v>0.32437476670399401</v>
      </c>
      <c r="X441" s="7">
        <f>-2679*10000</f>
        <v>-26790000</v>
      </c>
      <c r="Y441" s="6" t="str">
        <f t="shared" si="197"/>
        <v>=-26790000</v>
      </c>
      <c r="Z441" s="1">
        <f>-26790000</f>
        <v>-26790000</v>
      </c>
      <c r="AA441" s="8">
        <f t="shared" si="198"/>
        <v>0.48750694058856192</v>
      </c>
      <c r="AB441" s="7">
        <f>-1801*10000</f>
        <v>-18010000</v>
      </c>
      <c r="AC441" s="6" t="str">
        <f t="shared" si="199"/>
        <v>=-18010000</v>
      </c>
      <c r="AD441" s="1">
        <f>-18010000</f>
        <v>-18010000</v>
      </c>
      <c r="AE441" s="8">
        <f t="shared" si="200"/>
        <v>1.1597313826597913</v>
      </c>
      <c r="AF441" s="7">
        <f>-833.9*10000</f>
        <v>-8339000</v>
      </c>
      <c r="AG441" s="6" t="str">
        <f t="shared" si="201"/>
        <v>=-8339000</v>
      </c>
      <c r="AH441" s="1">
        <f>-8339000</f>
        <v>-8339000</v>
      </c>
      <c r="AI441" s="8">
        <f t="shared" si="202"/>
        <v>-0.87671496156120643</v>
      </c>
      <c r="AJ441" s="7">
        <f>-6764*10000</f>
        <v>-67640000</v>
      </c>
      <c r="AK441" s="6" t="str">
        <f t="shared" si="203"/>
        <v>=-67640000</v>
      </c>
      <c r="AL441" s="1">
        <f>-67640000</f>
        <v>-67640000</v>
      </c>
      <c r="AM441" s="8">
        <f t="shared" si="204"/>
        <v>2.3353057199211045</v>
      </c>
      <c r="AN441" s="7">
        <f>-2028*10000</f>
        <v>-20280000</v>
      </c>
      <c r="AO441" s="6" t="str">
        <f t="shared" si="205"/>
        <v>=-20280000</v>
      </c>
      <c r="AP441" s="1">
        <f>-20280000</f>
        <v>-20280000</v>
      </c>
      <c r="AQ441" s="8">
        <f t="shared" si="206"/>
        <v>0.32289628180039137</v>
      </c>
      <c r="AR441" s="7">
        <f>-1533*10000</f>
        <v>-15330000</v>
      </c>
      <c r="AS441" s="6" t="str">
        <f t="shared" si="207"/>
        <v>=-15330000</v>
      </c>
      <c r="AT441" s="1">
        <f>-15330000</f>
        <v>-15330000</v>
      </c>
      <c r="AU441" s="8">
        <f t="shared" si="208"/>
        <v>5.883700044903458</v>
      </c>
      <c r="AV441" s="7">
        <f>-222.7*10000</f>
        <v>-2227000</v>
      </c>
      <c r="AW441" s="6" t="str">
        <f t="shared" si="209"/>
        <v>=-2227000</v>
      </c>
      <c r="AX441" s="1">
        <f>-2227000</f>
        <v>-2227000</v>
      </c>
      <c r="AY441" s="10">
        <f t="shared" si="210"/>
        <v>-1.2022706630336057</v>
      </c>
      <c r="AZ441" s="7" t="s">
        <v>5526</v>
      </c>
      <c r="BA441" s="6" t="str">
        <f t="shared" si="211"/>
        <v>=1101*10000</v>
      </c>
      <c r="BB441" s="1">
        <f>1101*10000</f>
        <v>11010000</v>
      </c>
      <c r="BC441" s="8">
        <f t="shared" si="212"/>
        <v>1.653651482284888</v>
      </c>
      <c r="BD441" s="7" t="s">
        <v>5527</v>
      </c>
      <c r="BE441" s="6" t="str">
        <f t="shared" si="213"/>
        <v>=414.9*10000</v>
      </c>
      <c r="BF441" s="1">
        <f>414.9*10000</f>
        <v>4149000</v>
      </c>
      <c r="BG441" s="8">
        <f t="shared" si="214"/>
        <v>-0.22376052385406922</v>
      </c>
      <c r="BH441" s="7" t="s">
        <v>5528</v>
      </c>
      <c r="BI441" s="6" t="str">
        <f t="shared" si="215"/>
        <v>=534.5*10000</v>
      </c>
      <c r="BJ441" s="1">
        <f>534.5*10000</f>
        <v>5345000</v>
      </c>
      <c r="BK441" s="7">
        <f>-478.2*10000</f>
        <v>-4782000</v>
      </c>
      <c r="BL441" s="1" t="str">
        <f t="shared" si="187"/>
        <v>=-4782000</v>
      </c>
      <c r="BM441" s="16">
        <f t="shared" si="216"/>
        <v>-2.1177331660393142</v>
      </c>
      <c r="BN441" s="1">
        <f>-4782000</f>
        <v>-4782000</v>
      </c>
    </row>
    <row r="442" spans="1:66">
      <c r="A442" s="17">
        <v>111</v>
      </c>
      <c r="B442">
        <v>600358</v>
      </c>
      <c r="C442" t="s">
        <v>31</v>
      </c>
      <c r="D442" s="6" t="s">
        <v>2075</v>
      </c>
      <c r="E442" s="7" t="str">
        <f t="shared" si="186"/>
        <v>=8.240*100000000</v>
      </c>
      <c r="F442" s="1">
        <f>8.24*100000000</f>
        <v>824000000</v>
      </c>
      <c r="G442" s="8">
        <f t="shared" si="188"/>
        <v>0.34618526384577686</v>
      </c>
      <c r="H442" s="6" t="s">
        <v>5529</v>
      </c>
      <c r="I442" s="6" t="str">
        <f t="shared" si="189"/>
        <v>=6.121*100000000</v>
      </c>
      <c r="J442" s="1">
        <f>6.121*100000000</f>
        <v>612100000</v>
      </c>
      <c r="K442" s="10">
        <f t="shared" si="190"/>
        <v>0.75236186659032356</v>
      </c>
      <c r="L442" s="6" t="s">
        <v>5530</v>
      </c>
      <c r="M442" s="6" t="str">
        <f t="shared" si="191"/>
        <v>=3.493*100000000</v>
      </c>
      <c r="N442" s="1">
        <f>3.493*100000000</f>
        <v>349300000</v>
      </c>
      <c r="O442" s="8">
        <f t="shared" si="192"/>
        <v>1.0109383995394359</v>
      </c>
      <c r="P442" s="6" t="s">
        <v>5531</v>
      </c>
      <c r="Q442" s="6" t="str">
        <f t="shared" si="193"/>
        <v>=1.737*100000000</v>
      </c>
      <c r="R442" s="11">
        <f>1.737*100000000</f>
        <v>173700000</v>
      </c>
      <c r="S442" s="8">
        <f t="shared" si="194"/>
        <v>-0.66743251005169446</v>
      </c>
      <c r="T442" s="6" t="s">
        <v>5532</v>
      </c>
      <c r="U442" s="6" t="str">
        <f t="shared" si="195"/>
        <v>=5.223*100000000</v>
      </c>
      <c r="V442" s="1">
        <f>5.223*100000000</f>
        <v>522300000</v>
      </c>
      <c r="W442" s="8">
        <f t="shared" si="196"/>
        <v>0.30575000000000002</v>
      </c>
      <c r="X442" s="6" t="s">
        <v>5533</v>
      </c>
      <c r="Y442" s="6" t="str">
        <f t="shared" si="197"/>
        <v>=4.000*100000000</v>
      </c>
      <c r="Z442" s="1">
        <f>4*100000000</f>
        <v>400000000</v>
      </c>
      <c r="AA442" s="8">
        <f t="shared" si="198"/>
        <v>0.85270958777211703</v>
      </c>
      <c r="AB442" s="6" t="s">
        <v>1753</v>
      </c>
      <c r="AC442" s="6" t="str">
        <f t="shared" si="199"/>
        <v>=2.159*100000000</v>
      </c>
      <c r="AD442" s="1">
        <f>2.159*100000000</f>
        <v>215899999.99999997</v>
      </c>
      <c r="AE442" s="8">
        <f t="shared" si="200"/>
        <v>1.1759725861721424</v>
      </c>
      <c r="AF442" s="7" t="s">
        <v>5534</v>
      </c>
      <c r="AG442" s="6" t="str">
        <f t="shared" si="201"/>
        <v>=9922*10000</v>
      </c>
      <c r="AH442" s="1">
        <f>9922*10000</f>
        <v>99220000</v>
      </c>
      <c r="AI442" s="8">
        <f t="shared" si="202"/>
        <v>-0.72050704225352113</v>
      </c>
      <c r="AJ442" s="6" t="s">
        <v>5535</v>
      </c>
      <c r="AK442" s="6" t="str">
        <f t="shared" si="203"/>
        <v>=3.550*100000000</v>
      </c>
      <c r="AL442" s="1">
        <f>3.55*100000000</f>
        <v>355000000</v>
      </c>
      <c r="AM442" s="8">
        <f t="shared" si="204"/>
        <v>0.38726064869089472</v>
      </c>
      <c r="AN442" s="6" t="s">
        <v>2862</v>
      </c>
      <c r="AO442" s="6" t="str">
        <f t="shared" si="205"/>
        <v>=2.559*100000000</v>
      </c>
      <c r="AP442" s="1">
        <f>2.559*100000000</f>
        <v>255900000.00000003</v>
      </c>
      <c r="AQ442" s="8">
        <f t="shared" si="206"/>
        <v>0.84498918529199729</v>
      </c>
      <c r="AR442" s="6" t="s">
        <v>2160</v>
      </c>
      <c r="AS442" s="6" t="str">
        <f t="shared" si="207"/>
        <v>=1.387*100000000</v>
      </c>
      <c r="AT442" s="1">
        <f>1.387*100000000</f>
        <v>138700000</v>
      </c>
      <c r="AU442" s="8">
        <f t="shared" si="208"/>
        <v>1.6204420933308143</v>
      </c>
      <c r="AV442" s="7" t="s">
        <v>5536</v>
      </c>
      <c r="AW442" s="6" t="str">
        <f t="shared" si="209"/>
        <v>=5293*10000</v>
      </c>
      <c r="AX442" s="1">
        <f>5293*10000</f>
        <v>52930000</v>
      </c>
      <c r="AY442" s="10">
        <f t="shared" si="210"/>
        <v>-0.80766715116279075</v>
      </c>
      <c r="AZ442" s="6" t="s">
        <v>5537</v>
      </c>
      <c r="BA442" s="6" t="str">
        <f t="shared" si="211"/>
        <v>=2.752*100000000</v>
      </c>
      <c r="BB442" s="1">
        <f>2.752*100000000</f>
        <v>275200000</v>
      </c>
      <c r="BC442" s="8">
        <f t="shared" si="212"/>
        <v>0.4047983665135273</v>
      </c>
      <c r="BD442" s="6" t="s">
        <v>5538</v>
      </c>
      <c r="BE442" s="6" t="str">
        <f t="shared" si="213"/>
        <v>=1.959*100000000</v>
      </c>
      <c r="BF442" s="1">
        <f>1.959*100000000</f>
        <v>195900000</v>
      </c>
      <c r="BG442" s="8">
        <f t="shared" si="214"/>
        <v>0.3427004797806717</v>
      </c>
      <c r="BH442" s="6" t="s">
        <v>5539</v>
      </c>
      <c r="BI442" s="6" t="str">
        <f t="shared" si="215"/>
        <v>=1.459*100000000</v>
      </c>
      <c r="BJ442" s="1">
        <f>1.459*100000000</f>
        <v>145900000</v>
      </c>
      <c r="BK442" s="7" t="s">
        <v>5540</v>
      </c>
      <c r="BL442" s="1" t="str">
        <f t="shared" si="187"/>
        <v>=8657*10000</v>
      </c>
      <c r="BM442" s="16">
        <f t="shared" si="216"/>
        <v>0.685341342266374</v>
      </c>
      <c r="BN442" s="1">
        <f>8657*10000</f>
        <v>86570000</v>
      </c>
    </row>
    <row r="443" spans="1:66">
      <c r="A443" s="18"/>
      <c r="B443">
        <v>600358</v>
      </c>
      <c r="C443" t="s">
        <v>48</v>
      </c>
      <c r="D443" s="7">
        <f>-489.8*10000</f>
        <v>-4898000</v>
      </c>
      <c r="E443" s="7" t="str">
        <f t="shared" si="186"/>
        <v>=-4898000</v>
      </c>
      <c r="F443" s="1">
        <f>-4898000</f>
        <v>-4898000</v>
      </c>
      <c r="G443" s="8">
        <f t="shared" si="188"/>
        <v>-1.6200784909482213</v>
      </c>
      <c r="H443" s="7" t="s">
        <v>5541</v>
      </c>
      <c r="I443" s="6" t="str">
        <f t="shared" si="189"/>
        <v>=789.9*10000</v>
      </c>
      <c r="J443" s="1">
        <f>789.9*10000</f>
        <v>7899000</v>
      </c>
      <c r="K443" s="10">
        <f t="shared" si="190"/>
        <v>-8.7980602701766539E-2</v>
      </c>
      <c r="L443" s="7" t="s">
        <v>5542</v>
      </c>
      <c r="M443" s="6" t="str">
        <f t="shared" si="191"/>
        <v>=866.1*10000</v>
      </c>
      <c r="N443" s="1">
        <f>866.1*10000</f>
        <v>8661000</v>
      </c>
      <c r="O443" s="8">
        <f t="shared" si="192"/>
        <v>-1.692326139088729</v>
      </c>
      <c r="P443" s="7">
        <f>-1251*10000</f>
        <v>-12510000</v>
      </c>
      <c r="Q443" s="6" t="str">
        <f t="shared" si="193"/>
        <v>=-12510000</v>
      </c>
      <c r="R443" s="11">
        <f>-12510000</f>
        <v>-12510000</v>
      </c>
      <c r="S443" s="8">
        <f t="shared" si="194"/>
        <v>0.35550980604615884</v>
      </c>
      <c r="T443" s="7">
        <f>-922.9*10000</f>
        <v>-9229000</v>
      </c>
      <c r="U443" s="6" t="str">
        <f t="shared" si="195"/>
        <v>=-9229000</v>
      </c>
      <c r="V443" s="1">
        <f>-9229000</f>
        <v>-9229000</v>
      </c>
      <c r="W443" s="8">
        <f t="shared" si="196"/>
        <v>-1.9566704675028506</v>
      </c>
      <c r="X443" s="7" t="s">
        <v>5543</v>
      </c>
      <c r="Y443" s="6" t="str">
        <f t="shared" si="197"/>
        <v>=964.7*10000</v>
      </c>
      <c r="Z443" s="1">
        <f>964.7*10000</f>
        <v>9647000</v>
      </c>
      <c r="AA443" s="8">
        <f t="shared" si="198"/>
        <v>4.7628434886499402</v>
      </c>
      <c r="AB443" s="7" t="s">
        <v>5544</v>
      </c>
      <c r="AC443" s="6" t="str">
        <f t="shared" si="199"/>
        <v>=167.4*10000</v>
      </c>
      <c r="AD443" s="1">
        <f>167.4*10000</f>
        <v>1674000</v>
      </c>
      <c r="AE443" s="8">
        <f t="shared" si="200"/>
        <v>2.609314359637775</v>
      </c>
      <c r="AF443" s="7" t="s">
        <v>5545</v>
      </c>
      <c r="AG443" s="6" t="str">
        <f t="shared" si="201"/>
        <v>=46.38*10000</v>
      </c>
      <c r="AH443" s="1">
        <f>46.38*10000</f>
        <v>463800</v>
      </c>
      <c r="AI443" s="8">
        <f t="shared" si="202"/>
        <v>-1.0023809034907598</v>
      </c>
      <c r="AJ443" s="6">
        <f>-1.948*100000000</f>
        <v>-194800000</v>
      </c>
      <c r="AK443" s="6" t="str">
        <f t="shared" si="203"/>
        <v>=-194800000</v>
      </c>
      <c r="AL443" s="1">
        <f>-194800000</f>
        <v>-194800000</v>
      </c>
      <c r="AM443" s="8">
        <f t="shared" si="204"/>
        <v>-11.484391819160388</v>
      </c>
      <c r="AN443" s="7" t="s">
        <v>5546</v>
      </c>
      <c r="AO443" s="6" t="str">
        <f t="shared" si="205"/>
        <v>=1858*10000</v>
      </c>
      <c r="AP443" s="1">
        <f>1858*10000</f>
        <v>18580000</v>
      </c>
      <c r="AQ443" s="8">
        <f t="shared" si="206"/>
        <v>-7.2855209742895806</v>
      </c>
      <c r="AR443" s="7">
        <f>-295.6*10000</f>
        <v>-2956000</v>
      </c>
      <c r="AS443" s="6" t="str">
        <f t="shared" si="207"/>
        <v>=-2956000</v>
      </c>
      <c r="AT443" s="1">
        <f>-2956000</f>
        <v>-2956000</v>
      </c>
      <c r="AU443" s="8">
        <f t="shared" si="208"/>
        <v>-115.66252909231963</v>
      </c>
      <c r="AV443" s="7" t="s">
        <v>5547</v>
      </c>
      <c r="AW443" s="6" t="str">
        <f t="shared" si="209"/>
        <v>=2.578*10000</v>
      </c>
      <c r="AX443" s="1">
        <f>2.578*10000</f>
        <v>25780</v>
      </c>
      <c r="AY443" s="10">
        <f t="shared" si="210"/>
        <v>-1.0004478804725503</v>
      </c>
      <c r="AZ443" s="7">
        <f>-5756*10000</f>
        <v>-57560000</v>
      </c>
      <c r="BA443" s="6" t="str">
        <f t="shared" si="211"/>
        <v>=-57560000</v>
      </c>
      <c r="BB443" s="1">
        <f>-57560000</f>
        <v>-57560000</v>
      </c>
      <c r="BC443" s="8">
        <f t="shared" si="212"/>
        <v>3.2045288531775018</v>
      </c>
      <c r="BD443" s="7">
        <f>-1369*10000</f>
        <v>-13690000</v>
      </c>
      <c r="BE443" s="6" t="str">
        <f t="shared" si="213"/>
        <v>=-13690000</v>
      </c>
      <c r="BF443" s="1">
        <f>-13690000</f>
        <v>-13690000</v>
      </c>
      <c r="BG443" s="8">
        <f t="shared" si="214"/>
        <v>3.2097170971709716</v>
      </c>
      <c r="BH443" s="7">
        <f>-325.2*10000</f>
        <v>-3252000</v>
      </c>
      <c r="BI443" s="6" t="str">
        <f t="shared" si="215"/>
        <v>=-3252000</v>
      </c>
      <c r="BJ443" s="1">
        <f>-3252000</f>
        <v>-3252000</v>
      </c>
      <c r="BK443" s="7" t="s">
        <v>5548</v>
      </c>
      <c r="BL443" s="1" t="str">
        <f t="shared" si="187"/>
        <v>=537.9*10000</v>
      </c>
      <c r="BM443" s="16">
        <f t="shared" si="216"/>
        <v>-1.6045733407696599</v>
      </c>
      <c r="BN443" s="1">
        <f>537.9*10000</f>
        <v>5379000</v>
      </c>
    </row>
    <row r="444" spans="1:66">
      <c r="A444" s="18"/>
      <c r="B444">
        <v>600358</v>
      </c>
      <c r="C444" t="s">
        <v>58</v>
      </c>
      <c r="D444" s="7" t="s">
        <v>1212</v>
      </c>
      <c r="E444" s="7" t="str">
        <f t="shared" si="186"/>
        <v>=2383*10000</v>
      </c>
      <c r="F444" s="1">
        <f>2383*10000</f>
        <v>23830000</v>
      </c>
      <c r="G444" s="8">
        <f t="shared" si="188"/>
        <v>2.0172195492529754</v>
      </c>
      <c r="H444" s="7" t="s">
        <v>5549</v>
      </c>
      <c r="I444" s="6" t="str">
        <f t="shared" si="189"/>
        <v>=789.8*10000</v>
      </c>
      <c r="J444" s="1">
        <f>789.8*10000</f>
        <v>7898000</v>
      </c>
      <c r="K444" s="10">
        <f t="shared" si="190"/>
        <v>-9.4473744554001371E-2</v>
      </c>
      <c r="L444" s="7" t="s">
        <v>5550</v>
      </c>
      <c r="M444" s="6" t="str">
        <f t="shared" si="191"/>
        <v>=872.2*10000</v>
      </c>
      <c r="N444" s="1">
        <f>872.2*10000</f>
        <v>8722000</v>
      </c>
      <c r="O444" s="8">
        <f t="shared" si="192"/>
        <v>-1.6949800796812748</v>
      </c>
      <c r="P444" s="7">
        <f>-1255*10000</f>
        <v>-12550000</v>
      </c>
      <c r="Q444" s="6" t="str">
        <f t="shared" si="193"/>
        <v>=-12550000</v>
      </c>
      <c r="R444" s="11">
        <f>-12550000</f>
        <v>-12550000</v>
      </c>
      <c r="S444" s="8">
        <f t="shared" si="194"/>
        <v>-1.5052334943639292</v>
      </c>
      <c r="T444" s="7" t="s">
        <v>5551</v>
      </c>
      <c r="U444" s="6" t="str">
        <f t="shared" si="195"/>
        <v>=2484*10000</v>
      </c>
      <c r="V444" s="1">
        <f>2484*10000</f>
        <v>24840000</v>
      </c>
      <c r="W444" s="8">
        <f t="shared" si="196"/>
        <v>-0.40115718418514945</v>
      </c>
      <c r="X444" s="7" t="s">
        <v>1718</v>
      </c>
      <c r="Y444" s="6" t="str">
        <f t="shared" si="197"/>
        <v>=4148*10000</v>
      </c>
      <c r="Z444" s="1">
        <f>4148*10000</f>
        <v>41480000</v>
      </c>
      <c r="AA444" s="8">
        <f t="shared" si="198"/>
        <v>3.8081604265677522</v>
      </c>
      <c r="AB444" s="7" t="s">
        <v>5552</v>
      </c>
      <c r="AC444" s="6" t="str">
        <f t="shared" si="199"/>
        <v>=862.7*10000</v>
      </c>
      <c r="AD444" s="1">
        <f>862.7*10000</f>
        <v>8627000</v>
      </c>
      <c r="AE444" s="8">
        <f t="shared" si="200"/>
        <v>0.13647740745619813</v>
      </c>
      <c r="AF444" s="7" t="s">
        <v>5553</v>
      </c>
      <c r="AG444" s="6" t="str">
        <f t="shared" si="201"/>
        <v>=759.1*10000</v>
      </c>
      <c r="AH444" s="1">
        <f>759.1*10000</f>
        <v>7591000</v>
      </c>
      <c r="AI444" s="8">
        <f t="shared" si="202"/>
        <v>-1.0419160684704583</v>
      </c>
      <c r="AJ444" s="6">
        <f>-1.811*100000000</f>
        <v>-181100000</v>
      </c>
      <c r="AK444" s="6" t="str">
        <f t="shared" si="203"/>
        <v>=-181100000</v>
      </c>
      <c r="AL444" s="1">
        <f>-181100000</f>
        <v>-181100000</v>
      </c>
      <c r="AM444" s="8">
        <f t="shared" si="204"/>
        <v>-10.378560331434491</v>
      </c>
      <c r="AN444" s="7" t="s">
        <v>5554</v>
      </c>
      <c r="AO444" s="6" t="str">
        <f t="shared" si="205"/>
        <v>=1931*10000</v>
      </c>
      <c r="AP444" s="1">
        <f>1931*10000</f>
        <v>19310000</v>
      </c>
      <c r="AQ444" s="8">
        <f t="shared" si="206"/>
        <v>-9.694281855020261</v>
      </c>
      <c r="AR444" s="7">
        <f>-222.1*10000</f>
        <v>-2221000</v>
      </c>
      <c r="AS444" s="6" t="str">
        <f t="shared" si="207"/>
        <v>=-2221000</v>
      </c>
      <c r="AT444" s="1">
        <f>-2221000</f>
        <v>-2221000</v>
      </c>
      <c r="AU444" s="8">
        <f t="shared" si="208"/>
        <v>14.841654778887303</v>
      </c>
      <c r="AV444" s="7">
        <f>-14.02*10000</f>
        <v>-140200</v>
      </c>
      <c r="AW444" s="6" t="str">
        <f t="shared" si="209"/>
        <v>=-140200</v>
      </c>
      <c r="AX444" s="1">
        <f>-140200</f>
        <v>-140200</v>
      </c>
      <c r="AY444" s="10">
        <f t="shared" si="210"/>
        <v>-0.9975066690378801</v>
      </c>
      <c r="AZ444" s="7">
        <f>-5623*10000</f>
        <v>-56230000</v>
      </c>
      <c r="BA444" s="6" t="str">
        <f t="shared" si="211"/>
        <v>=-56230000</v>
      </c>
      <c r="BB444" s="1">
        <f>-56230000</f>
        <v>-56230000</v>
      </c>
      <c r="BC444" s="8">
        <f t="shared" si="212"/>
        <v>6.4074561981293634</v>
      </c>
      <c r="BD444" s="7">
        <f>-759.1*10000</f>
        <v>-7591000</v>
      </c>
      <c r="BE444" s="6" t="str">
        <f t="shared" si="213"/>
        <v>=-7591000</v>
      </c>
      <c r="BF444" s="1">
        <f>-7591000</f>
        <v>-7591000</v>
      </c>
      <c r="BG444" s="8">
        <f t="shared" si="214"/>
        <v>2.9743455497382199</v>
      </c>
      <c r="BH444" s="7">
        <f>-191*10000</f>
        <v>-1910000</v>
      </c>
      <c r="BI444" s="6" t="str">
        <f t="shared" si="215"/>
        <v>=-1910000</v>
      </c>
      <c r="BJ444" s="1">
        <f>-1910000</f>
        <v>-1910000</v>
      </c>
      <c r="BK444" s="7" t="s">
        <v>5555</v>
      </c>
      <c r="BL444" s="1" t="str">
        <f t="shared" si="187"/>
        <v>=671.3*10000</v>
      </c>
      <c r="BM444" s="16">
        <f t="shared" si="216"/>
        <v>-1.2845225681513481</v>
      </c>
      <c r="BN444" s="1">
        <f>671.3*10000</f>
        <v>6713000</v>
      </c>
    </row>
    <row r="445" spans="1:66">
      <c r="A445" s="19"/>
      <c r="B445">
        <v>600358</v>
      </c>
      <c r="C445" t="s">
        <v>68</v>
      </c>
      <c r="D445" s="7" t="s">
        <v>5556</v>
      </c>
      <c r="E445" s="7" t="str">
        <f t="shared" si="186"/>
        <v>=2075*10000</v>
      </c>
      <c r="F445" s="1">
        <f>2075*10000</f>
        <v>20750000</v>
      </c>
      <c r="G445" s="8">
        <f t="shared" si="188"/>
        <v>1.6595744680851063</v>
      </c>
      <c r="H445" s="7" t="s">
        <v>5557</v>
      </c>
      <c r="I445" s="6" t="str">
        <f t="shared" si="189"/>
        <v>=780.2*10000</v>
      </c>
      <c r="J445" s="1">
        <f>780.2*10000</f>
        <v>7802000</v>
      </c>
      <c r="K445" s="10">
        <f t="shared" si="190"/>
        <v>-0.10445362718089991</v>
      </c>
      <c r="L445" s="7" t="s">
        <v>5558</v>
      </c>
      <c r="M445" s="6" t="str">
        <f t="shared" si="191"/>
        <v>=871.2*10000</v>
      </c>
      <c r="N445" s="1">
        <f>871.2*10000</f>
        <v>8712000</v>
      </c>
      <c r="O445" s="8">
        <f t="shared" si="192"/>
        <v>-1.6936305732484076</v>
      </c>
      <c r="P445" s="7">
        <f>-1256*10000</f>
        <v>-12560000</v>
      </c>
      <c r="Q445" s="6" t="str">
        <f t="shared" si="193"/>
        <v>=-12560000</v>
      </c>
      <c r="R445" s="11">
        <f>-12560000</f>
        <v>-12560000</v>
      </c>
      <c r="S445" s="8">
        <f t="shared" si="194"/>
        <v>-1.6245648930880159</v>
      </c>
      <c r="T445" s="7" t="s">
        <v>3303</v>
      </c>
      <c r="U445" s="6" t="str">
        <f t="shared" si="195"/>
        <v>=2011*10000</v>
      </c>
      <c r="V445" s="1">
        <f>2011*10000</f>
        <v>20110000</v>
      </c>
      <c r="W445" s="8">
        <f t="shared" si="196"/>
        <v>-0.4717625426845285</v>
      </c>
      <c r="X445" s="7" t="s">
        <v>5559</v>
      </c>
      <c r="Y445" s="6" t="str">
        <f t="shared" si="197"/>
        <v>=3807*10000</v>
      </c>
      <c r="Z445" s="1">
        <f>3807*10000</f>
        <v>38070000</v>
      </c>
      <c r="AA445" s="8">
        <f t="shared" si="198"/>
        <v>4.4370179948586115</v>
      </c>
      <c r="AB445" s="7" t="s">
        <v>5560</v>
      </c>
      <c r="AC445" s="6" t="str">
        <f t="shared" si="199"/>
        <v>=700.2*10000</v>
      </c>
      <c r="AD445" s="1">
        <f>700.2*10000</f>
        <v>7002000</v>
      </c>
      <c r="AE445" s="8">
        <f t="shared" si="200"/>
        <v>4.3029259896729772E-3</v>
      </c>
      <c r="AF445" s="7" t="s">
        <v>5561</v>
      </c>
      <c r="AG445" s="6" t="str">
        <f t="shared" si="201"/>
        <v>=697.2*10000</v>
      </c>
      <c r="AH445" s="1">
        <f>697.2*10000</f>
        <v>6972000</v>
      </c>
      <c r="AI445" s="8">
        <f t="shared" si="202"/>
        <v>-1.0372237052856381</v>
      </c>
      <c r="AJ445" s="6">
        <f>-1.873*100000000</f>
        <v>-187300000</v>
      </c>
      <c r="AK445" s="6" t="str">
        <f t="shared" si="203"/>
        <v>=-187300000</v>
      </c>
      <c r="AL445" s="1">
        <f>-187300000</f>
        <v>-187300000</v>
      </c>
      <c r="AM445" s="8">
        <f t="shared" si="204"/>
        <v>-15.841521394611727</v>
      </c>
      <c r="AN445" s="7" t="s">
        <v>4777</v>
      </c>
      <c r="AO445" s="6" t="str">
        <f t="shared" si="205"/>
        <v>=1262*10000</v>
      </c>
      <c r="AP445" s="1">
        <f>1262*10000</f>
        <v>12620000</v>
      </c>
      <c r="AQ445" s="8">
        <f t="shared" si="206"/>
        <v>-3.4960443037974684</v>
      </c>
      <c r="AR445" s="7">
        <f>-505.6*10000</f>
        <v>-5056000</v>
      </c>
      <c r="AS445" s="6" t="str">
        <f t="shared" si="207"/>
        <v>=-5056000</v>
      </c>
      <c r="AT445" s="1">
        <f>-5056000</f>
        <v>-5056000</v>
      </c>
      <c r="AU445" s="8">
        <f t="shared" si="208"/>
        <v>2.3505632869449968</v>
      </c>
      <c r="AV445" s="7">
        <f>-150.9*10000</f>
        <v>-1509000</v>
      </c>
      <c r="AW445" s="6" t="str">
        <f t="shared" si="209"/>
        <v>=-1509000</v>
      </c>
      <c r="AX445" s="1">
        <f>-1509000</f>
        <v>-1509000</v>
      </c>
      <c r="AY445" s="10">
        <f t="shared" si="210"/>
        <v>-0.97686647248198677</v>
      </c>
      <c r="AZ445" s="7">
        <f>-6523*10000</f>
        <v>-65230000</v>
      </c>
      <c r="BA445" s="6" t="str">
        <f t="shared" si="211"/>
        <v>=-65230000</v>
      </c>
      <c r="BB445" s="1">
        <f>-65230000</f>
        <v>-65230000</v>
      </c>
      <c r="BC445" s="8">
        <f t="shared" si="212"/>
        <v>4.9898989898989896</v>
      </c>
      <c r="BD445" s="7">
        <f>-1089*10000</f>
        <v>-10890000</v>
      </c>
      <c r="BE445" s="6" t="str">
        <f t="shared" si="213"/>
        <v>=-10890000</v>
      </c>
      <c r="BF445" s="1">
        <f>-10890000</f>
        <v>-10890000</v>
      </c>
      <c r="BG445" s="8">
        <f t="shared" si="214"/>
        <v>1.3125929071989806</v>
      </c>
      <c r="BH445" s="7">
        <f>-470.9*10000</f>
        <v>-4709000</v>
      </c>
      <c r="BI445" s="6" t="str">
        <f t="shared" si="215"/>
        <v>=-4709000</v>
      </c>
      <c r="BJ445" s="1">
        <f>-4709000</f>
        <v>-4709000</v>
      </c>
      <c r="BK445" s="7" t="s">
        <v>5562</v>
      </c>
      <c r="BL445" s="1" t="str">
        <f t="shared" si="187"/>
        <v>=513.5*10000</v>
      </c>
      <c r="BM445" s="16">
        <f t="shared" si="216"/>
        <v>-1.9170399221032133</v>
      </c>
      <c r="BN445" s="1">
        <f>513.5*10000</f>
        <v>5135000</v>
      </c>
    </row>
    <row r="446" spans="1:66">
      <c r="A446" s="17">
        <v>112</v>
      </c>
      <c r="B446">
        <v>600361</v>
      </c>
      <c r="C446" t="s">
        <v>31</v>
      </c>
      <c r="D446" s="6" t="s">
        <v>5563</v>
      </c>
      <c r="E446" s="7" t="str">
        <f t="shared" si="186"/>
        <v>=83.53*100000000</v>
      </c>
      <c r="F446" s="1">
        <f>83.53*100000000</f>
        <v>8353000000</v>
      </c>
      <c r="G446" s="8">
        <f t="shared" si="188"/>
        <v>0.35909534656687275</v>
      </c>
      <c r="H446" s="6" t="s">
        <v>5564</v>
      </c>
      <c r="I446" s="6" t="str">
        <f t="shared" si="189"/>
        <v>=61.46*100000000</v>
      </c>
      <c r="J446" s="1">
        <f>61.46*100000000</f>
        <v>6146000000</v>
      </c>
      <c r="K446" s="10">
        <f t="shared" si="190"/>
        <v>0.43799719232569023</v>
      </c>
      <c r="L446" s="6" t="s">
        <v>4329</v>
      </c>
      <c r="M446" s="6" t="str">
        <f t="shared" si="191"/>
        <v>=42.74*100000000</v>
      </c>
      <c r="N446" s="1">
        <f>42.74*100000000</f>
        <v>4274000000</v>
      </c>
      <c r="O446" s="8">
        <f t="shared" si="192"/>
        <v>0.7559572719802794</v>
      </c>
      <c r="P446" s="6" t="s">
        <v>5565</v>
      </c>
      <c r="Q446" s="6" t="str">
        <f t="shared" si="193"/>
        <v>=24.34*100000000</v>
      </c>
      <c r="R446" s="11">
        <f>24.34*100000000</f>
        <v>2434000000</v>
      </c>
      <c r="S446" s="8">
        <f t="shared" si="194"/>
        <v>-0.74510419939260653</v>
      </c>
      <c r="T446" s="6" t="s">
        <v>5566</v>
      </c>
      <c r="U446" s="6" t="str">
        <f t="shared" si="195"/>
        <v>=95.49*100000000</v>
      </c>
      <c r="V446" s="1">
        <f>95.49*100000000</f>
        <v>9549000000</v>
      </c>
      <c r="W446" s="8">
        <f t="shared" si="196"/>
        <v>0.5684954007884363</v>
      </c>
      <c r="X446" s="6" t="s">
        <v>5567</v>
      </c>
      <c r="Y446" s="6" t="str">
        <f t="shared" si="197"/>
        <v>=60.88*100000000</v>
      </c>
      <c r="Z446" s="1">
        <f>60.88*100000000</f>
        <v>6088000000</v>
      </c>
      <c r="AA446" s="8">
        <f t="shared" si="198"/>
        <v>0.48960117445559109</v>
      </c>
      <c r="AB446" s="6" t="s">
        <v>5568</v>
      </c>
      <c r="AC446" s="6" t="str">
        <f t="shared" si="199"/>
        <v>=40.87*100000000</v>
      </c>
      <c r="AD446" s="1">
        <f>40.87*100000000</f>
        <v>4086999999.9999995</v>
      </c>
      <c r="AE446" s="8">
        <f t="shared" si="200"/>
        <v>0.50257352941176459</v>
      </c>
      <c r="AF446" s="6" t="s">
        <v>716</v>
      </c>
      <c r="AG446" s="6" t="str">
        <f t="shared" si="201"/>
        <v>=27.20*100000000</v>
      </c>
      <c r="AH446" s="1">
        <f>27.2*100000000</f>
        <v>2720000000</v>
      </c>
      <c r="AI446" s="8">
        <f t="shared" si="202"/>
        <v>-0.77314428690575476</v>
      </c>
      <c r="AJ446" s="6" t="s">
        <v>5569</v>
      </c>
      <c r="AK446" s="6" t="str">
        <f t="shared" si="203"/>
        <v>=119.9*100000000</v>
      </c>
      <c r="AL446" s="1">
        <f>119.9*100000000</f>
        <v>11990000000</v>
      </c>
      <c r="AM446" s="8">
        <f t="shared" si="204"/>
        <v>0.2909130060292851</v>
      </c>
      <c r="AN446" s="6" t="s">
        <v>627</v>
      </c>
      <c r="AO446" s="6" t="str">
        <f t="shared" si="205"/>
        <v>=92.88*100000000</v>
      </c>
      <c r="AP446" s="1">
        <f>92.88*100000000</f>
        <v>9288000000</v>
      </c>
      <c r="AQ446" s="8">
        <f t="shared" si="206"/>
        <v>0.52337215023782191</v>
      </c>
      <c r="AR446" s="6" t="s">
        <v>5570</v>
      </c>
      <c r="AS446" s="6" t="str">
        <f t="shared" si="207"/>
        <v>=60.97*100000000</v>
      </c>
      <c r="AT446" s="1">
        <f>60.97*100000000</f>
        <v>6097000000</v>
      </c>
      <c r="AU446" s="8">
        <f t="shared" si="208"/>
        <v>0.82</v>
      </c>
      <c r="AV446" s="6" t="s">
        <v>5571</v>
      </c>
      <c r="AW446" s="6" t="str">
        <f t="shared" si="209"/>
        <v>=33.50*100000000</v>
      </c>
      <c r="AX446" s="1">
        <f>33.5*100000000</f>
        <v>3350000000</v>
      </c>
      <c r="AY446" s="10">
        <f t="shared" si="210"/>
        <v>-0.71120689655172409</v>
      </c>
      <c r="AZ446" s="6" t="s">
        <v>5572</v>
      </c>
      <c r="BA446" s="6" t="str">
        <f t="shared" si="211"/>
        <v>=116.0*100000000</v>
      </c>
      <c r="BB446" s="1">
        <f>116*100000000</f>
        <v>11600000000</v>
      </c>
      <c r="BC446" s="8">
        <f t="shared" si="212"/>
        <v>0.25473228772309359</v>
      </c>
      <c r="BD446" s="6" t="s">
        <v>5573</v>
      </c>
      <c r="BE446" s="6" t="str">
        <f t="shared" si="213"/>
        <v>=92.45*100000000</v>
      </c>
      <c r="BF446" s="1">
        <f>92.45*100000000</f>
        <v>9245000000</v>
      </c>
      <c r="BG446" s="8">
        <f t="shared" si="214"/>
        <v>0.50692746536267319</v>
      </c>
      <c r="BH446" s="6" t="s">
        <v>5574</v>
      </c>
      <c r="BI446" s="6" t="str">
        <f t="shared" si="215"/>
        <v>=61.35*100000000</v>
      </c>
      <c r="BJ446" s="1">
        <f>61.35*100000000</f>
        <v>6135000000</v>
      </c>
      <c r="BK446" s="6" t="s">
        <v>5575</v>
      </c>
      <c r="BL446" s="1" t="str">
        <f t="shared" si="187"/>
        <v>=33.96*100000000</v>
      </c>
      <c r="BM446" s="16">
        <f t="shared" si="216"/>
        <v>0.80653710247349819</v>
      </c>
      <c r="BN446" s="1">
        <f>33.96*100000000</f>
        <v>3396000000</v>
      </c>
    </row>
    <row r="447" spans="1:66">
      <c r="A447" s="18"/>
      <c r="B447">
        <v>600361</v>
      </c>
      <c r="C447" t="s">
        <v>48</v>
      </c>
      <c r="D447" s="6">
        <f>-1.886*100000000</f>
        <v>-188600000</v>
      </c>
      <c r="E447" s="7" t="str">
        <f t="shared" si="186"/>
        <v>=-188600000</v>
      </c>
      <c r="F447" s="1">
        <f>-188600000</f>
        <v>-188600000</v>
      </c>
      <c r="G447" s="8">
        <f t="shared" si="188"/>
        <v>1.6582100070472163</v>
      </c>
      <c r="H447" s="7">
        <f>-7095*10000</f>
        <v>-70950000</v>
      </c>
      <c r="I447" s="6" t="str">
        <f t="shared" si="189"/>
        <v>=-70950000</v>
      </c>
      <c r="J447" s="1">
        <f>-70950000</f>
        <v>-70950000</v>
      </c>
      <c r="K447" s="10">
        <f t="shared" si="190"/>
        <v>-3.5294117647058822</v>
      </c>
      <c r="L447" s="7" t="s">
        <v>5576</v>
      </c>
      <c r="M447" s="6" t="str">
        <f t="shared" si="191"/>
        <v>=2805*10000</v>
      </c>
      <c r="N447" s="1">
        <f>2805*10000</f>
        <v>28050000</v>
      </c>
      <c r="O447" s="8">
        <f t="shared" si="192"/>
        <v>-0.48813868613138683</v>
      </c>
      <c r="P447" s="7" t="s">
        <v>5577</v>
      </c>
      <c r="Q447" s="6" t="str">
        <f t="shared" si="193"/>
        <v>=5480*10000</v>
      </c>
      <c r="R447" s="11">
        <f>5480*10000</f>
        <v>54800000</v>
      </c>
      <c r="S447" s="8">
        <f t="shared" si="194"/>
        <v>-0.74511627906976741</v>
      </c>
      <c r="T447" s="6" t="s">
        <v>4013</v>
      </c>
      <c r="U447" s="6" t="str">
        <f t="shared" si="195"/>
        <v>=2.150*100000000</v>
      </c>
      <c r="V447" s="1">
        <f>2.15*100000000</f>
        <v>215000000</v>
      </c>
      <c r="W447" s="8">
        <f t="shared" si="196"/>
        <v>0.53133903133903138</v>
      </c>
      <c r="X447" s="6" t="s">
        <v>5578</v>
      </c>
      <c r="Y447" s="6" t="str">
        <f t="shared" si="197"/>
        <v>=1.404*100000000</v>
      </c>
      <c r="Z447" s="1">
        <f>1.404*100000000</f>
        <v>140400000</v>
      </c>
      <c r="AA447" s="8">
        <f t="shared" si="198"/>
        <v>0.20826161790017228</v>
      </c>
      <c r="AB447" s="6" t="s">
        <v>5579</v>
      </c>
      <c r="AC447" s="6" t="str">
        <f t="shared" si="199"/>
        <v>=1.162*100000000</v>
      </c>
      <c r="AD447" s="1">
        <f>1.162*100000000</f>
        <v>116199999.99999999</v>
      </c>
      <c r="AE447" s="8">
        <f t="shared" si="200"/>
        <v>0.64101115661629693</v>
      </c>
      <c r="AF447" s="7" t="s">
        <v>5580</v>
      </c>
      <c r="AG447" s="6" t="str">
        <f t="shared" si="201"/>
        <v>=7081*10000</v>
      </c>
      <c r="AH447" s="1">
        <f>7081*10000</f>
        <v>70810000</v>
      </c>
      <c r="AI447" s="8">
        <f t="shared" si="202"/>
        <v>-0.33636363636363636</v>
      </c>
      <c r="AJ447" s="6" t="s">
        <v>1937</v>
      </c>
      <c r="AK447" s="6" t="str">
        <f t="shared" si="203"/>
        <v>=1.067*100000000</v>
      </c>
      <c r="AL447" s="1">
        <f>1.067*100000000</f>
        <v>106700000</v>
      </c>
      <c r="AM447" s="8">
        <f t="shared" si="204"/>
        <v>0.63399693721286365</v>
      </c>
      <c r="AN447" s="7" t="s">
        <v>5581</v>
      </c>
      <c r="AO447" s="6" t="str">
        <f t="shared" si="205"/>
        <v>=6530*10000</v>
      </c>
      <c r="AP447" s="1">
        <f>6530*10000</f>
        <v>65300000</v>
      </c>
      <c r="AQ447" s="8">
        <f t="shared" si="206"/>
        <v>0.24594543026140051</v>
      </c>
      <c r="AR447" s="7" t="s">
        <v>2526</v>
      </c>
      <c r="AS447" s="6" t="str">
        <f t="shared" si="207"/>
        <v>=5241*10000</v>
      </c>
      <c r="AT447" s="1">
        <f>5241*10000</f>
        <v>52410000</v>
      </c>
      <c r="AU447" s="8">
        <f t="shared" si="208"/>
        <v>2.6037588097102583E-2</v>
      </c>
      <c r="AV447" s="7" t="s">
        <v>5582</v>
      </c>
      <c r="AW447" s="6" t="str">
        <f t="shared" si="209"/>
        <v>=5108*10000</v>
      </c>
      <c r="AX447" s="1">
        <f>5108*10000</f>
        <v>51080000</v>
      </c>
      <c r="AY447" s="10">
        <f t="shared" si="210"/>
        <v>-0.46702838063439067</v>
      </c>
      <c r="AZ447" s="7" t="s">
        <v>5583</v>
      </c>
      <c r="BA447" s="6" t="str">
        <f t="shared" si="211"/>
        <v>=9584*10000</v>
      </c>
      <c r="BB447" s="1">
        <f>9584*10000</f>
        <v>95840000</v>
      </c>
      <c r="BC447" s="8">
        <f t="shared" si="212"/>
        <v>7.903625309614952E-2</v>
      </c>
      <c r="BD447" s="7" t="s">
        <v>5584</v>
      </c>
      <c r="BE447" s="6" t="str">
        <f t="shared" si="213"/>
        <v>=8882*10000</v>
      </c>
      <c r="BF447" s="1">
        <f>8882*10000</f>
        <v>88820000</v>
      </c>
      <c r="BG447" s="8">
        <f t="shared" si="214"/>
        <v>0.48230974632843793</v>
      </c>
      <c r="BH447" s="7" t="s">
        <v>5585</v>
      </c>
      <c r="BI447" s="6" t="str">
        <f t="shared" si="215"/>
        <v>=5992*10000</v>
      </c>
      <c r="BJ447" s="1">
        <f>5992*10000</f>
        <v>59920000</v>
      </c>
      <c r="BK447" s="7" t="s">
        <v>5586</v>
      </c>
      <c r="BL447" s="1" t="str">
        <f t="shared" si="187"/>
        <v>=3552*10000</v>
      </c>
      <c r="BM447" s="16">
        <f t="shared" si="216"/>
        <v>0.68693693693693691</v>
      </c>
      <c r="BN447" s="1">
        <f>3552*10000</f>
        <v>35520000</v>
      </c>
    </row>
    <row r="448" spans="1:66">
      <c r="A448" s="18"/>
      <c r="B448">
        <v>600361</v>
      </c>
      <c r="C448" t="s">
        <v>58</v>
      </c>
      <c r="D448" s="6">
        <f>-2.593*100000000</f>
        <v>-259300000</v>
      </c>
      <c r="E448" s="7" t="str">
        <f t="shared" si="186"/>
        <v>=-259300000</v>
      </c>
      <c r="F448" s="1">
        <f>-259300000</f>
        <v>-259300000</v>
      </c>
      <c r="G448" s="8">
        <f t="shared" si="188"/>
        <v>1.0694333599361532</v>
      </c>
      <c r="H448" s="6">
        <f>-1.253*100000000</f>
        <v>-125299999.99999999</v>
      </c>
      <c r="I448" s="6" t="str">
        <f t="shared" si="189"/>
        <v>=-125300000</v>
      </c>
      <c r="J448" s="1">
        <f>-125300000</f>
        <v>-125300000</v>
      </c>
      <c r="K448" s="10">
        <f t="shared" si="190"/>
        <v>-9.6712802768166082</v>
      </c>
      <c r="L448" s="7" t="s">
        <v>5587</v>
      </c>
      <c r="M448" s="6" t="str">
        <f t="shared" si="191"/>
        <v>=1445*10000</v>
      </c>
      <c r="N448" s="1">
        <f>1445*10000</f>
        <v>14450000</v>
      </c>
      <c r="O448" s="8">
        <f t="shared" si="192"/>
        <v>-0.734375</v>
      </c>
      <c r="P448" s="7" t="s">
        <v>5588</v>
      </c>
      <c r="Q448" s="6" t="str">
        <f t="shared" si="193"/>
        <v>=5440*10000</v>
      </c>
      <c r="R448" s="11">
        <f>5440*10000</f>
        <v>54400000</v>
      </c>
      <c r="S448" s="8">
        <f t="shared" si="194"/>
        <v>-0.73921380632790024</v>
      </c>
      <c r="T448" s="6" t="s">
        <v>3665</v>
      </c>
      <c r="U448" s="6" t="str">
        <f t="shared" si="195"/>
        <v>=2.086*100000000</v>
      </c>
      <c r="V448" s="1">
        <f>2.086*100000000</f>
        <v>208600000</v>
      </c>
      <c r="W448" s="8">
        <f t="shared" si="196"/>
        <v>0.3371794871794872</v>
      </c>
      <c r="X448" s="6" t="s">
        <v>4885</v>
      </c>
      <c r="Y448" s="6" t="str">
        <f t="shared" si="197"/>
        <v>=1.560*100000000</v>
      </c>
      <c r="Z448" s="1">
        <f>1.56*100000000</f>
        <v>156000000</v>
      </c>
      <c r="AA448" s="8">
        <f t="shared" si="198"/>
        <v>0.45251396648044695</v>
      </c>
      <c r="AB448" s="6" t="s">
        <v>5589</v>
      </c>
      <c r="AC448" s="6" t="str">
        <f t="shared" si="199"/>
        <v>=1.074*100000000</v>
      </c>
      <c r="AD448" s="1">
        <f>1.074*100000000</f>
        <v>107400000</v>
      </c>
      <c r="AE448" s="8">
        <f t="shared" si="200"/>
        <v>0.55742459396751742</v>
      </c>
      <c r="AF448" s="7" t="s">
        <v>5590</v>
      </c>
      <c r="AG448" s="6" t="str">
        <f t="shared" si="201"/>
        <v>=6896*10000</v>
      </c>
      <c r="AH448" s="1">
        <f>6896*10000</f>
        <v>68960000</v>
      </c>
      <c r="AI448" s="8">
        <f t="shared" si="202"/>
        <v>-0.25721671693235676</v>
      </c>
      <c r="AJ448" s="7" t="s">
        <v>5591</v>
      </c>
      <c r="AK448" s="6" t="str">
        <f t="shared" si="203"/>
        <v>=9284*10000</v>
      </c>
      <c r="AL448" s="1">
        <f>9284*10000</f>
        <v>92840000</v>
      </c>
      <c r="AM448" s="8">
        <f t="shared" si="204"/>
        <v>0.32100170745589074</v>
      </c>
      <c r="AN448" s="7" t="s">
        <v>5592</v>
      </c>
      <c r="AO448" s="6" t="str">
        <f t="shared" si="205"/>
        <v>=7028*10000</v>
      </c>
      <c r="AP448" s="1">
        <f>7028*10000</f>
        <v>70280000</v>
      </c>
      <c r="AQ448" s="8">
        <f t="shared" si="206"/>
        <v>0.15099901735997379</v>
      </c>
      <c r="AR448" s="7" t="s">
        <v>5593</v>
      </c>
      <c r="AS448" s="6" t="str">
        <f t="shared" si="207"/>
        <v>=6106*10000</v>
      </c>
      <c r="AT448" s="1">
        <f>6106*10000</f>
        <v>61060000</v>
      </c>
      <c r="AU448" s="8">
        <f t="shared" si="208"/>
        <v>0.14947289156626506</v>
      </c>
      <c r="AV448" s="7" t="s">
        <v>5594</v>
      </c>
      <c r="AW448" s="6" t="str">
        <f t="shared" si="209"/>
        <v>=5312*10000</v>
      </c>
      <c r="AX448" s="1">
        <f>5312*10000</f>
        <v>53120000</v>
      </c>
      <c r="AY448" s="10">
        <f t="shared" si="210"/>
        <v>-0.40681183696259071</v>
      </c>
      <c r="AZ448" s="7" t="s">
        <v>5595</v>
      </c>
      <c r="BA448" s="6" t="str">
        <f t="shared" si="211"/>
        <v>=8955*10000</v>
      </c>
      <c r="BB448" s="1">
        <f>8955*10000</f>
        <v>89550000</v>
      </c>
      <c r="BC448" s="8">
        <f t="shared" si="212"/>
        <v>0.19288663913680565</v>
      </c>
      <c r="BD448" s="7" t="s">
        <v>5596</v>
      </c>
      <c r="BE448" s="6" t="str">
        <f t="shared" si="213"/>
        <v>=7507*10000</v>
      </c>
      <c r="BF448" s="1">
        <f>7507*10000</f>
        <v>75070000</v>
      </c>
      <c r="BG448" s="8">
        <f t="shared" si="214"/>
        <v>0.73572254335260112</v>
      </c>
      <c r="BH448" s="7" t="s">
        <v>5597</v>
      </c>
      <c r="BI448" s="6" t="str">
        <f t="shared" si="215"/>
        <v>=4325*10000</v>
      </c>
      <c r="BJ448" s="1">
        <f>4325*10000</f>
        <v>43250000</v>
      </c>
      <c r="BK448" s="7" t="s">
        <v>3585</v>
      </c>
      <c r="BL448" s="1" t="str">
        <f t="shared" si="187"/>
        <v>=3414*10000</v>
      </c>
      <c r="BM448" s="16">
        <f t="shared" si="216"/>
        <v>0.26684241359109551</v>
      </c>
      <c r="BN448" s="1">
        <f>3414*10000</f>
        <v>34140000</v>
      </c>
    </row>
    <row r="449" spans="1:66">
      <c r="A449" s="19"/>
      <c r="B449">
        <v>600361</v>
      </c>
      <c r="C449" t="s">
        <v>68</v>
      </c>
      <c r="D449" s="6">
        <f>-2.811*100000000</f>
        <v>-281100000</v>
      </c>
      <c r="E449" s="7" t="str">
        <f t="shared" si="186"/>
        <v>=-281100000</v>
      </c>
      <c r="F449" s="1">
        <f>-281100000</f>
        <v>-281100000</v>
      </c>
      <c r="G449" s="8">
        <f t="shared" si="188"/>
        <v>0.77238335435056749</v>
      </c>
      <c r="H449" s="6">
        <f>-1.586*100000000</f>
        <v>-158600000</v>
      </c>
      <c r="I449" s="6" t="str">
        <f t="shared" si="189"/>
        <v>=-158600000</v>
      </c>
      <c r="J449" s="1">
        <f>-158600000</f>
        <v>-158600000</v>
      </c>
      <c r="K449" s="10">
        <f t="shared" si="190"/>
        <v>7.6572052401746724</v>
      </c>
      <c r="L449" s="7">
        <f>-1832*10000</f>
        <v>-18320000</v>
      </c>
      <c r="M449" s="6" t="str">
        <f t="shared" si="191"/>
        <v>=-18320000</v>
      </c>
      <c r="N449" s="1">
        <f>-18320000</f>
        <v>-18320000</v>
      </c>
      <c r="O449" s="8">
        <f t="shared" si="192"/>
        <v>-1.5228310502283104</v>
      </c>
      <c r="P449" s="7" t="s">
        <v>5598</v>
      </c>
      <c r="Q449" s="6" t="str">
        <f t="shared" si="193"/>
        <v>=3504*10000</v>
      </c>
      <c r="R449" s="11">
        <f>3504*10000</f>
        <v>35040000</v>
      </c>
      <c r="S449" s="8">
        <f t="shared" si="194"/>
        <v>-0.66307692307692312</v>
      </c>
      <c r="T449" s="6" t="s">
        <v>5599</v>
      </c>
      <c r="U449" s="6" t="str">
        <f t="shared" si="195"/>
        <v>=1.040*100000000</v>
      </c>
      <c r="V449" s="1">
        <f>1.04*100000000</f>
        <v>104000000</v>
      </c>
      <c r="W449" s="8">
        <f t="shared" si="196"/>
        <v>-0.1111111111111111</v>
      </c>
      <c r="X449" s="6" t="s">
        <v>3552</v>
      </c>
      <c r="Y449" s="6" t="str">
        <f t="shared" si="197"/>
        <v>=1.170*100000000</v>
      </c>
      <c r="Z449" s="1">
        <f>1.17*100000000</f>
        <v>117000000</v>
      </c>
      <c r="AA449" s="8">
        <f t="shared" si="198"/>
        <v>0.40591204037490985</v>
      </c>
      <c r="AB449" s="7" t="s">
        <v>5600</v>
      </c>
      <c r="AC449" s="6" t="str">
        <f t="shared" si="199"/>
        <v>=8322*10000</v>
      </c>
      <c r="AD449" s="1">
        <f>8322*10000</f>
        <v>83220000</v>
      </c>
      <c r="AE449" s="8">
        <f t="shared" si="200"/>
        <v>0.26937156802928613</v>
      </c>
      <c r="AF449" s="7" t="s">
        <v>5601</v>
      </c>
      <c r="AG449" s="6" t="str">
        <f t="shared" si="201"/>
        <v>=6556*10000</v>
      </c>
      <c r="AH449" s="1">
        <f>6556*10000</f>
        <v>65560000</v>
      </c>
      <c r="AI449" s="8">
        <f t="shared" si="202"/>
        <v>-0.22294654498044328</v>
      </c>
      <c r="AJ449" s="7" t="s">
        <v>5602</v>
      </c>
      <c r="AK449" s="6" t="str">
        <f t="shared" si="203"/>
        <v>=8437*10000</v>
      </c>
      <c r="AL449" s="1">
        <f>8437*10000</f>
        <v>84370000</v>
      </c>
      <c r="AM449" s="8">
        <f t="shared" si="204"/>
        <v>0.35230004808462895</v>
      </c>
      <c r="AN449" s="7" t="s">
        <v>5603</v>
      </c>
      <c r="AO449" s="6" t="str">
        <f t="shared" si="205"/>
        <v>=6239*10000</v>
      </c>
      <c r="AP449" s="1">
        <f>6239*10000</f>
        <v>62390000</v>
      </c>
      <c r="AQ449" s="8">
        <f t="shared" si="206"/>
        <v>0.11930391101542878</v>
      </c>
      <c r="AR449" s="7" t="s">
        <v>5604</v>
      </c>
      <c r="AS449" s="6" t="str">
        <f t="shared" si="207"/>
        <v>=5574*10000</v>
      </c>
      <c r="AT449" s="1">
        <f>5574*10000</f>
        <v>55740000</v>
      </c>
      <c r="AU449" s="8">
        <f t="shared" si="208"/>
        <v>0.14738575545491972</v>
      </c>
      <c r="AV449" s="7" t="s">
        <v>5605</v>
      </c>
      <c r="AW449" s="6" t="str">
        <f t="shared" si="209"/>
        <v>=4858*10000</v>
      </c>
      <c r="AX449" s="1">
        <f>4858*10000</f>
        <v>48580000</v>
      </c>
      <c r="AY449" s="10">
        <f t="shared" si="210"/>
        <v>-0.39913419913419912</v>
      </c>
      <c r="AZ449" s="7" t="s">
        <v>5606</v>
      </c>
      <c r="BA449" s="6" t="str">
        <f t="shared" si="211"/>
        <v>=8085*10000</v>
      </c>
      <c r="BB449" s="1">
        <f>8085*10000</f>
        <v>80850000</v>
      </c>
      <c r="BC449" s="8">
        <f t="shared" si="212"/>
        <v>0.22872340425531915</v>
      </c>
      <c r="BD449" s="7" t="s">
        <v>5607</v>
      </c>
      <c r="BE449" s="6" t="str">
        <f t="shared" si="213"/>
        <v>=6580*10000</v>
      </c>
      <c r="BF449" s="1">
        <f>6580*10000</f>
        <v>65800000</v>
      </c>
      <c r="BG449" s="8">
        <f t="shared" si="214"/>
        <v>0.66497975708502022</v>
      </c>
      <c r="BH449" s="7" t="s">
        <v>5608</v>
      </c>
      <c r="BI449" s="6" t="str">
        <f t="shared" si="215"/>
        <v>=3952*10000</v>
      </c>
      <c r="BJ449" s="1">
        <f>3952*10000</f>
        <v>39520000</v>
      </c>
      <c r="BK449" s="7" t="s">
        <v>5609</v>
      </c>
      <c r="BL449" s="1" t="str">
        <f t="shared" si="187"/>
        <v>=2904*10000</v>
      </c>
      <c r="BM449" s="16">
        <f t="shared" si="216"/>
        <v>0.3608815426997245</v>
      </c>
      <c r="BN449" s="1">
        <f>2904*10000</f>
        <v>29040000</v>
      </c>
    </row>
    <row r="450" spans="1:66">
      <c r="A450" s="17">
        <v>113</v>
      </c>
      <c r="B450">
        <v>600362</v>
      </c>
      <c r="C450" t="s">
        <v>31</v>
      </c>
      <c r="D450" s="6" t="s">
        <v>5610</v>
      </c>
      <c r="E450" s="7" t="str">
        <f t="shared" ref="E450:E513" si="217">"="&amp;D450</f>
        <v>=4428*100000000</v>
      </c>
      <c r="F450" s="1">
        <f>4428*100000000</f>
        <v>442800000000</v>
      </c>
      <c r="G450" s="8">
        <f t="shared" si="188"/>
        <v>0.31277794248443525</v>
      </c>
      <c r="H450" s="6" t="s">
        <v>5611</v>
      </c>
      <c r="I450" s="6" t="str">
        <f t="shared" si="189"/>
        <v>=3373*100000000</v>
      </c>
      <c r="J450" s="1">
        <f>3373*100000000</f>
        <v>337300000000</v>
      </c>
      <c r="K450" s="10">
        <f t="shared" si="190"/>
        <v>0.48721340388007056</v>
      </c>
      <c r="L450" s="6" t="s">
        <v>5612</v>
      </c>
      <c r="M450" s="6" t="str">
        <f t="shared" si="191"/>
        <v>=2268*100000000</v>
      </c>
      <c r="N450" s="1">
        <f>2268*100000000</f>
        <v>226800000000</v>
      </c>
      <c r="O450" s="8">
        <f t="shared" si="192"/>
        <v>1.223529411764706</v>
      </c>
      <c r="P450" s="6" t="s">
        <v>5613</v>
      </c>
      <c r="Q450" s="6" t="str">
        <f t="shared" si="193"/>
        <v>=1020*100000000</v>
      </c>
      <c r="R450" s="11">
        <f>1020*100000000</f>
        <v>102000000000</v>
      </c>
      <c r="S450" s="8">
        <f t="shared" si="194"/>
        <v>-0.67984934086629001</v>
      </c>
      <c r="T450" s="6" t="s">
        <v>5614</v>
      </c>
      <c r="U450" s="6" t="str">
        <f t="shared" si="195"/>
        <v>=3186*100000000</v>
      </c>
      <c r="V450" s="1">
        <f>3186*100000000</f>
        <v>318600000000</v>
      </c>
      <c r="W450" s="8">
        <f t="shared" si="196"/>
        <v>0.40167179938407394</v>
      </c>
      <c r="X450" s="6" t="s">
        <v>5615</v>
      </c>
      <c r="Y450" s="6" t="str">
        <f t="shared" si="197"/>
        <v>=2273*100000000</v>
      </c>
      <c r="Z450" s="1">
        <f>2273*100000000</f>
        <v>227300000000</v>
      </c>
      <c r="AA450" s="8">
        <f t="shared" si="198"/>
        <v>0.54625850340136051</v>
      </c>
      <c r="AB450" s="6" t="s">
        <v>5616</v>
      </c>
      <c r="AC450" s="6" t="str">
        <f t="shared" si="199"/>
        <v>=1470*100000000</v>
      </c>
      <c r="AD450" s="1">
        <f>1470*100000000</f>
        <v>147000000000</v>
      </c>
      <c r="AE450" s="8">
        <f t="shared" si="200"/>
        <v>1.6151930261519303</v>
      </c>
      <c r="AF450" s="6" t="s">
        <v>5617</v>
      </c>
      <c r="AG450" s="6" t="str">
        <f t="shared" si="201"/>
        <v>=562.1*100000000</v>
      </c>
      <c r="AH450" s="1">
        <f>562.1*100000000</f>
        <v>56210000000</v>
      </c>
      <c r="AI450" s="8">
        <f t="shared" si="202"/>
        <v>-0.76618136439267892</v>
      </c>
      <c r="AJ450" s="6" t="s">
        <v>5618</v>
      </c>
      <c r="AK450" s="6" t="str">
        <f t="shared" si="203"/>
        <v>=2404*100000000</v>
      </c>
      <c r="AL450" s="1">
        <f>2404*100000000</f>
        <v>240400000000</v>
      </c>
      <c r="AM450" s="8">
        <f t="shared" si="204"/>
        <v>0.40420560747663553</v>
      </c>
      <c r="AN450" s="6" t="s">
        <v>5619</v>
      </c>
      <c r="AO450" s="6" t="str">
        <f t="shared" si="205"/>
        <v>=1712*100000000</v>
      </c>
      <c r="AP450" s="1">
        <f>1712*100000000</f>
        <v>171200000000</v>
      </c>
      <c r="AQ450" s="8">
        <f t="shared" si="206"/>
        <v>0.63047619047619052</v>
      </c>
      <c r="AR450" s="6" t="s">
        <v>3206</v>
      </c>
      <c r="AS450" s="6" t="str">
        <f t="shared" si="207"/>
        <v>=1050*100000000</v>
      </c>
      <c r="AT450" s="1">
        <f>1050*100000000</f>
        <v>105000000000</v>
      </c>
      <c r="AU450" s="8">
        <f t="shared" si="208"/>
        <v>1.148997134670487</v>
      </c>
      <c r="AV450" s="6" t="s">
        <v>5620</v>
      </c>
      <c r="AW450" s="6" t="str">
        <f t="shared" si="209"/>
        <v>=488.6*100000000</v>
      </c>
      <c r="AX450" s="1">
        <f>488.6*100000000</f>
        <v>48860000000</v>
      </c>
      <c r="AY450" s="10">
        <f t="shared" si="210"/>
        <v>-0.77306084533209474</v>
      </c>
      <c r="AZ450" s="6" t="s">
        <v>5621</v>
      </c>
      <c r="BA450" s="6" t="str">
        <f t="shared" si="211"/>
        <v>=2153*100000000</v>
      </c>
      <c r="BB450" s="1">
        <f>2153*100000000</f>
        <v>215300000000</v>
      </c>
      <c r="BC450" s="8">
        <f t="shared" si="212"/>
        <v>0.32410824108241082</v>
      </c>
      <c r="BD450" s="6" t="s">
        <v>5622</v>
      </c>
      <c r="BE450" s="6" t="str">
        <f t="shared" si="213"/>
        <v>=1626*100000000</v>
      </c>
      <c r="BF450" s="1">
        <f>1626*100000000</f>
        <v>162600000000</v>
      </c>
      <c r="BG450" s="8">
        <f t="shared" si="214"/>
        <v>0.55598086124401913</v>
      </c>
      <c r="BH450" s="6" t="s">
        <v>5623</v>
      </c>
      <c r="BI450" s="6" t="str">
        <f t="shared" si="215"/>
        <v>=1045*100000000</v>
      </c>
      <c r="BJ450" s="1">
        <f>1045*100000000</f>
        <v>104500000000</v>
      </c>
      <c r="BK450" s="6" t="s">
        <v>5624</v>
      </c>
      <c r="BL450" s="1" t="str">
        <f t="shared" ref="BL450:BL513" si="218">"="&amp;BK450</f>
        <v>=506.1*100000000</v>
      </c>
      <c r="BM450" s="16">
        <f t="shared" si="216"/>
        <v>1.0648093262201146</v>
      </c>
      <c r="BN450" s="1">
        <f>506.1*100000000</f>
        <v>50610000000</v>
      </c>
    </row>
    <row r="451" spans="1:66">
      <c r="A451" s="18"/>
      <c r="B451">
        <v>600362</v>
      </c>
      <c r="C451" t="s">
        <v>48</v>
      </c>
      <c r="D451" s="6" t="s">
        <v>5625</v>
      </c>
      <c r="E451" s="7" t="str">
        <f t="shared" si="217"/>
        <v>=74.30*100000000</v>
      </c>
      <c r="F451" s="1">
        <f>74.3*100000000</f>
        <v>7430000000</v>
      </c>
      <c r="G451" s="8">
        <f t="shared" ref="G451:G514" si="219">(F451-J451)/J451</f>
        <v>0.28769497400346622</v>
      </c>
      <c r="H451" s="6" t="s">
        <v>5626</v>
      </c>
      <c r="I451" s="6" t="str">
        <f t="shared" ref="I451:I514" si="220">"="&amp;H451</f>
        <v>=57.70*100000000</v>
      </c>
      <c r="J451" s="1">
        <f>57.7*100000000</f>
        <v>5770000000</v>
      </c>
      <c r="K451" s="10">
        <f t="shared" ref="K451:K514" si="221">(J451-N451)/N451</f>
        <v>0.43211715065773143</v>
      </c>
      <c r="L451" s="6" t="s">
        <v>5627</v>
      </c>
      <c r="M451" s="6" t="str">
        <f t="shared" ref="M451:M514" si="222">"="&amp;L451</f>
        <v>=40.29*100000000</v>
      </c>
      <c r="N451" s="1">
        <f>40.29*100000000</f>
        <v>4029000000</v>
      </c>
      <c r="O451" s="8">
        <f t="shared" ref="O451:O514" si="223">(N451-R451)/R451</f>
        <v>2.5157068062827226</v>
      </c>
      <c r="P451" s="6" t="s">
        <v>5628</v>
      </c>
      <c r="Q451" s="6" t="str">
        <f t="shared" ref="Q451:Q514" si="224">"="&amp;P451</f>
        <v>=11.46*100000000</v>
      </c>
      <c r="R451" s="11">
        <f>11.46*100000000</f>
        <v>1146000000</v>
      </c>
      <c r="S451" s="8">
        <f t="shared" ref="S451:S514" si="225">(R451-V451)/V451</f>
        <v>-0.65471527568544741</v>
      </c>
      <c r="T451" s="6" t="s">
        <v>5629</v>
      </c>
      <c r="U451" s="6" t="str">
        <f t="shared" ref="U451:U514" si="226">"="&amp;T451</f>
        <v>=33.19*100000000</v>
      </c>
      <c r="V451" s="1">
        <f>33.19*100000000</f>
        <v>3319000000</v>
      </c>
      <c r="W451" s="8">
        <f t="shared" ref="W451:W514" si="227">(V451-Z451)/Z451</f>
        <v>0.35746421267893663</v>
      </c>
      <c r="X451" s="6" t="s">
        <v>5630</v>
      </c>
      <c r="Y451" s="6" t="str">
        <f t="shared" ref="Y451:Y514" si="228">"="&amp;X451</f>
        <v>=24.45*100000000</v>
      </c>
      <c r="Z451" s="1">
        <f>24.45*100000000</f>
        <v>2445000000</v>
      </c>
      <c r="AA451" s="8">
        <f t="shared" ref="AA451:AA514" si="229">(Z451-AD451)/AD451</f>
        <v>1.1279373368146215</v>
      </c>
      <c r="AB451" s="6" t="s">
        <v>5631</v>
      </c>
      <c r="AC451" s="6" t="str">
        <f t="shared" ref="AC451:AC514" si="230">"="&amp;AB451</f>
        <v>=11.49*100000000</v>
      </c>
      <c r="AD451" s="1">
        <f>11.49*100000000</f>
        <v>1149000000</v>
      </c>
      <c r="AE451" s="8">
        <f t="shared" ref="AE451:AE514" si="231">(AD451-AH451)/AH451</f>
        <v>3.4448742746615086</v>
      </c>
      <c r="AF451" s="6" t="s">
        <v>5632</v>
      </c>
      <c r="AG451" s="6" t="str">
        <f t="shared" ref="AG451:AG514" si="232">"="&amp;AF451</f>
        <v>=2.585*100000000</v>
      </c>
      <c r="AH451" s="1">
        <f>2.585*100000000</f>
        <v>258500000</v>
      </c>
      <c r="AI451" s="8">
        <f t="shared" ref="AI451:AI514" si="233">(AH451-AL451)/AL451</f>
        <v>-0.91916823014383986</v>
      </c>
      <c r="AJ451" s="6" t="s">
        <v>5633</v>
      </c>
      <c r="AK451" s="6" t="str">
        <f t="shared" ref="AK451:AK514" si="234">"="&amp;AJ451</f>
        <v>=31.98*100000000</v>
      </c>
      <c r="AL451" s="1">
        <f>31.98*100000000</f>
        <v>3198000000</v>
      </c>
      <c r="AM451" s="8">
        <f t="shared" ref="AM451:AM514" si="235">(AL451-AP451)/AP451</f>
        <v>0.18269230769230768</v>
      </c>
      <c r="AN451" s="6" t="s">
        <v>5634</v>
      </c>
      <c r="AO451" s="6" t="str">
        <f t="shared" ref="AO451:AO514" si="236">"="&amp;AN451</f>
        <v>=27.04*100000000</v>
      </c>
      <c r="AP451" s="1">
        <f>27.04*100000000</f>
        <v>2704000000</v>
      </c>
      <c r="AQ451" s="8">
        <f t="shared" ref="AQ451:AQ514" si="237">(AP451-AT451)/AT451</f>
        <v>0.55670696603339087</v>
      </c>
      <c r="AR451" s="6" t="s">
        <v>5635</v>
      </c>
      <c r="AS451" s="6" t="str">
        <f t="shared" ref="AS451:AS514" si="238">"="&amp;AR451</f>
        <v>=17.37*100000000</v>
      </c>
      <c r="AT451" s="1">
        <f>17.37*100000000</f>
        <v>1737000000</v>
      </c>
      <c r="AU451" s="8">
        <f t="shared" ref="AU451:AU514" si="239">(AT451-AX451)/AX451</f>
        <v>0.82132746146586955</v>
      </c>
      <c r="AV451" s="6" t="s">
        <v>5636</v>
      </c>
      <c r="AW451" s="6" t="str">
        <f t="shared" ref="AW451:AW514" si="240">"="&amp;AV451</f>
        <v>=9.537*100000000</v>
      </c>
      <c r="AX451" s="1">
        <f>9.537*100000000</f>
        <v>953700000.00000012</v>
      </c>
      <c r="AY451" s="10">
        <f t="shared" ref="AY451:AY514" si="241">(AX451-BB451)/BB451</f>
        <v>-0.70799142682180027</v>
      </c>
      <c r="AZ451" s="6" t="s">
        <v>5637</v>
      </c>
      <c r="BA451" s="6" t="str">
        <f t="shared" ref="BA451:BA514" si="242">"="&amp;AZ451</f>
        <v>=32.66*100000000</v>
      </c>
      <c r="BB451" s="1">
        <f>32.66*100000000</f>
        <v>3265999999.9999995</v>
      </c>
      <c r="BC451" s="8">
        <f t="shared" ref="BC451:BC514" si="243">(BB451-BF451)/BF451</f>
        <v>0.21277385815076105</v>
      </c>
      <c r="BD451" s="6" t="s">
        <v>1427</v>
      </c>
      <c r="BE451" s="6" t="str">
        <f t="shared" ref="BE451:BE514" si="244">"="&amp;BD451</f>
        <v>=26.93*100000000</v>
      </c>
      <c r="BF451" s="1">
        <f>26.93*100000000</f>
        <v>2693000000</v>
      </c>
      <c r="BG451" s="8">
        <f t="shared" ref="BG451:BG514" si="245">(BF451-BJ451)/BJ451</f>
        <v>0.60872162485065728</v>
      </c>
      <c r="BH451" s="6" t="s">
        <v>5638</v>
      </c>
      <c r="BI451" s="6" t="str">
        <f t="shared" ref="BI451:BI514" si="246">"="&amp;BH451</f>
        <v>=16.74*100000000</v>
      </c>
      <c r="BJ451" s="1">
        <f>16.74*100000000</f>
        <v>1673999999.9999998</v>
      </c>
      <c r="BK451" s="6" t="s">
        <v>5639</v>
      </c>
      <c r="BL451" s="1" t="str">
        <f t="shared" si="218"/>
        <v>=9.578*100000000</v>
      </c>
      <c r="BM451" s="16">
        <f t="shared" ref="BM451:BM514" si="247">(BJ451-BN451)/BN451</f>
        <v>0.74775527249947793</v>
      </c>
      <c r="BN451" s="1">
        <f>9.578*100000000</f>
        <v>957799999.99999988</v>
      </c>
    </row>
    <row r="452" spans="1:66">
      <c r="A452" s="18"/>
      <c r="B452">
        <v>600362</v>
      </c>
      <c r="C452" t="s">
        <v>58</v>
      </c>
      <c r="D452" s="6" t="s">
        <v>5640</v>
      </c>
      <c r="E452" s="7" t="str">
        <f t="shared" si="217"/>
        <v>=73.01*100000000</v>
      </c>
      <c r="F452" s="1">
        <f>73.01*100000000</f>
        <v>7301000000.000001</v>
      </c>
      <c r="G452" s="8">
        <f t="shared" si="219"/>
        <v>0.27953031896249581</v>
      </c>
      <c r="H452" s="6" t="s">
        <v>5641</v>
      </c>
      <c r="I452" s="6" t="str">
        <f t="shared" si="220"/>
        <v>=57.06*100000000</v>
      </c>
      <c r="J452" s="1">
        <f>57.06*100000000</f>
        <v>5706000000</v>
      </c>
      <c r="K452" s="10">
        <f t="shared" si="221"/>
        <v>0.44200151630022744</v>
      </c>
      <c r="L452" s="6" t="s">
        <v>5642</v>
      </c>
      <c r="M452" s="6" t="str">
        <f t="shared" si="222"/>
        <v>=39.57*100000000</v>
      </c>
      <c r="N452" s="1">
        <f>39.57*100000000</f>
        <v>3957000000</v>
      </c>
      <c r="O452" s="8">
        <f t="shared" si="223"/>
        <v>2.4802110817941951</v>
      </c>
      <c r="P452" s="6" t="s">
        <v>1378</v>
      </c>
      <c r="Q452" s="6" t="str">
        <f t="shared" si="224"/>
        <v>=11.37*100000000</v>
      </c>
      <c r="R452" s="11">
        <f>11.37*100000000</f>
        <v>1137000000</v>
      </c>
      <c r="S452" s="8">
        <f t="shared" si="225"/>
        <v>-0.65917266187050361</v>
      </c>
      <c r="T452" s="6" t="s">
        <v>5643</v>
      </c>
      <c r="U452" s="6" t="str">
        <f t="shared" si="226"/>
        <v>=33.36*100000000</v>
      </c>
      <c r="V452" s="1">
        <f>33.36*100000000</f>
        <v>3336000000</v>
      </c>
      <c r="W452" s="8">
        <f t="shared" si="227"/>
        <v>0.33707414829659321</v>
      </c>
      <c r="X452" s="6" t="s">
        <v>2136</v>
      </c>
      <c r="Y452" s="6" t="str">
        <f t="shared" si="228"/>
        <v>=24.95*100000000</v>
      </c>
      <c r="Z452" s="1">
        <f>24.95*100000000</f>
        <v>2495000000</v>
      </c>
      <c r="AA452" s="8">
        <f t="shared" si="229"/>
        <v>1.1490094745908699</v>
      </c>
      <c r="AB452" s="6" t="s">
        <v>2053</v>
      </c>
      <c r="AC452" s="6" t="str">
        <f t="shared" si="230"/>
        <v>=11.61*100000000</v>
      </c>
      <c r="AD452" s="1">
        <f>11.61*100000000</f>
        <v>1161000000</v>
      </c>
      <c r="AE452" s="8">
        <f t="shared" si="231"/>
        <v>3.1302027748132337</v>
      </c>
      <c r="AF452" s="6" t="s">
        <v>5013</v>
      </c>
      <c r="AG452" s="6" t="str">
        <f t="shared" si="232"/>
        <v>=2.811*100000000</v>
      </c>
      <c r="AH452" s="1">
        <f>2.811*100000000</f>
        <v>281100000</v>
      </c>
      <c r="AI452" s="8">
        <f t="shared" si="233"/>
        <v>-0.91107244542866184</v>
      </c>
      <c r="AJ452" s="6" t="s">
        <v>5644</v>
      </c>
      <c r="AK452" s="6" t="str">
        <f t="shared" si="234"/>
        <v>=31.61*100000000</v>
      </c>
      <c r="AL452" s="1">
        <f>31.61*100000000</f>
        <v>3161000000</v>
      </c>
      <c r="AM452" s="8">
        <f t="shared" si="235"/>
        <v>0.12211572594959176</v>
      </c>
      <c r="AN452" s="6" t="s">
        <v>5645</v>
      </c>
      <c r="AO452" s="6" t="str">
        <f t="shared" si="236"/>
        <v>=28.17*100000000</v>
      </c>
      <c r="AP452" s="1">
        <f>28.17*100000000</f>
        <v>2817000000</v>
      </c>
      <c r="AQ452" s="8">
        <f t="shared" si="237"/>
        <v>0.56674082313681873</v>
      </c>
      <c r="AR452" s="6" t="s">
        <v>5646</v>
      </c>
      <c r="AS452" s="6" t="str">
        <f t="shared" si="238"/>
        <v>=17.98*100000000</v>
      </c>
      <c r="AT452" s="1">
        <f>17.98*100000000</f>
        <v>1798000000</v>
      </c>
      <c r="AU452" s="8">
        <f t="shared" si="239"/>
        <v>0.87819910164002923</v>
      </c>
      <c r="AV452" s="6" t="s">
        <v>5647</v>
      </c>
      <c r="AW452" s="6" t="str">
        <f t="shared" si="240"/>
        <v>=9.573*100000000</v>
      </c>
      <c r="AX452" s="1">
        <f>9.573*100000000</f>
        <v>957300000</v>
      </c>
      <c r="AY452" s="10">
        <f t="shared" si="241"/>
        <v>-0.70938069216757738</v>
      </c>
      <c r="AZ452" s="6" t="s">
        <v>5648</v>
      </c>
      <c r="BA452" s="6" t="str">
        <f t="shared" si="242"/>
        <v>=32.94*100000000</v>
      </c>
      <c r="BB452" s="1">
        <f>32.94*100000000</f>
        <v>3294000000</v>
      </c>
      <c r="BC452" s="8">
        <f t="shared" si="243"/>
        <v>0.21236658078763343</v>
      </c>
      <c r="BD452" s="6" t="s">
        <v>1873</v>
      </c>
      <c r="BE452" s="6" t="str">
        <f t="shared" si="244"/>
        <v>=27.17*100000000</v>
      </c>
      <c r="BF452" s="1">
        <f>27.17*100000000</f>
        <v>2717000000</v>
      </c>
      <c r="BG452" s="8">
        <f t="shared" si="245"/>
        <v>0.61150652431791219</v>
      </c>
      <c r="BH452" s="6" t="s">
        <v>5649</v>
      </c>
      <c r="BI452" s="6" t="str">
        <f t="shared" si="246"/>
        <v>=16.86*100000000</v>
      </c>
      <c r="BJ452" s="1">
        <f>16.86*100000000</f>
        <v>1686000000</v>
      </c>
      <c r="BK452" s="6" t="s">
        <v>5650</v>
      </c>
      <c r="BL452" s="1" t="str">
        <f t="shared" si="218"/>
        <v>=9.742*100000000</v>
      </c>
      <c r="BM452" s="16">
        <f t="shared" si="247"/>
        <v>0.73065079039211644</v>
      </c>
      <c r="BN452" s="1">
        <f>9.742*100000000</f>
        <v>974200000.00000012</v>
      </c>
    </row>
    <row r="453" spans="1:66">
      <c r="A453" s="19"/>
      <c r="B453">
        <v>600362</v>
      </c>
      <c r="C453" t="s">
        <v>68</v>
      </c>
      <c r="D453" s="6" t="s">
        <v>5651</v>
      </c>
      <c r="E453" s="7" t="str">
        <f t="shared" si="217"/>
        <v>=59.14*100000000</v>
      </c>
      <c r="F453" s="1">
        <f>59.14*100000000</f>
        <v>5914000000</v>
      </c>
      <c r="G453" s="8">
        <f t="shared" si="219"/>
        <v>0.24165441948351879</v>
      </c>
      <c r="H453" s="6" t="s">
        <v>5652</v>
      </c>
      <c r="I453" s="6" t="str">
        <f t="shared" si="220"/>
        <v>=47.63*100000000</v>
      </c>
      <c r="J453" s="1">
        <f>47.63*100000000</f>
        <v>4763000000</v>
      </c>
      <c r="K453" s="10">
        <f t="shared" si="221"/>
        <v>0.49779874213836478</v>
      </c>
      <c r="L453" s="6" t="s">
        <v>5653</v>
      </c>
      <c r="M453" s="6" t="str">
        <f t="shared" si="222"/>
        <v>=31.80*100000000</v>
      </c>
      <c r="N453" s="1">
        <f>31.8*100000000</f>
        <v>3180000000</v>
      </c>
      <c r="O453" s="8">
        <f t="shared" si="223"/>
        <v>2.6434463794683776</v>
      </c>
      <c r="P453" s="6" t="s">
        <v>5138</v>
      </c>
      <c r="Q453" s="6" t="str">
        <f t="shared" si="224"/>
        <v>=8.728*100000000</v>
      </c>
      <c r="R453" s="11">
        <f>8.728*100000000</f>
        <v>872800000</v>
      </c>
      <c r="S453" s="8">
        <f t="shared" si="225"/>
        <v>-0.64288052373158755</v>
      </c>
      <c r="T453" s="6" t="s">
        <v>5654</v>
      </c>
      <c r="U453" s="6" t="str">
        <f t="shared" si="226"/>
        <v>=24.44*100000000</v>
      </c>
      <c r="V453" s="1">
        <f>24.44*100000000</f>
        <v>2444000000</v>
      </c>
      <c r="W453" s="8">
        <f t="shared" si="227"/>
        <v>0.42175683536940062</v>
      </c>
      <c r="X453" s="6" t="s">
        <v>1799</v>
      </c>
      <c r="Y453" s="6" t="str">
        <f t="shared" si="228"/>
        <v>=17.19*100000000</v>
      </c>
      <c r="Z453" s="1">
        <f>17.19*100000000</f>
        <v>1719000000.0000002</v>
      </c>
      <c r="AA453" s="8">
        <f t="shared" si="229"/>
        <v>1.2687079318991688</v>
      </c>
      <c r="AB453" s="6" t="s">
        <v>5655</v>
      </c>
      <c r="AC453" s="6" t="str">
        <f t="shared" si="230"/>
        <v>=7.577*100000000</v>
      </c>
      <c r="AD453" s="1">
        <f>7.577*100000000</f>
        <v>757700000</v>
      </c>
      <c r="AE453" s="8">
        <f t="shared" si="231"/>
        <v>2.8287013643254171</v>
      </c>
      <c r="AF453" s="6" t="s">
        <v>5656</v>
      </c>
      <c r="AG453" s="6" t="str">
        <f t="shared" si="232"/>
        <v>=1.979*100000000</v>
      </c>
      <c r="AH453" s="1">
        <f>1.979*100000000</f>
        <v>197900000</v>
      </c>
      <c r="AI453" s="8">
        <f t="shared" si="233"/>
        <v>-0.90913682277318641</v>
      </c>
      <c r="AJ453" s="6" t="s">
        <v>5657</v>
      </c>
      <c r="AK453" s="6" t="str">
        <f t="shared" si="234"/>
        <v>=21.78*100000000</v>
      </c>
      <c r="AL453" s="1">
        <f>21.78*100000000</f>
        <v>2178000000</v>
      </c>
      <c r="AM453" s="8">
        <f t="shared" si="235"/>
        <v>6.9219440353460976E-2</v>
      </c>
      <c r="AN453" s="6" t="s">
        <v>5397</v>
      </c>
      <c r="AO453" s="6" t="str">
        <f t="shared" si="236"/>
        <v>=20.37*100000000</v>
      </c>
      <c r="AP453" s="1">
        <f>20.37*100000000</f>
        <v>2037000000</v>
      </c>
      <c r="AQ453" s="8">
        <f t="shared" si="237"/>
        <v>0.61155063291139244</v>
      </c>
      <c r="AR453" s="6" t="s">
        <v>5658</v>
      </c>
      <c r="AS453" s="6" t="str">
        <f t="shared" si="238"/>
        <v>=12.64*100000000</v>
      </c>
      <c r="AT453" s="1">
        <f>12.64*100000000</f>
        <v>1264000000</v>
      </c>
      <c r="AU453" s="8">
        <f t="shared" si="239"/>
        <v>0.63223140495867769</v>
      </c>
      <c r="AV453" s="6" t="s">
        <v>5659</v>
      </c>
      <c r="AW453" s="6" t="str">
        <f t="shared" si="240"/>
        <v>=7.744*100000000</v>
      </c>
      <c r="AX453" s="1">
        <f>7.744*100000000</f>
        <v>774400000</v>
      </c>
      <c r="AY453" s="10">
        <f t="shared" si="241"/>
        <v>-0.68443357783211078</v>
      </c>
      <c r="AZ453" s="6" t="s">
        <v>5660</v>
      </c>
      <c r="BA453" s="6" t="str">
        <f t="shared" si="242"/>
        <v>=24.54*100000000</v>
      </c>
      <c r="BB453" s="1">
        <f>24.54*100000000</f>
        <v>2454000000</v>
      </c>
      <c r="BC453" s="8">
        <f t="shared" si="243"/>
        <v>0.18493481409946885</v>
      </c>
      <c r="BD453" s="6" t="s">
        <v>5661</v>
      </c>
      <c r="BE453" s="6" t="str">
        <f t="shared" si="244"/>
        <v>=20.71*100000000</v>
      </c>
      <c r="BF453" s="1">
        <f>20.71*100000000</f>
        <v>2071000000</v>
      </c>
      <c r="BG453" s="8">
        <f t="shared" si="245"/>
        <v>0.65151515151515149</v>
      </c>
      <c r="BH453" s="6" t="s">
        <v>5024</v>
      </c>
      <c r="BI453" s="6" t="str">
        <f t="shared" si="246"/>
        <v>=12.54*100000000</v>
      </c>
      <c r="BJ453" s="1">
        <f>12.54*100000000</f>
        <v>1254000000</v>
      </c>
      <c r="BK453" s="6" t="s">
        <v>5662</v>
      </c>
      <c r="BL453" s="1" t="str">
        <f t="shared" si="218"/>
        <v>=8.238*100000000</v>
      </c>
      <c r="BM453" s="16">
        <f t="shared" si="247"/>
        <v>0.52221412964311731</v>
      </c>
      <c r="BN453" s="1">
        <f>8.238*100000000</f>
        <v>823800000</v>
      </c>
    </row>
    <row r="454" spans="1:66">
      <c r="A454" s="17">
        <v>114</v>
      </c>
      <c r="B454">
        <v>600366</v>
      </c>
      <c r="C454" t="s">
        <v>31</v>
      </c>
      <c r="D454" s="6" t="s">
        <v>5663</v>
      </c>
      <c r="E454" s="7" t="str">
        <f t="shared" si="217"/>
        <v>=37.54*100000000</v>
      </c>
      <c r="F454" s="1">
        <f>37.54*100000000</f>
        <v>3754000000</v>
      </c>
      <c r="G454" s="8">
        <f t="shared" si="219"/>
        <v>0.44495765973826018</v>
      </c>
      <c r="H454" s="6" t="s">
        <v>5664</v>
      </c>
      <c r="I454" s="6" t="str">
        <f t="shared" si="220"/>
        <v>=25.98*100000000</v>
      </c>
      <c r="J454" s="1">
        <f>25.98*100000000</f>
        <v>2598000000</v>
      </c>
      <c r="K454" s="10">
        <f t="shared" si="221"/>
        <v>0.61970074812967579</v>
      </c>
      <c r="L454" s="6" t="s">
        <v>3151</v>
      </c>
      <c r="M454" s="6" t="str">
        <f t="shared" si="222"/>
        <v>=16.04*100000000</v>
      </c>
      <c r="N454" s="1">
        <f>16.04*100000000</f>
        <v>1604000000</v>
      </c>
      <c r="O454" s="8">
        <f t="shared" si="223"/>
        <v>1.3671782762691853</v>
      </c>
      <c r="P454" s="6" t="s">
        <v>5665</v>
      </c>
      <c r="Q454" s="6" t="str">
        <f t="shared" si="224"/>
        <v>=6.776*100000000</v>
      </c>
      <c r="R454" s="11">
        <f>6.776*100000000</f>
        <v>677600000</v>
      </c>
      <c r="S454" s="8">
        <f t="shared" si="225"/>
        <v>-0.7175489787411421</v>
      </c>
      <c r="T454" s="6" t="s">
        <v>2655</v>
      </c>
      <c r="U454" s="6" t="str">
        <f t="shared" si="226"/>
        <v>=23.99*100000000</v>
      </c>
      <c r="V454" s="1">
        <f>23.99*100000000</f>
        <v>2399000000</v>
      </c>
      <c r="W454" s="8">
        <f t="shared" si="227"/>
        <v>0.39314750290360045</v>
      </c>
      <c r="X454" s="6" t="s">
        <v>5666</v>
      </c>
      <c r="Y454" s="6" t="str">
        <f t="shared" si="228"/>
        <v>=17.22*100000000</v>
      </c>
      <c r="Z454" s="1">
        <f>17.22*100000000</f>
        <v>1722000000</v>
      </c>
      <c r="AA454" s="8">
        <f t="shared" si="229"/>
        <v>0.73309178743961356</v>
      </c>
      <c r="AB454" s="6" t="s">
        <v>5667</v>
      </c>
      <c r="AC454" s="6" t="str">
        <f t="shared" si="230"/>
        <v>=9.936*100000000</v>
      </c>
      <c r="AD454" s="1">
        <f>9.936*100000000</f>
        <v>993600000</v>
      </c>
      <c r="AE454" s="8">
        <f t="shared" si="231"/>
        <v>1.5483457296742755</v>
      </c>
      <c r="AF454" s="6" t="s">
        <v>5668</v>
      </c>
      <c r="AG454" s="6" t="str">
        <f t="shared" si="232"/>
        <v>=3.899*100000000</v>
      </c>
      <c r="AH454" s="1">
        <f>3.899*100000000</f>
        <v>389900000</v>
      </c>
      <c r="AI454" s="8">
        <f t="shared" si="233"/>
        <v>-0.7998459958932238</v>
      </c>
      <c r="AJ454" s="6" t="s">
        <v>5669</v>
      </c>
      <c r="AK454" s="6" t="str">
        <f t="shared" si="234"/>
        <v>=19.48*100000000</v>
      </c>
      <c r="AL454" s="1">
        <f>19.48*100000000</f>
        <v>1948000000</v>
      </c>
      <c r="AM454" s="8">
        <f t="shared" si="235"/>
        <v>0.44617668893838158</v>
      </c>
      <c r="AN454" s="6" t="s">
        <v>2049</v>
      </c>
      <c r="AO454" s="6" t="str">
        <f t="shared" si="236"/>
        <v>=13.47*100000000</v>
      </c>
      <c r="AP454" s="1">
        <f>13.47*100000000</f>
        <v>1347000000</v>
      </c>
      <c r="AQ454" s="8">
        <f t="shared" si="237"/>
        <v>0.66111727709951906</v>
      </c>
      <c r="AR454" s="6" t="s">
        <v>5670</v>
      </c>
      <c r="AS454" s="6" t="str">
        <f t="shared" si="238"/>
        <v>=8.109*100000000</v>
      </c>
      <c r="AT454" s="1">
        <f>8.109*100000000</f>
        <v>810900000</v>
      </c>
      <c r="AU454" s="8">
        <f t="shared" si="239"/>
        <v>1.2382003864200939</v>
      </c>
      <c r="AV454" s="6" t="s">
        <v>5671</v>
      </c>
      <c r="AW454" s="6" t="str">
        <f t="shared" si="240"/>
        <v>=3.623*100000000</v>
      </c>
      <c r="AX454" s="1">
        <f>3.623*100000000</f>
        <v>362300000</v>
      </c>
      <c r="AY454" s="10">
        <f t="shared" si="241"/>
        <v>-0.82117472852912143</v>
      </c>
      <c r="AZ454" s="6" t="s">
        <v>5672</v>
      </c>
      <c r="BA454" s="6" t="str">
        <f t="shared" si="242"/>
        <v>=20.26*100000000</v>
      </c>
      <c r="BB454" s="1">
        <f>20.26*100000000</f>
        <v>2026000000.0000002</v>
      </c>
      <c r="BC454" s="8">
        <f t="shared" si="243"/>
        <v>0.31815224463240094</v>
      </c>
      <c r="BD454" s="6" t="s">
        <v>5421</v>
      </c>
      <c r="BE454" s="6" t="str">
        <f t="shared" si="244"/>
        <v>=15.37*100000000</v>
      </c>
      <c r="BF454" s="1">
        <f>15.37*100000000</f>
        <v>1537000000</v>
      </c>
      <c r="BG454" s="8">
        <f t="shared" si="245"/>
        <v>0.51428571428571423</v>
      </c>
      <c r="BH454" s="6" t="s">
        <v>1036</v>
      </c>
      <c r="BI454" s="6" t="str">
        <f t="shared" si="246"/>
        <v>=10.15*100000000</v>
      </c>
      <c r="BJ454" s="1">
        <f>10.15*100000000</f>
        <v>1015000000</v>
      </c>
      <c r="BK454" s="6" t="s">
        <v>5673</v>
      </c>
      <c r="BL454" s="1" t="str">
        <f t="shared" si="218"/>
        <v>=4.381*100000000</v>
      </c>
      <c r="BM454" s="16">
        <f t="shared" si="247"/>
        <v>1.3168226432321388</v>
      </c>
      <c r="BN454" s="1">
        <f>4.381*100000000</f>
        <v>438100000</v>
      </c>
    </row>
    <row r="455" spans="1:66">
      <c r="A455" s="18"/>
      <c r="B455">
        <v>600366</v>
      </c>
      <c r="C455" t="s">
        <v>48</v>
      </c>
      <c r="D455" s="6" t="s">
        <v>5674</v>
      </c>
      <c r="E455" s="7" t="str">
        <f t="shared" si="217"/>
        <v>=6.282*100000000</v>
      </c>
      <c r="F455" s="1">
        <f>6.282*100000000</f>
        <v>628200000</v>
      </c>
      <c r="G455" s="8">
        <f t="shared" si="219"/>
        <v>0.44446999310186247</v>
      </c>
      <c r="H455" s="6" t="s">
        <v>5675</v>
      </c>
      <c r="I455" s="6" t="str">
        <f t="shared" si="220"/>
        <v>=4.349*100000000</v>
      </c>
      <c r="J455" s="1">
        <f>4.349*100000000</f>
        <v>434900000</v>
      </c>
      <c r="K455" s="10">
        <f t="shared" si="221"/>
        <v>0.59772226304188092</v>
      </c>
      <c r="L455" s="6" t="s">
        <v>5676</v>
      </c>
      <c r="M455" s="6" t="str">
        <f t="shared" si="222"/>
        <v>=2.722*100000000</v>
      </c>
      <c r="N455" s="1">
        <f>2.722*100000000</f>
        <v>272200000</v>
      </c>
      <c r="O455" s="8">
        <f t="shared" si="223"/>
        <v>2.3472700442695524</v>
      </c>
      <c r="P455" s="7" t="s">
        <v>5677</v>
      </c>
      <c r="Q455" s="6" t="str">
        <f t="shared" si="224"/>
        <v>=8132*10000</v>
      </c>
      <c r="R455" s="11">
        <f>8132*10000</f>
        <v>81320000</v>
      </c>
      <c r="S455" s="8">
        <f t="shared" si="225"/>
        <v>-0.63744984395898352</v>
      </c>
      <c r="T455" s="6" t="s">
        <v>5678</v>
      </c>
      <c r="U455" s="6" t="str">
        <f t="shared" si="226"/>
        <v>=2.243*100000000</v>
      </c>
      <c r="V455" s="1">
        <f>2.243*100000000</f>
        <v>224300000</v>
      </c>
      <c r="W455" s="8">
        <f t="shared" si="227"/>
        <v>0.37438725490196079</v>
      </c>
      <c r="X455" s="6" t="s">
        <v>5679</v>
      </c>
      <c r="Y455" s="6" t="str">
        <f t="shared" si="228"/>
        <v>=1.632*100000000</v>
      </c>
      <c r="Z455" s="1">
        <f>1.632*100000000</f>
        <v>163200000</v>
      </c>
      <c r="AA455" s="8">
        <f t="shared" si="229"/>
        <v>0.77932839075447013</v>
      </c>
      <c r="AB455" s="7" t="s">
        <v>5680</v>
      </c>
      <c r="AC455" s="6" t="str">
        <f t="shared" si="230"/>
        <v>=9172*10000</v>
      </c>
      <c r="AD455" s="1">
        <f>9172*10000</f>
        <v>91720000</v>
      </c>
      <c r="AE455" s="8">
        <f t="shared" si="231"/>
        <v>-3.9284802043422733</v>
      </c>
      <c r="AF455" s="7">
        <f>-3132*10000</f>
        <v>-31320000</v>
      </c>
      <c r="AG455" s="6" t="str">
        <f t="shared" si="232"/>
        <v>=-31320000</v>
      </c>
      <c r="AH455" s="1">
        <f>-31320000</f>
        <v>-31320000</v>
      </c>
      <c r="AI455" s="8">
        <f t="shared" si="233"/>
        <v>-1.956043956043956</v>
      </c>
      <c r="AJ455" s="7" t="s">
        <v>5681</v>
      </c>
      <c r="AK455" s="6" t="str">
        <f t="shared" si="234"/>
        <v>=3276*10000</v>
      </c>
      <c r="AL455" s="1">
        <f>3276*10000</f>
        <v>32760000</v>
      </c>
      <c r="AM455" s="8">
        <f t="shared" si="235"/>
        <v>-0.44483985765124556</v>
      </c>
      <c r="AN455" s="7" t="s">
        <v>5682</v>
      </c>
      <c r="AO455" s="6" t="str">
        <f t="shared" si="236"/>
        <v>=5901*10000</v>
      </c>
      <c r="AP455" s="1">
        <f>5901*10000</f>
        <v>59010000</v>
      </c>
      <c r="AQ455" s="8">
        <f t="shared" si="237"/>
        <v>-0.11489425528723564</v>
      </c>
      <c r="AR455" s="7" t="s">
        <v>5683</v>
      </c>
      <c r="AS455" s="6" t="str">
        <f t="shared" si="238"/>
        <v>=6667*10000</v>
      </c>
      <c r="AT455" s="1">
        <f>6667*10000</f>
        <v>66670000</v>
      </c>
      <c r="AU455" s="8">
        <f t="shared" si="239"/>
        <v>-0.51512727272727277</v>
      </c>
      <c r="AV455" s="6" t="s">
        <v>4981</v>
      </c>
      <c r="AW455" s="6" t="str">
        <f t="shared" si="240"/>
        <v>=1.375*100000000</v>
      </c>
      <c r="AX455" s="1">
        <f>1.375*100000000</f>
        <v>137500000</v>
      </c>
      <c r="AY455" s="10">
        <f t="shared" si="241"/>
        <v>0.47706520571489958</v>
      </c>
      <c r="AZ455" s="7" t="s">
        <v>5684</v>
      </c>
      <c r="BA455" s="6" t="str">
        <f t="shared" si="242"/>
        <v>=9309*10000</v>
      </c>
      <c r="BB455" s="1">
        <f>9309*10000</f>
        <v>93090000</v>
      </c>
      <c r="BC455" s="8">
        <f t="shared" si="243"/>
        <v>0.28737380721891853</v>
      </c>
      <c r="BD455" s="7" t="s">
        <v>5685</v>
      </c>
      <c r="BE455" s="6" t="str">
        <f t="shared" si="244"/>
        <v>=7231*10000</v>
      </c>
      <c r="BF455" s="1">
        <f>7231*10000</f>
        <v>72310000</v>
      </c>
      <c r="BG455" s="8">
        <f t="shared" si="245"/>
        <v>0.2193929173693086</v>
      </c>
      <c r="BH455" s="7" t="s">
        <v>5686</v>
      </c>
      <c r="BI455" s="6" t="str">
        <f t="shared" si="246"/>
        <v>=5930*10000</v>
      </c>
      <c r="BJ455" s="1">
        <f>5930*10000</f>
        <v>59300000</v>
      </c>
      <c r="BK455" s="7" t="s">
        <v>5687</v>
      </c>
      <c r="BL455" s="1" t="str">
        <f t="shared" si="218"/>
        <v>=2059*10000</v>
      </c>
      <c r="BM455" s="16">
        <f t="shared" si="247"/>
        <v>1.8800388538125303</v>
      </c>
      <c r="BN455" s="1">
        <f>2059*10000</f>
        <v>20590000</v>
      </c>
    </row>
    <row r="456" spans="1:66">
      <c r="A456" s="18"/>
      <c r="B456">
        <v>600366</v>
      </c>
      <c r="C456" t="s">
        <v>58</v>
      </c>
      <c r="D456" s="6" t="s">
        <v>1361</v>
      </c>
      <c r="E456" s="7" t="str">
        <f t="shared" si="217"/>
        <v>=5.705*100000000</v>
      </c>
      <c r="F456" s="1">
        <f>5.705*100000000</f>
        <v>570500000</v>
      </c>
      <c r="G456" s="8">
        <f t="shared" si="219"/>
        <v>0.33825944170771755</v>
      </c>
      <c r="H456" s="6" t="s">
        <v>5688</v>
      </c>
      <c r="I456" s="6" t="str">
        <f t="shared" si="220"/>
        <v>=4.263*100000000</v>
      </c>
      <c r="J456" s="1">
        <f>4.263*100000000</f>
        <v>426300000</v>
      </c>
      <c r="K456" s="10">
        <f t="shared" si="221"/>
        <v>0.56440366972477063</v>
      </c>
      <c r="L456" s="6" t="s">
        <v>5689</v>
      </c>
      <c r="M456" s="6" t="str">
        <f t="shared" si="222"/>
        <v>=2.725*100000000</v>
      </c>
      <c r="N456" s="1">
        <f>2.725*100000000</f>
        <v>272500000</v>
      </c>
      <c r="O456" s="8">
        <f t="shared" si="223"/>
        <v>2.344789493064932</v>
      </c>
      <c r="P456" s="7" t="s">
        <v>5690</v>
      </c>
      <c r="Q456" s="6" t="str">
        <f t="shared" si="224"/>
        <v>=8147*10000</v>
      </c>
      <c r="R456" s="11">
        <f>8147*10000</f>
        <v>81470000</v>
      </c>
      <c r="S456" s="8">
        <f t="shared" si="225"/>
        <v>-0.61947687996263423</v>
      </c>
      <c r="T456" s="6" t="s">
        <v>5691</v>
      </c>
      <c r="U456" s="6" t="str">
        <f t="shared" si="226"/>
        <v>=2.141*100000000</v>
      </c>
      <c r="V456" s="1">
        <f>2.141*100000000</f>
        <v>214100000</v>
      </c>
      <c r="W456" s="8">
        <f t="shared" si="227"/>
        <v>0.33645443196004993</v>
      </c>
      <c r="X456" s="6" t="s">
        <v>5692</v>
      </c>
      <c r="Y456" s="6" t="str">
        <f t="shared" si="228"/>
        <v>=1.602*100000000</v>
      </c>
      <c r="Z456" s="1">
        <f>1.602*100000000</f>
        <v>160200000</v>
      </c>
      <c r="AA456" s="8">
        <f t="shared" si="229"/>
        <v>0.75081967213114753</v>
      </c>
      <c r="AB456" s="7" t="s">
        <v>5693</v>
      </c>
      <c r="AC456" s="6" t="str">
        <f t="shared" si="230"/>
        <v>=9150*10000</v>
      </c>
      <c r="AD456" s="1">
        <f>9150*10000</f>
        <v>91500000</v>
      </c>
      <c r="AE456" s="8">
        <f t="shared" si="231"/>
        <v>-3.87645394530022</v>
      </c>
      <c r="AF456" s="7">
        <f>-3181*10000</f>
        <v>-31810000</v>
      </c>
      <c r="AG456" s="6" t="str">
        <f t="shared" si="232"/>
        <v>=-31810000</v>
      </c>
      <c r="AH456" s="1">
        <f>-31810000</f>
        <v>-31810000</v>
      </c>
      <c r="AI456" s="8">
        <f t="shared" si="233"/>
        <v>-2.2862919530934089</v>
      </c>
      <c r="AJ456" s="7" t="s">
        <v>5694</v>
      </c>
      <c r="AK456" s="6" t="str">
        <f t="shared" si="234"/>
        <v>=2473*10000</v>
      </c>
      <c r="AL456" s="1">
        <f>2473*10000</f>
        <v>24730000</v>
      </c>
      <c r="AM456" s="8">
        <f t="shared" si="235"/>
        <v>-0.57769808743169404</v>
      </c>
      <c r="AN456" s="7" t="s">
        <v>5695</v>
      </c>
      <c r="AO456" s="6" t="str">
        <f t="shared" si="236"/>
        <v>=5856*10000</v>
      </c>
      <c r="AP456" s="1">
        <f>5856*10000</f>
        <v>58560000</v>
      </c>
      <c r="AQ456" s="8">
        <f t="shared" si="237"/>
        <v>-0.1201923076923077</v>
      </c>
      <c r="AR456" s="7" t="s">
        <v>5696</v>
      </c>
      <c r="AS456" s="6" t="str">
        <f t="shared" si="238"/>
        <v>=6656*10000</v>
      </c>
      <c r="AT456" s="1">
        <f>6656*10000</f>
        <v>66560000</v>
      </c>
      <c r="AU456" s="8">
        <f t="shared" si="239"/>
        <v>-0.51522214129643118</v>
      </c>
      <c r="AV456" s="6" t="s">
        <v>5697</v>
      </c>
      <c r="AW456" s="6" t="str">
        <f t="shared" si="240"/>
        <v>=1.373*100000000</v>
      </c>
      <c r="AX456" s="1">
        <f>1.373*100000000</f>
        <v>137300000</v>
      </c>
      <c r="AY456" s="10">
        <f t="shared" si="241"/>
        <v>0.42029585186717699</v>
      </c>
      <c r="AZ456" s="7" t="s">
        <v>5698</v>
      </c>
      <c r="BA456" s="6" t="str">
        <f t="shared" si="242"/>
        <v>=9667*10000</v>
      </c>
      <c r="BB456" s="1">
        <f>9667*10000</f>
        <v>96670000</v>
      </c>
      <c r="BC456" s="8">
        <f t="shared" si="243"/>
        <v>0.30776515151515149</v>
      </c>
      <c r="BD456" s="7" t="s">
        <v>5699</v>
      </c>
      <c r="BE456" s="6" t="str">
        <f t="shared" si="244"/>
        <v>=7392*10000</v>
      </c>
      <c r="BF456" s="1">
        <f>7392*10000</f>
        <v>73920000</v>
      </c>
      <c r="BG456" s="8">
        <f t="shared" si="245"/>
        <v>0.21419185282522996</v>
      </c>
      <c r="BH456" s="7" t="s">
        <v>5700</v>
      </c>
      <c r="BI456" s="6" t="str">
        <f t="shared" si="246"/>
        <v>=6088*10000</v>
      </c>
      <c r="BJ456" s="1">
        <f>6088*10000</f>
        <v>60880000</v>
      </c>
      <c r="BK456" s="7" t="s">
        <v>5701</v>
      </c>
      <c r="BL456" s="1" t="str">
        <f t="shared" si="218"/>
        <v>=2363*10000</v>
      </c>
      <c r="BM456" s="16">
        <f t="shared" si="247"/>
        <v>1.5763859500634787</v>
      </c>
      <c r="BN456" s="1">
        <f>2363*10000</f>
        <v>23630000</v>
      </c>
    </row>
    <row r="457" spans="1:66">
      <c r="A457" s="19"/>
      <c r="B457">
        <v>600366</v>
      </c>
      <c r="C457" t="s">
        <v>68</v>
      </c>
      <c r="D457" s="6" t="s">
        <v>110</v>
      </c>
      <c r="E457" s="7" t="str">
        <f t="shared" si="217"/>
        <v>=5.102*100000000</v>
      </c>
      <c r="F457" s="1">
        <f>5.102*100000000</f>
        <v>510200000.00000006</v>
      </c>
      <c r="G457" s="8">
        <f t="shared" si="219"/>
        <v>0.38041125541125559</v>
      </c>
      <c r="H457" s="6" t="s">
        <v>5702</v>
      </c>
      <c r="I457" s="6" t="str">
        <f t="shared" si="220"/>
        <v>=3.696*100000000</v>
      </c>
      <c r="J457" s="1">
        <f>3.696*100000000</f>
        <v>369600000</v>
      </c>
      <c r="K457" s="10">
        <f t="shared" si="221"/>
        <v>0.54385964912280704</v>
      </c>
      <c r="L457" s="6" t="s">
        <v>5703</v>
      </c>
      <c r="M457" s="6" t="str">
        <f t="shared" si="222"/>
        <v>=2.394*100000000</v>
      </c>
      <c r="N457" s="1">
        <f>2.394*100000000</f>
        <v>239400000</v>
      </c>
      <c r="O457" s="8">
        <f t="shared" si="223"/>
        <v>2.6972972972972973</v>
      </c>
      <c r="P457" s="7" t="s">
        <v>5704</v>
      </c>
      <c r="Q457" s="6" t="str">
        <f t="shared" si="224"/>
        <v>=6475*10000</v>
      </c>
      <c r="R457" s="11">
        <f>6475*10000</f>
        <v>64750000</v>
      </c>
      <c r="S457" s="8">
        <f t="shared" si="225"/>
        <v>-0.62156633547632967</v>
      </c>
      <c r="T457" s="6" t="s">
        <v>5705</v>
      </c>
      <c r="U457" s="6" t="str">
        <f t="shared" si="226"/>
        <v>=1.711*100000000</v>
      </c>
      <c r="V457" s="1">
        <f>1.711*100000000</f>
        <v>171100000</v>
      </c>
      <c r="W457" s="8">
        <f t="shared" si="227"/>
        <v>0.30312261995430312</v>
      </c>
      <c r="X457" s="6" t="s">
        <v>4888</v>
      </c>
      <c r="Y457" s="6" t="str">
        <f t="shared" si="228"/>
        <v>=1.313*100000000</v>
      </c>
      <c r="Z457" s="1">
        <f>1.313*100000000</f>
        <v>131300000</v>
      </c>
      <c r="AA457" s="8">
        <f t="shared" si="229"/>
        <v>0.77121273438553894</v>
      </c>
      <c r="AB457" s="7" t="s">
        <v>5706</v>
      </c>
      <c r="AC457" s="6" t="str">
        <f t="shared" si="230"/>
        <v>=7413*10000</v>
      </c>
      <c r="AD457" s="1">
        <f>7413*10000</f>
        <v>74130000</v>
      </c>
      <c r="AE457" s="8">
        <f t="shared" si="231"/>
        <v>-3.6437232524964336</v>
      </c>
      <c r="AF457" s="7">
        <f>-2804*10000</f>
        <v>-28040000</v>
      </c>
      <c r="AG457" s="6" t="str">
        <f t="shared" si="232"/>
        <v>=-28040000</v>
      </c>
      <c r="AH457" s="1">
        <f>-28040000</f>
        <v>-28040000</v>
      </c>
      <c r="AI457" s="8">
        <f t="shared" si="233"/>
        <v>-2.3066169617893757</v>
      </c>
      <c r="AJ457" s="7" t="s">
        <v>5707</v>
      </c>
      <c r="AK457" s="6" t="str">
        <f t="shared" si="234"/>
        <v>=2146*10000</v>
      </c>
      <c r="AL457" s="1">
        <f>2146*10000</f>
        <v>21460000</v>
      </c>
      <c r="AM457" s="8">
        <f t="shared" si="235"/>
        <v>-0.51721034870641169</v>
      </c>
      <c r="AN457" s="7" t="s">
        <v>5708</v>
      </c>
      <c r="AO457" s="6" t="str">
        <f t="shared" si="236"/>
        <v>=4445*10000</v>
      </c>
      <c r="AP457" s="1">
        <f>4445*10000</f>
        <v>44450000</v>
      </c>
      <c r="AQ457" s="8">
        <f t="shared" si="237"/>
        <v>-0.16242698322969662</v>
      </c>
      <c r="AR457" s="7" t="s">
        <v>5709</v>
      </c>
      <c r="AS457" s="6" t="str">
        <f t="shared" si="238"/>
        <v>=5307*10000</v>
      </c>
      <c r="AT457" s="1">
        <f>5307*10000</f>
        <v>53070000</v>
      </c>
      <c r="AU457" s="8">
        <f t="shared" si="239"/>
        <v>-0.51489945155393058</v>
      </c>
      <c r="AV457" s="6" t="s">
        <v>5710</v>
      </c>
      <c r="AW457" s="6" t="str">
        <f t="shared" si="240"/>
        <v>=1.094*100000000</v>
      </c>
      <c r="AX457" s="1">
        <f>1.094*100000000</f>
        <v>109400000.00000001</v>
      </c>
      <c r="AY457" s="10">
        <f t="shared" si="241"/>
        <v>0.20021941854086686</v>
      </c>
      <c r="AZ457" s="7" t="s">
        <v>3446</v>
      </c>
      <c r="BA457" s="6" t="str">
        <f t="shared" si="242"/>
        <v>=9115*10000</v>
      </c>
      <c r="BB457" s="1">
        <f>9115*10000</f>
        <v>91150000</v>
      </c>
      <c r="BC457" s="8">
        <f t="shared" si="243"/>
        <v>0.37026458208057728</v>
      </c>
      <c r="BD457" s="7" t="s">
        <v>5711</v>
      </c>
      <c r="BE457" s="6" t="str">
        <f t="shared" si="244"/>
        <v>=6652*10000</v>
      </c>
      <c r="BF457" s="1">
        <f>6652*10000</f>
        <v>66520000</v>
      </c>
      <c r="BG457" s="8">
        <f t="shared" si="245"/>
        <v>0.20093879761689837</v>
      </c>
      <c r="BH457" s="7" t="s">
        <v>5712</v>
      </c>
      <c r="BI457" s="6" t="str">
        <f t="shared" si="246"/>
        <v>=5539*10000</v>
      </c>
      <c r="BJ457" s="1">
        <f>5539*10000</f>
        <v>55390000</v>
      </c>
      <c r="BK457" s="7" t="s">
        <v>5713</v>
      </c>
      <c r="BL457" s="1" t="str">
        <f t="shared" si="218"/>
        <v>=2123*10000</v>
      </c>
      <c r="BM457" s="16">
        <f t="shared" si="247"/>
        <v>1.6090438059349976</v>
      </c>
      <c r="BN457" s="1">
        <f>2123*10000</f>
        <v>21230000</v>
      </c>
    </row>
    <row r="458" spans="1:66">
      <c r="A458" s="17">
        <v>115</v>
      </c>
      <c r="B458">
        <v>600368</v>
      </c>
      <c r="C458" t="s">
        <v>31</v>
      </c>
      <c r="D458" s="6" t="s">
        <v>5714</v>
      </c>
      <c r="E458" s="7" t="str">
        <f t="shared" si="217"/>
        <v>=18.31*100000000</v>
      </c>
      <c r="F458" s="1">
        <f>18.31*100000000</f>
        <v>1830999999.9999998</v>
      </c>
      <c r="G458" s="8">
        <f t="shared" si="219"/>
        <v>0.31160458452722045</v>
      </c>
      <c r="H458" s="6" t="s">
        <v>4228</v>
      </c>
      <c r="I458" s="6" t="str">
        <f t="shared" si="220"/>
        <v>=13.96*100000000</v>
      </c>
      <c r="J458" s="1">
        <f>13.96*100000000</f>
        <v>1396000000</v>
      </c>
      <c r="K458" s="10">
        <f t="shared" si="221"/>
        <v>0.49480672448870328</v>
      </c>
      <c r="L458" s="6" t="s">
        <v>5715</v>
      </c>
      <c r="M458" s="6" t="str">
        <f t="shared" si="222"/>
        <v>=9.339*100000000</v>
      </c>
      <c r="N458" s="1">
        <f>9.339*100000000</f>
        <v>933900000</v>
      </c>
      <c r="O458" s="8">
        <f t="shared" si="223"/>
        <v>0.82652063367885764</v>
      </c>
      <c r="P458" s="6" t="s">
        <v>5716</v>
      </c>
      <c r="Q458" s="6" t="str">
        <f t="shared" si="224"/>
        <v>=5.113*100000000</v>
      </c>
      <c r="R458" s="11">
        <f>5.113*100000000</f>
        <v>511300000.00000006</v>
      </c>
      <c r="S458" s="8">
        <f t="shared" si="225"/>
        <v>-0.70325014509576322</v>
      </c>
      <c r="T458" s="6" t="s">
        <v>149</v>
      </c>
      <c r="U458" s="6" t="str">
        <f t="shared" si="226"/>
        <v>=17.23*100000000</v>
      </c>
      <c r="V458" s="1">
        <f>17.23*100000000</f>
        <v>1723000000</v>
      </c>
      <c r="W458" s="8">
        <f t="shared" si="227"/>
        <v>0.31226199543031224</v>
      </c>
      <c r="X458" s="6" t="s">
        <v>5717</v>
      </c>
      <c r="Y458" s="6" t="str">
        <f t="shared" si="228"/>
        <v>=13.13*100000000</v>
      </c>
      <c r="Z458" s="1">
        <f>13.13*100000000</f>
        <v>1313000000</v>
      </c>
      <c r="AA458" s="8">
        <f t="shared" si="229"/>
        <v>0.64248186139604702</v>
      </c>
      <c r="AB458" s="6" t="s">
        <v>5718</v>
      </c>
      <c r="AC458" s="6" t="str">
        <f t="shared" si="230"/>
        <v>=7.994*100000000</v>
      </c>
      <c r="AD458" s="1">
        <f>7.994*100000000</f>
        <v>799400000</v>
      </c>
      <c r="AE458" s="8">
        <f t="shared" si="231"/>
        <v>1.171692474870959</v>
      </c>
      <c r="AF458" s="6" t="s">
        <v>5719</v>
      </c>
      <c r="AG458" s="6" t="str">
        <f t="shared" si="232"/>
        <v>=3.681*100000000</v>
      </c>
      <c r="AH458" s="1">
        <f>3.681*100000000</f>
        <v>368100000</v>
      </c>
      <c r="AI458" s="8">
        <f t="shared" si="233"/>
        <v>-0.82855146716348393</v>
      </c>
      <c r="AJ458" s="6" t="s">
        <v>5720</v>
      </c>
      <c r="AK458" s="6" t="str">
        <f t="shared" si="234"/>
        <v>=21.47*100000000</v>
      </c>
      <c r="AL458" s="1">
        <f>21.47*100000000</f>
        <v>2147000000</v>
      </c>
      <c r="AM458" s="8">
        <f t="shared" si="235"/>
        <v>0.34271419637273298</v>
      </c>
      <c r="AN458" s="6" t="s">
        <v>239</v>
      </c>
      <c r="AO458" s="6" t="str">
        <f t="shared" si="236"/>
        <v>=15.99*100000000</v>
      </c>
      <c r="AP458" s="1">
        <f>15.99*100000000</f>
        <v>1599000000</v>
      </c>
      <c r="AQ458" s="8">
        <f t="shared" si="237"/>
        <v>0.54791868344627304</v>
      </c>
      <c r="AR458" s="6" t="s">
        <v>1108</v>
      </c>
      <c r="AS458" s="6" t="str">
        <f t="shared" si="238"/>
        <v>=10.33*100000000</v>
      </c>
      <c r="AT458" s="1">
        <f>10.33*100000000</f>
        <v>1033000000</v>
      </c>
      <c r="AU458" s="8">
        <f t="shared" si="239"/>
        <v>1.0034910783553144</v>
      </c>
      <c r="AV458" s="6" t="s">
        <v>5721</v>
      </c>
      <c r="AW458" s="6" t="str">
        <f t="shared" si="240"/>
        <v>=5.156*100000000</v>
      </c>
      <c r="AX458" s="1">
        <f>5.156*100000000</f>
        <v>515599999.99999994</v>
      </c>
      <c r="AY458" s="10">
        <f t="shared" si="241"/>
        <v>-0.71654755360087963</v>
      </c>
      <c r="AZ458" s="6" t="s">
        <v>1891</v>
      </c>
      <c r="BA458" s="6" t="str">
        <f t="shared" si="242"/>
        <v>=18.19*100000000</v>
      </c>
      <c r="BB458" s="1">
        <f>18.19*100000000</f>
        <v>1819000000.0000002</v>
      </c>
      <c r="BC458" s="8">
        <f t="shared" si="243"/>
        <v>0.45987158908507242</v>
      </c>
      <c r="BD458" s="6" t="s">
        <v>5722</v>
      </c>
      <c r="BE458" s="6" t="str">
        <f t="shared" si="244"/>
        <v>=12.46*100000000</v>
      </c>
      <c r="BF458" s="1">
        <f>12.46*100000000</f>
        <v>1246000000</v>
      </c>
      <c r="BG458" s="8">
        <f t="shared" si="245"/>
        <v>0.49310964649490691</v>
      </c>
      <c r="BH458" s="6" t="s">
        <v>5723</v>
      </c>
      <c r="BI458" s="6" t="str">
        <f t="shared" si="246"/>
        <v>=8.345*100000000</v>
      </c>
      <c r="BJ458" s="1">
        <f>8.345*100000000</f>
        <v>834500000.00000012</v>
      </c>
      <c r="BK458" s="6" t="s">
        <v>5724</v>
      </c>
      <c r="BL458" s="1" t="str">
        <f t="shared" si="218"/>
        <v>=3.216*100000000</v>
      </c>
      <c r="BM458" s="16">
        <f t="shared" si="247"/>
        <v>1.5948383084577118</v>
      </c>
      <c r="BN458" s="1">
        <f>3.216*100000000</f>
        <v>321600000</v>
      </c>
    </row>
    <row r="459" spans="1:66">
      <c r="A459" s="18"/>
      <c r="B459">
        <v>600368</v>
      </c>
      <c r="C459" t="s">
        <v>48</v>
      </c>
      <c r="D459" s="6" t="s">
        <v>5725</v>
      </c>
      <c r="E459" s="7" t="str">
        <f t="shared" si="217"/>
        <v>=8.040*100000000</v>
      </c>
      <c r="F459" s="1">
        <f>8.04*100000000</f>
        <v>803999999.99999988</v>
      </c>
      <c r="G459" s="8">
        <f t="shared" si="219"/>
        <v>0.19536128456735041</v>
      </c>
      <c r="H459" s="6" t="s">
        <v>5726</v>
      </c>
      <c r="I459" s="6" t="str">
        <f t="shared" si="220"/>
        <v>=6.726*100000000</v>
      </c>
      <c r="J459" s="1">
        <f>6.726*100000000</f>
        <v>672600000</v>
      </c>
      <c r="K459" s="10">
        <f t="shared" si="221"/>
        <v>0.45207253886010379</v>
      </c>
      <c r="L459" s="6" t="s">
        <v>5727</v>
      </c>
      <c r="M459" s="6" t="str">
        <f t="shared" si="222"/>
        <v>=4.632*100000000</v>
      </c>
      <c r="N459" s="1">
        <f>4.632*100000000</f>
        <v>463199999.99999994</v>
      </c>
      <c r="O459" s="8">
        <f t="shared" si="223"/>
        <v>1.1267217630853992</v>
      </c>
      <c r="P459" s="6" t="s">
        <v>4653</v>
      </c>
      <c r="Q459" s="6" t="str">
        <f t="shared" si="224"/>
        <v>=2.178*100000000</v>
      </c>
      <c r="R459" s="11">
        <f>2.178*100000000</f>
        <v>217800000</v>
      </c>
      <c r="S459" s="8">
        <f t="shared" si="225"/>
        <v>-0.65716984101999054</v>
      </c>
      <c r="T459" s="6" t="s">
        <v>5728</v>
      </c>
      <c r="U459" s="6" t="str">
        <f t="shared" si="226"/>
        <v>=6.353*100000000</v>
      </c>
      <c r="V459" s="1">
        <f>6.353*100000000</f>
        <v>635300000</v>
      </c>
      <c r="W459" s="8">
        <f t="shared" si="227"/>
        <v>0.16740169055494303</v>
      </c>
      <c r="X459" s="6" t="s">
        <v>5729</v>
      </c>
      <c r="Y459" s="6" t="str">
        <f t="shared" si="228"/>
        <v>=5.442*100000000</v>
      </c>
      <c r="Z459" s="1">
        <f>5.442*100000000</f>
        <v>544200000</v>
      </c>
      <c r="AA459" s="8">
        <f t="shared" si="229"/>
        <v>14.669450043190325</v>
      </c>
      <c r="AB459" s="7" t="s">
        <v>5730</v>
      </c>
      <c r="AC459" s="6" t="str">
        <f t="shared" si="230"/>
        <v>=3473*10000</v>
      </c>
      <c r="AD459" s="1">
        <f>3473*10000</f>
        <v>34730000</v>
      </c>
      <c r="AE459" s="8">
        <f t="shared" si="231"/>
        <v>-1.9094003665881121</v>
      </c>
      <c r="AF459" s="7">
        <f>-3819*10000</f>
        <v>-38190000</v>
      </c>
      <c r="AG459" s="6" t="str">
        <f t="shared" si="232"/>
        <v>=-38190000</v>
      </c>
      <c r="AH459" s="1">
        <f>-38190000</f>
        <v>-38190000</v>
      </c>
      <c r="AI459" s="8">
        <f t="shared" si="233"/>
        <v>-1.0391853067925303</v>
      </c>
      <c r="AJ459" s="6" t="s">
        <v>5731</v>
      </c>
      <c r="AK459" s="6" t="str">
        <f t="shared" si="234"/>
        <v>=9.746*100000000</v>
      </c>
      <c r="AL459" s="1">
        <f>9.746*100000000</f>
        <v>974600000</v>
      </c>
      <c r="AM459" s="8">
        <f t="shared" si="235"/>
        <v>2.3739495798319327E-2</v>
      </c>
      <c r="AN459" s="6" t="s">
        <v>3069</v>
      </c>
      <c r="AO459" s="6" t="str">
        <f t="shared" si="236"/>
        <v>=9.520*100000000</v>
      </c>
      <c r="AP459" s="1">
        <f>9.52*100000000</f>
        <v>952000000</v>
      </c>
      <c r="AQ459" s="8">
        <f t="shared" si="237"/>
        <v>0.12596096984033117</v>
      </c>
      <c r="AR459" s="6" t="s">
        <v>5732</v>
      </c>
      <c r="AS459" s="6" t="str">
        <f t="shared" si="238"/>
        <v>=8.455*100000000</v>
      </c>
      <c r="AT459" s="1">
        <f>8.455*100000000</f>
        <v>845500000</v>
      </c>
      <c r="AU459" s="8">
        <f t="shared" si="239"/>
        <v>0.17577527464886664</v>
      </c>
      <c r="AV459" s="6" t="s">
        <v>5733</v>
      </c>
      <c r="AW459" s="6" t="str">
        <f t="shared" si="240"/>
        <v>=7.191*100000000</v>
      </c>
      <c r="AX459" s="1">
        <f>7.191*100000000</f>
        <v>719100000</v>
      </c>
      <c r="AY459" s="10">
        <f t="shared" si="241"/>
        <v>0.48482345653520548</v>
      </c>
      <c r="AZ459" s="6" t="s">
        <v>2416</v>
      </c>
      <c r="BA459" s="6" t="str">
        <f t="shared" si="242"/>
        <v>=4.843*100000000</v>
      </c>
      <c r="BB459" s="1">
        <f>4.843*100000000</f>
        <v>484300000</v>
      </c>
      <c r="BC459" s="8">
        <f t="shared" si="243"/>
        <v>0.37702587432470858</v>
      </c>
      <c r="BD459" s="6" t="s">
        <v>53</v>
      </c>
      <c r="BE459" s="6" t="str">
        <f t="shared" si="244"/>
        <v>=3.517*100000000</v>
      </c>
      <c r="BF459" s="1">
        <f>3.517*100000000</f>
        <v>351700000</v>
      </c>
      <c r="BG459" s="8">
        <f t="shared" si="245"/>
        <v>0.2516014234875445</v>
      </c>
      <c r="BH459" s="6" t="s">
        <v>5734</v>
      </c>
      <c r="BI459" s="6" t="str">
        <f t="shared" si="246"/>
        <v>=2.810*100000000</v>
      </c>
      <c r="BJ459" s="1">
        <f>2.81*100000000</f>
        <v>281000000</v>
      </c>
      <c r="BK459" s="6" t="s">
        <v>5735</v>
      </c>
      <c r="BL459" s="1" t="str">
        <f t="shared" si="218"/>
        <v>=1.826*100000000</v>
      </c>
      <c r="BM459" s="16">
        <f t="shared" si="247"/>
        <v>0.53888280394304489</v>
      </c>
      <c r="BN459" s="1">
        <f>1.826*100000000</f>
        <v>182600000</v>
      </c>
    </row>
    <row r="460" spans="1:66">
      <c r="A460" s="18"/>
      <c r="B460">
        <v>600368</v>
      </c>
      <c r="C460" t="s">
        <v>58</v>
      </c>
      <c r="D460" s="6" t="s">
        <v>5736</v>
      </c>
      <c r="E460" s="7" t="str">
        <f t="shared" si="217"/>
        <v>=8.078*100000000</v>
      </c>
      <c r="F460" s="1">
        <f>8.078*100000000</f>
        <v>807799999.99999988</v>
      </c>
      <c r="G460" s="8">
        <f t="shared" si="219"/>
        <v>0.1956779159265836</v>
      </c>
      <c r="H460" s="6" t="s">
        <v>5737</v>
      </c>
      <c r="I460" s="6" t="str">
        <f t="shared" si="220"/>
        <v>=6.756*100000000</v>
      </c>
      <c r="J460" s="1">
        <f>6.756*100000000</f>
        <v>675600000</v>
      </c>
      <c r="K460" s="10">
        <f t="shared" si="221"/>
        <v>0.45603448275862085</v>
      </c>
      <c r="L460" s="6" t="s">
        <v>5738</v>
      </c>
      <c r="M460" s="6" t="str">
        <f t="shared" si="222"/>
        <v>=4.640*100000000</v>
      </c>
      <c r="N460" s="1">
        <f>4.64*100000000</f>
        <v>463999999.99999994</v>
      </c>
      <c r="O460" s="8">
        <f t="shared" si="223"/>
        <v>1.1206581352833633</v>
      </c>
      <c r="P460" s="6" t="s">
        <v>1270</v>
      </c>
      <c r="Q460" s="6" t="str">
        <f t="shared" si="224"/>
        <v>=2.188*100000000</v>
      </c>
      <c r="R460" s="11">
        <f>2.188*100000000</f>
        <v>218800000.00000003</v>
      </c>
      <c r="S460" s="8">
        <f t="shared" si="225"/>
        <v>-0.65961418792781579</v>
      </c>
      <c r="T460" s="6" t="s">
        <v>5739</v>
      </c>
      <c r="U460" s="6" t="str">
        <f t="shared" si="226"/>
        <v>=6.428*100000000</v>
      </c>
      <c r="V460" s="1">
        <f>6.428*100000000</f>
        <v>642800000</v>
      </c>
      <c r="W460" s="8">
        <f t="shared" si="227"/>
        <v>0.16575988393180993</v>
      </c>
      <c r="X460" s="6" t="s">
        <v>5740</v>
      </c>
      <c r="Y460" s="6" t="str">
        <f t="shared" si="228"/>
        <v>=5.514*100000000</v>
      </c>
      <c r="Z460" s="1">
        <f>5.514*100000000</f>
        <v>551400000</v>
      </c>
      <c r="AA460" s="8">
        <f t="shared" si="229"/>
        <v>13.207678433393456</v>
      </c>
      <c r="AB460" s="7" t="s">
        <v>5741</v>
      </c>
      <c r="AC460" s="6" t="str">
        <f t="shared" si="230"/>
        <v>=3881*10000</v>
      </c>
      <c r="AD460" s="1">
        <f>3881*10000</f>
        <v>38810000</v>
      </c>
      <c r="AE460" s="8">
        <f t="shared" si="231"/>
        <v>-2.0600928708003279</v>
      </c>
      <c r="AF460" s="7">
        <f>-3661*10000</f>
        <v>-36610000</v>
      </c>
      <c r="AG460" s="6" t="str">
        <f t="shared" si="232"/>
        <v>=-36610000</v>
      </c>
      <c r="AH460" s="1">
        <f>-36610000</f>
        <v>-36610000</v>
      </c>
      <c r="AI460" s="8">
        <f t="shared" si="233"/>
        <v>-1.0377383774868569</v>
      </c>
      <c r="AJ460" s="6" t="s">
        <v>613</v>
      </c>
      <c r="AK460" s="6" t="str">
        <f t="shared" si="234"/>
        <v>=9.701*100000000</v>
      </c>
      <c r="AL460" s="1">
        <f>9.701*100000000</f>
        <v>970100000</v>
      </c>
      <c r="AM460" s="8">
        <f t="shared" si="235"/>
        <v>1.4642819788725029E-2</v>
      </c>
      <c r="AN460" s="6" t="s">
        <v>5742</v>
      </c>
      <c r="AO460" s="6" t="str">
        <f t="shared" si="236"/>
        <v>=9.561*100000000</v>
      </c>
      <c r="AP460" s="1">
        <f>9.561*100000000</f>
        <v>956100000</v>
      </c>
      <c r="AQ460" s="8">
        <f t="shared" si="237"/>
        <v>0.1273434736469756</v>
      </c>
      <c r="AR460" s="6" t="s">
        <v>5743</v>
      </c>
      <c r="AS460" s="6" t="str">
        <f t="shared" si="238"/>
        <v>=8.481*100000000</v>
      </c>
      <c r="AT460" s="1">
        <f>8.481*100000000</f>
        <v>848100000</v>
      </c>
      <c r="AU460" s="8">
        <f t="shared" si="239"/>
        <v>0.17677258221173858</v>
      </c>
      <c r="AV460" s="6" t="s">
        <v>1467</v>
      </c>
      <c r="AW460" s="6" t="str">
        <f t="shared" si="240"/>
        <v>=7.207*100000000</v>
      </c>
      <c r="AX460" s="1">
        <f>7.207*100000000</f>
        <v>720700000</v>
      </c>
      <c r="AY460" s="10">
        <f t="shared" si="241"/>
        <v>0.50647993311036787</v>
      </c>
      <c r="AZ460" s="6" t="s">
        <v>5744</v>
      </c>
      <c r="BA460" s="6" t="str">
        <f t="shared" si="242"/>
        <v>=4.784*100000000</v>
      </c>
      <c r="BB460" s="1">
        <f>4.784*100000000</f>
        <v>478400000</v>
      </c>
      <c r="BC460" s="8">
        <f t="shared" si="243"/>
        <v>0.35562482289600456</v>
      </c>
      <c r="BD460" s="6" t="s">
        <v>1445</v>
      </c>
      <c r="BE460" s="6" t="str">
        <f t="shared" si="244"/>
        <v>=3.529*100000000</v>
      </c>
      <c r="BF460" s="1">
        <f>3.529*100000000</f>
        <v>352900000</v>
      </c>
      <c r="BG460" s="8">
        <f t="shared" si="245"/>
        <v>0.2496458923512748</v>
      </c>
      <c r="BH460" s="6" t="s">
        <v>5745</v>
      </c>
      <c r="BI460" s="6" t="str">
        <f t="shared" si="246"/>
        <v>=2.824*100000000</v>
      </c>
      <c r="BJ460" s="1">
        <f>2.824*100000000</f>
        <v>282400000</v>
      </c>
      <c r="BK460" s="6" t="s">
        <v>5746</v>
      </c>
      <c r="BL460" s="1" t="str">
        <f t="shared" si="218"/>
        <v>=1.837*100000000</v>
      </c>
      <c r="BM460" s="16">
        <f t="shared" si="247"/>
        <v>0.53728905824714213</v>
      </c>
      <c r="BN460" s="1">
        <f>1.837*100000000</f>
        <v>183700000</v>
      </c>
    </row>
    <row r="461" spans="1:66">
      <c r="A461" s="19"/>
      <c r="B461">
        <v>600368</v>
      </c>
      <c r="C461" t="s">
        <v>68</v>
      </c>
      <c r="D461" s="6" t="s">
        <v>4808</v>
      </c>
      <c r="E461" s="7" t="str">
        <f t="shared" si="217"/>
        <v>=7.002*100000000</v>
      </c>
      <c r="F461" s="1">
        <f>7.002*100000000</f>
        <v>700200000</v>
      </c>
      <c r="G461" s="8">
        <f t="shared" si="219"/>
        <v>0.19406548431105047</v>
      </c>
      <c r="H461" s="6" t="s">
        <v>5747</v>
      </c>
      <c r="I461" s="6" t="str">
        <f t="shared" si="220"/>
        <v>=5.864*100000000</v>
      </c>
      <c r="J461" s="1">
        <f>5.864*100000000</f>
        <v>586400000</v>
      </c>
      <c r="K461" s="10">
        <f t="shared" si="221"/>
        <v>0.45364402578086266</v>
      </c>
      <c r="L461" s="6" t="s">
        <v>5748</v>
      </c>
      <c r="M461" s="6" t="str">
        <f t="shared" si="222"/>
        <v>=4.034*100000000</v>
      </c>
      <c r="N461" s="1">
        <f>4.034*100000000</f>
        <v>403400000</v>
      </c>
      <c r="O461" s="8">
        <f t="shared" si="223"/>
        <v>1.1468866418307611</v>
      </c>
      <c r="P461" s="6" t="s">
        <v>5749</v>
      </c>
      <c r="Q461" s="6" t="str">
        <f t="shared" si="224"/>
        <v>=1.879*100000000</v>
      </c>
      <c r="R461" s="11">
        <f>1.879*100000000</f>
        <v>187900000</v>
      </c>
      <c r="S461" s="8">
        <f t="shared" si="225"/>
        <v>-0.66518175338560226</v>
      </c>
      <c r="T461" s="6" t="s">
        <v>5750</v>
      </c>
      <c r="U461" s="6" t="str">
        <f t="shared" si="226"/>
        <v>=5.612*100000000</v>
      </c>
      <c r="V461" s="1">
        <f>5.612*100000000</f>
        <v>561200000</v>
      </c>
      <c r="W461" s="8">
        <f t="shared" si="227"/>
        <v>0.17405857740585773</v>
      </c>
      <c r="X461" s="6" t="s">
        <v>5751</v>
      </c>
      <c r="Y461" s="6" t="str">
        <f t="shared" si="228"/>
        <v>=4.780*100000000</v>
      </c>
      <c r="Z461" s="1">
        <f>4.78*100000000</f>
        <v>478000000</v>
      </c>
      <c r="AA461" s="8">
        <f t="shared" si="229"/>
        <v>13.001171646162859</v>
      </c>
      <c r="AB461" s="7" t="s">
        <v>3585</v>
      </c>
      <c r="AC461" s="6" t="str">
        <f t="shared" si="230"/>
        <v>=3414*10000</v>
      </c>
      <c r="AD461" s="1">
        <f>3414*10000</f>
        <v>34140000</v>
      </c>
      <c r="AE461" s="8">
        <f t="shared" si="231"/>
        <v>-1.9108858057630735</v>
      </c>
      <c r="AF461" s="7">
        <f>-3748*10000</f>
        <v>-37480000</v>
      </c>
      <c r="AG461" s="6" t="str">
        <f t="shared" si="232"/>
        <v>=-37480000</v>
      </c>
      <c r="AH461" s="1">
        <f>-37480000</f>
        <v>-37480000</v>
      </c>
      <c r="AI461" s="8">
        <f t="shared" si="233"/>
        <v>-1.0433545401966455</v>
      </c>
      <c r="AJ461" s="6" t="s">
        <v>5752</v>
      </c>
      <c r="AK461" s="6" t="str">
        <f t="shared" si="234"/>
        <v>=8.645*100000000</v>
      </c>
      <c r="AL461" s="1">
        <f>8.645*100000000</f>
        <v>864500000</v>
      </c>
      <c r="AM461" s="8">
        <f t="shared" si="235"/>
        <v>1.4909603193237708E-2</v>
      </c>
      <c r="AN461" s="6" t="s">
        <v>600</v>
      </c>
      <c r="AO461" s="6" t="str">
        <f t="shared" si="236"/>
        <v>=8.518*100000000</v>
      </c>
      <c r="AP461" s="1">
        <f>8.518*100000000</f>
        <v>851800000.00000012</v>
      </c>
      <c r="AQ461" s="8">
        <f t="shared" si="237"/>
        <v>0.14090543798553459</v>
      </c>
      <c r="AR461" s="6" t="s">
        <v>5753</v>
      </c>
      <c r="AS461" s="6" t="str">
        <f t="shared" si="238"/>
        <v>=7.466*100000000</v>
      </c>
      <c r="AT461" s="1">
        <f>7.466*100000000</f>
        <v>746600000</v>
      </c>
      <c r="AU461" s="8">
        <f t="shared" si="239"/>
        <v>0.14019547953573611</v>
      </c>
      <c r="AV461" s="6" t="s">
        <v>5754</v>
      </c>
      <c r="AW461" s="6" t="str">
        <f t="shared" si="240"/>
        <v>=6.548*100000000</v>
      </c>
      <c r="AX461" s="1">
        <f>6.548*100000000</f>
        <v>654800000</v>
      </c>
      <c r="AY461" s="10">
        <f t="shared" si="241"/>
        <v>0.61519486926492351</v>
      </c>
      <c r="AZ461" s="6" t="s">
        <v>5755</v>
      </c>
      <c r="BA461" s="6" t="str">
        <f t="shared" si="242"/>
        <v>=4.054*100000000</v>
      </c>
      <c r="BB461" s="1">
        <f>4.054*100000000</f>
        <v>405400000</v>
      </c>
      <c r="BC461" s="8">
        <f t="shared" si="243"/>
        <v>0.40422583997228956</v>
      </c>
      <c r="BD461" s="6" t="s">
        <v>2983</v>
      </c>
      <c r="BE461" s="6" t="str">
        <f t="shared" si="244"/>
        <v>=2.887*100000000</v>
      </c>
      <c r="BF461" s="1">
        <f>2.887*100000000</f>
        <v>288700000</v>
      </c>
      <c r="BG461" s="8">
        <f t="shared" si="245"/>
        <v>0.22123519458544838</v>
      </c>
      <c r="BH461" s="6" t="s">
        <v>5756</v>
      </c>
      <c r="BI461" s="6" t="str">
        <f t="shared" si="246"/>
        <v>=2.364*100000000</v>
      </c>
      <c r="BJ461" s="1">
        <f>2.364*100000000</f>
        <v>236400000</v>
      </c>
      <c r="BK461" s="6" t="s">
        <v>3978</v>
      </c>
      <c r="BL461" s="1" t="str">
        <f t="shared" si="218"/>
        <v>=1.554*100000000</v>
      </c>
      <c r="BM461" s="16">
        <f t="shared" si="247"/>
        <v>0.52123552123552119</v>
      </c>
      <c r="BN461" s="1">
        <f>1.554*100000000</f>
        <v>155400000</v>
      </c>
    </row>
    <row r="462" spans="1:66">
      <c r="A462" s="17">
        <v>116</v>
      </c>
      <c r="B462">
        <v>600370</v>
      </c>
      <c r="C462" t="s">
        <v>31</v>
      </c>
      <c r="D462" s="6" t="s">
        <v>5757</v>
      </c>
      <c r="E462" s="7" t="str">
        <f t="shared" si="217"/>
        <v>=194.8*100000000</v>
      </c>
      <c r="F462" s="1">
        <f>194.8*100000000</f>
        <v>19480000000</v>
      </c>
      <c r="G462" s="8">
        <f t="shared" si="219"/>
        <v>0.40447007930785889</v>
      </c>
      <c r="H462" s="6" t="s">
        <v>5758</v>
      </c>
      <c r="I462" s="6" t="str">
        <f t="shared" si="220"/>
        <v>=138.7*100000000</v>
      </c>
      <c r="J462" s="1">
        <f>138.7*100000000</f>
        <v>13869999999.999998</v>
      </c>
      <c r="K462" s="10">
        <f t="shared" si="221"/>
        <v>0.51105784943893651</v>
      </c>
      <c r="L462" s="6" t="s">
        <v>5759</v>
      </c>
      <c r="M462" s="6" t="str">
        <f t="shared" si="222"/>
        <v>=91.79*100000000</v>
      </c>
      <c r="N462" s="1">
        <f>91.79*100000000</f>
        <v>9179000000</v>
      </c>
      <c r="O462" s="8">
        <f t="shared" si="223"/>
        <v>1.2166143443612656</v>
      </c>
      <c r="P462" s="6" t="s">
        <v>5760</v>
      </c>
      <c r="Q462" s="6" t="str">
        <f t="shared" si="224"/>
        <v>=41.41*100000000</v>
      </c>
      <c r="R462" s="11">
        <f>41.41*100000000</f>
        <v>4140999999.9999995</v>
      </c>
      <c r="S462" s="8">
        <f t="shared" si="225"/>
        <v>-0.74595092024539877</v>
      </c>
      <c r="T462" s="6" t="s">
        <v>5761</v>
      </c>
      <c r="U462" s="6" t="str">
        <f t="shared" si="226"/>
        <v>=163.0*100000000</v>
      </c>
      <c r="V462" s="1">
        <f>163*100000000</f>
        <v>16300000000</v>
      </c>
      <c r="W462" s="8">
        <f t="shared" si="227"/>
        <v>0.33606557377049179</v>
      </c>
      <c r="X462" s="6" t="s">
        <v>78</v>
      </c>
      <c r="Y462" s="6" t="str">
        <f t="shared" si="228"/>
        <v>=122.0*100000000</v>
      </c>
      <c r="Z462" s="1">
        <f>122*100000000</f>
        <v>12200000000</v>
      </c>
      <c r="AA462" s="8">
        <f t="shared" si="229"/>
        <v>0.44961977186311786</v>
      </c>
      <c r="AB462" s="6" t="s">
        <v>5762</v>
      </c>
      <c r="AC462" s="6" t="str">
        <f t="shared" si="230"/>
        <v>=84.16*100000000</v>
      </c>
      <c r="AD462" s="1">
        <f>84.16*100000000</f>
        <v>8416000000</v>
      </c>
      <c r="AE462" s="8">
        <f t="shared" si="231"/>
        <v>1.0004753981459473</v>
      </c>
      <c r="AF462" s="6" t="s">
        <v>1945</v>
      </c>
      <c r="AG462" s="6" t="str">
        <f t="shared" si="232"/>
        <v>=42.07*100000000</v>
      </c>
      <c r="AH462" s="1">
        <f>42.07*100000000</f>
        <v>4207000000</v>
      </c>
      <c r="AI462" s="8">
        <f t="shared" si="233"/>
        <v>-0.80946557971014488</v>
      </c>
      <c r="AJ462" s="6" t="s">
        <v>5763</v>
      </c>
      <c r="AK462" s="6" t="str">
        <f t="shared" si="234"/>
        <v>=220.8*100000000</v>
      </c>
      <c r="AL462" s="1">
        <f>220.8*100000000</f>
        <v>22080000000</v>
      </c>
      <c r="AM462" s="8">
        <f t="shared" si="235"/>
        <v>0.27262247838616716</v>
      </c>
      <c r="AN462" s="6" t="s">
        <v>5764</v>
      </c>
      <c r="AO462" s="6" t="str">
        <f t="shared" si="236"/>
        <v>=173.5*100000000</v>
      </c>
      <c r="AP462" s="1">
        <f>173.5*100000000</f>
        <v>17350000000</v>
      </c>
      <c r="AQ462" s="8">
        <f t="shared" si="237"/>
        <v>35.867828304292388</v>
      </c>
      <c r="AR462" s="6" t="s">
        <v>5765</v>
      </c>
      <c r="AS462" s="6" t="str">
        <f t="shared" si="238"/>
        <v>=4.706*100000000</v>
      </c>
      <c r="AT462" s="1">
        <f>4.706*100000000</f>
        <v>470600000.00000006</v>
      </c>
      <c r="AU462" s="8">
        <f t="shared" si="239"/>
        <v>0.8361295357003512</v>
      </c>
      <c r="AV462" s="6" t="s">
        <v>1674</v>
      </c>
      <c r="AW462" s="6" t="str">
        <f t="shared" si="240"/>
        <v>=2.563*100000000</v>
      </c>
      <c r="AX462" s="1">
        <f>2.563*100000000</f>
        <v>256300000.00000003</v>
      </c>
      <c r="AY462" s="10">
        <f t="shared" si="241"/>
        <v>-0.78316412859560069</v>
      </c>
      <c r="AZ462" s="6" t="s">
        <v>4221</v>
      </c>
      <c r="BA462" s="6" t="str">
        <f t="shared" si="242"/>
        <v>=11.82*100000000</v>
      </c>
      <c r="BB462" s="1">
        <f>11.82*100000000</f>
        <v>1182000000</v>
      </c>
      <c r="BC462" s="8">
        <f t="shared" si="243"/>
        <v>0.36143745680718731</v>
      </c>
      <c r="BD462" s="6" t="s">
        <v>5766</v>
      </c>
      <c r="BE462" s="6" t="str">
        <f t="shared" si="244"/>
        <v>=8.682*100000000</v>
      </c>
      <c r="BF462" s="1">
        <f>8.682*100000000</f>
        <v>868200000</v>
      </c>
      <c r="BG462" s="8">
        <f t="shared" si="245"/>
        <v>0.55424274973147158</v>
      </c>
      <c r="BH462" s="6" t="s">
        <v>3372</v>
      </c>
      <c r="BI462" s="6" t="str">
        <f t="shared" si="246"/>
        <v>=5.586*100000000</v>
      </c>
      <c r="BJ462" s="1">
        <f>5.586*100000000</f>
        <v>558600000</v>
      </c>
      <c r="BK462" s="6" t="s">
        <v>5767</v>
      </c>
      <c r="BL462" s="1" t="str">
        <f t="shared" si="218"/>
        <v>=2.705*100000000</v>
      </c>
      <c r="BM462" s="16">
        <f t="shared" si="247"/>
        <v>1.0650646950092422</v>
      </c>
      <c r="BN462" s="1">
        <f>2.705*100000000</f>
        <v>270500000</v>
      </c>
    </row>
    <row r="463" spans="1:66">
      <c r="A463" s="18"/>
      <c r="B463">
        <v>600370</v>
      </c>
      <c r="C463" t="s">
        <v>48</v>
      </c>
      <c r="D463" s="6" t="s">
        <v>5768</v>
      </c>
      <c r="E463" s="7" t="str">
        <f t="shared" si="217"/>
        <v>=7.941*100000000</v>
      </c>
      <c r="F463" s="1">
        <f>7.941*100000000</f>
        <v>794100000</v>
      </c>
      <c r="G463" s="8">
        <f t="shared" si="219"/>
        <v>0.50883526505795174</v>
      </c>
      <c r="H463" s="6" t="s">
        <v>5769</v>
      </c>
      <c r="I463" s="6" t="str">
        <f t="shared" si="220"/>
        <v>=5.263*100000000</v>
      </c>
      <c r="J463" s="1">
        <f>5.263*100000000</f>
        <v>526300000</v>
      </c>
      <c r="K463" s="10">
        <f t="shared" si="221"/>
        <v>0.44866501513900359</v>
      </c>
      <c r="L463" s="6" t="s">
        <v>5770</v>
      </c>
      <c r="M463" s="6" t="str">
        <f t="shared" si="222"/>
        <v>=3.633*100000000</v>
      </c>
      <c r="N463" s="1">
        <f>3.633*100000000</f>
        <v>363300000</v>
      </c>
      <c r="O463" s="8">
        <f t="shared" si="223"/>
        <v>1.130791788856305</v>
      </c>
      <c r="P463" s="6" t="s">
        <v>5771</v>
      </c>
      <c r="Q463" s="6" t="str">
        <f t="shared" si="224"/>
        <v>=1.705*100000000</v>
      </c>
      <c r="R463" s="11">
        <f>1.705*100000000</f>
        <v>170500000</v>
      </c>
      <c r="S463" s="8">
        <f t="shared" si="225"/>
        <v>-0.78373921867072549</v>
      </c>
      <c r="T463" s="6" t="s">
        <v>920</v>
      </c>
      <c r="U463" s="6" t="str">
        <f t="shared" si="226"/>
        <v>=7.884*100000000</v>
      </c>
      <c r="V463" s="1">
        <f>7.884*100000000</f>
        <v>788400000</v>
      </c>
      <c r="W463" s="8">
        <f t="shared" si="227"/>
        <v>0.24727100142382535</v>
      </c>
      <c r="X463" s="6" t="s">
        <v>5772</v>
      </c>
      <c r="Y463" s="6" t="str">
        <f t="shared" si="228"/>
        <v>=6.321*100000000</v>
      </c>
      <c r="Z463" s="1">
        <f>6.321*100000000</f>
        <v>632100000</v>
      </c>
      <c r="AA463" s="8">
        <f t="shared" si="229"/>
        <v>0.87233412322274884</v>
      </c>
      <c r="AB463" s="6" t="s">
        <v>5773</v>
      </c>
      <c r="AC463" s="6" t="str">
        <f t="shared" si="230"/>
        <v>=3.376*100000000</v>
      </c>
      <c r="AD463" s="1">
        <f>3.376*100000000</f>
        <v>337600000</v>
      </c>
      <c r="AE463" s="8">
        <f t="shared" si="231"/>
        <v>4.7927247769389156</v>
      </c>
      <c r="AF463" s="7" t="s">
        <v>5774</v>
      </c>
      <c r="AG463" s="6" t="str">
        <f t="shared" si="232"/>
        <v>=5828*10000</v>
      </c>
      <c r="AH463" s="1">
        <f>5828*10000</f>
        <v>58280000</v>
      </c>
      <c r="AI463" s="8">
        <f t="shared" si="233"/>
        <v>-0.94954112554112557</v>
      </c>
      <c r="AJ463" s="6" t="s">
        <v>615</v>
      </c>
      <c r="AK463" s="6" t="str">
        <f t="shared" si="234"/>
        <v>=11.55*100000000</v>
      </c>
      <c r="AL463" s="1">
        <f>11.55*100000000</f>
        <v>1155000000</v>
      </c>
      <c r="AM463" s="8">
        <f t="shared" si="235"/>
        <v>0.21107266435986144</v>
      </c>
      <c r="AN463" s="6" t="s">
        <v>5636</v>
      </c>
      <c r="AO463" s="6" t="str">
        <f t="shared" si="236"/>
        <v>=9.537*100000000</v>
      </c>
      <c r="AP463" s="1">
        <f>9.537*100000000</f>
        <v>953700000.00000012</v>
      </c>
      <c r="AQ463" s="8">
        <f t="shared" si="237"/>
        <v>14.392188508715302</v>
      </c>
      <c r="AR463" s="7" t="s">
        <v>5775</v>
      </c>
      <c r="AS463" s="6" t="str">
        <f t="shared" si="238"/>
        <v>=6196*10000</v>
      </c>
      <c r="AT463" s="1">
        <f>6196*10000</f>
        <v>61960000</v>
      </c>
      <c r="AU463" s="8">
        <f t="shared" si="239"/>
        <v>1.4071484071484071</v>
      </c>
      <c r="AV463" s="7" t="s">
        <v>3389</v>
      </c>
      <c r="AW463" s="6" t="str">
        <f t="shared" si="240"/>
        <v>=2574*10000</v>
      </c>
      <c r="AX463" s="1">
        <f>2574*10000</f>
        <v>25740000</v>
      </c>
      <c r="AY463" s="10">
        <f t="shared" si="241"/>
        <v>-0.73463917525773192</v>
      </c>
      <c r="AZ463" s="7" t="s">
        <v>5776</v>
      </c>
      <c r="BA463" s="6" t="str">
        <f t="shared" si="242"/>
        <v>=9700*10000</v>
      </c>
      <c r="BB463" s="1">
        <f>9700*10000</f>
        <v>97000000</v>
      </c>
      <c r="BC463" s="8">
        <f t="shared" si="243"/>
        <v>0.13689639006094703</v>
      </c>
      <c r="BD463" s="7" t="s">
        <v>5777</v>
      </c>
      <c r="BE463" s="6" t="str">
        <f t="shared" si="244"/>
        <v>=8532*10000</v>
      </c>
      <c r="BF463" s="1">
        <f>8532*10000</f>
        <v>85320000</v>
      </c>
      <c r="BG463" s="8">
        <f t="shared" si="245"/>
        <v>0.49343602310519868</v>
      </c>
      <c r="BH463" s="7" t="s">
        <v>4742</v>
      </c>
      <c r="BI463" s="6" t="str">
        <f t="shared" si="246"/>
        <v>=5713*10000</v>
      </c>
      <c r="BJ463" s="1">
        <f>5713*10000</f>
        <v>57130000</v>
      </c>
      <c r="BK463" s="7" t="s">
        <v>5778</v>
      </c>
      <c r="BL463" s="1" t="str">
        <f t="shared" si="218"/>
        <v>=1905*10000</v>
      </c>
      <c r="BM463" s="16">
        <f t="shared" si="247"/>
        <v>1.9989501312335958</v>
      </c>
      <c r="BN463" s="1">
        <f>1905*10000</f>
        <v>19050000</v>
      </c>
    </row>
    <row r="464" spans="1:66">
      <c r="A464" s="18"/>
      <c r="B464">
        <v>600370</v>
      </c>
      <c r="C464" t="s">
        <v>58</v>
      </c>
      <c r="D464" s="6" t="s">
        <v>5779</v>
      </c>
      <c r="E464" s="7" t="str">
        <f t="shared" si="217"/>
        <v>=7.906*100000000</v>
      </c>
      <c r="F464" s="1">
        <f>7.906*100000000</f>
        <v>790600000</v>
      </c>
      <c r="G464" s="8">
        <f t="shared" si="219"/>
        <v>0.50332762882677295</v>
      </c>
      <c r="H464" s="6" t="s">
        <v>470</v>
      </c>
      <c r="I464" s="6" t="str">
        <f t="shared" si="220"/>
        <v>=5.259*100000000</v>
      </c>
      <c r="J464" s="1">
        <f>5.259*100000000</f>
        <v>525900000.00000006</v>
      </c>
      <c r="K464" s="10">
        <f t="shared" si="221"/>
        <v>0.46531067149623867</v>
      </c>
      <c r="L464" s="6" t="s">
        <v>5780</v>
      </c>
      <c r="M464" s="6" t="str">
        <f t="shared" si="222"/>
        <v>=3.589*100000000</v>
      </c>
      <c r="N464" s="1">
        <f>3.589*100000000</f>
        <v>358900000</v>
      </c>
      <c r="O464" s="8">
        <f t="shared" si="223"/>
        <v>1.1099353321575545</v>
      </c>
      <c r="P464" s="6" t="s">
        <v>5781</v>
      </c>
      <c r="Q464" s="6" t="str">
        <f t="shared" si="224"/>
        <v>=1.701*100000000</v>
      </c>
      <c r="R464" s="11">
        <f>1.701*100000000</f>
        <v>170100000</v>
      </c>
      <c r="S464" s="8">
        <f t="shared" si="225"/>
        <v>-0.78462902000506463</v>
      </c>
      <c r="T464" s="6" t="s">
        <v>5782</v>
      </c>
      <c r="U464" s="6" t="str">
        <f t="shared" si="226"/>
        <v>=7.898*100000000</v>
      </c>
      <c r="V464" s="1">
        <f>7.898*100000000</f>
        <v>789800000</v>
      </c>
      <c r="W464" s="8">
        <f t="shared" si="227"/>
        <v>0.2494858408479671</v>
      </c>
      <c r="X464" s="6" t="s">
        <v>5772</v>
      </c>
      <c r="Y464" s="6" t="str">
        <f t="shared" si="228"/>
        <v>=6.321*100000000</v>
      </c>
      <c r="Z464" s="1">
        <f>6.321*100000000</f>
        <v>632100000</v>
      </c>
      <c r="AA464" s="8">
        <f t="shared" si="229"/>
        <v>0.87233412322274884</v>
      </c>
      <c r="AB464" s="6" t="s">
        <v>5773</v>
      </c>
      <c r="AC464" s="6" t="str">
        <f t="shared" si="230"/>
        <v>=3.376*100000000</v>
      </c>
      <c r="AD464" s="1">
        <f>3.376*100000000</f>
        <v>337600000</v>
      </c>
      <c r="AE464" s="8">
        <f t="shared" si="231"/>
        <v>4.7917310001715556</v>
      </c>
      <c r="AF464" s="7" t="s">
        <v>5783</v>
      </c>
      <c r="AG464" s="6" t="str">
        <f t="shared" si="232"/>
        <v>=5829*10000</v>
      </c>
      <c r="AH464" s="1">
        <f>5829*10000</f>
        <v>58290000</v>
      </c>
      <c r="AI464" s="8">
        <f t="shared" si="233"/>
        <v>-0.94957612456747409</v>
      </c>
      <c r="AJ464" s="6" t="s">
        <v>3976</v>
      </c>
      <c r="AK464" s="6" t="str">
        <f t="shared" si="234"/>
        <v>=11.56*100000000</v>
      </c>
      <c r="AL464" s="1">
        <f>11.56*100000000</f>
        <v>1156000000</v>
      </c>
      <c r="AM464" s="8">
        <f t="shared" si="235"/>
        <v>0.21377572448551044</v>
      </c>
      <c r="AN464" s="6" t="s">
        <v>5784</v>
      </c>
      <c r="AO464" s="6" t="str">
        <f t="shared" si="236"/>
        <v>=9.524*100000000</v>
      </c>
      <c r="AP464" s="1">
        <f>9.524*100000000</f>
        <v>952399999.99999988</v>
      </c>
      <c r="AQ464" s="8">
        <f t="shared" si="237"/>
        <v>14.718765472850304</v>
      </c>
      <c r="AR464" s="7" t="s">
        <v>5469</v>
      </c>
      <c r="AS464" s="6" t="str">
        <f t="shared" si="238"/>
        <v>=6059*10000</v>
      </c>
      <c r="AT464" s="1">
        <f>6059*10000</f>
        <v>60590000</v>
      </c>
      <c r="AU464" s="8">
        <f t="shared" si="239"/>
        <v>1.3539238539238538</v>
      </c>
      <c r="AV464" s="7" t="s">
        <v>3389</v>
      </c>
      <c r="AW464" s="6" t="str">
        <f t="shared" si="240"/>
        <v>=2574*10000</v>
      </c>
      <c r="AX464" s="1">
        <f>2574*10000</f>
        <v>25740000</v>
      </c>
      <c r="AY464" s="10">
        <f t="shared" si="241"/>
        <v>-0.73458445040214482</v>
      </c>
      <c r="AZ464" s="7" t="s">
        <v>5785</v>
      </c>
      <c r="BA464" s="6" t="str">
        <f t="shared" si="242"/>
        <v>=9698*10000</v>
      </c>
      <c r="BB464" s="1">
        <f>9698*10000</f>
        <v>96980000</v>
      </c>
      <c r="BC464" s="8">
        <f t="shared" si="243"/>
        <v>0.14161271336080047</v>
      </c>
      <c r="BD464" s="7" t="s">
        <v>5786</v>
      </c>
      <c r="BE464" s="6" t="str">
        <f t="shared" si="244"/>
        <v>=8495*10000</v>
      </c>
      <c r="BF464" s="1">
        <f>8495*10000</f>
        <v>84950000</v>
      </c>
      <c r="BG464" s="8">
        <f t="shared" si="245"/>
        <v>0.49665257223396758</v>
      </c>
      <c r="BH464" s="7" t="s">
        <v>5787</v>
      </c>
      <c r="BI464" s="6" t="str">
        <f t="shared" si="246"/>
        <v>=5676*10000</v>
      </c>
      <c r="BJ464" s="1">
        <f>5676*10000</f>
        <v>56760000</v>
      </c>
      <c r="BK464" s="7" t="s">
        <v>5778</v>
      </c>
      <c r="BL464" s="1" t="str">
        <f t="shared" si="218"/>
        <v>=1905*10000</v>
      </c>
      <c r="BM464" s="16">
        <f t="shared" si="247"/>
        <v>1.979527559055118</v>
      </c>
      <c r="BN464" s="1">
        <f>1905*10000</f>
        <v>19050000</v>
      </c>
    </row>
    <row r="465" spans="1:66">
      <c r="A465" s="19"/>
      <c r="B465">
        <v>600370</v>
      </c>
      <c r="C465" t="s">
        <v>68</v>
      </c>
      <c r="D465" s="6" t="s">
        <v>4017</v>
      </c>
      <c r="E465" s="7" t="str">
        <f t="shared" si="217"/>
        <v>=6.371*100000000</v>
      </c>
      <c r="F465" s="1">
        <f>6.371*100000000</f>
        <v>637100000</v>
      </c>
      <c r="G465" s="8">
        <f t="shared" si="219"/>
        <v>0.46157375544849738</v>
      </c>
      <c r="H465" s="6" t="s">
        <v>5788</v>
      </c>
      <c r="I465" s="6" t="str">
        <f t="shared" si="220"/>
        <v>=4.359*100000000</v>
      </c>
      <c r="J465" s="1">
        <f>4.359*100000000</f>
        <v>435900000</v>
      </c>
      <c r="K465" s="10">
        <f t="shared" si="221"/>
        <v>0.42079530638852675</v>
      </c>
      <c r="L465" s="6" t="s">
        <v>5789</v>
      </c>
      <c r="M465" s="6" t="str">
        <f t="shared" si="222"/>
        <v>=3.068*100000000</v>
      </c>
      <c r="N465" s="1">
        <f>3.068*100000000</f>
        <v>306800000</v>
      </c>
      <c r="O465" s="8">
        <f t="shared" si="223"/>
        <v>0.89032655576093656</v>
      </c>
      <c r="P465" s="6" t="s">
        <v>2574</v>
      </c>
      <c r="Q465" s="6" t="str">
        <f t="shared" si="224"/>
        <v>=1.623*100000000</v>
      </c>
      <c r="R465" s="11">
        <f>1.623*100000000</f>
        <v>162300000</v>
      </c>
      <c r="S465" s="8">
        <f t="shared" si="225"/>
        <v>-0.72299027137736815</v>
      </c>
      <c r="T465" s="6" t="s">
        <v>5790</v>
      </c>
      <c r="U465" s="6" t="str">
        <f t="shared" si="226"/>
        <v>=5.859*100000000</v>
      </c>
      <c r="V465" s="1">
        <f>5.859*100000000</f>
        <v>585900000</v>
      </c>
      <c r="W465" s="8">
        <f t="shared" si="227"/>
        <v>0.37470671046457082</v>
      </c>
      <c r="X465" s="6" t="s">
        <v>5791</v>
      </c>
      <c r="Y465" s="6" t="str">
        <f t="shared" si="228"/>
        <v>=4.262*100000000</v>
      </c>
      <c r="Z465" s="1">
        <f>4.262*100000000</f>
        <v>426199999.99999994</v>
      </c>
      <c r="AA465" s="8">
        <f t="shared" si="229"/>
        <v>0.79528222409435523</v>
      </c>
      <c r="AB465" s="6" t="s">
        <v>5792</v>
      </c>
      <c r="AC465" s="6" t="str">
        <f t="shared" si="230"/>
        <v>=2.374*100000000</v>
      </c>
      <c r="AD465" s="1">
        <f>2.374*100000000</f>
        <v>237400000</v>
      </c>
      <c r="AE465" s="8">
        <f t="shared" si="231"/>
        <v>10.229895931882687</v>
      </c>
      <c r="AF465" s="7" t="s">
        <v>5793</v>
      </c>
      <c r="AG465" s="6" t="str">
        <f t="shared" si="232"/>
        <v>=2114*10000</v>
      </c>
      <c r="AH465" s="1">
        <f>2114*10000</f>
        <v>21140000</v>
      </c>
      <c r="AI465" s="8">
        <f t="shared" si="233"/>
        <v>-0.97363432277375905</v>
      </c>
      <c r="AJ465" s="6" t="s">
        <v>5794</v>
      </c>
      <c r="AK465" s="6" t="str">
        <f t="shared" si="234"/>
        <v>=8.018*100000000</v>
      </c>
      <c r="AL465" s="1">
        <f>8.018*100000000</f>
        <v>801800000.00000012</v>
      </c>
      <c r="AM465" s="8">
        <f t="shared" si="235"/>
        <v>0.19120487297578387</v>
      </c>
      <c r="AN465" s="6" t="s">
        <v>5795</v>
      </c>
      <c r="AO465" s="6" t="str">
        <f t="shared" si="236"/>
        <v>=6.731*100000000</v>
      </c>
      <c r="AP465" s="1">
        <f>6.731*100000000</f>
        <v>673100000</v>
      </c>
      <c r="AQ465" s="8">
        <f t="shared" si="237"/>
        <v>14.737666588730418</v>
      </c>
      <c r="AR465" s="7" t="s">
        <v>5796</v>
      </c>
      <c r="AS465" s="6" t="str">
        <f t="shared" si="238"/>
        <v>=4277*10000</v>
      </c>
      <c r="AT465" s="1">
        <f>4277*10000</f>
        <v>42770000</v>
      </c>
      <c r="AU465" s="8">
        <f t="shared" si="239"/>
        <v>1.4982476635514019</v>
      </c>
      <c r="AV465" s="7" t="s">
        <v>5797</v>
      </c>
      <c r="AW465" s="6" t="str">
        <f t="shared" si="240"/>
        <v>=1712*10000</v>
      </c>
      <c r="AX465" s="1">
        <f>1712*10000</f>
        <v>17120000</v>
      </c>
      <c r="AY465" s="10">
        <f t="shared" si="241"/>
        <v>-0.76311055763110558</v>
      </c>
      <c r="AZ465" s="7" t="s">
        <v>5798</v>
      </c>
      <c r="BA465" s="6" t="str">
        <f t="shared" si="242"/>
        <v>=7227*10000</v>
      </c>
      <c r="BB465" s="1">
        <f>7227*10000</f>
        <v>72270000</v>
      </c>
      <c r="BC465" s="8">
        <f t="shared" si="243"/>
        <v>0.14677880038083149</v>
      </c>
      <c r="BD465" s="7" t="s">
        <v>2301</v>
      </c>
      <c r="BE465" s="6" t="str">
        <f t="shared" si="244"/>
        <v>=6302*10000</v>
      </c>
      <c r="BF465" s="1">
        <f>6302*10000</f>
        <v>63020000</v>
      </c>
      <c r="BG465" s="8">
        <f t="shared" si="245"/>
        <v>0.47002565896897597</v>
      </c>
      <c r="BH465" s="7" t="s">
        <v>5799</v>
      </c>
      <c r="BI465" s="6" t="str">
        <f t="shared" si="246"/>
        <v>=4287*10000</v>
      </c>
      <c r="BJ465" s="1">
        <f>4287*10000</f>
        <v>42870000</v>
      </c>
      <c r="BK465" s="7" t="s">
        <v>5800</v>
      </c>
      <c r="BL465" s="1" t="str">
        <f t="shared" si="218"/>
        <v>=1384*10000</v>
      </c>
      <c r="BM465" s="16">
        <f t="shared" si="247"/>
        <v>2.0975433526011562</v>
      </c>
      <c r="BN465" s="1">
        <f>1384*10000</f>
        <v>13840000</v>
      </c>
    </row>
    <row r="466" spans="1:66">
      <c r="A466" s="17">
        <v>117</v>
      </c>
      <c r="B466">
        <v>600372</v>
      </c>
      <c r="C466" t="s">
        <v>31</v>
      </c>
      <c r="D466" s="6" t="s">
        <v>5801</v>
      </c>
      <c r="E466" s="7" t="str">
        <f t="shared" si="217"/>
        <v>=98.39*100000000</v>
      </c>
      <c r="F466" s="1">
        <f>98.39*100000000</f>
        <v>9839000000</v>
      </c>
      <c r="G466" s="8">
        <f t="shared" si="219"/>
        <v>0.41833645668156266</v>
      </c>
      <c r="H466" s="6" t="s">
        <v>5802</v>
      </c>
      <c r="I466" s="6" t="str">
        <f t="shared" si="220"/>
        <v>=69.37*100000000</v>
      </c>
      <c r="J466" s="1">
        <f>69.37*100000000</f>
        <v>6937000000</v>
      </c>
      <c r="K466" s="10">
        <f t="shared" si="221"/>
        <v>0.50281629116117854</v>
      </c>
      <c r="L466" s="6" t="s">
        <v>5803</v>
      </c>
      <c r="M466" s="6" t="str">
        <f t="shared" si="222"/>
        <v>=46.16*100000000</v>
      </c>
      <c r="N466" s="1">
        <f>46.16*100000000</f>
        <v>4616000000</v>
      </c>
      <c r="O466" s="8">
        <f t="shared" si="223"/>
        <v>1.353901070882203</v>
      </c>
      <c r="P466" s="6" t="s">
        <v>5804</v>
      </c>
      <c r="Q466" s="6" t="str">
        <f t="shared" si="224"/>
        <v>=19.61*100000000</v>
      </c>
      <c r="R466" s="11">
        <f>19.61*100000000</f>
        <v>1961000000</v>
      </c>
      <c r="S466" s="8">
        <f t="shared" si="225"/>
        <v>-0.77580884874814227</v>
      </c>
      <c r="T466" s="6" t="s">
        <v>5805</v>
      </c>
      <c r="U466" s="6" t="str">
        <f t="shared" si="226"/>
        <v>=87.47*100000000</v>
      </c>
      <c r="V466" s="1">
        <f>87.47*100000000</f>
        <v>8747000000</v>
      </c>
      <c r="W466" s="8">
        <f t="shared" si="227"/>
        <v>0.50473077584723891</v>
      </c>
      <c r="X466" s="6" t="s">
        <v>5806</v>
      </c>
      <c r="Y466" s="6" t="str">
        <f t="shared" si="228"/>
        <v>=58.13*100000000</v>
      </c>
      <c r="Z466" s="1">
        <f>58.13*100000000</f>
        <v>5813000000</v>
      </c>
      <c r="AA466" s="8">
        <f t="shared" si="229"/>
        <v>0.62510483645512982</v>
      </c>
      <c r="AB466" s="6" t="s">
        <v>5807</v>
      </c>
      <c r="AC466" s="6" t="str">
        <f t="shared" si="230"/>
        <v>=35.77*100000000</v>
      </c>
      <c r="AD466" s="1">
        <f>35.77*100000000</f>
        <v>3577000000.0000005</v>
      </c>
      <c r="AE466" s="8">
        <f t="shared" si="231"/>
        <v>1.9104963384865747</v>
      </c>
      <c r="AF466" s="6" t="s">
        <v>1382</v>
      </c>
      <c r="AG466" s="6" t="str">
        <f t="shared" si="232"/>
        <v>=12.29*100000000</v>
      </c>
      <c r="AH466" s="1">
        <f>12.29*100000000</f>
        <v>1229000000</v>
      </c>
      <c r="AI466" s="8">
        <f t="shared" si="233"/>
        <v>-0.85284961685823757</v>
      </c>
      <c r="AJ466" s="6" t="s">
        <v>5808</v>
      </c>
      <c r="AK466" s="6" t="str">
        <f t="shared" si="234"/>
        <v>=83.52*100000000</v>
      </c>
      <c r="AL466" s="1">
        <f>83.52*100000000</f>
        <v>8352000000</v>
      </c>
      <c r="AM466" s="8">
        <f t="shared" si="235"/>
        <v>0.6145370191378311</v>
      </c>
      <c r="AN466" s="6" t="s">
        <v>5809</v>
      </c>
      <c r="AO466" s="6" t="str">
        <f t="shared" si="236"/>
        <v>=51.73*100000000</v>
      </c>
      <c r="AP466" s="1">
        <f>51.73*100000000</f>
        <v>5173000000</v>
      </c>
      <c r="AQ466" s="8">
        <f t="shared" si="237"/>
        <v>0.50772369571553488</v>
      </c>
      <c r="AR466" s="6" t="s">
        <v>5810</v>
      </c>
      <c r="AS466" s="6" t="str">
        <f t="shared" si="238"/>
        <v>=34.31*100000000</v>
      </c>
      <c r="AT466" s="1">
        <f>34.31*100000000</f>
        <v>3431000000</v>
      </c>
      <c r="AU466" s="8">
        <f t="shared" si="239"/>
        <v>1.716547901821061</v>
      </c>
      <c r="AV466" s="6" t="s">
        <v>5811</v>
      </c>
      <c r="AW466" s="6" t="str">
        <f t="shared" si="240"/>
        <v>=12.63*100000000</v>
      </c>
      <c r="AX466" s="1">
        <f>12.63*100000000</f>
        <v>1263000000</v>
      </c>
      <c r="AY466" s="10">
        <f t="shared" si="241"/>
        <v>-0.83475075232238649</v>
      </c>
      <c r="AZ466" s="6" t="s">
        <v>5812</v>
      </c>
      <c r="BA466" s="6" t="str">
        <f t="shared" si="242"/>
        <v>=76.43*100000000</v>
      </c>
      <c r="BB466" s="1">
        <f>76.43*100000000</f>
        <v>7643000000.000001</v>
      </c>
      <c r="BC466" s="8">
        <f t="shared" si="243"/>
        <v>0.66116061725711828</v>
      </c>
      <c r="BD466" s="6" t="s">
        <v>5813</v>
      </c>
      <c r="BE466" s="6" t="str">
        <f t="shared" si="244"/>
        <v>=46.01*100000000</v>
      </c>
      <c r="BF466" s="1">
        <f>46.01*100000000</f>
        <v>4601000000</v>
      </c>
      <c r="BG466" s="8">
        <f t="shared" si="245"/>
        <v>0.54759502186343756</v>
      </c>
      <c r="BH466" s="6" t="s">
        <v>3541</v>
      </c>
      <c r="BI466" s="6" t="str">
        <f t="shared" si="246"/>
        <v>=29.73*100000000</v>
      </c>
      <c r="BJ466" s="1">
        <f>29.73*100000000</f>
        <v>2973000000</v>
      </c>
      <c r="BK466" s="6" t="s">
        <v>5814</v>
      </c>
      <c r="BL466" s="1" t="str">
        <f t="shared" si="218"/>
        <v>=9.024*100000000</v>
      </c>
      <c r="BM466" s="16">
        <f t="shared" si="247"/>
        <v>2.2945478723404258</v>
      </c>
      <c r="BN466" s="1">
        <f>9.024*100000000</f>
        <v>902399999.99999988</v>
      </c>
    </row>
    <row r="467" spans="1:66">
      <c r="A467" s="18"/>
      <c r="B467">
        <v>600372</v>
      </c>
      <c r="C467" t="s">
        <v>48</v>
      </c>
      <c r="D467" s="6" t="s">
        <v>5815</v>
      </c>
      <c r="E467" s="7" t="str">
        <f t="shared" si="217"/>
        <v>=8.817*100000000</v>
      </c>
      <c r="F467" s="1">
        <f>8.817*100000000</f>
        <v>881700000</v>
      </c>
      <c r="G467" s="8">
        <f t="shared" si="219"/>
        <v>0.3516786754560785</v>
      </c>
      <c r="H467" s="6" t="s">
        <v>5816</v>
      </c>
      <c r="I467" s="6" t="str">
        <f t="shared" si="220"/>
        <v>=6.523*100000000</v>
      </c>
      <c r="J467" s="1">
        <f>6.523*100000000</f>
        <v>652300000</v>
      </c>
      <c r="K467" s="10">
        <f t="shared" si="221"/>
        <v>0.44346094268643504</v>
      </c>
      <c r="L467" s="6" t="s">
        <v>5817</v>
      </c>
      <c r="M467" s="6" t="str">
        <f t="shared" si="222"/>
        <v>=4.519*100000000</v>
      </c>
      <c r="N467" s="1">
        <f>4.519*100000000</f>
        <v>451900000</v>
      </c>
      <c r="O467" s="8">
        <f t="shared" si="223"/>
        <v>1.7792127921279213</v>
      </c>
      <c r="P467" s="6" t="s">
        <v>5818</v>
      </c>
      <c r="Q467" s="6" t="str">
        <f t="shared" si="224"/>
        <v>=1.626*100000000</v>
      </c>
      <c r="R467" s="11">
        <f>1.626*100000000</f>
        <v>162600000</v>
      </c>
      <c r="S467" s="8">
        <f t="shared" si="225"/>
        <v>-0.77768662838392122</v>
      </c>
      <c r="T467" s="6" t="s">
        <v>5819</v>
      </c>
      <c r="U467" s="6" t="str">
        <f t="shared" si="226"/>
        <v>=7.314*100000000</v>
      </c>
      <c r="V467" s="1">
        <f>7.314*100000000</f>
        <v>731400000</v>
      </c>
      <c r="W467" s="8">
        <f t="shared" si="227"/>
        <v>0.51397226247153782</v>
      </c>
      <c r="X467" s="6" t="s">
        <v>5820</v>
      </c>
      <c r="Y467" s="6" t="str">
        <f t="shared" si="228"/>
        <v>=4.831*100000000</v>
      </c>
      <c r="Z467" s="1">
        <f>4.831*100000000</f>
        <v>483100000.00000006</v>
      </c>
      <c r="AA467" s="8">
        <f t="shared" si="229"/>
        <v>0.54988771254411317</v>
      </c>
      <c r="AB467" s="6" t="s">
        <v>5821</v>
      </c>
      <c r="AC467" s="6" t="str">
        <f t="shared" si="230"/>
        <v>=3.117*100000000</v>
      </c>
      <c r="AD467" s="1">
        <f>3.117*100000000</f>
        <v>311700000</v>
      </c>
      <c r="AE467" s="8">
        <f t="shared" si="231"/>
        <v>2.4718200044553353</v>
      </c>
      <c r="AF467" s="7" t="s">
        <v>5822</v>
      </c>
      <c r="AG467" s="6" t="str">
        <f t="shared" si="232"/>
        <v>=8978*10000</v>
      </c>
      <c r="AH467" s="1">
        <f>8978*10000</f>
        <v>89780000</v>
      </c>
      <c r="AI467" s="8">
        <f t="shared" si="233"/>
        <v>-0.85214097496706187</v>
      </c>
      <c r="AJ467" s="6" t="s">
        <v>3791</v>
      </c>
      <c r="AK467" s="6" t="str">
        <f t="shared" si="234"/>
        <v>=6.072*100000000</v>
      </c>
      <c r="AL467" s="1">
        <f>6.072*100000000</f>
        <v>607200000</v>
      </c>
      <c r="AM467" s="8">
        <f t="shared" si="235"/>
        <v>0.87349583461894476</v>
      </c>
      <c r="AN467" s="6" t="s">
        <v>5823</v>
      </c>
      <c r="AO467" s="6" t="str">
        <f t="shared" si="236"/>
        <v>=3.241*100000000</v>
      </c>
      <c r="AP467" s="1">
        <f>3.241*100000000</f>
        <v>324100000</v>
      </c>
      <c r="AQ467" s="8">
        <f t="shared" si="237"/>
        <v>0.45336322869955159</v>
      </c>
      <c r="AR467" s="6" t="s">
        <v>5824</v>
      </c>
      <c r="AS467" s="6" t="str">
        <f t="shared" si="238"/>
        <v>=2.230*100000000</v>
      </c>
      <c r="AT467" s="1">
        <f>2.23*100000000</f>
        <v>223000000</v>
      </c>
      <c r="AU467" s="8">
        <f t="shared" si="239"/>
        <v>-8.8631875881523268</v>
      </c>
      <c r="AV467" s="7">
        <f>-2836*10000</f>
        <v>-28360000</v>
      </c>
      <c r="AW467" s="6" t="str">
        <f t="shared" si="240"/>
        <v>=-28360000</v>
      </c>
      <c r="AX467" s="1">
        <f>-28360000</f>
        <v>-28360000</v>
      </c>
      <c r="AY467" s="10">
        <f t="shared" si="241"/>
        <v>-1.0598059890341629</v>
      </c>
      <c r="AZ467" s="6" t="s">
        <v>5825</v>
      </c>
      <c r="BA467" s="6" t="str">
        <f t="shared" si="242"/>
        <v>=4.742*100000000</v>
      </c>
      <c r="BB467" s="1">
        <f>4.742*100000000</f>
        <v>474200000</v>
      </c>
      <c r="BC467" s="8">
        <f t="shared" si="243"/>
        <v>1.1274113952445042</v>
      </c>
      <c r="BD467" s="6" t="s">
        <v>5826</v>
      </c>
      <c r="BE467" s="6" t="str">
        <f t="shared" si="244"/>
        <v>=2.229*100000000</v>
      </c>
      <c r="BF467" s="1">
        <f>2.229*100000000</f>
        <v>222900000</v>
      </c>
      <c r="BG467" s="8">
        <f t="shared" si="245"/>
        <v>0.873109243697479</v>
      </c>
      <c r="BH467" s="6" t="s">
        <v>1958</v>
      </c>
      <c r="BI467" s="6" t="str">
        <f t="shared" si="246"/>
        <v>=1.190*100000000</v>
      </c>
      <c r="BJ467" s="1">
        <f>1.19*100000000</f>
        <v>119000000</v>
      </c>
      <c r="BK467" s="7">
        <f>-8324*10000</f>
        <v>-83240000</v>
      </c>
      <c r="BL467" s="1" t="str">
        <f t="shared" si="218"/>
        <v>=-83240000</v>
      </c>
      <c r="BM467" s="16">
        <f t="shared" si="247"/>
        <v>-2.4296011532916868</v>
      </c>
      <c r="BN467" s="1">
        <f>-83240000</f>
        <v>-83240000</v>
      </c>
    </row>
    <row r="468" spans="1:66">
      <c r="A468" s="18"/>
      <c r="B468">
        <v>600372</v>
      </c>
      <c r="C468" t="s">
        <v>58</v>
      </c>
      <c r="D468" s="6" t="s">
        <v>5827</v>
      </c>
      <c r="E468" s="7" t="str">
        <f t="shared" si="217"/>
        <v>=8.811*100000000</v>
      </c>
      <c r="F468" s="1">
        <f>8.811*100000000</f>
        <v>881100000</v>
      </c>
      <c r="G468" s="8">
        <f t="shared" si="219"/>
        <v>0.34354986276303751</v>
      </c>
      <c r="H468" s="6" t="s">
        <v>5828</v>
      </c>
      <c r="I468" s="6" t="str">
        <f t="shared" si="220"/>
        <v>=6.558*100000000</v>
      </c>
      <c r="J468" s="1">
        <f>6.558*100000000</f>
        <v>655800000</v>
      </c>
      <c r="K468" s="10">
        <f t="shared" si="221"/>
        <v>0.4438573315719947</v>
      </c>
      <c r="L468" s="6" t="s">
        <v>5829</v>
      </c>
      <c r="M468" s="6" t="str">
        <f t="shared" si="222"/>
        <v>=4.542*100000000</v>
      </c>
      <c r="N468" s="1">
        <f>4.542*100000000</f>
        <v>454200000</v>
      </c>
      <c r="O468" s="8">
        <f t="shared" si="223"/>
        <v>1.7560679611650485</v>
      </c>
      <c r="P468" s="6" t="s">
        <v>2157</v>
      </c>
      <c r="Q468" s="6" t="str">
        <f t="shared" si="224"/>
        <v>=1.648*100000000</v>
      </c>
      <c r="R468" s="11">
        <f>1.648*100000000</f>
        <v>164800000</v>
      </c>
      <c r="S468" s="8">
        <f t="shared" si="225"/>
        <v>-0.77095205003474632</v>
      </c>
      <c r="T468" s="6" t="s">
        <v>5830</v>
      </c>
      <c r="U468" s="6" t="str">
        <f t="shared" si="226"/>
        <v>=7.195*100000000</v>
      </c>
      <c r="V468" s="1">
        <f>7.195*100000000</f>
        <v>719500000</v>
      </c>
      <c r="W468" s="8">
        <f t="shared" si="227"/>
        <v>0.47710942311640303</v>
      </c>
      <c r="X468" s="6" t="s">
        <v>1828</v>
      </c>
      <c r="Y468" s="6" t="str">
        <f t="shared" si="228"/>
        <v>=4.871*100000000</v>
      </c>
      <c r="Z468" s="1">
        <f>4.871*100000000</f>
        <v>487100000.00000006</v>
      </c>
      <c r="AA468" s="8">
        <f t="shared" si="229"/>
        <v>0.55028644175684294</v>
      </c>
      <c r="AB468" s="6" t="s">
        <v>5831</v>
      </c>
      <c r="AC468" s="6" t="str">
        <f t="shared" si="230"/>
        <v>=3.142*100000000</v>
      </c>
      <c r="AD468" s="1">
        <f>3.142*100000000</f>
        <v>314200000</v>
      </c>
      <c r="AE468" s="8">
        <f t="shared" si="231"/>
        <v>2.3978587650048664</v>
      </c>
      <c r="AF468" s="7" t="s">
        <v>5832</v>
      </c>
      <c r="AG468" s="6" t="str">
        <f t="shared" si="232"/>
        <v>=9247*10000</v>
      </c>
      <c r="AH468" s="1">
        <f>9247*10000</f>
        <v>92470000</v>
      </c>
      <c r="AI468" s="8">
        <f t="shared" si="233"/>
        <v>-0.8534780541910949</v>
      </c>
      <c r="AJ468" s="6" t="s">
        <v>5833</v>
      </c>
      <c r="AK468" s="6" t="str">
        <f t="shared" si="234"/>
        <v>=6.311*100000000</v>
      </c>
      <c r="AL468" s="1">
        <f>6.311*100000000</f>
        <v>631100000</v>
      </c>
      <c r="AM468" s="8">
        <f t="shared" si="235"/>
        <v>0.87715645449137414</v>
      </c>
      <c r="AN468" s="6" t="s">
        <v>5834</v>
      </c>
      <c r="AO468" s="6" t="str">
        <f t="shared" si="236"/>
        <v>=3.362*100000000</v>
      </c>
      <c r="AP468" s="1">
        <f>3.362*100000000</f>
        <v>336200000</v>
      </c>
      <c r="AQ468" s="8">
        <f t="shared" si="237"/>
        <v>0.50694755714926043</v>
      </c>
      <c r="AR468" s="6" t="s">
        <v>5835</v>
      </c>
      <c r="AS468" s="6" t="str">
        <f t="shared" si="238"/>
        <v>=2.231*100000000</v>
      </c>
      <c r="AT468" s="1">
        <f>2.231*100000000</f>
        <v>223100000</v>
      </c>
      <c r="AU468" s="8">
        <f t="shared" si="239"/>
        <v>-9.3998493975903621</v>
      </c>
      <c r="AV468" s="7">
        <f>-2656*10000</f>
        <v>-26560000</v>
      </c>
      <c r="AW468" s="6" t="str">
        <f t="shared" si="240"/>
        <v>=-26560000</v>
      </c>
      <c r="AX468" s="1">
        <f>-26560000</f>
        <v>-26560000</v>
      </c>
      <c r="AY468" s="10">
        <f t="shared" si="241"/>
        <v>-1.0469589816124469</v>
      </c>
      <c r="AZ468" s="6" t="s">
        <v>5836</v>
      </c>
      <c r="BA468" s="6" t="str">
        <f t="shared" si="242"/>
        <v>=5.656*100000000</v>
      </c>
      <c r="BB468" s="1">
        <f>5.656*100000000</f>
        <v>565600000</v>
      </c>
      <c r="BC468" s="8">
        <f t="shared" si="243"/>
        <v>0.85869208018402887</v>
      </c>
      <c r="BD468" s="6" t="s">
        <v>5837</v>
      </c>
      <c r="BE468" s="6" t="str">
        <f t="shared" si="244"/>
        <v>=3.043*100000000</v>
      </c>
      <c r="BF468" s="1">
        <f>3.043*100000000</f>
        <v>304300000</v>
      </c>
      <c r="BG468" s="8">
        <f t="shared" si="245"/>
        <v>0.55731832139201642</v>
      </c>
      <c r="BH468" s="6" t="s">
        <v>4634</v>
      </c>
      <c r="BI468" s="6" t="str">
        <f t="shared" si="246"/>
        <v>=1.954*100000000</v>
      </c>
      <c r="BJ468" s="1">
        <f>1.954*100000000</f>
        <v>195400000</v>
      </c>
      <c r="BK468" s="7">
        <f>-6750*10000</f>
        <v>-67500000</v>
      </c>
      <c r="BL468" s="1" t="str">
        <f t="shared" si="218"/>
        <v>=-67500000</v>
      </c>
      <c r="BM468" s="16">
        <f t="shared" si="247"/>
        <v>-3.894814814814815</v>
      </c>
      <c r="BN468" s="1">
        <f>-67500000</f>
        <v>-67500000</v>
      </c>
    </row>
    <row r="469" spans="1:66">
      <c r="A469" s="19"/>
      <c r="B469">
        <v>600372</v>
      </c>
      <c r="C469" t="s">
        <v>68</v>
      </c>
      <c r="D469" s="6" t="s">
        <v>5838</v>
      </c>
      <c r="E469" s="7" t="str">
        <f t="shared" si="217"/>
        <v>=8.177*100000000</v>
      </c>
      <c r="F469" s="1">
        <f>8.177*100000000</f>
        <v>817700000</v>
      </c>
      <c r="G469" s="8">
        <f t="shared" si="219"/>
        <v>0.37405478070912451</v>
      </c>
      <c r="H469" s="6" t="s">
        <v>5839</v>
      </c>
      <c r="I469" s="6" t="str">
        <f t="shared" si="220"/>
        <v>=5.951*100000000</v>
      </c>
      <c r="J469" s="1">
        <f>5.951*100000000</f>
        <v>595100000</v>
      </c>
      <c r="K469" s="10">
        <f t="shared" si="221"/>
        <v>0.49710691823899372</v>
      </c>
      <c r="L469" s="6" t="s">
        <v>5840</v>
      </c>
      <c r="M469" s="6" t="str">
        <f t="shared" si="222"/>
        <v>=3.975*100000000</v>
      </c>
      <c r="N469" s="1">
        <f>3.975*100000000</f>
        <v>397500000</v>
      </c>
      <c r="O469" s="8">
        <f t="shared" si="223"/>
        <v>1.7357192016517551</v>
      </c>
      <c r="P469" s="6" t="s">
        <v>3481</v>
      </c>
      <c r="Q469" s="6" t="str">
        <f t="shared" si="224"/>
        <v>=1.453*100000000</v>
      </c>
      <c r="R469" s="11">
        <f>1.453*100000000</f>
        <v>145300000</v>
      </c>
      <c r="S469" s="8">
        <f t="shared" si="225"/>
        <v>-0.77826949488783759</v>
      </c>
      <c r="T469" s="6" t="s">
        <v>5841</v>
      </c>
      <c r="U469" s="6" t="str">
        <f t="shared" si="226"/>
        <v>=6.553*100000000</v>
      </c>
      <c r="V469" s="1">
        <f>6.553*100000000</f>
        <v>655300000</v>
      </c>
      <c r="W469" s="8">
        <f t="shared" si="227"/>
        <v>0.51654709557972689</v>
      </c>
      <c r="X469" s="6" t="s">
        <v>5842</v>
      </c>
      <c r="Y469" s="6" t="str">
        <f t="shared" si="228"/>
        <v>=4.321*100000000</v>
      </c>
      <c r="Z469" s="1">
        <f>4.321*100000000</f>
        <v>432100000</v>
      </c>
      <c r="AA469" s="8">
        <f t="shared" si="229"/>
        <v>0.57127272727272727</v>
      </c>
      <c r="AB469" s="6" t="s">
        <v>5843</v>
      </c>
      <c r="AC469" s="6" t="str">
        <f t="shared" si="230"/>
        <v>=2.750*100000000</v>
      </c>
      <c r="AD469" s="1">
        <f>2.75*100000000</f>
        <v>275000000</v>
      </c>
      <c r="AE469" s="8">
        <f t="shared" si="231"/>
        <v>2.5868005738880919</v>
      </c>
      <c r="AF469" s="7" t="s">
        <v>5844</v>
      </c>
      <c r="AG469" s="6" t="str">
        <f t="shared" si="232"/>
        <v>=7667*10000</v>
      </c>
      <c r="AH469" s="1">
        <f>7667*10000</f>
        <v>76670000</v>
      </c>
      <c r="AI469" s="8">
        <f t="shared" si="233"/>
        <v>-0.86749049429657799</v>
      </c>
      <c r="AJ469" s="6" t="s">
        <v>5845</v>
      </c>
      <c r="AK469" s="6" t="str">
        <f t="shared" si="234"/>
        <v>=5.786*100000000</v>
      </c>
      <c r="AL469" s="1">
        <f>5.786*100000000</f>
        <v>578600000</v>
      </c>
      <c r="AM469" s="8">
        <f t="shared" si="235"/>
        <v>0.98626845176793687</v>
      </c>
      <c r="AN469" s="6" t="s">
        <v>5846</v>
      </c>
      <c r="AO469" s="6" t="str">
        <f t="shared" si="236"/>
        <v>=2.913*100000000</v>
      </c>
      <c r="AP469" s="1">
        <f>2.913*100000000</f>
        <v>291300000</v>
      </c>
      <c r="AQ469" s="8">
        <f t="shared" si="237"/>
        <v>0.59441707717569792</v>
      </c>
      <c r="AR469" s="6" t="s">
        <v>5847</v>
      </c>
      <c r="AS469" s="6" t="str">
        <f t="shared" si="238"/>
        <v>=1.827*100000000</v>
      </c>
      <c r="AT469" s="1">
        <f>1.827*100000000</f>
        <v>182700000</v>
      </c>
      <c r="AU469" s="8">
        <f t="shared" si="239"/>
        <v>-6.132022471910112</v>
      </c>
      <c r="AV469" s="7">
        <f>-3560*10000</f>
        <v>-35600000</v>
      </c>
      <c r="AW469" s="6" t="str">
        <f t="shared" si="240"/>
        <v>=-35600000</v>
      </c>
      <c r="AX469" s="1">
        <f>-35600000</f>
        <v>-35600000</v>
      </c>
      <c r="AY469" s="10">
        <f t="shared" si="241"/>
        <v>-1.0737823834196891</v>
      </c>
      <c r="AZ469" s="6" t="s">
        <v>5848</v>
      </c>
      <c r="BA469" s="6" t="str">
        <f t="shared" si="242"/>
        <v>=4.825*100000000</v>
      </c>
      <c r="BB469" s="1">
        <f>4.825*100000000</f>
        <v>482500000</v>
      </c>
      <c r="BC469" s="8">
        <f t="shared" si="243"/>
        <v>0.86509470429068402</v>
      </c>
      <c r="BD469" s="6" t="s">
        <v>5849</v>
      </c>
      <c r="BE469" s="6" t="str">
        <f t="shared" si="244"/>
        <v>=2.587*100000000</v>
      </c>
      <c r="BF469" s="1">
        <f>2.587*100000000</f>
        <v>258700000.00000003</v>
      </c>
      <c r="BG469" s="8">
        <f t="shared" si="245"/>
        <v>0.73740765614506398</v>
      </c>
      <c r="BH469" s="6" t="s">
        <v>5850</v>
      </c>
      <c r="BI469" s="6" t="str">
        <f t="shared" si="246"/>
        <v>=1.489*100000000</v>
      </c>
      <c r="BJ469" s="1">
        <f>1.489*100000000</f>
        <v>148900000</v>
      </c>
      <c r="BK469" s="7">
        <f>-6868*10000</f>
        <v>-68680000</v>
      </c>
      <c r="BL469" s="1" t="str">
        <f t="shared" si="218"/>
        <v>=-68680000</v>
      </c>
      <c r="BM469" s="16">
        <f t="shared" si="247"/>
        <v>-3.168025626092021</v>
      </c>
      <c r="BN469" s="1">
        <f>-68680000</f>
        <v>-68680000</v>
      </c>
    </row>
    <row r="470" spans="1:66">
      <c r="A470" s="17">
        <v>118</v>
      </c>
      <c r="B470">
        <v>600375</v>
      </c>
      <c r="C470" t="s">
        <v>31</v>
      </c>
      <c r="D470" s="6" t="s">
        <v>5851</v>
      </c>
      <c r="E470" s="7" t="str">
        <f t="shared" si="217"/>
        <v>=53.20*100000000</v>
      </c>
      <c r="F470" s="1">
        <f>53.2*100000000</f>
        <v>5320000000</v>
      </c>
      <c r="G470" s="8">
        <f t="shared" si="219"/>
        <v>0.20361990950226244</v>
      </c>
      <c r="H470" s="6" t="s">
        <v>4841</v>
      </c>
      <c r="I470" s="6" t="str">
        <f t="shared" si="220"/>
        <v>=44.20*100000000</v>
      </c>
      <c r="J470" s="1">
        <f>44.2*100000000</f>
        <v>4420000000</v>
      </c>
      <c r="K470" s="10">
        <f t="shared" si="221"/>
        <v>0.15104166666666666</v>
      </c>
      <c r="L470" s="6" t="s">
        <v>5852</v>
      </c>
      <c r="M470" s="6" t="str">
        <f t="shared" si="222"/>
        <v>=38.40*100000000</v>
      </c>
      <c r="N470" s="1">
        <f>38.4*100000000</f>
        <v>3840000000</v>
      </c>
      <c r="O470" s="8">
        <f t="shared" si="223"/>
        <v>1.4983734547820429</v>
      </c>
      <c r="P470" s="6" t="s">
        <v>5421</v>
      </c>
      <c r="Q470" s="6" t="str">
        <f t="shared" si="224"/>
        <v>=15.37*100000000</v>
      </c>
      <c r="R470" s="11">
        <f>15.37*100000000</f>
        <v>1537000000</v>
      </c>
      <c r="S470" s="8">
        <f t="shared" si="225"/>
        <v>-0.76088985687616673</v>
      </c>
      <c r="T470" s="6" t="s">
        <v>5853</v>
      </c>
      <c r="U470" s="6" t="str">
        <f t="shared" si="226"/>
        <v>=64.28*100000000</v>
      </c>
      <c r="V470" s="1">
        <f>64.28*100000000</f>
        <v>6428000000</v>
      </c>
      <c r="W470" s="8">
        <f t="shared" si="227"/>
        <v>0.20464767616191903</v>
      </c>
      <c r="X470" s="6" t="s">
        <v>5854</v>
      </c>
      <c r="Y470" s="6" t="str">
        <f t="shared" si="228"/>
        <v>=53.36*100000000</v>
      </c>
      <c r="Z470" s="1">
        <f>53.36*100000000</f>
        <v>5336000000</v>
      </c>
      <c r="AA470" s="8">
        <f t="shared" si="229"/>
        <v>0.55342066957787484</v>
      </c>
      <c r="AB470" s="6" t="s">
        <v>5855</v>
      </c>
      <c r="AC470" s="6" t="str">
        <f t="shared" si="230"/>
        <v>=34.35*100000000</v>
      </c>
      <c r="AD470" s="1">
        <f>34.35*100000000</f>
        <v>3435000000</v>
      </c>
      <c r="AE470" s="8">
        <f t="shared" si="231"/>
        <v>2.2102803738317758</v>
      </c>
      <c r="AF470" s="6" t="s">
        <v>5856</v>
      </c>
      <c r="AG470" s="6" t="str">
        <f t="shared" si="232"/>
        <v>=10.70*100000000</v>
      </c>
      <c r="AH470" s="1">
        <f>10.7*100000000</f>
        <v>1069999999.9999999</v>
      </c>
      <c r="AI470" s="8">
        <f t="shared" si="233"/>
        <v>-0.8323672254425819</v>
      </c>
      <c r="AJ470" s="6" t="s">
        <v>5857</v>
      </c>
      <c r="AK470" s="6" t="str">
        <f t="shared" si="234"/>
        <v>=63.83*100000000</v>
      </c>
      <c r="AL470" s="1">
        <f>63.83*100000000</f>
        <v>6383000000</v>
      </c>
      <c r="AM470" s="8">
        <f t="shared" si="235"/>
        <v>0.28146958442079906</v>
      </c>
      <c r="AN470" s="6" t="s">
        <v>5858</v>
      </c>
      <c r="AO470" s="6" t="str">
        <f t="shared" si="236"/>
        <v>=49.81*100000000</v>
      </c>
      <c r="AP470" s="1">
        <f>49.81*100000000</f>
        <v>4981000000</v>
      </c>
      <c r="AQ470" s="8">
        <f t="shared" si="237"/>
        <v>0.309067017082786</v>
      </c>
      <c r="AR470" s="6" t="s">
        <v>5859</v>
      </c>
      <c r="AS470" s="6" t="str">
        <f t="shared" si="238"/>
        <v>=38.05*100000000</v>
      </c>
      <c r="AT470" s="1">
        <f>38.05*100000000</f>
        <v>3804999999.9999995</v>
      </c>
      <c r="AU470" s="8">
        <f t="shared" si="239"/>
        <v>0.98487219613980126</v>
      </c>
      <c r="AV470" s="6" t="s">
        <v>3268</v>
      </c>
      <c r="AW470" s="6" t="str">
        <f t="shared" si="240"/>
        <v>=19.17*100000000</v>
      </c>
      <c r="AX470" s="1">
        <f>19.17*100000000</f>
        <v>1917000000.0000002</v>
      </c>
      <c r="AY470" s="10">
        <f t="shared" si="241"/>
        <v>-0.73710916072408117</v>
      </c>
      <c r="AZ470" s="6" t="s">
        <v>5860</v>
      </c>
      <c r="BA470" s="6" t="str">
        <f t="shared" si="242"/>
        <v>=72.92*100000000</v>
      </c>
      <c r="BB470" s="1">
        <f>72.92*100000000</f>
        <v>7292000000</v>
      </c>
      <c r="BC470" s="8">
        <f t="shared" si="243"/>
        <v>0.44797458300238285</v>
      </c>
      <c r="BD470" s="6" t="s">
        <v>5861</v>
      </c>
      <c r="BE470" s="6" t="str">
        <f t="shared" si="244"/>
        <v>=50.36*100000000</v>
      </c>
      <c r="BF470" s="1">
        <f>50.36*100000000</f>
        <v>5036000000</v>
      </c>
      <c r="BG470" s="8">
        <f t="shared" si="245"/>
        <v>0.3614490402811571</v>
      </c>
      <c r="BH470" s="6" t="s">
        <v>5862</v>
      </c>
      <c r="BI470" s="6" t="str">
        <f t="shared" si="246"/>
        <v>=36.99*100000000</v>
      </c>
      <c r="BJ470" s="1">
        <f>36.99*100000000</f>
        <v>3699000000</v>
      </c>
      <c r="BK470" s="6" t="s">
        <v>5863</v>
      </c>
      <c r="BL470" s="1" t="str">
        <f t="shared" si="218"/>
        <v>=14.69*100000000</v>
      </c>
      <c r="BM470" s="16">
        <f t="shared" si="247"/>
        <v>1.5180394826412527</v>
      </c>
      <c r="BN470" s="1">
        <f>14.69*100000000</f>
        <v>1469000000</v>
      </c>
    </row>
    <row r="471" spans="1:66">
      <c r="A471" s="18"/>
      <c r="B471">
        <v>600375</v>
      </c>
      <c r="C471" t="s">
        <v>48</v>
      </c>
      <c r="D471" s="6">
        <f>-13.38*100000000</f>
        <v>-1338000000</v>
      </c>
      <c r="E471" s="7" t="str">
        <f t="shared" si="217"/>
        <v>=-1338000000</v>
      </c>
      <c r="F471" s="1">
        <f>-1338000000</f>
        <v>-1338000000</v>
      </c>
      <c r="G471" s="8">
        <f t="shared" si="219"/>
        <v>0.79212429681221541</v>
      </c>
      <c r="H471" s="6">
        <f>-7.466*100000000</f>
        <v>-746600000</v>
      </c>
      <c r="I471" s="6" t="str">
        <f t="shared" si="220"/>
        <v>=-746600000</v>
      </c>
      <c r="J471" s="1">
        <f>-746600000</f>
        <v>-746600000</v>
      </c>
      <c r="K471" s="10">
        <f t="shared" si="221"/>
        <v>0.3225863596102746</v>
      </c>
      <c r="L471" s="6">
        <f>-5.645*100000000</f>
        <v>-564500000</v>
      </c>
      <c r="M471" s="6" t="str">
        <f t="shared" si="222"/>
        <v>=-564500000</v>
      </c>
      <c r="N471" s="1">
        <f>-564500000</f>
        <v>-564500000</v>
      </c>
      <c r="O471" s="8">
        <f t="shared" si="223"/>
        <v>57.25593395252838</v>
      </c>
      <c r="P471" s="7">
        <f>-969*10000</f>
        <v>-9690000</v>
      </c>
      <c r="Q471" s="6" t="str">
        <f t="shared" si="224"/>
        <v>=-9690000</v>
      </c>
      <c r="R471" s="11">
        <f>-9690000</f>
        <v>-9690000</v>
      </c>
      <c r="S471" s="8">
        <f t="shared" si="225"/>
        <v>-0.97978301689964531</v>
      </c>
      <c r="T471" s="6">
        <f>-4.793*100000000</f>
        <v>-479300000</v>
      </c>
      <c r="U471" s="6" t="str">
        <f t="shared" si="226"/>
        <v>=-479300000</v>
      </c>
      <c r="V471" s="1">
        <f>-479300000</f>
        <v>-479300000</v>
      </c>
      <c r="W471" s="8">
        <f t="shared" si="227"/>
        <v>1.9993742177722154</v>
      </c>
      <c r="X471" s="6">
        <f>-1.598*100000000</f>
        <v>-159800000</v>
      </c>
      <c r="Y471" s="6" t="str">
        <f t="shared" si="228"/>
        <v>=-159800000</v>
      </c>
      <c r="Z471" s="1">
        <f>-159800000</f>
        <v>-159800000</v>
      </c>
      <c r="AA471" s="8">
        <f t="shared" si="229"/>
        <v>0.82274438234287672</v>
      </c>
      <c r="AB471" s="7">
        <f>-8767*10000</f>
        <v>-87670000</v>
      </c>
      <c r="AC471" s="6" t="str">
        <f t="shared" si="230"/>
        <v>=-87670000</v>
      </c>
      <c r="AD471" s="1">
        <f>-87670000</f>
        <v>-87670000</v>
      </c>
      <c r="AE471" s="8">
        <f t="shared" si="231"/>
        <v>-0.2080397470641373</v>
      </c>
      <c r="AF471" s="6">
        <f>-1.107*100000000</f>
        <v>-110700000</v>
      </c>
      <c r="AG471" s="6" t="str">
        <f t="shared" si="232"/>
        <v>=-110700000</v>
      </c>
      <c r="AH471" s="1">
        <f>-110700000</f>
        <v>-110700000</v>
      </c>
      <c r="AI471" s="8">
        <f t="shared" si="233"/>
        <v>-7.1092715231788075</v>
      </c>
      <c r="AJ471" s="7" t="s">
        <v>5864</v>
      </c>
      <c r="AK471" s="6" t="str">
        <f t="shared" si="234"/>
        <v>=1812*10000</v>
      </c>
      <c r="AL471" s="1">
        <f>1812*10000</f>
        <v>18120000</v>
      </c>
      <c r="AM471" s="8">
        <f t="shared" si="235"/>
        <v>1.8634639696586599</v>
      </c>
      <c r="AN471" s="7" t="s">
        <v>5865</v>
      </c>
      <c r="AO471" s="6" t="str">
        <f t="shared" si="236"/>
        <v>=632.8*10000</v>
      </c>
      <c r="AP471" s="1">
        <f>632.8*10000</f>
        <v>6328000</v>
      </c>
      <c r="AQ471" s="8">
        <f t="shared" si="237"/>
        <v>-0.7077136258660508</v>
      </c>
      <c r="AR471" s="7" t="s">
        <v>5866</v>
      </c>
      <c r="AS471" s="6" t="str">
        <f t="shared" si="238"/>
        <v>=2165*10000</v>
      </c>
      <c r="AT471" s="1">
        <f>2165*10000</f>
        <v>21650000</v>
      </c>
      <c r="AU471" s="8">
        <f t="shared" si="239"/>
        <v>2.9937280944475191</v>
      </c>
      <c r="AV471" s="7" t="s">
        <v>5867</v>
      </c>
      <c r="AW471" s="6" t="str">
        <f t="shared" si="240"/>
        <v>=542.1*10000</v>
      </c>
      <c r="AX471" s="1">
        <f>542.1*10000</f>
        <v>5421000</v>
      </c>
      <c r="AY471" s="10">
        <f t="shared" si="241"/>
        <v>-0.8976976788073221</v>
      </c>
      <c r="AZ471" s="7" t="s">
        <v>5868</v>
      </c>
      <c r="BA471" s="6" t="str">
        <f t="shared" si="242"/>
        <v>=5299*10000</v>
      </c>
      <c r="BB471" s="1">
        <f>5299*10000</f>
        <v>52990000</v>
      </c>
      <c r="BC471" s="8">
        <f t="shared" si="243"/>
        <v>2.3411097099621689</v>
      </c>
      <c r="BD471" s="7" t="s">
        <v>5869</v>
      </c>
      <c r="BE471" s="6" t="str">
        <f t="shared" si="244"/>
        <v>=1586*10000</v>
      </c>
      <c r="BF471" s="1">
        <f>1586*10000</f>
        <v>15860000</v>
      </c>
      <c r="BG471" s="8">
        <f t="shared" si="245"/>
        <v>-0.65393846825223656</v>
      </c>
      <c r="BH471" s="7" t="s">
        <v>5870</v>
      </c>
      <c r="BI471" s="6" t="str">
        <f t="shared" si="246"/>
        <v>=4583*10000</v>
      </c>
      <c r="BJ471" s="1">
        <f>4583*10000</f>
        <v>45830000</v>
      </c>
      <c r="BK471" s="7" t="s">
        <v>3077</v>
      </c>
      <c r="BL471" s="1" t="str">
        <f t="shared" si="218"/>
        <v>=997.6*10000</v>
      </c>
      <c r="BM471" s="16">
        <f t="shared" si="247"/>
        <v>3.5940256615878106</v>
      </c>
      <c r="BN471" s="1">
        <f>997.6*10000</f>
        <v>9976000</v>
      </c>
    </row>
    <row r="472" spans="1:66">
      <c r="A472" s="18"/>
      <c r="B472">
        <v>600375</v>
      </c>
      <c r="C472" t="s">
        <v>58</v>
      </c>
      <c r="D472" s="6">
        <f>-13.4*100000000</f>
        <v>-1340000000</v>
      </c>
      <c r="E472" s="7" t="str">
        <f t="shared" si="217"/>
        <v>=-1340000000</v>
      </c>
      <c r="F472" s="1">
        <f>-1340000000</f>
        <v>-1340000000</v>
      </c>
      <c r="G472" s="8">
        <f t="shared" si="219"/>
        <v>0.80131738136846353</v>
      </c>
      <c r="H472" s="6">
        <f>-7.439*100000000</f>
        <v>-743900000</v>
      </c>
      <c r="I472" s="6" t="str">
        <f t="shared" si="220"/>
        <v>=-743900000</v>
      </c>
      <c r="J472" s="1">
        <f>-743900000</f>
        <v>-743900000</v>
      </c>
      <c r="K472" s="10">
        <f t="shared" si="221"/>
        <v>0.32413670345318618</v>
      </c>
      <c r="L472" s="6">
        <f>-5.618*100000000</f>
        <v>-561800000</v>
      </c>
      <c r="M472" s="6" t="str">
        <f t="shared" si="222"/>
        <v>=-561800000</v>
      </c>
      <c r="N472" s="1">
        <f>-561800000</f>
        <v>-561800000</v>
      </c>
      <c r="O472" s="8">
        <f t="shared" si="223"/>
        <v>63.139741979678043</v>
      </c>
      <c r="P472" s="7">
        <f>-875.9*10000</f>
        <v>-8759000</v>
      </c>
      <c r="Q472" s="6" t="str">
        <f t="shared" si="224"/>
        <v>=-8759000</v>
      </c>
      <c r="R472" s="11">
        <f>-8759000</f>
        <v>-8759000</v>
      </c>
      <c r="S472" s="8">
        <f t="shared" si="225"/>
        <v>-0.98163346613545821</v>
      </c>
      <c r="T472" s="6">
        <f>-4.769*100000000</f>
        <v>-476900000</v>
      </c>
      <c r="U472" s="6" t="str">
        <f t="shared" si="226"/>
        <v>=-476900000</v>
      </c>
      <c r="V472" s="1">
        <f>-476900000</f>
        <v>-476900000</v>
      </c>
      <c r="W472" s="8">
        <f t="shared" si="227"/>
        <v>1.9566026038437694</v>
      </c>
      <c r="X472" s="6">
        <f>-1.613*100000000</f>
        <v>-161300000</v>
      </c>
      <c r="Y472" s="6" t="str">
        <f t="shared" si="228"/>
        <v>=-161300000</v>
      </c>
      <c r="Z472" s="1">
        <f>-161300000</f>
        <v>-161300000</v>
      </c>
      <c r="AA472" s="8">
        <f t="shared" si="229"/>
        <v>0.80566439046233074</v>
      </c>
      <c r="AB472" s="7">
        <f>-8933*10000</f>
        <v>-89330000</v>
      </c>
      <c r="AC472" s="6" t="str">
        <f t="shared" si="230"/>
        <v>=-89330000</v>
      </c>
      <c r="AD472" s="1">
        <f>-89330000</f>
        <v>-89330000</v>
      </c>
      <c r="AE472" s="8">
        <f t="shared" si="231"/>
        <v>-0.19955197132616487</v>
      </c>
      <c r="AF472" s="6">
        <f>-1.116*100000000</f>
        <v>-111600000.00000001</v>
      </c>
      <c r="AG472" s="6" t="str">
        <f t="shared" si="232"/>
        <v>=-111600000</v>
      </c>
      <c r="AH472" s="1">
        <f>-111600000</f>
        <v>-111600000</v>
      </c>
      <c r="AI472" s="8">
        <f t="shared" si="233"/>
        <v>-3.5815405968077725</v>
      </c>
      <c r="AJ472" s="7" t="s">
        <v>5871</v>
      </c>
      <c r="AK472" s="6" t="str">
        <f t="shared" si="234"/>
        <v>=4323*10000</v>
      </c>
      <c r="AL472" s="1">
        <f>4323*10000</f>
        <v>43230000</v>
      </c>
      <c r="AM472" s="8">
        <f t="shared" si="235"/>
        <v>3.4411341688925416</v>
      </c>
      <c r="AN472" s="7" t="s">
        <v>5872</v>
      </c>
      <c r="AO472" s="6" t="str">
        <f t="shared" si="236"/>
        <v>=973.4*10000</v>
      </c>
      <c r="AP472" s="1">
        <f>973.4*10000</f>
        <v>9734000</v>
      </c>
      <c r="AQ472" s="8">
        <f t="shared" si="237"/>
        <v>-0.60765820233776702</v>
      </c>
      <c r="AR472" s="7" t="s">
        <v>5873</v>
      </c>
      <c r="AS472" s="6" t="str">
        <f t="shared" si="238"/>
        <v>=2481*10000</v>
      </c>
      <c r="AT472" s="1">
        <f>2481*10000</f>
        <v>24810000</v>
      </c>
      <c r="AU472" s="8">
        <f t="shared" si="239"/>
        <v>2.5595408895265424</v>
      </c>
      <c r="AV472" s="7" t="s">
        <v>5874</v>
      </c>
      <c r="AW472" s="6" t="str">
        <f t="shared" si="240"/>
        <v>=697.0*10000</v>
      </c>
      <c r="AX472" s="1">
        <f>697*10000</f>
        <v>6970000</v>
      </c>
      <c r="AY472" s="10">
        <f t="shared" si="241"/>
        <v>-0.90583626047014321</v>
      </c>
      <c r="AZ472" s="7" t="s">
        <v>5875</v>
      </c>
      <c r="BA472" s="6" t="str">
        <f t="shared" si="242"/>
        <v>=7402*10000</v>
      </c>
      <c r="BB472" s="1">
        <f>7402*10000</f>
        <v>74020000</v>
      </c>
      <c r="BC472" s="8">
        <f t="shared" si="243"/>
        <v>3.5355392156862746</v>
      </c>
      <c r="BD472" s="7" t="s">
        <v>3305</v>
      </c>
      <c r="BE472" s="6" t="str">
        <f t="shared" si="244"/>
        <v>=1632*10000</v>
      </c>
      <c r="BF472" s="1">
        <f>1632*10000</f>
        <v>16320000</v>
      </c>
      <c r="BG472" s="8">
        <f t="shared" si="245"/>
        <v>-0.64820004311273982</v>
      </c>
      <c r="BH472" s="7" t="s">
        <v>5876</v>
      </c>
      <c r="BI472" s="6" t="str">
        <f t="shared" si="246"/>
        <v>=4639*10000</v>
      </c>
      <c r="BJ472" s="1">
        <f>4639*10000</f>
        <v>46390000</v>
      </c>
      <c r="BK472" s="7" t="s">
        <v>5877</v>
      </c>
      <c r="BL472" s="1" t="str">
        <f t="shared" si="218"/>
        <v>=1025*10000</v>
      </c>
      <c r="BM472" s="16">
        <f t="shared" si="247"/>
        <v>3.5258536585365854</v>
      </c>
      <c r="BN472" s="1">
        <f>1025*10000</f>
        <v>10250000</v>
      </c>
    </row>
    <row r="473" spans="1:66">
      <c r="A473" s="19"/>
      <c r="B473">
        <v>600375</v>
      </c>
      <c r="C473" t="s">
        <v>68</v>
      </c>
      <c r="D473" s="6">
        <f>-13.45*100000000</f>
        <v>-1345000000</v>
      </c>
      <c r="E473" s="7" t="str">
        <f t="shared" si="217"/>
        <v>=-1345000000</v>
      </c>
      <c r="F473" s="1">
        <f>-1345000000</f>
        <v>-1345000000</v>
      </c>
      <c r="G473" s="8">
        <f t="shared" si="219"/>
        <v>0.79070696312075628</v>
      </c>
      <c r="H473" s="6">
        <f>-7.511*100000000</f>
        <v>-751100000</v>
      </c>
      <c r="I473" s="6" t="str">
        <f t="shared" si="220"/>
        <v>=-751100000</v>
      </c>
      <c r="J473" s="1">
        <f>-751100000</f>
        <v>-751100000</v>
      </c>
      <c r="K473" s="10">
        <f t="shared" si="221"/>
        <v>0.31887620719929766</v>
      </c>
      <c r="L473" s="6">
        <f>-5.695*100000000</f>
        <v>-569500000</v>
      </c>
      <c r="M473" s="6" t="str">
        <f t="shared" si="222"/>
        <v>=-569500000</v>
      </c>
      <c r="N473" s="1">
        <f>-569500000</f>
        <v>-569500000</v>
      </c>
      <c r="O473" s="8">
        <f t="shared" si="223"/>
        <v>51.440147329650095</v>
      </c>
      <c r="P473" s="7">
        <f>-1086*10000</f>
        <v>-10860000</v>
      </c>
      <c r="Q473" s="6" t="str">
        <f t="shared" si="224"/>
        <v>=-10860000</v>
      </c>
      <c r="R473" s="11">
        <f>-10860000</f>
        <v>-10860000</v>
      </c>
      <c r="S473" s="8">
        <f t="shared" si="225"/>
        <v>-0.97779595174810874</v>
      </c>
      <c r="T473" s="6">
        <f>-4.891*100000000</f>
        <v>-489100000</v>
      </c>
      <c r="U473" s="6" t="str">
        <f t="shared" si="226"/>
        <v>=-489100000</v>
      </c>
      <c r="V473" s="1">
        <f>-489100000</f>
        <v>-489100000</v>
      </c>
      <c r="W473" s="8">
        <f t="shared" si="227"/>
        <v>1.8485730926033779</v>
      </c>
      <c r="X473" s="6">
        <f>-1.717*100000000</f>
        <v>-171700000</v>
      </c>
      <c r="Y473" s="6" t="str">
        <f t="shared" si="228"/>
        <v>=-171700000</v>
      </c>
      <c r="Z473" s="1">
        <f>-171700000</f>
        <v>-171700000</v>
      </c>
      <c r="AA473" s="8">
        <f t="shared" si="229"/>
        <v>0.73416826583173422</v>
      </c>
      <c r="AB473" s="7">
        <f>-9901*10000</f>
        <v>-99010000</v>
      </c>
      <c r="AC473" s="6" t="str">
        <f t="shared" si="230"/>
        <v>=-99010000</v>
      </c>
      <c r="AD473" s="1">
        <f>-99010000</f>
        <v>-99010000</v>
      </c>
      <c r="AE473" s="8">
        <f t="shared" si="231"/>
        <v>-0.12302922940655447</v>
      </c>
      <c r="AF473" s="6">
        <f>-1.129*100000000</f>
        <v>-112900000</v>
      </c>
      <c r="AG473" s="6" t="str">
        <f t="shared" si="232"/>
        <v>=-112900000</v>
      </c>
      <c r="AH473" s="1">
        <f>-112900000</f>
        <v>-112900000</v>
      </c>
      <c r="AI473" s="8">
        <f t="shared" si="233"/>
        <v>-3.9470112242234405</v>
      </c>
      <c r="AJ473" s="7" t="s">
        <v>5878</v>
      </c>
      <c r="AK473" s="6" t="str">
        <f t="shared" si="234"/>
        <v>=3831*10000</v>
      </c>
      <c r="AL473" s="1">
        <f>3831*10000</f>
        <v>38310000</v>
      </c>
      <c r="AM473" s="8">
        <f t="shared" si="235"/>
        <v>5.8964896489648968</v>
      </c>
      <c r="AN473" s="7" t="s">
        <v>5879</v>
      </c>
      <c r="AO473" s="6" t="str">
        <f t="shared" si="236"/>
        <v>=555.5*10000</v>
      </c>
      <c r="AP473" s="1">
        <f>555.5*10000</f>
        <v>5555000</v>
      </c>
      <c r="AQ473" s="8">
        <f t="shared" si="237"/>
        <v>-0.78568672839506171</v>
      </c>
      <c r="AR473" s="7" t="s">
        <v>5880</v>
      </c>
      <c r="AS473" s="6" t="str">
        <f t="shared" si="238"/>
        <v>=2592*10000</v>
      </c>
      <c r="AT473" s="1">
        <f>2592*10000</f>
        <v>25920000</v>
      </c>
      <c r="AU473" s="8">
        <f t="shared" si="239"/>
        <v>4.1767525464349911</v>
      </c>
      <c r="AV473" s="7" t="s">
        <v>5881</v>
      </c>
      <c r="AW473" s="6" t="str">
        <f t="shared" si="240"/>
        <v>=500.7*10000</v>
      </c>
      <c r="AX473" s="1">
        <f>500.7*10000</f>
        <v>5007000</v>
      </c>
      <c r="AY473" s="10">
        <f t="shared" si="241"/>
        <v>-0.91833306149078453</v>
      </c>
      <c r="AZ473" s="7" t="s">
        <v>4458</v>
      </c>
      <c r="BA473" s="6" t="str">
        <f t="shared" si="242"/>
        <v>=6131*10000</v>
      </c>
      <c r="BB473" s="1">
        <f>6131*10000</f>
        <v>61310000</v>
      </c>
      <c r="BC473" s="8">
        <f t="shared" si="243"/>
        <v>4.6926648096564527</v>
      </c>
      <c r="BD473" s="7" t="s">
        <v>4853</v>
      </c>
      <c r="BE473" s="6" t="str">
        <f t="shared" si="244"/>
        <v>=1077*10000</v>
      </c>
      <c r="BF473" s="1">
        <f>1077*10000</f>
        <v>10770000</v>
      </c>
      <c r="BG473" s="8">
        <f t="shared" si="245"/>
        <v>-0.74326579261025028</v>
      </c>
      <c r="BH473" s="7" t="s">
        <v>5882</v>
      </c>
      <c r="BI473" s="6" t="str">
        <f t="shared" si="246"/>
        <v>=4195*10000</v>
      </c>
      <c r="BJ473" s="1">
        <f>4195*10000</f>
        <v>41950000</v>
      </c>
      <c r="BK473" s="7" t="s">
        <v>5883</v>
      </c>
      <c r="BL473" s="1" t="str">
        <f t="shared" si="218"/>
        <v>=785.6*10000</v>
      </c>
      <c r="BM473" s="16">
        <f t="shared" si="247"/>
        <v>4.3398676171079433</v>
      </c>
      <c r="BN473" s="1">
        <f>785.6*10000</f>
        <v>7856000</v>
      </c>
    </row>
    <row r="474" spans="1:66">
      <c r="A474" s="17">
        <v>119</v>
      </c>
      <c r="B474">
        <v>600377</v>
      </c>
      <c r="C474" t="s">
        <v>31</v>
      </c>
      <c r="D474" s="6" t="s">
        <v>1913</v>
      </c>
      <c r="E474" s="7" t="str">
        <f t="shared" si="217"/>
        <v>=137.9*100000000</v>
      </c>
      <c r="F474" s="1">
        <f>137.9*100000000</f>
        <v>13790000000</v>
      </c>
      <c r="G474" s="8">
        <f t="shared" si="219"/>
        <v>0.80049614832223526</v>
      </c>
      <c r="H474" s="6" t="s">
        <v>5884</v>
      </c>
      <c r="I474" s="6" t="str">
        <f t="shared" si="220"/>
        <v>=76.59*100000000</v>
      </c>
      <c r="J474" s="1">
        <f>76.59*100000000</f>
        <v>7659000000</v>
      </c>
      <c r="K474" s="10">
        <f t="shared" si="221"/>
        <v>0.51303832477281708</v>
      </c>
      <c r="L474" s="6" t="s">
        <v>3009</v>
      </c>
      <c r="M474" s="6" t="str">
        <f t="shared" si="222"/>
        <v>=50.62*100000000</v>
      </c>
      <c r="N474" s="1">
        <f>50.62*100000000</f>
        <v>5062000000</v>
      </c>
      <c r="O474" s="8">
        <f t="shared" si="223"/>
        <v>1.1162207357859533</v>
      </c>
      <c r="P474" s="6" t="s">
        <v>5885</v>
      </c>
      <c r="Q474" s="6" t="str">
        <f t="shared" si="224"/>
        <v>=23.92*100000000</v>
      </c>
      <c r="R474" s="11">
        <f>23.92*100000000</f>
        <v>2392000000</v>
      </c>
      <c r="S474" s="8">
        <f t="shared" si="225"/>
        <v>-0.70219123505976089</v>
      </c>
      <c r="T474" s="6" t="s">
        <v>5886</v>
      </c>
      <c r="U474" s="6" t="str">
        <f t="shared" si="226"/>
        <v>=80.32*100000000</v>
      </c>
      <c r="V474" s="1">
        <f>80.32*100000000</f>
        <v>8031999999.999999</v>
      </c>
      <c r="W474" s="8">
        <f t="shared" si="227"/>
        <v>0.50046702783485875</v>
      </c>
      <c r="X474" s="6" t="s">
        <v>4117</v>
      </c>
      <c r="Y474" s="6" t="str">
        <f t="shared" si="228"/>
        <v>=53.53*100000000</v>
      </c>
      <c r="Z474" s="1">
        <f>53.53*100000000</f>
        <v>5353000000</v>
      </c>
      <c r="AA474" s="8">
        <f t="shared" si="229"/>
        <v>1.0063718140929536</v>
      </c>
      <c r="AB474" s="6" t="s">
        <v>5887</v>
      </c>
      <c r="AC474" s="6" t="str">
        <f t="shared" si="230"/>
        <v>=26.68*100000000</v>
      </c>
      <c r="AD474" s="1">
        <f>26.68*100000000</f>
        <v>2668000000</v>
      </c>
      <c r="AE474" s="8">
        <f t="shared" si="231"/>
        <v>1.7687837276878375</v>
      </c>
      <c r="AF474" s="6" t="s">
        <v>5888</v>
      </c>
      <c r="AG474" s="6" t="str">
        <f t="shared" si="232"/>
        <v>=9.636*100000000</v>
      </c>
      <c r="AH474" s="1">
        <f>9.636*100000000</f>
        <v>963599999.99999988</v>
      </c>
      <c r="AI474" s="8">
        <f t="shared" si="233"/>
        <v>-0.90440476190476193</v>
      </c>
      <c r="AJ474" s="6" t="s">
        <v>3647</v>
      </c>
      <c r="AK474" s="6" t="str">
        <f t="shared" si="234"/>
        <v>=100.8*100000000</v>
      </c>
      <c r="AL474" s="1">
        <f>100.8*100000000</f>
        <v>10080000000</v>
      </c>
      <c r="AM474" s="8">
        <f t="shared" si="235"/>
        <v>0.34471718249733208</v>
      </c>
      <c r="AN474" s="6" t="s">
        <v>5889</v>
      </c>
      <c r="AO474" s="6" t="str">
        <f t="shared" si="236"/>
        <v>=74.96*100000000</v>
      </c>
      <c r="AP474" s="1">
        <f>74.96*100000000</f>
        <v>7495999999.999999</v>
      </c>
      <c r="AQ474" s="8">
        <f t="shared" si="237"/>
        <v>0.55036194415718698</v>
      </c>
      <c r="AR474" s="6" t="s">
        <v>5890</v>
      </c>
      <c r="AS474" s="6" t="str">
        <f t="shared" si="238"/>
        <v>=48.35*100000000</v>
      </c>
      <c r="AT474" s="1">
        <f>48.35*100000000</f>
        <v>4835000000</v>
      </c>
      <c r="AU474" s="8">
        <f t="shared" si="239"/>
        <v>1.0469940728196443</v>
      </c>
      <c r="AV474" s="6" t="s">
        <v>5891</v>
      </c>
      <c r="AW474" s="6" t="str">
        <f t="shared" si="240"/>
        <v>=23.62*100000000</v>
      </c>
      <c r="AX474" s="1">
        <f>23.62*100000000</f>
        <v>2362000000</v>
      </c>
      <c r="AY474" s="10">
        <f t="shared" si="241"/>
        <v>-0.7630655030594844</v>
      </c>
      <c r="AZ474" s="6" t="s">
        <v>5892</v>
      </c>
      <c r="BA474" s="6" t="str">
        <f t="shared" si="242"/>
        <v>=99.69*100000000</v>
      </c>
      <c r="BB474" s="1">
        <f>99.69*100000000</f>
        <v>9969000000</v>
      </c>
      <c r="BC474" s="8">
        <f t="shared" si="243"/>
        <v>0.30450143941376601</v>
      </c>
      <c r="BD474" s="6" t="s">
        <v>5893</v>
      </c>
      <c r="BE474" s="6" t="str">
        <f t="shared" si="244"/>
        <v>=76.42*100000000</v>
      </c>
      <c r="BF474" s="1">
        <f>76.42*100000000</f>
        <v>7642000000</v>
      </c>
      <c r="BG474" s="8">
        <f t="shared" si="245"/>
        <v>0.48619214313496695</v>
      </c>
      <c r="BH474" s="6" t="s">
        <v>5894</v>
      </c>
      <c r="BI474" s="6" t="str">
        <f t="shared" si="246"/>
        <v>=51.42*100000000</v>
      </c>
      <c r="BJ474" s="1">
        <f>51.42*100000000</f>
        <v>5142000000</v>
      </c>
      <c r="BK474" s="6" t="s">
        <v>5895</v>
      </c>
      <c r="BL474" s="1" t="str">
        <f t="shared" si="218"/>
        <v>=28.23*100000000</v>
      </c>
      <c r="BM474" s="16">
        <f t="shared" si="247"/>
        <v>0.82146652497343253</v>
      </c>
      <c r="BN474" s="1">
        <f>28.23*100000000</f>
        <v>2823000000</v>
      </c>
    </row>
    <row r="475" spans="1:66">
      <c r="A475" s="18"/>
      <c r="B475">
        <v>600377</v>
      </c>
      <c r="C475" t="s">
        <v>48</v>
      </c>
      <c r="D475" s="6" t="s">
        <v>5896</v>
      </c>
      <c r="E475" s="7" t="str">
        <f t="shared" si="217"/>
        <v>=54.35*100000000</v>
      </c>
      <c r="F475" s="1">
        <f>54.35*100000000</f>
        <v>5435000000</v>
      </c>
      <c r="G475" s="8">
        <f t="shared" si="219"/>
        <v>0.12200660611065235</v>
      </c>
      <c r="H475" s="6" t="s">
        <v>5897</v>
      </c>
      <c r="I475" s="6" t="str">
        <f t="shared" si="220"/>
        <v>=48.44*100000000</v>
      </c>
      <c r="J475" s="1">
        <f>48.44*100000000</f>
        <v>4844000000</v>
      </c>
      <c r="K475" s="10">
        <f t="shared" si="221"/>
        <v>0.409778812572759</v>
      </c>
      <c r="L475" s="6" t="s">
        <v>304</v>
      </c>
      <c r="M475" s="6" t="str">
        <f t="shared" si="222"/>
        <v>=34.36*100000000</v>
      </c>
      <c r="N475" s="1">
        <f>34.36*100000000</f>
        <v>3436000000</v>
      </c>
      <c r="O475" s="8">
        <f t="shared" si="223"/>
        <v>1.3044936284372903</v>
      </c>
      <c r="P475" s="6" t="s">
        <v>5898</v>
      </c>
      <c r="Q475" s="6" t="str">
        <f t="shared" si="224"/>
        <v>=14.91*100000000</v>
      </c>
      <c r="R475" s="11">
        <f>14.91*100000000</f>
        <v>1491000000</v>
      </c>
      <c r="S475" s="8">
        <f t="shared" si="225"/>
        <v>-0.5396727384995369</v>
      </c>
      <c r="T475" s="6" t="s">
        <v>5899</v>
      </c>
      <c r="U475" s="6" t="str">
        <f t="shared" si="226"/>
        <v>=32.39*100000000</v>
      </c>
      <c r="V475" s="1">
        <f>32.39*100000000</f>
        <v>3239000000</v>
      </c>
      <c r="W475" s="8">
        <f t="shared" si="227"/>
        <v>0.30710250201775624</v>
      </c>
      <c r="X475" s="6" t="s">
        <v>5900</v>
      </c>
      <c r="Y475" s="6" t="str">
        <f t="shared" si="228"/>
        <v>=24.78*100000000</v>
      </c>
      <c r="Z475" s="1">
        <f>24.78*100000000</f>
        <v>2478000000</v>
      </c>
      <c r="AA475" s="8">
        <f t="shared" si="229"/>
        <v>2.8827953619555</v>
      </c>
      <c r="AB475" s="6" t="s">
        <v>1934</v>
      </c>
      <c r="AC475" s="6" t="str">
        <f t="shared" si="230"/>
        <v>=6.382*100000000</v>
      </c>
      <c r="AD475" s="1">
        <f>6.382*100000000</f>
        <v>638200000</v>
      </c>
      <c r="AE475" s="8">
        <f t="shared" si="231"/>
        <v>-29.052747252747253</v>
      </c>
      <c r="AF475" s="7">
        <f>-2275*10000</f>
        <v>-22750000</v>
      </c>
      <c r="AG475" s="6" t="str">
        <f t="shared" si="232"/>
        <v>=-22750000</v>
      </c>
      <c r="AH475" s="1">
        <f>-22750000</f>
        <v>-22750000</v>
      </c>
      <c r="AI475" s="8">
        <f t="shared" si="233"/>
        <v>-1.0041050162396248</v>
      </c>
      <c r="AJ475" s="6" t="s">
        <v>5901</v>
      </c>
      <c r="AK475" s="6" t="str">
        <f t="shared" si="234"/>
        <v>=55.42*100000000</v>
      </c>
      <c r="AL475" s="1">
        <f>55.42*100000000</f>
        <v>5542000000</v>
      </c>
      <c r="AM475" s="8">
        <f t="shared" si="235"/>
        <v>0.19105953148506341</v>
      </c>
      <c r="AN475" s="6" t="s">
        <v>1426</v>
      </c>
      <c r="AO475" s="6" t="str">
        <f t="shared" si="236"/>
        <v>=46.53*100000000</v>
      </c>
      <c r="AP475" s="1">
        <f>46.53*100000000</f>
        <v>4653000000</v>
      </c>
      <c r="AQ475" s="8">
        <f t="shared" si="237"/>
        <v>0.55358931552587642</v>
      </c>
      <c r="AR475" s="6" t="s">
        <v>5902</v>
      </c>
      <c r="AS475" s="6" t="str">
        <f t="shared" si="238"/>
        <v>=29.95*100000000</v>
      </c>
      <c r="AT475" s="1">
        <f>29.95*100000000</f>
        <v>2995000000</v>
      </c>
      <c r="AU475" s="8">
        <f t="shared" si="239"/>
        <v>1.1877282688093498</v>
      </c>
      <c r="AV475" s="6" t="s">
        <v>5903</v>
      </c>
      <c r="AW475" s="6" t="str">
        <f t="shared" si="240"/>
        <v>=13.69*100000000</v>
      </c>
      <c r="AX475" s="1">
        <f>13.69*100000000</f>
        <v>1369000000</v>
      </c>
      <c r="AY475" s="10">
        <f t="shared" si="241"/>
        <v>-0.75816993464052285</v>
      </c>
      <c r="AZ475" s="6" t="s">
        <v>5904</v>
      </c>
      <c r="BA475" s="6" t="str">
        <f t="shared" si="242"/>
        <v>=56.61*100000000</v>
      </c>
      <c r="BB475" s="1">
        <f>56.61*100000000</f>
        <v>5661000000</v>
      </c>
      <c r="BC475" s="8">
        <f t="shared" si="243"/>
        <v>0.20755119453924914</v>
      </c>
      <c r="BD475" s="6" t="s">
        <v>4262</v>
      </c>
      <c r="BE475" s="6" t="str">
        <f t="shared" si="244"/>
        <v>=46.88*100000000</v>
      </c>
      <c r="BF475" s="1">
        <f>46.88*100000000</f>
        <v>4688000000</v>
      </c>
      <c r="BG475" s="8">
        <f t="shared" si="245"/>
        <v>0.48542458808618505</v>
      </c>
      <c r="BH475" s="6" t="s">
        <v>5166</v>
      </c>
      <c r="BI475" s="6" t="str">
        <f t="shared" si="246"/>
        <v>=31.56*100000000</v>
      </c>
      <c r="BJ475" s="1">
        <f>31.56*100000000</f>
        <v>3156000000</v>
      </c>
      <c r="BK475" s="6" t="s">
        <v>2074</v>
      </c>
      <c r="BL475" s="1" t="str">
        <f t="shared" si="218"/>
        <v>=13.61*100000000</v>
      </c>
      <c r="BM475" s="16">
        <f t="shared" si="247"/>
        <v>1.3188831741366642</v>
      </c>
      <c r="BN475" s="1">
        <f>13.61*100000000</f>
        <v>1361000000</v>
      </c>
    </row>
    <row r="476" spans="1:66">
      <c r="A476" s="18"/>
      <c r="B476">
        <v>600377</v>
      </c>
      <c r="C476" t="s">
        <v>58</v>
      </c>
      <c r="D476" s="6" t="s">
        <v>4799</v>
      </c>
      <c r="E476" s="7" t="str">
        <f t="shared" si="217"/>
        <v>=54.20*100000000</v>
      </c>
      <c r="F476" s="1">
        <f>54.2*100000000</f>
        <v>5420000000</v>
      </c>
      <c r="G476" s="8">
        <f t="shared" si="219"/>
        <v>0.11890999174236168</v>
      </c>
      <c r="H476" s="6" t="s">
        <v>5897</v>
      </c>
      <c r="I476" s="6" t="str">
        <f t="shared" si="220"/>
        <v>=48.44*100000000</v>
      </c>
      <c r="J476" s="1">
        <f>48.44*100000000</f>
        <v>4844000000</v>
      </c>
      <c r="K476" s="10">
        <f t="shared" si="221"/>
        <v>0.409778812572759</v>
      </c>
      <c r="L476" s="6" t="s">
        <v>304</v>
      </c>
      <c r="M476" s="6" t="str">
        <f t="shared" si="222"/>
        <v>=34.36*100000000</v>
      </c>
      <c r="N476" s="1">
        <f>34.36*100000000</f>
        <v>3436000000</v>
      </c>
      <c r="O476" s="8">
        <f t="shared" si="223"/>
        <v>1.3075889858965748</v>
      </c>
      <c r="P476" s="6" t="s">
        <v>4273</v>
      </c>
      <c r="Q476" s="6" t="str">
        <f t="shared" si="224"/>
        <v>=14.89*100000000</v>
      </c>
      <c r="R476" s="11">
        <f>14.89*100000000</f>
        <v>1489000000</v>
      </c>
      <c r="S476" s="8">
        <f t="shared" si="225"/>
        <v>-0.53957946815089675</v>
      </c>
      <c r="T476" s="6" t="s">
        <v>5905</v>
      </c>
      <c r="U476" s="6" t="str">
        <f t="shared" si="226"/>
        <v>=32.34*100000000</v>
      </c>
      <c r="V476" s="1">
        <f>32.34*100000000</f>
        <v>3234000000.0000005</v>
      </c>
      <c r="W476" s="8">
        <f t="shared" si="227"/>
        <v>0.28486293206197871</v>
      </c>
      <c r="X476" s="6" t="s">
        <v>5906</v>
      </c>
      <c r="Y476" s="6" t="str">
        <f t="shared" si="228"/>
        <v>=25.17*100000000</v>
      </c>
      <c r="Z476" s="1">
        <f>25.17*100000000</f>
        <v>2517000000</v>
      </c>
      <c r="AA476" s="8">
        <f t="shared" si="229"/>
        <v>2.8252279635258359</v>
      </c>
      <c r="AB476" s="6" t="s">
        <v>5907</v>
      </c>
      <c r="AC476" s="6" t="str">
        <f t="shared" si="230"/>
        <v>=6.580*100000000</v>
      </c>
      <c r="AD476" s="1">
        <f>6.58*100000000</f>
        <v>658000000</v>
      </c>
      <c r="AE476" s="8">
        <f t="shared" si="231"/>
        <v>-30.440715883668904</v>
      </c>
      <c r="AF476" s="7">
        <f>-2235*10000</f>
        <v>-22350000</v>
      </c>
      <c r="AG476" s="6" t="str">
        <f t="shared" si="232"/>
        <v>=-22350000</v>
      </c>
      <c r="AH476" s="1">
        <f>-22350000</f>
        <v>-22350000</v>
      </c>
      <c r="AI476" s="8">
        <f t="shared" si="233"/>
        <v>-1.004047446577327</v>
      </c>
      <c r="AJ476" s="6" t="s">
        <v>5908</v>
      </c>
      <c r="AK476" s="6" t="str">
        <f t="shared" si="234"/>
        <v>=55.22*100000000</v>
      </c>
      <c r="AL476" s="1">
        <f>55.22*100000000</f>
        <v>5522000000</v>
      </c>
      <c r="AM476" s="8">
        <f t="shared" si="235"/>
        <v>0.18829352270281902</v>
      </c>
      <c r="AN476" s="6" t="s">
        <v>303</v>
      </c>
      <c r="AO476" s="6" t="str">
        <f t="shared" si="236"/>
        <v>=46.47*100000000</v>
      </c>
      <c r="AP476" s="1">
        <f>46.47*100000000</f>
        <v>4647000000</v>
      </c>
      <c r="AQ476" s="8">
        <f t="shared" si="237"/>
        <v>0.55626255860683194</v>
      </c>
      <c r="AR476" s="6" t="s">
        <v>5909</v>
      </c>
      <c r="AS476" s="6" t="str">
        <f t="shared" si="238"/>
        <v>=29.86*100000000</v>
      </c>
      <c r="AT476" s="1">
        <f>29.86*100000000</f>
        <v>2986000000</v>
      </c>
      <c r="AU476" s="8">
        <f t="shared" si="239"/>
        <v>1.1843452816386246</v>
      </c>
      <c r="AV476" s="6" t="s">
        <v>170</v>
      </c>
      <c r="AW476" s="6" t="str">
        <f t="shared" si="240"/>
        <v>=13.67*100000000</v>
      </c>
      <c r="AX476" s="1">
        <f>13.67*100000000</f>
        <v>1367000000</v>
      </c>
      <c r="AY476" s="10">
        <f t="shared" si="241"/>
        <v>-0.75818149655050415</v>
      </c>
      <c r="AZ476" s="6" t="s">
        <v>5910</v>
      </c>
      <c r="BA476" s="6" t="str">
        <f t="shared" si="242"/>
        <v>=56.53*100000000</v>
      </c>
      <c r="BB476" s="1">
        <f>56.53*100000000</f>
        <v>5653000000</v>
      </c>
      <c r="BC476" s="8">
        <f t="shared" si="243"/>
        <v>0.20842240273621207</v>
      </c>
      <c r="BD476" s="6" t="s">
        <v>3339</v>
      </c>
      <c r="BE476" s="6" t="str">
        <f t="shared" si="244"/>
        <v>=46.78*100000000</v>
      </c>
      <c r="BF476" s="1">
        <f>46.78*100000000</f>
        <v>4678000000</v>
      </c>
      <c r="BG476" s="8">
        <f t="shared" si="245"/>
        <v>0.48460806093303715</v>
      </c>
      <c r="BH476" s="6" t="s">
        <v>5911</v>
      </c>
      <c r="BI476" s="6" t="str">
        <f t="shared" si="246"/>
        <v>=31.51*100000000</v>
      </c>
      <c r="BJ476" s="1">
        <f>31.51*100000000</f>
        <v>3151000000</v>
      </c>
      <c r="BK476" s="6" t="s">
        <v>5912</v>
      </c>
      <c r="BL476" s="1" t="str">
        <f t="shared" si="218"/>
        <v>=13.56*100000000</v>
      </c>
      <c r="BM476" s="16">
        <f t="shared" si="247"/>
        <v>1.3237463126843658</v>
      </c>
      <c r="BN476" s="1">
        <f>13.56*100000000</f>
        <v>1356000000</v>
      </c>
    </row>
    <row r="477" spans="1:66">
      <c r="A477" s="19"/>
      <c r="B477">
        <v>600377</v>
      </c>
      <c r="C477" t="s">
        <v>68</v>
      </c>
      <c r="D477" s="6" t="s">
        <v>5913</v>
      </c>
      <c r="E477" s="7" t="str">
        <f t="shared" si="217"/>
        <v>=41.33*100000000</v>
      </c>
      <c r="F477" s="1">
        <f>41.33*100000000</f>
        <v>4133000000</v>
      </c>
      <c r="G477" s="8">
        <f t="shared" si="219"/>
        <v>9.0213663940912819E-2</v>
      </c>
      <c r="H477" s="6" t="s">
        <v>5914</v>
      </c>
      <c r="I477" s="6" t="str">
        <f t="shared" si="220"/>
        <v>=37.91*100000000</v>
      </c>
      <c r="J477" s="1">
        <f>37.91*100000000</f>
        <v>3790999999.9999995</v>
      </c>
      <c r="K477" s="10">
        <f t="shared" si="221"/>
        <v>0.40355423917067734</v>
      </c>
      <c r="L477" s="6" t="s">
        <v>5915</v>
      </c>
      <c r="M477" s="6" t="str">
        <f t="shared" si="222"/>
        <v>=27.01*100000000</v>
      </c>
      <c r="N477" s="1">
        <f>27.01*100000000</f>
        <v>2701000000</v>
      </c>
      <c r="O477" s="8">
        <f t="shared" si="223"/>
        <v>1.3405545927209706</v>
      </c>
      <c r="P477" s="6" t="s">
        <v>2038</v>
      </c>
      <c r="Q477" s="6" t="str">
        <f t="shared" si="224"/>
        <v>=11.54*100000000</v>
      </c>
      <c r="R477" s="11">
        <f>11.54*100000000</f>
        <v>1154000000</v>
      </c>
      <c r="S477" s="8">
        <f t="shared" si="225"/>
        <v>-0.54188169908693928</v>
      </c>
      <c r="T477" s="6" t="s">
        <v>5916</v>
      </c>
      <c r="U477" s="6" t="str">
        <f t="shared" si="226"/>
        <v>=25.19*100000000</v>
      </c>
      <c r="V477" s="1">
        <f>25.19*100000000</f>
        <v>2519000000</v>
      </c>
      <c r="W477" s="8">
        <f t="shared" si="227"/>
        <v>0.30180878552971563</v>
      </c>
      <c r="X477" s="6" t="s">
        <v>5917</v>
      </c>
      <c r="Y477" s="6" t="str">
        <f t="shared" si="228"/>
        <v>=19.35*100000000</v>
      </c>
      <c r="Z477" s="1">
        <f>19.35*100000000</f>
        <v>1935000000.0000002</v>
      </c>
      <c r="AA477" s="8">
        <f t="shared" si="229"/>
        <v>2.9971080355298496</v>
      </c>
      <c r="AB477" s="6" t="s">
        <v>5918</v>
      </c>
      <c r="AC477" s="6" t="str">
        <f t="shared" si="230"/>
        <v>=4.841*100000000</v>
      </c>
      <c r="AD477" s="1">
        <f>4.841*100000000</f>
        <v>484100000</v>
      </c>
      <c r="AE477" s="8">
        <f t="shared" si="231"/>
        <v>-11.979814016783852</v>
      </c>
      <c r="AF477" s="7">
        <f>-4409*10000</f>
        <v>-44090000</v>
      </c>
      <c r="AG477" s="6" t="str">
        <f t="shared" si="232"/>
        <v>=-44090000</v>
      </c>
      <c r="AH477" s="1">
        <f>-44090000</f>
        <v>-44090000</v>
      </c>
      <c r="AI477" s="8">
        <f t="shared" si="233"/>
        <v>-1.0102534883720931</v>
      </c>
      <c r="AJ477" s="6" t="s">
        <v>5919</v>
      </c>
      <c r="AK477" s="6" t="str">
        <f t="shared" si="234"/>
        <v>=43.00*100000000</v>
      </c>
      <c r="AL477" s="1">
        <f>43*100000000</f>
        <v>4300000000</v>
      </c>
      <c r="AM477" s="8">
        <f t="shared" si="235"/>
        <v>0.18002195389681669</v>
      </c>
      <c r="AN477" s="6" t="s">
        <v>872</v>
      </c>
      <c r="AO477" s="6" t="str">
        <f t="shared" si="236"/>
        <v>=36.44*100000000</v>
      </c>
      <c r="AP477" s="1">
        <f>36.44*100000000</f>
        <v>3644000000</v>
      </c>
      <c r="AQ477" s="8">
        <f t="shared" si="237"/>
        <v>0.56126820908311914</v>
      </c>
      <c r="AR477" s="6" t="s">
        <v>5920</v>
      </c>
      <c r="AS477" s="6" t="str">
        <f t="shared" si="238"/>
        <v>=23.34*100000000</v>
      </c>
      <c r="AT477" s="1">
        <f>23.34*100000000</f>
        <v>2334000000</v>
      </c>
      <c r="AU477" s="8">
        <f t="shared" si="239"/>
        <v>1.2039660056657224</v>
      </c>
      <c r="AV477" s="6" t="s">
        <v>369</v>
      </c>
      <c r="AW477" s="6" t="str">
        <f t="shared" si="240"/>
        <v>=10.59*100000000</v>
      </c>
      <c r="AX477" s="1">
        <f>10.59*100000000</f>
        <v>1059000000</v>
      </c>
      <c r="AY477" s="10">
        <f t="shared" si="241"/>
        <v>-0.76340482573726542</v>
      </c>
      <c r="AZ477" s="6" t="s">
        <v>5921</v>
      </c>
      <c r="BA477" s="6" t="str">
        <f t="shared" si="242"/>
        <v>=44.76*100000000</v>
      </c>
      <c r="BB477" s="1">
        <f>44.76*100000000</f>
        <v>4476000000</v>
      </c>
      <c r="BC477" s="8">
        <f t="shared" si="243"/>
        <v>0.19871451526513106</v>
      </c>
      <c r="BD477" s="6" t="s">
        <v>5922</v>
      </c>
      <c r="BE477" s="6" t="str">
        <f t="shared" si="244"/>
        <v>=37.34*100000000</v>
      </c>
      <c r="BF477" s="1">
        <f>37.34*100000000</f>
        <v>3734000000.0000005</v>
      </c>
      <c r="BG477" s="8">
        <f t="shared" si="245"/>
        <v>0.47065773926742832</v>
      </c>
      <c r="BH477" s="6" t="s">
        <v>5923</v>
      </c>
      <c r="BI477" s="6" t="str">
        <f t="shared" si="246"/>
        <v>=25.39*100000000</v>
      </c>
      <c r="BJ477" s="1">
        <f>25.39*100000000</f>
        <v>2539000000</v>
      </c>
      <c r="BK477" s="6" t="s">
        <v>1188</v>
      </c>
      <c r="BL477" s="1" t="str">
        <f t="shared" si="218"/>
        <v>=10.38*100000000</v>
      </c>
      <c r="BM477" s="16">
        <f t="shared" si="247"/>
        <v>1.4460500963391134</v>
      </c>
      <c r="BN477" s="1">
        <f>10.38*100000000</f>
        <v>1038000000.0000001</v>
      </c>
    </row>
    <row r="478" spans="1:66">
      <c r="A478" s="17">
        <v>120</v>
      </c>
      <c r="B478">
        <v>600379</v>
      </c>
      <c r="C478" t="s">
        <v>31</v>
      </c>
      <c r="D478" s="6" t="s">
        <v>3659</v>
      </c>
      <c r="E478" s="7" t="str">
        <f t="shared" si="217"/>
        <v>=10.10*100000000</v>
      </c>
      <c r="F478" s="1">
        <f>10.1*100000000</f>
        <v>1010000000</v>
      </c>
      <c r="G478" s="8">
        <f t="shared" si="219"/>
        <v>0.23835213339872485</v>
      </c>
      <c r="H478" s="6" t="s">
        <v>258</v>
      </c>
      <c r="I478" s="6" t="str">
        <f t="shared" si="220"/>
        <v>=8.156*100000000</v>
      </c>
      <c r="J478" s="1">
        <f>8.156*100000000</f>
        <v>815600000</v>
      </c>
      <c r="K478" s="10">
        <f t="shared" si="221"/>
        <v>0.58986354775828465</v>
      </c>
      <c r="L478" s="6" t="s">
        <v>5924</v>
      </c>
      <c r="M478" s="6" t="str">
        <f t="shared" si="222"/>
        <v>=5.130*100000000</v>
      </c>
      <c r="N478" s="1">
        <f>5.13*100000000</f>
        <v>513000000</v>
      </c>
      <c r="O478" s="8">
        <f t="shared" si="223"/>
        <v>1.4806576402321083</v>
      </c>
      <c r="P478" s="6" t="s">
        <v>2802</v>
      </c>
      <c r="Q478" s="6" t="str">
        <f t="shared" si="224"/>
        <v>=2.068*100000000</v>
      </c>
      <c r="R478" s="11">
        <f>2.068*100000000</f>
        <v>206800000</v>
      </c>
      <c r="S478" s="8">
        <f t="shared" si="225"/>
        <v>-0.77075712227025828</v>
      </c>
      <c r="T478" s="6" t="s">
        <v>5925</v>
      </c>
      <c r="U478" s="6" t="str">
        <f t="shared" si="226"/>
        <v>=9.021*100000000</v>
      </c>
      <c r="V478" s="1">
        <f>9.021*100000000</f>
        <v>902100000.00000012</v>
      </c>
      <c r="W478" s="8">
        <f t="shared" si="227"/>
        <v>0.47281632653061245</v>
      </c>
      <c r="X478" s="6" t="s">
        <v>5926</v>
      </c>
      <c r="Y478" s="6" t="str">
        <f t="shared" si="228"/>
        <v>=6.125*100000000</v>
      </c>
      <c r="Z478" s="1">
        <f>6.125*100000000</f>
        <v>612500000</v>
      </c>
      <c r="AA478" s="8">
        <f t="shared" si="229"/>
        <v>0.54554630330557663</v>
      </c>
      <c r="AB478" s="6" t="s">
        <v>5927</v>
      </c>
      <c r="AC478" s="6" t="str">
        <f t="shared" si="230"/>
        <v>=3.963*100000000</v>
      </c>
      <c r="AD478" s="1">
        <f>3.963*100000000</f>
        <v>396300000</v>
      </c>
      <c r="AE478" s="8">
        <f t="shared" si="231"/>
        <v>1.3421985815602837</v>
      </c>
      <c r="AF478" s="6" t="s">
        <v>4827</v>
      </c>
      <c r="AG478" s="6" t="str">
        <f t="shared" si="232"/>
        <v>=1.692*100000000</v>
      </c>
      <c r="AH478" s="1">
        <f>1.692*100000000</f>
        <v>169200000</v>
      </c>
      <c r="AI478" s="8">
        <f t="shared" si="233"/>
        <v>-0.81882428525538065</v>
      </c>
      <c r="AJ478" s="6" t="s">
        <v>5715</v>
      </c>
      <c r="AK478" s="6" t="str">
        <f t="shared" si="234"/>
        <v>=9.339*100000000</v>
      </c>
      <c r="AL478" s="1">
        <f>9.339*100000000</f>
        <v>933900000</v>
      </c>
      <c r="AM478" s="8">
        <f t="shared" si="235"/>
        <v>0.3647523016220956</v>
      </c>
      <c r="AN478" s="6" t="s">
        <v>5928</v>
      </c>
      <c r="AO478" s="6" t="str">
        <f t="shared" si="236"/>
        <v>=6.843*100000000</v>
      </c>
      <c r="AP478" s="1">
        <f>6.843*100000000</f>
        <v>684300000</v>
      </c>
      <c r="AQ478" s="8">
        <f t="shared" si="237"/>
        <v>0.57057608446178565</v>
      </c>
      <c r="AR478" s="6" t="s">
        <v>5929</v>
      </c>
      <c r="AS478" s="6" t="str">
        <f t="shared" si="238"/>
        <v>=4.357*100000000</v>
      </c>
      <c r="AT478" s="1">
        <f>4.357*100000000</f>
        <v>435700000</v>
      </c>
      <c r="AU478" s="8">
        <f t="shared" si="239"/>
        <v>1.1569306930693068</v>
      </c>
      <c r="AV478" s="6" t="s">
        <v>5930</v>
      </c>
      <c r="AW478" s="6" t="str">
        <f t="shared" si="240"/>
        <v>=2.020*100000000</v>
      </c>
      <c r="AX478" s="1">
        <f>2.02*100000000</f>
        <v>202000000</v>
      </c>
      <c r="AY478" s="10">
        <f t="shared" si="241"/>
        <v>-0.76215707052867065</v>
      </c>
      <c r="AZ478" s="6" t="s">
        <v>5931</v>
      </c>
      <c r="BA478" s="6" t="str">
        <f t="shared" si="242"/>
        <v>=8.493*100000000</v>
      </c>
      <c r="BB478" s="1">
        <f>8.493*100000000</f>
        <v>849300000</v>
      </c>
      <c r="BC478" s="8">
        <f t="shared" si="243"/>
        <v>0.29505946935041172</v>
      </c>
      <c r="BD478" s="6" t="s">
        <v>5828</v>
      </c>
      <c r="BE478" s="6" t="str">
        <f t="shared" si="244"/>
        <v>=6.558*100000000</v>
      </c>
      <c r="BF478" s="1">
        <f>6.558*100000000</f>
        <v>655800000</v>
      </c>
      <c r="BG478" s="8">
        <f t="shared" si="245"/>
        <v>0.65899316974449784</v>
      </c>
      <c r="BH478" s="6" t="s">
        <v>5932</v>
      </c>
      <c r="BI478" s="6" t="str">
        <f t="shared" si="246"/>
        <v>=3.953*100000000</v>
      </c>
      <c r="BJ478" s="1">
        <f>3.953*100000000</f>
        <v>395300000</v>
      </c>
      <c r="BK478" s="6" t="s">
        <v>2370</v>
      </c>
      <c r="BL478" s="1" t="str">
        <f t="shared" si="218"/>
        <v>=1.644*100000000</v>
      </c>
      <c r="BM478" s="16">
        <f t="shared" si="247"/>
        <v>1.4045012165450121</v>
      </c>
      <c r="BN478" s="1">
        <f>1.644*100000000</f>
        <v>164400000</v>
      </c>
    </row>
    <row r="479" spans="1:66">
      <c r="A479" s="18"/>
      <c r="B479">
        <v>600379</v>
      </c>
      <c r="C479" t="s">
        <v>48</v>
      </c>
      <c r="D479" s="7" t="s">
        <v>5933</v>
      </c>
      <c r="E479" s="7" t="str">
        <f t="shared" si="217"/>
        <v>=5628*10000</v>
      </c>
      <c r="F479" s="1">
        <f>5628*10000</f>
        <v>56280000</v>
      </c>
      <c r="G479" s="8">
        <f t="shared" si="219"/>
        <v>0.5173901321110812</v>
      </c>
      <c r="H479" s="7" t="s">
        <v>5934</v>
      </c>
      <c r="I479" s="6" t="str">
        <f t="shared" si="220"/>
        <v>=3709*10000</v>
      </c>
      <c r="J479" s="1">
        <f>3709*10000</f>
        <v>37090000</v>
      </c>
      <c r="K479" s="10">
        <f t="shared" si="221"/>
        <v>0.64042459088898718</v>
      </c>
      <c r="L479" s="7" t="s">
        <v>5935</v>
      </c>
      <c r="M479" s="6" t="str">
        <f t="shared" si="222"/>
        <v>=2261*10000</v>
      </c>
      <c r="N479" s="1">
        <f>2261*10000</f>
        <v>22610000</v>
      </c>
      <c r="O479" s="8">
        <f t="shared" si="223"/>
        <v>1.9238329238329239</v>
      </c>
      <c r="P479" s="7" t="s">
        <v>5936</v>
      </c>
      <c r="Q479" s="6" t="str">
        <f t="shared" si="224"/>
        <v>=773.3*10000</v>
      </c>
      <c r="R479" s="11">
        <f>773.3*10000</f>
        <v>7733000</v>
      </c>
      <c r="S479" s="8">
        <f t="shared" si="225"/>
        <v>-0.84687128712871285</v>
      </c>
      <c r="T479" s="7" t="s">
        <v>5937</v>
      </c>
      <c r="U479" s="6" t="str">
        <f t="shared" si="226"/>
        <v>=5050*10000</v>
      </c>
      <c r="V479" s="1">
        <f>5050*10000</f>
        <v>50500000</v>
      </c>
      <c r="W479" s="8">
        <f t="shared" si="227"/>
        <v>0.4511494252873563</v>
      </c>
      <c r="X479" s="7" t="s">
        <v>5938</v>
      </c>
      <c r="Y479" s="6" t="str">
        <f t="shared" si="228"/>
        <v>=3480*10000</v>
      </c>
      <c r="Z479" s="1">
        <f>3480*10000</f>
        <v>34800000</v>
      </c>
      <c r="AA479" s="8">
        <f t="shared" si="229"/>
        <v>0.99426934097421205</v>
      </c>
      <c r="AB479" s="7" t="s">
        <v>5939</v>
      </c>
      <c r="AC479" s="6" t="str">
        <f t="shared" si="230"/>
        <v>=1745*10000</v>
      </c>
      <c r="AD479" s="1">
        <f>1745*10000</f>
        <v>17450000</v>
      </c>
      <c r="AE479" s="8">
        <f t="shared" si="231"/>
        <v>2.5743547726341665</v>
      </c>
      <c r="AF479" s="7" t="s">
        <v>5940</v>
      </c>
      <c r="AG479" s="6" t="str">
        <f t="shared" si="232"/>
        <v>=488.2*10000</v>
      </c>
      <c r="AH479" s="1">
        <f>488.2*10000</f>
        <v>4882000</v>
      </c>
      <c r="AI479" s="8">
        <f t="shared" si="233"/>
        <v>-0.89824927052938719</v>
      </c>
      <c r="AJ479" s="7" t="s">
        <v>5941</v>
      </c>
      <c r="AK479" s="6" t="str">
        <f t="shared" si="234"/>
        <v>=4798*10000</v>
      </c>
      <c r="AL479" s="1">
        <f>4798*10000</f>
        <v>47980000</v>
      </c>
      <c r="AM479" s="8">
        <f t="shared" si="235"/>
        <v>0.1702439024390244</v>
      </c>
      <c r="AN479" s="7" t="s">
        <v>5942</v>
      </c>
      <c r="AO479" s="6" t="str">
        <f t="shared" si="236"/>
        <v>=4100*10000</v>
      </c>
      <c r="AP479" s="1">
        <f>4100*10000</f>
        <v>41000000</v>
      </c>
      <c r="AQ479" s="8">
        <f t="shared" si="237"/>
        <v>0.6386890487609912</v>
      </c>
      <c r="AR479" s="7" t="s">
        <v>5943</v>
      </c>
      <c r="AS479" s="6" t="str">
        <f t="shared" si="238"/>
        <v>=2502*10000</v>
      </c>
      <c r="AT479" s="1">
        <f>2502*10000</f>
        <v>25020000</v>
      </c>
      <c r="AU479" s="8">
        <f t="shared" si="239"/>
        <v>3.5121731289449953</v>
      </c>
      <c r="AV479" s="7" t="s">
        <v>5944</v>
      </c>
      <c r="AW479" s="6" t="str">
        <f t="shared" si="240"/>
        <v>=554.5*10000</v>
      </c>
      <c r="AX479" s="1">
        <f>554.5*10000</f>
        <v>5545000</v>
      </c>
      <c r="AY479" s="10">
        <f t="shared" si="241"/>
        <v>-0.86213326703132764</v>
      </c>
      <c r="AZ479" s="7" t="s">
        <v>5945</v>
      </c>
      <c r="BA479" s="6" t="str">
        <f t="shared" si="242"/>
        <v>=4022*10000</v>
      </c>
      <c r="BB479" s="1">
        <f>4022*10000</f>
        <v>40220000</v>
      </c>
      <c r="BC479" s="8">
        <f t="shared" si="243"/>
        <v>5.3431115767417499E-2</v>
      </c>
      <c r="BD479" s="7" t="s">
        <v>5456</v>
      </c>
      <c r="BE479" s="6" t="str">
        <f t="shared" si="244"/>
        <v>=3818*10000</v>
      </c>
      <c r="BF479" s="1">
        <f>3818*10000</f>
        <v>38180000</v>
      </c>
      <c r="BG479" s="8">
        <f t="shared" si="245"/>
        <v>0.56219312602291327</v>
      </c>
      <c r="BH479" s="7" t="s">
        <v>5946</v>
      </c>
      <c r="BI479" s="6" t="str">
        <f t="shared" si="246"/>
        <v>=2444*10000</v>
      </c>
      <c r="BJ479" s="1">
        <f>2444*10000</f>
        <v>24440000</v>
      </c>
      <c r="BK479" s="7" t="s">
        <v>5947</v>
      </c>
      <c r="BL479" s="1" t="str">
        <f t="shared" si="218"/>
        <v>=584.4*10000</v>
      </c>
      <c r="BM479" s="16">
        <f t="shared" si="247"/>
        <v>3.1820670773442847</v>
      </c>
      <c r="BN479" s="1">
        <f>584.4*10000</f>
        <v>5844000</v>
      </c>
    </row>
    <row r="480" spans="1:66">
      <c r="A480" s="18"/>
      <c r="B480">
        <v>600379</v>
      </c>
      <c r="C480" t="s">
        <v>58</v>
      </c>
      <c r="D480" s="7" t="s">
        <v>5948</v>
      </c>
      <c r="E480" s="7" t="str">
        <f t="shared" si="217"/>
        <v>=5646*10000</v>
      </c>
      <c r="F480" s="1">
        <f>5646*10000</f>
        <v>56460000</v>
      </c>
      <c r="G480" s="8">
        <f t="shared" si="219"/>
        <v>0.51815004033342293</v>
      </c>
      <c r="H480" s="7" t="s">
        <v>5949</v>
      </c>
      <c r="I480" s="6" t="str">
        <f t="shared" si="220"/>
        <v>=3719*10000</v>
      </c>
      <c r="J480" s="1">
        <f>3719*10000</f>
        <v>37190000</v>
      </c>
      <c r="K480" s="10">
        <f t="shared" si="221"/>
        <v>0.63832599118942734</v>
      </c>
      <c r="L480" s="7" t="s">
        <v>5950</v>
      </c>
      <c r="M480" s="6" t="str">
        <f t="shared" si="222"/>
        <v>=2270*10000</v>
      </c>
      <c r="N480" s="1">
        <f>2270*10000</f>
        <v>22700000</v>
      </c>
      <c r="O480" s="8">
        <f t="shared" si="223"/>
        <v>1.9054140535005759</v>
      </c>
      <c r="P480" s="7" t="s">
        <v>5951</v>
      </c>
      <c r="Q480" s="6" t="str">
        <f t="shared" si="224"/>
        <v>=781.3*10000</v>
      </c>
      <c r="R480" s="11">
        <f>781.3*10000</f>
        <v>7813000</v>
      </c>
      <c r="S480" s="8">
        <f t="shared" si="225"/>
        <v>-0.84559288537549404</v>
      </c>
      <c r="T480" s="7" t="s">
        <v>5952</v>
      </c>
      <c r="U480" s="6" t="str">
        <f t="shared" si="226"/>
        <v>=5060*10000</v>
      </c>
      <c r="V480" s="1">
        <f>5060*10000</f>
        <v>50600000</v>
      </c>
      <c r="W480" s="8">
        <f t="shared" si="227"/>
        <v>0.45110410094637227</v>
      </c>
      <c r="X480" s="7" t="s">
        <v>5953</v>
      </c>
      <c r="Y480" s="6" t="str">
        <f t="shared" si="228"/>
        <v>=3487*10000</v>
      </c>
      <c r="Z480" s="1">
        <f>3487*10000</f>
        <v>34870000</v>
      </c>
      <c r="AA480" s="8">
        <f t="shared" si="229"/>
        <v>0.99143346659051967</v>
      </c>
      <c r="AB480" s="7" t="s">
        <v>5954</v>
      </c>
      <c r="AC480" s="6" t="str">
        <f t="shared" si="230"/>
        <v>=1751*10000</v>
      </c>
      <c r="AD480" s="1">
        <f>1751*10000</f>
        <v>17510000</v>
      </c>
      <c r="AE480" s="8">
        <f t="shared" si="231"/>
        <v>2.5888501742160277</v>
      </c>
      <c r="AF480" s="7" t="s">
        <v>5955</v>
      </c>
      <c r="AG480" s="6" t="str">
        <f t="shared" si="232"/>
        <v>=487.9*10000</v>
      </c>
      <c r="AH480" s="1">
        <f>487.9*10000</f>
        <v>4879000</v>
      </c>
      <c r="AI480" s="8">
        <f t="shared" si="233"/>
        <v>-0.89737063525452254</v>
      </c>
      <c r="AJ480" s="7" t="s">
        <v>5956</v>
      </c>
      <c r="AK480" s="6" t="str">
        <f t="shared" si="234"/>
        <v>=4754*10000</v>
      </c>
      <c r="AL480" s="1">
        <f>4754*10000</f>
        <v>47540000</v>
      </c>
      <c r="AM480" s="8">
        <f t="shared" si="235"/>
        <v>0.15528554070473877</v>
      </c>
      <c r="AN480" s="7" t="s">
        <v>5957</v>
      </c>
      <c r="AO480" s="6" t="str">
        <f t="shared" si="236"/>
        <v>=4115*10000</v>
      </c>
      <c r="AP480" s="1">
        <f>4115*10000</f>
        <v>41150000</v>
      </c>
      <c r="AQ480" s="8">
        <f t="shared" si="237"/>
        <v>0.64402716739912103</v>
      </c>
      <c r="AR480" s="7" t="s">
        <v>5958</v>
      </c>
      <c r="AS480" s="6" t="str">
        <f t="shared" si="238"/>
        <v>=2503*10000</v>
      </c>
      <c r="AT480" s="1">
        <f>2503*10000</f>
        <v>25030000</v>
      </c>
      <c r="AU480" s="8">
        <f t="shared" si="239"/>
        <v>3.500989030749865</v>
      </c>
      <c r="AV480" s="7" t="s">
        <v>5959</v>
      </c>
      <c r="AW480" s="6" t="str">
        <f t="shared" si="240"/>
        <v>=556.1*10000</v>
      </c>
      <c r="AX480" s="1">
        <f>556.1*10000</f>
        <v>5561000</v>
      </c>
      <c r="AY480" s="10">
        <f t="shared" si="241"/>
        <v>-0.86648259303721487</v>
      </c>
      <c r="AZ480" s="7" t="s">
        <v>5960</v>
      </c>
      <c r="BA480" s="6" t="str">
        <f t="shared" si="242"/>
        <v>=4165*10000</v>
      </c>
      <c r="BB480" s="1">
        <f>4165*10000</f>
        <v>41650000</v>
      </c>
      <c r="BC480" s="8">
        <f t="shared" si="243"/>
        <v>7.789855072463768E-2</v>
      </c>
      <c r="BD480" s="7" t="s">
        <v>5961</v>
      </c>
      <c r="BE480" s="6" t="str">
        <f t="shared" si="244"/>
        <v>=3864*10000</v>
      </c>
      <c r="BF480" s="1">
        <f>3864*10000</f>
        <v>38640000</v>
      </c>
      <c r="BG480" s="8">
        <f t="shared" si="245"/>
        <v>0.5637393767705382</v>
      </c>
      <c r="BH480" s="7" t="s">
        <v>5962</v>
      </c>
      <c r="BI480" s="6" t="str">
        <f t="shared" si="246"/>
        <v>=2471*10000</v>
      </c>
      <c r="BJ480" s="1">
        <f>2471*10000</f>
        <v>24710000</v>
      </c>
      <c r="BK480" s="7" t="s">
        <v>5963</v>
      </c>
      <c r="BL480" s="1" t="str">
        <f t="shared" si="218"/>
        <v>=599.0*10000</v>
      </c>
      <c r="BM480" s="16">
        <f t="shared" si="247"/>
        <v>3.1252086811352253</v>
      </c>
      <c r="BN480" s="1">
        <f>599*10000</f>
        <v>5990000</v>
      </c>
    </row>
    <row r="481" spans="1:66">
      <c r="A481" s="19"/>
      <c r="B481">
        <v>600379</v>
      </c>
      <c r="C481" t="s">
        <v>68</v>
      </c>
      <c r="D481" s="7" t="s">
        <v>5964</v>
      </c>
      <c r="E481" s="7" t="str">
        <f t="shared" si="217"/>
        <v>=5216*10000</v>
      </c>
      <c r="F481" s="1">
        <f>5216*10000</f>
        <v>52160000</v>
      </c>
      <c r="G481" s="8">
        <f t="shared" si="219"/>
        <v>0.53411764705882347</v>
      </c>
      <c r="H481" s="7" t="s">
        <v>3089</v>
      </c>
      <c r="I481" s="6" t="str">
        <f t="shared" si="220"/>
        <v>=3400*10000</v>
      </c>
      <c r="J481" s="1">
        <f>3400*10000</f>
        <v>34000000</v>
      </c>
      <c r="K481" s="10">
        <f t="shared" si="221"/>
        <v>0.65048543689320393</v>
      </c>
      <c r="L481" s="7" t="s">
        <v>5965</v>
      </c>
      <c r="M481" s="6" t="str">
        <f t="shared" si="222"/>
        <v>=2060*10000</v>
      </c>
      <c r="N481" s="1">
        <f>2060*10000</f>
        <v>20600000</v>
      </c>
      <c r="O481" s="8">
        <f t="shared" si="223"/>
        <v>2.0824480023941345</v>
      </c>
      <c r="P481" s="7" t="s">
        <v>5966</v>
      </c>
      <c r="Q481" s="6" t="str">
        <f t="shared" si="224"/>
        <v>=668.3*10000</v>
      </c>
      <c r="R481" s="11">
        <f>668.3*10000</f>
        <v>6683000</v>
      </c>
      <c r="S481" s="8">
        <f t="shared" si="225"/>
        <v>-0.85525232835174358</v>
      </c>
      <c r="T481" s="7" t="s">
        <v>5967</v>
      </c>
      <c r="U481" s="6" t="str">
        <f t="shared" si="226"/>
        <v>=4617*10000</v>
      </c>
      <c r="V481" s="1">
        <f>4617*10000</f>
        <v>46170000</v>
      </c>
      <c r="W481" s="8">
        <f t="shared" si="227"/>
        <v>0.50833061091146681</v>
      </c>
      <c r="X481" s="7" t="s">
        <v>5968</v>
      </c>
      <c r="Y481" s="6" t="str">
        <f t="shared" si="228"/>
        <v>=3061*10000</v>
      </c>
      <c r="Z481" s="1">
        <f>3061*10000</f>
        <v>30610000</v>
      </c>
      <c r="AA481" s="8">
        <f t="shared" si="229"/>
        <v>1.0258107213765717</v>
      </c>
      <c r="AB481" s="7" t="s">
        <v>5969</v>
      </c>
      <c r="AC481" s="6" t="str">
        <f t="shared" si="230"/>
        <v>=1511*10000</v>
      </c>
      <c r="AD481" s="1">
        <f>1511*10000</f>
        <v>15110000</v>
      </c>
      <c r="AE481" s="8">
        <f t="shared" si="231"/>
        <v>3.1568088033012378</v>
      </c>
      <c r="AF481" s="7" t="s">
        <v>5970</v>
      </c>
      <c r="AG481" s="6" t="str">
        <f t="shared" si="232"/>
        <v>=363.5*10000</v>
      </c>
      <c r="AH481" s="1">
        <f>363.5*10000</f>
        <v>3635000</v>
      </c>
      <c r="AI481" s="8">
        <f t="shared" si="233"/>
        <v>-0.91770432420194703</v>
      </c>
      <c r="AJ481" s="7" t="s">
        <v>5971</v>
      </c>
      <c r="AK481" s="6" t="str">
        <f t="shared" si="234"/>
        <v>=4417*10000</v>
      </c>
      <c r="AL481" s="1">
        <f>4417*10000</f>
        <v>44170000</v>
      </c>
      <c r="AM481" s="8">
        <f t="shared" si="235"/>
        <v>0.23864273696017949</v>
      </c>
      <c r="AN481" s="7" t="s">
        <v>5972</v>
      </c>
      <c r="AO481" s="6" t="str">
        <f t="shared" si="236"/>
        <v>=3566*10000</v>
      </c>
      <c r="AP481" s="1">
        <f>3566*10000</f>
        <v>35660000</v>
      </c>
      <c r="AQ481" s="8">
        <f t="shared" si="237"/>
        <v>0.58629893238434161</v>
      </c>
      <c r="AR481" s="7" t="s">
        <v>5973</v>
      </c>
      <c r="AS481" s="6" t="str">
        <f t="shared" si="238"/>
        <v>=2248*10000</v>
      </c>
      <c r="AT481" s="1">
        <f>2248*10000</f>
        <v>22480000</v>
      </c>
      <c r="AU481" s="8">
        <f t="shared" si="239"/>
        <v>4.2315569001629045</v>
      </c>
      <c r="AV481" s="7" t="s">
        <v>5974</v>
      </c>
      <c r="AW481" s="6" t="str">
        <f t="shared" si="240"/>
        <v>=429.7*10000</v>
      </c>
      <c r="AX481" s="1">
        <f>429.7*10000</f>
        <v>4297000</v>
      </c>
      <c r="AY481" s="10">
        <f t="shared" si="241"/>
        <v>-0.88830257343384456</v>
      </c>
      <c r="AZ481" s="7" t="s">
        <v>5975</v>
      </c>
      <c r="BA481" s="6" t="str">
        <f t="shared" si="242"/>
        <v>=3847*10000</v>
      </c>
      <c r="BB481" s="1">
        <f>3847*10000</f>
        <v>38470000</v>
      </c>
      <c r="BC481" s="8">
        <f t="shared" si="243"/>
        <v>0.12881455399061034</v>
      </c>
      <c r="BD481" s="7" t="s">
        <v>5976</v>
      </c>
      <c r="BE481" s="6" t="str">
        <f t="shared" si="244"/>
        <v>=3408*10000</v>
      </c>
      <c r="BF481" s="1">
        <f>3408*10000</f>
        <v>34080000</v>
      </c>
      <c r="BG481" s="8">
        <f t="shared" si="245"/>
        <v>0.60225669957686878</v>
      </c>
      <c r="BH481" s="7" t="s">
        <v>5977</v>
      </c>
      <c r="BI481" s="6" t="str">
        <f t="shared" si="246"/>
        <v>=2127*10000</v>
      </c>
      <c r="BJ481" s="1">
        <f>2127*10000</f>
        <v>21270000</v>
      </c>
      <c r="BK481" s="7" t="s">
        <v>5978</v>
      </c>
      <c r="BL481" s="1" t="str">
        <f t="shared" si="218"/>
        <v>=479.7*10000</v>
      </c>
      <c r="BM481" s="16">
        <f t="shared" si="247"/>
        <v>3.4340212632895559</v>
      </c>
      <c r="BN481" s="1">
        <f>479.7*10000</f>
        <v>4797000</v>
      </c>
    </row>
    <row r="482" spans="1:66">
      <c r="A482" s="17">
        <v>121</v>
      </c>
      <c r="B482">
        <v>600380</v>
      </c>
      <c r="C482" t="s">
        <v>31</v>
      </c>
      <c r="D482" s="6" t="s">
        <v>5979</v>
      </c>
      <c r="E482" s="7" t="str">
        <f t="shared" si="217"/>
        <v>=159.0*100000000</v>
      </c>
      <c r="F482" s="1">
        <f>159*100000000</f>
        <v>15900000000</v>
      </c>
      <c r="G482" s="8">
        <f t="shared" si="219"/>
        <v>0.33277451802179381</v>
      </c>
      <c r="H482" s="6" t="s">
        <v>4732</v>
      </c>
      <c r="I482" s="6" t="str">
        <f t="shared" si="220"/>
        <v>=119.3*100000000</v>
      </c>
      <c r="J482" s="1">
        <f>119.3*100000000</f>
        <v>11930000000</v>
      </c>
      <c r="K482" s="10">
        <f t="shared" si="221"/>
        <v>0.52265475430759434</v>
      </c>
      <c r="L482" s="6" t="s">
        <v>4697</v>
      </c>
      <c r="M482" s="6" t="str">
        <f t="shared" si="222"/>
        <v>=78.35*100000000</v>
      </c>
      <c r="N482" s="1">
        <f>78.35*100000000</f>
        <v>7834999999.999999</v>
      </c>
      <c r="O482" s="8">
        <f t="shared" si="223"/>
        <v>0.89022919179734572</v>
      </c>
      <c r="P482" s="6" t="s">
        <v>3602</v>
      </c>
      <c r="Q482" s="6" t="str">
        <f t="shared" si="224"/>
        <v>=41.45*100000000</v>
      </c>
      <c r="R482" s="11">
        <f>41.45*100000000</f>
        <v>4145000000.0000005</v>
      </c>
      <c r="S482" s="8">
        <f t="shared" si="225"/>
        <v>-0.69341715976331353</v>
      </c>
      <c r="T482" s="6" t="s">
        <v>85</v>
      </c>
      <c r="U482" s="6" t="str">
        <f t="shared" si="226"/>
        <v>=135.2*100000000</v>
      </c>
      <c r="V482" s="1">
        <f>135.2*100000000</f>
        <v>13519999999.999998</v>
      </c>
      <c r="W482" s="8">
        <f t="shared" si="227"/>
        <v>0.33861386138613842</v>
      </c>
      <c r="X482" s="6" t="s">
        <v>5980</v>
      </c>
      <c r="Y482" s="6" t="str">
        <f t="shared" si="228"/>
        <v>=101.0*100000000</v>
      </c>
      <c r="Z482" s="1">
        <f>101*100000000</f>
        <v>10100000000</v>
      </c>
      <c r="AA482" s="8">
        <f t="shared" si="229"/>
        <v>0.55960469425571313</v>
      </c>
      <c r="AB482" s="6" t="s">
        <v>5981</v>
      </c>
      <c r="AC482" s="6" t="str">
        <f t="shared" si="230"/>
        <v>=64.76*100000000</v>
      </c>
      <c r="AD482" s="1">
        <f>64.76*100000000</f>
        <v>6476000000.000001</v>
      </c>
      <c r="AE482" s="8">
        <f t="shared" si="231"/>
        <v>1.0320050203953564</v>
      </c>
      <c r="AF482" s="6" t="s">
        <v>5982</v>
      </c>
      <c r="AG482" s="6" t="str">
        <f t="shared" si="232"/>
        <v>=31.87*100000000</v>
      </c>
      <c r="AH482" s="1">
        <f>31.87*100000000</f>
        <v>3187000000</v>
      </c>
      <c r="AI482" s="8">
        <f t="shared" si="233"/>
        <v>-0.73397328881469115</v>
      </c>
      <c r="AJ482" s="6" t="s">
        <v>3111</v>
      </c>
      <c r="AK482" s="6" t="str">
        <f t="shared" si="234"/>
        <v>=119.8*100000000</v>
      </c>
      <c r="AL482" s="1">
        <f>119.8*100000000</f>
        <v>11980000000</v>
      </c>
      <c r="AM482" s="8">
        <f t="shared" si="235"/>
        <v>0.28941986869013026</v>
      </c>
      <c r="AN482" s="6" t="s">
        <v>5983</v>
      </c>
      <c r="AO482" s="6" t="str">
        <f t="shared" si="236"/>
        <v>=92.91*100000000</v>
      </c>
      <c r="AP482" s="1">
        <f>92.91*100000000</f>
        <v>9291000000</v>
      </c>
      <c r="AQ482" s="8">
        <f t="shared" si="237"/>
        <v>0.47828162291169452</v>
      </c>
      <c r="AR482" s="6" t="s">
        <v>5984</v>
      </c>
      <c r="AS482" s="6" t="str">
        <f t="shared" si="238"/>
        <v>=62.85*100000000</v>
      </c>
      <c r="AT482" s="1">
        <f>62.85*100000000</f>
        <v>6285000000</v>
      </c>
      <c r="AU482" s="8">
        <f t="shared" si="239"/>
        <v>0.88061041292639142</v>
      </c>
      <c r="AV482" s="6" t="s">
        <v>5985</v>
      </c>
      <c r="AW482" s="6" t="str">
        <f t="shared" si="240"/>
        <v>=33.42*100000000</v>
      </c>
      <c r="AX482" s="1">
        <f>33.42*100000000</f>
        <v>3342000000</v>
      </c>
      <c r="AY482" s="10">
        <f t="shared" si="241"/>
        <v>-0.70160714285714287</v>
      </c>
      <c r="AZ482" s="6" t="s">
        <v>5986</v>
      </c>
      <c r="BA482" s="6" t="str">
        <f t="shared" si="242"/>
        <v>=112.0*100000000</v>
      </c>
      <c r="BB482" s="1">
        <f>112*100000000</f>
        <v>11200000000</v>
      </c>
      <c r="BC482" s="8">
        <f t="shared" si="243"/>
        <v>0.29689671144048169</v>
      </c>
      <c r="BD482" s="6" t="s">
        <v>5987</v>
      </c>
      <c r="BE482" s="6" t="str">
        <f t="shared" si="244"/>
        <v>=86.36*100000000</v>
      </c>
      <c r="BF482" s="1">
        <f>86.36*100000000</f>
        <v>8636000000</v>
      </c>
      <c r="BG482" s="8">
        <f t="shared" si="245"/>
        <v>0.50243562978427281</v>
      </c>
      <c r="BH482" s="6" t="s">
        <v>209</v>
      </c>
      <c r="BI482" s="6" t="str">
        <f t="shared" si="246"/>
        <v>=57.48*100000000</v>
      </c>
      <c r="BJ482" s="1">
        <f>57.48*100000000</f>
        <v>5748000000</v>
      </c>
      <c r="BK482" s="6" t="s">
        <v>5988</v>
      </c>
      <c r="BL482" s="1" t="str">
        <f t="shared" si="218"/>
        <v>=30.09*100000000</v>
      </c>
      <c r="BM482" s="16">
        <f t="shared" si="247"/>
        <v>0.91026919242273185</v>
      </c>
      <c r="BN482" s="1">
        <f>30.09*100000000</f>
        <v>3009000000</v>
      </c>
    </row>
    <row r="483" spans="1:66">
      <c r="A483" s="18"/>
      <c r="B483">
        <v>600380</v>
      </c>
      <c r="C483" t="s">
        <v>48</v>
      </c>
      <c r="D483" s="6" t="s">
        <v>5989</v>
      </c>
      <c r="E483" s="7" t="str">
        <f t="shared" si="217"/>
        <v>=29.83*100000000</v>
      </c>
      <c r="F483" s="1">
        <f>29.83*100000000</f>
        <v>2983000000</v>
      </c>
      <c r="G483" s="8">
        <f t="shared" si="219"/>
        <v>0.23981712385702411</v>
      </c>
      <c r="H483" s="6" t="s">
        <v>641</v>
      </c>
      <c r="I483" s="6" t="str">
        <f t="shared" si="220"/>
        <v>=24.06*100000000</v>
      </c>
      <c r="J483" s="1">
        <f>24.06*100000000</f>
        <v>2406000000</v>
      </c>
      <c r="K483" s="10">
        <f t="shared" si="221"/>
        <v>0.40373395565927656</v>
      </c>
      <c r="L483" s="6" t="s">
        <v>5990</v>
      </c>
      <c r="M483" s="6" t="str">
        <f t="shared" si="222"/>
        <v>=17.14*100000000</v>
      </c>
      <c r="N483" s="1">
        <f>17.14*100000000</f>
        <v>1714000000</v>
      </c>
      <c r="O483" s="8">
        <f t="shared" si="223"/>
        <v>0.98425561472563095</v>
      </c>
      <c r="P483" s="6" t="s">
        <v>5991</v>
      </c>
      <c r="Q483" s="6" t="str">
        <f t="shared" si="224"/>
        <v>=8.638*100000000</v>
      </c>
      <c r="R483" s="11">
        <f>8.638*100000000</f>
        <v>863800000</v>
      </c>
      <c r="S483" s="8">
        <f t="shared" si="225"/>
        <v>-0.70945173225697944</v>
      </c>
      <c r="T483" s="6" t="s">
        <v>3541</v>
      </c>
      <c r="U483" s="6" t="str">
        <f t="shared" si="226"/>
        <v>=29.73*100000000</v>
      </c>
      <c r="V483" s="1">
        <f>29.73*100000000</f>
        <v>2973000000</v>
      </c>
      <c r="W483" s="8">
        <f t="shared" si="227"/>
        <v>0.16360078277886497</v>
      </c>
      <c r="X483" s="6" t="s">
        <v>1117</v>
      </c>
      <c r="Y483" s="6" t="str">
        <f t="shared" si="228"/>
        <v>=25.55*100000000</v>
      </c>
      <c r="Z483" s="1">
        <f>25.55*100000000</f>
        <v>2555000000</v>
      </c>
      <c r="AA483" s="8">
        <f t="shared" si="229"/>
        <v>0.36923901393354769</v>
      </c>
      <c r="AB483" s="6" t="s">
        <v>5992</v>
      </c>
      <c r="AC483" s="6" t="str">
        <f t="shared" si="230"/>
        <v>=18.66*100000000</v>
      </c>
      <c r="AD483" s="1">
        <f>18.66*100000000</f>
        <v>1866000000</v>
      </c>
      <c r="AE483" s="8">
        <f t="shared" si="231"/>
        <v>1.6977013155992482</v>
      </c>
      <c r="AF483" s="6" t="s">
        <v>5993</v>
      </c>
      <c r="AG483" s="6" t="str">
        <f t="shared" si="232"/>
        <v>=6.917*100000000</v>
      </c>
      <c r="AH483" s="1">
        <f>6.917*100000000</f>
        <v>691700000</v>
      </c>
      <c r="AI483" s="8">
        <f t="shared" si="233"/>
        <v>-0.6837219935985368</v>
      </c>
      <c r="AJ483" s="6" t="s">
        <v>5994</v>
      </c>
      <c r="AK483" s="6" t="str">
        <f t="shared" si="234"/>
        <v>=21.87*100000000</v>
      </c>
      <c r="AL483" s="1">
        <f>21.87*100000000</f>
        <v>2187000000</v>
      </c>
      <c r="AM483" s="8">
        <f t="shared" si="235"/>
        <v>0.18344155844155843</v>
      </c>
      <c r="AN483" s="6" t="s">
        <v>5995</v>
      </c>
      <c r="AO483" s="6" t="str">
        <f t="shared" si="236"/>
        <v>=18.48*100000000</v>
      </c>
      <c r="AP483" s="1">
        <f>18.48*100000000</f>
        <v>1848000000</v>
      </c>
      <c r="AQ483" s="8">
        <f t="shared" si="237"/>
        <v>0.44149765990639628</v>
      </c>
      <c r="AR483" s="6" t="s">
        <v>4549</v>
      </c>
      <c r="AS483" s="6" t="str">
        <f t="shared" si="238"/>
        <v>=12.82*100000000</v>
      </c>
      <c r="AT483" s="1">
        <f>12.82*100000000</f>
        <v>1282000000</v>
      </c>
      <c r="AU483" s="8">
        <f t="shared" si="239"/>
        <v>0.9909923901226898</v>
      </c>
      <c r="AV483" s="6" t="s">
        <v>5996</v>
      </c>
      <c r="AW483" s="6" t="str">
        <f t="shared" si="240"/>
        <v>=6.439*100000000</v>
      </c>
      <c r="AX483" s="1">
        <f>6.439*100000000</f>
        <v>643900000</v>
      </c>
      <c r="AY483" s="10">
        <f t="shared" si="241"/>
        <v>-0.59604767879548304</v>
      </c>
      <c r="AZ483" s="6" t="s">
        <v>5997</v>
      </c>
      <c r="BA483" s="6" t="str">
        <f t="shared" si="242"/>
        <v>=15.94*100000000</v>
      </c>
      <c r="BB483" s="1">
        <f>15.94*100000000</f>
        <v>1594000000</v>
      </c>
      <c r="BC483" s="8">
        <f t="shared" si="243"/>
        <v>0.15173410404624277</v>
      </c>
      <c r="BD483" s="6" t="s">
        <v>5998</v>
      </c>
      <c r="BE483" s="6" t="str">
        <f t="shared" si="244"/>
        <v>=13.84*100000000</v>
      </c>
      <c r="BF483" s="1">
        <f>13.84*100000000</f>
        <v>1384000000</v>
      </c>
      <c r="BG483" s="8">
        <f t="shared" si="245"/>
        <v>0.44830473001255772</v>
      </c>
      <c r="BH483" s="6" t="s">
        <v>5999</v>
      </c>
      <c r="BI483" s="6" t="str">
        <f t="shared" si="246"/>
        <v>=9.556*100000000</v>
      </c>
      <c r="BJ483" s="1">
        <f>9.556*100000000</f>
        <v>955599999.99999988</v>
      </c>
      <c r="BK483" s="6" t="s">
        <v>6000</v>
      </c>
      <c r="BL483" s="1" t="str">
        <f t="shared" si="218"/>
        <v>=4.873*100000000</v>
      </c>
      <c r="BM483" s="16">
        <f t="shared" si="247"/>
        <v>0.9610096449825567</v>
      </c>
      <c r="BN483" s="1">
        <f>4.873*100000000</f>
        <v>487300000</v>
      </c>
    </row>
    <row r="484" spans="1:66">
      <c r="A484" s="18"/>
      <c r="B484">
        <v>600380</v>
      </c>
      <c r="C484" t="s">
        <v>58</v>
      </c>
      <c r="D484" s="6" t="s">
        <v>6001</v>
      </c>
      <c r="E484" s="7" t="str">
        <f t="shared" si="217"/>
        <v>=29.52*100000000</v>
      </c>
      <c r="F484" s="1">
        <f>29.52*100000000</f>
        <v>2952000000</v>
      </c>
      <c r="G484" s="8">
        <f t="shared" si="219"/>
        <v>0.23411371237458195</v>
      </c>
      <c r="H484" s="6" t="s">
        <v>5885</v>
      </c>
      <c r="I484" s="6" t="str">
        <f t="shared" si="220"/>
        <v>=23.92*100000000</v>
      </c>
      <c r="J484" s="1">
        <f>23.92*100000000</f>
        <v>2392000000</v>
      </c>
      <c r="K484" s="10">
        <f t="shared" si="221"/>
        <v>0.39638061879743142</v>
      </c>
      <c r="L484" s="6" t="s">
        <v>6002</v>
      </c>
      <c r="M484" s="6" t="str">
        <f t="shared" si="222"/>
        <v>=17.13*100000000</v>
      </c>
      <c r="N484" s="1">
        <f>17.13*100000000</f>
        <v>1713000000</v>
      </c>
      <c r="O484" s="8">
        <f t="shared" si="223"/>
        <v>0.93646846032104902</v>
      </c>
      <c r="P484" s="6" t="s">
        <v>6003</v>
      </c>
      <c r="Q484" s="6" t="str">
        <f t="shared" si="224"/>
        <v>=8.846*100000000</v>
      </c>
      <c r="R484" s="11">
        <f>8.846*100000000</f>
        <v>884600000</v>
      </c>
      <c r="S484" s="8">
        <f t="shared" si="225"/>
        <v>-0.70013559322033903</v>
      </c>
      <c r="T484" s="6" t="s">
        <v>6004</v>
      </c>
      <c r="U484" s="6" t="str">
        <f t="shared" si="226"/>
        <v>=29.50*100000000</v>
      </c>
      <c r="V484" s="1">
        <f>29.5*100000000</f>
        <v>2950000000</v>
      </c>
      <c r="W484" s="8">
        <f t="shared" si="227"/>
        <v>0.16416732438831885</v>
      </c>
      <c r="X484" s="6" t="s">
        <v>1898</v>
      </c>
      <c r="Y484" s="6" t="str">
        <f t="shared" si="228"/>
        <v>=25.34*100000000</v>
      </c>
      <c r="Z484" s="1">
        <f>25.34*100000000</f>
        <v>2534000000</v>
      </c>
      <c r="AA484" s="8">
        <f t="shared" si="229"/>
        <v>0.37121212121212122</v>
      </c>
      <c r="AB484" s="6" t="s">
        <v>5995</v>
      </c>
      <c r="AC484" s="6" t="str">
        <f t="shared" si="230"/>
        <v>=18.48*100000000</v>
      </c>
      <c r="AD484" s="1">
        <f>18.48*100000000</f>
        <v>1848000000</v>
      </c>
      <c r="AE484" s="8">
        <f t="shared" si="231"/>
        <v>1.7244582043343653</v>
      </c>
      <c r="AF484" s="6" t="s">
        <v>6005</v>
      </c>
      <c r="AG484" s="6" t="str">
        <f t="shared" si="232"/>
        <v>=6.783*100000000</v>
      </c>
      <c r="AH484" s="1">
        <f>6.783*100000000</f>
        <v>678300000</v>
      </c>
      <c r="AI484" s="8">
        <f t="shared" si="233"/>
        <v>-0.68856749311294763</v>
      </c>
      <c r="AJ484" s="6" t="s">
        <v>5657</v>
      </c>
      <c r="AK484" s="6" t="str">
        <f t="shared" si="234"/>
        <v>=21.78*100000000</v>
      </c>
      <c r="AL484" s="1">
        <f>21.78*100000000</f>
        <v>2178000000</v>
      </c>
      <c r="AM484" s="8">
        <f t="shared" si="235"/>
        <v>0.18627450980392157</v>
      </c>
      <c r="AN484" s="6" t="s">
        <v>6006</v>
      </c>
      <c r="AO484" s="6" t="str">
        <f t="shared" si="236"/>
        <v>=18.36*100000000</v>
      </c>
      <c r="AP484" s="1">
        <f>18.36*100000000</f>
        <v>1836000000</v>
      </c>
      <c r="AQ484" s="8">
        <f t="shared" si="237"/>
        <v>0.44</v>
      </c>
      <c r="AR484" s="6" t="s">
        <v>901</v>
      </c>
      <c r="AS484" s="6" t="str">
        <f t="shared" si="238"/>
        <v>=12.75*100000000</v>
      </c>
      <c r="AT484" s="1">
        <f>12.75*100000000</f>
        <v>1275000000</v>
      </c>
      <c r="AU484" s="8">
        <f t="shared" si="239"/>
        <v>0.83137029589198508</v>
      </c>
      <c r="AV484" s="6" t="s">
        <v>6007</v>
      </c>
      <c r="AW484" s="6" t="str">
        <f t="shared" si="240"/>
        <v>=6.962*100000000</v>
      </c>
      <c r="AX484" s="1">
        <f>6.962*100000000</f>
        <v>696200000</v>
      </c>
      <c r="AY484" s="10">
        <f t="shared" si="241"/>
        <v>-0.59826889786497395</v>
      </c>
      <c r="AZ484" s="6" t="s">
        <v>6008</v>
      </c>
      <c r="BA484" s="6" t="str">
        <f t="shared" si="242"/>
        <v>=17.33*100000000</v>
      </c>
      <c r="BB484" s="1">
        <f>17.33*100000000</f>
        <v>1732999999.9999998</v>
      </c>
      <c r="BC484" s="8">
        <f t="shared" si="243"/>
        <v>0.11734364925854272</v>
      </c>
      <c r="BD484" s="6" t="s">
        <v>3049</v>
      </c>
      <c r="BE484" s="6" t="str">
        <f t="shared" si="244"/>
        <v>=15.51*100000000</v>
      </c>
      <c r="BF484" s="1">
        <f>15.51*100000000</f>
        <v>1551000000</v>
      </c>
      <c r="BG484" s="8">
        <f t="shared" si="245"/>
        <v>0.52208047105004907</v>
      </c>
      <c r="BH484" s="6" t="s">
        <v>2896</v>
      </c>
      <c r="BI484" s="6" t="str">
        <f t="shared" si="246"/>
        <v>=10.19*100000000</v>
      </c>
      <c r="BJ484" s="1">
        <f>10.19*100000000</f>
        <v>1019000000</v>
      </c>
      <c r="BK484" s="6" t="s">
        <v>6009</v>
      </c>
      <c r="BL484" s="1" t="str">
        <f t="shared" si="218"/>
        <v>=5.403*100000000</v>
      </c>
      <c r="BM484" s="16">
        <f t="shared" si="247"/>
        <v>0.88598926522302424</v>
      </c>
      <c r="BN484" s="1">
        <f>5.403*100000000</f>
        <v>540300000</v>
      </c>
    </row>
    <row r="485" spans="1:66">
      <c r="A485" s="19"/>
      <c r="B485">
        <v>600380</v>
      </c>
      <c r="C485" t="s">
        <v>68</v>
      </c>
      <c r="D485" s="6" t="s">
        <v>6010</v>
      </c>
      <c r="E485" s="7" t="str">
        <f t="shared" si="217"/>
        <v>=26.13*100000000</v>
      </c>
      <c r="F485" s="1">
        <f>26.13*100000000</f>
        <v>2613000000</v>
      </c>
      <c r="G485" s="8">
        <f t="shared" si="219"/>
        <v>0.25867052023121373</v>
      </c>
      <c r="H485" s="6" t="s">
        <v>6011</v>
      </c>
      <c r="I485" s="6" t="str">
        <f t="shared" si="220"/>
        <v>=20.76*100000000</v>
      </c>
      <c r="J485" s="1">
        <f>20.76*100000000</f>
        <v>2076000000.0000002</v>
      </c>
      <c r="K485" s="10">
        <f t="shared" si="221"/>
        <v>0.41416893732970045</v>
      </c>
      <c r="L485" s="6" t="s">
        <v>333</v>
      </c>
      <c r="M485" s="6" t="str">
        <f t="shared" si="222"/>
        <v>=14.68*100000000</v>
      </c>
      <c r="N485" s="1">
        <f>14.68*100000000</f>
        <v>1468000000</v>
      </c>
      <c r="O485" s="8">
        <f t="shared" si="223"/>
        <v>0.93718659276854055</v>
      </c>
      <c r="P485" s="6" t="s">
        <v>6012</v>
      </c>
      <c r="Q485" s="6" t="str">
        <f t="shared" si="224"/>
        <v>=7.578*100000000</v>
      </c>
      <c r="R485" s="11">
        <f>7.578*100000000</f>
        <v>757800000</v>
      </c>
      <c r="S485" s="8">
        <f t="shared" si="225"/>
        <v>-0.7060512024825446</v>
      </c>
      <c r="T485" s="6" t="s">
        <v>6013</v>
      </c>
      <c r="U485" s="6" t="str">
        <f t="shared" si="226"/>
        <v>=25.78*100000000</v>
      </c>
      <c r="V485" s="1">
        <f>25.78*100000000</f>
        <v>2578000000</v>
      </c>
      <c r="W485" s="8">
        <f t="shared" si="227"/>
        <v>0.18256880733944955</v>
      </c>
      <c r="X485" s="6" t="s">
        <v>2437</v>
      </c>
      <c r="Y485" s="6" t="str">
        <f t="shared" si="228"/>
        <v>=21.80*100000000</v>
      </c>
      <c r="Z485" s="1">
        <f>21.8*100000000</f>
        <v>2180000000</v>
      </c>
      <c r="AA485" s="8">
        <f t="shared" si="229"/>
        <v>0.37193203272498426</v>
      </c>
      <c r="AB485" s="6" t="s">
        <v>4531</v>
      </c>
      <c r="AC485" s="6" t="str">
        <f t="shared" si="230"/>
        <v>=15.89*100000000</v>
      </c>
      <c r="AD485" s="1">
        <f>15.89*100000000</f>
        <v>1589000000</v>
      </c>
      <c r="AE485" s="8">
        <f t="shared" si="231"/>
        <v>1.7668465958558244</v>
      </c>
      <c r="AF485" s="6" t="s">
        <v>6014</v>
      </c>
      <c r="AG485" s="6" t="str">
        <f t="shared" si="232"/>
        <v>=5.743*100000000</v>
      </c>
      <c r="AH485" s="1">
        <f>5.743*100000000</f>
        <v>574300000</v>
      </c>
      <c r="AI485" s="8">
        <f t="shared" si="233"/>
        <v>-0.68956756756756754</v>
      </c>
      <c r="AJ485" s="6" t="s">
        <v>6015</v>
      </c>
      <c r="AK485" s="6" t="str">
        <f t="shared" si="234"/>
        <v>=18.50*100000000</v>
      </c>
      <c r="AL485" s="1">
        <f>18.5*100000000</f>
        <v>1850000000</v>
      </c>
      <c r="AM485" s="8">
        <f t="shared" si="235"/>
        <v>0.19509043927648578</v>
      </c>
      <c r="AN485" s="6" t="s">
        <v>360</v>
      </c>
      <c r="AO485" s="6" t="str">
        <f t="shared" si="236"/>
        <v>=15.48*100000000</v>
      </c>
      <c r="AP485" s="1">
        <f>15.48*100000000</f>
        <v>1548000000</v>
      </c>
      <c r="AQ485" s="8">
        <f t="shared" si="237"/>
        <v>0.43068391866913125</v>
      </c>
      <c r="AR485" s="6" t="s">
        <v>6016</v>
      </c>
      <c r="AS485" s="6" t="str">
        <f t="shared" si="238"/>
        <v>=10.82*100000000</v>
      </c>
      <c r="AT485" s="1">
        <f>10.82*100000000</f>
        <v>1082000000</v>
      </c>
      <c r="AU485" s="8">
        <f t="shared" si="239"/>
        <v>0.83857264231096007</v>
      </c>
      <c r="AV485" s="6" t="s">
        <v>6017</v>
      </c>
      <c r="AW485" s="6" t="str">
        <f t="shared" si="240"/>
        <v>=5.885*100000000</v>
      </c>
      <c r="AX485" s="1">
        <f>5.885*100000000</f>
        <v>588500000</v>
      </c>
      <c r="AY485" s="10">
        <f t="shared" si="241"/>
        <v>-0.59691780821917806</v>
      </c>
      <c r="AZ485" s="6" t="s">
        <v>6018</v>
      </c>
      <c r="BA485" s="6" t="str">
        <f t="shared" si="242"/>
        <v>=14.60*100000000</v>
      </c>
      <c r="BB485" s="1">
        <f>14.6*100000000</f>
        <v>1460000000</v>
      </c>
      <c r="BC485" s="8">
        <f t="shared" si="243"/>
        <v>0.12654320987654322</v>
      </c>
      <c r="BD485" s="6" t="s">
        <v>6019</v>
      </c>
      <c r="BE485" s="6" t="str">
        <f t="shared" si="244"/>
        <v>=12.96*100000000</v>
      </c>
      <c r="BF485" s="1">
        <f>12.96*100000000</f>
        <v>1296000000</v>
      </c>
      <c r="BG485" s="8">
        <f t="shared" si="245"/>
        <v>0.53318348515320024</v>
      </c>
      <c r="BH485" s="6" t="s">
        <v>4651</v>
      </c>
      <c r="BI485" s="6" t="str">
        <f t="shared" si="246"/>
        <v>=8.453*100000000</v>
      </c>
      <c r="BJ485" s="1">
        <f>8.453*100000000</f>
        <v>845299999.99999988</v>
      </c>
      <c r="BK485" s="6" t="s">
        <v>6020</v>
      </c>
      <c r="BL485" s="1" t="str">
        <f t="shared" si="218"/>
        <v>=4.487*100000000</v>
      </c>
      <c r="BM485" s="16">
        <f t="shared" si="247"/>
        <v>0.88388678404278997</v>
      </c>
      <c r="BN485" s="1">
        <f>4.487*100000000</f>
        <v>448700000</v>
      </c>
    </row>
    <row r="486" spans="1:66">
      <c r="A486" s="17">
        <v>122</v>
      </c>
      <c r="B486">
        <v>600386</v>
      </c>
      <c r="C486" t="s">
        <v>31</v>
      </c>
      <c r="D486" s="6" t="s">
        <v>6021</v>
      </c>
      <c r="E486" s="7" t="str">
        <f t="shared" si="217"/>
        <v>=43.09*100000000</v>
      </c>
      <c r="F486" s="1">
        <f>43.09*100000000</f>
        <v>4309000000</v>
      </c>
      <c r="G486" s="8">
        <f t="shared" si="219"/>
        <v>0.33158220024721879</v>
      </c>
      <c r="H486" s="6" t="s">
        <v>4986</v>
      </c>
      <c r="I486" s="6" t="str">
        <f t="shared" si="220"/>
        <v>=32.36*100000000</v>
      </c>
      <c r="J486" s="1">
        <f>32.36*100000000</f>
        <v>3236000000</v>
      </c>
      <c r="K486" s="10">
        <f t="shared" si="221"/>
        <v>0.52139163140573574</v>
      </c>
      <c r="L486" s="6" t="s">
        <v>6022</v>
      </c>
      <c r="M486" s="6" t="str">
        <f t="shared" si="222"/>
        <v>=21.27*100000000</v>
      </c>
      <c r="N486" s="1">
        <f>21.27*100000000</f>
        <v>2127000000</v>
      </c>
      <c r="O486" s="8">
        <f t="shared" si="223"/>
        <v>1.18422674060382</v>
      </c>
      <c r="P486" s="6" t="s">
        <v>6023</v>
      </c>
      <c r="Q486" s="6" t="str">
        <f t="shared" si="224"/>
        <v>=9.738*100000000</v>
      </c>
      <c r="R486" s="11">
        <f>9.738*100000000</f>
        <v>973800000</v>
      </c>
      <c r="S486" s="8">
        <f t="shared" si="225"/>
        <v>-0.78479558011049722</v>
      </c>
      <c r="T486" s="6" t="s">
        <v>6024</v>
      </c>
      <c r="U486" s="6" t="str">
        <f t="shared" si="226"/>
        <v>=45.25*100000000</v>
      </c>
      <c r="V486" s="1">
        <f>45.25*100000000</f>
        <v>4525000000</v>
      </c>
      <c r="W486" s="8">
        <f t="shared" si="227"/>
        <v>0.47154471544715448</v>
      </c>
      <c r="X486" s="6" t="s">
        <v>6025</v>
      </c>
      <c r="Y486" s="6" t="str">
        <f t="shared" si="228"/>
        <v>=30.75*100000000</v>
      </c>
      <c r="Z486" s="1">
        <f>30.75*100000000</f>
        <v>3075000000</v>
      </c>
      <c r="AA486" s="8">
        <f t="shared" si="229"/>
        <v>0.67666303162486363</v>
      </c>
      <c r="AB486" s="6" t="s">
        <v>6026</v>
      </c>
      <c r="AC486" s="6" t="str">
        <f t="shared" si="230"/>
        <v>=18.34*100000000</v>
      </c>
      <c r="AD486" s="1">
        <f>18.34*100000000</f>
        <v>1834000000</v>
      </c>
      <c r="AE486" s="8">
        <f t="shared" si="231"/>
        <v>1.7570655441972338</v>
      </c>
      <c r="AF486" s="6" t="s">
        <v>2036</v>
      </c>
      <c r="AG486" s="6" t="str">
        <f t="shared" si="232"/>
        <v>=6.652*100000000</v>
      </c>
      <c r="AH486" s="1">
        <f>6.652*100000000</f>
        <v>665200000</v>
      </c>
      <c r="AI486" s="8">
        <f t="shared" si="233"/>
        <v>-0.87276205049732214</v>
      </c>
      <c r="AJ486" s="6" t="s">
        <v>6027</v>
      </c>
      <c r="AK486" s="6" t="str">
        <f t="shared" si="234"/>
        <v>=52.28*100000000</v>
      </c>
      <c r="AL486" s="1">
        <f>52.28*100000000</f>
        <v>5228000000</v>
      </c>
      <c r="AM486" s="8">
        <f t="shared" si="235"/>
        <v>0.38343477110346652</v>
      </c>
      <c r="AN486" s="6" t="s">
        <v>6028</v>
      </c>
      <c r="AO486" s="6" t="str">
        <f t="shared" si="236"/>
        <v>=37.79*100000000</v>
      </c>
      <c r="AP486" s="1">
        <f>37.79*100000000</f>
        <v>3779000000</v>
      </c>
      <c r="AQ486" s="8">
        <f t="shared" si="237"/>
        <v>0.5299595141700405</v>
      </c>
      <c r="AR486" s="6" t="s">
        <v>6029</v>
      </c>
      <c r="AS486" s="6" t="str">
        <f t="shared" si="238"/>
        <v>=24.70*100000000</v>
      </c>
      <c r="AT486" s="1">
        <f>24.7*100000000</f>
        <v>2470000000</v>
      </c>
      <c r="AU486" s="8">
        <f t="shared" si="239"/>
        <v>1.191659272404614</v>
      </c>
      <c r="AV486" s="6" t="s">
        <v>4842</v>
      </c>
      <c r="AW486" s="6" t="str">
        <f t="shared" si="240"/>
        <v>=11.27*100000000</v>
      </c>
      <c r="AX486" s="1">
        <f>11.27*100000000</f>
        <v>1127000000</v>
      </c>
      <c r="AY486" s="10">
        <f t="shared" si="241"/>
        <v>-0.76491447642886945</v>
      </c>
      <c r="AZ486" s="6" t="s">
        <v>6030</v>
      </c>
      <c r="BA486" s="6" t="str">
        <f t="shared" si="242"/>
        <v>=47.94*100000000</v>
      </c>
      <c r="BB486" s="1">
        <f>47.94*100000000</f>
        <v>4794000000</v>
      </c>
      <c r="BC486" s="8">
        <f t="shared" si="243"/>
        <v>0.43104477611940301</v>
      </c>
      <c r="BD486" s="6" t="s">
        <v>5571</v>
      </c>
      <c r="BE486" s="6" t="str">
        <f t="shared" si="244"/>
        <v>=33.50*100000000</v>
      </c>
      <c r="BF486" s="1">
        <f>33.5*100000000</f>
        <v>3350000000</v>
      </c>
      <c r="BG486" s="8">
        <f t="shared" si="245"/>
        <v>0.63096397273612459</v>
      </c>
      <c r="BH486" s="6" t="s">
        <v>2671</v>
      </c>
      <c r="BI486" s="6" t="str">
        <f t="shared" si="246"/>
        <v>=20.54*100000000</v>
      </c>
      <c r="BJ486" s="1">
        <f>20.54*100000000</f>
        <v>2054000000</v>
      </c>
      <c r="BK486" s="6" t="s">
        <v>1121</v>
      </c>
      <c r="BL486" s="1" t="str">
        <f t="shared" si="218"/>
        <v>=10.03*100000000</v>
      </c>
      <c r="BM486" s="16">
        <f t="shared" si="247"/>
        <v>1.0478564307078766</v>
      </c>
      <c r="BN486" s="1">
        <f>10.03*100000000</f>
        <v>1002999999.9999999</v>
      </c>
    </row>
    <row r="487" spans="1:66">
      <c r="A487" s="18"/>
      <c r="B487">
        <v>600386</v>
      </c>
      <c r="C487" t="s">
        <v>48</v>
      </c>
      <c r="D487" s="6" t="s">
        <v>3692</v>
      </c>
      <c r="E487" s="7" t="str">
        <f t="shared" si="217"/>
        <v>=2.719*100000000</v>
      </c>
      <c r="F487" s="1">
        <f>2.719*100000000</f>
        <v>271900000</v>
      </c>
      <c r="G487" s="8">
        <f t="shared" si="219"/>
        <v>0.43331576172904585</v>
      </c>
      <c r="H487" s="6" t="s">
        <v>4924</v>
      </c>
      <c r="I487" s="6" t="str">
        <f t="shared" si="220"/>
        <v>=1.897*100000000</v>
      </c>
      <c r="J487" s="1">
        <f>1.897*100000000</f>
        <v>189700000</v>
      </c>
      <c r="K487" s="10">
        <f t="shared" si="221"/>
        <v>0.96784232365145229</v>
      </c>
      <c r="L487" s="7" t="s">
        <v>6031</v>
      </c>
      <c r="M487" s="6" t="str">
        <f t="shared" si="222"/>
        <v>=9640*10000</v>
      </c>
      <c r="N487" s="1">
        <f>9640*10000</f>
        <v>96400000</v>
      </c>
      <c r="O487" s="8">
        <f t="shared" si="223"/>
        <v>1.4851765919051303</v>
      </c>
      <c r="P487" s="7" t="s">
        <v>6032</v>
      </c>
      <c r="Q487" s="6" t="str">
        <f t="shared" si="224"/>
        <v>=3879*10000</v>
      </c>
      <c r="R487" s="11">
        <f>3879*10000</f>
        <v>38790000</v>
      </c>
      <c r="S487" s="8">
        <f t="shared" si="225"/>
        <v>-0.69140811455847251</v>
      </c>
      <c r="T487" s="6" t="s">
        <v>6033</v>
      </c>
      <c r="U487" s="6" t="str">
        <f t="shared" si="226"/>
        <v>=1.257*100000000</v>
      </c>
      <c r="V487" s="1">
        <f>1.257*100000000</f>
        <v>125699999.99999999</v>
      </c>
      <c r="W487" s="8">
        <f t="shared" si="227"/>
        <v>0.77316969953448988</v>
      </c>
      <c r="X487" s="7" t="s">
        <v>6034</v>
      </c>
      <c r="Y487" s="6" t="str">
        <f t="shared" si="228"/>
        <v>=7089*10000</v>
      </c>
      <c r="Z487" s="1">
        <f>7089*10000</f>
        <v>70890000</v>
      </c>
      <c r="AA487" s="8">
        <f t="shared" si="229"/>
        <v>7.7345983242976839</v>
      </c>
      <c r="AB487" s="7" t="s">
        <v>6035</v>
      </c>
      <c r="AC487" s="6" t="str">
        <f t="shared" si="230"/>
        <v>=811.6*10000</v>
      </c>
      <c r="AD487" s="1">
        <f>811.6*10000</f>
        <v>8116000</v>
      </c>
      <c r="AE487" s="8">
        <f t="shared" si="231"/>
        <v>-1.249569495694957</v>
      </c>
      <c r="AF487" s="7">
        <f>-3252*10000</f>
        <v>-32520000</v>
      </c>
      <c r="AG487" s="6" t="str">
        <f t="shared" si="232"/>
        <v>=-32520000</v>
      </c>
      <c r="AH487" s="1">
        <f>-32520000</f>
        <v>-32520000</v>
      </c>
      <c r="AI487" s="8">
        <f t="shared" si="233"/>
        <v>-1.1819809736989368</v>
      </c>
      <c r="AJ487" s="6" t="s">
        <v>6036</v>
      </c>
      <c r="AK487" s="6" t="str">
        <f t="shared" si="234"/>
        <v>=1.787*100000000</v>
      </c>
      <c r="AL487" s="1">
        <f>1.787*100000000</f>
        <v>178700000</v>
      </c>
      <c r="AM487" s="8">
        <f t="shared" si="235"/>
        <v>0.34563253012048195</v>
      </c>
      <c r="AN487" s="6" t="s">
        <v>4979</v>
      </c>
      <c r="AO487" s="6" t="str">
        <f t="shared" si="236"/>
        <v>=1.328*100000000</v>
      </c>
      <c r="AP487" s="1">
        <f>1.328*100000000</f>
        <v>132800000</v>
      </c>
      <c r="AQ487" s="8">
        <f t="shared" si="237"/>
        <v>0.44883264237399084</v>
      </c>
      <c r="AR487" s="7" t="s">
        <v>6037</v>
      </c>
      <c r="AS487" s="6" t="str">
        <f t="shared" si="238"/>
        <v>=9166*10000</v>
      </c>
      <c r="AT487" s="1">
        <f>9166*10000</f>
        <v>91660000</v>
      </c>
      <c r="AU487" s="8">
        <f t="shared" si="239"/>
        <v>1.461993016384636</v>
      </c>
      <c r="AV487" s="7" t="s">
        <v>6038</v>
      </c>
      <c r="AW487" s="6" t="str">
        <f t="shared" si="240"/>
        <v>=3723*10000</v>
      </c>
      <c r="AX487" s="1">
        <f>3723*10000</f>
        <v>37230000</v>
      </c>
      <c r="AY487" s="10">
        <f t="shared" si="241"/>
        <v>-0.80966257668711661</v>
      </c>
      <c r="AZ487" s="6" t="s">
        <v>2880</v>
      </c>
      <c r="BA487" s="6" t="str">
        <f t="shared" si="242"/>
        <v>=1.956*100000000</v>
      </c>
      <c r="BB487" s="1">
        <f>1.956*100000000</f>
        <v>195600000</v>
      </c>
      <c r="BC487" s="8">
        <f t="shared" si="243"/>
        <v>0.43929359823399561</v>
      </c>
      <c r="BD487" s="6" t="s">
        <v>6039</v>
      </c>
      <c r="BE487" s="6" t="str">
        <f t="shared" si="244"/>
        <v>=1.359*100000000</v>
      </c>
      <c r="BF487" s="1">
        <f>1.359*100000000</f>
        <v>135900000</v>
      </c>
      <c r="BG487" s="8">
        <f t="shared" si="245"/>
        <v>0.76059075009716282</v>
      </c>
      <c r="BH487" s="7" t="s">
        <v>6040</v>
      </c>
      <c r="BI487" s="6" t="str">
        <f t="shared" si="246"/>
        <v>=7719*10000</v>
      </c>
      <c r="BJ487" s="1">
        <f>7719*10000</f>
        <v>77190000</v>
      </c>
      <c r="BK487" s="7" t="s">
        <v>1999</v>
      </c>
      <c r="BL487" s="1" t="str">
        <f t="shared" si="218"/>
        <v>=3117*10000</v>
      </c>
      <c r="BM487" s="16">
        <f t="shared" si="247"/>
        <v>1.476419634263715</v>
      </c>
      <c r="BN487" s="1">
        <f>3117*10000</f>
        <v>31170000</v>
      </c>
    </row>
    <row r="488" spans="1:66">
      <c r="A488" s="18"/>
      <c r="B488">
        <v>600386</v>
      </c>
      <c r="C488" t="s">
        <v>58</v>
      </c>
      <c r="D488" s="6" t="s">
        <v>6041</v>
      </c>
      <c r="E488" s="7" t="str">
        <f t="shared" si="217"/>
        <v>=2.608*100000000</v>
      </c>
      <c r="F488" s="1">
        <f>2.608*100000000</f>
        <v>260800000</v>
      </c>
      <c r="G488" s="8">
        <f t="shared" si="219"/>
        <v>0.43060888645090512</v>
      </c>
      <c r="H488" s="6" t="s">
        <v>3396</v>
      </c>
      <c r="I488" s="6" t="str">
        <f t="shared" si="220"/>
        <v>=1.823*100000000</v>
      </c>
      <c r="J488" s="1">
        <f>1.823*100000000</f>
        <v>182300000</v>
      </c>
      <c r="K488" s="10">
        <f t="shared" si="221"/>
        <v>0.88501706131734048</v>
      </c>
      <c r="L488" s="7" t="s">
        <v>6042</v>
      </c>
      <c r="M488" s="6" t="str">
        <f t="shared" si="222"/>
        <v>=9671*10000</v>
      </c>
      <c r="N488" s="1">
        <f>9671*10000</f>
        <v>96710000</v>
      </c>
      <c r="O488" s="8">
        <f t="shared" si="223"/>
        <v>1.5028467908902692</v>
      </c>
      <c r="P488" s="7" t="s">
        <v>5961</v>
      </c>
      <c r="Q488" s="6" t="str">
        <f t="shared" si="224"/>
        <v>=3864*10000</v>
      </c>
      <c r="R488" s="11">
        <f>3864*10000</f>
        <v>38640000</v>
      </c>
      <c r="S488" s="8">
        <f t="shared" si="225"/>
        <v>-0.68687196110210702</v>
      </c>
      <c r="T488" s="6" t="s">
        <v>6043</v>
      </c>
      <c r="U488" s="6" t="str">
        <f t="shared" si="226"/>
        <v>=1.234*100000000</v>
      </c>
      <c r="V488" s="1">
        <f>1.234*100000000</f>
        <v>123400000</v>
      </c>
      <c r="W488" s="8">
        <f t="shared" si="227"/>
        <v>0.76487414187643021</v>
      </c>
      <c r="X488" s="7" t="s">
        <v>5455</v>
      </c>
      <c r="Y488" s="6" t="str">
        <f t="shared" si="228"/>
        <v>=6992*10000</v>
      </c>
      <c r="Z488" s="1">
        <f>6992*10000</f>
        <v>69920000</v>
      </c>
      <c r="AA488" s="8">
        <f t="shared" si="229"/>
        <v>9.0315638450502149</v>
      </c>
      <c r="AB488" s="7" t="s">
        <v>5874</v>
      </c>
      <c r="AC488" s="6" t="str">
        <f t="shared" si="230"/>
        <v>=697.0*10000</v>
      </c>
      <c r="AD488" s="1">
        <f>697*10000</f>
        <v>6970000</v>
      </c>
      <c r="AE488" s="8">
        <f t="shared" si="231"/>
        <v>-1.2059692671394799</v>
      </c>
      <c r="AF488" s="7">
        <f>-3384*10000</f>
        <v>-33840000</v>
      </c>
      <c r="AG488" s="6" t="str">
        <f t="shared" si="232"/>
        <v>=-33840000</v>
      </c>
      <c r="AH488" s="1">
        <f>-33840000</f>
        <v>-33840000</v>
      </c>
      <c r="AI488" s="8">
        <f t="shared" si="233"/>
        <v>-1.1868580894533407</v>
      </c>
      <c r="AJ488" s="6" t="s">
        <v>4454</v>
      </c>
      <c r="AK488" s="6" t="str">
        <f t="shared" si="234"/>
        <v>=1.811*100000000</v>
      </c>
      <c r="AL488" s="1">
        <f>1.811*100000000</f>
        <v>181100000</v>
      </c>
      <c r="AM488" s="8">
        <f t="shared" si="235"/>
        <v>0.37928408225437926</v>
      </c>
      <c r="AN488" s="6" t="s">
        <v>4888</v>
      </c>
      <c r="AO488" s="6" t="str">
        <f t="shared" si="236"/>
        <v>=1.313*100000000</v>
      </c>
      <c r="AP488" s="1">
        <f>1.313*100000000</f>
        <v>131300000</v>
      </c>
      <c r="AQ488" s="8">
        <f t="shared" si="237"/>
        <v>0.44874765530177646</v>
      </c>
      <c r="AR488" s="7" t="s">
        <v>6044</v>
      </c>
      <c r="AS488" s="6" t="str">
        <f t="shared" si="238"/>
        <v>=9063*10000</v>
      </c>
      <c r="AT488" s="1">
        <f>9063*10000</f>
        <v>90630000</v>
      </c>
      <c r="AU488" s="8">
        <f t="shared" si="239"/>
        <v>1.5365239294710327</v>
      </c>
      <c r="AV488" s="7" t="s">
        <v>6045</v>
      </c>
      <c r="AW488" s="6" t="str">
        <f t="shared" si="240"/>
        <v>=3573*10000</v>
      </c>
      <c r="AX488" s="1">
        <f>3573*10000</f>
        <v>35730000</v>
      </c>
      <c r="AY488" s="10">
        <f t="shared" si="241"/>
        <v>-0.82476704266797451</v>
      </c>
      <c r="AZ488" s="6" t="s">
        <v>190</v>
      </c>
      <c r="BA488" s="6" t="str">
        <f t="shared" si="242"/>
        <v>=2.039*100000000</v>
      </c>
      <c r="BB488" s="1">
        <f>2.039*100000000</f>
        <v>203900000</v>
      </c>
      <c r="BC488" s="8">
        <f t="shared" si="243"/>
        <v>0.50147275405007363</v>
      </c>
      <c r="BD488" s="6" t="s">
        <v>6046</v>
      </c>
      <c r="BE488" s="6" t="str">
        <f t="shared" si="244"/>
        <v>=1.358*100000000</v>
      </c>
      <c r="BF488" s="1">
        <f>1.358*100000000</f>
        <v>135800000</v>
      </c>
      <c r="BG488" s="8">
        <f t="shared" si="245"/>
        <v>0.75384218003357872</v>
      </c>
      <c r="BH488" s="7" t="s">
        <v>6047</v>
      </c>
      <c r="BI488" s="6" t="str">
        <f t="shared" si="246"/>
        <v>=7743*10000</v>
      </c>
      <c r="BJ488" s="1">
        <f>7743*10000</f>
        <v>77430000</v>
      </c>
      <c r="BK488" s="7" t="s">
        <v>6048</v>
      </c>
      <c r="BL488" s="1" t="str">
        <f t="shared" si="218"/>
        <v>=3113*10000</v>
      </c>
      <c r="BM488" s="16">
        <f t="shared" si="247"/>
        <v>1.4873112752971409</v>
      </c>
      <c r="BN488" s="1">
        <f>3113*10000</f>
        <v>31130000</v>
      </c>
    </row>
    <row r="489" spans="1:66">
      <c r="A489" s="19"/>
      <c r="B489">
        <v>600386</v>
      </c>
      <c r="C489" t="s">
        <v>68</v>
      </c>
      <c r="D489" s="6" t="s">
        <v>2359</v>
      </c>
      <c r="E489" s="7" t="str">
        <f t="shared" si="217"/>
        <v>=1.893*100000000</v>
      </c>
      <c r="F489" s="1">
        <f>1.893*100000000</f>
        <v>189300000</v>
      </c>
      <c r="G489" s="8">
        <f t="shared" si="219"/>
        <v>0.41585639491398652</v>
      </c>
      <c r="H489" s="6" t="s">
        <v>6049</v>
      </c>
      <c r="I489" s="6" t="str">
        <f t="shared" si="220"/>
        <v>=1.337*100000000</v>
      </c>
      <c r="J489" s="1">
        <f>1.337*100000000</f>
        <v>133700000</v>
      </c>
      <c r="K489" s="10">
        <f t="shared" si="221"/>
        <v>0.971976401179941</v>
      </c>
      <c r="L489" s="7" t="s">
        <v>6050</v>
      </c>
      <c r="M489" s="6" t="str">
        <f t="shared" si="222"/>
        <v>=6780*10000</v>
      </c>
      <c r="N489" s="1">
        <f>6780*10000</f>
        <v>67800000</v>
      </c>
      <c r="O489" s="8">
        <f t="shared" si="223"/>
        <v>1.8619670747150696</v>
      </c>
      <c r="P489" s="7" t="s">
        <v>6051</v>
      </c>
      <c r="Q489" s="6" t="str">
        <f t="shared" si="224"/>
        <v>=2369*10000</v>
      </c>
      <c r="R489" s="11">
        <f>2369*10000</f>
        <v>23690000</v>
      </c>
      <c r="S489" s="8">
        <f t="shared" si="225"/>
        <v>-0.67183820473749822</v>
      </c>
      <c r="T489" s="7" t="s">
        <v>6052</v>
      </c>
      <c r="U489" s="6" t="str">
        <f t="shared" si="226"/>
        <v>=7219*10000</v>
      </c>
      <c r="V489" s="1">
        <f>7219*10000</f>
        <v>72190000</v>
      </c>
      <c r="W489" s="8">
        <f t="shared" si="227"/>
        <v>2.0524312896405918</v>
      </c>
      <c r="X489" s="7" t="s">
        <v>6053</v>
      </c>
      <c r="Y489" s="6" t="str">
        <f t="shared" si="228"/>
        <v>=2365*10000</v>
      </c>
      <c r="Z489" s="1">
        <f>2365*10000</f>
        <v>23650000</v>
      </c>
      <c r="AA489" s="8">
        <f t="shared" si="229"/>
        <v>-2.8935148118494798</v>
      </c>
      <c r="AB489" s="7">
        <f>-1249*10000</f>
        <v>-12490000</v>
      </c>
      <c r="AC489" s="6" t="str">
        <f t="shared" si="230"/>
        <v>=-12490000</v>
      </c>
      <c r="AD489" s="1">
        <f>-12490000</f>
        <v>-12490000</v>
      </c>
      <c r="AE489" s="8">
        <f t="shared" si="231"/>
        <v>-0.71894689468946893</v>
      </c>
      <c r="AF489" s="7">
        <f>-4444*10000</f>
        <v>-44440000</v>
      </c>
      <c r="AG489" s="6" t="str">
        <f t="shared" si="232"/>
        <v>=-44440000</v>
      </c>
      <c r="AH489" s="1">
        <f>-44440000</f>
        <v>-44440000</v>
      </c>
      <c r="AI489" s="8">
        <f t="shared" si="233"/>
        <v>-1.4285438765670204</v>
      </c>
      <c r="AJ489" s="6" t="s">
        <v>2194</v>
      </c>
      <c r="AK489" s="6" t="str">
        <f t="shared" si="234"/>
        <v>=1.037*100000000</v>
      </c>
      <c r="AL489" s="1">
        <f>1.037*100000000</f>
        <v>103699999.99999999</v>
      </c>
      <c r="AM489" s="8">
        <f t="shared" si="235"/>
        <v>0.34430904848327698</v>
      </c>
      <c r="AN489" s="7" t="s">
        <v>6054</v>
      </c>
      <c r="AO489" s="6" t="str">
        <f t="shared" si="236"/>
        <v>=7714*10000</v>
      </c>
      <c r="AP489" s="1">
        <f>7714*10000</f>
        <v>77140000</v>
      </c>
      <c r="AQ489" s="8">
        <f t="shared" si="237"/>
        <v>0.44646540408775548</v>
      </c>
      <c r="AR489" s="7" t="s">
        <v>6055</v>
      </c>
      <c r="AS489" s="6" t="str">
        <f t="shared" si="238"/>
        <v>=5333*10000</v>
      </c>
      <c r="AT489" s="1">
        <f>5333*10000</f>
        <v>53330000</v>
      </c>
      <c r="AU489" s="8">
        <f t="shared" si="239"/>
        <v>2.9213235294117648</v>
      </c>
      <c r="AV489" s="7" t="s">
        <v>6056</v>
      </c>
      <c r="AW489" s="6" t="str">
        <f t="shared" si="240"/>
        <v>=1360*10000</v>
      </c>
      <c r="AX489" s="1">
        <f>1360*10000</f>
        <v>13600000</v>
      </c>
      <c r="AY489" s="10">
        <f t="shared" si="241"/>
        <v>-0.89602446483180431</v>
      </c>
      <c r="AZ489" s="6" t="s">
        <v>6057</v>
      </c>
      <c r="BA489" s="6" t="str">
        <f t="shared" si="242"/>
        <v>=1.308*100000000</v>
      </c>
      <c r="BB489" s="1">
        <f>1.308*100000000</f>
        <v>130800000</v>
      </c>
      <c r="BC489" s="8">
        <f t="shared" si="243"/>
        <v>0.46439767129422299</v>
      </c>
      <c r="BD489" s="7" t="s">
        <v>6058</v>
      </c>
      <c r="BE489" s="6" t="str">
        <f t="shared" si="244"/>
        <v>=8932*10000</v>
      </c>
      <c r="BF489" s="1">
        <f>8932*10000</f>
        <v>89320000</v>
      </c>
      <c r="BG489" s="8">
        <f t="shared" si="245"/>
        <v>0.61373080397470636</v>
      </c>
      <c r="BH489" s="7" t="s">
        <v>6059</v>
      </c>
      <c r="BI489" s="6" t="str">
        <f t="shared" si="246"/>
        <v>=5535*10000</v>
      </c>
      <c r="BJ489" s="1">
        <f>5535*10000</f>
        <v>55350000</v>
      </c>
      <c r="BK489" s="7" t="s">
        <v>5977</v>
      </c>
      <c r="BL489" s="1" t="str">
        <f t="shared" si="218"/>
        <v>=2127*10000</v>
      </c>
      <c r="BM489" s="16">
        <f t="shared" si="247"/>
        <v>1.6022566995768688</v>
      </c>
      <c r="BN489" s="1">
        <f>2127*10000</f>
        <v>21270000</v>
      </c>
    </row>
    <row r="490" spans="1:66">
      <c r="A490" s="17">
        <v>123</v>
      </c>
      <c r="B490">
        <v>600391</v>
      </c>
      <c r="C490" t="s">
        <v>31</v>
      </c>
      <c r="D490" s="6" t="s">
        <v>6060</v>
      </c>
      <c r="E490" s="7" t="str">
        <f t="shared" si="217"/>
        <v>=35.05*100000000</v>
      </c>
      <c r="F490" s="1">
        <f>35.05*100000000</f>
        <v>3504999999.9999995</v>
      </c>
      <c r="G490" s="8">
        <f t="shared" si="219"/>
        <v>0.52723311546840934</v>
      </c>
      <c r="H490" s="6" t="s">
        <v>6061</v>
      </c>
      <c r="I490" s="6" t="str">
        <f t="shared" si="220"/>
        <v>=22.95*100000000</v>
      </c>
      <c r="J490" s="1">
        <f>22.95*100000000</f>
        <v>2295000000</v>
      </c>
      <c r="K490" s="10">
        <f t="shared" si="221"/>
        <v>0.56548431105047747</v>
      </c>
      <c r="L490" s="6" t="s">
        <v>6062</v>
      </c>
      <c r="M490" s="6" t="str">
        <f t="shared" si="222"/>
        <v>=14.66*100000000</v>
      </c>
      <c r="N490" s="1">
        <f>14.66*100000000</f>
        <v>1466000000</v>
      </c>
      <c r="O490" s="8">
        <f t="shared" si="223"/>
        <v>1.0806131138234458</v>
      </c>
      <c r="P490" s="6" t="s">
        <v>6063</v>
      </c>
      <c r="Q490" s="6" t="str">
        <f t="shared" si="224"/>
        <v>=7.046*100000000</v>
      </c>
      <c r="R490" s="11">
        <f>7.046*100000000</f>
        <v>704600000</v>
      </c>
      <c r="S490" s="8">
        <f t="shared" si="225"/>
        <v>-0.74105108416023524</v>
      </c>
      <c r="T490" s="6" t="s">
        <v>6064</v>
      </c>
      <c r="U490" s="6" t="str">
        <f t="shared" si="226"/>
        <v>=27.21*100000000</v>
      </c>
      <c r="V490" s="1">
        <f>27.21*100000000</f>
        <v>2721000000</v>
      </c>
      <c r="W490" s="8">
        <f t="shared" si="227"/>
        <v>0.7588881706528765</v>
      </c>
      <c r="X490" s="6" t="s">
        <v>349</v>
      </c>
      <c r="Y490" s="6" t="str">
        <f t="shared" si="228"/>
        <v>=15.47*100000000</v>
      </c>
      <c r="Z490" s="1">
        <f>15.47*100000000</f>
        <v>1547000000</v>
      </c>
      <c r="AA490" s="8">
        <f t="shared" si="229"/>
        <v>0.61583455191142678</v>
      </c>
      <c r="AB490" s="6" t="s">
        <v>6065</v>
      </c>
      <c r="AC490" s="6" t="str">
        <f t="shared" si="230"/>
        <v>=9.574*100000000</v>
      </c>
      <c r="AD490" s="1">
        <f>9.574*100000000</f>
        <v>957400000</v>
      </c>
      <c r="AE490" s="8">
        <f t="shared" si="231"/>
        <v>1.1018660812294183</v>
      </c>
      <c r="AF490" s="6" t="s">
        <v>6066</v>
      </c>
      <c r="AG490" s="6" t="str">
        <f t="shared" si="232"/>
        <v>=4.555*100000000</v>
      </c>
      <c r="AH490" s="1">
        <f>4.555*100000000</f>
        <v>455500000</v>
      </c>
      <c r="AI490" s="8">
        <f t="shared" si="233"/>
        <v>-0.86539598108747051</v>
      </c>
      <c r="AJ490" s="6" t="s">
        <v>6067</v>
      </c>
      <c r="AK490" s="6" t="str">
        <f t="shared" si="234"/>
        <v>=33.84*100000000</v>
      </c>
      <c r="AL490" s="1">
        <f>33.84*100000000</f>
        <v>3384000000.0000005</v>
      </c>
      <c r="AM490" s="8">
        <f t="shared" si="235"/>
        <v>1.0521528198908434</v>
      </c>
      <c r="AN490" s="6" t="s">
        <v>6068</v>
      </c>
      <c r="AO490" s="6" t="str">
        <f t="shared" si="236"/>
        <v>=16.49*100000000</v>
      </c>
      <c r="AP490" s="1">
        <f>16.49*100000000</f>
        <v>1648999999.9999998</v>
      </c>
      <c r="AQ490" s="8">
        <f t="shared" si="237"/>
        <v>0.45414462081128726</v>
      </c>
      <c r="AR490" s="6" t="s">
        <v>6069</v>
      </c>
      <c r="AS490" s="6" t="str">
        <f t="shared" si="238"/>
        <v>=11.34*100000000</v>
      </c>
      <c r="AT490" s="1">
        <f>11.34*100000000</f>
        <v>1134000000</v>
      </c>
      <c r="AU490" s="8">
        <f t="shared" si="239"/>
        <v>1.3386265209321511</v>
      </c>
      <c r="AV490" s="6" t="s">
        <v>6070</v>
      </c>
      <c r="AW490" s="6" t="str">
        <f t="shared" si="240"/>
        <v>=4.849*100000000</v>
      </c>
      <c r="AX490" s="1">
        <f>4.849*100000000</f>
        <v>484900000</v>
      </c>
      <c r="AY490" s="10">
        <f t="shared" si="241"/>
        <v>-0.79488155668358718</v>
      </c>
      <c r="AZ490" s="6" t="s">
        <v>1311</v>
      </c>
      <c r="BA490" s="6" t="str">
        <f t="shared" si="242"/>
        <v>=23.64*100000000</v>
      </c>
      <c r="BB490" s="1">
        <f>23.64*100000000</f>
        <v>2364000000</v>
      </c>
      <c r="BC490" s="8">
        <f t="shared" si="243"/>
        <v>0.69583931133428978</v>
      </c>
      <c r="BD490" s="6" t="s">
        <v>5392</v>
      </c>
      <c r="BE490" s="6" t="str">
        <f t="shared" si="244"/>
        <v>=13.94*100000000</v>
      </c>
      <c r="BF490" s="1">
        <f>13.94*100000000</f>
        <v>1394000000</v>
      </c>
      <c r="BG490" s="8">
        <f t="shared" si="245"/>
        <v>0.56506118782979675</v>
      </c>
      <c r="BH490" s="6" t="s">
        <v>6071</v>
      </c>
      <c r="BI490" s="6" t="str">
        <f t="shared" si="246"/>
        <v>=8.907*100000000</v>
      </c>
      <c r="BJ490" s="1">
        <f>8.907*100000000</f>
        <v>890700000</v>
      </c>
      <c r="BK490" s="6" t="s">
        <v>6072</v>
      </c>
      <c r="BL490" s="1" t="str">
        <f t="shared" si="218"/>
        <v>=3.845*100000000</v>
      </c>
      <c r="BM490" s="16">
        <f t="shared" si="247"/>
        <v>1.3165149544863459</v>
      </c>
      <c r="BN490" s="1">
        <f>3.845*100000000</f>
        <v>384500000</v>
      </c>
    </row>
    <row r="491" spans="1:66">
      <c r="A491" s="18"/>
      <c r="B491">
        <v>600391</v>
      </c>
      <c r="C491" t="s">
        <v>48</v>
      </c>
      <c r="D491" s="7" t="s">
        <v>6073</v>
      </c>
      <c r="E491" s="7" t="str">
        <f t="shared" si="217"/>
        <v>=5165*10000</v>
      </c>
      <c r="F491" s="1">
        <f>5165*10000</f>
        <v>51650000</v>
      </c>
      <c r="G491" s="8">
        <f t="shared" si="219"/>
        <v>-4.6761565836298935</v>
      </c>
      <c r="H491" s="7">
        <f>-1405*10000</f>
        <v>-14050000</v>
      </c>
      <c r="I491" s="6" t="str">
        <f t="shared" si="220"/>
        <v>=-14050000</v>
      </c>
      <c r="J491" s="1">
        <f>-14050000</f>
        <v>-14050000</v>
      </c>
      <c r="K491" s="10">
        <f t="shared" si="221"/>
        <v>-0.58172075022328074</v>
      </c>
      <c r="L491" s="7">
        <f>-3359*10000</f>
        <v>-33590000</v>
      </c>
      <c r="M491" s="6" t="str">
        <f t="shared" si="222"/>
        <v>=-33590000</v>
      </c>
      <c r="N491" s="1">
        <f>-33590000</f>
        <v>-33590000</v>
      </c>
      <c r="O491" s="8">
        <f t="shared" si="223"/>
        <v>1.2468227424749163</v>
      </c>
      <c r="P491" s="7">
        <f>-1495*10000</f>
        <v>-14950000</v>
      </c>
      <c r="Q491" s="6" t="str">
        <f t="shared" si="224"/>
        <v>=-14950000</v>
      </c>
      <c r="R491" s="11">
        <f>-14950000</f>
        <v>-14950000</v>
      </c>
      <c r="S491" s="8">
        <f t="shared" si="225"/>
        <v>-2.006056527590848</v>
      </c>
      <c r="T491" s="7" t="s">
        <v>6074</v>
      </c>
      <c r="U491" s="6" t="str">
        <f t="shared" si="226"/>
        <v>=1486*10000</v>
      </c>
      <c r="V491" s="1">
        <f>1486*10000</f>
        <v>14860000</v>
      </c>
      <c r="W491" s="8">
        <f t="shared" si="227"/>
        <v>-1.4580764488286067</v>
      </c>
      <c r="X491" s="7">
        <f>-3244*10000</f>
        <v>-32440000</v>
      </c>
      <c r="Y491" s="6" t="str">
        <f t="shared" si="228"/>
        <v>=-32440000</v>
      </c>
      <c r="Z491" s="1">
        <f>-32440000</f>
        <v>-32440000</v>
      </c>
      <c r="AA491" s="8">
        <f t="shared" si="229"/>
        <v>-0.36504208259933452</v>
      </c>
      <c r="AB491" s="7">
        <f>-5109*10000</f>
        <v>-51090000</v>
      </c>
      <c r="AC491" s="6" t="str">
        <f t="shared" si="230"/>
        <v>=-51090000</v>
      </c>
      <c r="AD491" s="1">
        <f>-51090000</f>
        <v>-51090000</v>
      </c>
      <c r="AE491" s="8">
        <f t="shared" si="231"/>
        <v>0.85175788329104751</v>
      </c>
      <c r="AF491" s="7">
        <f>-2759*10000</f>
        <v>-27590000</v>
      </c>
      <c r="AG491" s="6" t="str">
        <f t="shared" si="232"/>
        <v>=-27590000</v>
      </c>
      <c r="AH491" s="1">
        <f>-27590000</f>
        <v>-27590000</v>
      </c>
      <c r="AI491" s="8">
        <f t="shared" si="233"/>
        <v>-1.585153764581124</v>
      </c>
      <c r="AJ491" s="7" t="s">
        <v>1707</v>
      </c>
      <c r="AK491" s="6" t="str">
        <f t="shared" si="234"/>
        <v>=4715*10000</v>
      </c>
      <c r="AL491" s="1">
        <f>4715*10000</f>
        <v>47150000</v>
      </c>
      <c r="AM491" s="8">
        <f t="shared" si="235"/>
        <v>651.77585490793297</v>
      </c>
      <c r="AN491" s="7" t="s">
        <v>6075</v>
      </c>
      <c r="AO491" s="6" t="str">
        <f t="shared" si="236"/>
        <v>=7.223*10000</v>
      </c>
      <c r="AP491" s="1">
        <f>7.223*10000</f>
        <v>72230</v>
      </c>
      <c r="AQ491" s="8">
        <f t="shared" si="237"/>
        <v>-1.0068790476190477</v>
      </c>
      <c r="AR491" s="7">
        <f>-1050*10000</f>
        <v>-10500000</v>
      </c>
      <c r="AS491" s="6" t="str">
        <f t="shared" si="238"/>
        <v>=-10500000</v>
      </c>
      <c r="AT491" s="1">
        <f>-10500000</f>
        <v>-10500000</v>
      </c>
      <c r="AU491" s="8">
        <f t="shared" si="239"/>
        <v>-0.43578721117678665</v>
      </c>
      <c r="AV491" s="7">
        <f>-1861*10000</f>
        <v>-18610000</v>
      </c>
      <c r="AW491" s="6" t="str">
        <f t="shared" si="240"/>
        <v>=-18610000</v>
      </c>
      <c r="AX491" s="1">
        <f>-18610000</f>
        <v>-18610000</v>
      </c>
      <c r="AY491" s="10">
        <f t="shared" si="241"/>
        <v>-0.84308600337268125</v>
      </c>
      <c r="AZ491" s="6">
        <f>-1.186*100000000</f>
        <v>-118600000</v>
      </c>
      <c r="BA491" s="6" t="str">
        <f t="shared" si="242"/>
        <v>=-118600000</v>
      </c>
      <c r="BB491" s="1">
        <f>-118600000</f>
        <v>-118600000</v>
      </c>
      <c r="BC491" s="8">
        <f t="shared" si="243"/>
        <v>0.86302230600062835</v>
      </c>
      <c r="BD491" s="7">
        <f>-6366*10000</f>
        <v>-63660000</v>
      </c>
      <c r="BE491" s="6" t="str">
        <f t="shared" si="244"/>
        <v>=-63660000</v>
      </c>
      <c r="BF491" s="1">
        <f>-63660000</f>
        <v>-63660000</v>
      </c>
      <c r="BG491" s="8">
        <f t="shared" si="245"/>
        <v>0.57926072934755646</v>
      </c>
      <c r="BH491" s="7">
        <f>-4031*10000</f>
        <v>-40310000</v>
      </c>
      <c r="BI491" s="6" t="str">
        <f t="shared" si="246"/>
        <v>=-40310000</v>
      </c>
      <c r="BJ491" s="1">
        <f>-40310000</f>
        <v>-40310000</v>
      </c>
      <c r="BK491" s="7">
        <f>-966*10000</f>
        <v>-9660000</v>
      </c>
      <c r="BL491" s="1" t="str">
        <f t="shared" si="218"/>
        <v>=-9660000</v>
      </c>
      <c r="BM491" s="16">
        <f t="shared" si="247"/>
        <v>3.1728778467908905</v>
      </c>
      <c r="BN491" s="1">
        <f>-9660000</f>
        <v>-9660000</v>
      </c>
    </row>
    <row r="492" spans="1:66">
      <c r="A492" s="18"/>
      <c r="B492">
        <v>600391</v>
      </c>
      <c r="C492" t="s">
        <v>58</v>
      </c>
      <c r="D492" s="7" t="s">
        <v>6076</v>
      </c>
      <c r="E492" s="7" t="str">
        <f t="shared" si="217"/>
        <v>=5450*10000</v>
      </c>
      <c r="F492" s="1">
        <f>5450*10000</f>
        <v>54500000</v>
      </c>
      <c r="G492" s="8">
        <f t="shared" si="219"/>
        <v>-5.2511700468018718</v>
      </c>
      <c r="H492" s="7">
        <f>-1282*10000</f>
        <v>-12820000</v>
      </c>
      <c r="I492" s="6" t="str">
        <f t="shared" si="220"/>
        <v>=-12820000</v>
      </c>
      <c r="J492" s="1">
        <f>-12820000</f>
        <v>-12820000</v>
      </c>
      <c r="K492" s="10">
        <f t="shared" si="221"/>
        <v>-0.63423680456490727</v>
      </c>
      <c r="L492" s="7">
        <f>-3505*10000</f>
        <v>-35050000</v>
      </c>
      <c r="M492" s="6" t="str">
        <f t="shared" si="222"/>
        <v>=-35050000</v>
      </c>
      <c r="N492" s="1">
        <f>-35050000</f>
        <v>-35050000</v>
      </c>
      <c r="O492" s="8">
        <f t="shared" si="223"/>
        <v>1.2730220492866406</v>
      </c>
      <c r="P492" s="7">
        <f>-1542*10000</f>
        <v>-15420000</v>
      </c>
      <c r="Q492" s="6" t="str">
        <f t="shared" si="224"/>
        <v>=-15420000</v>
      </c>
      <c r="R492" s="11">
        <f>-15420000</f>
        <v>-15420000</v>
      </c>
      <c r="S492" s="8">
        <f t="shared" si="225"/>
        <v>-2.0058708414872797</v>
      </c>
      <c r="T492" s="7" t="s">
        <v>6077</v>
      </c>
      <c r="U492" s="6" t="str">
        <f t="shared" si="226"/>
        <v>=1533*10000</v>
      </c>
      <c r="V492" s="1">
        <f>1533*10000</f>
        <v>15330000</v>
      </c>
      <c r="W492" s="8">
        <f t="shared" si="227"/>
        <v>-1.4808657465495609</v>
      </c>
      <c r="X492" s="7">
        <f>-3188*10000</f>
        <v>-31880000</v>
      </c>
      <c r="Y492" s="6" t="str">
        <f t="shared" si="228"/>
        <v>=-31880000</v>
      </c>
      <c r="Z492" s="1">
        <f>-31880000</f>
        <v>-31880000</v>
      </c>
      <c r="AA492" s="8">
        <f t="shared" si="229"/>
        <v>-0.37107910830538565</v>
      </c>
      <c r="AB492" s="7">
        <f>-5069*10000</f>
        <v>-50690000</v>
      </c>
      <c r="AC492" s="6" t="str">
        <f t="shared" si="230"/>
        <v>=-50690000</v>
      </c>
      <c r="AD492" s="1">
        <f>-50690000</f>
        <v>-50690000</v>
      </c>
      <c r="AE492" s="8">
        <f t="shared" si="231"/>
        <v>0.85950110051357298</v>
      </c>
      <c r="AF492" s="7">
        <f>-2726*10000</f>
        <v>-27260000</v>
      </c>
      <c r="AG492" s="6" t="str">
        <f t="shared" si="232"/>
        <v>=-27260000</v>
      </c>
      <c r="AH492" s="1">
        <f>-27260000</f>
        <v>-27260000</v>
      </c>
      <c r="AI492" s="8">
        <f t="shared" si="233"/>
        <v>-1.6455126687189201</v>
      </c>
      <c r="AJ492" s="7" t="s">
        <v>6078</v>
      </c>
      <c r="AK492" s="6" t="str">
        <f t="shared" si="234"/>
        <v>=4223*10000</v>
      </c>
      <c r="AL492" s="1">
        <f>4223*10000</f>
        <v>42230000</v>
      </c>
      <c r="AM492" s="8">
        <f t="shared" si="235"/>
        <v>-11.13438924886009</v>
      </c>
      <c r="AN492" s="7">
        <f>-416.7*10000</f>
        <v>-4167000</v>
      </c>
      <c r="AO492" s="6" t="str">
        <f t="shared" si="236"/>
        <v>=-4167000</v>
      </c>
      <c r="AP492" s="1">
        <f>-4167000</f>
        <v>-4167000</v>
      </c>
      <c r="AQ492" s="8">
        <f t="shared" si="237"/>
        <v>-0.71768292682926826</v>
      </c>
      <c r="AR492" s="7">
        <f>-1476*10000</f>
        <v>-14760000</v>
      </c>
      <c r="AS492" s="6" t="str">
        <f t="shared" si="238"/>
        <v>=-14760000</v>
      </c>
      <c r="AT492" s="1">
        <f>-14760000</f>
        <v>-14760000</v>
      </c>
      <c r="AU492" s="8">
        <f t="shared" si="239"/>
        <v>-0.18990120746432493</v>
      </c>
      <c r="AV492" s="7">
        <f>-1822*10000</f>
        <v>-18220000</v>
      </c>
      <c r="AW492" s="6" t="str">
        <f t="shared" si="240"/>
        <v>=-18220000</v>
      </c>
      <c r="AX492" s="1">
        <f>-18220000</f>
        <v>-18220000</v>
      </c>
      <c r="AY492" s="10">
        <f t="shared" si="241"/>
        <v>-0.93436599423631128</v>
      </c>
      <c r="AZ492" s="6">
        <f>-2.776*100000000</f>
        <v>-277600000</v>
      </c>
      <c r="BA492" s="6" t="str">
        <f t="shared" si="242"/>
        <v>=-277600000</v>
      </c>
      <c r="BB492" s="1">
        <f>-277600000</f>
        <v>-277600000</v>
      </c>
      <c r="BC492" s="8">
        <f t="shared" si="243"/>
        <v>3.3640936959597547</v>
      </c>
      <c r="BD492" s="7">
        <f>-6361*10000</f>
        <v>-63610000</v>
      </c>
      <c r="BE492" s="6" t="str">
        <f t="shared" si="244"/>
        <v>=-63610000</v>
      </c>
      <c r="BF492" s="1">
        <f>-63610000</f>
        <v>-63610000</v>
      </c>
      <c r="BG492" s="8">
        <f t="shared" si="245"/>
        <v>0.59303781617831208</v>
      </c>
      <c r="BH492" s="7">
        <f>-3993*10000</f>
        <v>-39930000</v>
      </c>
      <c r="BI492" s="6" t="str">
        <f t="shared" si="246"/>
        <v>=-39930000</v>
      </c>
      <c r="BJ492" s="1">
        <f>-39930000</f>
        <v>-39930000</v>
      </c>
      <c r="BK492" s="7">
        <f>-921.1*10000</f>
        <v>-9211000</v>
      </c>
      <c r="BL492" s="1" t="str">
        <f t="shared" si="218"/>
        <v>=-9211000</v>
      </c>
      <c r="BM492" s="16">
        <f t="shared" si="247"/>
        <v>3.3350341982412335</v>
      </c>
      <c r="BN492" s="1">
        <f>-9211000</f>
        <v>-9211000</v>
      </c>
    </row>
    <row r="493" spans="1:66">
      <c r="A493" s="19"/>
      <c r="B493">
        <v>600391</v>
      </c>
      <c r="C493" t="s">
        <v>68</v>
      </c>
      <c r="D493" s="7" t="s">
        <v>6079</v>
      </c>
      <c r="E493" s="7" t="str">
        <f t="shared" si="217"/>
        <v>=4649*10000</v>
      </c>
      <c r="F493" s="1">
        <f>4649*10000</f>
        <v>46490000</v>
      </c>
      <c r="G493" s="8">
        <f t="shared" si="219"/>
        <v>-3.1218621633957095</v>
      </c>
      <c r="H493" s="7">
        <f>-2191*10000</f>
        <v>-21910000</v>
      </c>
      <c r="I493" s="6" t="str">
        <f t="shared" si="220"/>
        <v>=-21910000</v>
      </c>
      <c r="J493" s="1">
        <f>-21910000</f>
        <v>-21910000</v>
      </c>
      <c r="K493" s="10">
        <f t="shared" si="221"/>
        <v>-0.44811083123425693</v>
      </c>
      <c r="L493" s="7">
        <f>-3970*10000</f>
        <v>-39700000</v>
      </c>
      <c r="M493" s="6" t="str">
        <f t="shared" si="222"/>
        <v>=-39700000</v>
      </c>
      <c r="N493" s="1">
        <f>-39700000</f>
        <v>-39700000</v>
      </c>
      <c r="O493" s="8">
        <f t="shared" si="223"/>
        <v>1.2031076581576026</v>
      </c>
      <c r="P493" s="7">
        <f>-1802*10000</f>
        <v>-18020000</v>
      </c>
      <c r="Q493" s="6" t="str">
        <f t="shared" si="224"/>
        <v>=-18020000</v>
      </c>
      <c r="R493" s="11">
        <f>-18020000</f>
        <v>-18020000</v>
      </c>
      <c r="S493" s="8">
        <f t="shared" si="225"/>
        <v>-2.8577319587628867</v>
      </c>
      <c r="T493" s="7" t="s">
        <v>6080</v>
      </c>
      <c r="U493" s="6" t="str">
        <f t="shared" si="226"/>
        <v>=970.0*10000</v>
      </c>
      <c r="V493" s="1">
        <f>970*10000</f>
        <v>9700000</v>
      </c>
      <c r="W493" s="8">
        <f t="shared" si="227"/>
        <v>-1.245694022289767</v>
      </c>
      <c r="X493" s="7">
        <f>-3948*10000</f>
        <v>-39480000</v>
      </c>
      <c r="Y493" s="6" t="str">
        <f t="shared" si="228"/>
        <v>=-39480000</v>
      </c>
      <c r="Z493" s="1">
        <f>-39480000</f>
        <v>-39480000</v>
      </c>
      <c r="AA493" s="8">
        <f t="shared" si="229"/>
        <v>-0.28954471837322299</v>
      </c>
      <c r="AB493" s="7">
        <f>-5557*10000</f>
        <v>-55570000</v>
      </c>
      <c r="AC493" s="6" t="str">
        <f t="shared" si="230"/>
        <v>=-55570000</v>
      </c>
      <c r="AD493" s="1">
        <f>-55570000</f>
        <v>-55570000</v>
      </c>
      <c r="AE493" s="8">
        <f t="shared" si="231"/>
        <v>0.93018409169850647</v>
      </c>
      <c r="AF493" s="7">
        <f>-2879*10000</f>
        <v>-28790000</v>
      </c>
      <c r="AG493" s="6" t="str">
        <f t="shared" si="232"/>
        <v>=-28790000</v>
      </c>
      <c r="AH493" s="1">
        <f>-28790000</f>
        <v>-28790000</v>
      </c>
      <c r="AI493" s="8">
        <f t="shared" si="233"/>
        <v>-1.7534676786181629</v>
      </c>
      <c r="AJ493" s="7" t="s">
        <v>6081</v>
      </c>
      <c r="AK493" s="6" t="str">
        <f t="shared" si="234"/>
        <v>=3821*10000</v>
      </c>
      <c r="AL493" s="1">
        <f>3821*10000</f>
        <v>38210000</v>
      </c>
      <c r="AM493" s="8">
        <f t="shared" si="235"/>
        <v>-5.2687967824824042</v>
      </c>
      <c r="AN493" s="7">
        <f>-895.1*10000</f>
        <v>-8951000</v>
      </c>
      <c r="AO493" s="6" t="str">
        <f t="shared" si="236"/>
        <v>=-8951000</v>
      </c>
      <c r="AP493" s="1">
        <f>-8951000</f>
        <v>-8951000</v>
      </c>
      <c r="AQ493" s="8">
        <f t="shared" si="237"/>
        <v>-0.51928034371643395</v>
      </c>
      <c r="AR493" s="7">
        <f>-1862*10000</f>
        <v>-18620000</v>
      </c>
      <c r="AS493" s="6" t="str">
        <f t="shared" si="238"/>
        <v>=-18620000</v>
      </c>
      <c r="AT493" s="1">
        <f>-18620000</f>
        <v>-18620000</v>
      </c>
      <c r="AU493" s="8">
        <f t="shared" si="239"/>
        <v>-4.8057259713701429E-2</v>
      </c>
      <c r="AV493" s="7">
        <f>-1956*10000</f>
        <v>-19560000</v>
      </c>
      <c r="AW493" s="6" t="str">
        <f t="shared" si="240"/>
        <v>=-19560000</v>
      </c>
      <c r="AX493" s="1">
        <f>-19560000</f>
        <v>-19560000</v>
      </c>
      <c r="AY493" s="10">
        <f t="shared" si="241"/>
        <v>-0.9326909841706813</v>
      </c>
      <c r="AZ493" s="6">
        <f>-2.906*100000000</f>
        <v>-290600000</v>
      </c>
      <c r="BA493" s="6" t="str">
        <f t="shared" si="242"/>
        <v>=-290600000</v>
      </c>
      <c r="BB493" s="1">
        <f>-290600000</f>
        <v>-290600000</v>
      </c>
      <c r="BC493" s="8">
        <f t="shared" si="243"/>
        <v>3.2867679598760877</v>
      </c>
      <c r="BD493" s="7">
        <f>-6779*10000</f>
        <v>-67790000</v>
      </c>
      <c r="BE493" s="6" t="str">
        <f t="shared" si="244"/>
        <v>=-67790000</v>
      </c>
      <c r="BF493" s="1">
        <f>-67790000</f>
        <v>-67790000</v>
      </c>
      <c r="BG493" s="8">
        <f t="shared" si="245"/>
        <v>0.60146468225844552</v>
      </c>
      <c r="BH493" s="7">
        <f>-4233*10000</f>
        <v>-42330000</v>
      </c>
      <c r="BI493" s="6" t="str">
        <f t="shared" si="246"/>
        <v>=-42330000</v>
      </c>
      <c r="BJ493" s="1">
        <f>-42330000</f>
        <v>-42330000</v>
      </c>
      <c r="BK493" s="7">
        <f>-986*10000</f>
        <v>-9860000</v>
      </c>
      <c r="BL493" s="1" t="str">
        <f t="shared" si="218"/>
        <v>=-9860000</v>
      </c>
      <c r="BM493" s="16">
        <f t="shared" si="247"/>
        <v>3.2931034482758621</v>
      </c>
      <c r="BN493" s="1">
        <f>-9860000</f>
        <v>-9860000</v>
      </c>
    </row>
    <row r="494" spans="1:66">
      <c r="A494" s="17">
        <v>124</v>
      </c>
      <c r="B494">
        <v>600396</v>
      </c>
      <c r="C494" t="s">
        <v>31</v>
      </c>
      <c r="D494" s="6" t="s">
        <v>5383</v>
      </c>
      <c r="E494" s="7" t="str">
        <f t="shared" si="217"/>
        <v>=65.74*100000000</v>
      </c>
      <c r="F494" s="1">
        <f>65.74*100000000</f>
        <v>6573999999.999999</v>
      </c>
      <c r="G494" s="8">
        <f t="shared" si="219"/>
        <v>0.44388315396441885</v>
      </c>
      <c r="H494" s="6" t="s">
        <v>6082</v>
      </c>
      <c r="I494" s="6" t="str">
        <f t="shared" si="220"/>
        <v>=45.53*100000000</v>
      </c>
      <c r="J494" s="1">
        <f>45.53*100000000</f>
        <v>4553000000</v>
      </c>
      <c r="K494" s="10">
        <f t="shared" si="221"/>
        <v>0.4144144144144144</v>
      </c>
      <c r="L494" s="6" t="s">
        <v>6083</v>
      </c>
      <c r="M494" s="6" t="str">
        <f t="shared" si="222"/>
        <v>=32.19*100000000</v>
      </c>
      <c r="N494" s="1">
        <f>32.19*100000000</f>
        <v>3219000000</v>
      </c>
      <c r="O494" s="8">
        <f t="shared" si="223"/>
        <v>0.58884501480750229</v>
      </c>
      <c r="P494" s="6" t="s">
        <v>5672</v>
      </c>
      <c r="Q494" s="6" t="str">
        <f t="shared" si="224"/>
        <v>=20.26*100000000</v>
      </c>
      <c r="R494" s="11">
        <f>20.26*100000000</f>
        <v>2026000000.0000002</v>
      </c>
      <c r="S494" s="8">
        <f t="shared" si="225"/>
        <v>-0.72197063263345684</v>
      </c>
      <c r="T494" s="6" t="s">
        <v>6084</v>
      </c>
      <c r="U494" s="6" t="str">
        <f t="shared" si="226"/>
        <v>=72.87*100000000</v>
      </c>
      <c r="V494" s="1">
        <f>72.87*100000000</f>
        <v>7287000000</v>
      </c>
      <c r="W494" s="8">
        <f t="shared" si="227"/>
        <v>0.40431682405087688</v>
      </c>
      <c r="X494" s="6" t="s">
        <v>6085</v>
      </c>
      <c r="Y494" s="6" t="str">
        <f t="shared" si="228"/>
        <v>=51.89*100000000</v>
      </c>
      <c r="Z494" s="1">
        <f>51.89*100000000</f>
        <v>5189000000</v>
      </c>
      <c r="AA494" s="8">
        <f t="shared" si="229"/>
        <v>0.51326917468649758</v>
      </c>
      <c r="AB494" s="6" t="s">
        <v>6086</v>
      </c>
      <c r="AC494" s="6" t="str">
        <f t="shared" si="230"/>
        <v>=34.29*100000000</v>
      </c>
      <c r="AD494" s="1">
        <f>34.29*100000000</f>
        <v>3429000000</v>
      </c>
      <c r="AE494" s="8">
        <f t="shared" si="231"/>
        <v>0.69500741473059813</v>
      </c>
      <c r="AF494" s="6" t="s">
        <v>6087</v>
      </c>
      <c r="AG494" s="6" t="str">
        <f t="shared" si="232"/>
        <v>=20.23*100000000</v>
      </c>
      <c r="AH494" s="1">
        <f>20.23*100000000</f>
        <v>2023000000</v>
      </c>
      <c r="AI494" s="8">
        <f t="shared" si="233"/>
        <v>-0.72665855965410087</v>
      </c>
      <c r="AJ494" s="6" t="s">
        <v>6088</v>
      </c>
      <c r="AK494" s="6" t="str">
        <f t="shared" si="234"/>
        <v>=74.01*100000000</v>
      </c>
      <c r="AL494" s="1">
        <f>74.01*100000000</f>
        <v>7401000000.000001</v>
      </c>
      <c r="AM494" s="8">
        <f t="shared" si="235"/>
        <v>0.39273616861121585</v>
      </c>
      <c r="AN494" s="6" t="s">
        <v>6089</v>
      </c>
      <c r="AO494" s="6" t="str">
        <f t="shared" si="236"/>
        <v>=53.14*100000000</v>
      </c>
      <c r="AP494" s="1">
        <f>53.14*100000000</f>
        <v>5314000000</v>
      </c>
      <c r="AQ494" s="8">
        <f t="shared" si="237"/>
        <v>0.566627358490566</v>
      </c>
      <c r="AR494" s="6" t="s">
        <v>6090</v>
      </c>
      <c r="AS494" s="6" t="str">
        <f t="shared" si="238"/>
        <v>=33.92*100000000</v>
      </c>
      <c r="AT494" s="1">
        <f>33.92*100000000</f>
        <v>3392000000</v>
      </c>
      <c r="AU494" s="8">
        <f t="shared" si="239"/>
        <v>0.68504719324391461</v>
      </c>
      <c r="AV494" s="6" t="s">
        <v>1689</v>
      </c>
      <c r="AW494" s="6" t="str">
        <f t="shared" si="240"/>
        <v>=20.13*100000000</v>
      </c>
      <c r="AX494" s="1">
        <f>20.13*100000000</f>
        <v>2013000000</v>
      </c>
      <c r="AY494" s="10">
        <f t="shared" si="241"/>
        <v>-0.71798823199775852</v>
      </c>
      <c r="AZ494" s="6" t="s">
        <v>636</v>
      </c>
      <c r="BA494" s="6" t="str">
        <f t="shared" si="242"/>
        <v>=71.38*100000000</v>
      </c>
      <c r="BB494" s="1">
        <f>71.38*100000000</f>
        <v>7138000000</v>
      </c>
      <c r="BC494" s="8">
        <f t="shared" si="243"/>
        <v>0.32038475767665558</v>
      </c>
      <c r="BD494" s="6" t="s">
        <v>6091</v>
      </c>
      <c r="BE494" s="6" t="str">
        <f t="shared" si="244"/>
        <v>=54.06*100000000</v>
      </c>
      <c r="BF494" s="1">
        <f>54.06*100000000</f>
        <v>5406000000</v>
      </c>
      <c r="BG494" s="8">
        <f t="shared" si="245"/>
        <v>0.57105492589363582</v>
      </c>
      <c r="BH494" s="6" t="s">
        <v>5264</v>
      </c>
      <c r="BI494" s="6" t="str">
        <f t="shared" si="246"/>
        <v>=34.41*100000000</v>
      </c>
      <c r="BJ494" s="1">
        <f>34.41*100000000</f>
        <v>3440999999.9999995</v>
      </c>
      <c r="BK494" s="6" t="s">
        <v>6092</v>
      </c>
      <c r="BL494" s="1" t="str">
        <f t="shared" si="218"/>
        <v>=19.51*100000000</v>
      </c>
      <c r="BM494" s="16">
        <f t="shared" si="247"/>
        <v>0.76371091747821584</v>
      </c>
      <c r="BN494" s="1">
        <f>19.51*100000000</f>
        <v>1951000000.0000002</v>
      </c>
    </row>
    <row r="495" spans="1:66">
      <c r="A495" s="18"/>
      <c r="B495">
        <v>600396</v>
      </c>
      <c r="C495" t="s">
        <v>48</v>
      </c>
      <c r="D495" s="6">
        <f>-21.69*100000000</f>
        <v>-2169000000</v>
      </c>
      <c r="E495" s="7" t="str">
        <f t="shared" si="217"/>
        <v>=-2169000000</v>
      </c>
      <c r="F495" s="1">
        <f>-2169000000</f>
        <v>-2169000000</v>
      </c>
      <c r="G495" s="8">
        <f t="shared" si="219"/>
        <v>1.061787072243346</v>
      </c>
      <c r="H495" s="6">
        <f>-10.52*100000000</f>
        <v>-1052000000</v>
      </c>
      <c r="I495" s="6" t="str">
        <f t="shared" si="220"/>
        <v>=-1052000000</v>
      </c>
      <c r="J495" s="1">
        <f>-1052000000</f>
        <v>-1052000000</v>
      </c>
      <c r="K495" s="10">
        <f t="shared" si="221"/>
        <v>1.9509116409537166</v>
      </c>
      <c r="L495" s="6">
        <f>-3.565*100000000</f>
        <v>-356500000</v>
      </c>
      <c r="M495" s="6" t="str">
        <f t="shared" si="222"/>
        <v>=-356500000</v>
      </c>
      <c r="N495" s="1">
        <f>-356500000</f>
        <v>-356500000</v>
      </c>
      <c r="O495" s="8">
        <f t="shared" si="223"/>
        <v>-8.7940533449934417</v>
      </c>
      <c r="P495" s="7" t="s">
        <v>6093</v>
      </c>
      <c r="Q495" s="6" t="str">
        <f t="shared" si="224"/>
        <v>=4574*10000</v>
      </c>
      <c r="R495" s="11">
        <f>4574*10000</f>
        <v>45740000</v>
      </c>
      <c r="S495" s="8">
        <f t="shared" si="225"/>
        <v>6.5653324512074098</v>
      </c>
      <c r="T495" s="7" t="s">
        <v>6094</v>
      </c>
      <c r="U495" s="6" t="str">
        <f t="shared" si="226"/>
        <v>=604.6*10000</v>
      </c>
      <c r="V495" s="1">
        <f>604.6*10000</f>
        <v>6046000</v>
      </c>
      <c r="W495" s="8">
        <f t="shared" si="227"/>
        <v>-1.1435422602089269</v>
      </c>
      <c r="X495" s="7">
        <f>-4212*10000</f>
        <v>-42120000</v>
      </c>
      <c r="Y495" s="6" t="str">
        <f t="shared" si="228"/>
        <v>=-42120000</v>
      </c>
      <c r="Z495" s="1">
        <f>-42120000</f>
        <v>-42120000</v>
      </c>
      <c r="AA495" s="8">
        <f t="shared" si="229"/>
        <v>-1.4178571428571429</v>
      </c>
      <c r="AB495" s="6" t="s">
        <v>6095</v>
      </c>
      <c r="AC495" s="6" t="str">
        <f t="shared" si="230"/>
        <v>=1.008*100000000</v>
      </c>
      <c r="AD495" s="1">
        <f>1.008*100000000</f>
        <v>100800000</v>
      </c>
      <c r="AE495" s="8">
        <f t="shared" si="231"/>
        <v>-0.53803849679193405</v>
      </c>
      <c r="AF495" s="6" t="s">
        <v>6096</v>
      </c>
      <c r="AG495" s="6" t="str">
        <f t="shared" si="232"/>
        <v>=2.182*100000000</v>
      </c>
      <c r="AH495" s="1">
        <f>2.182*100000000</f>
        <v>218200000</v>
      </c>
      <c r="AI495" s="8">
        <f t="shared" si="233"/>
        <v>-2.9639963996399641</v>
      </c>
      <c r="AJ495" s="6">
        <f>-1.111*100000000</f>
        <v>-111100000</v>
      </c>
      <c r="AK495" s="6" t="str">
        <f t="shared" si="234"/>
        <v>=-111100000</v>
      </c>
      <c r="AL495" s="1">
        <f>-111100000</f>
        <v>-111100000</v>
      </c>
      <c r="AM495" s="8">
        <f t="shared" si="235"/>
        <v>0.49287825853265249</v>
      </c>
      <c r="AN495" s="7">
        <f>-7442*10000</f>
        <v>-74420000</v>
      </c>
      <c r="AO495" s="6" t="str">
        <f t="shared" si="236"/>
        <v>=-74420000</v>
      </c>
      <c r="AP495" s="1">
        <f>-74420000</f>
        <v>-74420000</v>
      </c>
      <c r="AQ495" s="8">
        <f t="shared" si="237"/>
        <v>9.3677904708832536</v>
      </c>
      <c r="AR495" s="7">
        <f>-717.8*10000</f>
        <v>-7178000</v>
      </c>
      <c r="AS495" s="6" t="str">
        <f t="shared" si="238"/>
        <v>=-7178000</v>
      </c>
      <c r="AT495" s="1">
        <f>-7178000</f>
        <v>-7178000</v>
      </c>
      <c r="AU495" s="8">
        <f t="shared" si="239"/>
        <v>-1.0741069584967995</v>
      </c>
      <c r="AV495" s="7" t="s">
        <v>6097</v>
      </c>
      <c r="AW495" s="6" t="str">
        <f t="shared" si="240"/>
        <v>=9686*10000</v>
      </c>
      <c r="AX495" s="1">
        <f>9686*10000</f>
        <v>96860000</v>
      </c>
      <c r="AY495" s="10">
        <f t="shared" si="241"/>
        <v>-1.10668575834343</v>
      </c>
      <c r="AZ495" s="6">
        <f>-9.079*100000000</f>
        <v>-907900000.00000012</v>
      </c>
      <c r="BA495" s="6" t="str">
        <f t="shared" si="242"/>
        <v>=-907900000</v>
      </c>
      <c r="BB495" s="1">
        <f>-907900000</f>
        <v>-907900000</v>
      </c>
      <c r="BC495" s="8">
        <f t="shared" si="243"/>
        <v>0.8766019016122365</v>
      </c>
      <c r="BD495" s="6">
        <f>-4.838*100000000</f>
        <v>-483800000</v>
      </c>
      <c r="BE495" s="6" t="str">
        <f t="shared" si="244"/>
        <v>=-483800000</v>
      </c>
      <c r="BF495" s="1">
        <f>-483800000</f>
        <v>-483800000</v>
      </c>
      <c r="BG495" s="8">
        <f t="shared" si="245"/>
        <v>1.267104029990628</v>
      </c>
      <c r="BH495" s="6">
        <f>-2.134*100000000</f>
        <v>-213400000</v>
      </c>
      <c r="BI495" s="6" t="str">
        <f t="shared" si="246"/>
        <v>=-213400000</v>
      </c>
      <c r="BJ495" s="1">
        <f>-213400000</f>
        <v>-213400000</v>
      </c>
      <c r="BK495" s="7">
        <f>-208.8*10000</f>
        <v>-2088000</v>
      </c>
      <c r="BL495" s="1" t="str">
        <f t="shared" si="218"/>
        <v>=-2088000</v>
      </c>
      <c r="BM495" s="16">
        <f t="shared" si="247"/>
        <v>101.20306513409962</v>
      </c>
      <c r="BN495" s="1">
        <f>-2088000</f>
        <v>-2088000</v>
      </c>
    </row>
    <row r="496" spans="1:66">
      <c r="A496" s="18"/>
      <c r="B496">
        <v>600396</v>
      </c>
      <c r="C496" t="s">
        <v>58</v>
      </c>
      <c r="D496" s="6">
        <f>-21.91*100000000</f>
        <v>-2191000000</v>
      </c>
      <c r="E496" s="7" t="str">
        <f t="shared" si="217"/>
        <v>=-2191000000</v>
      </c>
      <c r="F496" s="1">
        <f>-2191000000</f>
        <v>-2191000000</v>
      </c>
      <c r="G496" s="8">
        <f t="shared" si="219"/>
        <v>1.0866666666666667</v>
      </c>
      <c r="H496" s="6">
        <f>-10.5*100000000</f>
        <v>-1050000000</v>
      </c>
      <c r="I496" s="6" t="str">
        <f t="shared" si="220"/>
        <v>=-1050000000</v>
      </c>
      <c r="J496" s="1">
        <f>-1050000000</f>
        <v>-1050000000</v>
      </c>
      <c r="K496" s="10">
        <f t="shared" si="221"/>
        <v>1.9711375212224109</v>
      </c>
      <c r="L496" s="6">
        <f>-3.534*100000000</f>
        <v>-353400000</v>
      </c>
      <c r="M496" s="6" t="str">
        <f t="shared" si="222"/>
        <v>=-353400000</v>
      </c>
      <c r="N496" s="1">
        <f>-353400000</f>
        <v>-353400000</v>
      </c>
      <c r="O496" s="8">
        <f t="shared" si="223"/>
        <v>-8.2329103561195254</v>
      </c>
      <c r="P496" s="7" t="s">
        <v>6098</v>
      </c>
      <c r="Q496" s="6" t="str">
        <f t="shared" si="224"/>
        <v>=4886*10000</v>
      </c>
      <c r="R496" s="11">
        <f>4886*10000</f>
        <v>48860000</v>
      </c>
      <c r="S496" s="8">
        <f t="shared" si="225"/>
        <v>0.34637641223477544</v>
      </c>
      <c r="T496" s="7" t="s">
        <v>6099</v>
      </c>
      <c r="U496" s="6" t="str">
        <f t="shared" si="226"/>
        <v>=3629*10000</v>
      </c>
      <c r="V496" s="1">
        <f>3629*10000</f>
        <v>36290000</v>
      </c>
      <c r="W496" s="8">
        <f t="shared" si="227"/>
        <v>-2.1372610466938262</v>
      </c>
      <c r="X496" s="7">
        <f>-3191*10000</f>
        <v>-31910000</v>
      </c>
      <c r="Y496" s="6" t="str">
        <f t="shared" si="228"/>
        <v>=-31910000</v>
      </c>
      <c r="Z496" s="1">
        <f>-31910000</f>
        <v>-31910000</v>
      </c>
      <c r="AA496" s="8">
        <f t="shared" si="229"/>
        <v>-1.315004935834156</v>
      </c>
      <c r="AB496" s="6" t="s">
        <v>6100</v>
      </c>
      <c r="AC496" s="6" t="str">
        <f t="shared" si="230"/>
        <v>=1.013*100000000</v>
      </c>
      <c r="AD496" s="1">
        <f>1.013*100000000</f>
        <v>101299999.99999999</v>
      </c>
      <c r="AE496" s="8">
        <f t="shared" si="231"/>
        <v>-0.53807569539443689</v>
      </c>
      <c r="AF496" s="6" t="s">
        <v>6101</v>
      </c>
      <c r="AG496" s="6" t="str">
        <f t="shared" si="232"/>
        <v>=2.193*100000000</v>
      </c>
      <c r="AH496" s="1">
        <f>2.193*100000000</f>
        <v>219300000</v>
      </c>
      <c r="AI496" s="8">
        <f t="shared" si="233"/>
        <v>-2.8824034334763948</v>
      </c>
      <c r="AJ496" s="6">
        <f>-1.165*100000000</f>
        <v>-116500000</v>
      </c>
      <c r="AK496" s="6" t="str">
        <f t="shared" si="234"/>
        <v>=-116500000</v>
      </c>
      <c r="AL496" s="1">
        <f>-116500000</f>
        <v>-116500000</v>
      </c>
      <c r="AM496" s="8">
        <f t="shared" si="235"/>
        <v>0.64130741053817975</v>
      </c>
      <c r="AN496" s="7">
        <f>-7098*10000</f>
        <v>-70980000</v>
      </c>
      <c r="AO496" s="6" t="str">
        <f t="shared" si="236"/>
        <v>=-70980000</v>
      </c>
      <c r="AP496" s="1">
        <f>-70980000</f>
        <v>-70980000</v>
      </c>
      <c r="AQ496" s="8">
        <f t="shared" si="237"/>
        <v>15.764289088332546</v>
      </c>
      <c r="AR496" s="7">
        <f>-423.4*10000</f>
        <v>-4234000</v>
      </c>
      <c r="AS496" s="6" t="str">
        <f t="shared" si="238"/>
        <v>=-4234000</v>
      </c>
      <c r="AT496" s="1">
        <f>-4234000</f>
        <v>-4234000</v>
      </c>
      <c r="AU496" s="8">
        <f t="shared" si="239"/>
        <v>-1.0418793273986153</v>
      </c>
      <c r="AV496" s="6" t="s">
        <v>2230</v>
      </c>
      <c r="AW496" s="6" t="str">
        <f t="shared" si="240"/>
        <v>=1.011*100000000</v>
      </c>
      <c r="AX496" s="1">
        <f>1.011*100000000</f>
        <v>101099999.99999999</v>
      </c>
      <c r="AY496" s="10">
        <f t="shared" si="241"/>
        <v>-1.1141727837380011</v>
      </c>
      <c r="AZ496" s="6">
        <f>-8.855*100000000</f>
        <v>-885500000</v>
      </c>
      <c r="BA496" s="6" t="str">
        <f t="shared" si="242"/>
        <v>=-885500000</v>
      </c>
      <c r="BB496" s="1">
        <f>-885500000</f>
        <v>-885500000</v>
      </c>
      <c r="BC496" s="8">
        <f t="shared" si="243"/>
        <v>0.89614561027837258</v>
      </c>
      <c r="BD496" s="6">
        <f>-4.67*100000000</f>
        <v>-467000000</v>
      </c>
      <c r="BE496" s="6" t="str">
        <f t="shared" si="244"/>
        <v>=-467000000</v>
      </c>
      <c r="BF496" s="1">
        <f>-467000000</f>
        <v>-467000000</v>
      </c>
      <c r="BG496" s="8">
        <f t="shared" si="245"/>
        <v>1.3693556570268899</v>
      </c>
      <c r="BH496" s="6">
        <f>-1.971*100000000</f>
        <v>-197100000</v>
      </c>
      <c r="BI496" s="6" t="str">
        <f t="shared" si="246"/>
        <v>=-197100000</v>
      </c>
      <c r="BJ496" s="1">
        <f>-197100000</f>
        <v>-197100000</v>
      </c>
      <c r="BK496" s="7">
        <f>-117*10000</f>
        <v>-1170000</v>
      </c>
      <c r="BL496" s="1" t="str">
        <f t="shared" si="218"/>
        <v>=-1170000</v>
      </c>
      <c r="BM496" s="16">
        <f t="shared" si="247"/>
        <v>167.46153846153845</v>
      </c>
      <c r="BN496" s="1">
        <f>-1170000</f>
        <v>-1170000</v>
      </c>
    </row>
    <row r="497" spans="1:66">
      <c r="A497" s="19"/>
      <c r="B497">
        <v>600396</v>
      </c>
      <c r="C497" t="s">
        <v>68</v>
      </c>
      <c r="D497" s="6">
        <f>-21.39*100000000</f>
        <v>-2139000000</v>
      </c>
      <c r="E497" s="7" t="str">
        <f t="shared" si="217"/>
        <v>=-2139000000</v>
      </c>
      <c r="F497" s="1">
        <f>-2139000000</f>
        <v>-2139000000</v>
      </c>
      <c r="G497" s="8">
        <f t="shared" si="219"/>
        <v>1.099116781157998</v>
      </c>
      <c r="H497" s="6">
        <f>-10.19*100000000</f>
        <v>-1019000000</v>
      </c>
      <c r="I497" s="6" t="str">
        <f t="shared" si="220"/>
        <v>=-1019000000</v>
      </c>
      <c r="J497" s="1">
        <f>-1019000000</f>
        <v>-1019000000</v>
      </c>
      <c r="K497" s="10">
        <f t="shared" si="221"/>
        <v>1.8376496797549429</v>
      </c>
      <c r="L497" s="6">
        <f>-3.591*100000000</f>
        <v>-359100000</v>
      </c>
      <c r="M497" s="6" t="str">
        <f t="shared" si="222"/>
        <v>=-359100000</v>
      </c>
      <c r="N497" s="1">
        <f>-359100000</f>
        <v>-359100000</v>
      </c>
      <c r="O497" s="8">
        <f t="shared" si="223"/>
        <v>-23.945686900958467</v>
      </c>
      <c r="P497" s="7" t="s">
        <v>6102</v>
      </c>
      <c r="Q497" s="6" t="str">
        <f t="shared" si="224"/>
        <v>=1565*10000</v>
      </c>
      <c r="R497" s="11">
        <f>1565*10000</f>
        <v>15650000</v>
      </c>
      <c r="S497" s="8">
        <f t="shared" si="225"/>
        <v>-0.7144681627440248</v>
      </c>
      <c r="T497" s="7" t="s">
        <v>6103</v>
      </c>
      <c r="U497" s="6" t="str">
        <f t="shared" si="226"/>
        <v>=5481*10000</v>
      </c>
      <c r="V497" s="1">
        <f>5481*10000</f>
        <v>54810000</v>
      </c>
      <c r="W497" s="8">
        <f t="shared" si="227"/>
        <v>-4.4450031426775611</v>
      </c>
      <c r="X497" s="7">
        <f>-1591*10000</f>
        <v>-15910000</v>
      </c>
      <c r="Y497" s="6" t="str">
        <f t="shared" si="228"/>
        <v>=-15910000</v>
      </c>
      <c r="Z497" s="1">
        <f>-15910000</f>
        <v>-15910000</v>
      </c>
      <c r="AA497" s="8">
        <f t="shared" si="229"/>
        <v>-1.1773492364284919</v>
      </c>
      <c r="AB497" s="7" t="s">
        <v>6104</v>
      </c>
      <c r="AC497" s="6" t="str">
        <f t="shared" si="230"/>
        <v>=8971*10000</v>
      </c>
      <c r="AD497" s="1">
        <f>8971*10000</f>
        <v>89710000</v>
      </c>
      <c r="AE497" s="8">
        <f t="shared" si="231"/>
        <v>-0.50022284122562677</v>
      </c>
      <c r="AF497" s="6" t="s">
        <v>1585</v>
      </c>
      <c r="AG497" s="6" t="str">
        <f t="shared" si="232"/>
        <v>=1.795*100000000</v>
      </c>
      <c r="AH497" s="1">
        <f>1.795*100000000</f>
        <v>179500000</v>
      </c>
      <c r="AI497" s="8">
        <f t="shared" si="233"/>
        <v>-2.2071284465366512</v>
      </c>
      <c r="AJ497" s="6">
        <f>-1.487*100000000</f>
        <v>-148700000</v>
      </c>
      <c r="AK497" s="6" t="str">
        <f t="shared" si="234"/>
        <v>=-148700000</v>
      </c>
      <c r="AL497" s="1">
        <f>-148700000</f>
        <v>-148700000</v>
      </c>
      <c r="AM497" s="8">
        <f t="shared" si="235"/>
        <v>0.93519000520562212</v>
      </c>
      <c r="AN497" s="7">
        <f>-7684*10000</f>
        <v>-76840000</v>
      </c>
      <c r="AO497" s="6" t="str">
        <f t="shared" si="236"/>
        <v>=-76840000</v>
      </c>
      <c r="AP497" s="1">
        <f>-76840000</f>
        <v>-76840000</v>
      </c>
      <c r="AQ497" s="8">
        <f t="shared" si="237"/>
        <v>2.4303571428571429</v>
      </c>
      <c r="AR497" s="7">
        <f>-2240*10000</f>
        <v>-22400000</v>
      </c>
      <c r="AS497" s="6" t="str">
        <f t="shared" si="238"/>
        <v>=-22400000</v>
      </c>
      <c r="AT497" s="1">
        <f>-22400000</f>
        <v>-22400000</v>
      </c>
      <c r="AU497" s="8">
        <f t="shared" si="239"/>
        <v>-1.3134620766862581</v>
      </c>
      <c r="AV497" s="7" t="s">
        <v>6105</v>
      </c>
      <c r="AW497" s="6" t="str">
        <f t="shared" si="240"/>
        <v>=7146*10000</v>
      </c>
      <c r="AX497" s="1">
        <f>7146*10000</f>
        <v>71460000</v>
      </c>
      <c r="AY497" s="10">
        <f t="shared" si="241"/>
        <v>-1.0803824521934757</v>
      </c>
      <c r="AZ497" s="6">
        <f>-8.89*100000000</f>
        <v>-889000000</v>
      </c>
      <c r="BA497" s="6" t="str">
        <f t="shared" si="242"/>
        <v>=-889000000</v>
      </c>
      <c r="BB497" s="1">
        <f>-889000000</f>
        <v>-889000000</v>
      </c>
      <c r="BC497" s="8">
        <f t="shared" si="243"/>
        <v>0.85517529215358934</v>
      </c>
      <c r="BD497" s="6">
        <f>-4.792*100000000</f>
        <v>-479200000</v>
      </c>
      <c r="BE497" s="6" t="str">
        <f t="shared" si="244"/>
        <v>=-479200000</v>
      </c>
      <c r="BF497" s="1">
        <f>-479200000</f>
        <v>-479200000</v>
      </c>
      <c r="BG497" s="8">
        <f t="shared" si="245"/>
        <v>1.3524791359842907</v>
      </c>
      <c r="BH497" s="6">
        <f>-2.037*100000000</f>
        <v>-203700000</v>
      </c>
      <c r="BI497" s="6" t="str">
        <f t="shared" si="246"/>
        <v>=-203700000</v>
      </c>
      <c r="BJ497" s="1">
        <f>-203700000</f>
        <v>-203700000</v>
      </c>
      <c r="BK497" s="7">
        <f>-253.7*10000</f>
        <v>-2537000</v>
      </c>
      <c r="BL497" s="1" t="str">
        <f t="shared" si="218"/>
        <v>=-2537000</v>
      </c>
      <c r="BM497" s="16">
        <f t="shared" si="247"/>
        <v>79.291683090264087</v>
      </c>
      <c r="BN497" s="1">
        <f>-2537000</f>
        <v>-2537000</v>
      </c>
    </row>
    <row r="498" spans="1:66">
      <c r="A498" s="17">
        <v>125</v>
      </c>
      <c r="B498">
        <v>600403</v>
      </c>
      <c r="C498" t="s">
        <v>31</v>
      </c>
      <c r="D498" s="6" t="s">
        <v>6106</v>
      </c>
      <c r="E498" s="7" t="str">
        <f t="shared" si="217"/>
        <v>=79.11*100000000</v>
      </c>
      <c r="F498" s="1">
        <f>79.11*100000000</f>
        <v>7911000000</v>
      </c>
      <c r="G498" s="8">
        <f t="shared" si="219"/>
        <v>0.32779456193353473</v>
      </c>
      <c r="H498" s="6" t="s">
        <v>6107</v>
      </c>
      <c r="I498" s="6" t="str">
        <f t="shared" si="220"/>
        <v>=59.58*100000000</v>
      </c>
      <c r="J498" s="1">
        <f>59.58*100000000</f>
        <v>5958000000</v>
      </c>
      <c r="K498" s="10">
        <f t="shared" si="221"/>
        <v>0.51371951219512191</v>
      </c>
      <c r="L498" s="6" t="s">
        <v>6108</v>
      </c>
      <c r="M498" s="6" t="str">
        <f t="shared" si="222"/>
        <v>=39.36*100000000</v>
      </c>
      <c r="N498" s="1">
        <f>39.36*100000000</f>
        <v>3936000000</v>
      </c>
      <c r="O498" s="8">
        <f t="shared" si="223"/>
        <v>1.3071512309495898</v>
      </c>
      <c r="P498" s="6" t="s">
        <v>6109</v>
      </c>
      <c r="Q498" s="6" t="str">
        <f t="shared" si="224"/>
        <v>=17.06*100000000</v>
      </c>
      <c r="R498" s="11">
        <f>17.06*100000000</f>
        <v>1705999999.9999998</v>
      </c>
      <c r="S498" s="8">
        <f t="shared" si="225"/>
        <v>-0.75007324934075592</v>
      </c>
      <c r="T498" s="6" t="s">
        <v>6110</v>
      </c>
      <c r="U498" s="6" t="str">
        <f t="shared" si="226"/>
        <v>=68.26*100000000</v>
      </c>
      <c r="V498" s="1">
        <f>68.26*100000000</f>
        <v>6826000000.000001</v>
      </c>
      <c r="W498" s="8">
        <f t="shared" si="227"/>
        <v>0.55171629915889997</v>
      </c>
      <c r="X498" s="6" t="s">
        <v>6111</v>
      </c>
      <c r="Y498" s="6" t="str">
        <f t="shared" si="228"/>
        <v>=43.99*100000000</v>
      </c>
      <c r="Z498" s="1">
        <f>43.99*100000000</f>
        <v>4399000000</v>
      </c>
      <c r="AA498" s="8">
        <f t="shared" si="229"/>
        <v>0.56492351476342939</v>
      </c>
      <c r="AB498" s="6" t="s">
        <v>1878</v>
      </c>
      <c r="AC498" s="6" t="str">
        <f t="shared" si="230"/>
        <v>=28.11*100000000</v>
      </c>
      <c r="AD498" s="1">
        <f>28.11*100000000</f>
        <v>2811000000</v>
      </c>
      <c r="AE498" s="8">
        <f t="shared" si="231"/>
        <v>0.79616613418530346</v>
      </c>
      <c r="AF498" s="6" t="s">
        <v>6112</v>
      </c>
      <c r="AG498" s="6" t="str">
        <f t="shared" si="232"/>
        <v>=15.65*100000000</v>
      </c>
      <c r="AH498" s="1">
        <f>15.65*100000000</f>
        <v>1565000000</v>
      </c>
      <c r="AI498" s="8">
        <f t="shared" si="233"/>
        <v>-0.73488056920210065</v>
      </c>
      <c r="AJ498" s="6" t="s">
        <v>6113</v>
      </c>
      <c r="AK498" s="6" t="str">
        <f t="shared" si="234"/>
        <v>=59.03*100000000</v>
      </c>
      <c r="AL498" s="1">
        <f>59.03*100000000</f>
        <v>5903000000</v>
      </c>
      <c r="AM498" s="8">
        <f t="shared" si="235"/>
        <v>0.29878987898789877</v>
      </c>
      <c r="AN498" s="6" t="s">
        <v>6114</v>
      </c>
      <c r="AO498" s="6" t="str">
        <f t="shared" si="236"/>
        <v>=45.45*100000000</v>
      </c>
      <c r="AP498" s="1">
        <f>45.45*100000000</f>
        <v>4545000000</v>
      </c>
      <c r="AQ498" s="8">
        <f t="shared" si="237"/>
        <v>0.52824478816408882</v>
      </c>
      <c r="AR498" s="6" t="s">
        <v>6115</v>
      </c>
      <c r="AS498" s="6" t="str">
        <f t="shared" si="238"/>
        <v>=29.74*100000000</v>
      </c>
      <c r="AT498" s="1">
        <f>29.74*100000000</f>
        <v>2974000000</v>
      </c>
      <c r="AU498" s="8">
        <f t="shared" si="239"/>
        <v>0.8942675159235669</v>
      </c>
      <c r="AV498" s="6" t="s">
        <v>6116</v>
      </c>
      <c r="AW498" s="6" t="str">
        <f t="shared" si="240"/>
        <v>=15.70*100000000</v>
      </c>
      <c r="AX498" s="1">
        <f>15.7*100000000</f>
        <v>1570000000</v>
      </c>
      <c r="AY498" s="10">
        <f t="shared" si="241"/>
        <v>-0.80027986261289907</v>
      </c>
      <c r="AZ498" s="6" t="s">
        <v>1728</v>
      </c>
      <c r="BA498" s="6" t="str">
        <f t="shared" si="242"/>
        <v>=78.61*100000000</v>
      </c>
      <c r="BB498" s="1">
        <f>78.61*100000000</f>
        <v>7861000000</v>
      </c>
      <c r="BC498" s="8">
        <f t="shared" si="243"/>
        <v>0.35138387484957884</v>
      </c>
      <c r="BD498" s="6" t="s">
        <v>6117</v>
      </c>
      <c r="BE498" s="6" t="str">
        <f t="shared" si="244"/>
        <v>=58.17*100000000</v>
      </c>
      <c r="BF498" s="1">
        <f>58.17*100000000</f>
        <v>5817000000</v>
      </c>
      <c r="BG498" s="8">
        <f t="shared" si="245"/>
        <v>0.50310077519379826</v>
      </c>
      <c r="BH498" s="6" t="s">
        <v>6118</v>
      </c>
      <c r="BI498" s="6" t="str">
        <f t="shared" si="246"/>
        <v>=38.70*100000000</v>
      </c>
      <c r="BJ498" s="1">
        <f>38.7*100000000</f>
        <v>3870000000.0000005</v>
      </c>
      <c r="BK498" s="6" t="s">
        <v>6119</v>
      </c>
      <c r="BL498" s="1" t="str">
        <f t="shared" si="218"/>
        <v>=20.55*100000000</v>
      </c>
      <c r="BM498" s="16">
        <f t="shared" si="247"/>
        <v>0.88321167883211704</v>
      </c>
      <c r="BN498" s="1">
        <f>20.55*100000000</f>
        <v>2055000000</v>
      </c>
    </row>
    <row r="499" spans="1:66">
      <c r="A499" s="18"/>
      <c r="B499">
        <v>600403</v>
      </c>
      <c r="C499" t="s">
        <v>48</v>
      </c>
      <c r="D499" s="6" t="s">
        <v>4549</v>
      </c>
      <c r="E499" s="7" t="str">
        <f t="shared" si="217"/>
        <v>=12.82*100000000</v>
      </c>
      <c r="F499" s="1">
        <f>12.82*100000000</f>
        <v>1282000000</v>
      </c>
      <c r="G499" s="8">
        <f t="shared" si="219"/>
        <v>0.74540503744043562</v>
      </c>
      <c r="H499" s="6" t="s">
        <v>6120</v>
      </c>
      <c r="I499" s="6" t="str">
        <f t="shared" si="220"/>
        <v>=7.345*100000000</v>
      </c>
      <c r="J499" s="1">
        <f>7.345*100000000</f>
        <v>734500000</v>
      </c>
      <c r="K499" s="10">
        <f t="shared" si="221"/>
        <v>0.73558601134215496</v>
      </c>
      <c r="L499" s="6" t="s">
        <v>3454</v>
      </c>
      <c r="M499" s="6" t="str">
        <f t="shared" si="222"/>
        <v>=4.232*100000000</v>
      </c>
      <c r="N499" s="1">
        <f>4.232*100000000</f>
        <v>423200000</v>
      </c>
      <c r="O499" s="8">
        <f t="shared" si="223"/>
        <v>1.6516290726817042</v>
      </c>
      <c r="P499" s="6" t="s">
        <v>6121</v>
      </c>
      <c r="Q499" s="6" t="str">
        <f t="shared" si="224"/>
        <v>=1.596*100000000</v>
      </c>
      <c r="R499" s="11">
        <f>1.596*100000000</f>
        <v>159600000</v>
      </c>
      <c r="S499" s="8">
        <f t="shared" si="225"/>
        <v>-1.1759065358756751</v>
      </c>
      <c r="T499" s="6">
        <f>-9.073*100000000</f>
        <v>-907300000</v>
      </c>
      <c r="U499" s="6" t="str">
        <f t="shared" si="226"/>
        <v>=-907300000</v>
      </c>
      <c r="V499" s="1">
        <f>-907300000</f>
        <v>-907300000</v>
      </c>
      <c r="W499" s="8">
        <f t="shared" si="227"/>
        <v>30.846261846261847</v>
      </c>
      <c r="X499" s="7">
        <f>-2849*10000</f>
        <v>-28490000</v>
      </c>
      <c r="Y499" s="6" t="str">
        <f t="shared" si="228"/>
        <v>=-28490000</v>
      </c>
      <c r="Z499" s="1">
        <f>-28490000</f>
        <v>-28490000</v>
      </c>
      <c r="AA499" s="8">
        <f t="shared" si="229"/>
        <v>0.23493714781100997</v>
      </c>
      <c r="AB499" s="7">
        <f>-2307*10000</f>
        <v>-23070000</v>
      </c>
      <c r="AC499" s="6" t="str">
        <f t="shared" si="230"/>
        <v>=-23070000</v>
      </c>
      <c r="AD499" s="1">
        <f>-23070000</f>
        <v>-23070000</v>
      </c>
      <c r="AE499" s="8">
        <f t="shared" si="231"/>
        <v>-0.52860645688598284</v>
      </c>
      <c r="AF499" s="7">
        <f>-4894*10000</f>
        <v>-48940000</v>
      </c>
      <c r="AG499" s="6" t="str">
        <f t="shared" si="232"/>
        <v>=-48940000</v>
      </c>
      <c r="AH499" s="1">
        <f>-48940000</f>
        <v>-48940000</v>
      </c>
      <c r="AI499" s="8">
        <f t="shared" si="233"/>
        <v>-0.71563044741429405</v>
      </c>
      <c r="AJ499" s="6">
        <f>-1.721*100000000</f>
        <v>-172100000</v>
      </c>
      <c r="AK499" s="6" t="str">
        <f t="shared" si="234"/>
        <v>=-172100000</v>
      </c>
      <c r="AL499" s="1">
        <f>-172100000</f>
        <v>-172100000</v>
      </c>
      <c r="AM499" s="8">
        <f t="shared" si="235"/>
        <v>-2.2969103240391862</v>
      </c>
      <c r="AN499" s="6" t="s">
        <v>3378</v>
      </c>
      <c r="AO499" s="6" t="str">
        <f t="shared" si="236"/>
        <v>=1.327*100000000</v>
      </c>
      <c r="AP499" s="1">
        <f>1.327*100000000</f>
        <v>132700000</v>
      </c>
      <c r="AQ499" s="8">
        <f t="shared" si="237"/>
        <v>0.15190972222222238</v>
      </c>
      <c r="AR499" s="6" t="s">
        <v>2167</v>
      </c>
      <c r="AS499" s="6" t="str">
        <f t="shared" si="238"/>
        <v>=1.152*100000000</v>
      </c>
      <c r="AT499" s="1">
        <f>1.152*100000000</f>
        <v>115199999.99999999</v>
      </c>
      <c r="AU499" s="8">
        <f t="shared" si="239"/>
        <v>-0.24557956777996082</v>
      </c>
      <c r="AV499" s="6" t="s">
        <v>2536</v>
      </c>
      <c r="AW499" s="6" t="str">
        <f t="shared" si="240"/>
        <v>=1.527*100000000</v>
      </c>
      <c r="AX499" s="1">
        <f>1.527*100000000</f>
        <v>152700000</v>
      </c>
      <c r="AY499" s="10">
        <f t="shared" si="241"/>
        <v>-0.83396759812982491</v>
      </c>
      <c r="AZ499" s="6" t="s">
        <v>6122</v>
      </c>
      <c r="BA499" s="6" t="str">
        <f t="shared" si="242"/>
        <v>=9.197*100000000</v>
      </c>
      <c r="BB499" s="1">
        <f>9.197*100000000</f>
        <v>919699999.99999988</v>
      </c>
      <c r="BC499" s="8">
        <f t="shared" si="243"/>
        <v>0.13040806293018684</v>
      </c>
      <c r="BD499" s="6" t="s">
        <v>6123</v>
      </c>
      <c r="BE499" s="6" t="str">
        <f t="shared" si="244"/>
        <v>=8.136*100000000</v>
      </c>
      <c r="BF499" s="1">
        <f>8.136*100000000</f>
        <v>813599999.99999988</v>
      </c>
      <c r="BG499" s="8">
        <f t="shared" si="245"/>
        <v>0.51819369285314398</v>
      </c>
      <c r="BH499" s="6" t="s">
        <v>6124</v>
      </c>
      <c r="BI499" s="6" t="str">
        <f t="shared" si="246"/>
        <v>=5.359*100000000</v>
      </c>
      <c r="BJ499" s="1">
        <f>5.359*100000000</f>
        <v>535900000</v>
      </c>
      <c r="BK499" s="6" t="s">
        <v>6125</v>
      </c>
      <c r="BL499" s="1" t="str">
        <f t="shared" si="218"/>
        <v>=3.177*100000000</v>
      </c>
      <c r="BM499" s="16">
        <f t="shared" si="247"/>
        <v>0.68681145734970095</v>
      </c>
      <c r="BN499" s="1">
        <f>3.177*100000000</f>
        <v>317700000</v>
      </c>
    </row>
    <row r="500" spans="1:66">
      <c r="A500" s="18"/>
      <c r="B500">
        <v>600403</v>
      </c>
      <c r="C500" t="s">
        <v>58</v>
      </c>
      <c r="D500" s="6" t="s">
        <v>6126</v>
      </c>
      <c r="E500" s="7" t="str">
        <f t="shared" si="217"/>
        <v>=13.42*100000000</v>
      </c>
      <c r="F500" s="1">
        <f>13.42*100000000</f>
        <v>1342000000</v>
      </c>
      <c r="G500" s="8">
        <f t="shared" si="219"/>
        <v>0.72849046883049973</v>
      </c>
      <c r="H500" s="6" t="s">
        <v>6127</v>
      </c>
      <c r="I500" s="6" t="str">
        <f t="shared" si="220"/>
        <v>=7.764*100000000</v>
      </c>
      <c r="J500" s="1">
        <f>7.764*100000000</f>
        <v>776400000</v>
      </c>
      <c r="K500" s="10">
        <f t="shared" si="221"/>
        <v>0.8908913784705309</v>
      </c>
      <c r="L500" s="6" t="s">
        <v>6128</v>
      </c>
      <c r="M500" s="6" t="str">
        <f t="shared" si="222"/>
        <v>=4.106*100000000</v>
      </c>
      <c r="N500" s="1">
        <f>4.106*100000000</f>
        <v>410600000</v>
      </c>
      <c r="O500" s="8">
        <f t="shared" si="223"/>
        <v>1.574294670846395</v>
      </c>
      <c r="P500" s="6" t="s">
        <v>6129</v>
      </c>
      <c r="Q500" s="6" t="str">
        <f t="shared" si="224"/>
        <v>=1.595*100000000</v>
      </c>
      <c r="R500" s="11">
        <f>1.595*100000000</f>
        <v>159500000</v>
      </c>
      <c r="S500" s="8">
        <f t="shared" si="225"/>
        <v>-1.2123834886817577</v>
      </c>
      <c r="T500" s="6">
        <f>-7.51*100000000</f>
        <v>-751000000</v>
      </c>
      <c r="U500" s="6" t="str">
        <f t="shared" si="226"/>
        <v>=-751000000</v>
      </c>
      <c r="V500" s="1">
        <f>-751000000</f>
        <v>-751000000</v>
      </c>
      <c r="W500" s="8">
        <f t="shared" si="227"/>
        <v>-4.684985279685967</v>
      </c>
      <c r="X500" s="6" t="s">
        <v>6130</v>
      </c>
      <c r="Y500" s="6" t="str">
        <f t="shared" si="228"/>
        <v>=2.038*100000000</v>
      </c>
      <c r="Z500" s="1">
        <f>2.038*100000000</f>
        <v>203799999.99999997</v>
      </c>
      <c r="AA500" s="8">
        <f t="shared" si="229"/>
        <v>0.31145431145431124</v>
      </c>
      <c r="AB500" s="6" t="s">
        <v>3978</v>
      </c>
      <c r="AC500" s="6" t="str">
        <f t="shared" si="230"/>
        <v>=1.554*100000000</v>
      </c>
      <c r="AD500" s="1">
        <f>1.554*100000000</f>
        <v>155400000</v>
      </c>
      <c r="AE500" s="8">
        <f t="shared" si="231"/>
        <v>1.7186843946815955</v>
      </c>
      <c r="AF500" s="7" t="s">
        <v>6131</v>
      </c>
      <c r="AG500" s="6" t="str">
        <f t="shared" si="232"/>
        <v>=5716*10000</v>
      </c>
      <c r="AH500" s="1">
        <f>5716*10000</f>
        <v>57160000</v>
      </c>
      <c r="AI500" s="8">
        <f t="shared" si="233"/>
        <v>-2.2932126696832578</v>
      </c>
      <c r="AJ500" s="7">
        <f>-4420*10000</f>
        <v>-44200000</v>
      </c>
      <c r="AK500" s="6" t="str">
        <f t="shared" si="234"/>
        <v>=-44200000</v>
      </c>
      <c r="AL500" s="1">
        <f>-44200000</f>
        <v>-44200000</v>
      </c>
      <c r="AM500" s="8">
        <f t="shared" si="235"/>
        <v>-1.2495765104460757</v>
      </c>
      <c r="AN500" s="6" t="s">
        <v>6132</v>
      </c>
      <c r="AO500" s="6" t="str">
        <f t="shared" si="236"/>
        <v>=1.771*100000000</v>
      </c>
      <c r="AP500" s="1">
        <f>1.771*100000000</f>
        <v>177100000</v>
      </c>
      <c r="AQ500" s="8">
        <f t="shared" si="237"/>
        <v>0.32262882748319643</v>
      </c>
      <c r="AR500" s="6" t="s">
        <v>1959</v>
      </c>
      <c r="AS500" s="6" t="str">
        <f t="shared" si="238"/>
        <v>=1.339*100000000</v>
      </c>
      <c r="AT500" s="1">
        <f>1.339*100000000</f>
        <v>133900000</v>
      </c>
      <c r="AU500" s="8">
        <f t="shared" si="239"/>
        <v>-0.22151162790697673</v>
      </c>
      <c r="AV500" s="6" t="s">
        <v>6133</v>
      </c>
      <c r="AW500" s="6" t="str">
        <f t="shared" si="240"/>
        <v>=1.720*100000000</v>
      </c>
      <c r="AX500" s="1">
        <f>1.72*100000000</f>
        <v>172000000</v>
      </c>
      <c r="AY500" s="10">
        <f t="shared" si="241"/>
        <v>-0.81485468245425186</v>
      </c>
      <c r="AZ500" s="6" t="s">
        <v>6134</v>
      </c>
      <c r="BA500" s="6" t="str">
        <f t="shared" si="242"/>
        <v>=9.290*100000000</v>
      </c>
      <c r="BB500" s="1">
        <f>9.29*100000000</f>
        <v>928999999.99999988</v>
      </c>
      <c r="BC500" s="8">
        <f t="shared" si="243"/>
        <v>0.14804745427582783</v>
      </c>
      <c r="BD500" s="6" t="s">
        <v>6135</v>
      </c>
      <c r="BE500" s="6" t="str">
        <f t="shared" si="244"/>
        <v>=8.092*100000000</v>
      </c>
      <c r="BF500" s="1">
        <f>8.092*100000000</f>
        <v>809200000</v>
      </c>
      <c r="BG500" s="8">
        <f t="shared" si="245"/>
        <v>0.53199545626656575</v>
      </c>
      <c r="BH500" s="6" t="s">
        <v>6136</v>
      </c>
      <c r="BI500" s="6" t="str">
        <f t="shared" si="246"/>
        <v>=5.282*100000000</v>
      </c>
      <c r="BJ500" s="1">
        <f>5.282*100000000</f>
        <v>528200000</v>
      </c>
      <c r="BK500" s="6" t="s">
        <v>6137</v>
      </c>
      <c r="BL500" s="1" t="str">
        <f t="shared" si="218"/>
        <v>=3.179*100000000</v>
      </c>
      <c r="BM500" s="16">
        <f t="shared" si="247"/>
        <v>0.66152878263604908</v>
      </c>
      <c r="BN500" s="1">
        <f>3.179*100000000</f>
        <v>317900000</v>
      </c>
    </row>
    <row r="501" spans="1:66">
      <c r="A501" s="19"/>
      <c r="B501">
        <v>600403</v>
      </c>
      <c r="C501" t="s">
        <v>68</v>
      </c>
      <c r="D501" s="6" t="s">
        <v>6138</v>
      </c>
      <c r="E501" s="7" t="str">
        <f t="shared" si="217"/>
        <v>=14.15*100000000</v>
      </c>
      <c r="F501" s="1">
        <f>14.15*100000000</f>
        <v>1415000000</v>
      </c>
      <c r="G501" s="8">
        <f t="shared" si="219"/>
        <v>1.3817539134825787</v>
      </c>
      <c r="H501" s="6" t="s">
        <v>6139</v>
      </c>
      <c r="I501" s="6" t="str">
        <f t="shared" si="220"/>
        <v>=5.941*100000000</v>
      </c>
      <c r="J501" s="1">
        <f>5.941*100000000</f>
        <v>594100000</v>
      </c>
      <c r="K501" s="10">
        <f t="shared" si="221"/>
        <v>1.3859437751004013</v>
      </c>
      <c r="L501" s="6" t="s">
        <v>6140</v>
      </c>
      <c r="M501" s="6" t="str">
        <f t="shared" si="222"/>
        <v>=2.490*100000000</v>
      </c>
      <c r="N501" s="1">
        <f>2.49*100000000</f>
        <v>249000000.00000003</v>
      </c>
      <c r="O501" s="8">
        <f t="shared" si="223"/>
        <v>0.87924528301886817</v>
      </c>
      <c r="P501" s="6" t="s">
        <v>6141</v>
      </c>
      <c r="Q501" s="6" t="str">
        <f t="shared" si="224"/>
        <v>=1.325*100000000</v>
      </c>
      <c r="R501" s="11">
        <f>1.325*100000000</f>
        <v>132500000</v>
      </c>
      <c r="S501" s="8">
        <f t="shared" si="225"/>
        <v>-1.1342860038512212</v>
      </c>
      <c r="T501" s="6">
        <f>-9.867*100000000</f>
        <v>-986700000.00000012</v>
      </c>
      <c r="U501" s="6" t="str">
        <f t="shared" si="226"/>
        <v>=-986700000</v>
      </c>
      <c r="V501" s="1">
        <f>-986700000</f>
        <v>-986700000</v>
      </c>
      <c r="W501" s="8">
        <f t="shared" si="227"/>
        <v>-9.3974468085106384</v>
      </c>
      <c r="X501" s="6" t="s">
        <v>5315</v>
      </c>
      <c r="Y501" s="6" t="str">
        <f t="shared" si="228"/>
        <v>=1.175*100000000</v>
      </c>
      <c r="Z501" s="1">
        <f>1.175*100000000</f>
        <v>117500000</v>
      </c>
      <c r="AA501" s="8">
        <f t="shared" si="229"/>
        <v>0.29992255780506694</v>
      </c>
      <c r="AB501" s="7" t="s">
        <v>6142</v>
      </c>
      <c r="AC501" s="6" t="str">
        <f t="shared" si="230"/>
        <v>=9039*10000</v>
      </c>
      <c r="AD501" s="1">
        <f>9039*10000</f>
        <v>90390000</v>
      </c>
      <c r="AE501" s="8">
        <f t="shared" si="231"/>
        <v>2.0913132694938441</v>
      </c>
      <c r="AF501" s="7" t="s">
        <v>6143</v>
      </c>
      <c r="AG501" s="6" t="str">
        <f t="shared" si="232"/>
        <v>=2924*10000</v>
      </c>
      <c r="AH501" s="1">
        <f>2924*10000</f>
        <v>29240000</v>
      </c>
      <c r="AI501" s="8">
        <f t="shared" si="233"/>
        <v>2.0461506406917387</v>
      </c>
      <c r="AJ501" s="7" t="s">
        <v>6144</v>
      </c>
      <c r="AK501" s="6" t="str">
        <f t="shared" si="234"/>
        <v>=959.9*10000</v>
      </c>
      <c r="AL501" s="1">
        <f>959.9*10000</f>
        <v>9599000</v>
      </c>
      <c r="AM501" s="8">
        <f t="shared" si="235"/>
        <v>-0.92357484076433116</v>
      </c>
      <c r="AN501" s="6" t="s">
        <v>6145</v>
      </c>
      <c r="AO501" s="6" t="str">
        <f t="shared" si="236"/>
        <v>=1.256*100000000</v>
      </c>
      <c r="AP501" s="1">
        <f>1.256*100000000</f>
        <v>125600000</v>
      </c>
      <c r="AQ501" s="8">
        <f t="shared" si="237"/>
        <v>0.27189873417721516</v>
      </c>
      <c r="AR501" s="7" t="s">
        <v>6146</v>
      </c>
      <c r="AS501" s="6" t="str">
        <f t="shared" si="238"/>
        <v>=9875*10000</v>
      </c>
      <c r="AT501" s="1">
        <f>9875*10000</f>
        <v>98750000</v>
      </c>
      <c r="AU501" s="8">
        <f t="shared" si="239"/>
        <v>-0.29914833215046133</v>
      </c>
      <c r="AV501" s="6" t="s">
        <v>6147</v>
      </c>
      <c r="AW501" s="6" t="str">
        <f t="shared" si="240"/>
        <v>=1.409*100000000</v>
      </c>
      <c r="AX501" s="1">
        <f>1.409*100000000</f>
        <v>140900000</v>
      </c>
      <c r="AY501" s="10">
        <f t="shared" si="241"/>
        <v>-0.7724483204134367</v>
      </c>
      <c r="AZ501" s="6" t="s">
        <v>6148</v>
      </c>
      <c r="BA501" s="6" t="str">
        <f t="shared" si="242"/>
        <v>=6.192*100000000</v>
      </c>
      <c r="BB501" s="1">
        <f>6.192*100000000</f>
        <v>619200000</v>
      </c>
      <c r="BC501" s="8">
        <f t="shared" si="243"/>
        <v>-8.8875809299587993E-2</v>
      </c>
      <c r="BD501" s="6" t="s">
        <v>6149</v>
      </c>
      <c r="BE501" s="6" t="str">
        <f t="shared" si="244"/>
        <v>=6.796*100000000</v>
      </c>
      <c r="BF501" s="1">
        <f>6.796*100000000</f>
        <v>679600000</v>
      </c>
      <c r="BG501" s="8">
        <f t="shared" si="245"/>
        <v>0.50055199823360563</v>
      </c>
      <c r="BH501" s="6" t="s">
        <v>6150</v>
      </c>
      <c r="BI501" s="6" t="str">
        <f t="shared" si="246"/>
        <v>=4.529*100000000</v>
      </c>
      <c r="BJ501" s="1">
        <f>4.529*100000000</f>
        <v>452900000</v>
      </c>
      <c r="BK501" s="6" t="s">
        <v>6151</v>
      </c>
      <c r="BL501" s="1" t="str">
        <f t="shared" si="218"/>
        <v>=2.948*100000000</v>
      </c>
      <c r="BM501" s="16">
        <f t="shared" si="247"/>
        <v>0.53629579375848035</v>
      </c>
      <c r="BN501" s="1">
        <f>2.948*100000000</f>
        <v>294800000</v>
      </c>
    </row>
    <row r="502" spans="1:66">
      <c r="A502" s="17">
        <v>126</v>
      </c>
      <c r="B502">
        <v>600409</v>
      </c>
      <c r="C502" t="s">
        <v>31</v>
      </c>
      <c r="D502" s="6" t="s">
        <v>6152</v>
      </c>
      <c r="E502" s="7" t="str">
        <f t="shared" si="217"/>
        <v>=231.8*100000000</v>
      </c>
      <c r="F502" s="1">
        <f>231.8*100000000</f>
        <v>23180000000</v>
      </c>
      <c r="G502" s="8">
        <f t="shared" si="219"/>
        <v>0.34298957126303592</v>
      </c>
      <c r="H502" s="6" t="s">
        <v>6153</v>
      </c>
      <c r="I502" s="6" t="str">
        <f t="shared" si="220"/>
        <v>=172.6*100000000</v>
      </c>
      <c r="J502" s="1">
        <f>172.6*100000000</f>
        <v>17260000000</v>
      </c>
      <c r="K502" s="10">
        <f t="shared" si="221"/>
        <v>0.54107142857142854</v>
      </c>
      <c r="L502" s="6" t="s">
        <v>5986</v>
      </c>
      <c r="M502" s="6" t="str">
        <f t="shared" si="222"/>
        <v>=112.0*100000000</v>
      </c>
      <c r="N502" s="1">
        <f>112*100000000</f>
        <v>11200000000</v>
      </c>
      <c r="O502" s="8">
        <f t="shared" si="223"/>
        <v>0.98757763975155277</v>
      </c>
      <c r="P502" s="6" t="s">
        <v>6154</v>
      </c>
      <c r="Q502" s="6" t="str">
        <f t="shared" si="224"/>
        <v>=56.35*100000000</v>
      </c>
      <c r="R502" s="11">
        <f>56.35*100000000</f>
        <v>5635000000</v>
      </c>
      <c r="S502" s="8">
        <f t="shared" si="225"/>
        <v>-0.68307086614173229</v>
      </c>
      <c r="T502" s="6" t="s">
        <v>6155</v>
      </c>
      <c r="U502" s="6" t="str">
        <f t="shared" si="226"/>
        <v>=177.8*100000000</v>
      </c>
      <c r="V502" s="1">
        <f>177.8*100000000</f>
        <v>17780000000</v>
      </c>
      <c r="W502" s="8">
        <f t="shared" si="227"/>
        <v>0.41335453100158981</v>
      </c>
      <c r="X502" s="6" t="s">
        <v>6156</v>
      </c>
      <c r="Y502" s="6" t="str">
        <f t="shared" si="228"/>
        <v>=125.8*100000000</v>
      </c>
      <c r="Z502" s="1">
        <f>125.8*100000000</f>
        <v>12580000000</v>
      </c>
      <c r="AA502" s="8">
        <f t="shared" si="229"/>
        <v>0.57604610373340037</v>
      </c>
      <c r="AB502" s="6" t="s">
        <v>6157</v>
      </c>
      <c r="AC502" s="6" t="str">
        <f t="shared" si="230"/>
        <v>=79.82*100000000</v>
      </c>
      <c r="AD502" s="1">
        <f>79.82*100000000</f>
        <v>7981999999.999999</v>
      </c>
      <c r="AE502" s="8">
        <f t="shared" si="231"/>
        <v>0.98458478368970637</v>
      </c>
      <c r="AF502" s="6" t="s">
        <v>6158</v>
      </c>
      <c r="AG502" s="6" t="str">
        <f t="shared" si="232"/>
        <v>=40.22*100000000</v>
      </c>
      <c r="AH502" s="1">
        <f>40.22*100000000</f>
        <v>4022000000</v>
      </c>
      <c r="AI502" s="8">
        <f t="shared" si="233"/>
        <v>-0.80399610136452238</v>
      </c>
      <c r="AJ502" s="6" t="s">
        <v>6159</v>
      </c>
      <c r="AK502" s="6" t="str">
        <f t="shared" si="234"/>
        <v>=205.2*100000000</v>
      </c>
      <c r="AL502" s="1">
        <f>205.2*100000000</f>
        <v>20520000000</v>
      </c>
      <c r="AM502" s="8">
        <f t="shared" si="235"/>
        <v>0.32558139534883707</v>
      </c>
      <c r="AN502" s="6" t="s">
        <v>547</v>
      </c>
      <c r="AO502" s="6" t="str">
        <f t="shared" si="236"/>
        <v>=154.8*100000000</v>
      </c>
      <c r="AP502" s="1">
        <f>154.8*100000000</f>
        <v>15480000000.000002</v>
      </c>
      <c r="AQ502" s="8">
        <f t="shared" si="237"/>
        <v>0.47709923664122156</v>
      </c>
      <c r="AR502" s="6" t="s">
        <v>1263</v>
      </c>
      <c r="AS502" s="6" t="str">
        <f t="shared" si="238"/>
        <v>=104.8*100000000</v>
      </c>
      <c r="AT502" s="1">
        <f>104.8*100000000</f>
        <v>10480000000</v>
      </c>
      <c r="AU502" s="8">
        <f t="shared" si="239"/>
        <v>1.0227755259602394</v>
      </c>
      <c r="AV502" s="6" t="s">
        <v>6160</v>
      </c>
      <c r="AW502" s="6" t="str">
        <f t="shared" si="240"/>
        <v>=51.81*100000000</v>
      </c>
      <c r="AX502" s="1">
        <f>51.81*100000000</f>
        <v>5181000000</v>
      </c>
      <c r="AY502" s="10">
        <f t="shared" si="241"/>
        <v>-0.74313336638572136</v>
      </c>
      <c r="AZ502" s="6" t="s">
        <v>6161</v>
      </c>
      <c r="BA502" s="6" t="str">
        <f t="shared" si="242"/>
        <v>=201.7*100000000</v>
      </c>
      <c r="BB502" s="1">
        <f>201.7*100000000</f>
        <v>20170000000</v>
      </c>
      <c r="BC502" s="8">
        <f t="shared" si="243"/>
        <v>0.35006693440428382</v>
      </c>
      <c r="BD502" s="6" t="s">
        <v>6162</v>
      </c>
      <c r="BE502" s="6" t="str">
        <f t="shared" si="244"/>
        <v>=149.4*100000000</v>
      </c>
      <c r="BF502" s="1">
        <f>149.4*100000000</f>
        <v>14940000000</v>
      </c>
      <c r="BG502" s="8">
        <f t="shared" si="245"/>
        <v>0.49579495394473366</v>
      </c>
      <c r="BH502" s="6" t="s">
        <v>6163</v>
      </c>
      <c r="BI502" s="6" t="str">
        <f t="shared" si="246"/>
        <v>=99.88*100000000</v>
      </c>
      <c r="BJ502" s="1">
        <f>99.88*100000000</f>
        <v>9988000000</v>
      </c>
      <c r="BK502" s="6" t="s">
        <v>1323</v>
      </c>
      <c r="BL502" s="1" t="str">
        <f t="shared" si="218"/>
        <v>=47.26*100000000</v>
      </c>
      <c r="BM502" s="16">
        <f t="shared" si="247"/>
        <v>1.1134151502327549</v>
      </c>
      <c r="BN502" s="1">
        <f>47.26*100000000</f>
        <v>4726000000</v>
      </c>
    </row>
    <row r="503" spans="1:66">
      <c r="A503" s="18"/>
      <c r="B503">
        <v>600409</v>
      </c>
      <c r="C503" t="s">
        <v>48</v>
      </c>
      <c r="D503" s="6" t="s">
        <v>6164</v>
      </c>
      <c r="E503" s="7" t="str">
        <f t="shared" si="217"/>
        <v>=23.16*100000000</v>
      </c>
      <c r="F503" s="1">
        <f>23.16*100000000</f>
        <v>2316000000</v>
      </c>
      <c r="G503" s="8">
        <f t="shared" si="219"/>
        <v>0.13976377952755906</v>
      </c>
      <c r="H503" s="6" t="s">
        <v>6165</v>
      </c>
      <c r="I503" s="6" t="str">
        <f t="shared" si="220"/>
        <v>=20.32*100000000</v>
      </c>
      <c r="J503" s="1">
        <f>20.32*100000000</f>
        <v>2032000000</v>
      </c>
      <c r="K503" s="10">
        <f t="shared" si="221"/>
        <v>0.34302709847984136</v>
      </c>
      <c r="L503" s="6" t="s">
        <v>909</v>
      </c>
      <c r="M503" s="6" t="str">
        <f t="shared" si="222"/>
        <v>=15.13*100000000</v>
      </c>
      <c r="N503" s="1">
        <f>15.13*100000000</f>
        <v>1513000000</v>
      </c>
      <c r="O503" s="8">
        <f t="shared" si="223"/>
        <v>1.0076963906581742</v>
      </c>
      <c r="P503" s="6" t="s">
        <v>6166</v>
      </c>
      <c r="Q503" s="6" t="str">
        <f t="shared" si="224"/>
        <v>=7.536*100000000</v>
      </c>
      <c r="R503" s="11">
        <f>7.536*100000000</f>
        <v>753600000</v>
      </c>
      <c r="S503" s="8">
        <f t="shared" si="225"/>
        <v>-0.12106368089573127</v>
      </c>
      <c r="T503" s="6" t="s">
        <v>6167</v>
      </c>
      <c r="U503" s="6" t="str">
        <f t="shared" si="226"/>
        <v>=8.574*100000000</v>
      </c>
      <c r="V503" s="1">
        <f>8.574*100000000</f>
        <v>857400000</v>
      </c>
      <c r="W503" s="8">
        <f t="shared" si="227"/>
        <v>358.04522613065325</v>
      </c>
      <c r="X503" s="7" t="s">
        <v>6168</v>
      </c>
      <c r="Y503" s="6" t="str">
        <f t="shared" si="228"/>
        <v>=238.8*10000</v>
      </c>
      <c r="Z503" s="1">
        <f>238.8*10000</f>
        <v>2388000</v>
      </c>
      <c r="AA503" s="8">
        <f t="shared" si="229"/>
        <v>-1.0062009867566866</v>
      </c>
      <c r="AB503" s="6">
        <f>-3.851*100000000</f>
        <v>-385100000</v>
      </c>
      <c r="AC503" s="6" t="str">
        <f t="shared" si="230"/>
        <v>=-385100000</v>
      </c>
      <c r="AD503" s="1">
        <f>-385100000</f>
        <v>-385100000</v>
      </c>
      <c r="AE503" s="8">
        <f t="shared" si="231"/>
        <v>0.30719619823489475</v>
      </c>
      <c r="AF503" s="6">
        <f>-2.946*100000000</f>
        <v>-294600000</v>
      </c>
      <c r="AG503" s="6" t="str">
        <f t="shared" si="232"/>
        <v>=-294600000</v>
      </c>
      <c r="AH503" s="1">
        <f>-294600000</f>
        <v>-294600000</v>
      </c>
      <c r="AI503" s="8">
        <f t="shared" si="233"/>
        <v>-1.3218616846935431</v>
      </c>
      <c r="AJ503" s="6" t="s">
        <v>6169</v>
      </c>
      <c r="AK503" s="6" t="str">
        <f t="shared" si="234"/>
        <v>=9.153*100000000</v>
      </c>
      <c r="AL503" s="1">
        <f>9.153*100000000</f>
        <v>915300000</v>
      </c>
      <c r="AM503" s="8">
        <f t="shared" si="235"/>
        <v>0.24226384364820847</v>
      </c>
      <c r="AN503" s="6" t="s">
        <v>6170</v>
      </c>
      <c r="AO503" s="6" t="str">
        <f t="shared" si="236"/>
        <v>=7.368*100000000</v>
      </c>
      <c r="AP503" s="1">
        <f>7.368*100000000</f>
        <v>736800000</v>
      </c>
      <c r="AQ503" s="8">
        <f t="shared" si="237"/>
        <v>0.31806797853309482</v>
      </c>
      <c r="AR503" s="6" t="s">
        <v>6171</v>
      </c>
      <c r="AS503" s="6" t="str">
        <f t="shared" si="238"/>
        <v>=5.590*100000000</v>
      </c>
      <c r="AT503" s="1">
        <f>5.59*100000000</f>
        <v>559000000</v>
      </c>
      <c r="AU503" s="8">
        <f t="shared" si="239"/>
        <v>1.0115149334292912</v>
      </c>
      <c r="AV503" s="6" t="s">
        <v>6172</v>
      </c>
      <c r="AW503" s="6" t="str">
        <f t="shared" si="240"/>
        <v>=2.779*100000000</v>
      </c>
      <c r="AX503" s="1">
        <f>2.779*100000000</f>
        <v>277900000</v>
      </c>
      <c r="AY503" s="10">
        <f t="shared" si="241"/>
        <v>-0.87560429722470901</v>
      </c>
      <c r="AZ503" s="6" t="s">
        <v>6173</v>
      </c>
      <c r="BA503" s="6" t="str">
        <f t="shared" si="242"/>
        <v>=22.34*100000000</v>
      </c>
      <c r="BB503" s="1">
        <f>22.34*100000000</f>
        <v>2234000000</v>
      </c>
      <c r="BC503" s="8">
        <f t="shared" si="243"/>
        <v>0.10978638847491307</v>
      </c>
      <c r="BD503" s="6" t="s">
        <v>1689</v>
      </c>
      <c r="BE503" s="6" t="str">
        <f t="shared" si="244"/>
        <v>=20.13*100000000</v>
      </c>
      <c r="BF503" s="1">
        <f>20.13*100000000</f>
        <v>2013000000</v>
      </c>
      <c r="BG503" s="8">
        <f t="shared" si="245"/>
        <v>0.31140065146579804</v>
      </c>
      <c r="BH503" s="6" t="s">
        <v>6174</v>
      </c>
      <c r="BI503" s="6" t="str">
        <f t="shared" si="246"/>
        <v>=15.35*100000000</v>
      </c>
      <c r="BJ503" s="1">
        <f>15.35*100000000</f>
        <v>1535000000</v>
      </c>
      <c r="BK503" s="6" t="s">
        <v>6171</v>
      </c>
      <c r="BL503" s="1" t="str">
        <f t="shared" si="218"/>
        <v>=5.590*100000000</v>
      </c>
      <c r="BM503" s="16">
        <f t="shared" si="247"/>
        <v>1.7459749552772807</v>
      </c>
      <c r="BN503" s="1">
        <f>5.59*100000000</f>
        <v>559000000</v>
      </c>
    </row>
    <row r="504" spans="1:66">
      <c r="A504" s="18"/>
      <c r="B504">
        <v>600409</v>
      </c>
      <c r="C504" t="s">
        <v>58</v>
      </c>
      <c r="D504" s="6" t="s">
        <v>6175</v>
      </c>
      <c r="E504" s="7" t="str">
        <f t="shared" si="217"/>
        <v>=23.06*100000000</v>
      </c>
      <c r="F504" s="1">
        <f>23.06*100000000</f>
        <v>2306000000</v>
      </c>
      <c r="G504" s="8">
        <f t="shared" si="219"/>
        <v>0.13540128015755798</v>
      </c>
      <c r="H504" s="6" t="s">
        <v>6176</v>
      </c>
      <c r="I504" s="6" t="str">
        <f t="shared" si="220"/>
        <v>=20.31*100000000</v>
      </c>
      <c r="J504" s="1">
        <f>20.31*100000000</f>
        <v>2030999999.9999998</v>
      </c>
      <c r="K504" s="10">
        <f t="shared" si="221"/>
        <v>0.33180327868852444</v>
      </c>
      <c r="L504" s="6" t="s">
        <v>293</v>
      </c>
      <c r="M504" s="6" t="str">
        <f t="shared" si="222"/>
        <v>=15.25*100000000</v>
      </c>
      <c r="N504" s="1">
        <f>15.25*100000000</f>
        <v>1525000000</v>
      </c>
      <c r="O504" s="8">
        <f t="shared" si="223"/>
        <v>1.0290047897817989</v>
      </c>
      <c r="P504" s="6" t="s">
        <v>6177</v>
      </c>
      <c r="Q504" s="6" t="str">
        <f t="shared" si="224"/>
        <v>=7.516*100000000</v>
      </c>
      <c r="R504" s="11">
        <f>7.516*100000000</f>
        <v>751600000</v>
      </c>
      <c r="S504" s="8">
        <f t="shared" si="225"/>
        <v>-0.15121400338791643</v>
      </c>
      <c r="T504" s="6" t="s">
        <v>6178</v>
      </c>
      <c r="U504" s="6" t="str">
        <f t="shared" si="226"/>
        <v>=8.855*100000000</v>
      </c>
      <c r="V504" s="1">
        <f>8.855*100000000</f>
        <v>885500000</v>
      </c>
      <c r="W504" s="8">
        <f t="shared" si="227"/>
        <v>-96.957954052882528</v>
      </c>
      <c r="X504" s="7">
        <f>-922.8*10000</f>
        <v>-9228000</v>
      </c>
      <c r="Y504" s="6" t="str">
        <f t="shared" si="228"/>
        <v>=-9228000</v>
      </c>
      <c r="Z504" s="1">
        <f>-9228000</f>
        <v>-9228000</v>
      </c>
      <c r="AA504" s="8">
        <f t="shared" si="229"/>
        <v>-0.97680824327720528</v>
      </c>
      <c r="AB504" s="6">
        <f>-3.979*100000000</f>
        <v>-397900000</v>
      </c>
      <c r="AC504" s="6" t="str">
        <f t="shared" si="230"/>
        <v>=-397900000</v>
      </c>
      <c r="AD504" s="1">
        <f>-397900000</f>
        <v>-397900000</v>
      </c>
      <c r="AE504" s="8">
        <f t="shared" si="231"/>
        <v>0.31798608810864526</v>
      </c>
      <c r="AF504" s="6">
        <f>-3.019*100000000</f>
        <v>-301900000</v>
      </c>
      <c r="AG504" s="6" t="str">
        <f t="shared" si="232"/>
        <v>=-301900000</v>
      </c>
      <c r="AH504" s="1">
        <f>-301900000</f>
        <v>-301900000</v>
      </c>
      <c r="AI504" s="8">
        <f t="shared" si="233"/>
        <v>-1.3224049551473727</v>
      </c>
      <c r="AJ504" s="6" t="s">
        <v>6179</v>
      </c>
      <c r="AK504" s="6" t="str">
        <f t="shared" si="234"/>
        <v>=9.364*100000000</v>
      </c>
      <c r="AL504" s="1">
        <f>9.364*100000000</f>
        <v>936400000.00000012</v>
      </c>
      <c r="AM504" s="8">
        <f t="shared" si="235"/>
        <v>0.26046574236101777</v>
      </c>
      <c r="AN504" s="6" t="s">
        <v>6180</v>
      </c>
      <c r="AO504" s="6" t="str">
        <f t="shared" si="236"/>
        <v>=7.429*100000000</v>
      </c>
      <c r="AP504" s="1">
        <f>7.429*100000000</f>
        <v>742900000</v>
      </c>
      <c r="AQ504" s="8">
        <f t="shared" si="237"/>
        <v>0.30930560451180827</v>
      </c>
      <c r="AR504" s="6" t="s">
        <v>2561</v>
      </c>
      <c r="AS504" s="6" t="str">
        <f t="shared" si="238"/>
        <v>=5.674*100000000</v>
      </c>
      <c r="AT504" s="1">
        <f>5.674*100000000</f>
        <v>567400000</v>
      </c>
      <c r="AU504" s="8">
        <f t="shared" si="239"/>
        <v>1.0410071942446044</v>
      </c>
      <c r="AV504" s="6" t="s">
        <v>1678</v>
      </c>
      <c r="AW504" s="6" t="str">
        <f t="shared" si="240"/>
        <v>=2.780*100000000</v>
      </c>
      <c r="AX504" s="1">
        <f>2.78*100000000</f>
        <v>278000000</v>
      </c>
      <c r="AY504" s="10">
        <f t="shared" si="241"/>
        <v>-0.86818397344713139</v>
      </c>
      <c r="AZ504" s="6" t="s">
        <v>6181</v>
      </c>
      <c r="BA504" s="6" t="str">
        <f t="shared" si="242"/>
        <v>=21.09*100000000</v>
      </c>
      <c r="BB504" s="1">
        <f>21.09*100000000</f>
        <v>2109000000</v>
      </c>
      <c r="BC504" s="8">
        <f t="shared" si="243"/>
        <v>5.5555555555555552E-2</v>
      </c>
      <c r="BD504" s="6" t="s">
        <v>4540</v>
      </c>
      <c r="BE504" s="6" t="str">
        <f t="shared" si="244"/>
        <v>=19.98*100000000</v>
      </c>
      <c r="BF504" s="1">
        <f>19.98*100000000</f>
        <v>1998000000</v>
      </c>
      <c r="BG504" s="8">
        <f t="shared" si="245"/>
        <v>0.30502939255388634</v>
      </c>
      <c r="BH504" s="6" t="s">
        <v>6182</v>
      </c>
      <c r="BI504" s="6" t="str">
        <f t="shared" si="246"/>
        <v>=15.31*100000000</v>
      </c>
      <c r="BJ504" s="1">
        <f>15.31*100000000</f>
        <v>1531000000</v>
      </c>
      <c r="BK504" s="6" t="s">
        <v>1411</v>
      </c>
      <c r="BL504" s="1" t="str">
        <f t="shared" si="218"/>
        <v>=5.604*100000000</v>
      </c>
      <c r="BM504" s="16">
        <f t="shared" si="247"/>
        <v>1.7319771591720199</v>
      </c>
      <c r="BN504" s="1">
        <f>5.604*100000000</f>
        <v>560400000</v>
      </c>
    </row>
    <row r="505" spans="1:66">
      <c r="A505" s="19"/>
      <c r="B505">
        <v>600409</v>
      </c>
      <c r="C505" t="s">
        <v>68</v>
      </c>
      <c r="D505" s="6" t="s">
        <v>6183</v>
      </c>
      <c r="E505" s="7" t="str">
        <f t="shared" si="217"/>
        <v>=18.49*100000000</v>
      </c>
      <c r="F505" s="1">
        <f>18.49*100000000</f>
        <v>1848999999.9999998</v>
      </c>
      <c r="G505" s="8">
        <f t="shared" si="219"/>
        <v>0.13019559902200475</v>
      </c>
      <c r="H505" s="6" t="s">
        <v>6184</v>
      </c>
      <c r="I505" s="6" t="str">
        <f t="shared" si="220"/>
        <v>=16.36*100000000</v>
      </c>
      <c r="J505" s="1">
        <f>16.36*100000000</f>
        <v>1636000000</v>
      </c>
      <c r="K505" s="10">
        <f t="shared" si="221"/>
        <v>0.33224755700325731</v>
      </c>
      <c r="L505" s="6" t="s">
        <v>6185</v>
      </c>
      <c r="M505" s="6" t="str">
        <f t="shared" si="222"/>
        <v>=12.28*100000000</v>
      </c>
      <c r="N505" s="1">
        <f>12.28*100000000</f>
        <v>1228000000</v>
      </c>
      <c r="O505" s="8">
        <f t="shared" si="223"/>
        <v>1.0085050703303893</v>
      </c>
      <c r="P505" s="6" t="s">
        <v>6186</v>
      </c>
      <c r="Q505" s="6" t="str">
        <f t="shared" si="224"/>
        <v>=6.114*100000000</v>
      </c>
      <c r="R505" s="11">
        <f>6.114*100000000</f>
        <v>611400000</v>
      </c>
      <c r="S505" s="8">
        <f t="shared" si="225"/>
        <v>-0.18793996546686148</v>
      </c>
      <c r="T505" s="6" t="s">
        <v>6187</v>
      </c>
      <c r="U505" s="6" t="str">
        <f t="shared" si="226"/>
        <v>=7.529*100000000</v>
      </c>
      <c r="V505" s="1">
        <f>7.529*100000000</f>
        <v>752900000</v>
      </c>
      <c r="W505" s="8">
        <f t="shared" si="227"/>
        <v>23.413099870298314</v>
      </c>
      <c r="X505" s="7" t="s">
        <v>6188</v>
      </c>
      <c r="Y505" s="6" t="str">
        <f t="shared" si="228"/>
        <v>=3084*10000</v>
      </c>
      <c r="Z505" s="1">
        <f>3084*10000</f>
        <v>30840000</v>
      </c>
      <c r="AA505" s="8">
        <f t="shared" si="229"/>
        <v>-1.1048979591836734</v>
      </c>
      <c r="AB505" s="6">
        <f>-2.94*100000000</f>
        <v>-294000000</v>
      </c>
      <c r="AC505" s="6" t="str">
        <f t="shared" si="230"/>
        <v>=-294000000</v>
      </c>
      <c r="AD505" s="1">
        <f>-294000000</f>
        <v>-294000000</v>
      </c>
      <c r="AE505" s="8">
        <f t="shared" si="231"/>
        <v>0.28384279475982532</v>
      </c>
      <c r="AF505" s="6">
        <f>-2.29*100000000</f>
        <v>-229000000</v>
      </c>
      <c r="AG505" s="6" t="str">
        <f t="shared" si="232"/>
        <v>=-229000000</v>
      </c>
      <c r="AH505" s="1">
        <f>-229000000</f>
        <v>-229000000</v>
      </c>
      <c r="AI505" s="8">
        <f t="shared" si="233"/>
        <v>-1.3094594594594595</v>
      </c>
      <c r="AJ505" s="6" t="s">
        <v>6189</v>
      </c>
      <c r="AK505" s="6" t="str">
        <f t="shared" si="234"/>
        <v>=7.400*100000000</v>
      </c>
      <c r="AL505" s="1">
        <f>7.4*100000000</f>
        <v>740000000</v>
      </c>
      <c r="AM505" s="8">
        <f t="shared" si="235"/>
        <v>0.22618061309030654</v>
      </c>
      <c r="AN505" s="6" t="s">
        <v>6190</v>
      </c>
      <c r="AO505" s="6" t="str">
        <f t="shared" si="236"/>
        <v>=6.035*100000000</v>
      </c>
      <c r="AP505" s="1">
        <f>6.035*100000000</f>
        <v>603500000</v>
      </c>
      <c r="AQ505" s="8">
        <f t="shared" si="237"/>
        <v>0.32637362637362638</v>
      </c>
      <c r="AR505" s="6" t="s">
        <v>6191</v>
      </c>
      <c r="AS505" s="6" t="str">
        <f t="shared" si="238"/>
        <v>=4.550*100000000</v>
      </c>
      <c r="AT505" s="1">
        <f>4.55*100000000</f>
        <v>455000000</v>
      </c>
      <c r="AU505" s="8">
        <f t="shared" si="239"/>
        <v>1.0504731861198737</v>
      </c>
      <c r="AV505" s="6" t="s">
        <v>6192</v>
      </c>
      <c r="AW505" s="6" t="str">
        <f t="shared" si="240"/>
        <v>=2.219*100000000</v>
      </c>
      <c r="AX505" s="1">
        <f>2.219*100000000</f>
        <v>221900000</v>
      </c>
      <c r="AY505" s="10">
        <f t="shared" si="241"/>
        <v>-0.86962397179788486</v>
      </c>
      <c r="AZ505" s="6" t="s">
        <v>1806</v>
      </c>
      <c r="BA505" s="6" t="str">
        <f t="shared" si="242"/>
        <v>=17.02*100000000</v>
      </c>
      <c r="BB505" s="1">
        <f>17.02*100000000</f>
        <v>1702000000</v>
      </c>
      <c r="BC505" s="8">
        <f t="shared" si="243"/>
        <v>4.7384615384615386E-2</v>
      </c>
      <c r="BD505" s="6" t="s">
        <v>6193</v>
      </c>
      <c r="BE505" s="6" t="str">
        <f t="shared" si="244"/>
        <v>=16.25*100000000</v>
      </c>
      <c r="BF505" s="1">
        <f>16.25*100000000</f>
        <v>1625000000</v>
      </c>
      <c r="BG505" s="8">
        <f t="shared" si="245"/>
        <v>0.31260096930533116</v>
      </c>
      <c r="BH505" s="6" t="s">
        <v>6194</v>
      </c>
      <c r="BI505" s="6" t="str">
        <f t="shared" si="246"/>
        <v>=12.38*100000000</v>
      </c>
      <c r="BJ505" s="1">
        <f>12.38*100000000</f>
        <v>1238000000</v>
      </c>
      <c r="BK505" s="6" t="s">
        <v>6195</v>
      </c>
      <c r="BL505" s="1" t="str">
        <f t="shared" si="218"/>
        <v>=4.620*100000000</v>
      </c>
      <c r="BM505" s="16">
        <f t="shared" si="247"/>
        <v>1.6796536796536796</v>
      </c>
      <c r="BN505" s="1">
        <f>4.62*100000000</f>
        <v>462000000</v>
      </c>
    </row>
    <row r="506" spans="1:66">
      <c r="A506" s="17">
        <v>127</v>
      </c>
      <c r="B506">
        <v>600415</v>
      </c>
      <c r="C506" t="s">
        <v>31</v>
      </c>
      <c r="D506" s="6" t="s">
        <v>6196</v>
      </c>
      <c r="E506" s="7" t="str">
        <f t="shared" si="217"/>
        <v>=60.34*100000000</v>
      </c>
      <c r="F506" s="1">
        <f>60.34*100000000</f>
        <v>6034000000</v>
      </c>
      <c r="G506" s="8">
        <f t="shared" si="219"/>
        <v>0.46243334949103249</v>
      </c>
      <c r="H506" s="6" t="s">
        <v>6197</v>
      </c>
      <c r="I506" s="6" t="str">
        <f t="shared" si="220"/>
        <v>=41.26*100000000</v>
      </c>
      <c r="J506" s="1">
        <f>41.26*100000000</f>
        <v>4126000000</v>
      </c>
      <c r="K506" s="10">
        <f t="shared" si="221"/>
        <v>0.99035214664737092</v>
      </c>
      <c r="L506" s="6" t="s">
        <v>6198</v>
      </c>
      <c r="M506" s="6" t="str">
        <f t="shared" si="222"/>
        <v>=20.73*100000000</v>
      </c>
      <c r="N506" s="1">
        <f>20.73*100000000</f>
        <v>2073000000</v>
      </c>
      <c r="O506" s="8">
        <f t="shared" si="223"/>
        <v>1.6814124951493985</v>
      </c>
      <c r="P506" s="6" t="s">
        <v>6199</v>
      </c>
      <c r="Q506" s="6" t="str">
        <f t="shared" si="224"/>
        <v>=7.731*100000000</v>
      </c>
      <c r="R506" s="11">
        <f>7.731*100000000</f>
        <v>773100000</v>
      </c>
      <c r="S506" s="8">
        <f t="shared" si="225"/>
        <v>-0.79251207729468598</v>
      </c>
      <c r="T506" s="6" t="s">
        <v>1187</v>
      </c>
      <c r="U506" s="6" t="str">
        <f t="shared" si="226"/>
        <v>=37.26*100000000</v>
      </c>
      <c r="V506" s="1">
        <f>37.26*100000000</f>
        <v>3726000000</v>
      </c>
      <c r="W506" s="8">
        <f t="shared" si="227"/>
        <v>0.18098256735340729</v>
      </c>
      <c r="X506" s="6" t="s">
        <v>6200</v>
      </c>
      <c r="Y506" s="6" t="str">
        <f t="shared" si="228"/>
        <v>=31.55*100000000</v>
      </c>
      <c r="Z506" s="1">
        <f>31.55*100000000</f>
        <v>3155000000</v>
      </c>
      <c r="AA506" s="8">
        <f t="shared" si="229"/>
        <v>0.48750589344648748</v>
      </c>
      <c r="AB506" s="6" t="s">
        <v>1538</v>
      </c>
      <c r="AC506" s="6" t="str">
        <f t="shared" si="230"/>
        <v>=21.21*100000000</v>
      </c>
      <c r="AD506" s="1">
        <f>21.21*100000000</f>
        <v>2121000000</v>
      </c>
      <c r="AE506" s="8">
        <f t="shared" si="231"/>
        <v>1.8077839555202542</v>
      </c>
      <c r="AF506" s="6" t="s">
        <v>6201</v>
      </c>
      <c r="AG506" s="6" t="str">
        <f t="shared" si="232"/>
        <v>=7.554*100000000</v>
      </c>
      <c r="AH506" s="1">
        <f>7.554*100000000</f>
        <v>755400000</v>
      </c>
      <c r="AI506" s="8">
        <f t="shared" si="233"/>
        <v>-0.81315854563442991</v>
      </c>
      <c r="AJ506" s="6" t="s">
        <v>42</v>
      </c>
      <c r="AK506" s="6" t="str">
        <f t="shared" si="234"/>
        <v>=40.43*100000000</v>
      </c>
      <c r="AL506" s="1">
        <f>40.43*100000000</f>
        <v>4043000000</v>
      </c>
      <c r="AM506" s="8">
        <f t="shared" si="235"/>
        <v>0.30461439173927074</v>
      </c>
      <c r="AN506" s="6" t="s">
        <v>6202</v>
      </c>
      <c r="AO506" s="6" t="str">
        <f t="shared" si="236"/>
        <v>=30.99*100000000</v>
      </c>
      <c r="AP506" s="1">
        <f>30.99*100000000</f>
        <v>3099000000</v>
      </c>
      <c r="AQ506" s="8">
        <f t="shared" si="237"/>
        <v>0.71784922394678496</v>
      </c>
      <c r="AR506" s="6" t="s">
        <v>6203</v>
      </c>
      <c r="AS506" s="6" t="str">
        <f t="shared" si="238"/>
        <v>=18.04*100000000</v>
      </c>
      <c r="AT506" s="1">
        <f>18.04*100000000</f>
        <v>1804000000</v>
      </c>
      <c r="AU506" s="8">
        <f t="shared" si="239"/>
        <v>1.2566925193895422</v>
      </c>
      <c r="AV506" s="6" t="s">
        <v>5718</v>
      </c>
      <c r="AW506" s="6" t="str">
        <f t="shared" si="240"/>
        <v>=7.994*100000000</v>
      </c>
      <c r="AX506" s="1">
        <f>7.994*100000000</f>
        <v>799400000</v>
      </c>
      <c r="AY506" s="10">
        <f t="shared" si="241"/>
        <v>-0.77757373400111296</v>
      </c>
      <c r="AZ506" s="6" t="s">
        <v>6204</v>
      </c>
      <c r="BA506" s="6" t="str">
        <f t="shared" si="242"/>
        <v>=35.94*100000000</v>
      </c>
      <c r="BB506" s="1">
        <f>35.94*100000000</f>
        <v>3594000000</v>
      </c>
      <c r="BC506" s="8">
        <f t="shared" si="243"/>
        <v>0.37175572519083971</v>
      </c>
      <c r="BD506" s="6" t="s">
        <v>6205</v>
      </c>
      <c r="BE506" s="6" t="str">
        <f t="shared" si="244"/>
        <v>=26.20*100000000</v>
      </c>
      <c r="BF506" s="1">
        <f>26.2*100000000</f>
        <v>2620000000</v>
      </c>
      <c r="BG506" s="8">
        <f t="shared" si="245"/>
        <v>0.4467145223633352</v>
      </c>
      <c r="BH506" s="6" t="s">
        <v>3622</v>
      </c>
      <c r="BI506" s="6" t="str">
        <f t="shared" si="246"/>
        <v>=18.11*100000000</v>
      </c>
      <c r="BJ506" s="1">
        <f>18.11*100000000</f>
        <v>1811000000</v>
      </c>
      <c r="BK506" s="6" t="s">
        <v>6206</v>
      </c>
      <c r="BL506" s="1" t="str">
        <f t="shared" si="218"/>
        <v>=8.072*100000000</v>
      </c>
      <c r="BM506" s="16">
        <f t="shared" si="247"/>
        <v>1.2435579781962343</v>
      </c>
      <c r="BN506" s="1">
        <f>8.072*100000000</f>
        <v>807199999.99999988</v>
      </c>
    </row>
    <row r="507" spans="1:66">
      <c r="A507" s="18"/>
      <c r="B507">
        <v>600415</v>
      </c>
      <c r="C507" t="s">
        <v>48</v>
      </c>
      <c r="D507" s="6" t="s">
        <v>6207</v>
      </c>
      <c r="E507" s="7" t="str">
        <f t="shared" si="217"/>
        <v>=16.54*100000000</v>
      </c>
      <c r="F507" s="1">
        <f>16.54*100000000</f>
        <v>1654000000</v>
      </c>
      <c r="G507" s="8">
        <f t="shared" si="219"/>
        <v>0.10487641950567803</v>
      </c>
      <c r="H507" s="6" t="s">
        <v>1738</v>
      </c>
      <c r="I507" s="6" t="str">
        <f t="shared" si="220"/>
        <v>=14.97*100000000</v>
      </c>
      <c r="J507" s="1">
        <f>14.97*100000000</f>
        <v>1497000000</v>
      </c>
      <c r="K507" s="10">
        <f t="shared" si="221"/>
        <v>0.41226415094339625</v>
      </c>
      <c r="L507" s="6" t="s">
        <v>927</v>
      </c>
      <c r="M507" s="6" t="str">
        <f t="shared" si="222"/>
        <v>=10.60*100000000</v>
      </c>
      <c r="N507" s="1">
        <f>10.6*100000000</f>
        <v>1060000000</v>
      </c>
      <c r="O507" s="8">
        <f t="shared" si="223"/>
        <v>1.4760569960289653</v>
      </c>
      <c r="P507" s="6" t="s">
        <v>1441</v>
      </c>
      <c r="Q507" s="6" t="str">
        <f t="shared" si="224"/>
        <v>=4.281*100000000</v>
      </c>
      <c r="R507" s="11">
        <f>4.281*100000000</f>
        <v>428099999.99999994</v>
      </c>
      <c r="S507" s="8">
        <f t="shared" si="225"/>
        <v>-0.70353185595567869</v>
      </c>
      <c r="T507" s="6" t="s">
        <v>4234</v>
      </c>
      <c r="U507" s="6" t="str">
        <f t="shared" si="226"/>
        <v>=14.44*100000000</v>
      </c>
      <c r="V507" s="1">
        <f>14.44*100000000</f>
        <v>1444000000</v>
      </c>
      <c r="W507" s="8">
        <f t="shared" si="227"/>
        <v>-7.5544174135723438E-2</v>
      </c>
      <c r="X507" s="6" t="s">
        <v>1833</v>
      </c>
      <c r="Y507" s="6" t="str">
        <f t="shared" si="228"/>
        <v>=15.62*100000000</v>
      </c>
      <c r="Z507" s="1">
        <f>15.62*100000000</f>
        <v>1562000000</v>
      </c>
      <c r="AA507" s="8">
        <f t="shared" si="229"/>
        <v>0.56906077348066297</v>
      </c>
      <c r="AB507" s="6" t="s">
        <v>6208</v>
      </c>
      <c r="AC507" s="6" t="str">
        <f t="shared" si="230"/>
        <v>=9.955*100000000</v>
      </c>
      <c r="AD507" s="1">
        <f>9.955*100000000</f>
        <v>995500000</v>
      </c>
      <c r="AE507" s="8">
        <f t="shared" si="231"/>
        <v>1.7401596476740986</v>
      </c>
      <c r="AF507" s="6" t="s">
        <v>5770</v>
      </c>
      <c r="AG507" s="6" t="str">
        <f t="shared" si="232"/>
        <v>=3.633*100000000</v>
      </c>
      <c r="AH507" s="1">
        <f>3.633*100000000</f>
        <v>363300000</v>
      </c>
      <c r="AI507" s="8">
        <f t="shared" si="233"/>
        <v>-0.7773897058823529</v>
      </c>
      <c r="AJ507" s="6" t="s">
        <v>6209</v>
      </c>
      <c r="AK507" s="6" t="str">
        <f t="shared" si="234"/>
        <v>=16.32*100000000</v>
      </c>
      <c r="AL507" s="1">
        <f>16.32*100000000</f>
        <v>1632000000</v>
      </c>
      <c r="AM507" s="8">
        <f t="shared" si="235"/>
        <v>0.2</v>
      </c>
      <c r="AN507" s="6" t="s">
        <v>2141</v>
      </c>
      <c r="AO507" s="6" t="str">
        <f t="shared" si="236"/>
        <v>=13.60*100000000</v>
      </c>
      <c r="AP507" s="1">
        <f>13.6*100000000</f>
        <v>1360000000</v>
      </c>
      <c r="AQ507" s="8">
        <f t="shared" si="237"/>
        <v>0.5537529989717811</v>
      </c>
      <c r="AR507" s="6" t="s">
        <v>6210</v>
      </c>
      <c r="AS507" s="6" t="str">
        <f t="shared" si="238"/>
        <v>=8.753*100000000</v>
      </c>
      <c r="AT507" s="1">
        <f>8.753*100000000</f>
        <v>875300000</v>
      </c>
      <c r="AU507" s="8">
        <f t="shared" si="239"/>
        <v>2.0918403391027907</v>
      </c>
      <c r="AV507" s="6" t="s">
        <v>4394</v>
      </c>
      <c r="AW507" s="6" t="str">
        <f t="shared" si="240"/>
        <v>=2.831*100000000</v>
      </c>
      <c r="AX507" s="1">
        <f>2.831*100000000</f>
        <v>283100000</v>
      </c>
      <c r="AY507" s="10">
        <f t="shared" si="241"/>
        <v>-0.79455732946298985</v>
      </c>
      <c r="AZ507" s="6" t="s">
        <v>6211</v>
      </c>
      <c r="BA507" s="6" t="str">
        <f t="shared" si="242"/>
        <v>=13.78*100000000</v>
      </c>
      <c r="BB507" s="1">
        <f>13.78*100000000</f>
        <v>1378000000</v>
      </c>
      <c r="BC507" s="8">
        <f t="shared" si="243"/>
        <v>-0.14356743318831572</v>
      </c>
      <c r="BD507" s="6" t="s">
        <v>6212</v>
      </c>
      <c r="BE507" s="6" t="str">
        <f t="shared" si="244"/>
        <v>=16.09*100000000</v>
      </c>
      <c r="BF507" s="1">
        <f>16.09*100000000</f>
        <v>1609000000</v>
      </c>
      <c r="BG507" s="8">
        <f t="shared" si="245"/>
        <v>0.14113475177304965</v>
      </c>
      <c r="BH507" s="6" t="s">
        <v>6213</v>
      </c>
      <c r="BI507" s="6" t="str">
        <f t="shared" si="246"/>
        <v>=14.10*100000000</v>
      </c>
      <c r="BJ507" s="1">
        <f>14.1*100000000</f>
        <v>1410000000</v>
      </c>
      <c r="BK507" s="6" t="s">
        <v>6214</v>
      </c>
      <c r="BL507" s="1" t="str">
        <f t="shared" si="218"/>
        <v>=8.343*100000000</v>
      </c>
      <c r="BM507" s="16">
        <f t="shared" si="247"/>
        <v>0.69003955411722406</v>
      </c>
      <c r="BN507" s="1">
        <f>8.343*100000000</f>
        <v>834300000</v>
      </c>
    </row>
    <row r="508" spans="1:66">
      <c r="A508" s="18"/>
      <c r="B508">
        <v>600415</v>
      </c>
      <c r="C508" t="s">
        <v>58</v>
      </c>
      <c r="D508" s="6" t="s">
        <v>6215</v>
      </c>
      <c r="E508" s="7" t="str">
        <f t="shared" si="217"/>
        <v>=16.57*100000000</v>
      </c>
      <c r="F508" s="1">
        <f>16.57*100000000</f>
        <v>1657000000</v>
      </c>
      <c r="G508" s="8">
        <f t="shared" si="219"/>
        <v>0.10688042752171009</v>
      </c>
      <c r="H508" s="6" t="s">
        <v>1738</v>
      </c>
      <c r="I508" s="6" t="str">
        <f t="shared" si="220"/>
        <v>=14.97*100000000</v>
      </c>
      <c r="J508" s="1">
        <f>14.97*100000000</f>
        <v>1497000000</v>
      </c>
      <c r="K508" s="10">
        <f t="shared" si="221"/>
        <v>0.41226415094339625</v>
      </c>
      <c r="L508" s="6" t="s">
        <v>927</v>
      </c>
      <c r="M508" s="6" t="str">
        <f t="shared" si="222"/>
        <v>=10.60*100000000</v>
      </c>
      <c r="N508" s="1">
        <f>10.6*100000000</f>
        <v>1060000000</v>
      </c>
      <c r="O508" s="8">
        <f t="shared" si="223"/>
        <v>1.4679860302677532</v>
      </c>
      <c r="P508" s="6" t="s">
        <v>905</v>
      </c>
      <c r="Q508" s="6" t="str">
        <f t="shared" si="224"/>
        <v>=4.295*100000000</v>
      </c>
      <c r="R508" s="11">
        <f>4.295*100000000</f>
        <v>429500000</v>
      </c>
      <c r="S508" s="8">
        <f t="shared" si="225"/>
        <v>-0.6979606188466948</v>
      </c>
      <c r="T508" s="6" t="s">
        <v>4508</v>
      </c>
      <c r="U508" s="6" t="str">
        <f t="shared" si="226"/>
        <v>=14.22*100000000</v>
      </c>
      <c r="V508" s="1">
        <f>14.22*100000000</f>
        <v>1422000000</v>
      </c>
      <c r="W508" s="8">
        <f t="shared" si="227"/>
        <v>-9.1373801916932909E-2</v>
      </c>
      <c r="X508" s="6" t="s">
        <v>6112</v>
      </c>
      <c r="Y508" s="6" t="str">
        <f t="shared" si="228"/>
        <v>=15.65*100000000</v>
      </c>
      <c r="Z508" s="1">
        <f>15.65*100000000</f>
        <v>1565000000</v>
      </c>
      <c r="AA508" s="8">
        <f t="shared" si="229"/>
        <v>0.57603222557905343</v>
      </c>
      <c r="AB508" s="6" t="s">
        <v>6216</v>
      </c>
      <c r="AC508" s="6" t="str">
        <f t="shared" si="230"/>
        <v>=9.930*100000000</v>
      </c>
      <c r="AD508" s="1">
        <f>9.93*100000000</f>
        <v>993000000</v>
      </c>
      <c r="AE508" s="8">
        <f t="shared" si="231"/>
        <v>1.7355371900826446</v>
      </c>
      <c r="AF508" s="6" t="s">
        <v>6217</v>
      </c>
      <c r="AG508" s="6" t="str">
        <f t="shared" si="232"/>
        <v>=3.630*100000000</v>
      </c>
      <c r="AH508" s="1">
        <f>3.63*100000000</f>
        <v>363000000</v>
      </c>
      <c r="AI508" s="8">
        <f t="shared" si="233"/>
        <v>-0.77770973668095522</v>
      </c>
      <c r="AJ508" s="6" t="s">
        <v>6218</v>
      </c>
      <c r="AK508" s="6" t="str">
        <f t="shared" si="234"/>
        <v>=16.33*100000000</v>
      </c>
      <c r="AL508" s="1">
        <f>16.33*100000000</f>
        <v>1632999999.9999998</v>
      </c>
      <c r="AM508" s="8">
        <f t="shared" si="235"/>
        <v>0.16393442622950802</v>
      </c>
      <c r="AN508" s="6" t="s">
        <v>6219</v>
      </c>
      <c r="AO508" s="6" t="str">
        <f t="shared" si="236"/>
        <v>=14.03*100000000</v>
      </c>
      <c r="AP508" s="1">
        <f>14.03*100000000</f>
        <v>1403000000</v>
      </c>
      <c r="AQ508" s="8">
        <f t="shared" si="237"/>
        <v>0.60141536354297476</v>
      </c>
      <c r="AR508" s="6" t="s">
        <v>6220</v>
      </c>
      <c r="AS508" s="6" t="str">
        <f t="shared" si="238"/>
        <v>=8.761*100000000</v>
      </c>
      <c r="AT508" s="1">
        <f>8.761*100000000</f>
        <v>876099999.99999988</v>
      </c>
      <c r="AU508" s="8">
        <f t="shared" si="239"/>
        <v>2.0881212548466688</v>
      </c>
      <c r="AV508" s="6" t="s">
        <v>6221</v>
      </c>
      <c r="AW508" s="6" t="str">
        <f t="shared" si="240"/>
        <v>=2.837*100000000</v>
      </c>
      <c r="AX508" s="1">
        <f>2.837*100000000</f>
        <v>283700000</v>
      </c>
      <c r="AY508" s="10">
        <f t="shared" si="241"/>
        <v>-0.80021126760563377</v>
      </c>
      <c r="AZ508" s="6" t="s">
        <v>50</v>
      </c>
      <c r="BA508" s="6" t="str">
        <f t="shared" si="242"/>
        <v>=14.20*100000000</v>
      </c>
      <c r="BB508" s="1">
        <f>14.2*100000000</f>
        <v>1420000000</v>
      </c>
      <c r="BC508" s="8">
        <f t="shared" si="243"/>
        <v>-0.14251207729468587</v>
      </c>
      <c r="BD508" s="6" t="s">
        <v>5115</v>
      </c>
      <c r="BE508" s="6" t="str">
        <f t="shared" si="244"/>
        <v>=16.56*100000000</v>
      </c>
      <c r="BF508" s="1">
        <f>16.56*100000000</f>
        <v>1655999999.9999998</v>
      </c>
      <c r="BG508" s="8">
        <f t="shared" si="245"/>
        <v>0.13736263736263721</v>
      </c>
      <c r="BH508" s="6" t="s">
        <v>236</v>
      </c>
      <c r="BI508" s="6" t="str">
        <f t="shared" si="246"/>
        <v>=14.56*100000000</v>
      </c>
      <c r="BJ508" s="1">
        <f>14.56*100000000</f>
        <v>1456000000</v>
      </c>
      <c r="BK508" s="6" t="s">
        <v>4102</v>
      </c>
      <c r="BL508" s="1" t="str">
        <f t="shared" si="218"/>
        <v>=8.830*100000000</v>
      </c>
      <c r="BM508" s="16">
        <f t="shared" si="247"/>
        <v>0.64892412231030583</v>
      </c>
      <c r="BN508" s="1">
        <f>8.83*100000000</f>
        <v>883000000</v>
      </c>
    </row>
    <row r="509" spans="1:66">
      <c r="A509" s="19"/>
      <c r="B509">
        <v>600415</v>
      </c>
      <c r="C509" t="s">
        <v>68</v>
      </c>
      <c r="D509" s="6" t="s">
        <v>6222</v>
      </c>
      <c r="E509" s="7" t="str">
        <f t="shared" si="217"/>
        <v>=13.29*100000000</v>
      </c>
      <c r="F509" s="1">
        <f>13.29*100000000</f>
        <v>1329000000</v>
      </c>
      <c r="G509" s="8">
        <f t="shared" si="219"/>
        <v>0.10290456431535269</v>
      </c>
      <c r="H509" s="6" t="s">
        <v>4343</v>
      </c>
      <c r="I509" s="6" t="str">
        <f t="shared" si="220"/>
        <v>=12.05*100000000</v>
      </c>
      <c r="J509" s="1">
        <f>12.05*100000000</f>
        <v>1205000000</v>
      </c>
      <c r="K509" s="10">
        <f t="shared" si="221"/>
        <v>0.42233238904627007</v>
      </c>
      <c r="L509" s="6" t="s">
        <v>6223</v>
      </c>
      <c r="M509" s="6" t="str">
        <f t="shared" si="222"/>
        <v>=8.472*100000000</v>
      </c>
      <c r="N509" s="1">
        <f>8.472*100000000</f>
        <v>847200000</v>
      </c>
      <c r="O509" s="8">
        <f t="shared" si="223"/>
        <v>1.2592000000000001</v>
      </c>
      <c r="P509" s="6" t="s">
        <v>6224</v>
      </c>
      <c r="Q509" s="6" t="str">
        <f t="shared" si="224"/>
        <v>=3.750*100000000</v>
      </c>
      <c r="R509" s="11">
        <f>3.75*100000000</f>
        <v>375000000</v>
      </c>
      <c r="S509" s="8">
        <f t="shared" si="225"/>
        <v>-0.59318724235192011</v>
      </c>
      <c r="T509" s="6" t="s">
        <v>6225</v>
      </c>
      <c r="U509" s="6" t="str">
        <f t="shared" si="226"/>
        <v>=9.218*100000000</v>
      </c>
      <c r="V509" s="1">
        <f>9.218*100000000</f>
        <v>921800000</v>
      </c>
      <c r="W509" s="8">
        <f t="shared" si="227"/>
        <v>-0.16654611211573236</v>
      </c>
      <c r="X509" s="6" t="s">
        <v>3155</v>
      </c>
      <c r="Y509" s="6" t="str">
        <f t="shared" si="228"/>
        <v>=11.06*100000000</v>
      </c>
      <c r="Z509" s="1">
        <f>11.06*100000000</f>
        <v>1106000000</v>
      </c>
      <c r="AA509" s="8">
        <f t="shared" si="229"/>
        <v>0.53611111111111109</v>
      </c>
      <c r="AB509" s="6" t="s">
        <v>6226</v>
      </c>
      <c r="AC509" s="6" t="str">
        <f t="shared" si="230"/>
        <v>=7.200*100000000</v>
      </c>
      <c r="AD509" s="1">
        <f>7.2*100000000</f>
        <v>720000000</v>
      </c>
      <c r="AE509" s="8">
        <f t="shared" si="231"/>
        <v>1.7098231087692888</v>
      </c>
      <c r="AF509" s="6" t="s">
        <v>6227</v>
      </c>
      <c r="AG509" s="6" t="str">
        <f t="shared" si="232"/>
        <v>=2.657*100000000</v>
      </c>
      <c r="AH509" s="1">
        <f>2.657*100000000</f>
        <v>265700000</v>
      </c>
      <c r="AI509" s="8">
        <f t="shared" si="233"/>
        <v>-0.78726981585268219</v>
      </c>
      <c r="AJ509" s="6" t="s">
        <v>6228</v>
      </c>
      <c r="AK509" s="6" t="str">
        <f t="shared" si="234"/>
        <v>=12.49*100000000</v>
      </c>
      <c r="AL509" s="1">
        <f>12.49*100000000</f>
        <v>1249000000</v>
      </c>
      <c r="AM509" s="8">
        <f t="shared" si="235"/>
        <v>0.23175542406311636</v>
      </c>
      <c r="AN509" s="6" t="s">
        <v>4629</v>
      </c>
      <c r="AO509" s="6" t="str">
        <f t="shared" si="236"/>
        <v>=10.14*100000000</v>
      </c>
      <c r="AP509" s="1">
        <f>10.14*100000000</f>
        <v>1014000000</v>
      </c>
      <c r="AQ509" s="8">
        <f t="shared" si="237"/>
        <v>0.51546853982962193</v>
      </c>
      <c r="AR509" s="6" t="s">
        <v>6229</v>
      </c>
      <c r="AS509" s="6" t="str">
        <f t="shared" si="238"/>
        <v>=6.691*100000000</v>
      </c>
      <c r="AT509" s="1">
        <f>6.691*100000000</f>
        <v>669100000</v>
      </c>
      <c r="AU509" s="8">
        <f t="shared" si="239"/>
        <v>2.3438280859570213</v>
      </c>
      <c r="AV509" s="6" t="s">
        <v>6230</v>
      </c>
      <c r="AW509" s="6" t="str">
        <f t="shared" si="240"/>
        <v>=2.001*100000000</v>
      </c>
      <c r="AX509" s="1">
        <f>2.001*100000000</f>
        <v>200100000</v>
      </c>
      <c r="AY509" s="10">
        <f t="shared" si="241"/>
        <v>-0.8079654510556622</v>
      </c>
      <c r="AZ509" s="6" t="s">
        <v>1643</v>
      </c>
      <c r="BA509" s="6" t="str">
        <f t="shared" si="242"/>
        <v>=10.42*100000000</v>
      </c>
      <c r="BB509" s="1">
        <f>10.42*100000000</f>
        <v>1042000000</v>
      </c>
      <c r="BC509" s="8">
        <f t="shared" si="243"/>
        <v>-0.22928994082840237</v>
      </c>
      <c r="BD509" s="6" t="s">
        <v>897</v>
      </c>
      <c r="BE509" s="6" t="str">
        <f t="shared" si="244"/>
        <v>=13.52*100000000</v>
      </c>
      <c r="BF509" s="1">
        <f>13.52*100000000</f>
        <v>1352000000</v>
      </c>
      <c r="BG509" s="8">
        <f t="shared" si="245"/>
        <v>0.11735537190082644</v>
      </c>
      <c r="BH509" s="6" t="s">
        <v>733</v>
      </c>
      <c r="BI509" s="6" t="str">
        <f t="shared" si="246"/>
        <v>=12.10*100000000</v>
      </c>
      <c r="BJ509" s="1">
        <f>12.1*100000000</f>
        <v>1210000000</v>
      </c>
      <c r="BK509" s="6" t="s">
        <v>890</v>
      </c>
      <c r="BL509" s="1" t="str">
        <f t="shared" si="218"/>
        <v>=7.206*100000000</v>
      </c>
      <c r="BM509" s="16">
        <f t="shared" si="247"/>
        <v>0.67915625867332774</v>
      </c>
      <c r="BN509" s="1">
        <f>7.206*100000000</f>
        <v>720600000</v>
      </c>
    </row>
    <row r="510" spans="1:66">
      <c r="A510" s="17">
        <v>128</v>
      </c>
      <c r="B510">
        <v>600416</v>
      </c>
      <c r="C510" t="s">
        <v>31</v>
      </c>
      <c r="D510" s="6" t="s">
        <v>6231</v>
      </c>
      <c r="E510" s="7" t="str">
        <f t="shared" si="217"/>
        <v>=40.26*100000000</v>
      </c>
      <c r="F510" s="1">
        <f>40.26*100000000</f>
        <v>4026000000</v>
      </c>
      <c r="G510" s="8">
        <f t="shared" si="219"/>
        <v>0.33754152823920264</v>
      </c>
      <c r="H510" s="6" t="s">
        <v>6232</v>
      </c>
      <c r="I510" s="6" t="str">
        <f t="shared" si="220"/>
        <v>=30.10*100000000</v>
      </c>
      <c r="J510" s="1">
        <f>30.1*100000000</f>
        <v>3010000000</v>
      </c>
      <c r="K510" s="10">
        <f t="shared" si="221"/>
        <v>0.40195621797857478</v>
      </c>
      <c r="L510" s="6" t="s">
        <v>5720</v>
      </c>
      <c r="M510" s="6" t="str">
        <f t="shared" si="222"/>
        <v>=21.47*100000000</v>
      </c>
      <c r="N510" s="1">
        <f>21.47*100000000</f>
        <v>2147000000</v>
      </c>
      <c r="O510" s="8">
        <f t="shared" si="223"/>
        <v>0.84291845493562234</v>
      </c>
      <c r="P510" s="6" t="s">
        <v>6233</v>
      </c>
      <c r="Q510" s="6" t="str">
        <f t="shared" si="224"/>
        <v>=11.65*100000000</v>
      </c>
      <c r="R510" s="11">
        <f>11.65*100000000</f>
        <v>1165000000</v>
      </c>
      <c r="S510" s="8">
        <f t="shared" si="225"/>
        <v>-0.75191652470187398</v>
      </c>
      <c r="T510" s="6" t="s">
        <v>6234</v>
      </c>
      <c r="U510" s="6" t="str">
        <f t="shared" si="226"/>
        <v>=46.96*100000000</v>
      </c>
      <c r="V510" s="1">
        <f>46.96*100000000</f>
        <v>4696000000</v>
      </c>
      <c r="W510" s="8">
        <f t="shared" si="227"/>
        <v>0.24694636218799804</v>
      </c>
      <c r="X510" s="6" t="s">
        <v>6235</v>
      </c>
      <c r="Y510" s="6" t="str">
        <f t="shared" si="228"/>
        <v>=37.66*100000000</v>
      </c>
      <c r="Z510" s="1">
        <f>37.66*100000000</f>
        <v>3765999999.9999995</v>
      </c>
      <c r="AA510" s="8">
        <f t="shared" si="229"/>
        <v>0.6324230602514086</v>
      </c>
      <c r="AB510" s="6" t="s">
        <v>6236</v>
      </c>
      <c r="AC510" s="6" t="str">
        <f t="shared" si="230"/>
        <v>=23.07*100000000</v>
      </c>
      <c r="AD510" s="1">
        <f>23.07*100000000</f>
        <v>2307000000</v>
      </c>
      <c r="AE510" s="8">
        <f t="shared" si="231"/>
        <v>1.7102913533834587</v>
      </c>
      <c r="AF510" s="6" t="s">
        <v>6237</v>
      </c>
      <c r="AG510" s="6" t="str">
        <f t="shared" si="232"/>
        <v>=8.512*100000000</v>
      </c>
      <c r="AH510" s="1">
        <f>8.512*100000000</f>
        <v>851200000</v>
      </c>
      <c r="AI510" s="8">
        <f t="shared" si="233"/>
        <v>-0.83646493756003848</v>
      </c>
      <c r="AJ510" s="6" t="s">
        <v>6238</v>
      </c>
      <c r="AK510" s="6" t="str">
        <f t="shared" si="234"/>
        <v>=52.05*100000000</v>
      </c>
      <c r="AL510" s="1">
        <f>52.05*100000000</f>
        <v>5205000000</v>
      </c>
      <c r="AM510" s="8">
        <f t="shared" si="235"/>
        <v>0.2392857142857143</v>
      </c>
      <c r="AN510" s="6" t="s">
        <v>6239</v>
      </c>
      <c r="AO510" s="6" t="str">
        <f t="shared" si="236"/>
        <v>=42.00*100000000</v>
      </c>
      <c r="AP510" s="1">
        <f>42*100000000</f>
        <v>4200000000</v>
      </c>
      <c r="AQ510" s="8">
        <f t="shared" si="237"/>
        <v>0.30111524163568776</v>
      </c>
      <c r="AR510" s="6" t="s">
        <v>6240</v>
      </c>
      <c r="AS510" s="6" t="str">
        <f t="shared" si="238"/>
        <v>=32.28*100000000</v>
      </c>
      <c r="AT510" s="1">
        <f>32.28*100000000</f>
        <v>3228000000</v>
      </c>
      <c r="AU510" s="8">
        <f t="shared" si="239"/>
        <v>1.1405835543766578</v>
      </c>
      <c r="AV510" s="6" t="s">
        <v>1962</v>
      </c>
      <c r="AW510" s="6" t="str">
        <f t="shared" si="240"/>
        <v>=15.08*100000000</v>
      </c>
      <c r="AX510" s="1">
        <f>15.08*100000000</f>
        <v>1508000000</v>
      </c>
      <c r="AY510" s="10">
        <f t="shared" si="241"/>
        <v>-0.75673495725116957</v>
      </c>
      <c r="AZ510" s="6" t="s">
        <v>6241</v>
      </c>
      <c r="BA510" s="6" t="str">
        <f t="shared" si="242"/>
        <v>=61.99*100000000</v>
      </c>
      <c r="BB510" s="1">
        <f>61.99*100000000</f>
        <v>6199000000</v>
      </c>
      <c r="BC510" s="8">
        <f t="shared" si="243"/>
        <v>0.3702475685234306</v>
      </c>
      <c r="BD510" s="6" t="s">
        <v>6242</v>
      </c>
      <c r="BE510" s="6" t="str">
        <f t="shared" si="244"/>
        <v>=45.24*100000000</v>
      </c>
      <c r="BF510" s="1">
        <f>45.24*100000000</f>
        <v>4524000000</v>
      </c>
      <c r="BG510" s="8">
        <f t="shared" si="245"/>
        <v>0.5991516436903499</v>
      </c>
      <c r="BH510" s="6" t="s">
        <v>6243</v>
      </c>
      <c r="BI510" s="6" t="str">
        <f t="shared" si="246"/>
        <v>=28.29*100000000</v>
      </c>
      <c r="BJ510" s="1">
        <f>28.29*100000000</f>
        <v>2829000000</v>
      </c>
      <c r="BK510" s="6" t="s">
        <v>6244</v>
      </c>
      <c r="BL510" s="1" t="str">
        <f t="shared" si="218"/>
        <v>=9.736*100000000</v>
      </c>
      <c r="BM510" s="16">
        <f t="shared" si="247"/>
        <v>1.9057107641741986</v>
      </c>
      <c r="BN510" s="1">
        <f>9.736*100000000</f>
        <v>973600000.00000012</v>
      </c>
    </row>
    <row r="511" spans="1:66">
      <c r="A511" s="18"/>
      <c r="B511">
        <v>600416</v>
      </c>
      <c r="C511" t="s">
        <v>48</v>
      </c>
      <c r="D511" s="6" t="s">
        <v>4597</v>
      </c>
      <c r="E511" s="7" t="str">
        <f t="shared" si="217"/>
        <v>=1.471*100000000</v>
      </c>
      <c r="F511" s="1">
        <f>1.471*100000000</f>
        <v>147100000</v>
      </c>
      <c r="G511" s="8">
        <f t="shared" si="219"/>
        <v>0.30407801418439734</v>
      </c>
      <c r="H511" s="6" t="s">
        <v>6245</v>
      </c>
      <c r="I511" s="6" t="str">
        <f t="shared" si="220"/>
        <v>=1.128*100000000</v>
      </c>
      <c r="J511" s="1">
        <f>1.128*100000000</f>
        <v>112799999.99999999</v>
      </c>
      <c r="K511" s="10">
        <f t="shared" si="221"/>
        <v>0.41993957703927476</v>
      </c>
      <c r="L511" s="7" t="s">
        <v>6246</v>
      </c>
      <c r="M511" s="6" t="str">
        <f t="shared" si="222"/>
        <v>=7944*10000</v>
      </c>
      <c r="N511" s="1">
        <f>7944*10000</f>
        <v>79440000</v>
      </c>
      <c r="O511" s="8">
        <f t="shared" si="223"/>
        <v>0.41051136363636365</v>
      </c>
      <c r="P511" s="7" t="s">
        <v>6247</v>
      </c>
      <c r="Q511" s="6" t="str">
        <f t="shared" si="224"/>
        <v>=5632*10000</v>
      </c>
      <c r="R511" s="11">
        <f>5632*10000</f>
        <v>56320000</v>
      </c>
      <c r="S511" s="8">
        <f t="shared" si="225"/>
        <v>-0.22188449848024316</v>
      </c>
      <c r="T511" s="7" t="s">
        <v>6248</v>
      </c>
      <c r="U511" s="6" t="str">
        <f t="shared" si="226"/>
        <v>=7238*10000</v>
      </c>
      <c r="V511" s="1">
        <f>7238*10000</f>
        <v>72380000</v>
      </c>
      <c r="W511" s="8">
        <f t="shared" si="227"/>
        <v>-0.56891006551518764</v>
      </c>
      <c r="X511" s="6" t="s">
        <v>6249</v>
      </c>
      <c r="Y511" s="6" t="str">
        <f t="shared" si="228"/>
        <v>=1.679*100000000</v>
      </c>
      <c r="Z511" s="1">
        <f>1.679*100000000</f>
        <v>167900000</v>
      </c>
      <c r="AA511" s="8">
        <f t="shared" si="229"/>
        <v>-2.200142959256612</v>
      </c>
      <c r="AB511" s="6">
        <f>-1.399*100000000</f>
        <v>-139900000</v>
      </c>
      <c r="AC511" s="6" t="str">
        <f t="shared" si="230"/>
        <v>=-139900000</v>
      </c>
      <c r="AD511" s="1">
        <f>-139900000</f>
        <v>-139900000</v>
      </c>
      <c r="AE511" s="8">
        <f t="shared" si="231"/>
        <v>2.1151191271431751</v>
      </c>
      <c r="AF511" s="7">
        <f>-4491*10000</f>
        <v>-44910000</v>
      </c>
      <c r="AG511" s="6" t="str">
        <f t="shared" si="232"/>
        <v>=-44910000</v>
      </c>
      <c r="AH511" s="1">
        <f>-44910000</f>
        <v>-44910000</v>
      </c>
      <c r="AI511" s="8">
        <f t="shared" si="233"/>
        <v>-0.96832863187588147</v>
      </c>
      <c r="AJ511" s="6">
        <f>-14.18*100000000</f>
        <v>-1418000000</v>
      </c>
      <c r="AK511" s="6" t="str">
        <f t="shared" si="234"/>
        <v>=-1418000000</v>
      </c>
      <c r="AL511" s="1">
        <f>-1418000000</f>
        <v>-1418000000</v>
      </c>
      <c r="AM511" s="8">
        <f t="shared" si="235"/>
        <v>1.5805277525022747</v>
      </c>
      <c r="AN511" s="6">
        <f>-5.495*100000000</f>
        <v>-549500000</v>
      </c>
      <c r="AO511" s="6" t="str">
        <f t="shared" si="236"/>
        <v>=-549500000</v>
      </c>
      <c r="AP511" s="1">
        <f>-549500000</f>
        <v>-549500000</v>
      </c>
      <c r="AQ511" s="8">
        <f t="shared" si="237"/>
        <v>1.7082306554953179</v>
      </c>
      <c r="AR511" s="6">
        <f>-2.029*100000000</f>
        <v>-202900000</v>
      </c>
      <c r="AS511" s="6" t="str">
        <f t="shared" si="238"/>
        <v>=-202900000</v>
      </c>
      <c r="AT511" s="1">
        <f>-202900000</f>
        <v>-202900000</v>
      </c>
      <c r="AU511" s="8">
        <f t="shared" si="239"/>
        <v>0.6115965051628276</v>
      </c>
      <c r="AV511" s="6">
        <f>-1.259*100000000</f>
        <v>-125899999.99999999</v>
      </c>
      <c r="AW511" s="6" t="str">
        <f t="shared" si="240"/>
        <v>=-125900000</v>
      </c>
      <c r="AX511" s="1">
        <f>-125900000</f>
        <v>-125900000</v>
      </c>
      <c r="AY511" s="10">
        <f t="shared" si="241"/>
        <v>-0.93679718875502005</v>
      </c>
      <c r="AZ511" s="6">
        <f>-19.92*100000000</f>
        <v>-1992000000.0000002</v>
      </c>
      <c r="BA511" s="6" t="str">
        <f t="shared" si="242"/>
        <v>=-1992000000</v>
      </c>
      <c r="BB511" s="1">
        <f>-1992000000</f>
        <v>-1992000000</v>
      </c>
      <c r="BC511" s="8">
        <f t="shared" si="243"/>
        <v>3.3983219253698387</v>
      </c>
      <c r="BD511" s="6">
        <f>-4.529*100000000</f>
        <v>-452900000</v>
      </c>
      <c r="BE511" s="6" t="str">
        <f t="shared" si="244"/>
        <v>=-452900000</v>
      </c>
      <c r="BF511" s="1">
        <f>-452900000</f>
        <v>-452900000</v>
      </c>
      <c r="BG511" s="8">
        <f t="shared" si="245"/>
        <v>1.1701006229036894</v>
      </c>
      <c r="BH511" s="6">
        <f>-2.087*100000000</f>
        <v>-208700000.00000003</v>
      </c>
      <c r="BI511" s="6" t="str">
        <f t="shared" si="246"/>
        <v>=-208700000</v>
      </c>
      <c r="BJ511" s="1">
        <f>-208700000</f>
        <v>-208700000</v>
      </c>
      <c r="BK511" s="6">
        <f>-1.936*100000000</f>
        <v>-193600000</v>
      </c>
      <c r="BL511" s="1" t="str">
        <f t="shared" si="218"/>
        <v>=-193600000</v>
      </c>
      <c r="BM511" s="16">
        <f t="shared" si="247"/>
        <v>7.7995867768595045E-2</v>
      </c>
      <c r="BN511" s="1">
        <f>-193600000</f>
        <v>-193600000</v>
      </c>
    </row>
    <row r="512" spans="1:66">
      <c r="A512" s="18"/>
      <c r="B512">
        <v>600416</v>
      </c>
      <c r="C512" t="s">
        <v>58</v>
      </c>
      <c r="D512" s="6" t="s">
        <v>6250</v>
      </c>
      <c r="E512" s="7" t="str">
        <f t="shared" si="217"/>
        <v>=1.431*100000000</v>
      </c>
      <c r="F512" s="1">
        <f>1.431*100000000</f>
        <v>143100000</v>
      </c>
      <c r="G512" s="8">
        <f t="shared" si="219"/>
        <v>0.12677165354330708</v>
      </c>
      <c r="H512" s="6" t="s">
        <v>6251</v>
      </c>
      <c r="I512" s="6" t="str">
        <f t="shared" si="220"/>
        <v>=1.270*100000000</v>
      </c>
      <c r="J512" s="1">
        <f>1.27*100000000</f>
        <v>127000000</v>
      </c>
      <c r="K512" s="10">
        <f t="shared" si="221"/>
        <v>0.34690847385724893</v>
      </c>
      <c r="L512" s="7" t="s">
        <v>6252</v>
      </c>
      <c r="M512" s="6" t="str">
        <f t="shared" si="222"/>
        <v>=9429*10000</v>
      </c>
      <c r="N512" s="1">
        <f>9429*10000</f>
        <v>94290000</v>
      </c>
      <c r="O512" s="8">
        <f t="shared" si="223"/>
        <v>0.68134807417974319</v>
      </c>
      <c r="P512" s="7" t="s">
        <v>6253</v>
      </c>
      <c r="Q512" s="6" t="str">
        <f t="shared" si="224"/>
        <v>=5608*10000</v>
      </c>
      <c r="R512" s="11">
        <f>5608*10000</f>
        <v>56080000</v>
      </c>
      <c r="S512" s="8">
        <f t="shared" si="225"/>
        <v>-0.60142146410803132</v>
      </c>
      <c r="T512" s="6" t="s">
        <v>2210</v>
      </c>
      <c r="U512" s="6" t="str">
        <f t="shared" si="226"/>
        <v>=1.407*100000000</v>
      </c>
      <c r="V512" s="1">
        <f>1.407*100000000</f>
        <v>140700000</v>
      </c>
      <c r="W512" s="8">
        <f t="shared" si="227"/>
        <v>-0.1728395061728395</v>
      </c>
      <c r="X512" s="6" t="s">
        <v>5781</v>
      </c>
      <c r="Y512" s="6" t="str">
        <f t="shared" si="228"/>
        <v>=1.701*100000000</v>
      </c>
      <c r="Z512" s="1">
        <f>1.701*100000000</f>
        <v>170100000</v>
      </c>
      <c r="AA512" s="8">
        <f t="shared" si="229"/>
        <v>-2.2228612508986343</v>
      </c>
      <c r="AB512" s="6">
        <f>-1.391*100000000</f>
        <v>-139100000</v>
      </c>
      <c r="AC512" s="6" t="str">
        <f t="shared" si="230"/>
        <v>=-139100000</v>
      </c>
      <c r="AD512" s="1">
        <f>-139100000</f>
        <v>-139100000</v>
      </c>
      <c r="AE512" s="8">
        <f t="shared" si="231"/>
        <v>2.1042178085248828</v>
      </c>
      <c r="AF512" s="7">
        <f>-4481*10000</f>
        <v>-44810000</v>
      </c>
      <c r="AG512" s="6" t="str">
        <f t="shared" si="232"/>
        <v>=-44810000</v>
      </c>
      <c r="AH512" s="1">
        <f>-44810000</f>
        <v>-44810000</v>
      </c>
      <c r="AI512" s="8">
        <f t="shared" si="233"/>
        <v>-0.97145859872611462</v>
      </c>
      <c r="AJ512" s="6">
        <f>-15.7*100000000</f>
        <v>-1570000000</v>
      </c>
      <c r="AK512" s="6" t="str">
        <f t="shared" si="234"/>
        <v>=-1570000000</v>
      </c>
      <c r="AL512" s="1">
        <f>-1570000000</f>
        <v>-1570000000</v>
      </c>
      <c r="AM512" s="8">
        <f t="shared" si="235"/>
        <v>0.78754411932141632</v>
      </c>
      <c r="AN512" s="6">
        <f>-8.783*100000000</f>
        <v>-878300000</v>
      </c>
      <c r="AO512" s="6" t="str">
        <f t="shared" si="236"/>
        <v>=-878300000</v>
      </c>
      <c r="AP512" s="1">
        <f>-878300000</f>
        <v>-878300000</v>
      </c>
      <c r="AQ512" s="8">
        <f t="shared" si="237"/>
        <v>0.52191994455033786</v>
      </c>
      <c r="AR512" s="6">
        <f>-5.771*100000000</f>
        <v>-577100000</v>
      </c>
      <c r="AS512" s="6" t="str">
        <f t="shared" si="238"/>
        <v>=-577100000</v>
      </c>
      <c r="AT512" s="1">
        <f>-577100000</f>
        <v>-577100000</v>
      </c>
      <c r="AU512" s="8">
        <f t="shared" si="239"/>
        <v>3.5947452229299364</v>
      </c>
      <c r="AV512" s="6">
        <f>-1.256*100000000</f>
        <v>-125600000</v>
      </c>
      <c r="AW512" s="6" t="str">
        <f t="shared" si="240"/>
        <v>=-125600000</v>
      </c>
      <c r="AX512" s="1">
        <f>-125600000</f>
        <v>-125600000</v>
      </c>
      <c r="AY512" s="10">
        <f t="shared" si="241"/>
        <v>-0.9383406971035837</v>
      </c>
      <c r="AZ512" s="6">
        <f>-20.37*100000000</f>
        <v>-2037000000</v>
      </c>
      <c r="BA512" s="6" t="str">
        <f t="shared" si="242"/>
        <v>=-2037000000</v>
      </c>
      <c r="BB512" s="1">
        <f>-2037000000</f>
        <v>-2037000000</v>
      </c>
      <c r="BC512" s="8">
        <f t="shared" si="243"/>
        <v>3.5418060200668897</v>
      </c>
      <c r="BD512" s="6">
        <f>-4.485*100000000</f>
        <v>-448500000.00000006</v>
      </c>
      <c r="BE512" s="6" t="str">
        <f t="shared" si="244"/>
        <v>=-448500000</v>
      </c>
      <c r="BF512" s="1">
        <f>-448500000</f>
        <v>-448500000</v>
      </c>
      <c r="BG512" s="8">
        <f t="shared" si="245"/>
        <v>1.1357142857142857</v>
      </c>
      <c r="BH512" s="6">
        <f>-2.1*100000000</f>
        <v>-210000000</v>
      </c>
      <c r="BI512" s="6" t="str">
        <f t="shared" si="246"/>
        <v>=-210000000</v>
      </c>
      <c r="BJ512" s="1">
        <f>-210000000</f>
        <v>-210000000</v>
      </c>
      <c r="BK512" s="6">
        <f>-1.935*100000000</f>
        <v>-193500000</v>
      </c>
      <c r="BL512" s="1" t="str">
        <f t="shared" si="218"/>
        <v>=-193500000</v>
      </c>
      <c r="BM512" s="16">
        <f t="shared" si="247"/>
        <v>8.5271317829457363E-2</v>
      </c>
      <c r="BN512" s="1">
        <f>-193500000</f>
        <v>-193500000</v>
      </c>
    </row>
    <row r="513" spans="1:66">
      <c r="A513" s="19"/>
      <c r="B513">
        <v>600416</v>
      </c>
      <c r="C513" t="s">
        <v>68</v>
      </c>
      <c r="D513" s="6" t="s">
        <v>2545</v>
      </c>
      <c r="E513" s="7" t="str">
        <f t="shared" si="217"/>
        <v>=1.172*100000000</v>
      </c>
      <c r="F513" s="1">
        <f>1.172*100000000</f>
        <v>117200000</v>
      </c>
      <c r="G513" s="8">
        <f t="shared" si="219"/>
        <v>7.7205882352941027E-2</v>
      </c>
      <c r="H513" s="6" t="s">
        <v>6254</v>
      </c>
      <c r="I513" s="6" t="str">
        <f t="shared" si="220"/>
        <v>=1.088*100000000</v>
      </c>
      <c r="J513" s="1">
        <f>1.088*100000000</f>
        <v>108800000.00000001</v>
      </c>
      <c r="K513" s="10">
        <f t="shared" si="221"/>
        <v>0.35037855281122027</v>
      </c>
      <c r="L513" s="7" t="s">
        <v>6255</v>
      </c>
      <c r="M513" s="6" t="str">
        <f t="shared" si="222"/>
        <v>=8057*10000</v>
      </c>
      <c r="N513" s="1">
        <f>8057*10000</f>
        <v>80570000</v>
      </c>
      <c r="O513" s="8">
        <f t="shared" si="223"/>
        <v>0.74810154046430899</v>
      </c>
      <c r="P513" s="7" t="s">
        <v>6256</v>
      </c>
      <c r="Q513" s="6" t="str">
        <f t="shared" si="224"/>
        <v>=4609*10000</v>
      </c>
      <c r="R513" s="11">
        <f>4609*10000</f>
        <v>46090000</v>
      </c>
      <c r="S513" s="8">
        <f t="shared" si="225"/>
        <v>-0.56104761904761902</v>
      </c>
      <c r="T513" s="6" t="s">
        <v>2241</v>
      </c>
      <c r="U513" s="6" t="str">
        <f t="shared" si="226"/>
        <v>=1.050*100000000</v>
      </c>
      <c r="V513" s="1">
        <f>1.05*100000000</f>
        <v>105000000</v>
      </c>
      <c r="W513" s="8">
        <f t="shared" si="227"/>
        <v>-0.17387883556254907</v>
      </c>
      <c r="X513" s="6" t="s">
        <v>6257</v>
      </c>
      <c r="Y513" s="6" t="str">
        <f t="shared" si="228"/>
        <v>=1.271*100000000</v>
      </c>
      <c r="Z513" s="1">
        <f>1.271*100000000</f>
        <v>127099999.99999999</v>
      </c>
      <c r="AA513" s="8">
        <f t="shared" si="229"/>
        <v>-1.7579010137149671</v>
      </c>
      <c r="AB513" s="6">
        <f>-1.677*100000000</f>
        <v>-167700000</v>
      </c>
      <c r="AC513" s="6" t="str">
        <f t="shared" si="230"/>
        <v>=-167700000</v>
      </c>
      <c r="AD513" s="1">
        <f>-167700000</f>
        <v>-167700000</v>
      </c>
      <c r="AE513" s="8">
        <f t="shared" si="231"/>
        <v>2.0276223144972016</v>
      </c>
      <c r="AF513" s="7">
        <f>-5539*10000</f>
        <v>-55390000</v>
      </c>
      <c r="AG513" s="6" t="str">
        <f t="shared" si="232"/>
        <v>=-55390000</v>
      </c>
      <c r="AH513" s="1">
        <f>-55390000</f>
        <v>-55390000</v>
      </c>
      <c r="AI513" s="8">
        <f t="shared" si="233"/>
        <v>-0.96498735777496836</v>
      </c>
      <c r="AJ513" s="6">
        <f>-15.82*100000000</f>
        <v>-1582000000</v>
      </c>
      <c r="AK513" s="6" t="str">
        <f t="shared" si="234"/>
        <v>=-1582000000</v>
      </c>
      <c r="AL513" s="1">
        <f>-1582000000</f>
        <v>-1582000000</v>
      </c>
      <c r="AM513" s="8">
        <f t="shared" si="235"/>
        <v>0.76483712628290945</v>
      </c>
      <c r="AN513" s="6">
        <f>-8.964*100000000</f>
        <v>-896400000</v>
      </c>
      <c r="AO513" s="6" t="str">
        <f t="shared" si="236"/>
        <v>=-896400000</v>
      </c>
      <c r="AP513" s="1">
        <f>-896400000</f>
        <v>-896400000</v>
      </c>
      <c r="AQ513" s="8">
        <f t="shared" si="237"/>
        <v>0.51393345718628614</v>
      </c>
      <c r="AR513" s="6">
        <f>-5.921*100000000</f>
        <v>-592100000</v>
      </c>
      <c r="AS513" s="6" t="str">
        <f t="shared" si="238"/>
        <v>=-592100000</v>
      </c>
      <c r="AT513" s="1">
        <f>-592100000</f>
        <v>-592100000</v>
      </c>
      <c r="AU513" s="8">
        <f t="shared" si="239"/>
        <v>3.4992401215805473</v>
      </c>
      <c r="AV513" s="6">
        <f>-1.316*100000000</f>
        <v>-131600000</v>
      </c>
      <c r="AW513" s="6" t="str">
        <f t="shared" si="240"/>
        <v>=-131600000</v>
      </c>
      <c r="AX513" s="1">
        <f>-131600000</f>
        <v>-131600000</v>
      </c>
      <c r="AY513" s="10">
        <f t="shared" si="241"/>
        <v>-0.93383609854198091</v>
      </c>
      <c r="AZ513" s="6">
        <f>-19.89*100000000</f>
        <v>-1989000000</v>
      </c>
      <c r="BA513" s="6" t="str">
        <f t="shared" si="242"/>
        <v>=-1989000000</v>
      </c>
      <c r="BB513" s="1">
        <f>-1989000000</f>
        <v>-1989000000</v>
      </c>
      <c r="BC513" s="8">
        <f t="shared" si="243"/>
        <v>3.4516562220232765</v>
      </c>
      <c r="BD513" s="6">
        <f>-4.468*100000000</f>
        <v>-446800000</v>
      </c>
      <c r="BE513" s="6" t="str">
        <f t="shared" si="244"/>
        <v>=-446800000</v>
      </c>
      <c r="BF513" s="1">
        <f>-446800000</f>
        <v>-446800000</v>
      </c>
      <c r="BG513" s="8">
        <f t="shared" si="245"/>
        <v>1.0551977920883164</v>
      </c>
      <c r="BH513" s="6">
        <f>-2.174*100000000</f>
        <v>-217400000</v>
      </c>
      <c r="BI513" s="6" t="str">
        <f t="shared" si="246"/>
        <v>=-217400000</v>
      </c>
      <c r="BJ513" s="1">
        <f>-217400000</f>
        <v>-217400000</v>
      </c>
      <c r="BK513" s="6">
        <f>-1.936*100000000</f>
        <v>-193600000</v>
      </c>
      <c r="BL513" s="1" t="str">
        <f t="shared" si="218"/>
        <v>=-193600000</v>
      </c>
      <c r="BM513" s="16">
        <f t="shared" si="247"/>
        <v>0.12293388429752067</v>
      </c>
      <c r="BN513" s="1">
        <f>-193600000</f>
        <v>-193600000</v>
      </c>
    </row>
    <row r="514" spans="1:66">
      <c r="A514" s="17">
        <v>129</v>
      </c>
      <c r="B514">
        <v>600418</v>
      </c>
      <c r="C514" t="s">
        <v>31</v>
      </c>
      <c r="D514" s="6" t="s">
        <v>6258</v>
      </c>
      <c r="E514" s="7" t="str">
        <f t="shared" ref="E514:E577" si="248">"="&amp;D514</f>
        <v>=402.1*100000000</v>
      </c>
      <c r="F514" s="1">
        <f>402.1*100000000</f>
        <v>40210000000</v>
      </c>
      <c r="G514" s="8">
        <f t="shared" si="219"/>
        <v>0.30849332899446796</v>
      </c>
      <c r="H514" s="6" t="s">
        <v>6259</v>
      </c>
      <c r="I514" s="6" t="str">
        <f t="shared" si="220"/>
        <v>=307.3*100000000</v>
      </c>
      <c r="J514" s="1">
        <f>307.3*100000000</f>
        <v>30730000000</v>
      </c>
      <c r="K514" s="10">
        <f t="shared" si="221"/>
        <v>0.37310098302055406</v>
      </c>
      <c r="L514" s="6" t="s">
        <v>6260</v>
      </c>
      <c r="M514" s="6" t="str">
        <f t="shared" si="222"/>
        <v>=223.8*100000000</v>
      </c>
      <c r="N514" s="1">
        <f>223.8*100000000</f>
        <v>22380000000</v>
      </c>
      <c r="O514" s="8">
        <f t="shared" si="223"/>
        <v>0.91609589041095896</v>
      </c>
      <c r="P514" s="6" t="s">
        <v>6261</v>
      </c>
      <c r="Q514" s="6" t="str">
        <f t="shared" si="224"/>
        <v>=116.8*100000000</v>
      </c>
      <c r="R514" s="11">
        <f>116.8*100000000</f>
        <v>11680000000</v>
      </c>
      <c r="S514" s="8">
        <f t="shared" si="225"/>
        <v>-0.72729395283679665</v>
      </c>
      <c r="T514" s="6" t="s">
        <v>6262</v>
      </c>
      <c r="U514" s="6" t="str">
        <f t="shared" si="226"/>
        <v>=428.3*100000000</v>
      </c>
      <c r="V514" s="1">
        <f>428.3*100000000</f>
        <v>42830000000</v>
      </c>
      <c r="W514" s="8">
        <f t="shared" si="227"/>
        <v>0.39013307367737732</v>
      </c>
      <c r="X514" s="6" t="s">
        <v>6263</v>
      </c>
      <c r="Y514" s="6" t="str">
        <f t="shared" si="228"/>
        <v>=308.1*100000000</v>
      </c>
      <c r="Z514" s="1">
        <f>308.1*100000000</f>
        <v>30810000000.000004</v>
      </c>
      <c r="AA514" s="8">
        <f t="shared" si="229"/>
        <v>0.56714140386571743</v>
      </c>
      <c r="AB514" s="6" t="s">
        <v>6264</v>
      </c>
      <c r="AC514" s="6" t="str">
        <f t="shared" si="230"/>
        <v>=196.6*100000000</v>
      </c>
      <c r="AD514" s="1">
        <f>196.6*100000000</f>
        <v>19660000000</v>
      </c>
      <c r="AE514" s="8">
        <f t="shared" si="231"/>
        <v>1.5824247996847498</v>
      </c>
      <c r="AF514" s="6" t="s">
        <v>6265</v>
      </c>
      <c r="AG514" s="6" t="str">
        <f t="shared" si="232"/>
        <v>=76.13*100000000</v>
      </c>
      <c r="AH514" s="1">
        <f>76.13*100000000</f>
        <v>7613000000</v>
      </c>
      <c r="AI514" s="8">
        <f t="shared" si="233"/>
        <v>-0.83901459082258401</v>
      </c>
      <c r="AJ514" s="6" t="s">
        <v>6266</v>
      </c>
      <c r="AK514" s="6" t="str">
        <f t="shared" si="234"/>
        <v>=472.9*100000000</v>
      </c>
      <c r="AL514" s="1">
        <f>472.9*100000000</f>
        <v>47290000000</v>
      </c>
      <c r="AM514" s="8">
        <f t="shared" si="235"/>
        <v>0.27157838128529177</v>
      </c>
      <c r="AN514" s="6" t="s">
        <v>397</v>
      </c>
      <c r="AO514" s="6" t="str">
        <f t="shared" si="236"/>
        <v>=371.9*100000000</v>
      </c>
      <c r="AP514" s="1">
        <f>371.9*100000000</f>
        <v>37190000000</v>
      </c>
      <c r="AQ514" s="8">
        <f t="shared" si="237"/>
        <v>0.37740740740740741</v>
      </c>
      <c r="AR514" s="6" t="s">
        <v>6267</v>
      </c>
      <c r="AS514" s="6" t="str">
        <f t="shared" si="238"/>
        <v>=270.0*100000000</v>
      </c>
      <c r="AT514" s="1">
        <f>270*100000000</f>
        <v>27000000000</v>
      </c>
      <c r="AU514" s="8">
        <f t="shared" si="239"/>
        <v>0.8455228981544769</v>
      </c>
      <c r="AV514" s="6" t="s">
        <v>6268</v>
      </c>
      <c r="AW514" s="6" t="str">
        <f t="shared" si="240"/>
        <v>=146.3*100000000</v>
      </c>
      <c r="AX514" s="1">
        <f>146.3*100000000</f>
        <v>14630000000.000002</v>
      </c>
      <c r="AY514" s="10">
        <f t="shared" si="241"/>
        <v>-0.70792573367937717</v>
      </c>
      <c r="AZ514" s="6" t="s">
        <v>6269</v>
      </c>
      <c r="BA514" s="6" t="str">
        <f t="shared" si="242"/>
        <v>=500.9*100000000</v>
      </c>
      <c r="BB514" s="1">
        <f>500.9*100000000</f>
        <v>50090000000</v>
      </c>
      <c r="BC514" s="8">
        <f t="shared" si="243"/>
        <v>0.37875034406826313</v>
      </c>
      <c r="BD514" s="6" t="s">
        <v>6270</v>
      </c>
      <c r="BE514" s="6" t="str">
        <f t="shared" si="244"/>
        <v>=363.3*100000000</v>
      </c>
      <c r="BF514" s="1">
        <f>363.3*100000000</f>
        <v>36330000000</v>
      </c>
      <c r="BG514" s="8">
        <f t="shared" si="245"/>
        <v>0.5322648671446647</v>
      </c>
      <c r="BH514" s="6" t="s">
        <v>6271</v>
      </c>
      <c r="BI514" s="6" t="str">
        <f t="shared" si="246"/>
        <v>=237.1*100000000</v>
      </c>
      <c r="BJ514" s="1">
        <f>237.1*100000000</f>
        <v>23710000000</v>
      </c>
      <c r="BK514" s="6" t="s">
        <v>6272</v>
      </c>
      <c r="BL514" s="1" t="str">
        <f t="shared" ref="BL514:BL577" si="249">"="&amp;BK514</f>
        <v>=128.6*100000000</v>
      </c>
      <c r="BM514" s="16">
        <f t="shared" si="247"/>
        <v>0.84370139968895796</v>
      </c>
      <c r="BN514" s="1">
        <f>128.6*100000000</f>
        <v>12860000000</v>
      </c>
    </row>
    <row r="515" spans="1:66">
      <c r="A515" s="18"/>
      <c r="B515">
        <v>600418</v>
      </c>
      <c r="C515" t="s">
        <v>48</v>
      </c>
      <c r="D515" s="6" t="s">
        <v>1688</v>
      </c>
      <c r="E515" s="7" t="str">
        <f t="shared" si="248"/>
        <v>=1.639*100000000</v>
      </c>
      <c r="F515" s="1">
        <f>1.639*100000000</f>
        <v>163900000</v>
      </c>
      <c r="G515" s="8">
        <f t="shared" ref="G515:G578" si="250">(F515-J515)/J515</f>
        <v>5.241431835491241</v>
      </c>
      <c r="H515" s="7" t="s">
        <v>6273</v>
      </c>
      <c r="I515" s="6" t="str">
        <f t="shared" ref="I515:I578" si="251">"="&amp;H515</f>
        <v>=2626*10000</v>
      </c>
      <c r="J515" s="1">
        <f>2626*10000</f>
        <v>26260000</v>
      </c>
      <c r="K515" s="10">
        <f t="shared" ref="K515:K578" si="252">(J515-N515)/N515</f>
        <v>-0.93758022343712855</v>
      </c>
      <c r="L515" s="6" t="s">
        <v>3496</v>
      </c>
      <c r="M515" s="6" t="str">
        <f t="shared" ref="M515:M578" si="253">"="&amp;L515</f>
        <v>=4.207*100000000</v>
      </c>
      <c r="N515" s="1">
        <f>4.207*100000000</f>
        <v>420700000</v>
      </c>
      <c r="O515" s="8">
        <f t="shared" ref="O515:O578" si="254">(N515-R515)/R515</f>
        <v>1.8483412322274881</v>
      </c>
      <c r="P515" s="6" t="s">
        <v>6274</v>
      </c>
      <c r="Q515" s="6" t="str">
        <f t="shared" ref="Q515:Q578" si="255">"="&amp;P515</f>
        <v>=1.477*100000000</v>
      </c>
      <c r="R515" s="11">
        <f>1.477*100000000</f>
        <v>147700000</v>
      </c>
      <c r="S515" s="8">
        <f t="shared" ref="S515:S578" si="256">(R515-V515)/V515</f>
        <v>0.16851265822784811</v>
      </c>
      <c r="T515" s="6" t="s">
        <v>6275</v>
      </c>
      <c r="U515" s="6" t="str">
        <f t="shared" ref="U515:U578" si="257">"="&amp;T515</f>
        <v>=1.264*100000000</v>
      </c>
      <c r="V515" s="1">
        <f>1.264*100000000</f>
        <v>126400000</v>
      </c>
      <c r="W515" s="8">
        <f t="shared" ref="W515:W578" si="258">(V515-Z515)/Z515</f>
        <v>-5.5306427503737023E-2</v>
      </c>
      <c r="X515" s="6" t="s">
        <v>4863</v>
      </c>
      <c r="Y515" s="6" t="str">
        <f t="shared" ref="Y515:Y578" si="259">"="&amp;X515</f>
        <v>=1.338*100000000</v>
      </c>
      <c r="Z515" s="1">
        <f>1.338*100000000</f>
        <v>133800000.00000001</v>
      </c>
      <c r="AA515" s="8">
        <f t="shared" ref="AA515:AA578" si="260">(Z515-AD515)/AD515</f>
        <v>-1.5162037037037037</v>
      </c>
      <c r="AB515" s="6">
        <f>-2.592*100000000</f>
        <v>-259200000</v>
      </c>
      <c r="AC515" s="6" t="str">
        <f t="shared" ref="AC515:AC578" si="261">"="&amp;AB515</f>
        <v>=-259200000</v>
      </c>
      <c r="AD515" s="1">
        <f>-259200000</f>
        <v>-259200000</v>
      </c>
      <c r="AE515" s="8">
        <f t="shared" ref="AE515:AE578" si="262">(AD515-AH515)/AH515</f>
        <v>-0.46257516068836824</v>
      </c>
      <c r="AF515" s="6">
        <f>-4.823*100000000</f>
        <v>-482300000.00000006</v>
      </c>
      <c r="AG515" s="6" t="str">
        <f t="shared" ref="AG515:AG578" si="263">"="&amp;AF515</f>
        <v>=-482300000</v>
      </c>
      <c r="AH515" s="1">
        <f>-482300000</f>
        <v>-482300000</v>
      </c>
      <c r="AI515" s="8">
        <f t="shared" ref="AI515:AI578" si="264">(AH515-AL515)/AL515</f>
        <v>-3.0878787878787879</v>
      </c>
      <c r="AJ515" s="6" t="s">
        <v>6276</v>
      </c>
      <c r="AK515" s="6" t="str">
        <f t="shared" ref="AK515:AK578" si="265">"="&amp;AJ515</f>
        <v>=2.310*100000000</v>
      </c>
      <c r="AL515" s="1">
        <f>2.31*100000000</f>
        <v>231000000</v>
      </c>
      <c r="AM515" s="8">
        <f t="shared" ref="AM515:AM578" si="266">(AL515-AP515)/AP515</f>
        <v>-0.34375</v>
      </c>
      <c r="AN515" s="6" t="s">
        <v>6277</v>
      </c>
      <c r="AO515" s="6" t="str">
        <f t="shared" ref="AO515:AO578" si="267">"="&amp;AN515</f>
        <v>=3.520*100000000</v>
      </c>
      <c r="AP515" s="1">
        <f>3.52*100000000</f>
        <v>352000000</v>
      </c>
      <c r="AQ515" s="8">
        <f t="shared" ref="AQ515:AQ578" si="268">(AP515-AT515)/AT515</f>
        <v>0.20095530535653361</v>
      </c>
      <c r="AR515" s="6" t="s">
        <v>2927</v>
      </c>
      <c r="AS515" s="6" t="str">
        <f t="shared" ref="AS515:AS578" si="269">"="&amp;AR515</f>
        <v>=2.931*100000000</v>
      </c>
      <c r="AT515" s="1">
        <f>2.931*100000000</f>
        <v>293100000</v>
      </c>
      <c r="AU515" s="8">
        <f t="shared" ref="AU515:AU578" si="270">(AT515-AX515)/AX515</f>
        <v>4.4918493535694211</v>
      </c>
      <c r="AV515" s="7" t="s">
        <v>6278</v>
      </c>
      <c r="AW515" s="6" t="str">
        <f t="shared" ref="AW515:AW578" si="271">"="&amp;AV515</f>
        <v>=5337*10000</v>
      </c>
      <c r="AX515" s="1">
        <f>5337*10000</f>
        <v>53370000</v>
      </c>
      <c r="AY515" s="10">
        <f t="shared" ref="AY515:AY578" si="272">(AX515-BB515)/BB515</f>
        <v>-1.0351349572086899</v>
      </c>
      <c r="AZ515" s="6">
        <f>-15.19*100000000</f>
        <v>-1519000000</v>
      </c>
      <c r="BA515" s="6" t="str">
        <f t="shared" ref="BA515:BA578" si="273">"="&amp;AZ515</f>
        <v>=-1519000000</v>
      </c>
      <c r="BB515" s="1">
        <f>-1519000000</f>
        <v>-1519000000</v>
      </c>
      <c r="BC515" s="8">
        <f t="shared" ref="BC515:BC578" si="274">(BB515-BF515)/BF515</f>
        <v>8.7622107969151664</v>
      </c>
      <c r="BD515" s="6">
        <f>-1.556*100000000</f>
        <v>-155600000</v>
      </c>
      <c r="BE515" s="6" t="str">
        <f t="shared" ref="BE515:BE578" si="275">"="&amp;BD515</f>
        <v>=-155600000</v>
      </c>
      <c r="BF515" s="1">
        <f>-155600000</f>
        <v>-155600000</v>
      </c>
      <c r="BG515" s="8">
        <f t="shared" ref="BG515:BG578" si="276">(BF515-BJ515)/BJ515</f>
        <v>-4.1002191671647736</v>
      </c>
      <c r="BH515" s="7" t="s">
        <v>6279</v>
      </c>
      <c r="BI515" s="6" t="str">
        <f t="shared" ref="BI515:BI578" si="277">"="&amp;BH515</f>
        <v>=5019*10000</v>
      </c>
      <c r="BJ515" s="1">
        <f>5019*10000</f>
        <v>50190000</v>
      </c>
      <c r="BK515" s="6" t="s">
        <v>6280</v>
      </c>
      <c r="BL515" s="1" t="str">
        <f t="shared" si="249"/>
        <v>=1.583*100000000</v>
      </c>
      <c r="BM515" s="16">
        <f t="shared" ref="BM515:BM578" si="278">(BJ515-BN515)/BN515</f>
        <v>-0.68294377763739733</v>
      </c>
      <c r="BN515" s="1">
        <f>1.583*100000000</f>
        <v>158300000</v>
      </c>
    </row>
    <row r="516" spans="1:66">
      <c r="A516" s="18"/>
      <c r="B516">
        <v>600418</v>
      </c>
      <c r="C516" t="s">
        <v>58</v>
      </c>
      <c r="D516" s="6" t="s">
        <v>3688</v>
      </c>
      <c r="E516" s="7" t="str">
        <f t="shared" si="248"/>
        <v>=1.921*100000000</v>
      </c>
      <c r="F516" s="1">
        <f>1.921*100000000</f>
        <v>192100000</v>
      </c>
      <c r="G516" s="8">
        <f t="shared" si="250"/>
        <v>3.1952391351823541</v>
      </c>
      <c r="H516" s="7" t="s">
        <v>6281</v>
      </c>
      <c r="I516" s="6" t="str">
        <f t="shared" si="251"/>
        <v>=4579*10000</v>
      </c>
      <c r="J516" s="1">
        <f>4579*10000</f>
        <v>45790000</v>
      </c>
      <c r="K516" s="10">
        <f t="shared" si="252"/>
        <v>-0.89390639481000922</v>
      </c>
      <c r="L516" s="6" t="s">
        <v>6282</v>
      </c>
      <c r="M516" s="6" t="str">
        <f t="shared" si="253"/>
        <v>=4.316*100000000</v>
      </c>
      <c r="N516" s="1">
        <f>4.316*100000000</f>
        <v>431600000</v>
      </c>
      <c r="O516" s="8">
        <f t="shared" si="254"/>
        <v>1.8526107072042299</v>
      </c>
      <c r="P516" s="6" t="s">
        <v>1955</v>
      </c>
      <c r="Q516" s="6" t="str">
        <f t="shared" si="255"/>
        <v>=1.513*100000000</v>
      </c>
      <c r="R516" s="11">
        <f>1.513*100000000</f>
        <v>151300000</v>
      </c>
      <c r="S516" s="8">
        <f t="shared" si="256"/>
        <v>0.12157153446997776</v>
      </c>
      <c r="T516" s="6" t="s">
        <v>6283</v>
      </c>
      <c r="U516" s="6" t="str">
        <f t="shared" si="257"/>
        <v>=1.349*100000000</v>
      </c>
      <c r="V516" s="1">
        <f>1.349*100000000</f>
        <v>134900000</v>
      </c>
      <c r="W516" s="8">
        <f t="shared" si="258"/>
        <v>-0.10424966799468792</v>
      </c>
      <c r="X516" s="6" t="s">
        <v>6284</v>
      </c>
      <c r="Y516" s="6" t="str">
        <f t="shared" si="259"/>
        <v>=1.506*100000000</v>
      </c>
      <c r="Z516" s="1">
        <f>1.506*100000000</f>
        <v>150600000</v>
      </c>
      <c r="AA516" s="8">
        <f t="shared" si="260"/>
        <v>-1.591516103692066</v>
      </c>
      <c r="AB516" s="6">
        <f>-2.546*100000000</f>
        <v>-254599999.99999997</v>
      </c>
      <c r="AC516" s="6" t="str">
        <f t="shared" si="261"/>
        <v>=-254600000</v>
      </c>
      <c r="AD516" s="1">
        <f>-254600000</f>
        <v>-254600000</v>
      </c>
      <c r="AE516" s="8">
        <f t="shared" si="262"/>
        <v>-0.46991463668540495</v>
      </c>
      <c r="AF516" s="6">
        <f>-4.803*100000000</f>
        <v>-480300000</v>
      </c>
      <c r="AG516" s="6" t="str">
        <f t="shared" si="263"/>
        <v>=-480300000</v>
      </c>
      <c r="AH516" s="1">
        <f>-480300000</f>
        <v>-480300000</v>
      </c>
      <c r="AI516" s="8">
        <f t="shared" si="264"/>
        <v>-6.3742866733803289</v>
      </c>
      <c r="AJ516" s="7" t="s">
        <v>6285</v>
      </c>
      <c r="AK516" s="6" t="str">
        <f t="shared" si="265"/>
        <v>=8937*10000</v>
      </c>
      <c r="AL516" s="1">
        <f>8937*10000</f>
        <v>89370000</v>
      </c>
      <c r="AM516" s="8">
        <f t="shared" si="266"/>
        <v>-0.52714285714285714</v>
      </c>
      <c r="AN516" s="6" t="s">
        <v>6286</v>
      </c>
      <c r="AO516" s="6" t="str">
        <f t="shared" si="267"/>
        <v>=1.890*100000000</v>
      </c>
      <c r="AP516" s="1">
        <f>1.89*100000000</f>
        <v>189000000</v>
      </c>
      <c r="AQ516" s="8">
        <f t="shared" si="268"/>
        <v>0.47887323943661969</v>
      </c>
      <c r="AR516" s="6" t="s">
        <v>5505</v>
      </c>
      <c r="AS516" s="6" t="str">
        <f t="shared" si="269"/>
        <v>=1.278*100000000</v>
      </c>
      <c r="AT516" s="1">
        <f>1.278*100000000</f>
        <v>127800000</v>
      </c>
      <c r="AU516" s="8">
        <f t="shared" si="270"/>
        <v>1.253968253968254</v>
      </c>
      <c r="AV516" s="7" t="s">
        <v>6287</v>
      </c>
      <c r="AW516" s="6" t="str">
        <f t="shared" si="271"/>
        <v>=5670*10000</v>
      </c>
      <c r="AX516" s="1">
        <f>5670*10000</f>
        <v>56700000</v>
      </c>
      <c r="AY516" s="10">
        <f t="shared" si="272"/>
        <v>-1.0384146341463414</v>
      </c>
      <c r="AZ516" s="6">
        <f>-14.76*100000000</f>
        <v>-1476000000</v>
      </c>
      <c r="BA516" s="6" t="str">
        <f t="shared" si="273"/>
        <v>=-1476000000</v>
      </c>
      <c r="BB516" s="1">
        <f>-1476000000</f>
        <v>-1476000000</v>
      </c>
      <c r="BC516" s="8">
        <f t="shared" si="274"/>
        <v>8.3595434369055166</v>
      </c>
      <c r="BD516" s="6">
        <f>-1.577*100000000</f>
        <v>-157700000</v>
      </c>
      <c r="BE516" s="6" t="str">
        <f t="shared" si="275"/>
        <v>=-157700000</v>
      </c>
      <c r="BF516" s="1">
        <f>-157700000</f>
        <v>-157700000</v>
      </c>
      <c r="BG516" s="8">
        <f t="shared" si="276"/>
        <v>-3.7847430690446759</v>
      </c>
      <c r="BH516" s="7" t="s">
        <v>6288</v>
      </c>
      <c r="BI516" s="6" t="str">
        <f t="shared" si="277"/>
        <v>=5663*10000</v>
      </c>
      <c r="BJ516" s="1">
        <f>5663*10000</f>
        <v>56630000</v>
      </c>
      <c r="BK516" s="6" t="s">
        <v>6289</v>
      </c>
      <c r="BL516" s="1" t="str">
        <f t="shared" si="249"/>
        <v>=1.574*100000000</v>
      </c>
      <c r="BM516" s="16">
        <f t="shared" si="278"/>
        <v>-0.64021601016518426</v>
      </c>
      <c r="BN516" s="1">
        <f>1.574*100000000</f>
        <v>157400000</v>
      </c>
    </row>
    <row r="517" spans="1:66">
      <c r="A517" s="19"/>
      <c r="B517">
        <v>600418</v>
      </c>
      <c r="C517" t="s">
        <v>68</v>
      </c>
      <c r="D517" s="7" t="s">
        <v>6290</v>
      </c>
      <c r="E517" s="7" t="str">
        <f t="shared" si="248"/>
        <v>=1304*10000</v>
      </c>
      <c r="F517" s="1">
        <f>1304*10000</f>
        <v>13040000</v>
      </c>
      <c r="G517" s="8">
        <f t="shared" si="250"/>
        <v>-0.90304832713754646</v>
      </c>
      <c r="H517" s="6" t="s">
        <v>6291</v>
      </c>
      <c r="I517" s="6" t="str">
        <f t="shared" si="251"/>
        <v>=1.345*100000000</v>
      </c>
      <c r="J517" s="1">
        <f>1.345*100000000</f>
        <v>134500000</v>
      </c>
      <c r="K517" s="10">
        <f t="shared" si="252"/>
        <v>-0.69023491478581289</v>
      </c>
      <c r="L517" s="6" t="s">
        <v>6292</v>
      </c>
      <c r="M517" s="6" t="str">
        <f t="shared" si="253"/>
        <v>=4.342*100000000</v>
      </c>
      <c r="N517" s="1">
        <f>4.342*100000000</f>
        <v>434199999.99999994</v>
      </c>
      <c r="O517" s="8">
        <f t="shared" si="254"/>
        <v>1.4698521046643911</v>
      </c>
      <c r="P517" s="6" t="s">
        <v>6293</v>
      </c>
      <c r="Q517" s="6" t="str">
        <f t="shared" si="255"/>
        <v>=1.758*100000000</v>
      </c>
      <c r="R517" s="11">
        <f>1.758*100000000</f>
        <v>175800000</v>
      </c>
      <c r="S517" s="8">
        <f t="shared" si="256"/>
        <v>-0.29539078156312626</v>
      </c>
      <c r="T517" s="6" t="s">
        <v>6294</v>
      </c>
      <c r="U517" s="6" t="str">
        <f t="shared" si="257"/>
        <v>=2.495*100000000</v>
      </c>
      <c r="V517" s="1">
        <f>2.495*100000000</f>
        <v>249500000</v>
      </c>
      <c r="W517" s="8">
        <f t="shared" si="258"/>
        <v>6.3059224541968467E-2</v>
      </c>
      <c r="X517" s="6" t="s">
        <v>6295</v>
      </c>
      <c r="Y517" s="6" t="str">
        <f t="shared" si="259"/>
        <v>=2.347*100000000</v>
      </c>
      <c r="Z517" s="1">
        <f>2.347*100000000</f>
        <v>234700000</v>
      </c>
      <c r="AA517" s="8">
        <f t="shared" si="260"/>
        <v>-2.2860273972602738</v>
      </c>
      <c r="AB517" s="6">
        <f>-1.825*100000000</f>
        <v>-182500000</v>
      </c>
      <c r="AC517" s="6" t="str">
        <f t="shared" si="261"/>
        <v>=-182500000</v>
      </c>
      <c r="AD517" s="1">
        <f>-182500000</f>
        <v>-182500000</v>
      </c>
      <c r="AE517" s="8">
        <f t="shared" si="262"/>
        <v>-0.53797468354430378</v>
      </c>
      <c r="AF517" s="6">
        <f>-3.95*100000000</f>
        <v>-395000000</v>
      </c>
      <c r="AG517" s="6" t="str">
        <f t="shared" si="263"/>
        <v>=-395000000</v>
      </c>
      <c r="AH517" s="1">
        <f>-395000000</f>
        <v>-395000000</v>
      </c>
      <c r="AI517" s="8">
        <f t="shared" si="264"/>
        <v>-3.29918509895227</v>
      </c>
      <c r="AJ517" s="6" t="s">
        <v>6296</v>
      </c>
      <c r="AK517" s="6" t="str">
        <f t="shared" si="265"/>
        <v>=1.718*100000000</v>
      </c>
      <c r="AL517" s="1">
        <f>1.718*100000000</f>
        <v>171800000</v>
      </c>
      <c r="AM517" s="8">
        <f t="shared" si="266"/>
        <v>-0.32759295499021535</v>
      </c>
      <c r="AN517" s="6" t="s">
        <v>6297</v>
      </c>
      <c r="AO517" s="6" t="str">
        <f t="shared" si="267"/>
        <v>=2.555*100000000</v>
      </c>
      <c r="AP517" s="1">
        <f>2.555*100000000</f>
        <v>255500000.00000003</v>
      </c>
      <c r="AQ517" s="8">
        <f t="shared" si="268"/>
        <v>0.60590823381521075</v>
      </c>
      <c r="AR517" s="6" t="s">
        <v>6298</v>
      </c>
      <c r="AS517" s="6" t="str">
        <f t="shared" si="269"/>
        <v>=1.591*100000000</v>
      </c>
      <c r="AT517" s="1">
        <f>1.591*100000000</f>
        <v>159100000</v>
      </c>
      <c r="AU517" s="8">
        <f t="shared" si="270"/>
        <v>1.0764813364656747</v>
      </c>
      <c r="AV517" s="7" t="s">
        <v>6299</v>
      </c>
      <c r="AW517" s="6" t="str">
        <f t="shared" si="271"/>
        <v>=7662*10000</v>
      </c>
      <c r="AX517" s="1">
        <f>7662*10000</f>
        <v>76620000</v>
      </c>
      <c r="AY517" s="10">
        <f t="shared" si="272"/>
        <v>-1.0539197748064744</v>
      </c>
      <c r="AZ517" s="6">
        <f>-14.21*100000000</f>
        <v>-1421000000</v>
      </c>
      <c r="BA517" s="6" t="str">
        <f t="shared" si="273"/>
        <v>=-1421000000</v>
      </c>
      <c r="BB517" s="1">
        <f>-1421000000</f>
        <v>-1421000000</v>
      </c>
      <c r="BC517" s="8">
        <f t="shared" si="274"/>
        <v>7.5602409638554215</v>
      </c>
      <c r="BD517" s="6">
        <f>-1.66*100000000</f>
        <v>-166000000</v>
      </c>
      <c r="BE517" s="6" t="str">
        <f t="shared" si="275"/>
        <v>=-166000000</v>
      </c>
      <c r="BF517" s="1">
        <f>-166000000</f>
        <v>-166000000</v>
      </c>
      <c r="BG517" s="8">
        <f t="shared" si="276"/>
        <v>-4.47498429976973</v>
      </c>
      <c r="BH517" s="7" t="s">
        <v>6300</v>
      </c>
      <c r="BI517" s="6" t="str">
        <f t="shared" si="277"/>
        <v>=4777*10000</v>
      </c>
      <c r="BJ517" s="1">
        <f>4777*10000</f>
        <v>47770000</v>
      </c>
      <c r="BK517" s="6" t="s">
        <v>5318</v>
      </c>
      <c r="BL517" s="1" t="str">
        <f t="shared" si="249"/>
        <v>=1.451*100000000</v>
      </c>
      <c r="BM517" s="16">
        <f t="shared" si="278"/>
        <v>-0.67077877325982083</v>
      </c>
      <c r="BN517" s="1">
        <f>1.451*100000000</f>
        <v>145100000</v>
      </c>
    </row>
    <row r="518" spans="1:66">
      <c r="A518" s="17">
        <v>130</v>
      </c>
      <c r="B518">
        <v>600420</v>
      </c>
      <c r="C518" t="s">
        <v>31</v>
      </c>
      <c r="D518" s="6" t="s">
        <v>4718</v>
      </c>
      <c r="E518" s="7" t="str">
        <f t="shared" si="248"/>
        <v>=139.4*100000000</v>
      </c>
      <c r="F518" s="1">
        <f>139.4*100000000</f>
        <v>13940000000</v>
      </c>
      <c r="G518" s="8">
        <f t="shared" si="250"/>
        <v>0.30158730158730157</v>
      </c>
      <c r="H518" s="6" t="s">
        <v>6301</v>
      </c>
      <c r="I518" s="6" t="str">
        <f t="shared" si="251"/>
        <v>=107.1*100000000</v>
      </c>
      <c r="J518" s="1">
        <f>107.1*100000000</f>
        <v>10710000000</v>
      </c>
      <c r="K518" s="10">
        <f t="shared" si="252"/>
        <v>0.40330188679245299</v>
      </c>
      <c r="L518" s="6" t="s">
        <v>6302</v>
      </c>
      <c r="M518" s="6" t="str">
        <f t="shared" si="253"/>
        <v>=76.32*100000000</v>
      </c>
      <c r="N518" s="1">
        <f>76.32*100000000</f>
        <v>7631999999.999999</v>
      </c>
      <c r="O518" s="8">
        <f t="shared" si="254"/>
        <v>0.94247900229065895</v>
      </c>
      <c r="P518" s="6" t="s">
        <v>6303</v>
      </c>
      <c r="Q518" s="6" t="str">
        <f t="shared" si="255"/>
        <v>=39.29*100000000</v>
      </c>
      <c r="R518" s="11">
        <f>39.29*100000000</f>
        <v>3929000000</v>
      </c>
      <c r="S518" s="8">
        <f t="shared" si="256"/>
        <v>-0.68718152866242033</v>
      </c>
      <c r="T518" s="6" t="s">
        <v>6304</v>
      </c>
      <c r="U518" s="6" t="str">
        <f t="shared" si="257"/>
        <v>=125.6*100000000</v>
      </c>
      <c r="V518" s="1">
        <f>125.6*100000000</f>
        <v>12560000000</v>
      </c>
      <c r="W518" s="8">
        <f t="shared" si="258"/>
        <v>0.34130713370354548</v>
      </c>
      <c r="X518" s="6" t="s">
        <v>6305</v>
      </c>
      <c r="Y518" s="6" t="str">
        <f t="shared" si="259"/>
        <v>=93.64*100000000</v>
      </c>
      <c r="Z518" s="1">
        <f>93.64*100000000</f>
        <v>9364000000</v>
      </c>
      <c r="AA518" s="8">
        <f t="shared" si="260"/>
        <v>0.50740502253702513</v>
      </c>
      <c r="AB518" s="6" t="s">
        <v>6306</v>
      </c>
      <c r="AC518" s="6" t="str">
        <f t="shared" si="261"/>
        <v>=62.12*100000000</v>
      </c>
      <c r="AD518" s="1">
        <f>62.12*100000000</f>
        <v>6212000000</v>
      </c>
      <c r="AE518" s="8">
        <f t="shared" si="262"/>
        <v>0.88071450196790801</v>
      </c>
      <c r="AF518" s="6" t="s">
        <v>6307</v>
      </c>
      <c r="AG518" s="6" t="str">
        <f t="shared" si="263"/>
        <v>=33.03*100000000</v>
      </c>
      <c r="AH518" s="1">
        <f>33.03*100000000</f>
        <v>3303000000</v>
      </c>
      <c r="AI518" s="8">
        <f t="shared" si="264"/>
        <v>-0.72926229508196716</v>
      </c>
      <c r="AJ518" s="6" t="s">
        <v>78</v>
      </c>
      <c r="AK518" s="6" t="str">
        <f t="shared" si="265"/>
        <v>=122.0*100000000</v>
      </c>
      <c r="AL518" s="1">
        <f>122*100000000</f>
        <v>12200000000</v>
      </c>
      <c r="AM518" s="8">
        <f t="shared" si="266"/>
        <v>0.35195035460992907</v>
      </c>
      <c r="AN518" s="6" t="s">
        <v>6308</v>
      </c>
      <c r="AO518" s="6" t="str">
        <f t="shared" si="267"/>
        <v>=90.24*100000000</v>
      </c>
      <c r="AP518" s="1">
        <f>90.24*100000000</f>
        <v>9024000000</v>
      </c>
      <c r="AQ518" s="8">
        <f t="shared" si="268"/>
        <v>0.44268585131894483</v>
      </c>
      <c r="AR518" s="6" t="s">
        <v>6309</v>
      </c>
      <c r="AS518" s="6" t="str">
        <f t="shared" si="269"/>
        <v>=62.55*100000000</v>
      </c>
      <c r="AT518" s="1">
        <f>62.55*100000000</f>
        <v>6255000000</v>
      </c>
      <c r="AU518" s="8">
        <f t="shared" si="270"/>
        <v>0.9700787401574803</v>
      </c>
      <c r="AV518" s="6" t="s">
        <v>5087</v>
      </c>
      <c r="AW518" s="6" t="str">
        <f t="shared" si="271"/>
        <v>=31.75*100000000</v>
      </c>
      <c r="AX518" s="1">
        <f>31.75*100000000</f>
        <v>3175000000</v>
      </c>
      <c r="AY518" s="10">
        <f t="shared" si="272"/>
        <v>-0.71952296819787986</v>
      </c>
      <c r="AZ518" s="6" t="s">
        <v>6310</v>
      </c>
      <c r="BA518" s="6" t="str">
        <f t="shared" si="273"/>
        <v>=113.2*100000000</v>
      </c>
      <c r="BB518" s="1">
        <f>113.2*100000000</f>
        <v>11320000000</v>
      </c>
      <c r="BC518" s="8">
        <f t="shared" si="274"/>
        <v>0.33411903358868605</v>
      </c>
      <c r="BD518" s="6" t="s">
        <v>6311</v>
      </c>
      <c r="BE518" s="6" t="str">
        <f t="shared" si="275"/>
        <v>=84.85*100000000</v>
      </c>
      <c r="BF518" s="1">
        <f>84.85*100000000</f>
        <v>8484999999.999999</v>
      </c>
      <c r="BG518" s="8">
        <f t="shared" si="276"/>
        <v>0.44968392277464531</v>
      </c>
      <c r="BH518" s="6" t="s">
        <v>2734</v>
      </c>
      <c r="BI518" s="6" t="str">
        <f t="shared" si="277"/>
        <v>=58.53*100000000</v>
      </c>
      <c r="BJ518" s="1">
        <f>58.53*100000000</f>
        <v>5853000000</v>
      </c>
      <c r="BK518" s="6" t="s">
        <v>4418</v>
      </c>
      <c r="BL518" s="1" t="str">
        <f t="shared" si="249"/>
        <v>=31.09*100000000</v>
      </c>
      <c r="BM518" s="16">
        <f t="shared" si="278"/>
        <v>0.88259890640077199</v>
      </c>
      <c r="BN518" s="1">
        <f>31.09*100000000</f>
        <v>3109000000</v>
      </c>
    </row>
    <row r="519" spans="1:66">
      <c r="A519" s="18"/>
      <c r="B519">
        <v>600420</v>
      </c>
      <c r="C519" t="s">
        <v>48</v>
      </c>
      <c r="D519" s="6" t="s">
        <v>6312</v>
      </c>
      <c r="E519" s="7" t="str">
        <f t="shared" si="248"/>
        <v>=8.976*100000000</v>
      </c>
      <c r="F519" s="1">
        <f>8.976*100000000</f>
        <v>897600000.00000012</v>
      </c>
      <c r="G519" s="8">
        <f t="shared" si="250"/>
        <v>3.9972193256864928E-2</v>
      </c>
      <c r="H519" s="6" t="s">
        <v>938</v>
      </c>
      <c r="I519" s="6" t="str">
        <f t="shared" si="251"/>
        <v>=8.631*100000000</v>
      </c>
      <c r="J519" s="1">
        <f>8.631*100000000</f>
        <v>863100000</v>
      </c>
      <c r="K519" s="10">
        <f t="shared" si="252"/>
        <v>0.34585997193201312</v>
      </c>
      <c r="L519" s="6" t="s">
        <v>6313</v>
      </c>
      <c r="M519" s="6" t="str">
        <f t="shared" si="253"/>
        <v>=6.413*100000000</v>
      </c>
      <c r="N519" s="1">
        <f>6.413*100000000</f>
        <v>641300000</v>
      </c>
      <c r="O519" s="8">
        <f t="shared" si="254"/>
        <v>0.84653037719550817</v>
      </c>
      <c r="P519" s="6" t="s">
        <v>2189</v>
      </c>
      <c r="Q519" s="6" t="str">
        <f t="shared" si="255"/>
        <v>=3.473*100000000</v>
      </c>
      <c r="R519" s="11">
        <f>3.473*100000000</f>
        <v>347300000</v>
      </c>
      <c r="S519" s="8">
        <f t="shared" si="256"/>
        <v>-0.66083984375000004</v>
      </c>
      <c r="T519" s="6" t="s">
        <v>6314</v>
      </c>
      <c r="U519" s="6" t="str">
        <f t="shared" si="257"/>
        <v>=10.24*100000000</v>
      </c>
      <c r="V519" s="1">
        <f>10.24*100000000</f>
        <v>1024000000</v>
      </c>
      <c r="W519" s="8">
        <f t="shared" si="258"/>
        <v>0.10786541166288002</v>
      </c>
      <c r="X519" s="6" t="s">
        <v>6315</v>
      </c>
      <c r="Y519" s="6" t="str">
        <f t="shared" si="259"/>
        <v>=9.243*100000000</v>
      </c>
      <c r="Z519" s="1">
        <f>9.243*100000000</f>
        <v>924300000</v>
      </c>
      <c r="AA519" s="8">
        <f t="shared" si="260"/>
        <v>0.88979758740543857</v>
      </c>
      <c r="AB519" s="6" t="s">
        <v>6316</v>
      </c>
      <c r="AC519" s="6" t="str">
        <f t="shared" si="261"/>
        <v>=4.891*100000000</v>
      </c>
      <c r="AD519" s="1">
        <f>4.891*100000000</f>
        <v>489100000</v>
      </c>
      <c r="AE519" s="8">
        <f t="shared" si="262"/>
        <v>1.2466697289848416</v>
      </c>
      <c r="AF519" s="6" t="s">
        <v>6317</v>
      </c>
      <c r="AG519" s="6" t="str">
        <f t="shared" si="263"/>
        <v>=2.177*100000000</v>
      </c>
      <c r="AH519" s="1">
        <f>2.177*100000000</f>
        <v>217700000</v>
      </c>
      <c r="AI519" s="8">
        <f t="shared" si="264"/>
        <v>-0.78884578079534429</v>
      </c>
      <c r="AJ519" s="6" t="s">
        <v>472</v>
      </c>
      <c r="AK519" s="6" t="str">
        <f t="shared" si="265"/>
        <v>=10.31*100000000</v>
      </c>
      <c r="AL519" s="1">
        <f>10.31*100000000</f>
        <v>1031000000</v>
      </c>
      <c r="AM519" s="8">
        <f t="shared" si="266"/>
        <v>0.22781945933071335</v>
      </c>
      <c r="AN519" s="6" t="s">
        <v>4646</v>
      </c>
      <c r="AO519" s="6" t="str">
        <f t="shared" si="267"/>
        <v>=8.397*100000000</v>
      </c>
      <c r="AP519" s="1">
        <f>8.397*100000000</f>
        <v>839700000</v>
      </c>
      <c r="AQ519" s="8">
        <f t="shared" si="268"/>
        <v>0.38108552631578946</v>
      </c>
      <c r="AR519" s="6" t="s">
        <v>6318</v>
      </c>
      <c r="AS519" s="6" t="str">
        <f t="shared" si="269"/>
        <v>=6.080*100000000</v>
      </c>
      <c r="AT519" s="1">
        <f>6.08*100000000</f>
        <v>608000000</v>
      </c>
      <c r="AU519" s="8">
        <f t="shared" si="270"/>
        <v>1.0443846671149966</v>
      </c>
      <c r="AV519" s="6" t="s">
        <v>6319</v>
      </c>
      <c r="AW519" s="6" t="str">
        <f t="shared" si="271"/>
        <v>=2.974*100000000</v>
      </c>
      <c r="AX519" s="1">
        <f>2.974*100000000</f>
        <v>297400000</v>
      </c>
      <c r="AY519" s="10">
        <f t="shared" si="272"/>
        <v>-0.76801872074882993</v>
      </c>
      <c r="AZ519" s="6" t="s">
        <v>4549</v>
      </c>
      <c r="BA519" s="6" t="str">
        <f t="shared" si="273"/>
        <v>=12.82*100000000</v>
      </c>
      <c r="BB519" s="1">
        <f>12.82*100000000</f>
        <v>1282000000</v>
      </c>
      <c r="BC519" s="8">
        <f t="shared" si="274"/>
        <v>0.3538916464251769</v>
      </c>
      <c r="BD519" s="6" t="s">
        <v>3266</v>
      </c>
      <c r="BE519" s="6" t="str">
        <f t="shared" si="275"/>
        <v>=9.469*100000000</v>
      </c>
      <c r="BF519" s="1">
        <f>9.469*100000000</f>
        <v>946900000</v>
      </c>
      <c r="BG519" s="8">
        <f t="shared" si="276"/>
        <v>0.41581937799043062</v>
      </c>
      <c r="BH519" s="6" t="s">
        <v>6320</v>
      </c>
      <c r="BI519" s="6" t="str">
        <f t="shared" si="277"/>
        <v>=6.688*100000000</v>
      </c>
      <c r="BJ519" s="1">
        <f>6.688*100000000</f>
        <v>668800000</v>
      </c>
      <c r="BK519" s="6" t="s">
        <v>6321</v>
      </c>
      <c r="BL519" s="1" t="str">
        <f t="shared" si="249"/>
        <v>=3.138*100000000</v>
      </c>
      <c r="BM519" s="16">
        <f t="shared" si="278"/>
        <v>1.1312938177182918</v>
      </c>
      <c r="BN519" s="1">
        <f>3.138*100000000</f>
        <v>313800000</v>
      </c>
    </row>
    <row r="520" spans="1:66">
      <c r="A520" s="18"/>
      <c r="B520">
        <v>600420</v>
      </c>
      <c r="C520" t="s">
        <v>58</v>
      </c>
      <c r="D520" s="6" t="s">
        <v>6322</v>
      </c>
      <c r="E520" s="7" t="str">
        <f t="shared" si="248"/>
        <v>=9.182*100000000</v>
      </c>
      <c r="F520" s="1">
        <f>9.182*100000000</f>
        <v>918200000</v>
      </c>
      <c r="G520" s="8">
        <f t="shared" si="250"/>
        <v>2.4091010484050993E-2</v>
      </c>
      <c r="H520" s="6" t="s">
        <v>6323</v>
      </c>
      <c r="I520" s="6" t="str">
        <f t="shared" si="251"/>
        <v>=8.966*100000000</v>
      </c>
      <c r="J520" s="1">
        <f>8.966*100000000</f>
        <v>896599999.99999988</v>
      </c>
      <c r="K520" s="10">
        <f t="shared" si="252"/>
        <v>0.40247145315188471</v>
      </c>
      <c r="L520" s="6" t="s">
        <v>6324</v>
      </c>
      <c r="M520" s="6" t="str">
        <f t="shared" si="253"/>
        <v>=6.393*100000000</v>
      </c>
      <c r="N520" s="1">
        <f>6.393*100000000</f>
        <v>639300000</v>
      </c>
      <c r="O520" s="8">
        <f t="shared" si="254"/>
        <v>0.86005237125400058</v>
      </c>
      <c r="P520" s="6" t="s">
        <v>6325</v>
      </c>
      <c r="Q520" s="6" t="str">
        <f t="shared" si="255"/>
        <v>=3.437*100000000</v>
      </c>
      <c r="R520" s="11">
        <f>3.437*100000000</f>
        <v>343700000</v>
      </c>
      <c r="S520" s="8">
        <f t="shared" si="256"/>
        <v>-0.66983669548511049</v>
      </c>
      <c r="T520" s="6" t="s">
        <v>6326</v>
      </c>
      <c r="U520" s="6" t="str">
        <f t="shared" si="257"/>
        <v>=10.41*100000000</v>
      </c>
      <c r="V520" s="1">
        <f>10.41*100000000</f>
        <v>1041000000</v>
      </c>
      <c r="W520" s="8">
        <f t="shared" si="258"/>
        <v>0.10170388400888983</v>
      </c>
      <c r="X520" s="6" t="s">
        <v>6327</v>
      </c>
      <c r="Y520" s="6" t="str">
        <f t="shared" si="259"/>
        <v>=9.449*100000000</v>
      </c>
      <c r="Z520" s="1">
        <f>9.449*100000000</f>
        <v>944900000</v>
      </c>
      <c r="AA520" s="8">
        <f t="shared" si="260"/>
        <v>0.84731182795698923</v>
      </c>
      <c r="AB520" s="6" t="s">
        <v>6328</v>
      </c>
      <c r="AC520" s="6" t="str">
        <f t="shared" si="261"/>
        <v>=5.115*100000000</v>
      </c>
      <c r="AD520" s="1">
        <f>5.115*100000000</f>
        <v>511500000</v>
      </c>
      <c r="AE520" s="8">
        <f t="shared" si="262"/>
        <v>1.3495636196600826</v>
      </c>
      <c r="AF520" s="6" t="s">
        <v>6317</v>
      </c>
      <c r="AG520" s="6" t="str">
        <f t="shared" si="263"/>
        <v>=2.177*100000000</v>
      </c>
      <c r="AH520" s="1">
        <f>2.177*100000000</f>
        <v>217700000</v>
      </c>
      <c r="AI520" s="8">
        <f t="shared" si="264"/>
        <v>-0.79711090400745577</v>
      </c>
      <c r="AJ520" s="6" t="s">
        <v>2138</v>
      </c>
      <c r="AK520" s="6" t="str">
        <f t="shared" si="265"/>
        <v>=10.73*100000000</v>
      </c>
      <c r="AL520" s="1">
        <f>10.73*100000000</f>
        <v>1073000000</v>
      </c>
      <c r="AM520" s="8">
        <f t="shared" si="266"/>
        <v>0.22279202279202279</v>
      </c>
      <c r="AN520" s="6" t="s">
        <v>6329</v>
      </c>
      <c r="AO520" s="6" t="str">
        <f t="shared" si="267"/>
        <v>=8.775*100000000</v>
      </c>
      <c r="AP520" s="1">
        <f>8.775*100000000</f>
        <v>877500000</v>
      </c>
      <c r="AQ520" s="8">
        <f t="shared" si="268"/>
        <v>0.39109067850348761</v>
      </c>
      <c r="AR520" s="6" t="s">
        <v>6330</v>
      </c>
      <c r="AS520" s="6" t="str">
        <f t="shared" si="269"/>
        <v>=6.308*100000000</v>
      </c>
      <c r="AT520" s="1">
        <f>6.308*100000000</f>
        <v>630800000</v>
      </c>
      <c r="AU520" s="8">
        <f t="shared" si="270"/>
        <v>1.0006343165239455</v>
      </c>
      <c r="AV520" s="6" t="s">
        <v>6331</v>
      </c>
      <c r="AW520" s="6" t="str">
        <f t="shared" si="271"/>
        <v>=3.153*100000000</v>
      </c>
      <c r="AX520" s="1">
        <f>3.153*100000000</f>
        <v>315300000</v>
      </c>
      <c r="AY520" s="10">
        <f t="shared" si="272"/>
        <v>-0.75633693972179294</v>
      </c>
      <c r="AZ520" s="6" t="s">
        <v>913</v>
      </c>
      <c r="BA520" s="6" t="str">
        <f t="shared" si="273"/>
        <v>=12.94*100000000</v>
      </c>
      <c r="BB520" s="1">
        <f>12.94*100000000</f>
        <v>1294000000</v>
      </c>
      <c r="BC520" s="8">
        <f t="shared" si="274"/>
        <v>0.34051590179218894</v>
      </c>
      <c r="BD520" s="6" t="s">
        <v>6332</v>
      </c>
      <c r="BE520" s="6" t="str">
        <f t="shared" si="275"/>
        <v>=9.653*100000000</v>
      </c>
      <c r="BF520" s="1">
        <f>9.653*100000000</f>
        <v>965300000</v>
      </c>
      <c r="BG520" s="8">
        <f t="shared" si="276"/>
        <v>0.41747430249632894</v>
      </c>
      <c r="BH520" s="6" t="s">
        <v>6333</v>
      </c>
      <c r="BI520" s="6" t="str">
        <f t="shared" si="277"/>
        <v>=6.810*100000000</v>
      </c>
      <c r="BJ520" s="1">
        <f>6.81*100000000</f>
        <v>681000000</v>
      </c>
      <c r="BK520" s="6" t="s">
        <v>1420</v>
      </c>
      <c r="BL520" s="1" t="str">
        <f t="shared" si="249"/>
        <v>=3.129*100000000</v>
      </c>
      <c r="BM520" s="16">
        <f t="shared" si="278"/>
        <v>1.1764141898370086</v>
      </c>
      <c r="BN520" s="1">
        <f>3.129*100000000</f>
        <v>312900000</v>
      </c>
    </row>
    <row r="521" spans="1:66">
      <c r="A521" s="19"/>
      <c r="B521">
        <v>600420</v>
      </c>
      <c r="C521" t="s">
        <v>68</v>
      </c>
      <c r="D521" s="6" t="s">
        <v>6334</v>
      </c>
      <c r="E521" s="7" t="str">
        <f t="shared" si="248"/>
        <v>=8.211*100000000</v>
      </c>
      <c r="F521" s="1">
        <f>8.211*100000000</f>
        <v>821100000</v>
      </c>
      <c r="G521" s="8">
        <f t="shared" si="250"/>
        <v>2.6760035013129922E-2</v>
      </c>
      <c r="H521" s="6" t="s">
        <v>6335</v>
      </c>
      <c r="I521" s="6" t="str">
        <f t="shared" si="251"/>
        <v>=7.997*100000000</v>
      </c>
      <c r="J521" s="1">
        <f>7.997*100000000</f>
        <v>799700000</v>
      </c>
      <c r="K521" s="10">
        <f t="shared" si="252"/>
        <v>0.47818853974121994</v>
      </c>
      <c r="L521" s="6" t="s">
        <v>6336</v>
      </c>
      <c r="M521" s="6" t="str">
        <f t="shared" si="253"/>
        <v>=5.410*100000000</v>
      </c>
      <c r="N521" s="1">
        <f>5.41*100000000</f>
        <v>541000000</v>
      </c>
      <c r="O521" s="8">
        <f t="shared" si="254"/>
        <v>0.86166551961459048</v>
      </c>
      <c r="P521" s="6" t="s">
        <v>6337</v>
      </c>
      <c r="Q521" s="6" t="str">
        <f t="shared" si="255"/>
        <v>=2.906*100000000</v>
      </c>
      <c r="R521" s="11">
        <f>2.906*100000000</f>
        <v>290600000</v>
      </c>
      <c r="S521" s="8">
        <f t="shared" si="256"/>
        <v>-0.67711111111111111</v>
      </c>
      <c r="T521" s="6" t="s">
        <v>6338</v>
      </c>
      <c r="U521" s="6" t="str">
        <f t="shared" si="257"/>
        <v>=9.000*100000000</v>
      </c>
      <c r="V521" s="1">
        <f>9*100000000</f>
        <v>900000000</v>
      </c>
      <c r="W521" s="8">
        <f t="shared" si="258"/>
        <v>0.1362201742204267</v>
      </c>
      <c r="X521" s="6" t="s">
        <v>6339</v>
      </c>
      <c r="Y521" s="6" t="str">
        <f t="shared" si="259"/>
        <v>=7.921*100000000</v>
      </c>
      <c r="Z521" s="1">
        <f>7.921*100000000</f>
        <v>792100000</v>
      </c>
      <c r="AA521" s="8">
        <f t="shared" si="260"/>
        <v>0.85113344239308253</v>
      </c>
      <c r="AB521" s="6" t="s">
        <v>6340</v>
      </c>
      <c r="AC521" s="6" t="str">
        <f t="shared" si="261"/>
        <v>=4.279*100000000</v>
      </c>
      <c r="AD521" s="1">
        <f>4.279*100000000</f>
        <v>427900000</v>
      </c>
      <c r="AE521" s="8">
        <f t="shared" si="262"/>
        <v>1.3344244408074195</v>
      </c>
      <c r="AF521" s="6" t="s">
        <v>5432</v>
      </c>
      <c r="AG521" s="6" t="str">
        <f t="shared" si="263"/>
        <v>=1.833*100000000</v>
      </c>
      <c r="AH521" s="1">
        <f>1.833*100000000</f>
        <v>183300000</v>
      </c>
      <c r="AI521" s="8">
        <f t="shared" si="264"/>
        <v>-0.8025848142164782</v>
      </c>
      <c r="AJ521" s="6" t="s">
        <v>6341</v>
      </c>
      <c r="AK521" s="6" t="str">
        <f t="shared" si="265"/>
        <v>=9.285*100000000</v>
      </c>
      <c r="AL521" s="1">
        <f>9.285*100000000</f>
        <v>928500000</v>
      </c>
      <c r="AM521" s="8">
        <f t="shared" si="266"/>
        <v>0.17904761904761904</v>
      </c>
      <c r="AN521" s="6" t="s">
        <v>6342</v>
      </c>
      <c r="AO521" s="6" t="str">
        <f t="shared" si="267"/>
        <v>=7.875*100000000</v>
      </c>
      <c r="AP521" s="1">
        <f>7.875*100000000</f>
        <v>787500000</v>
      </c>
      <c r="AQ521" s="8">
        <f t="shared" si="268"/>
        <v>0.49771776340814</v>
      </c>
      <c r="AR521" s="6" t="s">
        <v>6343</v>
      </c>
      <c r="AS521" s="6" t="str">
        <f t="shared" si="269"/>
        <v>=5.258*100000000</v>
      </c>
      <c r="AT521" s="1">
        <f>5.258*100000000</f>
        <v>525800000</v>
      </c>
      <c r="AU521" s="8">
        <f t="shared" si="270"/>
        <v>1.0114766641162969</v>
      </c>
      <c r="AV521" s="6" t="s">
        <v>6344</v>
      </c>
      <c r="AW521" s="6" t="str">
        <f t="shared" si="271"/>
        <v>=2.614*100000000</v>
      </c>
      <c r="AX521" s="1">
        <f>2.614*100000000</f>
        <v>261400000</v>
      </c>
      <c r="AY521" s="10">
        <f t="shared" si="272"/>
        <v>-0.75570093457943921</v>
      </c>
      <c r="AZ521" s="6" t="s">
        <v>5856</v>
      </c>
      <c r="BA521" s="6" t="str">
        <f t="shared" si="273"/>
        <v>=10.70*100000000</v>
      </c>
      <c r="BB521" s="1">
        <f>10.7*100000000</f>
        <v>1069999999.9999999</v>
      </c>
      <c r="BC521" s="8">
        <f t="shared" si="274"/>
        <v>0.3214770902803506</v>
      </c>
      <c r="BD521" s="6" t="s">
        <v>6345</v>
      </c>
      <c r="BE521" s="6" t="str">
        <f t="shared" si="275"/>
        <v>=8.097*100000000</v>
      </c>
      <c r="BF521" s="1">
        <f>8.097*100000000</f>
        <v>809700000</v>
      </c>
      <c r="BG521" s="8">
        <f t="shared" si="276"/>
        <v>0.40743959673213975</v>
      </c>
      <c r="BH521" s="6" t="s">
        <v>6346</v>
      </c>
      <c r="BI521" s="6" t="str">
        <f t="shared" si="277"/>
        <v>=5.753*100000000</v>
      </c>
      <c r="BJ521" s="1">
        <f>5.753*100000000</f>
        <v>575300000</v>
      </c>
      <c r="BK521" s="6" t="s">
        <v>1723</v>
      </c>
      <c r="BL521" s="1" t="str">
        <f t="shared" si="249"/>
        <v>=2.586*100000000</v>
      </c>
      <c r="BM521" s="16">
        <f t="shared" si="278"/>
        <v>1.2246713070378963</v>
      </c>
      <c r="BN521" s="1">
        <f>2.586*100000000</f>
        <v>258600000</v>
      </c>
    </row>
    <row r="522" spans="1:66">
      <c r="A522" s="17">
        <v>131</v>
      </c>
      <c r="B522">
        <v>600422</v>
      </c>
      <c r="C522" t="s">
        <v>31</v>
      </c>
      <c r="D522" s="6" t="s">
        <v>6347</v>
      </c>
      <c r="E522" s="7" t="str">
        <f t="shared" si="248"/>
        <v>=82.54*100000000</v>
      </c>
      <c r="F522" s="1">
        <f>82.54*100000000</f>
        <v>8254000000.000001</v>
      </c>
      <c r="G522" s="8">
        <f t="shared" si="250"/>
        <v>0.36927670869276724</v>
      </c>
      <c r="H522" s="6" t="s">
        <v>6348</v>
      </c>
      <c r="I522" s="6" t="str">
        <f t="shared" si="251"/>
        <v>=60.28*100000000</v>
      </c>
      <c r="J522" s="1">
        <f>60.28*100000000</f>
        <v>6028000000</v>
      </c>
      <c r="K522" s="10">
        <f t="shared" si="252"/>
        <v>0.47275836794527243</v>
      </c>
      <c r="L522" s="6" t="s">
        <v>6349</v>
      </c>
      <c r="M522" s="6" t="str">
        <f t="shared" si="253"/>
        <v>=40.93*100000000</v>
      </c>
      <c r="N522" s="1">
        <f>40.93*100000000</f>
        <v>4093000000</v>
      </c>
      <c r="O522" s="8">
        <f t="shared" si="254"/>
        <v>1.1598944591029023</v>
      </c>
      <c r="P522" s="6" t="s">
        <v>6350</v>
      </c>
      <c r="Q522" s="6" t="str">
        <f t="shared" si="255"/>
        <v>=18.95*100000000</v>
      </c>
      <c r="R522" s="11">
        <f>18.95*100000000</f>
        <v>1895000000</v>
      </c>
      <c r="S522" s="8">
        <f t="shared" si="256"/>
        <v>-0.75443825320720492</v>
      </c>
      <c r="T522" s="6" t="s">
        <v>6351</v>
      </c>
      <c r="U522" s="6" t="str">
        <f t="shared" si="257"/>
        <v>=77.17*100000000</v>
      </c>
      <c r="V522" s="1">
        <f>77.17*100000000</f>
        <v>7717000000</v>
      </c>
      <c r="W522" s="8">
        <f t="shared" si="258"/>
        <v>0.42275073746312686</v>
      </c>
      <c r="X522" s="6" t="s">
        <v>6352</v>
      </c>
      <c r="Y522" s="6" t="str">
        <f t="shared" si="259"/>
        <v>=54.24*100000000</v>
      </c>
      <c r="Z522" s="1">
        <f>54.24*100000000</f>
        <v>5424000000</v>
      </c>
      <c r="AA522" s="8">
        <f t="shared" si="260"/>
        <v>0.58411214953271029</v>
      </c>
      <c r="AB522" s="6" t="s">
        <v>6353</v>
      </c>
      <c r="AC522" s="6" t="str">
        <f t="shared" si="261"/>
        <v>=34.24*100000000</v>
      </c>
      <c r="AD522" s="1">
        <f>34.24*100000000</f>
        <v>3424000000</v>
      </c>
      <c r="AE522" s="8">
        <f t="shared" si="262"/>
        <v>1.1850670070197831</v>
      </c>
      <c r="AF522" s="6" t="s">
        <v>6354</v>
      </c>
      <c r="AG522" s="6" t="str">
        <f t="shared" si="263"/>
        <v>=15.67*100000000</v>
      </c>
      <c r="AH522" s="1">
        <f>15.67*100000000</f>
        <v>1567000000</v>
      </c>
      <c r="AI522" s="8">
        <f t="shared" si="264"/>
        <v>-0.80701970443349758</v>
      </c>
      <c r="AJ522" s="6" t="s">
        <v>6355</v>
      </c>
      <c r="AK522" s="6" t="str">
        <f t="shared" si="265"/>
        <v>=81.20*100000000</v>
      </c>
      <c r="AL522" s="1">
        <f>81.2*100000000</f>
        <v>8120000000</v>
      </c>
      <c r="AM522" s="8">
        <f t="shared" si="266"/>
        <v>0.4084995663486557</v>
      </c>
      <c r="AN522" s="6" t="s">
        <v>6356</v>
      </c>
      <c r="AO522" s="6" t="str">
        <f t="shared" si="267"/>
        <v>=57.65*100000000</v>
      </c>
      <c r="AP522" s="1">
        <f>57.65*100000000</f>
        <v>5765000000</v>
      </c>
      <c r="AQ522" s="8">
        <f t="shared" si="268"/>
        <v>0.53487752928647503</v>
      </c>
      <c r="AR522" s="6" t="s">
        <v>6357</v>
      </c>
      <c r="AS522" s="6" t="str">
        <f t="shared" si="269"/>
        <v>=37.56*100000000</v>
      </c>
      <c r="AT522" s="1">
        <f>37.56*100000000</f>
        <v>3756000000</v>
      </c>
      <c r="AU522" s="8">
        <f t="shared" si="270"/>
        <v>1.1124859392575928</v>
      </c>
      <c r="AV522" s="6" t="s">
        <v>721</v>
      </c>
      <c r="AW522" s="6" t="str">
        <f t="shared" si="271"/>
        <v>=17.78*100000000</v>
      </c>
      <c r="AX522" s="1">
        <f>17.78*100000000</f>
        <v>1778000000</v>
      </c>
      <c r="AY522" s="10">
        <f t="shared" si="272"/>
        <v>-0.74964798648268094</v>
      </c>
      <c r="AZ522" s="6" t="s">
        <v>6358</v>
      </c>
      <c r="BA522" s="6" t="str">
        <f t="shared" si="273"/>
        <v>=71.02*100000000</v>
      </c>
      <c r="BB522" s="1">
        <f>71.02*100000000</f>
        <v>7102000000</v>
      </c>
      <c r="BC522" s="8">
        <f t="shared" si="274"/>
        <v>0.40633663366336631</v>
      </c>
      <c r="BD522" s="6" t="s">
        <v>6359</v>
      </c>
      <c r="BE522" s="6" t="str">
        <f t="shared" si="275"/>
        <v>=50.50*100000000</v>
      </c>
      <c r="BF522" s="1">
        <f>50.5*100000000</f>
        <v>5050000000</v>
      </c>
      <c r="BG522" s="8">
        <f t="shared" si="276"/>
        <v>0.49187592319054652</v>
      </c>
      <c r="BH522" s="6" t="s">
        <v>6360</v>
      </c>
      <c r="BI522" s="6" t="str">
        <f t="shared" si="277"/>
        <v>=33.85*100000000</v>
      </c>
      <c r="BJ522" s="1">
        <f>33.85*100000000</f>
        <v>3385000000</v>
      </c>
      <c r="BK522" s="6" t="s">
        <v>6361</v>
      </c>
      <c r="BL522" s="1" t="str">
        <f t="shared" si="249"/>
        <v>=16.42*100000000</v>
      </c>
      <c r="BM522" s="16">
        <f t="shared" si="278"/>
        <v>1.0615103532277708</v>
      </c>
      <c r="BN522" s="1">
        <f>16.42*100000000</f>
        <v>1642000000.0000002</v>
      </c>
    </row>
    <row r="523" spans="1:66">
      <c r="A523" s="18"/>
      <c r="B523">
        <v>600422</v>
      </c>
      <c r="C523" t="s">
        <v>48</v>
      </c>
      <c r="D523" s="6" t="s">
        <v>6362</v>
      </c>
      <c r="E523" s="7" t="str">
        <f t="shared" si="248"/>
        <v>=6.340*100000000</v>
      </c>
      <c r="F523" s="1">
        <f>6.34*100000000</f>
        <v>634000000</v>
      </c>
      <c r="G523" s="8">
        <f t="shared" si="250"/>
        <v>0.20075757575757575</v>
      </c>
      <c r="H523" s="6" t="s">
        <v>6363</v>
      </c>
      <c r="I523" s="6" t="str">
        <f t="shared" si="251"/>
        <v>=5.280*100000000</v>
      </c>
      <c r="J523" s="1">
        <f>5.28*100000000</f>
        <v>528000000</v>
      </c>
      <c r="K523" s="10">
        <f t="shared" si="252"/>
        <v>0.30919910736424477</v>
      </c>
      <c r="L523" s="6" t="s">
        <v>6364</v>
      </c>
      <c r="M523" s="6" t="str">
        <f t="shared" si="253"/>
        <v>=4.033*100000000</v>
      </c>
      <c r="N523" s="1">
        <f>4.033*100000000</f>
        <v>403300000.00000006</v>
      </c>
      <c r="O523" s="8">
        <f t="shared" si="254"/>
        <v>0.69953645174884116</v>
      </c>
      <c r="P523" s="6" t="s">
        <v>6365</v>
      </c>
      <c r="Q523" s="6" t="str">
        <f t="shared" si="255"/>
        <v>=2.373*100000000</v>
      </c>
      <c r="R523" s="11">
        <f>2.373*100000000</f>
        <v>237300000.00000003</v>
      </c>
      <c r="S523" s="8">
        <f t="shared" si="256"/>
        <v>-0.56120562130177509</v>
      </c>
      <c r="T523" s="6" t="s">
        <v>6366</v>
      </c>
      <c r="U523" s="6" t="str">
        <f t="shared" si="257"/>
        <v>=5.408*100000000</v>
      </c>
      <c r="V523" s="1">
        <f>5.408*100000000</f>
        <v>540800000</v>
      </c>
      <c r="W523" s="8">
        <f t="shared" si="258"/>
        <v>0.26119402985074625</v>
      </c>
      <c r="X523" s="6" t="s">
        <v>6367</v>
      </c>
      <c r="Y523" s="6" t="str">
        <f t="shared" si="259"/>
        <v>=4.288*100000000</v>
      </c>
      <c r="Z523" s="1">
        <f>4.288*100000000</f>
        <v>428800000</v>
      </c>
      <c r="AA523" s="8">
        <f t="shared" si="260"/>
        <v>0.55587808417997098</v>
      </c>
      <c r="AB523" s="6" t="s">
        <v>6368</v>
      </c>
      <c r="AC523" s="6" t="str">
        <f t="shared" si="261"/>
        <v>=2.756*100000000</v>
      </c>
      <c r="AD523" s="1">
        <f>2.756*100000000</f>
        <v>275600000</v>
      </c>
      <c r="AE523" s="8">
        <f t="shared" si="262"/>
        <v>1.4239226033421284</v>
      </c>
      <c r="AF523" s="6" t="s">
        <v>2916</v>
      </c>
      <c r="AG523" s="6" t="str">
        <f t="shared" si="263"/>
        <v>=1.137*100000000</v>
      </c>
      <c r="AH523" s="1">
        <f>1.137*100000000</f>
        <v>113700000</v>
      </c>
      <c r="AI523" s="8">
        <f t="shared" si="264"/>
        <v>-0.78936643201185619</v>
      </c>
      <c r="AJ523" s="6" t="s">
        <v>6369</v>
      </c>
      <c r="AK523" s="6" t="str">
        <f t="shared" si="265"/>
        <v>=5.398*100000000</v>
      </c>
      <c r="AL523" s="1">
        <f>5.398*100000000</f>
        <v>539800000</v>
      </c>
      <c r="AM523" s="8">
        <f t="shared" si="266"/>
        <v>0.20008892841262785</v>
      </c>
      <c r="AN523" s="6" t="s">
        <v>6370</v>
      </c>
      <c r="AO523" s="6" t="str">
        <f t="shared" si="267"/>
        <v>=4.498*100000000</v>
      </c>
      <c r="AP523" s="1">
        <f>4.498*100000000</f>
        <v>449800000</v>
      </c>
      <c r="AQ523" s="8">
        <f t="shared" si="268"/>
        <v>0.55586302317537184</v>
      </c>
      <c r="AR523" s="6" t="s">
        <v>6371</v>
      </c>
      <c r="AS523" s="6" t="str">
        <f t="shared" si="269"/>
        <v>=2.891*100000000</v>
      </c>
      <c r="AT523" s="1">
        <f>2.891*100000000</f>
        <v>289100000</v>
      </c>
      <c r="AU523" s="8">
        <f t="shared" si="270"/>
        <v>1.3072625698324023</v>
      </c>
      <c r="AV523" s="6" t="s">
        <v>6372</v>
      </c>
      <c r="AW523" s="6" t="str">
        <f t="shared" si="271"/>
        <v>=1.253*100000000</v>
      </c>
      <c r="AX523" s="1">
        <f>1.253*100000000</f>
        <v>125299999.99999999</v>
      </c>
      <c r="AY523" s="10">
        <f t="shared" si="272"/>
        <v>-0.70152453549309202</v>
      </c>
      <c r="AZ523" s="6" t="s">
        <v>6373</v>
      </c>
      <c r="BA523" s="6" t="str">
        <f t="shared" si="273"/>
        <v>=4.198*100000000</v>
      </c>
      <c r="BB523" s="1">
        <f>4.198*100000000</f>
        <v>419800000.00000006</v>
      </c>
      <c r="BC523" s="8">
        <f t="shared" si="274"/>
        <v>0.25877061469265383</v>
      </c>
      <c r="BD523" s="6" t="s">
        <v>1749</v>
      </c>
      <c r="BE523" s="6" t="str">
        <f t="shared" si="275"/>
        <v>=3.335*100000000</v>
      </c>
      <c r="BF523" s="1">
        <f>3.335*100000000</f>
        <v>333500000</v>
      </c>
      <c r="BG523" s="8">
        <f t="shared" si="276"/>
        <v>0.46851607221488334</v>
      </c>
      <c r="BH523" s="6" t="s">
        <v>6374</v>
      </c>
      <c r="BI523" s="6" t="str">
        <f t="shared" si="277"/>
        <v>=2.271*100000000</v>
      </c>
      <c r="BJ523" s="1">
        <f>2.271*100000000</f>
        <v>227100000</v>
      </c>
      <c r="BK523" s="6" t="s">
        <v>6375</v>
      </c>
      <c r="BL523" s="1" t="str">
        <f t="shared" si="249"/>
        <v>=1.006*100000000</v>
      </c>
      <c r="BM523" s="16">
        <f t="shared" si="278"/>
        <v>1.257455268389662</v>
      </c>
      <c r="BN523" s="1">
        <f>1.006*100000000</f>
        <v>100600000</v>
      </c>
    </row>
    <row r="524" spans="1:66">
      <c r="A524" s="18"/>
      <c r="B524">
        <v>600422</v>
      </c>
      <c r="C524" t="s">
        <v>58</v>
      </c>
      <c r="D524" s="6" t="s">
        <v>6376</v>
      </c>
      <c r="E524" s="7" t="str">
        <f t="shared" si="248"/>
        <v>=6.313*100000000</v>
      </c>
      <c r="F524" s="1">
        <f>6.313*100000000</f>
        <v>631300000</v>
      </c>
      <c r="G524" s="8">
        <f t="shared" si="250"/>
        <v>0.20270527719565645</v>
      </c>
      <c r="H524" s="6" t="s">
        <v>6377</v>
      </c>
      <c r="I524" s="6" t="str">
        <f t="shared" si="251"/>
        <v>=5.249*100000000</v>
      </c>
      <c r="J524" s="1">
        <f>5.249*100000000</f>
        <v>524899999.99999994</v>
      </c>
      <c r="K524" s="10">
        <f t="shared" si="252"/>
        <v>0.30572139303482593</v>
      </c>
      <c r="L524" s="6" t="s">
        <v>6378</v>
      </c>
      <c r="M524" s="6" t="str">
        <f t="shared" si="253"/>
        <v>=4.020*100000000</v>
      </c>
      <c r="N524" s="1">
        <f>4.02*100000000</f>
        <v>401999999.99999994</v>
      </c>
      <c r="O524" s="8">
        <f t="shared" si="254"/>
        <v>0.69548713622943881</v>
      </c>
      <c r="P524" s="6" t="s">
        <v>6379</v>
      </c>
      <c r="Q524" s="6" t="str">
        <f t="shared" si="255"/>
        <v>=2.371*100000000</v>
      </c>
      <c r="R524" s="11">
        <f>2.371*100000000</f>
        <v>237100000</v>
      </c>
      <c r="S524" s="8">
        <f t="shared" si="256"/>
        <v>-0.56133209990749311</v>
      </c>
      <c r="T524" s="6" t="s">
        <v>6380</v>
      </c>
      <c r="U524" s="6" t="str">
        <f t="shared" si="257"/>
        <v>=5.405*100000000</v>
      </c>
      <c r="V524" s="1">
        <f>5.405*100000000</f>
        <v>540500000</v>
      </c>
      <c r="W524" s="8">
        <f t="shared" si="258"/>
        <v>0.27116650987770463</v>
      </c>
      <c r="X524" s="6" t="s">
        <v>6381</v>
      </c>
      <c r="Y524" s="6" t="str">
        <f t="shared" si="259"/>
        <v>=4.252*100000000</v>
      </c>
      <c r="Z524" s="1">
        <f>4.252*100000000</f>
        <v>425200000</v>
      </c>
      <c r="AA524" s="8">
        <f t="shared" si="260"/>
        <v>0.56669123065585847</v>
      </c>
      <c r="AB524" s="6" t="s">
        <v>6382</v>
      </c>
      <c r="AC524" s="6" t="str">
        <f t="shared" si="261"/>
        <v>=2.714*100000000</v>
      </c>
      <c r="AD524" s="1">
        <f>2.714*100000000</f>
        <v>271400000</v>
      </c>
      <c r="AE524" s="8">
        <f t="shared" si="262"/>
        <v>1.403897254207263</v>
      </c>
      <c r="AF524" s="6" t="s">
        <v>6383</v>
      </c>
      <c r="AG524" s="6" t="str">
        <f t="shared" si="263"/>
        <v>=1.129*100000000</v>
      </c>
      <c r="AH524" s="1">
        <f>1.129*100000000</f>
        <v>112900000</v>
      </c>
      <c r="AI524" s="8">
        <f t="shared" si="264"/>
        <v>-0.79261572373254963</v>
      </c>
      <c r="AJ524" s="6" t="s">
        <v>6384</v>
      </c>
      <c r="AK524" s="6" t="str">
        <f t="shared" si="265"/>
        <v>=5.444*100000000</v>
      </c>
      <c r="AL524" s="1">
        <f>5.444*100000000</f>
        <v>544400000</v>
      </c>
      <c r="AM524" s="8">
        <f t="shared" si="266"/>
        <v>0.2020313534996688</v>
      </c>
      <c r="AN524" s="6" t="s">
        <v>6150</v>
      </c>
      <c r="AO524" s="6" t="str">
        <f t="shared" si="267"/>
        <v>=4.529*100000000</v>
      </c>
      <c r="AP524" s="1">
        <f>4.529*100000000</f>
        <v>452900000</v>
      </c>
      <c r="AQ524" s="8">
        <f t="shared" si="268"/>
        <v>0.56388121546961323</v>
      </c>
      <c r="AR524" s="6" t="s">
        <v>6385</v>
      </c>
      <c r="AS524" s="6" t="str">
        <f t="shared" si="269"/>
        <v>=2.896*100000000</v>
      </c>
      <c r="AT524" s="1">
        <f>2.896*100000000</f>
        <v>289600000</v>
      </c>
      <c r="AU524" s="8">
        <f t="shared" si="270"/>
        <v>1.2984126984126985</v>
      </c>
      <c r="AV524" s="6" t="s">
        <v>6386</v>
      </c>
      <c r="AW524" s="6" t="str">
        <f t="shared" si="271"/>
        <v>=1.260*100000000</v>
      </c>
      <c r="AX524" s="1">
        <f>1.26*100000000</f>
        <v>126000000</v>
      </c>
      <c r="AY524" s="10">
        <f t="shared" si="272"/>
        <v>-0.69791416926396543</v>
      </c>
      <c r="AZ524" s="6" t="s">
        <v>6387</v>
      </c>
      <c r="BA524" s="6" t="str">
        <f t="shared" si="273"/>
        <v>=4.171*100000000</v>
      </c>
      <c r="BB524" s="1">
        <f>4.171*100000000</f>
        <v>417100000</v>
      </c>
      <c r="BC524" s="8">
        <f t="shared" si="274"/>
        <v>0.24358974358974358</v>
      </c>
      <c r="BD524" s="6" t="s">
        <v>6388</v>
      </c>
      <c r="BE524" s="6" t="str">
        <f t="shared" si="275"/>
        <v>=3.354*100000000</v>
      </c>
      <c r="BF524" s="1">
        <f>3.354*100000000</f>
        <v>335400000</v>
      </c>
      <c r="BG524" s="8">
        <f t="shared" si="276"/>
        <v>0.47040771591407277</v>
      </c>
      <c r="BH524" s="6" t="s">
        <v>6389</v>
      </c>
      <c r="BI524" s="6" t="str">
        <f t="shared" si="277"/>
        <v>=2.281*100000000</v>
      </c>
      <c r="BJ524" s="1">
        <f>2.281*100000000</f>
        <v>228100000</v>
      </c>
      <c r="BK524" s="6" t="s">
        <v>2230</v>
      </c>
      <c r="BL524" s="1" t="str">
        <f t="shared" si="249"/>
        <v>=1.011*100000000</v>
      </c>
      <c r="BM524" s="16">
        <f t="shared" si="278"/>
        <v>1.256181998021761</v>
      </c>
      <c r="BN524" s="1">
        <f>1.011*100000000</f>
        <v>101099999.99999999</v>
      </c>
    </row>
    <row r="525" spans="1:66">
      <c r="A525" s="19"/>
      <c r="B525">
        <v>600422</v>
      </c>
      <c r="C525" t="s">
        <v>68</v>
      </c>
      <c r="D525" s="6" t="s">
        <v>6390</v>
      </c>
      <c r="E525" s="7" t="str">
        <f t="shared" si="248"/>
        <v>=5.132*100000000</v>
      </c>
      <c r="F525" s="1">
        <f>5.132*100000000</f>
        <v>513199999.99999994</v>
      </c>
      <c r="G525" s="8">
        <f t="shared" si="250"/>
        <v>0.17329675354366714</v>
      </c>
      <c r="H525" s="6" t="s">
        <v>6391</v>
      </c>
      <c r="I525" s="6" t="str">
        <f t="shared" si="251"/>
        <v>=4.374*100000000</v>
      </c>
      <c r="J525" s="1">
        <f>4.374*100000000</f>
        <v>437399999.99999994</v>
      </c>
      <c r="K525" s="10">
        <f t="shared" si="252"/>
        <v>0.30411449016100162</v>
      </c>
      <c r="L525" s="6" t="s">
        <v>6388</v>
      </c>
      <c r="M525" s="6" t="str">
        <f t="shared" si="253"/>
        <v>=3.354*100000000</v>
      </c>
      <c r="N525" s="1">
        <f>3.354*100000000</f>
        <v>335400000</v>
      </c>
      <c r="O525" s="8">
        <f t="shared" si="254"/>
        <v>0.69994931576279773</v>
      </c>
      <c r="P525" s="6" t="s">
        <v>6392</v>
      </c>
      <c r="Q525" s="6" t="str">
        <f t="shared" si="255"/>
        <v>=1.973*100000000</v>
      </c>
      <c r="R525" s="11">
        <f>1.973*100000000</f>
        <v>197300000</v>
      </c>
      <c r="S525" s="8">
        <f t="shared" si="256"/>
        <v>-0.57312851579402857</v>
      </c>
      <c r="T525" s="6" t="s">
        <v>6393</v>
      </c>
      <c r="U525" s="6" t="str">
        <f t="shared" si="257"/>
        <v>=4.622*100000000</v>
      </c>
      <c r="V525" s="1">
        <f>4.622*100000000</f>
        <v>462200000</v>
      </c>
      <c r="W525" s="8">
        <f t="shared" si="258"/>
        <v>0.31195004257734887</v>
      </c>
      <c r="X525" s="6" t="s">
        <v>6394</v>
      </c>
      <c r="Y525" s="6" t="str">
        <f t="shared" si="259"/>
        <v>=3.523*100000000</v>
      </c>
      <c r="Z525" s="1">
        <f>3.523*100000000</f>
        <v>352300000</v>
      </c>
      <c r="AA525" s="8">
        <f t="shared" si="260"/>
        <v>0.55129898723029502</v>
      </c>
      <c r="AB525" s="6" t="s">
        <v>6374</v>
      </c>
      <c r="AC525" s="6" t="str">
        <f t="shared" si="261"/>
        <v>=2.271*100000000</v>
      </c>
      <c r="AD525" s="1">
        <f>2.271*100000000</f>
        <v>227100000</v>
      </c>
      <c r="AE525" s="8">
        <f t="shared" si="262"/>
        <v>1.4177579048227404</v>
      </c>
      <c r="AF525" s="7" t="s">
        <v>6395</v>
      </c>
      <c r="AG525" s="6" t="str">
        <f t="shared" si="263"/>
        <v>=9393*10000</v>
      </c>
      <c r="AH525" s="1">
        <f>9393*10000</f>
        <v>93930000</v>
      </c>
      <c r="AI525" s="8">
        <f t="shared" si="264"/>
        <v>-0.79920906370243694</v>
      </c>
      <c r="AJ525" s="6" t="s">
        <v>6396</v>
      </c>
      <c r="AK525" s="6" t="str">
        <f t="shared" si="265"/>
        <v>=4.678*100000000</v>
      </c>
      <c r="AL525" s="1">
        <f>4.678*100000000</f>
        <v>467800000</v>
      </c>
      <c r="AM525" s="8">
        <f t="shared" si="266"/>
        <v>0.26981541802388709</v>
      </c>
      <c r="AN525" s="6" t="s">
        <v>6397</v>
      </c>
      <c r="AO525" s="6" t="str">
        <f t="shared" si="267"/>
        <v>=3.684*100000000</v>
      </c>
      <c r="AP525" s="1">
        <f>3.684*100000000</f>
        <v>368400000</v>
      </c>
      <c r="AQ525" s="8">
        <f t="shared" si="268"/>
        <v>0.5279966818747408</v>
      </c>
      <c r="AR525" s="6" t="s">
        <v>6398</v>
      </c>
      <c r="AS525" s="6" t="str">
        <f t="shared" si="269"/>
        <v>=2.411*100000000</v>
      </c>
      <c r="AT525" s="1">
        <f>2.411*100000000</f>
        <v>241100000</v>
      </c>
      <c r="AU525" s="8">
        <f t="shared" si="270"/>
        <v>1.3027698185291308</v>
      </c>
      <c r="AV525" s="6" t="s">
        <v>1203</v>
      </c>
      <c r="AW525" s="6" t="str">
        <f t="shared" si="271"/>
        <v>=1.047*100000000</v>
      </c>
      <c r="AX525" s="1">
        <f>1.047*100000000</f>
        <v>104700000</v>
      </c>
      <c r="AY525" s="10">
        <f t="shared" si="272"/>
        <v>-0.69359086918349433</v>
      </c>
      <c r="AZ525" s="6" t="s">
        <v>6399</v>
      </c>
      <c r="BA525" s="6" t="str">
        <f t="shared" si="273"/>
        <v>=3.417*100000000</v>
      </c>
      <c r="BB525" s="1">
        <f>3.417*100000000</f>
        <v>341700000</v>
      </c>
      <c r="BC525" s="8">
        <f t="shared" si="274"/>
        <v>0.25995575221238937</v>
      </c>
      <c r="BD525" s="6" t="s">
        <v>6400</v>
      </c>
      <c r="BE525" s="6" t="str">
        <f t="shared" si="275"/>
        <v>=2.712*100000000</v>
      </c>
      <c r="BF525" s="1">
        <f>2.712*100000000</f>
        <v>271200000</v>
      </c>
      <c r="BG525" s="8">
        <f t="shared" si="276"/>
        <v>0.48034934497816595</v>
      </c>
      <c r="BH525" s="6" t="s">
        <v>2873</v>
      </c>
      <c r="BI525" s="6" t="str">
        <f t="shared" si="277"/>
        <v>=1.832*100000000</v>
      </c>
      <c r="BJ525" s="1">
        <f>1.832*100000000</f>
        <v>183200000</v>
      </c>
      <c r="BK525" s="7" t="s">
        <v>4991</v>
      </c>
      <c r="BL525" s="1" t="str">
        <f t="shared" si="249"/>
        <v>=8317*10000</v>
      </c>
      <c r="BM525" s="16">
        <f t="shared" si="278"/>
        <v>1.2027173259588795</v>
      </c>
      <c r="BN525" s="1">
        <f>8317*10000</f>
        <v>83170000</v>
      </c>
    </row>
    <row r="526" spans="1:66">
      <c r="A526" s="17">
        <v>132</v>
      </c>
      <c r="B526">
        <v>600425</v>
      </c>
      <c r="C526" t="s">
        <v>31</v>
      </c>
      <c r="D526" s="6" t="s">
        <v>6401</v>
      </c>
      <c r="E526" s="7" t="str">
        <f t="shared" si="248"/>
        <v>=39.12*100000000</v>
      </c>
      <c r="F526" s="1">
        <f>39.12*100000000</f>
        <v>3911999999.9999995</v>
      </c>
      <c r="G526" s="8">
        <f t="shared" si="250"/>
        <v>0.25304292120435601</v>
      </c>
      <c r="H526" s="6" t="s">
        <v>6402</v>
      </c>
      <c r="I526" s="6" t="str">
        <f t="shared" si="251"/>
        <v>=31.22*100000000</v>
      </c>
      <c r="J526" s="1">
        <f>31.22*100000000</f>
        <v>3122000000</v>
      </c>
      <c r="K526" s="10">
        <f t="shared" si="252"/>
        <v>0.86610878661087864</v>
      </c>
      <c r="L526" s="6" t="s">
        <v>6403</v>
      </c>
      <c r="M526" s="6" t="str">
        <f t="shared" si="253"/>
        <v>=16.73*100000000</v>
      </c>
      <c r="N526" s="1">
        <f>16.73*100000000</f>
        <v>1673000000</v>
      </c>
      <c r="O526" s="8">
        <f t="shared" si="254"/>
        <v>3.5685417804478425</v>
      </c>
      <c r="P526" s="6" t="s">
        <v>6404</v>
      </c>
      <c r="Q526" s="6" t="str">
        <f t="shared" si="255"/>
        <v>=3.662*100000000</v>
      </c>
      <c r="R526" s="11">
        <f>3.662*100000000</f>
        <v>366200000</v>
      </c>
      <c r="S526" s="8">
        <f t="shared" si="256"/>
        <v>-0.87934102141680393</v>
      </c>
      <c r="T526" s="6" t="s">
        <v>6405</v>
      </c>
      <c r="U526" s="6" t="str">
        <f t="shared" si="257"/>
        <v>=30.35*100000000</v>
      </c>
      <c r="V526" s="1">
        <f>30.35*100000000</f>
        <v>3035000000</v>
      </c>
      <c r="W526" s="8">
        <f t="shared" si="258"/>
        <v>0.35430611334225792</v>
      </c>
      <c r="X526" s="6" t="s">
        <v>6406</v>
      </c>
      <c r="Y526" s="6" t="str">
        <f t="shared" si="259"/>
        <v>=22.41*100000000</v>
      </c>
      <c r="Z526" s="1">
        <f>22.41*100000000</f>
        <v>2241000000</v>
      </c>
      <c r="AA526" s="8">
        <f t="shared" si="260"/>
        <v>0.6875</v>
      </c>
      <c r="AB526" s="6" t="s">
        <v>6407</v>
      </c>
      <c r="AC526" s="6" t="str">
        <f t="shared" si="261"/>
        <v>=13.28*100000000</v>
      </c>
      <c r="AD526" s="1">
        <f>13.28*100000000</f>
        <v>1328000000</v>
      </c>
      <c r="AE526" s="8">
        <f t="shared" si="262"/>
        <v>6.9425837320574164</v>
      </c>
      <c r="AF526" s="6" t="s">
        <v>6408</v>
      </c>
      <c r="AG526" s="6" t="str">
        <f t="shared" si="263"/>
        <v>=1.672*100000000</v>
      </c>
      <c r="AH526" s="1">
        <f>1.672*100000000</f>
        <v>167200000</v>
      </c>
      <c r="AI526" s="8">
        <f t="shared" si="264"/>
        <v>-0.9467346288626951</v>
      </c>
      <c r="AJ526" s="6" t="s">
        <v>2290</v>
      </c>
      <c r="AK526" s="6" t="str">
        <f t="shared" si="265"/>
        <v>=31.39*100000000</v>
      </c>
      <c r="AL526" s="1">
        <f>31.39*100000000</f>
        <v>3139000000</v>
      </c>
      <c r="AM526" s="8">
        <f t="shared" si="266"/>
        <v>0.23631350925561245</v>
      </c>
      <c r="AN526" s="6" t="s">
        <v>5923</v>
      </c>
      <c r="AO526" s="6" t="str">
        <f t="shared" si="267"/>
        <v>=25.39*100000000</v>
      </c>
      <c r="AP526" s="1">
        <f>25.39*100000000</f>
        <v>2539000000</v>
      </c>
      <c r="AQ526" s="8">
        <f t="shared" si="268"/>
        <v>0.93964858670741025</v>
      </c>
      <c r="AR526" s="6" t="s">
        <v>6409</v>
      </c>
      <c r="AS526" s="6" t="str">
        <f t="shared" si="269"/>
        <v>=13.09*100000000</v>
      </c>
      <c r="AT526" s="1">
        <f>13.09*100000000</f>
        <v>1309000000</v>
      </c>
      <c r="AU526" s="8">
        <f t="shared" si="270"/>
        <v>6.2722222222222221</v>
      </c>
      <c r="AV526" s="6" t="s">
        <v>4281</v>
      </c>
      <c r="AW526" s="6" t="str">
        <f t="shared" si="271"/>
        <v>=1.800*100000000</v>
      </c>
      <c r="AX526" s="1">
        <f>1.8*100000000</f>
        <v>180000000</v>
      </c>
      <c r="AY526" s="10">
        <f t="shared" si="272"/>
        <v>-0.92543496271748138</v>
      </c>
      <c r="AZ526" s="6" t="s">
        <v>4125</v>
      </c>
      <c r="BA526" s="6" t="str">
        <f t="shared" si="273"/>
        <v>=24.14*100000000</v>
      </c>
      <c r="BB526" s="1">
        <f>24.14*100000000</f>
        <v>2414000000</v>
      </c>
      <c r="BC526" s="8">
        <f t="shared" si="274"/>
        <v>0.23668032786885246</v>
      </c>
      <c r="BD526" s="6" t="s">
        <v>1013</v>
      </c>
      <c r="BE526" s="6" t="str">
        <f t="shared" si="275"/>
        <v>=19.52*100000000</v>
      </c>
      <c r="BF526" s="1">
        <f>19.52*100000000</f>
        <v>1952000000</v>
      </c>
      <c r="BG526" s="8">
        <f t="shared" si="276"/>
        <v>1.0480537194418214</v>
      </c>
      <c r="BH526" s="6" t="s">
        <v>6410</v>
      </c>
      <c r="BI526" s="6" t="str">
        <f t="shared" si="277"/>
        <v>=9.531*100000000</v>
      </c>
      <c r="BJ526" s="1">
        <f>9.531*100000000</f>
        <v>953100000</v>
      </c>
      <c r="BK526" s="7" t="s">
        <v>6411</v>
      </c>
      <c r="BL526" s="1" t="str">
        <f t="shared" si="249"/>
        <v>=8700*10000</v>
      </c>
      <c r="BM526" s="16">
        <f t="shared" si="278"/>
        <v>9.9551724137931039</v>
      </c>
      <c r="BN526" s="1">
        <f>8700*10000</f>
        <v>87000000</v>
      </c>
    </row>
    <row r="527" spans="1:66">
      <c r="A527" s="18"/>
      <c r="B527">
        <v>600425</v>
      </c>
      <c r="C527" t="s">
        <v>48</v>
      </c>
      <c r="D527" s="6" t="s">
        <v>6412</v>
      </c>
      <c r="E527" s="7" t="str">
        <f t="shared" si="248"/>
        <v>=5.379*100000000</v>
      </c>
      <c r="F527" s="1">
        <f>5.379*100000000</f>
        <v>537900000</v>
      </c>
      <c r="G527" s="8">
        <f t="shared" si="250"/>
        <v>9.7979179424372315E-2</v>
      </c>
      <c r="H527" s="6" t="s">
        <v>6413</v>
      </c>
      <c r="I527" s="6" t="str">
        <f t="shared" si="251"/>
        <v>=4.899*100000000</v>
      </c>
      <c r="J527" s="1">
        <f>4.899*100000000</f>
        <v>489900000</v>
      </c>
      <c r="K527" s="10">
        <f t="shared" si="252"/>
        <v>1.2807262569832403</v>
      </c>
      <c r="L527" s="6" t="s">
        <v>3394</v>
      </c>
      <c r="M527" s="6" t="str">
        <f t="shared" si="253"/>
        <v>=2.148*100000000</v>
      </c>
      <c r="N527" s="1">
        <f>2.148*100000000</f>
        <v>214800000</v>
      </c>
      <c r="O527" s="8">
        <f t="shared" si="254"/>
        <v>-4.7730546284911295</v>
      </c>
      <c r="P527" s="7">
        <f>-5693*10000</f>
        <v>-56930000</v>
      </c>
      <c r="Q527" s="6" t="str">
        <f t="shared" si="255"/>
        <v>=-56930000</v>
      </c>
      <c r="R527" s="11">
        <f>-56930000</f>
        <v>-56930000</v>
      </c>
      <c r="S527" s="8">
        <f t="shared" si="256"/>
        <v>-1.1723062953995158</v>
      </c>
      <c r="T527" s="6" t="s">
        <v>6414</v>
      </c>
      <c r="U527" s="6" t="str">
        <f t="shared" si="257"/>
        <v>=3.304*100000000</v>
      </c>
      <c r="V527" s="1">
        <f>3.304*100000000</f>
        <v>330400000</v>
      </c>
      <c r="W527" s="8">
        <f t="shared" si="258"/>
        <v>6.1696658097686374E-2</v>
      </c>
      <c r="X527" s="6" t="s">
        <v>6415</v>
      </c>
      <c r="Y527" s="6" t="str">
        <f t="shared" si="259"/>
        <v>=3.112*100000000</v>
      </c>
      <c r="Z527" s="1">
        <f>3.112*100000000</f>
        <v>311200000</v>
      </c>
      <c r="AA527" s="8">
        <f t="shared" si="260"/>
        <v>0.66684520621317622</v>
      </c>
      <c r="AB527" s="6" t="s">
        <v>2942</v>
      </c>
      <c r="AC527" s="6" t="str">
        <f t="shared" si="261"/>
        <v>=1.867*100000000</v>
      </c>
      <c r="AD527" s="1">
        <f>1.867*100000000</f>
        <v>186700000</v>
      </c>
      <c r="AE527" s="8">
        <f t="shared" si="262"/>
        <v>-3.3393058513970679</v>
      </c>
      <c r="AF527" s="7">
        <f>-7981*10000</f>
        <v>-79810000</v>
      </c>
      <c r="AG527" s="6" t="str">
        <f t="shared" si="263"/>
        <v>=-79810000</v>
      </c>
      <c r="AH527" s="1">
        <f>-79810000</f>
        <v>-79810000</v>
      </c>
      <c r="AI527" s="8">
        <f t="shared" si="264"/>
        <v>-1.2924514474166362</v>
      </c>
      <c r="AJ527" s="6" t="s">
        <v>1744</v>
      </c>
      <c r="AK527" s="6" t="str">
        <f t="shared" si="265"/>
        <v>=2.729*100000000</v>
      </c>
      <c r="AL527" s="1">
        <f>2.729*100000000</f>
        <v>272900000</v>
      </c>
      <c r="AM527" s="8">
        <f t="shared" si="266"/>
        <v>-0.46771991417983227</v>
      </c>
      <c r="AN527" s="6" t="s">
        <v>6416</v>
      </c>
      <c r="AO527" s="6" t="str">
        <f t="shared" si="267"/>
        <v>=5.127*100000000</v>
      </c>
      <c r="AP527" s="1">
        <f>5.127*100000000</f>
        <v>512700000</v>
      </c>
      <c r="AQ527" s="8">
        <f t="shared" si="268"/>
        <v>1.8998868778280542</v>
      </c>
      <c r="AR527" s="6" t="s">
        <v>242</v>
      </c>
      <c r="AS527" s="6" t="str">
        <f t="shared" si="269"/>
        <v>=1.768*100000000</v>
      </c>
      <c r="AT527" s="1">
        <f>1.768*100000000</f>
        <v>176800000</v>
      </c>
      <c r="AU527" s="8">
        <f t="shared" si="270"/>
        <v>-2.8081407240744527</v>
      </c>
      <c r="AV527" s="7">
        <f>-9778*10000</f>
        <v>-97780000</v>
      </c>
      <c r="AW527" s="6" t="str">
        <f t="shared" si="271"/>
        <v>=-97780000</v>
      </c>
      <c r="AX527" s="1">
        <f>-97780000</f>
        <v>-97780000</v>
      </c>
      <c r="AY527" s="10">
        <f t="shared" si="272"/>
        <v>-1.1382831282704002</v>
      </c>
      <c r="AZ527" s="6" t="s">
        <v>6417</v>
      </c>
      <c r="BA527" s="6" t="str">
        <f t="shared" si="273"/>
        <v>=7.071*100000000</v>
      </c>
      <c r="BB527" s="1">
        <f>7.071*100000000</f>
        <v>707100000</v>
      </c>
      <c r="BC527" s="8">
        <f t="shared" si="274"/>
        <v>-9.4906340057636882</v>
      </c>
      <c r="BD527" s="7">
        <f>-8328*10000</f>
        <v>-83280000</v>
      </c>
      <c r="BE527" s="6" t="str">
        <f t="shared" si="275"/>
        <v>=-83280000</v>
      </c>
      <c r="BF527" s="1">
        <f>-83280000</f>
        <v>-83280000</v>
      </c>
      <c r="BG527" s="8">
        <f t="shared" si="276"/>
        <v>-3.0336996336996336</v>
      </c>
      <c r="BH527" s="7" t="s">
        <v>6418</v>
      </c>
      <c r="BI527" s="6" t="str">
        <f t="shared" si="277"/>
        <v>=4095*10000</v>
      </c>
      <c r="BJ527" s="1">
        <f>4095*10000</f>
        <v>40950000</v>
      </c>
      <c r="BK527" s="6">
        <f>-1.077*100000000</f>
        <v>-107700000</v>
      </c>
      <c r="BL527" s="1" t="str">
        <f t="shared" si="249"/>
        <v>=-107700000</v>
      </c>
      <c r="BM527" s="16">
        <f t="shared" si="278"/>
        <v>-1.3802228412256268</v>
      </c>
      <c r="BN527" s="1">
        <f>-107700000</f>
        <v>-107700000</v>
      </c>
    </row>
    <row r="528" spans="1:66">
      <c r="A528" s="18"/>
      <c r="B528">
        <v>600425</v>
      </c>
      <c r="C528" t="s">
        <v>58</v>
      </c>
      <c r="D528" s="6" t="s">
        <v>6419</v>
      </c>
      <c r="E528" s="7" t="str">
        <f t="shared" si="248"/>
        <v>=4.270*100000000</v>
      </c>
      <c r="F528" s="1">
        <f>4.27*100000000</f>
        <v>426999999.99999994</v>
      </c>
      <c r="G528" s="8">
        <f t="shared" si="250"/>
        <v>0.1204408291786931</v>
      </c>
      <c r="H528" s="6" t="s">
        <v>6420</v>
      </c>
      <c r="I528" s="6" t="str">
        <f t="shared" si="251"/>
        <v>=3.811*100000000</v>
      </c>
      <c r="J528" s="1">
        <f>3.811*100000000</f>
        <v>381100000</v>
      </c>
      <c r="K528" s="10">
        <f t="shared" si="252"/>
        <v>0.75541225241824073</v>
      </c>
      <c r="L528" s="6" t="s">
        <v>6421</v>
      </c>
      <c r="M528" s="6" t="str">
        <f t="shared" si="253"/>
        <v>=2.171*100000000</v>
      </c>
      <c r="N528" s="1">
        <f>2.171*100000000</f>
        <v>217099999.99999997</v>
      </c>
      <c r="O528" s="8">
        <f t="shared" si="254"/>
        <v>-4.7928022361984626</v>
      </c>
      <c r="P528" s="7">
        <f>-5724*10000</f>
        <v>-57240000</v>
      </c>
      <c r="Q528" s="6" t="str">
        <f t="shared" si="255"/>
        <v>=-57240000</v>
      </c>
      <c r="R528" s="11">
        <f>-57240000</f>
        <v>-57240000</v>
      </c>
      <c r="S528" s="8">
        <f t="shared" si="256"/>
        <v>-1.1499607021220855</v>
      </c>
      <c r="T528" s="6" t="s">
        <v>6422</v>
      </c>
      <c r="U528" s="6" t="str">
        <f t="shared" si="257"/>
        <v>=3.817*100000000</v>
      </c>
      <c r="V528" s="1">
        <f>3.817*100000000</f>
        <v>381700000</v>
      </c>
      <c r="W528" s="8">
        <f t="shared" si="258"/>
        <v>7.3699015471167376E-2</v>
      </c>
      <c r="X528" s="6" t="s">
        <v>6423</v>
      </c>
      <c r="Y528" s="6" t="str">
        <f t="shared" si="259"/>
        <v>=3.555*100000000</v>
      </c>
      <c r="Z528" s="1">
        <f>3.555*100000000</f>
        <v>355500000</v>
      </c>
      <c r="AA528" s="8">
        <f t="shared" si="260"/>
        <v>0.8467532467532467</v>
      </c>
      <c r="AB528" s="6" t="s">
        <v>5314</v>
      </c>
      <c r="AC528" s="6" t="str">
        <f t="shared" si="261"/>
        <v>=1.925*100000000</v>
      </c>
      <c r="AD528" s="1">
        <f>1.925*100000000</f>
        <v>192500000</v>
      </c>
      <c r="AE528" s="8">
        <f t="shared" si="262"/>
        <v>-3.4317837291561393</v>
      </c>
      <c r="AF528" s="7">
        <f>-7916*10000</f>
        <v>-79160000</v>
      </c>
      <c r="AG528" s="6" t="str">
        <f t="shared" si="263"/>
        <v>=-79160000</v>
      </c>
      <c r="AH528" s="1">
        <f>-79160000</f>
        <v>-79160000</v>
      </c>
      <c r="AI528" s="8">
        <f t="shared" si="264"/>
        <v>-1.3444734551784161</v>
      </c>
      <c r="AJ528" s="6" t="s">
        <v>2318</v>
      </c>
      <c r="AK528" s="6" t="str">
        <f t="shared" si="265"/>
        <v>=2.298*100000000</v>
      </c>
      <c r="AL528" s="1">
        <f>2.298*100000000</f>
        <v>229800000</v>
      </c>
      <c r="AM528" s="8">
        <f t="shared" si="266"/>
        <v>-0.69269858250869221</v>
      </c>
      <c r="AN528" s="6" t="s">
        <v>6424</v>
      </c>
      <c r="AO528" s="6" t="str">
        <f t="shared" si="267"/>
        <v>=7.478*100000000</v>
      </c>
      <c r="AP528" s="1">
        <f>7.478*100000000</f>
        <v>747800000</v>
      </c>
      <c r="AQ528" s="8">
        <f t="shared" si="268"/>
        <v>1.5426725603536213</v>
      </c>
      <c r="AR528" s="6" t="s">
        <v>2355</v>
      </c>
      <c r="AS528" s="6" t="str">
        <f t="shared" si="269"/>
        <v>=2.941*100000000</v>
      </c>
      <c r="AT528" s="1">
        <f>2.941*100000000</f>
        <v>294100000</v>
      </c>
      <c r="AU528" s="8">
        <f t="shared" si="270"/>
        <v>-3.98366642994826</v>
      </c>
      <c r="AV528" s="7">
        <f>-9857*10000</f>
        <v>-98570000</v>
      </c>
      <c r="AW528" s="6" t="str">
        <f t="shared" si="271"/>
        <v>=-98570000</v>
      </c>
      <c r="AX528" s="1">
        <f>-98570000</f>
        <v>-98570000</v>
      </c>
      <c r="AY528" s="10">
        <f t="shared" si="272"/>
        <v>-2.8728861865855975</v>
      </c>
      <c r="AZ528" s="7" t="s">
        <v>6425</v>
      </c>
      <c r="BA528" s="6" t="str">
        <f t="shared" si="273"/>
        <v>=5263*10000</v>
      </c>
      <c r="BB528" s="1">
        <f>5263*10000</f>
        <v>52630000</v>
      </c>
      <c r="BC528" s="8">
        <f t="shared" si="274"/>
        <v>-0.86963091404508297</v>
      </c>
      <c r="BD528" s="6" t="s">
        <v>6426</v>
      </c>
      <c r="BE528" s="6" t="str">
        <f t="shared" si="275"/>
        <v>=4.037*100000000</v>
      </c>
      <c r="BF528" s="1">
        <f>4.037*100000000</f>
        <v>403700000</v>
      </c>
      <c r="BG528" s="8">
        <f t="shared" si="276"/>
        <v>8.2549289316827146</v>
      </c>
      <c r="BH528" s="7" t="s">
        <v>6427</v>
      </c>
      <c r="BI528" s="6" t="str">
        <f t="shared" si="277"/>
        <v>=4362*10000</v>
      </c>
      <c r="BJ528" s="1">
        <f>4362*10000</f>
        <v>43620000</v>
      </c>
      <c r="BK528" s="6">
        <f>-1.068*100000000</f>
        <v>-106800000</v>
      </c>
      <c r="BL528" s="1" t="str">
        <f t="shared" si="249"/>
        <v>=-106800000</v>
      </c>
      <c r="BM528" s="16">
        <f t="shared" si="278"/>
        <v>-1.4084269662921349</v>
      </c>
      <c r="BN528" s="1">
        <f>-106800000</f>
        <v>-106800000</v>
      </c>
    </row>
    <row r="529" spans="1:66">
      <c r="A529" s="19"/>
      <c r="B529">
        <v>600425</v>
      </c>
      <c r="C529" t="s">
        <v>68</v>
      </c>
      <c r="D529" s="6" t="s">
        <v>6428</v>
      </c>
      <c r="E529" s="7" t="str">
        <f t="shared" si="248"/>
        <v>=3.120*100000000</v>
      </c>
      <c r="F529" s="1">
        <f>3.12*100000000</f>
        <v>312000000</v>
      </c>
      <c r="G529" s="8">
        <f t="shared" si="250"/>
        <v>9.9753260486429324E-2</v>
      </c>
      <c r="H529" s="6" t="s">
        <v>6221</v>
      </c>
      <c r="I529" s="6" t="str">
        <f t="shared" si="251"/>
        <v>=2.837*100000000</v>
      </c>
      <c r="J529" s="1">
        <f>2.837*100000000</f>
        <v>283700000</v>
      </c>
      <c r="K529" s="10">
        <f t="shared" si="252"/>
        <v>0.7876496534341525</v>
      </c>
      <c r="L529" s="6" t="s">
        <v>1449</v>
      </c>
      <c r="M529" s="6" t="str">
        <f t="shared" si="253"/>
        <v>=1.587*100000000</v>
      </c>
      <c r="N529" s="1">
        <f>1.587*100000000</f>
        <v>158700000</v>
      </c>
      <c r="O529" s="8">
        <f t="shared" si="254"/>
        <v>-3.5090909090909093</v>
      </c>
      <c r="P529" s="7">
        <f>-6325*10000</f>
        <v>-63250000</v>
      </c>
      <c r="Q529" s="6" t="str">
        <f t="shared" si="255"/>
        <v>=-63250000</v>
      </c>
      <c r="R529" s="11">
        <f>-63250000</f>
        <v>-63250000</v>
      </c>
      <c r="S529" s="8">
        <f t="shared" si="256"/>
        <v>-1.2241318214032602</v>
      </c>
      <c r="T529" s="6" t="s">
        <v>6429</v>
      </c>
      <c r="U529" s="6" t="str">
        <f t="shared" si="257"/>
        <v>=2.822*100000000</v>
      </c>
      <c r="V529" s="1">
        <f>2.822*100000000</f>
        <v>282200000</v>
      </c>
      <c r="W529" s="8">
        <f t="shared" si="258"/>
        <v>5.3771471247199401E-2</v>
      </c>
      <c r="X529" s="6" t="s">
        <v>6430</v>
      </c>
      <c r="Y529" s="6" t="str">
        <f t="shared" si="259"/>
        <v>=2.678*100000000</v>
      </c>
      <c r="Z529" s="1">
        <f>2.678*100000000</f>
        <v>267800000</v>
      </c>
      <c r="AA529" s="8">
        <f t="shared" si="260"/>
        <v>1.1304693715194909</v>
      </c>
      <c r="AB529" s="6" t="s">
        <v>6033</v>
      </c>
      <c r="AC529" s="6" t="str">
        <f t="shared" si="261"/>
        <v>=1.257*100000000</v>
      </c>
      <c r="AD529" s="1">
        <f>1.257*100000000</f>
        <v>125699999.99999999</v>
      </c>
      <c r="AE529" s="8">
        <f t="shared" si="262"/>
        <v>-2.5726260477918177</v>
      </c>
      <c r="AF529" s="7">
        <f>-7993*10000</f>
        <v>-79930000</v>
      </c>
      <c r="AG529" s="6" t="str">
        <f t="shared" si="263"/>
        <v>=-79930000</v>
      </c>
      <c r="AH529" s="1">
        <f>-79930000</f>
        <v>-79930000</v>
      </c>
      <c r="AI529" s="8">
        <f t="shared" si="264"/>
        <v>-1.5996249062265566</v>
      </c>
      <c r="AJ529" s="6" t="s">
        <v>4282</v>
      </c>
      <c r="AK529" s="6" t="str">
        <f t="shared" si="265"/>
        <v>=1.333*100000000</v>
      </c>
      <c r="AL529" s="1">
        <f>1.333*100000000</f>
        <v>133300000</v>
      </c>
      <c r="AM529" s="8">
        <f t="shared" si="266"/>
        <v>-0.80116348448687347</v>
      </c>
      <c r="AN529" s="6" t="s">
        <v>898</v>
      </c>
      <c r="AO529" s="6" t="str">
        <f t="shared" si="267"/>
        <v>=6.704*100000000</v>
      </c>
      <c r="AP529" s="1">
        <f>6.704*100000000</f>
        <v>670400000</v>
      </c>
      <c r="AQ529" s="8">
        <f t="shared" si="268"/>
        <v>1.7097817299919158</v>
      </c>
      <c r="AR529" s="6" t="s">
        <v>4049</v>
      </c>
      <c r="AS529" s="6" t="str">
        <f t="shared" si="269"/>
        <v>=2.474*100000000</v>
      </c>
      <c r="AT529" s="1">
        <f>2.474*100000000</f>
        <v>247400000.00000003</v>
      </c>
      <c r="AU529" s="8">
        <f t="shared" si="270"/>
        <v>-3.4641434262948207</v>
      </c>
      <c r="AV529" s="6">
        <f>-1.004*100000000</f>
        <v>-100400000</v>
      </c>
      <c r="AW529" s="6" t="str">
        <f t="shared" si="271"/>
        <v>=-100400000</v>
      </c>
      <c r="AX529" s="1">
        <f>-100400000</f>
        <v>-100400000</v>
      </c>
      <c r="AY529" s="10">
        <f t="shared" si="272"/>
        <v>3.0451248992747786</v>
      </c>
      <c r="AZ529" s="7">
        <f>-2482*10000</f>
        <v>-24820000</v>
      </c>
      <c r="BA529" s="6" t="str">
        <f t="shared" si="273"/>
        <v>=-24820000</v>
      </c>
      <c r="BB529" s="1">
        <f>-24820000</f>
        <v>-24820000</v>
      </c>
      <c r="BC529" s="8">
        <f t="shared" si="274"/>
        <v>-1.0892484717727435</v>
      </c>
      <c r="BD529" s="6" t="s">
        <v>6431</v>
      </c>
      <c r="BE529" s="6" t="str">
        <f t="shared" si="275"/>
        <v>=2.781*100000000</v>
      </c>
      <c r="BF529" s="1">
        <f>2.781*100000000</f>
        <v>278100000</v>
      </c>
      <c r="BG529" s="8">
        <f t="shared" si="276"/>
        <v>8.517453798767967</v>
      </c>
      <c r="BH529" s="7" t="s">
        <v>4933</v>
      </c>
      <c r="BI529" s="6" t="str">
        <f t="shared" si="277"/>
        <v>=2922*10000</v>
      </c>
      <c r="BJ529" s="1">
        <f>2922*10000</f>
        <v>29220000</v>
      </c>
      <c r="BK529" s="6">
        <f>-1.069*100000000</f>
        <v>-106900000</v>
      </c>
      <c r="BL529" s="1" t="str">
        <f t="shared" si="249"/>
        <v>=-106900000</v>
      </c>
      <c r="BM529" s="16">
        <f t="shared" si="278"/>
        <v>-1.2733395696913004</v>
      </c>
      <c r="BN529" s="1">
        <f>-106900000</f>
        <v>-106900000</v>
      </c>
    </row>
    <row r="530" spans="1:66">
      <c r="A530" s="17">
        <v>133</v>
      </c>
      <c r="B530">
        <v>600426</v>
      </c>
      <c r="C530" t="s">
        <v>31</v>
      </c>
      <c r="D530" s="6" t="s">
        <v>6432</v>
      </c>
      <c r="E530" s="7" t="str">
        <f t="shared" si="248"/>
        <v>=266.4*100000000</v>
      </c>
      <c r="F530" s="1">
        <f>266.4*100000000</f>
        <v>26639999999.999996</v>
      </c>
      <c r="G530" s="8">
        <f t="shared" si="250"/>
        <v>0.46132748217224334</v>
      </c>
      <c r="H530" s="6" t="s">
        <v>6433</v>
      </c>
      <c r="I530" s="6" t="str">
        <f t="shared" si="251"/>
        <v>=182.3*100000000</v>
      </c>
      <c r="J530" s="1">
        <f>182.3*100000000</f>
        <v>18230000000</v>
      </c>
      <c r="K530" s="10">
        <f t="shared" si="252"/>
        <v>0.570198105081826</v>
      </c>
      <c r="L530" s="6" t="s">
        <v>6434</v>
      </c>
      <c r="M530" s="6" t="str">
        <f t="shared" si="253"/>
        <v>=116.1*100000000</v>
      </c>
      <c r="N530" s="1">
        <f>116.1*100000000</f>
        <v>11610000000</v>
      </c>
      <c r="O530" s="8">
        <f t="shared" si="254"/>
        <v>1.3206076354187488</v>
      </c>
      <c r="P530" s="6" t="s">
        <v>2828</v>
      </c>
      <c r="Q530" s="6" t="str">
        <f t="shared" si="255"/>
        <v>=50.03*100000000</v>
      </c>
      <c r="R530" s="11">
        <f>50.03*100000000</f>
        <v>5003000000</v>
      </c>
      <c r="S530" s="8">
        <f t="shared" si="256"/>
        <v>-0.61838291380625476</v>
      </c>
      <c r="T530" s="6" t="s">
        <v>877</v>
      </c>
      <c r="U530" s="6" t="str">
        <f t="shared" si="257"/>
        <v>=131.1*100000000</v>
      </c>
      <c r="V530" s="1">
        <f>131.1*100000000</f>
        <v>13110000000</v>
      </c>
      <c r="W530" s="8">
        <f t="shared" si="258"/>
        <v>0.44974013048767003</v>
      </c>
      <c r="X530" s="6" t="s">
        <v>6435</v>
      </c>
      <c r="Y530" s="6" t="str">
        <f t="shared" si="259"/>
        <v>=90.43*100000000</v>
      </c>
      <c r="Z530" s="1">
        <f>90.43*100000000</f>
        <v>9043000000</v>
      </c>
      <c r="AA530" s="8">
        <f t="shared" si="260"/>
        <v>0.5089270815951944</v>
      </c>
      <c r="AB530" s="6" t="s">
        <v>6436</v>
      </c>
      <c r="AC530" s="6" t="str">
        <f t="shared" si="261"/>
        <v>=59.93*100000000</v>
      </c>
      <c r="AD530" s="1">
        <f>59.93*100000000</f>
        <v>5993000000</v>
      </c>
      <c r="AE530" s="8">
        <f t="shared" si="262"/>
        <v>1.0253464008110849</v>
      </c>
      <c r="AF530" s="6" t="s">
        <v>3343</v>
      </c>
      <c r="AG530" s="6" t="str">
        <f t="shared" si="263"/>
        <v>=29.59*100000000</v>
      </c>
      <c r="AH530" s="1">
        <f>29.59*100000000</f>
        <v>2959000000</v>
      </c>
      <c r="AI530" s="8">
        <f t="shared" si="264"/>
        <v>-0.79147286821705432</v>
      </c>
      <c r="AJ530" s="6" t="s">
        <v>1007</v>
      </c>
      <c r="AK530" s="6" t="str">
        <f t="shared" si="265"/>
        <v>=141.9*100000000</v>
      </c>
      <c r="AL530" s="1">
        <f>141.9*100000000</f>
        <v>14190000000</v>
      </c>
      <c r="AM530" s="8">
        <f t="shared" si="266"/>
        <v>0.33741753063147972</v>
      </c>
      <c r="AN530" s="6" t="s">
        <v>6437</v>
      </c>
      <c r="AO530" s="6" t="str">
        <f t="shared" si="267"/>
        <v>=106.1*100000000</v>
      </c>
      <c r="AP530" s="1">
        <f>106.1*100000000</f>
        <v>10610000000</v>
      </c>
      <c r="AQ530" s="8">
        <f t="shared" si="268"/>
        <v>0.49943470887507047</v>
      </c>
      <c r="AR530" s="6" t="s">
        <v>6438</v>
      </c>
      <c r="AS530" s="6" t="str">
        <f t="shared" si="269"/>
        <v>=70.76*100000000</v>
      </c>
      <c r="AT530" s="1">
        <f>70.76*100000000</f>
        <v>7076000000.000001</v>
      </c>
      <c r="AU530" s="8">
        <f t="shared" si="270"/>
        <v>0.99717753316398561</v>
      </c>
      <c r="AV530" s="6" t="s">
        <v>6439</v>
      </c>
      <c r="AW530" s="6" t="str">
        <f t="shared" si="271"/>
        <v>=35.43*100000000</v>
      </c>
      <c r="AX530" s="1">
        <f>35.43*100000000</f>
        <v>3543000000</v>
      </c>
      <c r="AY530" s="10">
        <f t="shared" si="272"/>
        <v>-0.7532729805013928</v>
      </c>
      <c r="AZ530" s="6" t="s">
        <v>6440</v>
      </c>
      <c r="BA530" s="6" t="str">
        <f t="shared" si="273"/>
        <v>=143.6*100000000</v>
      </c>
      <c r="BB530" s="1">
        <f>143.6*100000000</f>
        <v>14360000000</v>
      </c>
      <c r="BC530" s="8">
        <f t="shared" si="274"/>
        <v>0.32350230414746545</v>
      </c>
      <c r="BD530" s="6" t="s">
        <v>881</v>
      </c>
      <c r="BE530" s="6" t="str">
        <f t="shared" si="275"/>
        <v>=108.5*100000000</v>
      </c>
      <c r="BF530" s="1">
        <f>108.5*100000000</f>
        <v>10850000000</v>
      </c>
      <c r="BG530" s="8">
        <f t="shared" si="276"/>
        <v>0.55066457053022722</v>
      </c>
      <c r="BH530" s="6" t="s">
        <v>6441</v>
      </c>
      <c r="BI530" s="6" t="str">
        <f t="shared" si="277"/>
        <v>=69.97*100000000</v>
      </c>
      <c r="BJ530" s="1">
        <f>69.97*100000000</f>
        <v>6997000000</v>
      </c>
      <c r="BK530" s="6" t="s">
        <v>6442</v>
      </c>
      <c r="BL530" s="1" t="str">
        <f t="shared" si="249"/>
        <v>=34.38*100000000</v>
      </c>
      <c r="BM530" s="16">
        <f t="shared" si="278"/>
        <v>1.0351948807446187</v>
      </c>
      <c r="BN530" s="1">
        <f>34.38*100000000</f>
        <v>3438000000.0000005</v>
      </c>
    </row>
    <row r="531" spans="1:66">
      <c r="A531" s="18"/>
      <c r="B531">
        <v>600426</v>
      </c>
      <c r="C531" t="s">
        <v>48</v>
      </c>
      <c r="D531" s="6" t="s">
        <v>6443</v>
      </c>
      <c r="E531" s="7" t="str">
        <f t="shared" si="248"/>
        <v>=85.09*100000000</v>
      </c>
      <c r="F531" s="1">
        <f>85.09*100000000</f>
        <v>8509000000</v>
      </c>
      <c r="G531" s="8">
        <f t="shared" si="250"/>
        <v>0.28865667121005606</v>
      </c>
      <c r="H531" s="6" t="s">
        <v>6444</v>
      </c>
      <c r="I531" s="6" t="str">
        <f t="shared" si="251"/>
        <v>=66.03*100000000</v>
      </c>
      <c r="J531" s="1">
        <f>66.03*100000000</f>
        <v>6603000000</v>
      </c>
      <c r="K531" s="10">
        <f t="shared" si="252"/>
        <v>0.47619047619047616</v>
      </c>
      <c r="L531" s="6" t="s">
        <v>1857</v>
      </c>
      <c r="M531" s="6" t="str">
        <f t="shared" si="253"/>
        <v>=44.73*100000000</v>
      </c>
      <c r="N531" s="1">
        <f>44.73*100000000</f>
        <v>4473000000</v>
      </c>
      <c r="O531" s="8">
        <f t="shared" si="254"/>
        <v>1.412621359223301</v>
      </c>
      <c r="P531" s="6" t="s">
        <v>3411</v>
      </c>
      <c r="Q531" s="6" t="str">
        <f t="shared" si="255"/>
        <v>=18.54*100000000</v>
      </c>
      <c r="R531" s="11">
        <f>18.54*100000000</f>
        <v>1854000000</v>
      </c>
      <c r="S531" s="8">
        <f t="shared" si="256"/>
        <v>-0.12834978843441466</v>
      </c>
      <c r="T531" s="6" t="s">
        <v>6022</v>
      </c>
      <c r="U531" s="6" t="str">
        <f t="shared" si="257"/>
        <v>=21.27*100000000</v>
      </c>
      <c r="V531" s="1">
        <f>21.27*100000000</f>
        <v>2127000000</v>
      </c>
      <c r="W531" s="8">
        <f t="shared" si="258"/>
        <v>0.40581625908790481</v>
      </c>
      <c r="X531" s="6" t="s">
        <v>909</v>
      </c>
      <c r="Y531" s="6" t="str">
        <f t="shared" si="259"/>
        <v>=15.13*100000000</v>
      </c>
      <c r="Z531" s="1">
        <f>15.13*100000000</f>
        <v>1513000000</v>
      </c>
      <c r="AA531" s="8">
        <f t="shared" si="260"/>
        <v>0.43276515151515149</v>
      </c>
      <c r="AB531" s="6" t="s">
        <v>4083</v>
      </c>
      <c r="AC531" s="6" t="str">
        <f t="shared" si="261"/>
        <v>=10.56*100000000</v>
      </c>
      <c r="AD531" s="1">
        <f>10.56*100000000</f>
        <v>1056000000</v>
      </c>
      <c r="AE531" s="8">
        <f t="shared" si="262"/>
        <v>1.0807881773399015</v>
      </c>
      <c r="AF531" s="6" t="s">
        <v>6445</v>
      </c>
      <c r="AG531" s="6" t="str">
        <f t="shared" si="263"/>
        <v>=5.075*100000000</v>
      </c>
      <c r="AH531" s="1">
        <f>5.075*100000000</f>
        <v>507500000</v>
      </c>
      <c r="AI531" s="8">
        <f t="shared" si="264"/>
        <v>-0.82493963435667472</v>
      </c>
      <c r="AJ531" s="6" t="s">
        <v>6446</v>
      </c>
      <c r="AK531" s="6" t="str">
        <f t="shared" si="265"/>
        <v>=28.99*100000000</v>
      </c>
      <c r="AL531" s="1">
        <f>28.99*100000000</f>
        <v>2899000000</v>
      </c>
      <c r="AM531" s="8">
        <f t="shared" si="266"/>
        <v>0.2873001776198934</v>
      </c>
      <c r="AN531" s="6" t="s">
        <v>6447</v>
      </c>
      <c r="AO531" s="6" t="str">
        <f t="shared" si="267"/>
        <v>=22.52*100000000</v>
      </c>
      <c r="AP531" s="1">
        <f>22.52*100000000</f>
        <v>2252000000</v>
      </c>
      <c r="AQ531" s="8">
        <f t="shared" si="268"/>
        <v>0.4604409857328145</v>
      </c>
      <c r="AR531" s="6" t="s">
        <v>6448</v>
      </c>
      <c r="AS531" s="6" t="str">
        <f t="shared" si="269"/>
        <v>=15.42*100000000</v>
      </c>
      <c r="AT531" s="1">
        <f>15.42*100000000</f>
        <v>1542000000</v>
      </c>
      <c r="AU531" s="8">
        <f t="shared" si="270"/>
        <v>1.0402222810267268</v>
      </c>
      <c r="AV531" s="6" t="s">
        <v>6449</v>
      </c>
      <c r="AW531" s="6" t="str">
        <f t="shared" si="271"/>
        <v>=7.558*100000000</v>
      </c>
      <c r="AX531" s="1">
        <f>7.558*100000000</f>
        <v>755800000</v>
      </c>
      <c r="AY531" s="10">
        <f t="shared" si="272"/>
        <v>-0.78823199775847574</v>
      </c>
      <c r="AZ531" s="6" t="s">
        <v>6450</v>
      </c>
      <c r="BA531" s="6" t="str">
        <f t="shared" si="273"/>
        <v>=35.69*100000000</v>
      </c>
      <c r="BB531" s="1">
        <f>35.69*100000000</f>
        <v>3569000000</v>
      </c>
      <c r="BC531" s="8">
        <f t="shared" si="274"/>
        <v>0.19604557640750669</v>
      </c>
      <c r="BD531" s="6" t="s">
        <v>6451</v>
      </c>
      <c r="BE531" s="6" t="str">
        <f t="shared" si="275"/>
        <v>=29.84*100000000</v>
      </c>
      <c r="BF531" s="1">
        <f>29.84*100000000</f>
        <v>2984000000</v>
      </c>
      <c r="BG531" s="8">
        <f t="shared" si="276"/>
        <v>0.51012145748987836</v>
      </c>
      <c r="BH531" s="6" t="s">
        <v>4419</v>
      </c>
      <c r="BI531" s="6" t="str">
        <f t="shared" si="277"/>
        <v>=19.76*100000000</v>
      </c>
      <c r="BJ531" s="1">
        <f>19.76*100000000</f>
        <v>1976000000.0000002</v>
      </c>
      <c r="BK531" s="6" t="s">
        <v>6452</v>
      </c>
      <c r="BL531" s="1" t="str">
        <f t="shared" si="249"/>
        <v>=8.659*100000000</v>
      </c>
      <c r="BM531" s="16">
        <f t="shared" si="278"/>
        <v>1.2820187088578356</v>
      </c>
      <c r="BN531" s="1">
        <f>8.659*100000000</f>
        <v>865900000.00000012</v>
      </c>
    </row>
    <row r="532" spans="1:66">
      <c r="A532" s="18"/>
      <c r="B532">
        <v>600426</v>
      </c>
      <c r="C532" t="s">
        <v>58</v>
      </c>
      <c r="D532" s="6" t="s">
        <v>6453</v>
      </c>
      <c r="E532" s="7" t="str">
        <f t="shared" si="248"/>
        <v>=85.27*100000000</v>
      </c>
      <c r="F532" s="1">
        <f>85.27*100000000</f>
        <v>8527000000</v>
      </c>
      <c r="G532" s="8">
        <f t="shared" si="250"/>
        <v>0.2911871592973953</v>
      </c>
      <c r="H532" s="6" t="s">
        <v>5112</v>
      </c>
      <c r="I532" s="6" t="str">
        <f t="shared" si="251"/>
        <v>=66.04*100000000</v>
      </c>
      <c r="J532" s="1">
        <f>66.04*100000000</f>
        <v>6604000000.000001</v>
      </c>
      <c r="K532" s="10">
        <f t="shared" si="252"/>
        <v>0.47608404112650893</v>
      </c>
      <c r="L532" s="6" t="s">
        <v>6454</v>
      </c>
      <c r="M532" s="6" t="str">
        <f t="shared" si="253"/>
        <v>=44.74*100000000</v>
      </c>
      <c r="N532" s="1">
        <f>44.74*100000000</f>
        <v>4474000000</v>
      </c>
      <c r="O532" s="8">
        <f t="shared" si="254"/>
        <v>1.4118598382749326</v>
      </c>
      <c r="P532" s="6" t="s">
        <v>6455</v>
      </c>
      <c r="Q532" s="6" t="str">
        <f t="shared" si="255"/>
        <v>=18.55*100000000</v>
      </c>
      <c r="R532" s="11">
        <f>18.55*100000000</f>
        <v>1855000000</v>
      </c>
      <c r="S532" s="8">
        <f t="shared" si="256"/>
        <v>-0.12623645784267545</v>
      </c>
      <c r="T532" s="6" t="s">
        <v>6456</v>
      </c>
      <c r="U532" s="6" t="str">
        <f t="shared" si="257"/>
        <v>=21.23*100000000</v>
      </c>
      <c r="V532" s="1">
        <f>21.23*100000000</f>
        <v>2123000000</v>
      </c>
      <c r="W532" s="8">
        <f t="shared" si="258"/>
        <v>0.39855072463768115</v>
      </c>
      <c r="X532" s="6" t="s">
        <v>892</v>
      </c>
      <c r="Y532" s="6" t="str">
        <f t="shared" si="259"/>
        <v>=15.18*100000000</v>
      </c>
      <c r="Z532" s="1">
        <f>15.18*100000000</f>
        <v>1518000000</v>
      </c>
      <c r="AA532" s="8">
        <f t="shared" si="260"/>
        <v>0.42803386641580415</v>
      </c>
      <c r="AB532" s="6" t="s">
        <v>6457</v>
      </c>
      <c r="AC532" s="6" t="str">
        <f t="shared" si="261"/>
        <v>=10.63*100000000</v>
      </c>
      <c r="AD532" s="1">
        <f>10.63*100000000</f>
        <v>1063000000.0000001</v>
      </c>
      <c r="AE532" s="8">
        <f t="shared" si="262"/>
        <v>1.1070366699702678</v>
      </c>
      <c r="AF532" s="6" t="s">
        <v>2958</v>
      </c>
      <c r="AG532" s="6" t="str">
        <f t="shared" si="263"/>
        <v>=5.045*100000000</v>
      </c>
      <c r="AH532" s="1">
        <f>5.045*100000000</f>
        <v>504500000</v>
      </c>
      <c r="AI532" s="8">
        <f t="shared" si="264"/>
        <v>-0.82579419889502759</v>
      </c>
      <c r="AJ532" s="6" t="s">
        <v>6458</v>
      </c>
      <c r="AK532" s="6" t="str">
        <f t="shared" si="265"/>
        <v>=28.96*100000000</v>
      </c>
      <c r="AL532" s="1">
        <f>28.96*100000000</f>
        <v>2896000000</v>
      </c>
      <c r="AM532" s="8">
        <f t="shared" si="266"/>
        <v>0.28653931585961795</v>
      </c>
      <c r="AN532" s="6" t="s">
        <v>6459</v>
      </c>
      <c r="AO532" s="6" t="str">
        <f t="shared" si="267"/>
        <v>=22.51*100000000</v>
      </c>
      <c r="AP532" s="1">
        <f>22.51*100000000</f>
        <v>2251000000</v>
      </c>
      <c r="AQ532" s="8">
        <f t="shared" si="268"/>
        <v>0.46073977936404931</v>
      </c>
      <c r="AR532" s="6" t="s">
        <v>6460</v>
      </c>
      <c r="AS532" s="6" t="str">
        <f t="shared" si="269"/>
        <v>=15.41*100000000</v>
      </c>
      <c r="AT532" s="1">
        <f>15.41*100000000</f>
        <v>1541000000</v>
      </c>
      <c r="AU532" s="8">
        <f t="shared" si="270"/>
        <v>1.0388991796771632</v>
      </c>
      <c r="AV532" s="6" t="s">
        <v>6449</v>
      </c>
      <c r="AW532" s="6" t="str">
        <f t="shared" si="271"/>
        <v>=7.558*100000000</v>
      </c>
      <c r="AX532" s="1">
        <f>7.558*100000000</f>
        <v>755800000</v>
      </c>
      <c r="AY532" s="10">
        <f t="shared" si="272"/>
        <v>-0.78799438990182324</v>
      </c>
      <c r="AZ532" s="6" t="s">
        <v>6461</v>
      </c>
      <c r="BA532" s="6" t="str">
        <f t="shared" si="273"/>
        <v>=35.65*100000000</v>
      </c>
      <c r="BB532" s="1">
        <f>35.65*100000000</f>
        <v>3565000000</v>
      </c>
      <c r="BC532" s="8">
        <f t="shared" si="274"/>
        <v>0.19550637156270959</v>
      </c>
      <c r="BD532" s="6" t="s">
        <v>5242</v>
      </c>
      <c r="BE532" s="6" t="str">
        <f t="shared" si="275"/>
        <v>=29.82*100000000</v>
      </c>
      <c r="BF532" s="1">
        <f>29.82*100000000</f>
        <v>2982000000</v>
      </c>
      <c r="BG532" s="8">
        <f t="shared" si="276"/>
        <v>0.50987341772151895</v>
      </c>
      <c r="BH532" s="6" t="s">
        <v>2950</v>
      </c>
      <c r="BI532" s="6" t="str">
        <f t="shared" si="277"/>
        <v>=19.75*100000000</v>
      </c>
      <c r="BJ532" s="1">
        <f>19.75*100000000</f>
        <v>1975000000</v>
      </c>
      <c r="BK532" s="6" t="s">
        <v>6462</v>
      </c>
      <c r="BL532" s="1" t="str">
        <f t="shared" si="249"/>
        <v>=8.652*100000000</v>
      </c>
      <c r="BM532" s="16">
        <f t="shared" si="278"/>
        <v>1.2827092001849285</v>
      </c>
      <c r="BN532" s="1">
        <f>8.652*100000000</f>
        <v>865199999.99999988</v>
      </c>
    </row>
    <row r="533" spans="1:66">
      <c r="A533" s="19"/>
      <c r="B533">
        <v>600426</v>
      </c>
      <c r="C533" t="s">
        <v>68</v>
      </c>
      <c r="D533" s="6" t="s">
        <v>6463</v>
      </c>
      <c r="E533" s="7" t="str">
        <f t="shared" si="248"/>
        <v>=72.54*100000000</v>
      </c>
      <c r="F533" s="1">
        <f>72.54*100000000</f>
        <v>7254000000.000001</v>
      </c>
      <c r="G533" s="8">
        <f t="shared" si="250"/>
        <v>0.29281767955801125</v>
      </c>
      <c r="H533" s="6" t="s">
        <v>6464</v>
      </c>
      <c r="I533" s="6" t="str">
        <f t="shared" si="251"/>
        <v>=56.11*100000000</v>
      </c>
      <c r="J533" s="1">
        <f>56.11*100000000</f>
        <v>5611000000</v>
      </c>
      <c r="K533" s="10">
        <f t="shared" si="252"/>
        <v>0.47619047619047616</v>
      </c>
      <c r="L533" s="6" t="s">
        <v>1932</v>
      </c>
      <c r="M533" s="6" t="str">
        <f t="shared" si="253"/>
        <v>=38.01*100000000</v>
      </c>
      <c r="N533" s="1">
        <f>38.01*100000000</f>
        <v>3801000000</v>
      </c>
      <c r="O533" s="8">
        <f t="shared" si="254"/>
        <v>1.4118020304568528</v>
      </c>
      <c r="P533" s="6" t="s">
        <v>6465</v>
      </c>
      <c r="Q533" s="6" t="str">
        <f t="shared" si="255"/>
        <v>=15.76*100000000</v>
      </c>
      <c r="R533" s="11">
        <f>15.76*100000000</f>
        <v>1576000000</v>
      </c>
      <c r="S533" s="8">
        <f t="shared" si="256"/>
        <v>-0.12347052280311457</v>
      </c>
      <c r="T533" s="6" t="s">
        <v>5646</v>
      </c>
      <c r="U533" s="6" t="str">
        <f t="shared" si="257"/>
        <v>=17.98*100000000</v>
      </c>
      <c r="V533" s="1">
        <f>17.98*100000000</f>
        <v>1798000000</v>
      </c>
      <c r="W533" s="8">
        <f t="shared" si="258"/>
        <v>0.39271882261812546</v>
      </c>
      <c r="X533" s="6" t="s">
        <v>6466</v>
      </c>
      <c r="Y533" s="6" t="str">
        <f t="shared" si="259"/>
        <v>=12.91*100000000</v>
      </c>
      <c r="Z533" s="1">
        <f>12.91*100000000</f>
        <v>1291000000</v>
      </c>
      <c r="AA533" s="8">
        <f t="shared" si="260"/>
        <v>0.42793938723592523</v>
      </c>
      <c r="AB533" s="6" t="s">
        <v>4019</v>
      </c>
      <c r="AC533" s="6" t="str">
        <f t="shared" si="261"/>
        <v>=9.041*100000000</v>
      </c>
      <c r="AD533" s="1">
        <f>9.041*100000000</f>
        <v>904100000</v>
      </c>
      <c r="AE533" s="8">
        <f t="shared" si="262"/>
        <v>1.1045158286778398</v>
      </c>
      <c r="AF533" s="6" t="s">
        <v>6467</v>
      </c>
      <c r="AG533" s="6" t="str">
        <f t="shared" si="263"/>
        <v>=4.296*100000000</v>
      </c>
      <c r="AH533" s="1">
        <f>4.296*100000000</f>
        <v>429600000</v>
      </c>
      <c r="AI533" s="8">
        <f t="shared" si="264"/>
        <v>-0.82486750917244189</v>
      </c>
      <c r="AJ533" s="6" t="s">
        <v>6468</v>
      </c>
      <c r="AK533" s="6" t="str">
        <f t="shared" si="265"/>
        <v>=24.53*100000000</v>
      </c>
      <c r="AL533" s="1">
        <f>24.53*100000000</f>
        <v>2453000000</v>
      </c>
      <c r="AM533" s="8">
        <f t="shared" si="266"/>
        <v>0.28294979079497906</v>
      </c>
      <c r="AN533" s="6" t="s">
        <v>4146</v>
      </c>
      <c r="AO533" s="6" t="str">
        <f t="shared" si="267"/>
        <v>=19.12*100000000</v>
      </c>
      <c r="AP533" s="1">
        <f>19.12*100000000</f>
        <v>1912000000</v>
      </c>
      <c r="AQ533" s="8">
        <f t="shared" si="268"/>
        <v>0.46065699006875477</v>
      </c>
      <c r="AR533" s="6" t="s">
        <v>6409</v>
      </c>
      <c r="AS533" s="6" t="str">
        <f t="shared" si="269"/>
        <v>=13.09*100000000</v>
      </c>
      <c r="AT533" s="1">
        <f>13.09*100000000</f>
        <v>1309000000</v>
      </c>
      <c r="AU533" s="8">
        <f t="shared" si="270"/>
        <v>1.0379884789039389</v>
      </c>
      <c r="AV533" s="6" t="s">
        <v>6469</v>
      </c>
      <c r="AW533" s="6" t="str">
        <f t="shared" si="271"/>
        <v>=6.423*100000000</v>
      </c>
      <c r="AX533" s="1">
        <f>6.423*100000000</f>
        <v>642300000</v>
      </c>
      <c r="AY533" s="10">
        <f t="shared" si="272"/>
        <v>-0.787317880794702</v>
      </c>
      <c r="AZ533" s="6" t="s">
        <v>3359</v>
      </c>
      <c r="BA533" s="6" t="str">
        <f t="shared" si="273"/>
        <v>=30.20*100000000</v>
      </c>
      <c r="BB533" s="1">
        <f>30.2*100000000</f>
        <v>3020000000</v>
      </c>
      <c r="BC533" s="8">
        <f t="shared" si="274"/>
        <v>0.19132149901380671</v>
      </c>
      <c r="BD533" s="6" t="s">
        <v>6470</v>
      </c>
      <c r="BE533" s="6" t="str">
        <f t="shared" si="275"/>
        <v>=25.35*100000000</v>
      </c>
      <c r="BF533" s="1">
        <f>25.35*100000000</f>
        <v>2535000000</v>
      </c>
      <c r="BG533" s="8">
        <f t="shared" si="276"/>
        <v>0.5089285714285714</v>
      </c>
      <c r="BH533" s="6" t="s">
        <v>1545</v>
      </c>
      <c r="BI533" s="6" t="str">
        <f t="shared" si="277"/>
        <v>=16.80*100000000</v>
      </c>
      <c r="BJ533" s="1">
        <f>16.8*100000000</f>
        <v>1680000000</v>
      </c>
      <c r="BK533" s="6" t="s">
        <v>6471</v>
      </c>
      <c r="BL533" s="1" t="str">
        <f t="shared" si="249"/>
        <v>=7.341*100000000</v>
      </c>
      <c r="BM533" s="16">
        <f t="shared" si="278"/>
        <v>1.2885165508786269</v>
      </c>
      <c r="BN533" s="1">
        <f>7.341*100000000</f>
        <v>734100000</v>
      </c>
    </row>
    <row r="534" spans="1:66">
      <c r="A534" s="17">
        <v>134</v>
      </c>
      <c r="B534">
        <v>600428</v>
      </c>
      <c r="C534" t="s">
        <v>31</v>
      </c>
      <c r="D534" s="6" t="s">
        <v>6472</v>
      </c>
      <c r="E534" s="7" t="str">
        <f t="shared" si="248"/>
        <v>=87.53*100000000</v>
      </c>
      <c r="F534" s="1">
        <f>87.53*100000000</f>
        <v>8753000000</v>
      </c>
      <c r="G534" s="8">
        <f t="shared" si="250"/>
        <v>0.46371237458193981</v>
      </c>
      <c r="H534" s="6" t="s">
        <v>6473</v>
      </c>
      <c r="I534" s="6" t="str">
        <f t="shared" si="251"/>
        <v>=59.80*100000000</v>
      </c>
      <c r="J534" s="1">
        <f>59.8*100000000</f>
        <v>5980000000</v>
      </c>
      <c r="K534" s="10">
        <f t="shared" si="252"/>
        <v>0.66157265907196439</v>
      </c>
      <c r="L534" s="6" t="s">
        <v>6474</v>
      </c>
      <c r="M534" s="6" t="str">
        <f t="shared" si="253"/>
        <v>=35.99*100000000</v>
      </c>
      <c r="N534" s="1">
        <f>35.99*100000000</f>
        <v>3599000000</v>
      </c>
      <c r="O534" s="8">
        <f t="shared" si="254"/>
        <v>1.2692307692307692</v>
      </c>
      <c r="P534" s="6" t="s">
        <v>278</v>
      </c>
      <c r="Q534" s="6" t="str">
        <f t="shared" si="255"/>
        <v>=15.86*100000000</v>
      </c>
      <c r="R534" s="11">
        <f>15.86*100000000</f>
        <v>1586000000</v>
      </c>
      <c r="S534" s="8">
        <f t="shared" si="256"/>
        <v>-0.77471590909090915</v>
      </c>
      <c r="T534" s="6" t="s">
        <v>3256</v>
      </c>
      <c r="U534" s="6" t="str">
        <f t="shared" si="257"/>
        <v>=70.40*100000000</v>
      </c>
      <c r="V534" s="1">
        <f>70.4*100000000</f>
        <v>7040000000.000001</v>
      </c>
      <c r="W534" s="8">
        <f t="shared" si="258"/>
        <v>0.2769816796662436</v>
      </c>
      <c r="X534" s="6" t="s">
        <v>6475</v>
      </c>
      <c r="Y534" s="6" t="str">
        <f t="shared" si="259"/>
        <v>=55.13*100000000</v>
      </c>
      <c r="Z534" s="1">
        <f>55.13*100000000</f>
        <v>5513000000</v>
      </c>
      <c r="AA534" s="8">
        <f t="shared" si="260"/>
        <v>0.4394255874673631</v>
      </c>
      <c r="AB534" s="6" t="s">
        <v>6476</v>
      </c>
      <c r="AC534" s="6" t="str">
        <f t="shared" si="261"/>
        <v>=38.30*100000000</v>
      </c>
      <c r="AD534" s="1">
        <f>38.3*100000000</f>
        <v>3829999999.9999995</v>
      </c>
      <c r="AE534" s="8">
        <f t="shared" si="262"/>
        <v>0.92849949647532704</v>
      </c>
      <c r="AF534" s="6" t="s">
        <v>6477</v>
      </c>
      <c r="AG534" s="6" t="str">
        <f t="shared" si="263"/>
        <v>=19.86*100000000</v>
      </c>
      <c r="AH534" s="1">
        <f>19.86*100000000</f>
        <v>1986000000</v>
      </c>
      <c r="AI534" s="8">
        <f t="shared" si="264"/>
        <v>-0.75973868860391969</v>
      </c>
      <c r="AJ534" s="6" t="s">
        <v>6478</v>
      </c>
      <c r="AK534" s="6" t="str">
        <f t="shared" si="265"/>
        <v>=82.66*100000000</v>
      </c>
      <c r="AL534" s="1">
        <f>82.66*100000000</f>
        <v>8266000000</v>
      </c>
      <c r="AM534" s="8">
        <f t="shared" si="266"/>
        <v>0.35953947368421052</v>
      </c>
      <c r="AN534" s="6" t="s">
        <v>6479</v>
      </c>
      <c r="AO534" s="6" t="str">
        <f t="shared" si="267"/>
        <v>=60.80*100000000</v>
      </c>
      <c r="AP534" s="1">
        <f>60.8*100000000</f>
        <v>6080000000</v>
      </c>
      <c r="AQ534" s="8">
        <f t="shared" si="268"/>
        <v>0.52533868539889617</v>
      </c>
      <c r="AR534" s="6" t="s">
        <v>6480</v>
      </c>
      <c r="AS534" s="6" t="str">
        <f t="shared" si="269"/>
        <v>=39.86*100000000</v>
      </c>
      <c r="AT534" s="1">
        <f>39.86*100000000</f>
        <v>3986000000</v>
      </c>
      <c r="AU534" s="8">
        <f t="shared" si="270"/>
        <v>1.0326364099949006</v>
      </c>
      <c r="AV534" s="6" t="s">
        <v>5804</v>
      </c>
      <c r="AW534" s="6" t="str">
        <f t="shared" si="271"/>
        <v>=19.61*100000000</v>
      </c>
      <c r="AX534" s="1">
        <f>19.61*100000000</f>
        <v>1961000000</v>
      </c>
      <c r="AY534" s="10">
        <f t="shared" si="272"/>
        <v>-0.74125874125874125</v>
      </c>
      <c r="AZ534" s="6" t="s">
        <v>6481</v>
      </c>
      <c r="BA534" s="6" t="str">
        <f t="shared" si="273"/>
        <v>=75.79*100000000</v>
      </c>
      <c r="BB534" s="1">
        <f>75.79*100000000</f>
        <v>7579000000.000001</v>
      </c>
      <c r="BC534" s="8">
        <f t="shared" si="274"/>
        <v>0.37425203989120598</v>
      </c>
      <c r="BD534" s="6" t="s">
        <v>6482</v>
      </c>
      <c r="BE534" s="6" t="str">
        <f t="shared" si="275"/>
        <v>=55.15*100000000</v>
      </c>
      <c r="BF534" s="1">
        <f>55.15*100000000</f>
        <v>5515000000</v>
      </c>
      <c r="BG534" s="8">
        <f t="shared" si="276"/>
        <v>0.62110523221634306</v>
      </c>
      <c r="BH534" s="6" t="s">
        <v>5378</v>
      </c>
      <c r="BI534" s="6" t="str">
        <f t="shared" si="277"/>
        <v>=34.02*100000000</v>
      </c>
      <c r="BJ534" s="1">
        <f>34.02*100000000</f>
        <v>3402000000.0000005</v>
      </c>
      <c r="BK534" s="6" t="s">
        <v>6483</v>
      </c>
      <c r="BL534" s="1" t="str">
        <f t="shared" si="249"/>
        <v>=16.23*100000000</v>
      </c>
      <c r="BM534" s="16">
        <f t="shared" si="278"/>
        <v>1.0961182994454717</v>
      </c>
      <c r="BN534" s="1">
        <f>16.23*100000000</f>
        <v>1623000000</v>
      </c>
    </row>
    <row r="535" spans="1:66">
      <c r="A535" s="18"/>
      <c r="B535">
        <v>600428</v>
      </c>
      <c r="C535" t="s">
        <v>48</v>
      </c>
      <c r="D535" s="6" t="s">
        <v>6484</v>
      </c>
      <c r="E535" s="7" t="str">
        <f t="shared" si="248"/>
        <v>=4.526*100000000</v>
      </c>
      <c r="F535" s="1">
        <f>4.526*100000000</f>
        <v>452600000</v>
      </c>
      <c r="G535" s="8">
        <f t="shared" si="250"/>
        <v>-0.20428973277074544</v>
      </c>
      <c r="H535" s="6" t="s">
        <v>6485</v>
      </c>
      <c r="I535" s="6" t="str">
        <f t="shared" si="251"/>
        <v>=5.688*100000000</v>
      </c>
      <c r="J535" s="1">
        <f>5.688*100000000</f>
        <v>568800000</v>
      </c>
      <c r="K535" s="10">
        <f t="shared" si="252"/>
        <v>1.7732813261823499</v>
      </c>
      <c r="L535" s="6" t="s">
        <v>2990</v>
      </c>
      <c r="M535" s="6" t="str">
        <f t="shared" si="253"/>
        <v>=2.051*100000000</v>
      </c>
      <c r="N535" s="1">
        <f>2.051*100000000</f>
        <v>205100000.00000003</v>
      </c>
      <c r="O535" s="8">
        <f t="shared" si="254"/>
        <v>5.9080498484338175</v>
      </c>
      <c r="P535" s="7" t="s">
        <v>6486</v>
      </c>
      <c r="Q535" s="6" t="str">
        <f t="shared" si="255"/>
        <v>=2969*10000</v>
      </c>
      <c r="R535" s="11">
        <f>2969*10000</f>
        <v>29690000</v>
      </c>
      <c r="S535" s="8">
        <f t="shared" si="256"/>
        <v>-0.64759643916913945</v>
      </c>
      <c r="T535" s="7" t="s">
        <v>6487</v>
      </c>
      <c r="U535" s="6" t="str">
        <f t="shared" si="257"/>
        <v>=8425*10000</v>
      </c>
      <c r="V535" s="1">
        <f>8425*10000</f>
        <v>84250000</v>
      </c>
      <c r="W535" s="8">
        <f t="shared" si="258"/>
        <v>-0.27245250431778922</v>
      </c>
      <c r="X535" s="6" t="s">
        <v>4465</v>
      </c>
      <c r="Y535" s="6" t="str">
        <f t="shared" si="259"/>
        <v>=1.158*100000000</v>
      </c>
      <c r="Z535" s="1">
        <f>1.158*100000000</f>
        <v>115799999.99999999</v>
      </c>
      <c r="AA535" s="8">
        <f t="shared" si="260"/>
        <v>0.74161528049330705</v>
      </c>
      <c r="AB535" s="7" t="s">
        <v>6488</v>
      </c>
      <c r="AC535" s="6" t="str">
        <f t="shared" si="261"/>
        <v>=6649*10000</v>
      </c>
      <c r="AD535" s="1">
        <f>6649*10000</f>
        <v>66490000</v>
      </c>
      <c r="AE535" s="8">
        <f t="shared" si="262"/>
        <v>5.2726415094339627</v>
      </c>
      <c r="AF535" s="7" t="s">
        <v>3728</v>
      </c>
      <c r="AG535" s="6" t="str">
        <f t="shared" si="263"/>
        <v>=1060*10000</v>
      </c>
      <c r="AH535" s="1">
        <f>1060*10000</f>
        <v>10600000</v>
      </c>
      <c r="AI535" s="8">
        <f t="shared" si="264"/>
        <v>-0.96549479166666663</v>
      </c>
      <c r="AJ535" s="6" t="s">
        <v>6489</v>
      </c>
      <c r="AK535" s="6" t="str">
        <f t="shared" si="265"/>
        <v>=3.072*100000000</v>
      </c>
      <c r="AL535" s="1">
        <f>3.072*100000000</f>
        <v>307200000</v>
      </c>
      <c r="AM535" s="8">
        <f t="shared" si="266"/>
        <v>0.30501274426508074</v>
      </c>
      <c r="AN535" s="6" t="s">
        <v>6490</v>
      </c>
      <c r="AO535" s="6" t="str">
        <f t="shared" si="267"/>
        <v>=2.354*100000000</v>
      </c>
      <c r="AP535" s="1">
        <f>2.354*100000000</f>
        <v>235400000</v>
      </c>
      <c r="AQ535" s="8">
        <f t="shared" si="268"/>
        <v>0.88169464428457256</v>
      </c>
      <c r="AR535" s="6" t="s">
        <v>4464</v>
      </c>
      <c r="AS535" s="6" t="str">
        <f t="shared" si="269"/>
        <v>=1.251*100000000</v>
      </c>
      <c r="AT535" s="1">
        <f>1.251*100000000</f>
        <v>125099999.99999999</v>
      </c>
      <c r="AU535" s="8">
        <f t="shared" si="270"/>
        <v>1.6679462571976964</v>
      </c>
      <c r="AV535" s="7" t="s">
        <v>6491</v>
      </c>
      <c r="AW535" s="6" t="str">
        <f t="shared" si="271"/>
        <v>=4689*10000</v>
      </c>
      <c r="AX535" s="1">
        <f>4689*10000</f>
        <v>46890000</v>
      </c>
      <c r="AY535" s="10">
        <f t="shared" si="272"/>
        <v>-0.35046405319296303</v>
      </c>
      <c r="AZ535" s="7" t="s">
        <v>6052</v>
      </c>
      <c r="BA535" s="6" t="str">
        <f t="shared" si="273"/>
        <v>=7219*10000</v>
      </c>
      <c r="BB535" s="1">
        <f>7219*10000</f>
        <v>72190000</v>
      </c>
      <c r="BC535" s="8">
        <f t="shared" si="274"/>
        <v>-0.29294809010773742</v>
      </c>
      <c r="BD535" s="6" t="s">
        <v>4430</v>
      </c>
      <c r="BE535" s="6" t="str">
        <f t="shared" si="275"/>
        <v>=1.021*100000000</v>
      </c>
      <c r="BF535" s="1">
        <f>1.021*100000000</f>
        <v>102099999.99999999</v>
      </c>
      <c r="BG535" s="8">
        <f t="shared" si="276"/>
        <v>0.50058788947677813</v>
      </c>
      <c r="BH535" s="7" t="s">
        <v>6492</v>
      </c>
      <c r="BI535" s="6" t="str">
        <f t="shared" si="277"/>
        <v>=6804*10000</v>
      </c>
      <c r="BJ535" s="1">
        <f>6804*10000</f>
        <v>68040000</v>
      </c>
      <c r="BK535" s="7" t="s">
        <v>6493</v>
      </c>
      <c r="BL535" s="1" t="str">
        <f t="shared" si="249"/>
        <v>=2863*10000</v>
      </c>
      <c r="BM535" s="16">
        <f t="shared" si="278"/>
        <v>1.3765281173594133</v>
      </c>
      <c r="BN535" s="1">
        <f>2863*10000</f>
        <v>28630000</v>
      </c>
    </row>
    <row r="536" spans="1:66">
      <c r="A536" s="18"/>
      <c r="B536">
        <v>600428</v>
      </c>
      <c r="C536" t="s">
        <v>58</v>
      </c>
      <c r="D536" s="6" t="s">
        <v>6494</v>
      </c>
      <c r="E536" s="7" t="str">
        <f t="shared" si="248"/>
        <v>=4.663*100000000</v>
      </c>
      <c r="F536" s="1">
        <f>4.663*100000000</f>
        <v>466300000</v>
      </c>
      <c r="G536" s="8">
        <f t="shared" si="250"/>
        <v>-0.20535105657805044</v>
      </c>
      <c r="H536" s="6" t="s">
        <v>6495</v>
      </c>
      <c r="I536" s="6" t="str">
        <f t="shared" si="251"/>
        <v>=5.868*100000000</v>
      </c>
      <c r="J536" s="1">
        <f>5.868*100000000</f>
        <v>586800000</v>
      </c>
      <c r="K536" s="10">
        <f t="shared" si="252"/>
        <v>1.7731568998109641</v>
      </c>
      <c r="L536" s="6" t="s">
        <v>6496</v>
      </c>
      <c r="M536" s="6" t="str">
        <f t="shared" si="253"/>
        <v>=2.116*100000000</v>
      </c>
      <c r="N536" s="1">
        <f>2.116*100000000</f>
        <v>211600000</v>
      </c>
      <c r="O536" s="8">
        <f t="shared" si="254"/>
        <v>5.5531124187054814</v>
      </c>
      <c r="P536" s="7" t="s">
        <v>6497</v>
      </c>
      <c r="Q536" s="6" t="str">
        <f t="shared" si="255"/>
        <v>=3229*10000</v>
      </c>
      <c r="R536" s="11">
        <f>3229*10000</f>
        <v>32290000</v>
      </c>
      <c r="S536" s="8">
        <f t="shared" si="256"/>
        <v>-0.78672391017173049</v>
      </c>
      <c r="T536" s="6" t="s">
        <v>2101</v>
      </c>
      <c r="U536" s="6" t="str">
        <f t="shared" si="257"/>
        <v>=1.514*100000000</v>
      </c>
      <c r="V536" s="1">
        <f>1.514*100000000</f>
        <v>151400000</v>
      </c>
      <c r="W536" s="8">
        <f t="shared" si="258"/>
        <v>-3.5668789808917196E-2</v>
      </c>
      <c r="X536" s="6" t="s">
        <v>3968</v>
      </c>
      <c r="Y536" s="6" t="str">
        <f t="shared" si="259"/>
        <v>=1.570*100000000</v>
      </c>
      <c r="Z536" s="1">
        <f>1.57*100000000</f>
        <v>157000000</v>
      </c>
      <c r="AA536" s="8">
        <f t="shared" si="260"/>
        <v>0.6836461126005362</v>
      </c>
      <c r="AB536" s="7" t="s">
        <v>2748</v>
      </c>
      <c r="AC536" s="6" t="str">
        <f t="shared" si="261"/>
        <v>=9325*10000</v>
      </c>
      <c r="AD536" s="1">
        <f>9325*10000</f>
        <v>93250000</v>
      </c>
      <c r="AE536" s="8">
        <f t="shared" si="262"/>
        <v>7.8388625592417061</v>
      </c>
      <c r="AF536" s="7" t="s">
        <v>6498</v>
      </c>
      <c r="AG536" s="6" t="str">
        <f t="shared" si="263"/>
        <v>=1055*10000</v>
      </c>
      <c r="AH536" s="1">
        <f>1055*10000</f>
        <v>10550000</v>
      </c>
      <c r="AI536" s="8">
        <f t="shared" si="264"/>
        <v>-0.9473815461346633</v>
      </c>
      <c r="AJ536" s="6" t="s">
        <v>6499</v>
      </c>
      <c r="AK536" s="6" t="str">
        <f t="shared" si="265"/>
        <v>=2.005*100000000</v>
      </c>
      <c r="AL536" s="1">
        <f>2.005*100000000</f>
        <v>200500000</v>
      </c>
      <c r="AM536" s="8">
        <f t="shared" si="266"/>
        <v>6.1408152461619903E-2</v>
      </c>
      <c r="AN536" s="6" t="s">
        <v>6500</v>
      </c>
      <c r="AO536" s="6" t="str">
        <f t="shared" si="267"/>
        <v>=1.889*100000000</v>
      </c>
      <c r="AP536" s="1">
        <f>1.889*100000000</f>
        <v>188900000</v>
      </c>
      <c r="AQ536" s="8">
        <f t="shared" si="268"/>
        <v>0.5160513643659711</v>
      </c>
      <c r="AR536" s="6" t="s">
        <v>6501</v>
      </c>
      <c r="AS536" s="6" t="str">
        <f t="shared" si="269"/>
        <v>=1.246*100000000</v>
      </c>
      <c r="AT536" s="1">
        <f>1.246*100000000</f>
        <v>124600000</v>
      </c>
      <c r="AU536" s="8">
        <f t="shared" si="270"/>
        <v>1.7270737579339024</v>
      </c>
      <c r="AV536" s="7" t="s">
        <v>6502</v>
      </c>
      <c r="AW536" s="6" t="str">
        <f t="shared" si="271"/>
        <v>=4569*10000</v>
      </c>
      <c r="AX536" s="1">
        <f>4569*10000</f>
        <v>45690000</v>
      </c>
      <c r="AY536" s="10">
        <f t="shared" si="272"/>
        <v>-0.63330658105939008</v>
      </c>
      <c r="AZ536" s="6" t="s">
        <v>6501</v>
      </c>
      <c r="BA536" s="6" t="str">
        <f t="shared" si="273"/>
        <v>=1.246*100000000</v>
      </c>
      <c r="BB536" s="1">
        <f>1.246*100000000</f>
        <v>124600000</v>
      </c>
      <c r="BC536" s="8">
        <f t="shared" si="274"/>
        <v>-0.18134034165571616</v>
      </c>
      <c r="BD536" s="6" t="s">
        <v>6503</v>
      </c>
      <c r="BE536" s="6" t="str">
        <f t="shared" si="275"/>
        <v>=1.522*100000000</v>
      </c>
      <c r="BF536" s="1">
        <f>1.522*100000000</f>
        <v>152200000</v>
      </c>
      <c r="BG536" s="8">
        <f t="shared" si="276"/>
        <v>1.0852171530346624</v>
      </c>
      <c r="BH536" s="7" t="s">
        <v>6504</v>
      </c>
      <c r="BI536" s="6" t="str">
        <f t="shared" si="277"/>
        <v>=7299*10000</v>
      </c>
      <c r="BJ536" s="1">
        <f>7299*10000</f>
        <v>72990000</v>
      </c>
      <c r="BK536" s="7" t="s">
        <v>6505</v>
      </c>
      <c r="BL536" s="1" t="str">
        <f t="shared" si="249"/>
        <v>=2913*10000</v>
      </c>
      <c r="BM536" s="16">
        <f t="shared" si="278"/>
        <v>1.505664263645726</v>
      </c>
      <c r="BN536" s="1">
        <f>2913*10000</f>
        <v>29130000</v>
      </c>
    </row>
    <row r="537" spans="1:66">
      <c r="A537" s="19"/>
      <c r="B537">
        <v>600428</v>
      </c>
      <c r="C537" t="s">
        <v>68</v>
      </c>
      <c r="D537" s="6" t="s">
        <v>6506</v>
      </c>
      <c r="E537" s="7" t="str">
        <f t="shared" si="248"/>
        <v>=3.066*100000000</v>
      </c>
      <c r="F537" s="1">
        <f>3.066*100000000</f>
        <v>306600000</v>
      </c>
      <c r="G537" s="8">
        <f t="shared" si="250"/>
        <v>-0.26615605552896121</v>
      </c>
      <c r="H537" s="6" t="s">
        <v>1710</v>
      </c>
      <c r="I537" s="6" t="str">
        <f t="shared" si="251"/>
        <v>=4.178*100000000</v>
      </c>
      <c r="J537" s="1">
        <f>4.178*100000000</f>
        <v>417800000</v>
      </c>
      <c r="K537" s="10">
        <f t="shared" si="252"/>
        <v>1.8306233062330624</v>
      </c>
      <c r="L537" s="6" t="s">
        <v>4451</v>
      </c>
      <c r="M537" s="6" t="str">
        <f t="shared" si="253"/>
        <v>=1.476*100000000</v>
      </c>
      <c r="N537" s="1">
        <f>1.476*100000000</f>
        <v>147600000</v>
      </c>
      <c r="O537" s="8">
        <f t="shared" si="254"/>
        <v>4.915831663326653</v>
      </c>
      <c r="P537" s="7" t="s">
        <v>6507</v>
      </c>
      <c r="Q537" s="6" t="str">
        <f t="shared" si="255"/>
        <v>=2495*10000</v>
      </c>
      <c r="R537" s="11">
        <f>2495*10000</f>
        <v>24950000</v>
      </c>
      <c r="S537" s="8">
        <f t="shared" si="256"/>
        <v>-0.80276679841897236</v>
      </c>
      <c r="T537" s="6" t="s">
        <v>2052</v>
      </c>
      <c r="U537" s="6" t="str">
        <f t="shared" si="257"/>
        <v>=1.265*100000000</v>
      </c>
      <c r="V537" s="1">
        <f>1.265*100000000</f>
        <v>126499999.99999999</v>
      </c>
      <c r="W537" s="8">
        <f t="shared" si="258"/>
        <v>-6.1572700296736019E-2</v>
      </c>
      <c r="X537" s="6" t="s">
        <v>6508</v>
      </c>
      <c r="Y537" s="6" t="str">
        <f t="shared" si="259"/>
        <v>=1.348*100000000</v>
      </c>
      <c r="Z537" s="1">
        <f>1.348*100000000</f>
        <v>134800000</v>
      </c>
      <c r="AA537" s="8">
        <f t="shared" si="260"/>
        <v>0.8834707279586419</v>
      </c>
      <c r="AB537" s="7" t="s">
        <v>6509</v>
      </c>
      <c r="AC537" s="6" t="str">
        <f t="shared" si="261"/>
        <v>=7157*10000</v>
      </c>
      <c r="AD537" s="1">
        <f>7157*10000</f>
        <v>71570000</v>
      </c>
      <c r="AE537" s="8">
        <f t="shared" si="262"/>
        <v>15.381322957198444</v>
      </c>
      <c r="AF537" s="7" t="s">
        <v>6510</v>
      </c>
      <c r="AG537" s="6" t="str">
        <f t="shared" si="263"/>
        <v>=436.9*10000</v>
      </c>
      <c r="AH537" s="1">
        <f>436.9*10000</f>
        <v>4369000</v>
      </c>
      <c r="AI537" s="8">
        <f t="shared" si="264"/>
        <v>-0.95754130223517975</v>
      </c>
      <c r="AJ537" s="6" t="s">
        <v>2867</v>
      </c>
      <c r="AK537" s="6" t="str">
        <f t="shared" si="265"/>
        <v>=1.029*100000000</v>
      </c>
      <c r="AL537" s="1">
        <f>1.029*100000000</f>
        <v>102899999.99999999</v>
      </c>
      <c r="AM537" s="8">
        <f t="shared" si="266"/>
        <v>-0.29761092150170659</v>
      </c>
      <c r="AN537" s="6" t="s">
        <v>6511</v>
      </c>
      <c r="AO537" s="6" t="str">
        <f t="shared" si="267"/>
        <v>=1.465*100000000</v>
      </c>
      <c r="AP537" s="1">
        <f>1.465*100000000</f>
        <v>146500000</v>
      </c>
      <c r="AQ537" s="8">
        <f t="shared" si="268"/>
        <v>0.47785735902350451</v>
      </c>
      <c r="AR537" s="7" t="s">
        <v>6512</v>
      </c>
      <c r="AS537" s="6" t="str">
        <f t="shared" si="269"/>
        <v>=9913*10000</v>
      </c>
      <c r="AT537" s="1">
        <f>9913*10000</f>
        <v>99130000</v>
      </c>
      <c r="AU537" s="8">
        <f t="shared" si="270"/>
        <v>2.1509853782581057</v>
      </c>
      <c r="AV537" s="7" t="s">
        <v>2585</v>
      </c>
      <c r="AW537" s="6" t="str">
        <f t="shared" si="271"/>
        <v>=3146*10000</v>
      </c>
      <c r="AX537" s="1">
        <f>3146*10000</f>
        <v>31460000</v>
      </c>
      <c r="AY537" s="10">
        <f t="shared" si="272"/>
        <v>-0.63880597014925378</v>
      </c>
      <c r="AZ537" s="7" t="s">
        <v>6513</v>
      </c>
      <c r="BA537" s="6" t="str">
        <f t="shared" si="273"/>
        <v>=8710*10000</v>
      </c>
      <c r="BB537" s="1">
        <f>8710*10000</f>
        <v>87100000</v>
      </c>
      <c r="BC537" s="8">
        <f t="shared" si="274"/>
        <v>-0.33051498847040739</v>
      </c>
      <c r="BD537" s="6" t="s">
        <v>1478</v>
      </c>
      <c r="BE537" s="6" t="str">
        <f t="shared" si="275"/>
        <v>=1.301*100000000</v>
      </c>
      <c r="BF537" s="1">
        <f>1.301*100000000</f>
        <v>130100000</v>
      </c>
      <c r="BG537" s="8">
        <f t="shared" si="276"/>
        <v>1.182519711457809</v>
      </c>
      <c r="BH537" s="7" t="s">
        <v>6514</v>
      </c>
      <c r="BI537" s="6" t="str">
        <f t="shared" si="277"/>
        <v>=5961*10000</v>
      </c>
      <c r="BJ537" s="1">
        <f>5961*10000</f>
        <v>59610000</v>
      </c>
      <c r="BK537" s="7" t="s">
        <v>3521</v>
      </c>
      <c r="BL537" s="1" t="str">
        <f t="shared" si="249"/>
        <v>=1987*10000</v>
      </c>
      <c r="BM537" s="16">
        <f t="shared" si="278"/>
        <v>2</v>
      </c>
      <c r="BN537" s="1">
        <f>1987*10000</f>
        <v>19870000</v>
      </c>
    </row>
    <row r="538" spans="1:66">
      <c r="A538" s="17">
        <v>135</v>
      </c>
      <c r="B538">
        <v>600433</v>
      </c>
      <c r="C538" t="s">
        <v>31</v>
      </c>
      <c r="D538" s="6" t="s">
        <v>6515</v>
      </c>
      <c r="E538" s="7" t="str">
        <f t="shared" si="248"/>
        <v>=73.98*100000000</v>
      </c>
      <c r="F538" s="1">
        <f>73.98*100000000</f>
        <v>7398000000</v>
      </c>
      <c r="G538" s="8">
        <f t="shared" si="250"/>
        <v>0.35842820418655896</v>
      </c>
      <c r="H538" s="6" t="s">
        <v>6516</v>
      </c>
      <c r="I538" s="6" t="str">
        <f t="shared" si="251"/>
        <v>=54.46*100000000</v>
      </c>
      <c r="J538" s="1">
        <f>54.46*100000000</f>
        <v>5446000000</v>
      </c>
      <c r="K538" s="10">
        <f t="shared" si="252"/>
        <v>3.3637820512820511</v>
      </c>
      <c r="L538" s="6" t="s">
        <v>6517</v>
      </c>
      <c r="M538" s="6" t="str">
        <f t="shared" si="253"/>
        <v>=12.48*100000000</v>
      </c>
      <c r="N538" s="1">
        <f>12.48*100000000</f>
        <v>1248000000</v>
      </c>
      <c r="O538" s="8">
        <f t="shared" si="254"/>
        <v>0.94635059263880228</v>
      </c>
      <c r="P538" s="6" t="s">
        <v>5045</v>
      </c>
      <c r="Q538" s="6" t="str">
        <f t="shared" si="255"/>
        <v>=6.412*100000000</v>
      </c>
      <c r="R538" s="11">
        <f>6.412*100000000</f>
        <v>641200000</v>
      </c>
      <c r="S538" s="8">
        <f t="shared" si="256"/>
        <v>-0.9013234841489689</v>
      </c>
      <c r="T538" s="6" t="s">
        <v>6518</v>
      </c>
      <c r="U538" s="6" t="str">
        <f t="shared" si="257"/>
        <v>=64.98*100000000</v>
      </c>
      <c r="V538" s="1">
        <f>64.98*100000000</f>
        <v>6498000000</v>
      </c>
      <c r="W538" s="8">
        <f t="shared" si="258"/>
        <v>0.40618913655053018</v>
      </c>
      <c r="X538" s="6" t="s">
        <v>6519</v>
      </c>
      <c r="Y538" s="6" t="str">
        <f t="shared" si="259"/>
        <v>=46.21*100000000</v>
      </c>
      <c r="Z538" s="1">
        <f>46.21*100000000</f>
        <v>4621000000</v>
      </c>
      <c r="AA538" s="8">
        <f t="shared" si="260"/>
        <v>3.2239488117001827</v>
      </c>
      <c r="AB538" s="6" t="s">
        <v>159</v>
      </c>
      <c r="AC538" s="6" t="str">
        <f t="shared" si="261"/>
        <v>=10.94*100000000</v>
      </c>
      <c r="AD538" s="1">
        <f>10.94*100000000</f>
        <v>1094000000</v>
      </c>
      <c r="AE538" s="8">
        <f t="shared" si="262"/>
        <v>1.3496563573883162</v>
      </c>
      <c r="AF538" s="6" t="s">
        <v>6520</v>
      </c>
      <c r="AG538" s="6" t="str">
        <f t="shared" si="263"/>
        <v>=4.656*100000000</v>
      </c>
      <c r="AH538" s="1">
        <f>4.656*100000000</f>
        <v>465599999.99999994</v>
      </c>
      <c r="AI538" s="8">
        <f t="shared" si="264"/>
        <v>-0.8205780346820809</v>
      </c>
      <c r="AJ538" s="6" t="s">
        <v>6521</v>
      </c>
      <c r="AK538" s="6" t="str">
        <f t="shared" si="265"/>
        <v>=25.95*100000000</v>
      </c>
      <c r="AL538" s="1">
        <f>25.95*100000000</f>
        <v>2595000000</v>
      </c>
      <c r="AM538" s="8">
        <f t="shared" si="266"/>
        <v>0.38473852721451457</v>
      </c>
      <c r="AN538" s="6" t="s">
        <v>6522</v>
      </c>
      <c r="AO538" s="6" t="str">
        <f t="shared" si="267"/>
        <v>=18.74*100000000</v>
      </c>
      <c r="AP538" s="1">
        <f>18.74*100000000</f>
        <v>1873999999.9999998</v>
      </c>
      <c r="AQ538" s="8">
        <f t="shared" si="268"/>
        <v>0.4814229249011856</v>
      </c>
      <c r="AR538" s="6" t="s">
        <v>6523</v>
      </c>
      <c r="AS538" s="6" t="str">
        <f t="shared" si="269"/>
        <v>=12.65*100000000</v>
      </c>
      <c r="AT538" s="1">
        <f>12.65*100000000</f>
        <v>1265000000</v>
      </c>
      <c r="AU538" s="8">
        <f t="shared" si="270"/>
        <v>1.0788824979457683</v>
      </c>
      <c r="AV538" s="6" t="s">
        <v>6524</v>
      </c>
      <c r="AW538" s="6" t="str">
        <f t="shared" si="271"/>
        <v>=6.085*100000000</v>
      </c>
      <c r="AX538" s="1">
        <f>6.085*100000000</f>
        <v>608500000</v>
      </c>
      <c r="AY538" s="10">
        <f t="shared" si="272"/>
        <v>-0.76137254901960782</v>
      </c>
      <c r="AZ538" s="6" t="s">
        <v>6525</v>
      </c>
      <c r="BA538" s="6" t="str">
        <f t="shared" si="273"/>
        <v>=25.50*100000000</v>
      </c>
      <c r="BB538" s="1">
        <f>25.5*100000000</f>
        <v>2550000000</v>
      </c>
      <c r="BC538" s="8">
        <f t="shared" si="274"/>
        <v>0.3888888888888889</v>
      </c>
      <c r="BD538" s="6" t="s">
        <v>6006</v>
      </c>
      <c r="BE538" s="6" t="str">
        <f t="shared" si="275"/>
        <v>=18.36*100000000</v>
      </c>
      <c r="BF538" s="1">
        <f>18.36*100000000</f>
        <v>1836000000</v>
      </c>
      <c r="BG538" s="8">
        <f t="shared" si="276"/>
        <v>0.58412424503882654</v>
      </c>
      <c r="BH538" s="6" t="s">
        <v>2788</v>
      </c>
      <c r="BI538" s="6" t="str">
        <f t="shared" si="277"/>
        <v>=11.59*100000000</v>
      </c>
      <c r="BJ538" s="1">
        <f>11.59*100000000</f>
        <v>1159000000</v>
      </c>
      <c r="BK538" s="6" t="s">
        <v>6526</v>
      </c>
      <c r="BL538" s="1" t="str">
        <f t="shared" si="249"/>
        <v>=5.503*100000000</v>
      </c>
      <c r="BM538" s="16">
        <f t="shared" si="278"/>
        <v>1.1061239324005088</v>
      </c>
      <c r="BN538" s="1">
        <f>5.503*100000000</f>
        <v>550300000</v>
      </c>
    </row>
    <row r="539" spans="1:66">
      <c r="A539" s="18"/>
      <c r="B539">
        <v>600433</v>
      </c>
      <c r="C539" t="s">
        <v>48</v>
      </c>
      <c r="D539" s="6" t="s">
        <v>3473</v>
      </c>
      <c r="E539" s="7" t="str">
        <f t="shared" si="248"/>
        <v>=4.721*100000000</v>
      </c>
      <c r="F539" s="1">
        <f>4.721*100000000</f>
        <v>472100000</v>
      </c>
      <c r="G539" s="8">
        <f t="shared" si="250"/>
        <v>0.34578107183580387</v>
      </c>
      <c r="H539" s="6" t="s">
        <v>6527</v>
      </c>
      <c r="I539" s="6" t="str">
        <f t="shared" si="251"/>
        <v>=3.508*100000000</v>
      </c>
      <c r="J539" s="1">
        <f>3.508*100000000</f>
        <v>350800000</v>
      </c>
      <c r="K539" s="10">
        <f t="shared" si="252"/>
        <v>3.0424060843512328</v>
      </c>
      <c r="L539" s="7" t="s">
        <v>2201</v>
      </c>
      <c r="M539" s="6" t="str">
        <f t="shared" si="253"/>
        <v>=8678*10000</v>
      </c>
      <c r="N539" s="1">
        <f>8678*10000</f>
        <v>86780000</v>
      </c>
      <c r="O539" s="8">
        <f t="shared" si="254"/>
        <v>1.7084893882646692</v>
      </c>
      <c r="P539" s="7" t="s">
        <v>6528</v>
      </c>
      <c r="Q539" s="6" t="str">
        <f t="shared" si="255"/>
        <v>=3204*10000</v>
      </c>
      <c r="R539" s="11">
        <f>3204*10000</f>
        <v>32040000</v>
      </c>
      <c r="S539" s="8">
        <f t="shared" si="256"/>
        <v>-0.93437115936091764</v>
      </c>
      <c r="T539" s="6" t="s">
        <v>6529</v>
      </c>
      <c r="U539" s="6" t="str">
        <f t="shared" si="257"/>
        <v>=4.882*100000000</v>
      </c>
      <c r="V539" s="1">
        <f>4.882*100000000</f>
        <v>488199999.99999994</v>
      </c>
      <c r="W539" s="8">
        <f t="shared" si="258"/>
        <v>0.70045280390107956</v>
      </c>
      <c r="X539" s="6" t="s">
        <v>6530</v>
      </c>
      <c r="Y539" s="6" t="str">
        <f t="shared" si="259"/>
        <v>=2.871*100000000</v>
      </c>
      <c r="Z539" s="1">
        <f>2.871*100000000</f>
        <v>287100000</v>
      </c>
      <c r="AA539" s="8">
        <f t="shared" si="260"/>
        <v>3.0391108610016881</v>
      </c>
      <c r="AB539" s="7" t="s">
        <v>6531</v>
      </c>
      <c r="AC539" s="6" t="str">
        <f t="shared" si="261"/>
        <v>=7108*10000</v>
      </c>
      <c r="AD539" s="1">
        <f>7108*10000</f>
        <v>71080000</v>
      </c>
      <c r="AE539" s="8">
        <f t="shared" si="262"/>
        <v>1.7202449292001532</v>
      </c>
      <c r="AF539" s="7" t="s">
        <v>6532</v>
      </c>
      <c r="AG539" s="6" t="str">
        <f t="shared" si="263"/>
        <v>=2613*10000</v>
      </c>
      <c r="AH539" s="1">
        <f>2613*10000</f>
        <v>26130000</v>
      </c>
      <c r="AI539" s="8">
        <f t="shared" si="264"/>
        <v>-0.86756208819057268</v>
      </c>
      <c r="AJ539" s="6" t="s">
        <v>6392</v>
      </c>
      <c r="AK539" s="6" t="str">
        <f t="shared" si="265"/>
        <v>=1.973*100000000</v>
      </c>
      <c r="AL539" s="1">
        <f>1.973*100000000</f>
        <v>197300000</v>
      </c>
      <c r="AM539" s="8">
        <f t="shared" si="266"/>
        <v>0.80182648401826484</v>
      </c>
      <c r="AN539" s="6" t="s">
        <v>6533</v>
      </c>
      <c r="AO539" s="6" t="str">
        <f t="shared" si="267"/>
        <v>=1.095*100000000</v>
      </c>
      <c r="AP539" s="1">
        <f>1.095*100000000</f>
        <v>109500000</v>
      </c>
      <c r="AQ539" s="8">
        <f t="shared" si="268"/>
        <v>0.66135639508420574</v>
      </c>
      <c r="AR539" s="7" t="s">
        <v>6534</v>
      </c>
      <c r="AS539" s="6" t="str">
        <f t="shared" si="269"/>
        <v>=6591*10000</v>
      </c>
      <c r="AT539" s="1">
        <f>6591*10000</f>
        <v>65910000</v>
      </c>
      <c r="AU539" s="8">
        <f t="shared" si="270"/>
        <v>2.5781758957654723</v>
      </c>
      <c r="AV539" s="7" t="s">
        <v>6535</v>
      </c>
      <c r="AW539" s="6" t="str">
        <f t="shared" si="271"/>
        <v>=1842*10000</v>
      </c>
      <c r="AX539" s="1">
        <f>1842*10000</f>
        <v>18420000</v>
      </c>
      <c r="AY539" s="10">
        <f t="shared" si="272"/>
        <v>-0.84851973684210524</v>
      </c>
      <c r="AZ539" s="6" t="s">
        <v>6536</v>
      </c>
      <c r="BA539" s="6" t="str">
        <f t="shared" si="273"/>
        <v>=1.216*100000000</v>
      </c>
      <c r="BB539" s="1">
        <f>1.216*100000000</f>
        <v>121600000</v>
      </c>
      <c r="BC539" s="8">
        <f t="shared" si="274"/>
        <v>0.24833179345036444</v>
      </c>
      <c r="BD539" s="7" t="s">
        <v>4912</v>
      </c>
      <c r="BE539" s="6" t="str">
        <f t="shared" si="275"/>
        <v>=9741*10000</v>
      </c>
      <c r="BF539" s="1">
        <f>9741*10000</f>
        <v>97410000</v>
      </c>
      <c r="BG539" s="8">
        <f t="shared" si="276"/>
        <v>0.7391537225495447</v>
      </c>
      <c r="BH539" s="7" t="s">
        <v>6537</v>
      </c>
      <c r="BI539" s="6" t="str">
        <f t="shared" si="277"/>
        <v>=5601*10000</v>
      </c>
      <c r="BJ539" s="1">
        <f>5601*10000</f>
        <v>56010000</v>
      </c>
      <c r="BK539" s="7" t="s">
        <v>6538</v>
      </c>
      <c r="BL539" s="1" t="str">
        <f t="shared" si="249"/>
        <v>=2578*10000</v>
      </c>
      <c r="BM539" s="16">
        <f t="shared" si="278"/>
        <v>1.1726144297905352</v>
      </c>
      <c r="BN539" s="1">
        <f>2578*10000</f>
        <v>25780000</v>
      </c>
    </row>
    <row r="540" spans="1:66">
      <c r="A540" s="18"/>
      <c r="B540">
        <v>600433</v>
      </c>
      <c r="C540" t="s">
        <v>58</v>
      </c>
      <c r="D540" s="6" t="s">
        <v>6539</v>
      </c>
      <c r="E540" s="7" t="str">
        <f t="shared" si="248"/>
        <v>=4.683*100000000</v>
      </c>
      <c r="F540" s="1">
        <f>4.683*100000000</f>
        <v>468300000</v>
      </c>
      <c r="G540" s="8">
        <f t="shared" si="250"/>
        <v>0.29687067294378289</v>
      </c>
      <c r="H540" s="6" t="s">
        <v>6540</v>
      </c>
      <c r="I540" s="6" t="str">
        <f t="shared" si="251"/>
        <v>=3.611*100000000</v>
      </c>
      <c r="J540" s="1">
        <f>3.611*100000000</f>
        <v>361100000</v>
      </c>
      <c r="K540" s="10">
        <f t="shared" si="252"/>
        <v>3.065983560409864</v>
      </c>
      <c r="L540" s="7" t="s">
        <v>6541</v>
      </c>
      <c r="M540" s="6" t="str">
        <f t="shared" si="253"/>
        <v>=8881*10000</v>
      </c>
      <c r="N540" s="1">
        <f>8881*10000</f>
        <v>88810000</v>
      </c>
      <c r="O540" s="8">
        <f t="shared" si="254"/>
        <v>1.7444375772558713</v>
      </c>
      <c r="P540" s="7" t="s">
        <v>6542</v>
      </c>
      <c r="Q540" s="6" t="str">
        <f t="shared" si="255"/>
        <v>=3236*10000</v>
      </c>
      <c r="R540" s="11">
        <f>3236*10000</f>
        <v>32360000</v>
      </c>
      <c r="S540" s="8">
        <f t="shared" si="256"/>
        <v>-0.93606006718039914</v>
      </c>
      <c r="T540" s="6" t="s">
        <v>6543</v>
      </c>
      <c r="U540" s="6" t="str">
        <f t="shared" si="257"/>
        <v>=5.061*100000000</v>
      </c>
      <c r="V540" s="1">
        <f>5.061*100000000</f>
        <v>506100000</v>
      </c>
      <c r="W540" s="8">
        <f t="shared" si="258"/>
        <v>0.69038076152304606</v>
      </c>
      <c r="X540" s="6" t="s">
        <v>6544</v>
      </c>
      <c r="Y540" s="6" t="str">
        <f t="shared" si="259"/>
        <v>=2.994*100000000</v>
      </c>
      <c r="Z540" s="1">
        <f>2.994*100000000</f>
        <v>299400000</v>
      </c>
      <c r="AA540" s="8">
        <f t="shared" si="260"/>
        <v>2.9978635331820001</v>
      </c>
      <c r="AB540" s="7" t="s">
        <v>6545</v>
      </c>
      <c r="AC540" s="6" t="str">
        <f t="shared" si="261"/>
        <v>=7489*10000</v>
      </c>
      <c r="AD540" s="1">
        <f>7489*10000</f>
        <v>74890000</v>
      </c>
      <c r="AE540" s="8">
        <f t="shared" si="262"/>
        <v>1.6585019524316649</v>
      </c>
      <c r="AF540" s="7" t="s">
        <v>6546</v>
      </c>
      <c r="AG540" s="6" t="str">
        <f t="shared" si="263"/>
        <v>=2817*10000</v>
      </c>
      <c r="AH540" s="1">
        <f>2817*10000</f>
        <v>28170000</v>
      </c>
      <c r="AI540" s="8">
        <f t="shared" si="264"/>
        <v>-0.86061355764473035</v>
      </c>
      <c r="AJ540" s="6" t="s">
        <v>6547</v>
      </c>
      <c r="AK540" s="6" t="str">
        <f t="shared" si="265"/>
        <v>=2.021*100000000</v>
      </c>
      <c r="AL540" s="1">
        <f>2.021*100000000</f>
        <v>202100000</v>
      </c>
      <c r="AM540" s="8">
        <f t="shared" si="266"/>
        <v>0.8289592760180996</v>
      </c>
      <c r="AN540" s="6" t="s">
        <v>6548</v>
      </c>
      <c r="AO540" s="6" t="str">
        <f t="shared" si="267"/>
        <v>=1.105*100000000</v>
      </c>
      <c r="AP540" s="1">
        <f>1.105*100000000</f>
        <v>110500000</v>
      </c>
      <c r="AQ540" s="8">
        <f t="shared" si="268"/>
        <v>0.66616405307599513</v>
      </c>
      <c r="AR540" s="7" t="s">
        <v>6549</v>
      </c>
      <c r="AS540" s="6" t="str">
        <f t="shared" si="269"/>
        <v>=6632*10000</v>
      </c>
      <c r="AT540" s="1">
        <f>6632*10000</f>
        <v>66320000</v>
      </c>
      <c r="AU540" s="8">
        <f t="shared" si="270"/>
        <v>2.5694294940796554</v>
      </c>
      <c r="AV540" s="7" t="s">
        <v>5546</v>
      </c>
      <c r="AW540" s="6" t="str">
        <f t="shared" si="271"/>
        <v>=1858*10000</v>
      </c>
      <c r="AX540" s="1">
        <f>1858*10000</f>
        <v>18580000</v>
      </c>
      <c r="AY540" s="10">
        <f t="shared" si="272"/>
        <v>-0.85312252964426871</v>
      </c>
      <c r="AZ540" s="6" t="s">
        <v>2052</v>
      </c>
      <c r="BA540" s="6" t="str">
        <f t="shared" si="273"/>
        <v>=1.265*100000000</v>
      </c>
      <c r="BB540" s="1">
        <f>1.265*100000000</f>
        <v>126499999.99999999</v>
      </c>
      <c r="BC540" s="8">
        <f t="shared" si="274"/>
        <v>0.24019607843137239</v>
      </c>
      <c r="BD540" s="6" t="s">
        <v>6550</v>
      </c>
      <c r="BE540" s="6" t="str">
        <f t="shared" si="275"/>
        <v>=1.020*100000000</v>
      </c>
      <c r="BF540" s="1">
        <f>1.02*100000000</f>
        <v>102000000</v>
      </c>
      <c r="BG540" s="8">
        <f t="shared" si="276"/>
        <v>0.77144841959013544</v>
      </c>
      <c r="BH540" s="7" t="s">
        <v>6551</v>
      </c>
      <c r="BI540" s="6" t="str">
        <f t="shared" si="277"/>
        <v>=5758*10000</v>
      </c>
      <c r="BJ540" s="1">
        <f>5758*10000</f>
        <v>57580000</v>
      </c>
      <c r="BK540" s="7" t="s">
        <v>6552</v>
      </c>
      <c r="BL540" s="1" t="str">
        <f t="shared" si="249"/>
        <v>=2618*10000</v>
      </c>
      <c r="BM540" s="16">
        <f t="shared" si="278"/>
        <v>1.1993888464476701</v>
      </c>
      <c r="BN540" s="1">
        <f>2618*10000</f>
        <v>26180000</v>
      </c>
    </row>
    <row r="541" spans="1:66">
      <c r="A541" s="19"/>
      <c r="B541">
        <v>600433</v>
      </c>
      <c r="C541" t="s">
        <v>68</v>
      </c>
      <c r="D541" s="6" t="s">
        <v>6553</v>
      </c>
      <c r="E541" s="7" t="str">
        <f t="shared" si="248"/>
        <v>=3.968*100000000</v>
      </c>
      <c r="F541" s="1">
        <f>3.968*100000000</f>
        <v>396800000</v>
      </c>
      <c r="G541" s="8">
        <f t="shared" si="250"/>
        <v>0.26329194524036931</v>
      </c>
      <c r="H541" s="6" t="s">
        <v>6554</v>
      </c>
      <c r="I541" s="6" t="str">
        <f t="shared" si="251"/>
        <v>=3.141*100000000</v>
      </c>
      <c r="J541" s="1">
        <f>3.141*100000000</f>
        <v>314100000</v>
      </c>
      <c r="K541" s="10">
        <f t="shared" si="252"/>
        <v>3.2688230497417776</v>
      </c>
      <c r="L541" s="7" t="s">
        <v>6555</v>
      </c>
      <c r="M541" s="6" t="str">
        <f t="shared" si="253"/>
        <v>=7358*10000</v>
      </c>
      <c r="N541" s="1">
        <f>7358*10000</f>
        <v>73580000</v>
      </c>
      <c r="O541" s="8">
        <f t="shared" si="254"/>
        <v>1.715129151291513</v>
      </c>
      <c r="P541" s="7" t="s">
        <v>6556</v>
      </c>
      <c r="Q541" s="6" t="str">
        <f t="shared" si="255"/>
        <v>=2710*10000</v>
      </c>
      <c r="R541" s="11">
        <f>2710*10000</f>
        <v>27100000</v>
      </c>
      <c r="S541" s="8">
        <f t="shared" si="256"/>
        <v>-0.94063526834611177</v>
      </c>
      <c r="T541" s="6" t="s">
        <v>2797</v>
      </c>
      <c r="U541" s="6" t="str">
        <f t="shared" si="257"/>
        <v>=4.565*100000000</v>
      </c>
      <c r="V541" s="1">
        <f>4.565*100000000</f>
        <v>456500000.00000006</v>
      </c>
      <c r="W541" s="8">
        <f t="shared" si="258"/>
        <v>0.70845808383233533</v>
      </c>
      <c r="X541" s="6" t="s">
        <v>6557</v>
      </c>
      <c r="Y541" s="6" t="str">
        <f t="shared" si="259"/>
        <v>=2.672*100000000</v>
      </c>
      <c r="Z541" s="1">
        <f>2.672*100000000</f>
        <v>267200000.00000003</v>
      </c>
      <c r="AA541" s="8">
        <f t="shared" si="260"/>
        <v>3.3075931001128489</v>
      </c>
      <c r="AB541" s="7" t="s">
        <v>6558</v>
      </c>
      <c r="AC541" s="6" t="str">
        <f t="shared" si="261"/>
        <v>=6203*10000</v>
      </c>
      <c r="AD541" s="1">
        <f>6203*10000</f>
        <v>62030000</v>
      </c>
      <c r="AE541" s="8">
        <f t="shared" si="262"/>
        <v>1.6542575952075311</v>
      </c>
      <c r="AF541" s="7" t="s">
        <v>6559</v>
      </c>
      <c r="AG541" s="6" t="str">
        <f t="shared" si="263"/>
        <v>=2337*10000</v>
      </c>
      <c r="AH541" s="1">
        <f>2337*10000</f>
        <v>23370000</v>
      </c>
      <c r="AI541" s="8">
        <f t="shared" si="264"/>
        <v>-0.85989208633093528</v>
      </c>
      <c r="AJ541" s="6" t="s">
        <v>6560</v>
      </c>
      <c r="AK541" s="6" t="str">
        <f t="shared" si="265"/>
        <v>=1.668*100000000</v>
      </c>
      <c r="AL541" s="1">
        <f>1.668*100000000</f>
        <v>166800000</v>
      </c>
      <c r="AM541" s="8">
        <f t="shared" si="266"/>
        <v>0.83417638003078953</v>
      </c>
      <c r="AN541" s="7" t="s">
        <v>6561</v>
      </c>
      <c r="AO541" s="6" t="str">
        <f t="shared" si="267"/>
        <v>=9094*10000</v>
      </c>
      <c r="AP541" s="1">
        <f>9094*10000</f>
        <v>90940000</v>
      </c>
      <c r="AQ541" s="8">
        <f t="shared" si="268"/>
        <v>0.69442891745854296</v>
      </c>
      <c r="AR541" s="7" t="s">
        <v>6562</v>
      </c>
      <c r="AS541" s="6" t="str">
        <f t="shared" si="269"/>
        <v>=5367*10000</v>
      </c>
      <c r="AT541" s="1">
        <f>5367*10000</f>
        <v>53670000</v>
      </c>
      <c r="AU541" s="8">
        <f t="shared" si="270"/>
        <v>2.4964169381107491</v>
      </c>
      <c r="AV541" s="7" t="s">
        <v>6563</v>
      </c>
      <c r="AW541" s="6" t="str">
        <f t="shared" si="271"/>
        <v>=1535*10000</v>
      </c>
      <c r="AX541" s="1">
        <f>1535*10000</f>
        <v>15350000</v>
      </c>
      <c r="AY541" s="10">
        <f t="shared" si="272"/>
        <v>-0.8565420560747663</v>
      </c>
      <c r="AZ541" s="6" t="s">
        <v>6564</v>
      </c>
      <c r="BA541" s="6" t="str">
        <f t="shared" si="273"/>
        <v>=1.070*100000000</v>
      </c>
      <c r="BB541" s="1">
        <f>1.07*100000000</f>
        <v>107000000</v>
      </c>
      <c r="BC541" s="8">
        <f t="shared" si="274"/>
        <v>0.24650512581547065</v>
      </c>
      <c r="BD541" s="7" t="s">
        <v>6565</v>
      </c>
      <c r="BE541" s="6" t="str">
        <f t="shared" si="275"/>
        <v>=8584*10000</v>
      </c>
      <c r="BF541" s="1">
        <f>8584*10000</f>
        <v>85840000</v>
      </c>
      <c r="BG541" s="8">
        <f t="shared" si="276"/>
        <v>0.76299034709385916</v>
      </c>
      <c r="BH541" s="7" t="s">
        <v>6566</v>
      </c>
      <c r="BI541" s="6" t="str">
        <f t="shared" si="277"/>
        <v>=4869*10000</v>
      </c>
      <c r="BJ541" s="1">
        <f>4869*10000</f>
        <v>48690000</v>
      </c>
      <c r="BK541" s="7" t="s">
        <v>6567</v>
      </c>
      <c r="BL541" s="1" t="str">
        <f t="shared" si="249"/>
        <v>=2173*10000</v>
      </c>
      <c r="BM541" s="16">
        <f t="shared" si="278"/>
        <v>1.2406810860561437</v>
      </c>
      <c r="BN541" s="1">
        <f>2173*10000</f>
        <v>21730000</v>
      </c>
    </row>
    <row r="542" spans="1:66">
      <c r="A542" s="17">
        <v>136</v>
      </c>
      <c r="B542">
        <v>600435</v>
      </c>
      <c r="C542" t="s">
        <v>31</v>
      </c>
      <c r="D542" s="6" t="s">
        <v>6568</v>
      </c>
      <c r="E542" s="7" t="str">
        <f t="shared" si="248"/>
        <v>=39.92*100000000</v>
      </c>
      <c r="F542" s="1">
        <f>39.92*100000000</f>
        <v>3992000000</v>
      </c>
      <c r="G542" s="8">
        <f t="shared" si="250"/>
        <v>0.67519932857742337</v>
      </c>
      <c r="H542" s="6" t="s">
        <v>6569</v>
      </c>
      <c r="I542" s="6" t="str">
        <f t="shared" si="251"/>
        <v>=23.83*100000000</v>
      </c>
      <c r="J542" s="1">
        <f>23.83*100000000</f>
        <v>2383000000</v>
      </c>
      <c r="K542" s="10">
        <f t="shared" si="252"/>
        <v>0.5534550195567145</v>
      </c>
      <c r="L542" s="6" t="s">
        <v>6570</v>
      </c>
      <c r="M542" s="6" t="str">
        <f t="shared" si="253"/>
        <v>=15.34*100000000</v>
      </c>
      <c r="N542" s="1">
        <f>15.34*100000000</f>
        <v>1534000000</v>
      </c>
      <c r="O542" s="8">
        <f t="shared" si="254"/>
        <v>2.505484460694698</v>
      </c>
      <c r="P542" s="6" t="s">
        <v>4062</v>
      </c>
      <c r="Q542" s="6" t="str">
        <f t="shared" si="255"/>
        <v>=4.376*100000000</v>
      </c>
      <c r="R542" s="11">
        <f>4.376*100000000</f>
        <v>437600000.00000006</v>
      </c>
      <c r="S542" s="8">
        <f t="shared" si="256"/>
        <v>-0.85442448436460416</v>
      </c>
      <c r="T542" s="6" t="s">
        <v>6571</v>
      </c>
      <c r="U542" s="6" t="str">
        <f t="shared" si="257"/>
        <v>=30.06*100000000</v>
      </c>
      <c r="V542" s="1">
        <f>30.06*100000000</f>
        <v>3006000000</v>
      </c>
      <c r="W542" s="8">
        <f t="shared" si="258"/>
        <v>1.2533733133433282</v>
      </c>
      <c r="X542" s="6" t="s">
        <v>6572</v>
      </c>
      <c r="Y542" s="6" t="str">
        <f t="shared" si="259"/>
        <v>=13.34*100000000</v>
      </c>
      <c r="Z542" s="1">
        <f>13.34*100000000</f>
        <v>1334000000</v>
      </c>
      <c r="AA542" s="8">
        <f t="shared" si="260"/>
        <v>0.89731190442326836</v>
      </c>
      <c r="AB542" s="6" t="s">
        <v>6573</v>
      </c>
      <c r="AC542" s="6" t="str">
        <f t="shared" si="261"/>
        <v>=7.031*100000000</v>
      </c>
      <c r="AD542" s="1">
        <f>7.031*100000000</f>
        <v>703100000</v>
      </c>
      <c r="AE542" s="8">
        <f t="shared" si="262"/>
        <v>2.6869428421604615</v>
      </c>
      <c r="AF542" s="6" t="s">
        <v>6574</v>
      </c>
      <c r="AG542" s="6" t="str">
        <f t="shared" si="263"/>
        <v>=1.907*100000000</v>
      </c>
      <c r="AH542" s="1">
        <f>1.907*100000000</f>
        <v>190700000</v>
      </c>
      <c r="AI542" s="8">
        <f t="shared" si="264"/>
        <v>-0.91683384212821628</v>
      </c>
      <c r="AJ542" s="6" t="s">
        <v>6575</v>
      </c>
      <c r="AK542" s="6" t="str">
        <f t="shared" si="265"/>
        <v>=22.93*100000000</v>
      </c>
      <c r="AL542" s="1">
        <f>22.93*100000000</f>
        <v>2293000000</v>
      </c>
      <c r="AM542" s="8">
        <f t="shared" si="266"/>
        <v>1.5035484223168467</v>
      </c>
      <c r="AN542" s="6" t="s">
        <v>6576</v>
      </c>
      <c r="AO542" s="6" t="str">
        <f t="shared" si="267"/>
        <v>=9.159*100000000</v>
      </c>
      <c r="AP542" s="1">
        <f>9.159*100000000</f>
        <v>915900000.00000012</v>
      </c>
      <c r="AQ542" s="8">
        <f t="shared" si="268"/>
        <v>0.63320256776034256</v>
      </c>
      <c r="AR542" s="6" t="s">
        <v>1675</v>
      </c>
      <c r="AS542" s="6" t="str">
        <f t="shared" si="269"/>
        <v>=5.608*100000000</v>
      </c>
      <c r="AT542" s="1">
        <f>5.608*100000000</f>
        <v>560800000</v>
      </c>
      <c r="AU542" s="8">
        <f t="shared" si="270"/>
        <v>2.5561192136968929</v>
      </c>
      <c r="AV542" s="6" t="s">
        <v>1705</v>
      </c>
      <c r="AW542" s="6" t="str">
        <f t="shared" si="271"/>
        <v>=1.577*100000000</v>
      </c>
      <c r="AX542" s="1">
        <f>1.577*100000000</f>
        <v>157700000</v>
      </c>
      <c r="AY542" s="10">
        <f t="shared" si="272"/>
        <v>-0.92111055527763885</v>
      </c>
      <c r="AZ542" s="6" t="s">
        <v>6577</v>
      </c>
      <c r="BA542" s="6" t="str">
        <f t="shared" si="273"/>
        <v>=19.99*100000000</v>
      </c>
      <c r="BB542" s="1">
        <f>19.99*100000000</f>
        <v>1998999999.9999998</v>
      </c>
      <c r="BC542" s="8">
        <f t="shared" si="274"/>
        <v>1.7771603223117529</v>
      </c>
      <c r="BD542" s="6" t="s">
        <v>6578</v>
      </c>
      <c r="BE542" s="6" t="str">
        <f t="shared" si="275"/>
        <v>=7.198*100000000</v>
      </c>
      <c r="BF542" s="1">
        <f>7.198*100000000</f>
        <v>719800000</v>
      </c>
      <c r="BG542" s="8">
        <f t="shared" si="276"/>
        <v>0.44567182165093394</v>
      </c>
      <c r="BH542" s="6" t="s">
        <v>6579</v>
      </c>
      <c r="BI542" s="6" t="str">
        <f t="shared" si="277"/>
        <v>=4.979*100000000</v>
      </c>
      <c r="BJ542" s="1">
        <f>4.979*100000000</f>
        <v>497900000</v>
      </c>
      <c r="BK542" s="6" t="s">
        <v>6580</v>
      </c>
      <c r="BL542" s="1" t="str">
        <f t="shared" si="249"/>
        <v>=1.786*100000000</v>
      </c>
      <c r="BM542" s="16">
        <f t="shared" si="278"/>
        <v>1.7877939529675253</v>
      </c>
      <c r="BN542" s="1">
        <f>1.786*100000000</f>
        <v>178600000</v>
      </c>
    </row>
    <row r="543" spans="1:66">
      <c r="A543" s="18"/>
      <c r="B543">
        <v>600435</v>
      </c>
      <c r="C543" t="s">
        <v>48</v>
      </c>
      <c r="D543" s="6" t="s">
        <v>6581</v>
      </c>
      <c r="E543" s="7" t="str">
        <f t="shared" si="248"/>
        <v>=2.363*100000000</v>
      </c>
      <c r="F543" s="1">
        <f>2.363*100000000</f>
        <v>236300000</v>
      </c>
      <c r="G543" s="8">
        <f t="shared" si="250"/>
        <v>0.5827193569993302</v>
      </c>
      <c r="H543" s="6" t="s">
        <v>6582</v>
      </c>
      <c r="I543" s="6" t="str">
        <f t="shared" si="251"/>
        <v>=1.493*100000000</v>
      </c>
      <c r="J543" s="1">
        <f>1.493*100000000</f>
        <v>149300000</v>
      </c>
      <c r="K543" s="10">
        <f t="shared" si="252"/>
        <v>0.17374213836477986</v>
      </c>
      <c r="L543" s="6" t="s">
        <v>2566</v>
      </c>
      <c r="M543" s="6" t="str">
        <f t="shared" si="253"/>
        <v>=1.272*100000000</v>
      </c>
      <c r="N543" s="1">
        <f>1.272*100000000</f>
        <v>127200000</v>
      </c>
      <c r="O543" s="8">
        <f t="shared" si="254"/>
        <v>16.080703639049283</v>
      </c>
      <c r="P543" s="7" t="s">
        <v>6583</v>
      </c>
      <c r="Q543" s="6" t="str">
        <f t="shared" si="255"/>
        <v>=744.7*10000</v>
      </c>
      <c r="R543" s="11">
        <f>744.7*10000</f>
        <v>7447000</v>
      </c>
      <c r="S543" s="8">
        <f t="shared" si="256"/>
        <v>-0.95621987066431513</v>
      </c>
      <c r="T543" s="6" t="s">
        <v>5781</v>
      </c>
      <c r="U543" s="6" t="str">
        <f t="shared" si="257"/>
        <v>=1.701*100000000</v>
      </c>
      <c r="V543" s="1">
        <f>1.701*100000000</f>
        <v>170100000</v>
      </c>
      <c r="W543" s="8">
        <f t="shared" si="258"/>
        <v>3.128640776699029</v>
      </c>
      <c r="X543" s="7" t="s">
        <v>6584</v>
      </c>
      <c r="Y543" s="6" t="str">
        <f t="shared" si="259"/>
        <v>=4120*10000</v>
      </c>
      <c r="Z543" s="1">
        <f>4120*10000</f>
        <v>41200000</v>
      </c>
      <c r="AA543" s="8">
        <f t="shared" si="260"/>
        <v>-23.282314764737695</v>
      </c>
      <c r="AB543" s="7">
        <f>-184.9*10000</f>
        <v>-1849000</v>
      </c>
      <c r="AC543" s="6" t="str">
        <f t="shared" si="261"/>
        <v>=-1849000</v>
      </c>
      <c r="AD543" s="1">
        <f>-1849000</f>
        <v>-1849000</v>
      </c>
      <c r="AE543" s="8">
        <f t="shared" si="262"/>
        <v>-0.88941387559808616</v>
      </c>
      <c r="AF543" s="7">
        <f>-1672*10000</f>
        <v>-16720000</v>
      </c>
      <c r="AG543" s="6" t="str">
        <f t="shared" si="263"/>
        <v>=-16720000</v>
      </c>
      <c r="AH543" s="1">
        <f>-16720000</f>
        <v>-16720000</v>
      </c>
      <c r="AI543" s="8">
        <f t="shared" si="264"/>
        <v>-1.1285165257494236</v>
      </c>
      <c r="AJ543" s="6" t="s">
        <v>1478</v>
      </c>
      <c r="AK543" s="6" t="str">
        <f t="shared" si="265"/>
        <v>=1.301*100000000</v>
      </c>
      <c r="AL543" s="1">
        <f>1.301*100000000</f>
        <v>130100000</v>
      </c>
      <c r="AM543" s="8">
        <f t="shared" si="266"/>
        <v>1.559512099154043</v>
      </c>
      <c r="AN543" s="7" t="s">
        <v>6585</v>
      </c>
      <c r="AO543" s="6" t="str">
        <f t="shared" si="267"/>
        <v>=5083*10000</v>
      </c>
      <c r="AP543" s="1">
        <f>5083*10000</f>
        <v>50830000</v>
      </c>
      <c r="AQ543" s="8">
        <f t="shared" si="268"/>
        <v>0.44773568783822271</v>
      </c>
      <c r="AR543" s="7" t="s">
        <v>6586</v>
      </c>
      <c r="AS543" s="6" t="str">
        <f t="shared" si="269"/>
        <v>=3511*10000</v>
      </c>
      <c r="AT543" s="1">
        <f>3511*10000</f>
        <v>35110000</v>
      </c>
      <c r="AU543" s="8">
        <f t="shared" si="270"/>
        <v>39.30998851894374</v>
      </c>
      <c r="AV543" s="7" t="s">
        <v>6587</v>
      </c>
      <c r="AW543" s="6" t="str">
        <f t="shared" si="271"/>
        <v>=87.10*10000</v>
      </c>
      <c r="AX543" s="1">
        <f>87.1*10000</f>
        <v>871000</v>
      </c>
      <c r="AY543" s="10">
        <f t="shared" si="272"/>
        <v>-0.99408288043478266</v>
      </c>
      <c r="AZ543" s="6" t="s">
        <v>6588</v>
      </c>
      <c r="BA543" s="6" t="str">
        <f t="shared" si="273"/>
        <v>=1.472*100000000</v>
      </c>
      <c r="BB543" s="1">
        <f>1.472*100000000</f>
        <v>147200000</v>
      </c>
      <c r="BC543" s="8">
        <f t="shared" si="274"/>
        <v>1.8783730934689089</v>
      </c>
      <c r="BD543" s="7" t="s">
        <v>3168</v>
      </c>
      <c r="BE543" s="6" t="str">
        <f t="shared" si="275"/>
        <v>=5114*10000</v>
      </c>
      <c r="BF543" s="1">
        <f>5114*10000</f>
        <v>51140000</v>
      </c>
      <c r="BG543" s="8">
        <f t="shared" si="276"/>
        <v>-9.7263901147396289E-2</v>
      </c>
      <c r="BH543" s="7" t="s">
        <v>6589</v>
      </c>
      <c r="BI543" s="6" t="str">
        <f t="shared" si="277"/>
        <v>=5665*10000</v>
      </c>
      <c r="BJ543" s="1">
        <f>5665*10000</f>
        <v>56650000</v>
      </c>
      <c r="BK543" s="7" t="s">
        <v>6590</v>
      </c>
      <c r="BL543" s="1" t="str">
        <f t="shared" si="249"/>
        <v>=477.4*10000</v>
      </c>
      <c r="BM543" s="16">
        <f t="shared" si="278"/>
        <v>10.866359447004609</v>
      </c>
      <c r="BN543" s="1">
        <f>477.4*10000</f>
        <v>4774000</v>
      </c>
    </row>
    <row r="544" spans="1:66">
      <c r="A544" s="18"/>
      <c r="B544">
        <v>600435</v>
      </c>
      <c r="C544" t="s">
        <v>58</v>
      </c>
      <c r="D544" s="6" t="s">
        <v>6591</v>
      </c>
      <c r="E544" s="7" t="str">
        <f t="shared" si="248"/>
        <v>=2.343*100000000</v>
      </c>
      <c r="F544" s="1">
        <f>2.343*100000000</f>
        <v>234300000</v>
      </c>
      <c r="G544" s="8">
        <f t="shared" si="250"/>
        <v>0.54449571522742257</v>
      </c>
      <c r="H544" s="6" t="s">
        <v>6592</v>
      </c>
      <c r="I544" s="6" t="str">
        <f t="shared" si="251"/>
        <v>=1.517*100000000</v>
      </c>
      <c r="J544" s="1">
        <f>1.517*100000000</f>
        <v>151700000</v>
      </c>
      <c r="K544" s="10">
        <f t="shared" si="252"/>
        <v>0.16067329762815608</v>
      </c>
      <c r="L544" s="6" t="s">
        <v>4877</v>
      </c>
      <c r="M544" s="6" t="str">
        <f t="shared" si="253"/>
        <v>=1.307*100000000</v>
      </c>
      <c r="N544" s="1">
        <f>1.307*100000000</f>
        <v>130700000</v>
      </c>
      <c r="O544" s="8">
        <f t="shared" si="254"/>
        <v>14.703472305659018</v>
      </c>
      <c r="P544" s="7" t="s">
        <v>6593</v>
      </c>
      <c r="Q544" s="6" t="str">
        <f t="shared" si="255"/>
        <v>=832.3*10000</v>
      </c>
      <c r="R544" s="11">
        <f>832.3*10000</f>
        <v>8323000</v>
      </c>
      <c r="S544" s="8">
        <f t="shared" si="256"/>
        <v>-0.96034778465936166</v>
      </c>
      <c r="T544" s="6" t="s">
        <v>2385</v>
      </c>
      <c r="U544" s="6" t="str">
        <f t="shared" si="257"/>
        <v>=2.099*100000000</v>
      </c>
      <c r="V544" s="1">
        <f>2.099*100000000</f>
        <v>209900000.00000003</v>
      </c>
      <c r="W544" s="8">
        <f t="shared" si="258"/>
        <v>3.671711551302026</v>
      </c>
      <c r="X544" s="7" t="s">
        <v>6594</v>
      </c>
      <c r="Y544" s="6" t="str">
        <f t="shared" si="259"/>
        <v>=4493*10000</v>
      </c>
      <c r="Z544" s="1">
        <f>4493*10000</f>
        <v>44930000</v>
      </c>
      <c r="AA544" s="8">
        <f t="shared" si="260"/>
        <v>32.061074319352464</v>
      </c>
      <c r="AB544" s="7" t="s">
        <v>6595</v>
      </c>
      <c r="AC544" s="6" t="str">
        <f t="shared" si="261"/>
        <v>=135.9*10000</v>
      </c>
      <c r="AD544" s="1">
        <f>135.9*10000</f>
        <v>1359000</v>
      </c>
      <c r="AE544" s="8">
        <f t="shared" si="262"/>
        <v>-1.0979812545061283</v>
      </c>
      <c r="AF544" s="7">
        <f>-1387*10000</f>
        <v>-13870000</v>
      </c>
      <c r="AG544" s="6" t="str">
        <f t="shared" si="263"/>
        <v>=-13870000</v>
      </c>
      <c r="AH544" s="1">
        <f>-13870000</f>
        <v>-13870000</v>
      </c>
      <c r="AI544" s="8">
        <f t="shared" si="264"/>
        <v>-1.1075193798449612</v>
      </c>
      <c r="AJ544" s="6" t="s">
        <v>1469</v>
      </c>
      <c r="AK544" s="6" t="str">
        <f t="shared" si="265"/>
        <v>=1.290*100000000</v>
      </c>
      <c r="AL544" s="1">
        <f>1.29*100000000</f>
        <v>129000000</v>
      </c>
      <c r="AM544" s="8">
        <f t="shared" si="266"/>
        <v>1.6219512195121952</v>
      </c>
      <c r="AN544" s="7" t="s">
        <v>6596</v>
      </c>
      <c r="AO544" s="6" t="str">
        <f t="shared" si="267"/>
        <v>=4920*10000</v>
      </c>
      <c r="AP544" s="1">
        <f>4920*10000</f>
        <v>49200000</v>
      </c>
      <c r="AQ544" s="8">
        <f t="shared" si="268"/>
        <v>0.46210995542347699</v>
      </c>
      <c r="AR544" s="7" t="s">
        <v>4466</v>
      </c>
      <c r="AS544" s="6" t="str">
        <f t="shared" si="269"/>
        <v>=3365*10000</v>
      </c>
      <c r="AT544" s="1">
        <f>3365*10000</f>
        <v>33650000</v>
      </c>
      <c r="AU544" s="8">
        <f t="shared" si="270"/>
        <v>40.874066699850673</v>
      </c>
      <c r="AV544" s="7" t="s">
        <v>6597</v>
      </c>
      <c r="AW544" s="6" t="str">
        <f t="shared" si="271"/>
        <v>=80.36*10000</v>
      </c>
      <c r="AX544" s="1">
        <f>80.36*10000</f>
        <v>803600</v>
      </c>
      <c r="AY544" s="10">
        <f t="shared" si="272"/>
        <v>-0.99465335994677317</v>
      </c>
      <c r="AZ544" s="6" t="s">
        <v>6598</v>
      </c>
      <c r="BA544" s="6" t="str">
        <f t="shared" si="273"/>
        <v>=1.503*100000000</v>
      </c>
      <c r="BB544" s="1">
        <f>1.503*100000000</f>
        <v>150300000</v>
      </c>
      <c r="BC544" s="8">
        <f t="shared" si="274"/>
        <v>1.8438978240302744</v>
      </c>
      <c r="BD544" s="7" t="s">
        <v>6599</v>
      </c>
      <c r="BE544" s="6" t="str">
        <f t="shared" si="275"/>
        <v>=5285*10000</v>
      </c>
      <c r="BF544" s="1">
        <f>5285*10000</f>
        <v>52850000</v>
      </c>
      <c r="BG544" s="8">
        <f t="shared" si="276"/>
        <v>-6.5263530244074996E-2</v>
      </c>
      <c r="BH544" s="7" t="s">
        <v>6600</v>
      </c>
      <c r="BI544" s="6" t="str">
        <f t="shared" si="277"/>
        <v>=5654*10000</v>
      </c>
      <c r="BJ544" s="1">
        <f>5654*10000</f>
        <v>56540000</v>
      </c>
      <c r="BK544" s="7" t="s">
        <v>6601</v>
      </c>
      <c r="BL544" s="1" t="str">
        <f t="shared" si="249"/>
        <v>=521.2*10000</v>
      </c>
      <c r="BM544" s="16">
        <f t="shared" si="278"/>
        <v>9.8480429777436687</v>
      </c>
      <c r="BN544" s="1">
        <f>521.2*10000</f>
        <v>5212000</v>
      </c>
    </row>
    <row r="545" spans="1:66">
      <c r="A545" s="19"/>
      <c r="B545">
        <v>600435</v>
      </c>
      <c r="C545" t="s">
        <v>68</v>
      </c>
      <c r="D545" s="6" t="s">
        <v>6602</v>
      </c>
      <c r="E545" s="7" t="str">
        <f t="shared" si="248"/>
        <v>=2.175*100000000</v>
      </c>
      <c r="F545" s="1">
        <f>2.175*100000000</f>
        <v>217499999.99999997</v>
      </c>
      <c r="G545" s="8">
        <f t="shared" si="250"/>
        <v>0.81249999999999978</v>
      </c>
      <c r="H545" s="6" t="s">
        <v>3578</v>
      </c>
      <c r="I545" s="6" t="str">
        <f t="shared" si="251"/>
        <v>=1.200*100000000</v>
      </c>
      <c r="J545" s="1">
        <f>1.2*100000000</f>
        <v>120000000</v>
      </c>
      <c r="K545" s="10">
        <f t="shared" si="252"/>
        <v>0.11214087117701575</v>
      </c>
      <c r="L545" s="6" t="s">
        <v>4870</v>
      </c>
      <c r="M545" s="6" t="str">
        <f t="shared" si="253"/>
        <v>=1.079*100000000</v>
      </c>
      <c r="N545" s="1">
        <f>1.079*100000000</f>
        <v>107900000</v>
      </c>
      <c r="O545" s="8">
        <f t="shared" si="254"/>
        <v>15.904276985743381</v>
      </c>
      <c r="P545" s="7" t="s">
        <v>6603</v>
      </c>
      <c r="Q545" s="6" t="str">
        <f t="shared" si="255"/>
        <v>=638.3*10000</v>
      </c>
      <c r="R545" s="11">
        <f>638.3*10000</f>
        <v>6383000</v>
      </c>
      <c r="S545" s="8">
        <f t="shared" si="256"/>
        <v>-0.96547863710113579</v>
      </c>
      <c r="T545" s="6" t="s">
        <v>6604</v>
      </c>
      <c r="U545" s="6" t="str">
        <f t="shared" si="257"/>
        <v>=1.849*100000000</v>
      </c>
      <c r="V545" s="1">
        <f>1.849*100000000</f>
        <v>184900000</v>
      </c>
      <c r="W545" s="8">
        <f t="shared" si="258"/>
        <v>4.2040529130312416</v>
      </c>
      <c r="X545" s="7" t="s">
        <v>6605</v>
      </c>
      <c r="Y545" s="6" t="str">
        <f t="shared" si="259"/>
        <v>=3553*10000</v>
      </c>
      <c r="Z545" s="1">
        <f>3553*10000</f>
        <v>35530000</v>
      </c>
      <c r="AA545" s="8">
        <f t="shared" si="260"/>
        <v>-62.027138440398488</v>
      </c>
      <c r="AB545" s="7">
        <f>-58.22*10000</f>
        <v>-582200</v>
      </c>
      <c r="AC545" s="6" t="str">
        <f t="shared" si="261"/>
        <v>=-582200</v>
      </c>
      <c r="AD545" s="1">
        <f>-582200</f>
        <v>-582200</v>
      </c>
      <c r="AE545" s="8">
        <f t="shared" si="262"/>
        <v>-0.95444444444444443</v>
      </c>
      <c r="AF545" s="7">
        <f>-1278*10000</f>
        <v>-12780000</v>
      </c>
      <c r="AG545" s="6" t="str">
        <f t="shared" si="263"/>
        <v>=-12780000</v>
      </c>
      <c r="AH545" s="1">
        <f>-12780000</f>
        <v>-12780000</v>
      </c>
      <c r="AI545" s="8">
        <f t="shared" si="264"/>
        <v>-1.1096054888507718</v>
      </c>
      <c r="AJ545" s="6" t="s">
        <v>6606</v>
      </c>
      <c r="AK545" s="6" t="str">
        <f t="shared" si="265"/>
        <v>=1.166*100000000</v>
      </c>
      <c r="AL545" s="1">
        <f>1.166*100000000</f>
        <v>116599999.99999999</v>
      </c>
      <c r="AM545" s="8">
        <f t="shared" si="266"/>
        <v>1.9201101928374651</v>
      </c>
      <c r="AN545" s="7" t="s">
        <v>6607</v>
      </c>
      <c r="AO545" s="6" t="str">
        <f t="shared" si="267"/>
        <v>=3993*10000</v>
      </c>
      <c r="AP545" s="1">
        <f>3993*10000</f>
        <v>39930000</v>
      </c>
      <c r="AQ545" s="8">
        <f t="shared" si="268"/>
        <v>0.28972868217054265</v>
      </c>
      <c r="AR545" s="7" t="s">
        <v>6608</v>
      </c>
      <c r="AS545" s="6" t="str">
        <f t="shared" si="269"/>
        <v>=3096*10000</v>
      </c>
      <c r="AT545" s="1">
        <f>3096*10000</f>
        <v>30960000</v>
      </c>
      <c r="AU545" s="8">
        <f t="shared" si="270"/>
        <v>147.56046065259116</v>
      </c>
      <c r="AV545" s="7" t="s">
        <v>6609</v>
      </c>
      <c r="AW545" s="6" t="str">
        <f t="shared" si="271"/>
        <v>=20.84*10000</v>
      </c>
      <c r="AX545" s="1">
        <f>20.84*10000</f>
        <v>208400</v>
      </c>
      <c r="AY545" s="10">
        <f t="shared" si="272"/>
        <v>-0.99837060203283812</v>
      </c>
      <c r="AZ545" s="6" t="s">
        <v>6610</v>
      </c>
      <c r="BA545" s="6" t="str">
        <f t="shared" si="273"/>
        <v>=1.279*100000000</v>
      </c>
      <c r="BB545" s="1">
        <f>1.279*100000000</f>
        <v>127899999.99999999</v>
      </c>
      <c r="BC545" s="8">
        <f t="shared" si="274"/>
        <v>2.2297979797979792</v>
      </c>
      <c r="BD545" s="7" t="s">
        <v>6611</v>
      </c>
      <c r="BE545" s="6" t="str">
        <f t="shared" si="275"/>
        <v>=3960*10000</v>
      </c>
      <c r="BF545" s="1">
        <f>3960*10000</f>
        <v>39600000</v>
      </c>
      <c r="BG545" s="8">
        <f t="shared" si="276"/>
        <v>-8.1632653061224483E-2</v>
      </c>
      <c r="BH545" s="7" t="s">
        <v>6612</v>
      </c>
      <c r="BI545" s="6" t="str">
        <f t="shared" si="277"/>
        <v>=4312*10000</v>
      </c>
      <c r="BJ545" s="1">
        <f>4312*10000</f>
        <v>43120000</v>
      </c>
      <c r="BK545" s="7" t="s">
        <v>6613</v>
      </c>
      <c r="BL545" s="1" t="str">
        <f t="shared" si="249"/>
        <v>=319.7*10000</v>
      </c>
      <c r="BM545" s="16">
        <f t="shared" si="278"/>
        <v>12.487644666875196</v>
      </c>
      <c r="BN545" s="1">
        <f>319.7*10000</f>
        <v>3197000</v>
      </c>
    </row>
    <row r="546" spans="1:66">
      <c r="A546" s="17">
        <v>137</v>
      </c>
      <c r="B546">
        <v>600444</v>
      </c>
      <c r="C546" t="s">
        <v>31</v>
      </c>
      <c r="D546" s="6" t="s">
        <v>6614</v>
      </c>
      <c r="E546" s="7" t="str">
        <f t="shared" si="248"/>
        <v>=8.419*100000000</v>
      </c>
      <c r="F546" s="1">
        <f>8.419*100000000</f>
        <v>841900000</v>
      </c>
      <c r="G546" s="8">
        <f t="shared" si="250"/>
        <v>0.75176862255513943</v>
      </c>
      <c r="H546" s="6" t="s">
        <v>6615</v>
      </c>
      <c r="I546" s="6" t="str">
        <f t="shared" si="251"/>
        <v>=4.806*100000000</v>
      </c>
      <c r="J546" s="1">
        <f>4.806*100000000</f>
        <v>480600000</v>
      </c>
      <c r="K546" s="10">
        <f t="shared" si="252"/>
        <v>0.31275607757443319</v>
      </c>
      <c r="L546" s="6" t="s">
        <v>6616</v>
      </c>
      <c r="M546" s="6" t="str">
        <f t="shared" si="253"/>
        <v>=3.661*100000000</v>
      </c>
      <c r="N546" s="1">
        <f>3.661*100000000</f>
        <v>366100000</v>
      </c>
      <c r="O546" s="8">
        <f t="shared" si="254"/>
        <v>1.5196145905024088</v>
      </c>
      <c r="P546" s="6" t="s">
        <v>3481</v>
      </c>
      <c r="Q546" s="6" t="str">
        <f t="shared" si="255"/>
        <v>=1.453*100000000</v>
      </c>
      <c r="R546" s="11">
        <f>1.453*100000000</f>
        <v>145300000</v>
      </c>
      <c r="S546" s="8">
        <f t="shared" si="256"/>
        <v>-0.79266552511415522</v>
      </c>
      <c r="T546" s="6" t="s">
        <v>6617</v>
      </c>
      <c r="U546" s="6" t="str">
        <f t="shared" si="257"/>
        <v>=7.008*100000000</v>
      </c>
      <c r="V546" s="1">
        <f>7.008*100000000</f>
        <v>700800000</v>
      </c>
      <c r="W546" s="8">
        <f t="shared" si="258"/>
        <v>0.54872928176795555</v>
      </c>
      <c r="X546" s="6" t="s">
        <v>6618</v>
      </c>
      <c r="Y546" s="6" t="str">
        <f t="shared" si="259"/>
        <v>=4.525*100000000</v>
      </c>
      <c r="Z546" s="1">
        <f>4.525*100000000</f>
        <v>452500000.00000006</v>
      </c>
      <c r="AA546" s="8">
        <f t="shared" si="260"/>
        <v>0.59837513246202778</v>
      </c>
      <c r="AB546" s="6" t="s">
        <v>4394</v>
      </c>
      <c r="AC546" s="6" t="str">
        <f t="shared" si="261"/>
        <v>=2.831*100000000</v>
      </c>
      <c r="AD546" s="1">
        <f>2.831*100000000</f>
        <v>283100000</v>
      </c>
      <c r="AE546" s="8">
        <f t="shared" si="262"/>
        <v>1.004957507082153</v>
      </c>
      <c r="AF546" s="6" t="s">
        <v>6619</v>
      </c>
      <c r="AG546" s="6" t="str">
        <f t="shared" si="263"/>
        <v>=1.412*100000000</v>
      </c>
      <c r="AH546" s="1">
        <f>1.412*100000000</f>
        <v>141200000</v>
      </c>
      <c r="AI546" s="8">
        <f t="shared" si="264"/>
        <v>-0.79183252248267733</v>
      </c>
      <c r="AJ546" s="6" t="s">
        <v>6005</v>
      </c>
      <c r="AK546" s="6" t="str">
        <f t="shared" si="265"/>
        <v>=6.783*100000000</v>
      </c>
      <c r="AL546" s="1">
        <f>6.783*100000000</f>
        <v>678300000</v>
      </c>
      <c r="AM546" s="8">
        <f t="shared" si="266"/>
        <v>0.41430358632193492</v>
      </c>
      <c r="AN546" s="6" t="s">
        <v>5377</v>
      </c>
      <c r="AO546" s="6" t="str">
        <f t="shared" si="267"/>
        <v>=4.796*100000000</v>
      </c>
      <c r="AP546" s="1">
        <f>4.796*100000000</f>
        <v>479600000</v>
      </c>
      <c r="AQ546" s="8">
        <f t="shared" si="268"/>
        <v>0.83123329515082067</v>
      </c>
      <c r="AR546" s="6" t="s">
        <v>6620</v>
      </c>
      <c r="AS546" s="6" t="str">
        <f t="shared" si="269"/>
        <v>=2.619*100000000</v>
      </c>
      <c r="AT546" s="1">
        <f>2.619*100000000</f>
        <v>261900000.00000003</v>
      </c>
      <c r="AU546" s="8">
        <f t="shared" si="270"/>
        <v>0.93713017751479311</v>
      </c>
      <c r="AV546" s="6" t="s">
        <v>3897</v>
      </c>
      <c r="AW546" s="6" t="str">
        <f t="shared" si="271"/>
        <v>=1.352*100000000</v>
      </c>
      <c r="AX546" s="1">
        <f>1.352*100000000</f>
        <v>135200000</v>
      </c>
      <c r="AY546" s="10">
        <f t="shared" si="272"/>
        <v>-0.77307821416582745</v>
      </c>
      <c r="AZ546" s="6" t="s">
        <v>4647</v>
      </c>
      <c r="BA546" s="6" t="str">
        <f t="shared" si="273"/>
        <v>=5.958*100000000</v>
      </c>
      <c r="BB546" s="1">
        <f>5.958*100000000</f>
        <v>595800000</v>
      </c>
      <c r="BC546" s="8">
        <f t="shared" si="274"/>
        <v>0.59092122830440585</v>
      </c>
      <c r="BD546" s="6" t="s">
        <v>6621</v>
      </c>
      <c r="BE546" s="6" t="str">
        <f t="shared" si="275"/>
        <v>=3.745*100000000</v>
      </c>
      <c r="BF546" s="1">
        <f>3.745*100000000</f>
        <v>374500000</v>
      </c>
      <c r="BG546" s="8">
        <f t="shared" si="276"/>
        <v>0.60867697594501735</v>
      </c>
      <c r="BH546" s="6" t="s">
        <v>3501</v>
      </c>
      <c r="BI546" s="6" t="str">
        <f t="shared" si="277"/>
        <v>=2.328*100000000</v>
      </c>
      <c r="BJ546" s="1">
        <f>2.328*100000000</f>
        <v>232799999.99999997</v>
      </c>
      <c r="BK546" s="7" t="s">
        <v>6622</v>
      </c>
      <c r="BL546" s="1" t="str">
        <f t="shared" si="249"/>
        <v>=8523*10000</v>
      </c>
      <c r="BM546" s="16">
        <f t="shared" si="278"/>
        <v>1.7314325941569866</v>
      </c>
      <c r="BN546" s="1">
        <f>8523*10000</f>
        <v>85230000</v>
      </c>
    </row>
    <row r="547" spans="1:66">
      <c r="A547" s="18"/>
      <c r="B547">
        <v>600444</v>
      </c>
      <c r="C547" t="s">
        <v>48</v>
      </c>
      <c r="D547" s="7" t="s">
        <v>6623</v>
      </c>
      <c r="E547" s="7" t="str">
        <f t="shared" si="248"/>
        <v>=5311*10000</v>
      </c>
      <c r="F547" s="1">
        <f>5311*10000</f>
        <v>53110000</v>
      </c>
      <c r="G547" s="8">
        <f t="shared" si="250"/>
        <v>0.98097724729578517</v>
      </c>
      <c r="H547" s="7" t="s">
        <v>6624</v>
      </c>
      <c r="I547" s="6" t="str">
        <f t="shared" si="251"/>
        <v>=2681*10000</v>
      </c>
      <c r="J547" s="1">
        <f>2681*10000</f>
        <v>26810000</v>
      </c>
      <c r="K547" s="10">
        <f t="shared" si="252"/>
        <v>-0.16479750778816199</v>
      </c>
      <c r="L547" s="7" t="s">
        <v>368</v>
      </c>
      <c r="M547" s="6" t="str">
        <f t="shared" si="253"/>
        <v>=3210*10000</v>
      </c>
      <c r="N547" s="1">
        <f>3210*10000</f>
        <v>32100000</v>
      </c>
      <c r="O547" s="8">
        <f t="shared" si="254"/>
        <v>2.868402024584237</v>
      </c>
      <c r="P547" s="7" t="s">
        <v>6625</v>
      </c>
      <c r="Q547" s="6" t="str">
        <f t="shared" si="255"/>
        <v>=829.8*10000</v>
      </c>
      <c r="R547" s="11">
        <f>829.8*10000</f>
        <v>8298000</v>
      </c>
      <c r="S547" s="8">
        <f t="shared" si="256"/>
        <v>-0.83754894283476899</v>
      </c>
      <c r="T547" s="7" t="s">
        <v>5582</v>
      </c>
      <c r="U547" s="6" t="str">
        <f t="shared" si="257"/>
        <v>=5108*10000</v>
      </c>
      <c r="V547" s="1">
        <f>5108*10000</f>
        <v>51080000</v>
      </c>
      <c r="W547" s="8">
        <f t="shared" si="258"/>
        <v>0.15174746335963923</v>
      </c>
      <c r="X547" s="7" t="s">
        <v>6626</v>
      </c>
      <c r="Y547" s="6" t="str">
        <f t="shared" si="259"/>
        <v>=4435*10000</v>
      </c>
      <c r="Z547" s="1">
        <f>4435*10000</f>
        <v>44350000</v>
      </c>
      <c r="AA547" s="8">
        <f t="shared" si="260"/>
        <v>1.1139180171591991</v>
      </c>
      <c r="AB547" s="7" t="s">
        <v>1297</v>
      </c>
      <c r="AC547" s="6" t="str">
        <f t="shared" si="261"/>
        <v>=2098*10000</v>
      </c>
      <c r="AD547" s="1">
        <f>2098*10000</f>
        <v>20980000</v>
      </c>
      <c r="AE547" s="8">
        <f t="shared" si="262"/>
        <v>2.4466896665023823</v>
      </c>
      <c r="AF547" s="7" t="s">
        <v>6627</v>
      </c>
      <c r="AG547" s="6" t="str">
        <f t="shared" si="263"/>
        <v>=608.7*10000</v>
      </c>
      <c r="AH547" s="1">
        <f>608.7*10000</f>
        <v>6087000</v>
      </c>
      <c r="AI547" s="8">
        <f t="shared" si="264"/>
        <v>-0.88654240447343891</v>
      </c>
      <c r="AJ547" s="7" t="s">
        <v>4780</v>
      </c>
      <c r="AK547" s="6" t="str">
        <f t="shared" si="265"/>
        <v>=5365*10000</v>
      </c>
      <c r="AL547" s="1">
        <f>5365*10000</f>
        <v>53650000</v>
      </c>
      <c r="AM547" s="8">
        <f t="shared" si="266"/>
        <v>0.90925266903914592</v>
      </c>
      <c r="AN547" s="7" t="s">
        <v>6628</v>
      </c>
      <c r="AO547" s="6" t="str">
        <f t="shared" si="267"/>
        <v>=2810*10000</v>
      </c>
      <c r="AP547" s="1">
        <f>2810*10000</f>
        <v>28100000</v>
      </c>
      <c r="AQ547" s="8">
        <f t="shared" si="268"/>
        <v>1.0274170274170273</v>
      </c>
      <c r="AR547" s="7" t="s">
        <v>6629</v>
      </c>
      <c r="AS547" s="6" t="str">
        <f t="shared" si="269"/>
        <v>=1386*10000</v>
      </c>
      <c r="AT547" s="1">
        <f>1386*10000</f>
        <v>13860000</v>
      </c>
      <c r="AU547" s="8">
        <f t="shared" si="270"/>
        <v>0.34563106796116505</v>
      </c>
      <c r="AV547" s="7" t="s">
        <v>6630</v>
      </c>
      <c r="AW547" s="6" t="str">
        <f t="shared" si="271"/>
        <v>=1030*10000</v>
      </c>
      <c r="AX547" s="1">
        <f>1030*10000</f>
        <v>10300000</v>
      </c>
      <c r="AY547" s="10">
        <f t="shared" si="272"/>
        <v>-0.71896316507503411</v>
      </c>
      <c r="AZ547" s="7" t="s">
        <v>6631</v>
      </c>
      <c r="BA547" s="6" t="str">
        <f t="shared" si="273"/>
        <v>=3665*10000</v>
      </c>
      <c r="BB547" s="1">
        <f>3665*10000</f>
        <v>36650000</v>
      </c>
      <c r="BC547" s="8">
        <f t="shared" si="274"/>
        <v>0.77224371373307543</v>
      </c>
      <c r="BD547" s="7" t="s">
        <v>2011</v>
      </c>
      <c r="BE547" s="6" t="str">
        <f t="shared" si="275"/>
        <v>=2068*10000</v>
      </c>
      <c r="BF547" s="1">
        <f>2068*10000</f>
        <v>20680000</v>
      </c>
      <c r="BG547" s="8">
        <f t="shared" si="276"/>
        <v>5.1147250147841516</v>
      </c>
      <c r="BH547" s="7" t="s">
        <v>4189</v>
      </c>
      <c r="BI547" s="6" t="str">
        <f t="shared" si="277"/>
        <v>=338.2*10000</v>
      </c>
      <c r="BJ547" s="1">
        <f>338.2*10000</f>
        <v>3382000</v>
      </c>
      <c r="BK547" s="7">
        <f>-304.6*10000</f>
        <v>-3046000</v>
      </c>
      <c r="BL547" s="1" t="str">
        <f t="shared" si="249"/>
        <v>=-3046000</v>
      </c>
      <c r="BM547" s="16">
        <f t="shared" si="278"/>
        <v>-2.1103086014445176</v>
      </c>
      <c r="BN547" s="1">
        <f>-3046000</f>
        <v>-3046000</v>
      </c>
    </row>
    <row r="548" spans="1:66">
      <c r="A548" s="18"/>
      <c r="B548">
        <v>600444</v>
      </c>
      <c r="C548" t="s">
        <v>58</v>
      </c>
      <c r="D548" s="7" t="s">
        <v>6632</v>
      </c>
      <c r="E548" s="7" t="str">
        <f t="shared" si="248"/>
        <v>=5359*10000</v>
      </c>
      <c r="F548" s="1">
        <f>5359*10000</f>
        <v>53590000</v>
      </c>
      <c r="G548" s="8">
        <f t="shared" si="250"/>
        <v>0.90779636881452475</v>
      </c>
      <c r="H548" s="7" t="s">
        <v>6633</v>
      </c>
      <c r="I548" s="6" t="str">
        <f t="shared" si="251"/>
        <v>=2809*10000</v>
      </c>
      <c r="J548" s="1">
        <f>2809*10000</f>
        <v>28090000</v>
      </c>
      <c r="K548" s="10">
        <f t="shared" si="252"/>
        <v>-0.14097859327217124</v>
      </c>
      <c r="L548" s="7" t="s">
        <v>6634</v>
      </c>
      <c r="M548" s="6" t="str">
        <f t="shared" si="253"/>
        <v>=3270*10000</v>
      </c>
      <c r="N548" s="1">
        <f>3270*10000</f>
        <v>32700000</v>
      </c>
      <c r="O548" s="8">
        <f t="shared" si="254"/>
        <v>2.7564618035611717</v>
      </c>
      <c r="P548" s="7" t="s">
        <v>6635</v>
      </c>
      <c r="Q548" s="6" t="str">
        <f t="shared" si="255"/>
        <v>=870.5*10000</v>
      </c>
      <c r="R548" s="11">
        <f>870.5*10000</f>
        <v>8705000</v>
      </c>
      <c r="S548" s="8">
        <f t="shared" si="256"/>
        <v>-0.82810031595576616</v>
      </c>
      <c r="T548" s="7" t="s">
        <v>6636</v>
      </c>
      <c r="U548" s="6" t="str">
        <f t="shared" si="257"/>
        <v>=5064*10000</v>
      </c>
      <c r="V548" s="1">
        <f>5064*10000</f>
        <v>50640000</v>
      </c>
      <c r="W548" s="8">
        <f t="shared" si="258"/>
        <v>0.15881006864988559</v>
      </c>
      <c r="X548" s="7" t="s">
        <v>6637</v>
      </c>
      <c r="Y548" s="6" t="str">
        <f t="shared" si="259"/>
        <v>=4370*10000</v>
      </c>
      <c r="Z548" s="1">
        <f>4370*10000</f>
        <v>43700000</v>
      </c>
      <c r="AA548" s="8">
        <f t="shared" si="260"/>
        <v>1.0613207547169812</v>
      </c>
      <c r="AB548" s="7" t="s">
        <v>6638</v>
      </c>
      <c r="AC548" s="6" t="str">
        <f t="shared" si="261"/>
        <v>=2120*10000</v>
      </c>
      <c r="AD548" s="1">
        <f>2120*10000</f>
        <v>21200000</v>
      </c>
      <c r="AE548" s="8">
        <f t="shared" si="262"/>
        <v>2.3741843068597803</v>
      </c>
      <c r="AF548" s="7" t="s">
        <v>6639</v>
      </c>
      <c r="AG548" s="6" t="str">
        <f t="shared" si="263"/>
        <v>=628.3*10000</v>
      </c>
      <c r="AH548" s="1">
        <f>628.3*10000</f>
        <v>6283000</v>
      </c>
      <c r="AI548" s="8">
        <f t="shared" si="264"/>
        <v>-0.88505305525064037</v>
      </c>
      <c r="AJ548" s="7" t="s">
        <v>6640</v>
      </c>
      <c r="AK548" s="6" t="str">
        <f t="shared" si="265"/>
        <v>=5466*10000</v>
      </c>
      <c r="AL548" s="1">
        <f>5466*10000</f>
        <v>54660000</v>
      </c>
      <c r="AM548" s="8">
        <f t="shared" si="266"/>
        <v>0.8572884811416922</v>
      </c>
      <c r="AN548" s="7" t="s">
        <v>6641</v>
      </c>
      <c r="AO548" s="6" t="str">
        <f t="shared" si="267"/>
        <v>=2943*10000</v>
      </c>
      <c r="AP548" s="1">
        <f>2943*10000</f>
        <v>29430000</v>
      </c>
      <c r="AQ548" s="8">
        <f t="shared" si="268"/>
        <v>0.9374588545095458</v>
      </c>
      <c r="AR548" s="7" t="s">
        <v>6642</v>
      </c>
      <c r="AS548" s="6" t="str">
        <f t="shared" si="269"/>
        <v>=1519*10000</v>
      </c>
      <c r="AT548" s="1">
        <f>1519*10000</f>
        <v>15190000</v>
      </c>
      <c r="AU548" s="8">
        <f t="shared" si="270"/>
        <v>0.30948275862068964</v>
      </c>
      <c r="AV548" s="7" t="s">
        <v>6643</v>
      </c>
      <c r="AW548" s="6" t="str">
        <f t="shared" si="271"/>
        <v>=1160*10000</v>
      </c>
      <c r="AX548" s="1">
        <f>1160*10000</f>
        <v>11600000</v>
      </c>
      <c r="AY548" s="10">
        <f t="shared" si="272"/>
        <v>-0.68349249658935884</v>
      </c>
      <c r="AZ548" s="7" t="s">
        <v>6631</v>
      </c>
      <c r="BA548" s="6" t="str">
        <f t="shared" si="273"/>
        <v>=3665*10000</v>
      </c>
      <c r="BB548" s="1">
        <f>3665*10000</f>
        <v>36650000</v>
      </c>
      <c r="BC548" s="8">
        <f t="shared" si="274"/>
        <v>0.77224371373307543</v>
      </c>
      <c r="BD548" s="7" t="s">
        <v>2011</v>
      </c>
      <c r="BE548" s="6" t="str">
        <f t="shared" si="275"/>
        <v>=2068*10000</v>
      </c>
      <c r="BF548" s="1">
        <f>2068*10000</f>
        <v>20680000</v>
      </c>
      <c r="BG548" s="8">
        <f t="shared" si="276"/>
        <v>5.1129175288205735</v>
      </c>
      <c r="BH548" s="7" t="s">
        <v>6644</v>
      </c>
      <c r="BI548" s="6" t="str">
        <f t="shared" si="277"/>
        <v>=338.3*10000</v>
      </c>
      <c r="BJ548" s="1">
        <f>338.3*10000</f>
        <v>3383000</v>
      </c>
      <c r="BK548" s="7">
        <f>-281.5*10000</f>
        <v>-2815000</v>
      </c>
      <c r="BL548" s="1" t="str">
        <f t="shared" si="249"/>
        <v>=-2815000</v>
      </c>
      <c r="BM548" s="16">
        <f t="shared" si="278"/>
        <v>-2.2017761989342808</v>
      </c>
      <c r="BN548" s="1">
        <f>-2815000</f>
        <v>-2815000</v>
      </c>
    </row>
    <row r="549" spans="1:66">
      <c r="A549" s="19"/>
      <c r="B549">
        <v>600444</v>
      </c>
      <c r="C549" t="s">
        <v>68</v>
      </c>
      <c r="D549" s="7" t="s">
        <v>6645</v>
      </c>
      <c r="E549" s="7" t="str">
        <f t="shared" si="248"/>
        <v>=4865*10000</v>
      </c>
      <c r="F549" s="1">
        <f>4865*10000</f>
        <v>48650000</v>
      </c>
      <c r="G549" s="8">
        <f t="shared" si="250"/>
        <v>1.013658940397351</v>
      </c>
      <c r="H549" s="7" t="s">
        <v>6646</v>
      </c>
      <c r="I549" s="6" t="str">
        <f t="shared" si="251"/>
        <v>=2416*10000</v>
      </c>
      <c r="J549" s="1">
        <f>2416*10000</f>
        <v>24160000</v>
      </c>
      <c r="K549" s="10">
        <f t="shared" si="252"/>
        <v>-0.1025260029717682</v>
      </c>
      <c r="L549" s="7" t="s">
        <v>6647</v>
      </c>
      <c r="M549" s="6" t="str">
        <f t="shared" si="253"/>
        <v>=2692*10000</v>
      </c>
      <c r="N549" s="1">
        <f>2692*10000</f>
        <v>26920000</v>
      </c>
      <c r="O549" s="8">
        <f t="shared" si="254"/>
        <v>2.5161964472309299</v>
      </c>
      <c r="P549" s="7" t="s">
        <v>6648</v>
      </c>
      <c r="Q549" s="6" t="str">
        <f t="shared" si="255"/>
        <v>=765.6*10000</v>
      </c>
      <c r="R549" s="11">
        <f>765.6*10000</f>
        <v>7656000</v>
      </c>
      <c r="S549" s="8">
        <f t="shared" si="256"/>
        <v>-0.83195785776997366</v>
      </c>
      <c r="T549" s="7" t="s">
        <v>6649</v>
      </c>
      <c r="U549" s="6" t="str">
        <f t="shared" si="257"/>
        <v>=4556*10000</v>
      </c>
      <c r="V549" s="1">
        <f>4556*10000</f>
        <v>45560000</v>
      </c>
      <c r="W549" s="8">
        <f t="shared" si="258"/>
        <v>0.230353767215771</v>
      </c>
      <c r="X549" s="7" t="s">
        <v>6650</v>
      </c>
      <c r="Y549" s="6" t="str">
        <f t="shared" si="259"/>
        <v>=3703*10000</v>
      </c>
      <c r="Z549" s="1">
        <f>3703*10000</f>
        <v>37030000</v>
      </c>
      <c r="AA549" s="8">
        <f t="shared" si="260"/>
        <v>1.0815064643057897</v>
      </c>
      <c r="AB549" s="7" t="s">
        <v>6651</v>
      </c>
      <c r="AC549" s="6" t="str">
        <f t="shared" si="261"/>
        <v>=1779*10000</v>
      </c>
      <c r="AD549" s="1">
        <f>1779*10000</f>
        <v>17790000</v>
      </c>
      <c r="AE549" s="8">
        <f t="shared" si="262"/>
        <v>2.3091517857142856</v>
      </c>
      <c r="AF549" s="7" t="s">
        <v>6652</v>
      </c>
      <c r="AG549" s="6" t="str">
        <f t="shared" si="263"/>
        <v>=537.6*10000</v>
      </c>
      <c r="AH549" s="1">
        <f>537.6*10000</f>
        <v>5376000</v>
      </c>
      <c r="AI549" s="8">
        <f t="shared" si="264"/>
        <v>-0.88929159802306423</v>
      </c>
      <c r="AJ549" s="7" t="s">
        <v>6653</v>
      </c>
      <c r="AK549" s="6" t="str">
        <f t="shared" si="265"/>
        <v>=4856*10000</v>
      </c>
      <c r="AL549" s="1">
        <f>4856*10000</f>
        <v>48560000</v>
      </c>
      <c r="AM549" s="8">
        <f t="shared" si="266"/>
        <v>0.83869746308216586</v>
      </c>
      <c r="AN549" s="7" t="s">
        <v>6654</v>
      </c>
      <c r="AO549" s="6" t="str">
        <f t="shared" si="267"/>
        <v>=2641*10000</v>
      </c>
      <c r="AP549" s="1">
        <f>2641*10000</f>
        <v>26410000</v>
      </c>
      <c r="AQ549" s="8">
        <f t="shared" si="268"/>
        <v>0.8546348314606742</v>
      </c>
      <c r="AR549" s="7" t="s">
        <v>6655</v>
      </c>
      <c r="AS549" s="6" t="str">
        <f t="shared" si="269"/>
        <v>=1424*10000</v>
      </c>
      <c r="AT549" s="1">
        <f>1424*10000</f>
        <v>14240000</v>
      </c>
      <c r="AU549" s="8">
        <f t="shared" si="270"/>
        <v>0.3295985060690943</v>
      </c>
      <c r="AV549" s="7" t="s">
        <v>6656</v>
      </c>
      <c r="AW549" s="6" t="str">
        <f t="shared" si="271"/>
        <v>=1071*10000</v>
      </c>
      <c r="AX549" s="1">
        <f>1071*10000</f>
        <v>10710000</v>
      </c>
      <c r="AY549" s="10">
        <f t="shared" si="272"/>
        <v>-0.77309322033898309</v>
      </c>
      <c r="AZ549" s="7" t="s">
        <v>6657</v>
      </c>
      <c r="BA549" s="6" t="str">
        <f t="shared" si="273"/>
        <v>=4720*10000</v>
      </c>
      <c r="BB549" s="1">
        <f>4720*10000</f>
        <v>47200000</v>
      </c>
      <c r="BC549" s="8">
        <f t="shared" si="274"/>
        <v>0.40392623438429504</v>
      </c>
      <c r="BD549" s="7" t="s">
        <v>6658</v>
      </c>
      <c r="BE549" s="6" t="str">
        <f t="shared" si="275"/>
        <v>=3362*10000</v>
      </c>
      <c r="BF549" s="1">
        <f>3362*10000</f>
        <v>33620000</v>
      </c>
      <c r="BG549" s="8">
        <f t="shared" si="276"/>
        <v>0.87402452619843929</v>
      </c>
      <c r="BH549" s="7" t="s">
        <v>6659</v>
      </c>
      <c r="BI549" s="6" t="str">
        <f t="shared" si="277"/>
        <v>=1794*10000</v>
      </c>
      <c r="BJ549" s="1">
        <f>1794*10000</f>
        <v>17940000</v>
      </c>
      <c r="BK549" s="7">
        <f>-294.2*10000</f>
        <v>-2942000</v>
      </c>
      <c r="BL549" s="1" t="str">
        <f t="shared" si="249"/>
        <v>=-2942000</v>
      </c>
      <c r="BM549" s="16">
        <f t="shared" si="278"/>
        <v>-7.0978925900747791</v>
      </c>
      <c r="BN549" s="1">
        <f>-2942000</f>
        <v>-2942000</v>
      </c>
    </row>
    <row r="550" spans="1:66">
      <c r="A550" s="17">
        <v>138</v>
      </c>
      <c r="B550">
        <v>600449</v>
      </c>
      <c r="C550" t="s">
        <v>31</v>
      </c>
      <c r="D550" s="6" t="s">
        <v>6660</v>
      </c>
      <c r="E550" s="7" t="str">
        <f t="shared" si="248"/>
        <v>=57.83*100000000</v>
      </c>
      <c r="F550" s="1">
        <f>57.83*100000000</f>
        <v>5783000000</v>
      </c>
      <c r="G550" s="8">
        <f t="shared" si="250"/>
        <v>0.39483839845634344</v>
      </c>
      <c r="H550" s="6" t="s">
        <v>4069</v>
      </c>
      <c r="I550" s="6" t="str">
        <f t="shared" si="251"/>
        <v>=41.46*100000000</v>
      </c>
      <c r="J550" s="1">
        <f>41.46*100000000</f>
        <v>4146000000</v>
      </c>
      <c r="K550" s="10">
        <f t="shared" si="252"/>
        <v>0.81364829396325455</v>
      </c>
      <c r="L550" s="6" t="s">
        <v>6661</v>
      </c>
      <c r="M550" s="6" t="str">
        <f t="shared" si="253"/>
        <v>=22.86*100000000</v>
      </c>
      <c r="N550" s="1">
        <f>22.86*100000000</f>
        <v>2286000000</v>
      </c>
      <c r="O550" s="8">
        <f t="shared" si="254"/>
        <v>2.9735790022596906</v>
      </c>
      <c r="P550" s="6" t="s">
        <v>6346</v>
      </c>
      <c r="Q550" s="6" t="str">
        <f t="shared" si="255"/>
        <v>=5.753*100000000</v>
      </c>
      <c r="R550" s="11">
        <f>5.753*100000000</f>
        <v>575300000</v>
      </c>
      <c r="S550" s="8">
        <f t="shared" si="256"/>
        <v>-0.88741682974559688</v>
      </c>
      <c r="T550" s="6" t="s">
        <v>6662</v>
      </c>
      <c r="U550" s="6" t="str">
        <f t="shared" si="257"/>
        <v>=51.10*100000000</v>
      </c>
      <c r="V550" s="1">
        <f>51.1*100000000</f>
        <v>5110000000</v>
      </c>
      <c r="W550" s="8">
        <f t="shared" si="258"/>
        <v>0.31939065324038229</v>
      </c>
      <c r="X550" s="6" t="s">
        <v>6663</v>
      </c>
      <c r="Y550" s="6" t="str">
        <f t="shared" si="259"/>
        <v>=38.73*100000000</v>
      </c>
      <c r="Z550" s="1">
        <f>38.73*100000000</f>
        <v>3872999999.9999995</v>
      </c>
      <c r="AA550" s="8">
        <f t="shared" si="260"/>
        <v>0.77987132352941158</v>
      </c>
      <c r="AB550" s="6" t="s">
        <v>1879</v>
      </c>
      <c r="AC550" s="6" t="str">
        <f t="shared" si="261"/>
        <v>=21.76*100000000</v>
      </c>
      <c r="AD550" s="1">
        <f>21.76*100000000</f>
        <v>2176000000</v>
      </c>
      <c r="AE550" s="8">
        <f t="shared" si="262"/>
        <v>4.7444561774023235</v>
      </c>
      <c r="AF550" s="6" t="s">
        <v>6664</v>
      </c>
      <c r="AG550" s="6" t="str">
        <f t="shared" si="263"/>
        <v>=3.788*100000000</v>
      </c>
      <c r="AH550" s="1">
        <f>3.788*100000000</f>
        <v>378800000</v>
      </c>
      <c r="AI550" s="8">
        <f t="shared" si="264"/>
        <v>-0.92091858037578289</v>
      </c>
      <c r="AJ550" s="6" t="s">
        <v>6665</v>
      </c>
      <c r="AK550" s="6" t="str">
        <f t="shared" si="265"/>
        <v>=47.90*100000000</v>
      </c>
      <c r="AL550" s="1">
        <f>47.9*100000000</f>
        <v>4790000000</v>
      </c>
      <c r="AM550" s="8">
        <f t="shared" si="266"/>
        <v>0.31919581382539247</v>
      </c>
      <c r="AN550" s="6" t="s">
        <v>6666</v>
      </c>
      <c r="AO550" s="6" t="str">
        <f t="shared" si="267"/>
        <v>=36.31*100000000</v>
      </c>
      <c r="AP550" s="1">
        <f>36.31*100000000</f>
        <v>3631000000</v>
      </c>
      <c r="AQ550" s="8">
        <f t="shared" si="268"/>
        <v>0.82737795671867131</v>
      </c>
      <c r="AR550" s="6" t="s">
        <v>6667</v>
      </c>
      <c r="AS550" s="6" t="str">
        <f t="shared" si="269"/>
        <v>=19.87*100000000</v>
      </c>
      <c r="AT550" s="1">
        <f>19.87*100000000</f>
        <v>1987000000</v>
      </c>
      <c r="AU550" s="8">
        <f t="shared" si="270"/>
        <v>3.1813973063973062</v>
      </c>
      <c r="AV550" s="6" t="s">
        <v>6668</v>
      </c>
      <c r="AW550" s="6" t="str">
        <f t="shared" si="271"/>
        <v>=4.752*100000000</v>
      </c>
      <c r="AX550" s="1">
        <f>4.752*100000000</f>
        <v>475200000</v>
      </c>
      <c r="AY550" s="10">
        <f t="shared" si="272"/>
        <v>-0.88612508986340766</v>
      </c>
      <c r="AZ550" s="6" t="s">
        <v>6669</v>
      </c>
      <c r="BA550" s="6" t="str">
        <f t="shared" si="273"/>
        <v>=41.73*100000000</v>
      </c>
      <c r="BB550" s="1">
        <f>41.73*100000000</f>
        <v>4172999999.9999995</v>
      </c>
      <c r="BC550" s="8">
        <f t="shared" si="274"/>
        <v>0.34223222901254408</v>
      </c>
      <c r="BD550" s="6" t="s">
        <v>4418</v>
      </c>
      <c r="BE550" s="6" t="str">
        <f t="shared" si="275"/>
        <v>=31.09*100000000</v>
      </c>
      <c r="BF550" s="1">
        <f>31.09*100000000</f>
        <v>3109000000</v>
      </c>
      <c r="BG550" s="8">
        <f t="shared" si="276"/>
        <v>0.77555682467161602</v>
      </c>
      <c r="BH550" s="6" t="s">
        <v>6670</v>
      </c>
      <c r="BI550" s="6" t="str">
        <f t="shared" si="277"/>
        <v>=17.51*100000000</v>
      </c>
      <c r="BJ550" s="1">
        <f>17.51*100000000</f>
        <v>1751000000.0000002</v>
      </c>
      <c r="BK550" s="6" t="s">
        <v>1752</v>
      </c>
      <c r="BL550" s="1" t="str">
        <f t="shared" si="249"/>
        <v>=3.598*100000000</v>
      </c>
      <c r="BM550" s="16">
        <f t="shared" si="278"/>
        <v>3.8665925514174546</v>
      </c>
      <c r="BN550" s="1">
        <f>3.598*100000000</f>
        <v>359800000</v>
      </c>
    </row>
    <row r="551" spans="1:66">
      <c r="A551" s="18"/>
      <c r="B551">
        <v>600449</v>
      </c>
      <c r="C551" t="s">
        <v>48</v>
      </c>
      <c r="D551" s="6" t="s">
        <v>156</v>
      </c>
      <c r="E551" s="7" t="str">
        <f t="shared" si="248"/>
        <v>=10.36*100000000</v>
      </c>
      <c r="F551" s="1">
        <f>10.36*100000000</f>
        <v>1036000000</v>
      </c>
      <c r="G551" s="8">
        <f t="shared" si="250"/>
        <v>0.15612096864189265</v>
      </c>
      <c r="H551" s="6" t="s">
        <v>6671</v>
      </c>
      <c r="I551" s="6" t="str">
        <f t="shared" si="251"/>
        <v>=8.961*100000000</v>
      </c>
      <c r="J551" s="1">
        <f>8.961*100000000</f>
        <v>896100000</v>
      </c>
      <c r="K551" s="10">
        <f t="shared" si="252"/>
        <v>0.80628905462608325</v>
      </c>
      <c r="L551" s="6" t="s">
        <v>6672</v>
      </c>
      <c r="M551" s="6" t="str">
        <f t="shared" si="253"/>
        <v>=4.961*100000000</v>
      </c>
      <c r="N551" s="1">
        <f>4.961*100000000</f>
        <v>496100000.00000006</v>
      </c>
      <c r="O551" s="8">
        <f t="shared" si="254"/>
        <v>78.74602153994536</v>
      </c>
      <c r="P551" s="7" t="s">
        <v>6673</v>
      </c>
      <c r="Q551" s="6" t="str">
        <f t="shared" si="255"/>
        <v>=622.1*10000</v>
      </c>
      <c r="R551" s="11">
        <f>622.1*10000</f>
        <v>6221000</v>
      </c>
      <c r="S551" s="8">
        <f t="shared" si="256"/>
        <v>-0.9948882497945768</v>
      </c>
      <c r="T551" s="6" t="s">
        <v>6674</v>
      </c>
      <c r="U551" s="6" t="str">
        <f t="shared" si="257"/>
        <v>=12.17*100000000</v>
      </c>
      <c r="V551" s="1">
        <f>12.17*100000000</f>
        <v>1217000000</v>
      </c>
      <c r="W551" s="8">
        <f t="shared" si="258"/>
        <v>0.1781219748305905</v>
      </c>
      <c r="X551" s="6" t="s">
        <v>1108</v>
      </c>
      <c r="Y551" s="6" t="str">
        <f t="shared" si="259"/>
        <v>=10.33*100000000</v>
      </c>
      <c r="Z551" s="1">
        <f>10.33*100000000</f>
        <v>1033000000</v>
      </c>
      <c r="AA551" s="8">
        <f t="shared" si="260"/>
        <v>0.94942441970183034</v>
      </c>
      <c r="AB551" s="6" t="s">
        <v>6675</v>
      </c>
      <c r="AC551" s="6" t="str">
        <f t="shared" si="261"/>
        <v>=5.299*100000000</v>
      </c>
      <c r="AD551" s="1">
        <f>5.299*100000000</f>
        <v>529900000.00000006</v>
      </c>
      <c r="AE551" s="8">
        <f t="shared" si="262"/>
        <v>-22.960215499378368</v>
      </c>
      <c r="AF551" s="7">
        <f>-2413*10000</f>
        <v>-24130000</v>
      </c>
      <c r="AG551" s="6" t="str">
        <f t="shared" si="263"/>
        <v>=-24130000</v>
      </c>
      <c r="AH551" s="1">
        <f>-24130000</f>
        <v>-24130000</v>
      </c>
      <c r="AI551" s="8">
        <f t="shared" si="264"/>
        <v>-1.0244354430379747</v>
      </c>
      <c r="AJ551" s="6" t="s">
        <v>6676</v>
      </c>
      <c r="AK551" s="6" t="str">
        <f t="shared" si="265"/>
        <v>=9.875*100000000</v>
      </c>
      <c r="AL551" s="1">
        <f>9.875*100000000</f>
        <v>987500000</v>
      </c>
      <c r="AM551" s="8">
        <f t="shared" si="266"/>
        <v>0.27914507772020725</v>
      </c>
      <c r="AN551" s="6" t="s">
        <v>6677</v>
      </c>
      <c r="AO551" s="6" t="str">
        <f t="shared" si="267"/>
        <v>=7.720*100000000</v>
      </c>
      <c r="AP551" s="1">
        <f>7.72*100000000</f>
        <v>772000000</v>
      </c>
      <c r="AQ551" s="8">
        <f t="shared" si="268"/>
        <v>1.0927080509623204</v>
      </c>
      <c r="AR551" s="6" t="s">
        <v>6678</v>
      </c>
      <c r="AS551" s="6" t="str">
        <f t="shared" si="269"/>
        <v>=3.689*100000000</v>
      </c>
      <c r="AT551" s="1">
        <f>3.689*100000000</f>
        <v>368900000</v>
      </c>
      <c r="AU551" s="8">
        <f t="shared" si="270"/>
        <v>-8.4964438122332862</v>
      </c>
      <c r="AV551" s="7">
        <f>-4921*10000</f>
        <v>-49210000</v>
      </c>
      <c r="AW551" s="6" t="str">
        <f t="shared" si="271"/>
        <v>=-49210000</v>
      </c>
      <c r="AX551" s="1">
        <f>-49210000</f>
        <v>-49210000</v>
      </c>
      <c r="AY551" s="10">
        <f t="shared" si="272"/>
        <v>-1.0863787958574689</v>
      </c>
      <c r="AZ551" s="6" t="s">
        <v>6679</v>
      </c>
      <c r="BA551" s="6" t="str">
        <f t="shared" si="273"/>
        <v>=5.697*100000000</v>
      </c>
      <c r="BB551" s="1">
        <f>5.697*100000000</f>
        <v>569700000</v>
      </c>
      <c r="BC551" s="8">
        <f t="shared" si="274"/>
        <v>0.26684456304202803</v>
      </c>
      <c r="BD551" s="6" t="s">
        <v>6680</v>
      </c>
      <c r="BE551" s="6" t="str">
        <f t="shared" si="275"/>
        <v>=4.497*100000000</v>
      </c>
      <c r="BF551" s="1">
        <f>4.497*100000000</f>
        <v>449700000</v>
      </c>
      <c r="BG551" s="8">
        <f t="shared" si="276"/>
        <v>1.5493197278911566</v>
      </c>
      <c r="BH551" s="6" t="s">
        <v>3472</v>
      </c>
      <c r="BI551" s="6" t="str">
        <f t="shared" si="277"/>
        <v>=1.764*100000000</v>
      </c>
      <c r="BJ551" s="1">
        <f>1.764*100000000</f>
        <v>176400000</v>
      </c>
      <c r="BK551" s="7">
        <f>-9998*10000</f>
        <v>-99980000</v>
      </c>
      <c r="BL551" s="1" t="str">
        <f t="shared" si="249"/>
        <v>=-99980000</v>
      </c>
      <c r="BM551" s="16">
        <f t="shared" si="278"/>
        <v>-2.7643528705741147</v>
      </c>
      <c r="BN551" s="1">
        <f>-99980000</f>
        <v>-99980000</v>
      </c>
    </row>
    <row r="552" spans="1:66">
      <c r="A552" s="18"/>
      <c r="B552">
        <v>600449</v>
      </c>
      <c r="C552" t="s">
        <v>58</v>
      </c>
      <c r="D552" s="6" t="s">
        <v>1108</v>
      </c>
      <c r="E552" s="7" t="str">
        <f t="shared" si="248"/>
        <v>=10.33*100000000</v>
      </c>
      <c r="F552" s="1">
        <f>10.33*100000000</f>
        <v>1033000000</v>
      </c>
      <c r="G552" s="8">
        <f t="shared" si="250"/>
        <v>0.15418994413407835</v>
      </c>
      <c r="H552" s="6" t="s">
        <v>6681</v>
      </c>
      <c r="I552" s="6" t="str">
        <f t="shared" si="251"/>
        <v>=8.950*100000000</v>
      </c>
      <c r="J552" s="1">
        <f>8.95*100000000</f>
        <v>894999999.99999988</v>
      </c>
      <c r="K552" s="10">
        <f t="shared" si="252"/>
        <v>0.79466613194305169</v>
      </c>
      <c r="L552" s="6" t="s">
        <v>6682</v>
      </c>
      <c r="M552" s="6" t="str">
        <f t="shared" si="253"/>
        <v>=4.987*100000000</v>
      </c>
      <c r="N552" s="1">
        <f>4.987*100000000</f>
        <v>498700000</v>
      </c>
      <c r="O552" s="8">
        <f t="shared" si="254"/>
        <v>64.739520168731872</v>
      </c>
      <c r="P552" s="7" t="s">
        <v>6683</v>
      </c>
      <c r="Q552" s="6" t="str">
        <f t="shared" si="255"/>
        <v>=758.6*10000</v>
      </c>
      <c r="R552" s="11">
        <f>758.6*10000</f>
        <v>7586000</v>
      </c>
      <c r="S552" s="8">
        <f t="shared" si="256"/>
        <v>-0.99388718775181306</v>
      </c>
      <c r="T552" s="6" t="s">
        <v>1813</v>
      </c>
      <c r="U552" s="6" t="str">
        <f t="shared" si="257"/>
        <v>=12.41*100000000</v>
      </c>
      <c r="V552" s="1">
        <f>12.41*100000000</f>
        <v>1241000000</v>
      </c>
      <c r="W552" s="8">
        <f t="shared" si="258"/>
        <v>0.18529130850047743</v>
      </c>
      <c r="X552" s="6" t="s">
        <v>3623</v>
      </c>
      <c r="Y552" s="6" t="str">
        <f t="shared" si="259"/>
        <v>=10.47*100000000</v>
      </c>
      <c r="Z552" s="1">
        <f>10.47*100000000</f>
        <v>1047000000.0000001</v>
      </c>
      <c r="AA552" s="8">
        <f t="shared" si="260"/>
        <v>0.93494732951395332</v>
      </c>
      <c r="AB552" s="6" t="s">
        <v>6684</v>
      </c>
      <c r="AC552" s="6" t="str">
        <f t="shared" si="261"/>
        <v>=5.411*100000000</v>
      </c>
      <c r="AD552" s="1">
        <f>5.411*100000000</f>
        <v>541100000</v>
      </c>
      <c r="AE552" s="8">
        <f t="shared" si="262"/>
        <v>-33.208333333333336</v>
      </c>
      <c r="AF552" s="7">
        <f>-1680*10000</f>
        <v>-16800000</v>
      </c>
      <c r="AG552" s="6" t="str">
        <f t="shared" si="263"/>
        <v>=-16800000</v>
      </c>
      <c r="AH552" s="1">
        <f>-16800000</f>
        <v>-16800000</v>
      </c>
      <c r="AI552" s="8">
        <f t="shared" si="264"/>
        <v>-1.016247582205029</v>
      </c>
      <c r="AJ552" s="6" t="s">
        <v>6685</v>
      </c>
      <c r="AK552" s="6" t="str">
        <f t="shared" si="265"/>
        <v>=10.34*100000000</v>
      </c>
      <c r="AL552" s="1">
        <f>10.34*100000000</f>
        <v>1034000000</v>
      </c>
      <c r="AM552" s="8">
        <f t="shared" si="266"/>
        <v>0.25990008529304232</v>
      </c>
      <c r="AN552" s="6" t="s">
        <v>6686</v>
      </c>
      <c r="AO552" s="6" t="str">
        <f t="shared" si="267"/>
        <v>=8.207*100000000</v>
      </c>
      <c r="AP552" s="1">
        <f>8.207*100000000</f>
        <v>820700000.00000012</v>
      </c>
      <c r="AQ552" s="8">
        <f t="shared" si="268"/>
        <v>1.1631523458091726</v>
      </c>
      <c r="AR552" s="6" t="s">
        <v>6687</v>
      </c>
      <c r="AS552" s="6" t="str">
        <f t="shared" si="269"/>
        <v>=3.794*100000000</v>
      </c>
      <c r="AT552" s="1">
        <f>3.794*100000000</f>
        <v>379400000</v>
      </c>
      <c r="AU552" s="8">
        <f t="shared" si="270"/>
        <v>-10.487371842960741</v>
      </c>
      <c r="AV552" s="7">
        <f>-3999*10000</f>
        <v>-39990000</v>
      </c>
      <c r="AW552" s="6" t="str">
        <f t="shared" si="271"/>
        <v>=-39990000</v>
      </c>
      <c r="AX552" s="1">
        <f>-39990000</f>
        <v>-39990000</v>
      </c>
      <c r="AY552" s="10">
        <f t="shared" si="272"/>
        <v>-1.0703306366514245</v>
      </c>
      <c r="AZ552" s="6" t="s">
        <v>6688</v>
      </c>
      <c r="BA552" s="6" t="str">
        <f t="shared" si="273"/>
        <v>=5.686*100000000</v>
      </c>
      <c r="BB552" s="1">
        <f>5.686*100000000</f>
        <v>568600000</v>
      </c>
      <c r="BC552" s="8">
        <f t="shared" si="274"/>
        <v>0.22043356943550119</v>
      </c>
      <c r="BD552" s="6" t="s">
        <v>6689</v>
      </c>
      <c r="BE552" s="6" t="str">
        <f t="shared" si="275"/>
        <v>=4.659*100000000</v>
      </c>
      <c r="BF552" s="1">
        <f>4.659*100000000</f>
        <v>465900000</v>
      </c>
      <c r="BG552" s="8">
        <f t="shared" si="276"/>
        <v>1.4190031152647975</v>
      </c>
      <c r="BH552" s="6" t="s">
        <v>6690</v>
      </c>
      <c r="BI552" s="6" t="str">
        <f t="shared" si="277"/>
        <v>=1.926*100000000</v>
      </c>
      <c r="BJ552" s="1">
        <f>1.926*100000000</f>
        <v>192600000</v>
      </c>
      <c r="BK552" s="7">
        <f>-9143*10000</f>
        <v>-91430000</v>
      </c>
      <c r="BL552" s="1" t="str">
        <f t="shared" si="249"/>
        <v>=-91430000</v>
      </c>
      <c r="BM552" s="16">
        <f t="shared" si="278"/>
        <v>-3.1065295854752271</v>
      </c>
      <c r="BN552" s="1">
        <f>-91430000</f>
        <v>-91430000</v>
      </c>
    </row>
    <row r="553" spans="1:66">
      <c r="A553" s="19"/>
      <c r="B553">
        <v>600449</v>
      </c>
      <c r="C553" t="s">
        <v>68</v>
      </c>
      <c r="D553" s="6" t="s">
        <v>6691</v>
      </c>
      <c r="E553" s="7" t="str">
        <f t="shared" si="248"/>
        <v>=8.672*100000000</v>
      </c>
      <c r="F553" s="1">
        <f>8.672*100000000</f>
        <v>867200000.00000012</v>
      </c>
      <c r="G553" s="8">
        <f t="shared" si="250"/>
        <v>0.16262233543370441</v>
      </c>
      <c r="H553" s="6" t="s">
        <v>6692</v>
      </c>
      <c r="I553" s="6" t="str">
        <f t="shared" si="251"/>
        <v>=7.459*100000000</v>
      </c>
      <c r="J553" s="1">
        <f>7.459*100000000</f>
        <v>745900000</v>
      </c>
      <c r="K553" s="10">
        <f t="shared" si="252"/>
        <v>0.77679847546450664</v>
      </c>
      <c r="L553" s="6" t="s">
        <v>6373</v>
      </c>
      <c r="M553" s="6" t="str">
        <f t="shared" si="253"/>
        <v>=4.198*100000000</v>
      </c>
      <c r="N553" s="1">
        <f>4.198*100000000</f>
        <v>419800000.00000006</v>
      </c>
      <c r="O553" s="8">
        <f t="shared" si="254"/>
        <v>69.984105512343604</v>
      </c>
      <c r="P553" s="7" t="s">
        <v>5490</v>
      </c>
      <c r="Q553" s="6" t="str">
        <f t="shared" si="255"/>
        <v>=591.4*10000</v>
      </c>
      <c r="R553" s="11">
        <f>591.4*10000</f>
        <v>5914000</v>
      </c>
      <c r="S553" s="8">
        <f t="shared" si="256"/>
        <v>-0.99436224976167775</v>
      </c>
      <c r="T553" s="6" t="s">
        <v>720</v>
      </c>
      <c r="U553" s="6" t="str">
        <f t="shared" si="257"/>
        <v>=10.49*100000000</v>
      </c>
      <c r="V553" s="1">
        <f>10.49*100000000</f>
        <v>1049000000</v>
      </c>
      <c r="W553" s="8">
        <f t="shared" si="258"/>
        <v>0.18317166704263479</v>
      </c>
      <c r="X553" s="6" t="s">
        <v>6693</v>
      </c>
      <c r="Y553" s="6" t="str">
        <f t="shared" si="259"/>
        <v>=8.866*100000000</v>
      </c>
      <c r="Z553" s="1">
        <f>8.866*100000000</f>
        <v>886600000</v>
      </c>
      <c r="AA553" s="8">
        <f t="shared" si="260"/>
        <v>0.91448931116389554</v>
      </c>
      <c r="AB553" s="6" t="s">
        <v>4659</v>
      </c>
      <c r="AC553" s="6" t="str">
        <f t="shared" si="261"/>
        <v>=4.631*100000000</v>
      </c>
      <c r="AD553" s="1">
        <f>4.631*100000000</f>
        <v>463100000</v>
      </c>
      <c r="AE553" s="8">
        <f t="shared" si="262"/>
        <v>-36.378151260504204</v>
      </c>
      <c r="AF553" s="7">
        <f>-1309*10000</f>
        <v>-13090000</v>
      </c>
      <c r="AG553" s="6" t="str">
        <f t="shared" si="263"/>
        <v>=-13090000</v>
      </c>
      <c r="AH553" s="1">
        <f>-13090000</f>
        <v>-13090000</v>
      </c>
      <c r="AI553" s="8">
        <f t="shared" si="264"/>
        <v>-1.015489291208141</v>
      </c>
      <c r="AJ553" s="6" t="s">
        <v>6694</v>
      </c>
      <c r="AK553" s="6" t="str">
        <f t="shared" si="265"/>
        <v>=8.451*100000000</v>
      </c>
      <c r="AL553" s="1">
        <f>8.451*100000000</f>
        <v>845100000</v>
      </c>
      <c r="AM553" s="8">
        <f t="shared" si="266"/>
        <v>0.25218550896429098</v>
      </c>
      <c r="AN553" s="6" t="s">
        <v>6695</v>
      </c>
      <c r="AO553" s="6" t="str">
        <f t="shared" si="267"/>
        <v>=6.749*100000000</v>
      </c>
      <c r="AP553" s="1">
        <f>6.749*100000000</f>
        <v>674900000</v>
      </c>
      <c r="AQ553" s="8">
        <f t="shared" si="268"/>
        <v>1.1735909822866344</v>
      </c>
      <c r="AR553" s="6" t="s">
        <v>6696</v>
      </c>
      <c r="AS553" s="6" t="str">
        <f t="shared" si="269"/>
        <v>=3.105*100000000</v>
      </c>
      <c r="AT553" s="1">
        <f>3.105*100000000</f>
        <v>310500000</v>
      </c>
      <c r="AU553" s="8">
        <f t="shared" si="270"/>
        <v>-7.1976047904191613</v>
      </c>
      <c r="AV553" s="7">
        <f>-5010*10000</f>
        <v>-50100000</v>
      </c>
      <c r="AW553" s="6" t="str">
        <f t="shared" si="271"/>
        <v>=-50100000</v>
      </c>
      <c r="AX553" s="1">
        <f>-50100000</f>
        <v>-50100000</v>
      </c>
      <c r="AY553" s="10">
        <f t="shared" si="272"/>
        <v>-1.1044838373305526</v>
      </c>
      <c r="AZ553" s="6" t="s">
        <v>6697</v>
      </c>
      <c r="BA553" s="6" t="str">
        <f t="shared" si="273"/>
        <v>=4.795*100000000</v>
      </c>
      <c r="BB553" s="1">
        <f>4.795*100000000</f>
        <v>479500000</v>
      </c>
      <c r="BC553" s="8">
        <f t="shared" si="274"/>
        <v>0.2380583526981668</v>
      </c>
      <c r="BD553" s="6" t="s">
        <v>6698</v>
      </c>
      <c r="BE553" s="6" t="str">
        <f t="shared" si="275"/>
        <v>=3.873*100000000</v>
      </c>
      <c r="BF553" s="1">
        <f>3.873*100000000</f>
        <v>387300000</v>
      </c>
      <c r="BG553" s="8">
        <f t="shared" si="276"/>
        <v>1.3702570379436965</v>
      </c>
      <c r="BH553" s="6" t="s">
        <v>6699</v>
      </c>
      <c r="BI553" s="6" t="str">
        <f t="shared" si="277"/>
        <v>=1.634*100000000</v>
      </c>
      <c r="BJ553" s="1">
        <f>1.634*100000000</f>
        <v>163400000</v>
      </c>
      <c r="BK553" s="7">
        <f>-9135*10000</f>
        <v>-91350000</v>
      </c>
      <c r="BL553" s="1" t="str">
        <f t="shared" si="249"/>
        <v>=-91350000</v>
      </c>
      <c r="BM553" s="16">
        <f t="shared" si="278"/>
        <v>-2.7887246852764096</v>
      </c>
      <c r="BN553" s="1">
        <f>-91350000</f>
        <v>-91350000</v>
      </c>
    </row>
    <row r="554" spans="1:66">
      <c r="A554" s="17">
        <v>139</v>
      </c>
      <c r="B554">
        <v>600458</v>
      </c>
      <c r="C554" t="s">
        <v>31</v>
      </c>
      <c r="D554" s="6" t="s">
        <v>2732</v>
      </c>
      <c r="E554" s="7" t="str">
        <f t="shared" si="248"/>
        <v>=140.5*100000000</v>
      </c>
      <c r="F554" s="1">
        <f>140.5*100000000</f>
        <v>14050000000</v>
      </c>
      <c r="G554" s="8">
        <f t="shared" si="250"/>
        <v>0.30576208178438663</v>
      </c>
      <c r="H554" s="6" t="s">
        <v>6700</v>
      </c>
      <c r="I554" s="6" t="str">
        <f t="shared" si="251"/>
        <v>=107.6*100000000</v>
      </c>
      <c r="J554" s="1">
        <f>107.6*100000000</f>
        <v>10760000000</v>
      </c>
      <c r="K554" s="10">
        <f t="shared" si="252"/>
        <v>0.41077750098334864</v>
      </c>
      <c r="L554" s="6" t="s">
        <v>6701</v>
      </c>
      <c r="M554" s="6" t="str">
        <f t="shared" si="253"/>
        <v>=76.27*100000000</v>
      </c>
      <c r="N554" s="1">
        <f>76.27*100000000</f>
        <v>7627000000</v>
      </c>
      <c r="O554" s="8">
        <f t="shared" si="254"/>
        <v>1.0145272054939249</v>
      </c>
      <c r="P554" s="6" t="s">
        <v>6702</v>
      </c>
      <c r="Q554" s="6" t="str">
        <f t="shared" si="255"/>
        <v>=37.86*100000000</v>
      </c>
      <c r="R554" s="11">
        <f>37.86*100000000</f>
        <v>3786000000</v>
      </c>
      <c r="S554" s="8">
        <f t="shared" si="256"/>
        <v>-0.7489389920424403</v>
      </c>
      <c r="T554" s="6" t="s">
        <v>6703</v>
      </c>
      <c r="U554" s="6" t="str">
        <f t="shared" si="257"/>
        <v>=150.8*100000000</v>
      </c>
      <c r="V554" s="1">
        <f>150.8*100000000</f>
        <v>15080000000.000002</v>
      </c>
      <c r="W554" s="8">
        <f t="shared" si="258"/>
        <v>0.50499001996008008</v>
      </c>
      <c r="X554" s="6" t="s">
        <v>4690</v>
      </c>
      <c r="Y554" s="6" t="str">
        <f t="shared" si="259"/>
        <v>=100.2*100000000</v>
      </c>
      <c r="Z554" s="1">
        <f>100.2*100000000</f>
        <v>10020000000</v>
      </c>
      <c r="AA554" s="8">
        <f t="shared" si="260"/>
        <v>0.70960586930557923</v>
      </c>
      <c r="AB554" s="6" t="s">
        <v>6704</v>
      </c>
      <c r="AC554" s="6" t="str">
        <f t="shared" si="261"/>
        <v>=58.61*100000000</v>
      </c>
      <c r="AD554" s="1">
        <f>58.61*100000000</f>
        <v>5861000000</v>
      </c>
      <c r="AE554" s="8">
        <f t="shared" si="262"/>
        <v>1.4249069093918081</v>
      </c>
      <c r="AF554" s="6" t="s">
        <v>6705</v>
      </c>
      <c r="AG554" s="6" t="str">
        <f t="shared" si="263"/>
        <v>=24.17*100000000</v>
      </c>
      <c r="AH554" s="1">
        <f>24.17*100000000</f>
        <v>2417000000</v>
      </c>
      <c r="AI554" s="8">
        <f t="shared" si="264"/>
        <v>-0.79637742207245155</v>
      </c>
      <c r="AJ554" s="6" t="s">
        <v>526</v>
      </c>
      <c r="AK554" s="6" t="str">
        <f t="shared" si="265"/>
        <v>=118.7*100000000</v>
      </c>
      <c r="AL554" s="1">
        <f>118.7*100000000</f>
        <v>11870000000</v>
      </c>
      <c r="AM554" s="8">
        <f t="shared" si="266"/>
        <v>0.48430661498061772</v>
      </c>
      <c r="AN554" s="6" t="s">
        <v>6706</v>
      </c>
      <c r="AO554" s="6" t="str">
        <f t="shared" si="267"/>
        <v>=79.97*100000000</v>
      </c>
      <c r="AP554" s="1">
        <f>79.97*100000000</f>
        <v>7997000000</v>
      </c>
      <c r="AQ554" s="8">
        <f t="shared" si="268"/>
        <v>0.56039024390243908</v>
      </c>
      <c r="AR554" s="6" t="s">
        <v>6707</v>
      </c>
      <c r="AS554" s="6" t="str">
        <f t="shared" si="269"/>
        <v>=51.25*100000000</v>
      </c>
      <c r="AT554" s="1">
        <f>51.25*100000000</f>
        <v>5125000000</v>
      </c>
      <c r="AU554" s="8">
        <f t="shared" si="270"/>
        <v>1.0185112248916897</v>
      </c>
      <c r="AV554" s="6" t="s">
        <v>5923</v>
      </c>
      <c r="AW554" s="6" t="str">
        <f t="shared" si="271"/>
        <v>=25.39*100000000</v>
      </c>
      <c r="AX554" s="1">
        <f>25.39*100000000</f>
        <v>2539000000</v>
      </c>
      <c r="AY554" s="10">
        <f t="shared" si="272"/>
        <v>-0.78841666666666665</v>
      </c>
      <c r="AZ554" s="6" t="s">
        <v>6708</v>
      </c>
      <c r="BA554" s="6" t="str">
        <f t="shared" si="273"/>
        <v>=120.0*100000000</v>
      </c>
      <c r="BB554" s="1">
        <f>120*100000000</f>
        <v>12000000000</v>
      </c>
      <c r="BC554" s="8">
        <f t="shared" si="274"/>
        <v>0.44300144300144301</v>
      </c>
      <c r="BD554" s="6" t="s">
        <v>6709</v>
      </c>
      <c r="BE554" s="6" t="str">
        <f t="shared" si="275"/>
        <v>=83.16*100000000</v>
      </c>
      <c r="BF554" s="1">
        <f>83.16*100000000</f>
        <v>8316000000</v>
      </c>
      <c r="BG554" s="8">
        <f t="shared" si="276"/>
        <v>0.50054132082280767</v>
      </c>
      <c r="BH554" s="6" t="s">
        <v>5901</v>
      </c>
      <c r="BI554" s="6" t="str">
        <f t="shared" si="277"/>
        <v>=55.42*100000000</v>
      </c>
      <c r="BJ554" s="1">
        <f>55.42*100000000</f>
        <v>5542000000</v>
      </c>
      <c r="BK554" s="6" t="s">
        <v>6710</v>
      </c>
      <c r="BL554" s="1" t="str">
        <f t="shared" si="249"/>
        <v>=25.74*100000000</v>
      </c>
      <c r="BM554" s="16">
        <f t="shared" si="278"/>
        <v>1.153069153069153</v>
      </c>
      <c r="BN554" s="1">
        <f>25.74*100000000</f>
        <v>2574000000</v>
      </c>
    </row>
    <row r="555" spans="1:66">
      <c r="A555" s="18"/>
      <c r="B555">
        <v>600458</v>
      </c>
      <c r="C555" t="s">
        <v>48</v>
      </c>
      <c r="D555" s="6" t="s">
        <v>2928</v>
      </c>
      <c r="E555" s="7" t="str">
        <f t="shared" si="248"/>
        <v>=2.077*100000000</v>
      </c>
      <c r="F555" s="1">
        <f>2.077*100000000</f>
        <v>207700000</v>
      </c>
      <c r="G555" s="8">
        <f t="shared" si="250"/>
        <v>-0.14981580024559968</v>
      </c>
      <c r="H555" s="6" t="s">
        <v>6711</v>
      </c>
      <c r="I555" s="6" t="str">
        <f t="shared" si="251"/>
        <v>=2.443*100000000</v>
      </c>
      <c r="J555" s="1">
        <f>2.443*100000000</f>
        <v>244300000</v>
      </c>
      <c r="K555" s="10">
        <f t="shared" si="252"/>
        <v>0.11961503208065995</v>
      </c>
      <c r="L555" s="6" t="s">
        <v>6096</v>
      </c>
      <c r="M555" s="6" t="str">
        <f t="shared" si="253"/>
        <v>=2.182*100000000</v>
      </c>
      <c r="N555" s="1">
        <f>2.182*100000000</f>
        <v>218200000</v>
      </c>
      <c r="O555" s="8">
        <f t="shared" si="254"/>
        <v>0.98724954462659353</v>
      </c>
      <c r="P555" s="6" t="s">
        <v>4295</v>
      </c>
      <c r="Q555" s="6" t="str">
        <f t="shared" si="255"/>
        <v>=1.098*100000000</v>
      </c>
      <c r="R555" s="11">
        <f>1.098*100000000</f>
        <v>109800000.00000001</v>
      </c>
      <c r="S555" s="8">
        <f t="shared" si="256"/>
        <v>-0.70332342610105381</v>
      </c>
      <c r="T555" s="6" t="s">
        <v>1968</v>
      </c>
      <c r="U555" s="6" t="str">
        <f t="shared" si="257"/>
        <v>=3.701*100000000</v>
      </c>
      <c r="V555" s="1">
        <f>3.701*100000000</f>
        <v>370100000</v>
      </c>
      <c r="W555" s="8">
        <f t="shared" si="258"/>
        <v>0.36316758747697975</v>
      </c>
      <c r="X555" s="6" t="s">
        <v>6712</v>
      </c>
      <c r="Y555" s="6" t="str">
        <f t="shared" si="259"/>
        <v>=2.715*100000000</v>
      </c>
      <c r="Z555" s="1">
        <f>2.715*100000000</f>
        <v>271500000</v>
      </c>
      <c r="AA555" s="8">
        <f t="shared" si="260"/>
        <v>2.9347826086956523</v>
      </c>
      <c r="AB555" s="7" t="s">
        <v>6713</v>
      </c>
      <c r="AC555" s="6" t="str">
        <f t="shared" si="261"/>
        <v>=6900*10000</v>
      </c>
      <c r="AD555" s="1">
        <f>6900*10000</f>
        <v>69000000</v>
      </c>
      <c r="AE555" s="8">
        <f t="shared" si="262"/>
        <v>1.8882377563834241</v>
      </c>
      <c r="AF555" s="7" t="s">
        <v>6714</v>
      </c>
      <c r="AG555" s="6" t="str">
        <f t="shared" si="263"/>
        <v>=2389*10000</v>
      </c>
      <c r="AH555" s="1">
        <f>2389*10000</f>
        <v>23890000</v>
      </c>
      <c r="AI555" s="8">
        <f t="shared" si="264"/>
        <v>-0.88453359110681484</v>
      </c>
      <c r="AJ555" s="6" t="s">
        <v>2333</v>
      </c>
      <c r="AK555" s="6" t="str">
        <f t="shared" si="265"/>
        <v>=2.069*100000000</v>
      </c>
      <c r="AL555" s="1">
        <f>2.069*100000000</f>
        <v>206900000</v>
      </c>
      <c r="AM555" s="8">
        <f t="shared" si="266"/>
        <v>5.1705934983596782</v>
      </c>
      <c r="AN555" s="7" t="s">
        <v>6715</v>
      </c>
      <c r="AO555" s="6" t="str">
        <f t="shared" si="267"/>
        <v>=3353*10000</v>
      </c>
      <c r="AP555" s="1">
        <f>3353*10000</f>
        <v>33530000</v>
      </c>
      <c r="AQ555" s="8">
        <f t="shared" si="268"/>
        <v>0.30213592233009706</v>
      </c>
      <c r="AR555" s="7" t="s">
        <v>6716</v>
      </c>
      <c r="AS555" s="6" t="str">
        <f t="shared" si="269"/>
        <v>=2575*10000</v>
      </c>
      <c r="AT555" s="1">
        <f>2575*10000</f>
        <v>25750000</v>
      </c>
      <c r="AU555" s="8">
        <f t="shared" si="270"/>
        <v>-0.39468735307945463</v>
      </c>
      <c r="AV555" s="7" t="s">
        <v>6717</v>
      </c>
      <c r="AW555" s="6" t="str">
        <f t="shared" si="271"/>
        <v>=4254*10000</v>
      </c>
      <c r="AX555" s="1">
        <f>4254*10000</f>
        <v>42540000</v>
      </c>
      <c r="AY555" s="10">
        <f t="shared" si="272"/>
        <v>-1.0978380864765409</v>
      </c>
      <c r="AZ555" s="6">
        <f>-4.348*100000000</f>
        <v>-434800000</v>
      </c>
      <c r="BA555" s="6" t="str">
        <f t="shared" si="273"/>
        <v>=-434800000</v>
      </c>
      <c r="BB555" s="1">
        <f>-434800000</f>
        <v>-434800000</v>
      </c>
      <c r="BC555" s="8">
        <f t="shared" si="274"/>
        <v>-5.4503582395087005</v>
      </c>
      <c r="BD555" s="7" t="s">
        <v>6718</v>
      </c>
      <c r="BE555" s="6" t="str">
        <f t="shared" si="275"/>
        <v>=9770*10000</v>
      </c>
      <c r="BF555" s="1">
        <f>9770*10000</f>
        <v>97700000</v>
      </c>
      <c r="BG555" s="8">
        <f t="shared" si="276"/>
        <v>7.0088641517212944E-3</v>
      </c>
      <c r="BH555" s="7" t="s">
        <v>6719</v>
      </c>
      <c r="BI555" s="6" t="str">
        <f t="shared" si="277"/>
        <v>=9702*10000</v>
      </c>
      <c r="BJ555" s="1">
        <f>9702*10000</f>
        <v>97020000</v>
      </c>
      <c r="BK555" s="7" t="s">
        <v>6720</v>
      </c>
      <c r="BL555" s="1" t="str">
        <f t="shared" si="249"/>
        <v>=3745*10000</v>
      </c>
      <c r="BM555" s="16">
        <f t="shared" si="278"/>
        <v>1.5906542056074766</v>
      </c>
      <c r="BN555" s="1">
        <f>3745*10000</f>
        <v>37450000</v>
      </c>
    </row>
    <row r="556" spans="1:66">
      <c r="A556" s="18"/>
      <c r="B556">
        <v>600458</v>
      </c>
      <c r="C556" t="s">
        <v>58</v>
      </c>
      <c r="D556" s="6" t="s">
        <v>5843</v>
      </c>
      <c r="E556" s="7" t="str">
        <f t="shared" si="248"/>
        <v>=2.750*100000000</v>
      </c>
      <c r="F556" s="1">
        <f>2.75*100000000</f>
        <v>275000000</v>
      </c>
      <c r="G556" s="8">
        <f t="shared" si="250"/>
        <v>0.12061939690301535</v>
      </c>
      <c r="H556" s="6" t="s">
        <v>2528</v>
      </c>
      <c r="I556" s="6" t="str">
        <f t="shared" si="251"/>
        <v>=2.454*100000000</v>
      </c>
      <c r="J556" s="1">
        <f>2.454*100000000</f>
        <v>245400000.00000003</v>
      </c>
      <c r="K556" s="10">
        <f t="shared" si="252"/>
        <v>0.16857142857142871</v>
      </c>
      <c r="L556" s="6" t="s">
        <v>4165</v>
      </c>
      <c r="M556" s="6" t="str">
        <f t="shared" si="253"/>
        <v>=2.100*100000000</v>
      </c>
      <c r="N556" s="1">
        <f>2.1*100000000</f>
        <v>210000000</v>
      </c>
      <c r="O556" s="8">
        <f t="shared" si="254"/>
        <v>0.80102915951972575</v>
      </c>
      <c r="P556" s="6" t="s">
        <v>6606</v>
      </c>
      <c r="Q556" s="6" t="str">
        <f t="shared" si="255"/>
        <v>=1.166*100000000</v>
      </c>
      <c r="R556" s="11">
        <f>1.166*100000000</f>
        <v>116599999.99999999</v>
      </c>
      <c r="S556" s="8">
        <f t="shared" si="256"/>
        <v>-0.70383540767081532</v>
      </c>
      <c r="T556" s="6" t="s">
        <v>6721</v>
      </c>
      <c r="U556" s="6" t="str">
        <f t="shared" si="257"/>
        <v>=3.937*100000000</v>
      </c>
      <c r="V556" s="1">
        <f>3.937*100000000</f>
        <v>393700000</v>
      </c>
      <c r="W556" s="8">
        <f t="shared" si="258"/>
        <v>0.4630248978075065</v>
      </c>
      <c r="X556" s="6" t="s">
        <v>6722</v>
      </c>
      <c r="Y556" s="6" t="str">
        <f t="shared" si="259"/>
        <v>=2.691*100000000</v>
      </c>
      <c r="Z556" s="1">
        <f>2.691*100000000</f>
        <v>269100000</v>
      </c>
      <c r="AA556" s="8">
        <f t="shared" si="260"/>
        <v>2.7657430730478589</v>
      </c>
      <c r="AB556" s="7" t="s">
        <v>6105</v>
      </c>
      <c r="AC556" s="6" t="str">
        <f t="shared" si="261"/>
        <v>=7146*10000</v>
      </c>
      <c r="AD556" s="1">
        <f>7146*10000</f>
        <v>71460000</v>
      </c>
      <c r="AE556" s="8">
        <f t="shared" si="262"/>
        <v>1.6824324324324325</v>
      </c>
      <c r="AF556" s="7" t="s">
        <v>6723</v>
      </c>
      <c r="AG556" s="6" t="str">
        <f t="shared" si="263"/>
        <v>=2664*10000</v>
      </c>
      <c r="AH556" s="1">
        <f>2664*10000</f>
        <v>26640000</v>
      </c>
      <c r="AI556" s="8">
        <f t="shared" si="264"/>
        <v>-0.88069861173309449</v>
      </c>
      <c r="AJ556" s="6" t="s">
        <v>3686</v>
      </c>
      <c r="AK556" s="6" t="str">
        <f t="shared" si="265"/>
        <v>=2.233*100000000</v>
      </c>
      <c r="AL556" s="1">
        <f>2.233*100000000</f>
        <v>223300000</v>
      </c>
      <c r="AM556" s="8">
        <f t="shared" si="266"/>
        <v>4.1227345721495752</v>
      </c>
      <c r="AN556" s="7" t="s">
        <v>6724</v>
      </c>
      <c r="AO556" s="6" t="str">
        <f t="shared" si="267"/>
        <v>=4359*10000</v>
      </c>
      <c r="AP556" s="1">
        <f>4359*10000</f>
        <v>43590000</v>
      </c>
      <c r="AQ556" s="8">
        <f t="shared" si="268"/>
        <v>0.35246664598200433</v>
      </c>
      <c r="AR556" s="7" t="s">
        <v>6725</v>
      </c>
      <c r="AS556" s="6" t="str">
        <f t="shared" si="269"/>
        <v>=3223*10000</v>
      </c>
      <c r="AT556" s="1">
        <f>3223*10000</f>
        <v>32230000</v>
      </c>
      <c r="AU556" s="8">
        <f t="shared" si="270"/>
        <v>-0.29567307692307693</v>
      </c>
      <c r="AV556" s="7" t="s">
        <v>6726</v>
      </c>
      <c r="AW556" s="6" t="str">
        <f t="shared" si="271"/>
        <v>=4576*10000</v>
      </c>
      <c r="AX556" s="1">
        <f>4576*10000</f>
        <v>45760000</v>
      </c>
      <c r="AY556" s="10">
        <f t="shared" si="272"/>
        <v>-1.1127927039684495</v>
      </c>
      <c r="AZ556" s="6">
        <f>-4.057*100000000</f>
        <v>-405700000.00000006</v>
      </c>
      <c r="BA556" s="6" t="str">
        <f t="shared" si="273"/>
        <v>=-405700000</v>
      </c>
      <c r="BB556" s="1">
        <f>-405700000</f>
        <v>-405700000</v>
      </c>
      <c r="BC556" s="8">
        <f t="shared" si="274"/>
        <v>-4.5217013888888893</v>
      </c>
      <c r="BD556" s="6" t="s">
        <v>2167</v>
      </c>
      <c r="BE556" s="6" t="str">
        <f t="shared" si="275"/>
        <v>=1.152*100000000</v>
      </c>
      <c r="BF556" s="1">
        <f>1.152*100000000</f>
        <v>115199999.99999999</v>
      </c>
      <c r="BG556" s="8">
        <f t="shared" si="276"/>
        <v>6.8645640074211367E-2</v>
      </c>
      <c r="BH556" s="6" t="s">
        <v>2153</v>
      </c>
      <c r="BI556" s="6" t="str">
        <f t="shared" si="277"/>
        <v>=1.078*100000000</v>
      </c>
      <c r="BJ556" s="1">
        <f>1.078*100000000</f>
        <v>107800000</v>
      </c>
      <c r="BK556" s="7" t="s">
        <v>6727</v>
      </c>
      <c r="BL556" s="1" t="str">
        <f t="shared" si="249"/>
        <v>=4461*10000</v>
      </c>
      <c r="BM556" s="16">
        <f t="shared" si="278"/>
        <v>1.4164985429275947</v>
      </c>
      <c r="BN556" s="1">
        <f>4461*10000</f>
        <v>44610000</v>
      </c>
    </row>
    <row r="557" spans="1:66">
      <c r="A557" s="19"/>
      <c r="B557">
        <v>600458</v>
      </c>
      <c r="C557" t="s">
        <v>68</v>
      </c>
      <c r="D557" s="6" t="s">
        <v>2563</v>
      </c>
      <c r="E557" s="7" t="str">
        <f t="shared" si="248"/>
        <v>=2.179*100000000</v>
      </c>
      <c r="F557" s="1">
        <f>2.179*100000000</f>
        <v>217899999.99999997</v>
      </c>
      <c r="G557" s="8">
        <f t="shared" si="250"/>
        <v>0.17656587473002144</v>
      </c>
      <c r="H557" s="6" t="s">
        <v>1783</v>
      </c>
      <c r="I557" s="6" t="str">
        <f t="shared" si="251"/>
        <v>=1.852*100000000</v>
      </c>
      <c r="J557" s="1">
        <f>1.852*100000000</f>
        <v>185200000</v>
      </c>
      <c r="K557" s="10">
        <f t="shared" si="252"/>
        <v>0.20887728459530025</v>
      </c>
      <c r="L557" s="6" t="s">
        <v>6728</v>
      </c>
      <c r="M557" s="6" t="str">
        <f t="shared" si="253"/>
        <v>=1.532*100000000</v>
      </c>
      <c r="N557" s="1">
        <f>1.532*100000000</f>
        <v>153200000</v>
      </c>
      <c r="O557" s="8">
        <f t="shared" si="254"/>
        <v>0.90192427063935443</v>
      </c>
      <c r="P557" s="7" t="s">
        <v>6729</v>
      </c>
      <c r="Q557" s="6" t="str">
        <f t="shared" si="255"/>
        <v>=8055*10000</v>
      </c>
      <c r="R557" s="11">
        <f>8055*10000</f>
        <v>80550000</v>
      </c>
      <c r="S557" s="8">
        <f t="shared" si="256"/>
        <v>-0.74968924798011183</v>
      </c>
      <c r="T557" s="6" t="s">
        <v>6730</v>
      </c>
      <c r="U557" s="6" t="str">
        <f t="shared" si="257"/>
        <v>=3.218*100000000</v>
      </c>
      <c r="V557" s="1">
        <f>3.218*100000000</f>
        <v>321800000</v>
      </c>
      <c r="W557" s="8">
        <f t="shared" si="258"/>
        <v>1.0721184803605923</v>
      </c>
      <c r="X557" s="6" t="s">
        <v>1639</v>
      </c>
      <c r="Y557" s="6" t="str">
        <f t="shared" si="259"/>
        <v>=1.553*100000000</v>
      </c>
      <c r="Z557" s="1">
        <f>1.553*100000000</f>
        <v>155300000</v>
      </c>
      <c r="AA557" s="8">
        <f t="shared" si="260"/>
        <v>56.137601177336279</v>
      </c>
      <c r="AB557" s="7" t="s">
        <v>6731</v>
      </c>
      <c r="AC557" s="6" t="str">
        <f t="shared" si="261"/>
        <v>=271.8*10000</v>
      </c>
      <c r="AD557" s="1">
        <f>271.8*10000</f>
        <v>2718000</v>
      </c>
      <c r="AE557" s="8">
        <f t="shared" si="262"/>
        <v>-0.53387069113359631</v>
      </c>
      <c r="AF557" s="7" t="s">
        <v>6732</v>
      </c>
      <c r="AG557" s="6" t="str">
        <f t="shared" si="263"/>
        <v>=583.1*10000</v>
      </c>
      <c r="AH557" s="1">
        <f>583.1*10000</f>
        <v>5831000</v>
      </c>
      <c r="AI557" s="8">
        <f t="shared" si="264"/>
        <v>-0.93572530864197534</v>
      </c>
      <c r="AJ557" s="7" t="s">
        <v>6733</v>
      </c>
      <c r="AK557" s="6" t="str">
        <f t="shared" si="265"/>
        <v>=9072*10000</v>
      </c>
      <c r="AL557" s="1">
        <f>9072*10000</f>
        <v>90720000</v>
      </c>
      <c r="AM557" s="8">
        <f t="shared" si="266"/>
        <v>-29.191423244251087</v>
      </c>
      <c r="AN557" s="7">
        <f>-321.8*10000</f>
        <v>-3218000</v>
      </c>
      <c r="AO557" s="6" t="str">
        <f t="shared" si="267"/>
        <v>=-3218000</v>
      </c>
      <c r="AP557" s="1">
        <f>-3218000</f>
        <v>-3218000</v>
      </c>
      <c r="AQ557" s="8">
        <f t="shared" si="268"/>
        <v>-37.324641607404899</v>
      </c>
      <c r="AR557" s="7" t="s">
        <v>6734</v>
      </c>
      <c r="AS557" s="6" t="str">
        <f t="shared" si="269"/>
        <v>=8.859*10000</v>
      </c>
      <c r="AT557" s="1">
        <f>8.859*10000</f>
        <v>88590</v>
      </c>
      <c r="AU557" s="8">
        <f t="shared" si="270"/>
        <v>-0.99691860869565219</v>
      </c>
      <c r="AV557" s="7" t="s">
        <v>6735</v>
      </c>
      <c r="AW557" s="6" t="str">
        <f t="shared" si="271"/>
        <v>=2875*10000</v>
      </c>
      <c r="AX557" s="1">
        <f>2875*10000</f>
        <v>28750000</v>
      </c>
      <c r="AY557" s="10">
        <f t="shared" si="272"/>
        <v>-1.0661527841693512</v>
      </c>
      <c r="AZ557" s="6">
        <f>-4.346*100000000</f>
        <v>-434600000</v>
      </c>
      <c r="BA557" s="6" t="str">
        <f t="shared" si="273"/>
        <v>=-434600000</v>
      </c>
      <c r="BB557" s="1">
        <f>-434600000</f>
        <v>-434600000</v>
      </c>
      <c r="BC557" s="8">
        <f t="shared" si="274"/>
        <v>-6.3318611213348053</v>
      </c>
      <c r="BD557" s="7" t="s">
        <v>6736</v>
      </c>
      <c r="BE557" s="6" t="str">
        <f t="shared" si="275"/>
        <v>=8151*10000</v>
      </c>
      <c r="BF557" s="1">
        <f>8151*10000</f>
        <v>81510000</v>
      </c>
      <c r="BG557" s="8">
        <f t="shared" si="276"/>
        <v>6.6187050359712229E-2</v>
      </c>
      <c r="BH557" s="7" t="s">
        <v>6737</v>
      </c>
      <c r="BI557" s="6" t="str">
        <f t="shared" si="277"/>
        <v>=7645*10000</v>
      </c>
      <c r="BJ557" s="1">
        <f>7645*10000</f>
        <v>76450000</v>
      </c>
      <c r="BK557" s="7" t="s">
        <v>6738</v>
      </c>
      <c r="BL557" s="1" t="str">
        <f t="shared" si="249"/>
        <v>=3122*10000</v>
      </c>
      <c r="BM557" s="16">
        <f t="shared" si="278"/>
        <v>1.448750800768738</v>
      </c>
      <c r="BN557" s="1">
        <f>3122*10000</f>
        <v>31220000</v>
      </c>
    </row>
    <row r="558" spans="1:66">
      <c r="A558" s="17">
        <v>140</v>
      </c>
      <c r="B558">
        <v>600460</v>
      </c>
      <c r="C558" t="s">
        <v>31</v>
      </c>
      <c r="D558" s="6" t="s">
        <v>6739</v>
      </c>
      <c r="E558" s="7" t="str">
        <f t="shared" si="248"/>
        <v>=71.94*100000000</v>
      </c>
      <c r="F558" s="1">
        <f>71.94*100000000</f>
        <v>7194000000</v>
      </c>
      <c r="G558" s="8">
        <f t="shared" si="250"/>
        <v>0.37763309076981999</v>
      </c>
      <c r="H558" s="6" t="s">
        <v>6740</v>
      </c>
      <c r="I558" s="6" t="str">
        <f t="shared" si="251"/>
        <v>=52.22*100000000</v>
      </c>
      <c r="J558" s="1">
        <f>52.22*100000000</f>
        <v>5222000000</v>
      </c>
      <c r="K558" s="10">
        <f t="shared" si="252"/>
        <v>0.57859733978234584</v>
      </c>
      <c r="L558" s="6" t="s">
        <v>6741</v>
      </c>
      <c r="M558" s="6" t="str">
        <f t="shared" si="253"/>
        <v>=33.08*100000000</v>
      </c>
      <c r="N558" s="1">
        <f>33.08*100000000</f>
        <v>3308000000</v>
      </c>
      <c r="O558" s="8">
        <f t="shared" si="254"/>
        <v>1.2427118644067796</v>
      </c>
      <c r="P558" s="6" t="s">
        <v>6742</v>
      </c>
      <c r="Q558" s="6" t="str">
        <f t="shared" si="255"/>
        <v>=14.75*100000000</v>
      </c>
      <c r="R558" s="11">
        <f>14.75*100000000</f>
        <v>1475000000</v>
      </c>
      <c r="S558" s="8">
        <f t="shared" si="256"/>
        <v>-0.6554543330997431</v>
      </c>
      <c r="T558" s="6" t="s">
        <v>4342</v>
      </c>
      <c r="U558" s="6" t="str">
        <f t="shared" si="257"/>
        <v>=42.81*100000000</v>
      </c>
      <c r="V558" s="1">
        <f>42.81*100000000</f>
        <v>4281000000</v>
      </c>
      <c r="W558" s="8">
        <f t="shared" si="258"/>
        <v>0.44433198380566802</v>
      </c>
      <c r="X558" s="6" t="s">
        <v>5092</v>
      </c>
      <c r="Y558" s="6" t="str">
        <f t="shared" si="259"/>
        <v>=29.64*100000000</v>
      </c>
      <c r="Z558" s="1">
        <f>29.64*100000000</f>
        <v>2964000000</v>
      </c>
      <c r="AA558" s="8">
        <f t="shared" si="260"/>
        <v>0.73841642228739002</v>
      </c>
      <c r="AB558" s="6" t="s">
        <v>4333</v>
      </c>
      <c r="AC558" s="6" t="str">
        <f t="shared" si="261"/>
        <v>=17.05*100000000</v>
      </c>
      <c r="AD558" s="1">
        <f>17.05*100000000</f>
        <v>1705000000</v>
      </c>
      <c r="AE558" s="8">
        <f t="shared" si="262"/>
        <v>1.4674384949348769</v>
      </c>
      <c r="AF558" s="6" t="s">
        <v>6743</v>
      </c>
      <c r="AG558" s="6" t="str">
        <f t="shared" si="263"/>
        <v>=6.910*100000000</v>
      </c>
      <c r="AH558" s="1">
        <f>6.91*100000000</f>
        <v>691000000</v>
      </c>
      <c r="AI558" s="8">
        <f t="shared" si="264"/>
        <v>-0.77788492446158797</v>
      </c>
      <c r="AJ558" s="6" t="s">
        <v>6744</v>
      </c>
      <c r="AK558" s="6" t="str">
        <f t="shared" si="265"/>
        <v>=31.11*100000000</v>
      </c>
      <c r="AL558" s="1">
        <f>31.11*100000000</f>
        <v>3111000000</v>
      </c>
      <c r="AM558" s="8">
        <f t="shared" si="266"/>
        <v>0.39883093525179858</v>
      </c>
      <c r="AN558" s="6" t="s">
        <v>5093</v>
      </c>
      <c r="AO558" s="6" t="str">
        <f t="shared" si="267"/>
        <v>=22.24*100000000</v>
      </c>
      <c r="AP558" s="1">
        <f>22.24*100000000</f>
        <v>2224000000</v>
      </c>
      <c r="AQ558" s="8">
        <f t="shared" si="268"/>
        <v>0.5444444444444444</v>
      </c>
      <c r="AR558" s="6" t="s">
        <v>6745</v>
      </c>
      <c r="AS558" s="6" t="str">
        <f t="shared" si="269"/>
        <v>=14.40*100000000</v>
      </c>
      <c r="AT558" s="1">
        <f>14.4*100000000</f>
        <v>1440000000</v>
      </c>
      <c r="AU558" s="8">
        <f t="shared" si="270"/>
        <v>1.181157225083308</v>
      </c>
      <c r="AV558" s="6" t="s">
        <v>6746</v>
      </c>
      <c r="AW558" s="6" t="str">
        <f t="shared" si="271"/>
        <v>=6.602*100000000</v>
      </c>
      <c r="AX558" s="1">
        <f>6.602*100000000</f>
        <v>660200000</v>
      </c>
      <c r="AY558" s="10">
        <f t="shared" si="272"/>
        <v>-0.78182419035029738</v>
      </c>
      <c r="AZ558" s="6" t="s">
        <v>6747</v>
      </c>
      <c r="BA558" s="6" t="str">
        <f t="shared" si="273"/>
        <v>=30.26*100000000</v>
      </c>
      <c r="BB558" s="1">
        <f>30.26*100000000</f>
        <v>3026000000</v>
      </c>
      <c r="BC558" s="8">
        <f t="shared" si="274"/>
        <v>0.36799276672694392</v>
      </c>
      <c r="BD558" s="6" t="s">
        <v>1969</v>
      </c>
      <c r="BE558" s="6" t="str">
        <f t="shared" si="275"/>
        <v>=22.12*100000000</v>
      </c>
      <c r="BF558" s="1">
        <f>22.12*100000000</f>
        <v>2212000000</v>
      </c>
      <c r="BG558" s="8">
        <f t="shared" si="276"/>
        <v>0.5393180236604036</v>
      </c>
      <c r="BH558" s="6" t="s">
        <v>3661</v>
      </c>
      <c r="BI558" s="6" t="str">
        <f t="shared" si="277"/>
        <v>=14.37*100000000</v>
      </c>
      <c r="BJ558" s="1">
        <f>14.37*100000000</f>
        <v>1437000000</v>
      </c>
      <c r="BK558" s="6" t="s">
        <v>6748</v>
      </c>
      <c r="BL558" s="1" t="str">
        <f t="shared" si="249"/>
        <v>=6.506*100000000</v>
      </c>
      <c r="BM558" s="16">
        <f t="shared" si="278"/>
        <v>1.2087304027051953</v>
      </c>
      <c r="BN558" s="1">
        <f>6.506*100000000</f>
        <v>650600000</v>
      </c>
    </row>
    <row r="559" spans="1:66">
      <c r="A559" s="18"/>
      <c r="B559">
        <v>600460</v>
      </c>
      <c r="C559" t="s">
        <v>48</v>
      </c>
      <c r="D559" s="6" t="s">
        <v>6749</v>
      </c>
      <c r="E559" s="7" t="str">
        <f t="shared" si="248"/>
        <v>=17.35*100000000</v>
      </c>
      <c r="F559" s="1">
        <f>17.35*100000000</f>
        <v>1735000000.0000002</v>
      </c>
      <c r="G559" s="8">
        <f t="shared" si="250"/>
        <v>1.1628022936923463</v>
      </c>
      <c r="H559" s="6" t="s">
        <v>6750</v>
      </c>
      <c r="I559" s="6" t="str">
        <f t="shared" si="251"/>
        <v>=8.022*100000000</v>
      </c>
      <c r="J559" s="1">
        <f>8.022*100000000</f>
        <v>802200000</v>
      </c>
      <c r="K559" s="10">
        <f t="shared" si="252"/>
        <v>0.70608251807741385</v>
      </c>
      <c r="L559" s="6" t="s">
        <v>6751</v>
      </c>
      <c r="M559" s="6" t="str">
        <f t="shared" si="253"/>
        <v>=4.702*100000000</v>
      </c>
      <c r="N559" s="1">
        <f>4.702*100000000</f>
        <v>470200000</v>
      </c>
      <c r="O559" s="8">
        <f t="shared" si="254"/>
        <v>1.6505073280721534</v>
      </c>
      <c r="P559" s="6" t="s">
        <v>6752</v>
      </c>
      <c r="Q559" s="6" t="str">
        <f t="shared" si="255"/>
        <v>=1.774*100000000</v>
      </c>
      <c r="R559" s="11">
        <f>1.774*100000000</f>
        <v>177400000</v>
      </c>
      <c r="S559" s="8">
        <f t="shared" si="256"/>
        <v>-5.959463237349734</v>
      </c>
      <c r="T559" s="7">
        <f>-3577*10000</f>
        <v>-35770000</v>
      </c>
      <c r="U559" s="6" t="str">
        <f t="shared" si="257"/>
        <v>=-35770000</v>
      </c>
      <c r="V559" s="1">
        <f>-35770000</f>
        <v>-35770000</v>
      </c>
      <c r="W559" s="8">
        <f t="shared" si="258"/>
        <v>3.6475869809203141E-3</v>
      </c>
      <c r="X559" s="7">
        <f>-3564*10000</f>
        <v>-35640000</v>
      </c>
      <c r="Y559" s="6" t="str">
        <f t="shared" si="259"/>
        <v>=-35640000</v>
      </c>
      <c r="Z559" s="1">
        <f>-35640000</f>
        <v>-35640000</v>
      </c>
      <c r="AA559" s="8">
        <f t="shared" si="260"/>
        <v>0.15827104322391941</v>
      </c>
      <c r="AB559" s="7">
        <f>-3077*10000</f>
        <v>-30770000</v>
      </c>
      <c r="AC559" s="6" t="str">
        <f t="shared" si="261"/>
        <v>=-30770000</v>
      </c>
      <c r="AD559" s="1">
        <f>-30770000</f>
        <v>-30770000</v>
      </c>
      <c r="AE559" s="8">
        <f t="shared" si="262"/>
        <v>0.29995775242923534</v>
      </c>
      <c r="AF559" s="7">
        <f>-2367*10000</f>
        <v>-23670000</v>
      </c>
      <c r="AG559" s="6" t="str">
        <f t="shared" si="263"/>
        <v>=-23670000</v>
      </c>
      <c r="AH559" s="1">
        <f>-23670000</f>
        <v>-23670000</v>
      </c>
      <c r="AI559" s="8">
        <f t="shared" si="264"/>
        <v>-0.81903669724770645</v>
      </c>
      <c r="AJ559" s="6">
        <f>-1.308*100000000</f>
        <v>-130800000</v>
      </c>
      <c r="AK559" s="6" t="str">
        <f t="shared" si="265"/>
        <v>=-130800000</v>
      </c>
      <c r="AL559" s="1">
        <f>-130800000</f>
        <v>-130800000</v>
      </c>
      <c r="AM559" s="8">
        <f t="shared" si="266"/>
        <v>1.1171900291356427</v>
      </c>
      <c r="AN559" s="7">
        <f>-6178*10000</f>
        <v>-61780000</v>
      </c>
      <c r="AO559" s="6" t="str">
        <f t="shared" si="267"/>
        <v>=-61780000</v>
      </c>
      <c r="AP559" s="1">
        <f>-61780000</f>
        <v>-61780000</v>
      </c>
      <c r="AQ559" s="8">
        <f t="shared" si="268"/>
        <v>7.8320228734810575</v>
      </c>
      <c r="AR559" s="7">
        <f>-699.5*10000</f>
        <v>-6995000</v>
      </c>
      <c r="AS559" s="6" t="str">
        <f t="shared" si="269"/>
        <v>=-6995000</v>
      </c>
      <c r="AT559" s="1">
        <f>-6995000</f>
        <v>-6995000</v>
      </c>
      <c r="AU559" s="8">
        <f t="shared" si="270"/>
        <v>-0.30189620758483032</v>
      </c>
      <c r="AV559" s="7">
        <f>-1002*10000</f>
        <v>-10020000</v>
      </c>
      <c r="AW559" s="6" t="str">
        <f t="shared" si="271"/>
        <v>=-10020000</v>
      </c>
      <c r="AX559" s="1">
        <f>-10020000</f>
        <v>-10020000</v>
      </c>
      <c r="AY559" s="10">
        <f t="shared" si="272"/>
        <v>-1.1255481769201854</v>
      </c>
      <c r="AZ559" s="7" t="s">
        <v>6753</v>
      </c>
      <c r="BA559" s="6" t="str">
        <f t="shared" si="273"/>
        <v>=7981*10000</v>
      </c>
      <c r="BB559" s="1">
        <f>7981*10000</f>
        <v>79810000</v>
      </c>
      <c r="BC559" s="8">
        <f t="shared" si="274"/>
        <v>-0.14311788705175005</v>
      </c>
      <c r="BD559" s="7" t="s">
        <v>6754</v>
      </c>
      <c r="BE559" s="6" t="str">
        <f t="shared" si="275"/>
        <v>=9314*10000</v>
      </c>
      <c r="BF559" s="1">
        <f>9314*10000</f>
        <v>93140000</v>
      </c>
      <c r="BG559" s="8">
        <f t="shared" si="276"/>
        <v>0.510786699107867</v>
      </c>
      <c r="BH559" s="7" t="s">
        <v>6755</v>
      </c>
      <c r="BI559" s="6" t="str">
        <f t="shared" si="277"/>
        <v>=6165*10000</v>
      </c>
      <c r="BJ559" s="1">
        <f>6165*10000</f>
        <v>61650000</v>
      </c>
      <c r="BK559" s="7" t="s">
        <v>6756</v>
      </c>
      <c r="BL559" s="1" t="str">
        <f t="shared" si="249"/>
        <v>=1573*10000</v>
      </c>
      <c r="BM559" s="16">
        <f t="shared" si="278"/>
        <v>2.919262555626192</v>
      </c>
      <c r="BN559" s="1">
        <f>1573*10000</f>
        <v>15730000</v>
      </c>
    </row>
    <row r="560" spans="1:66">
      <c r="A560" s="18"/>
      <c r="B560">
        <v>600460</v>
      </c>
      <c r="C560" t="s">
        <v>58</v>
      </c>
      <c r="D560" s="6" t="s">
        <v>3658</v>
      </c>
      <c r="E560" s="7" t="str">
        <f t="shared" si="248"/>
        <v>=17.31*100000000</v>
      </c>
      <c r="F560" s="1">
        <f>17.31*100000000</f>
        <v>1730999999.9999998</v>
      </c>
      <c r="G560" s="8">
        <f t="shared" si="250"/>
        <v>1.1556662515566625</v>
      </c>
      <c r="H560" s="6" t="s">
        <v>6757</v>
      </c>
      <c r="I560" s="6" t="str">
        <f t="shared" si="251"/>
        <v>=8.030*100000000</v>
      </c>
      <c r="J560" s="1">
        <f>8.03*100000000</f>
        <v>802999999.99999988</v>
      </c>
      <c r="K560" s="10">
        <f t="shared" si="252"/>
        <v>0.71069450362164444</v>
      </c>
      <c r="L560" s="6" t="s">
        <v>6758</v>
      </c>
      <c r="M560" s="6" t="str">
        <f t="shared" si="253"/>
        <v>=4.694*100000000</v>
      </c>
      <c r="N560" s="1">
        <f>4.694*100000000</f>
        <v>469400000</v>
      </c>
      <c r="O560" s="8">
        <f t="shared" si="254"/>
        <v>1.6385609893198425</v>
      </c>
      <c r="P560" s="6" t="s">
        <v>4847</v>
      </c>
      <c r="Q560" s="6" t="str">
        <f t="shared" si="255"/>
        <v>=1.779*100000000</v>
      </c>
      <c r="R560" s="11">
        <f>1.779*100000000</f>
        <v>177900000</v>
      </c>
      <c r="S560" s="8">
        <f t="shared" si="256"/>
        <v>-5.7163308589607631</v>
      </c>
      <c r="T560" s="7">
        <f>-3772*10000</f>
        <v>-37720000</v>
      </c>
      <c r="U560" s="6" t="str">
        <f t="shared" si="257"/>
        <v>=-37720000</v>
      </c>
      <c r="V560" s="1">
        <f>-37720000</f>
        <v>-37720000</v>
      </c>
      <c r="W560" s="8">
        <f t="shared" si="258"/>
        <v>6.4334085778781039E-2</v>
      </c>
      <c r="X560" s="7">
        <f>-3544*10000</f>
        <v>-35440000</v>
      </c>
      <c r="Y560" s="6" t="str">
        <f t="shared" si="259"/>
        <v>=-35440000</v>
      </c>
      <c r="Z560" s="1">
        <f>-35440000</f>
        <v>-35440000</v>
      </c>
      <c r="AA560" s="8">
        <f t="shared" si="260"/>
        <v>0.1638752052545156</v>
      </c>
      <c r="AB560" s="7">
        <f>-3045*10000</f>
        <v>-30450000</v>
      </c>
      <c r="AC560" s="6" t="str">
        <f t="shared" si="261"/>
        <v>=-30450000</v>
      </c>
      <c r="AD560" s="1">
        <f>-30450000</f>
        <v>-30450000</v>
      </c>
      <c r="AE560" s="8">
        <f t="shared" si="262"/>
        <v>0.29189647857445905</v>
      </c>
      <c r="AF560" s="7">
        <f>-2357*10000</f>
        <v>-23570000</v>
      </c>
      <c r="AG560" s="6" t="str">
        <f t="shared" si="263"/>
        <v>=-23570000</v>
      </c>
      <c r="AH560" s="1">
        <f>-23570000</f>
        <v>-23570000</v>
      </c>
      <c r="AI560" s="8">
        <f t="shared" si="264"/>
        <v>-0.81855273287143959</v>
      </c>
      <c r="AJ560" s="6">
        <f>-1.299*100000000</f>
        <v>-129900000</v>
      </c>
      <c r="AK560" s="6" t="str">
        <f t="shared" si="265"/>
        <v>=-129900000</v>
      </c>
      <c r="AL560" s="1">
        <f>-129900000</f>
        <v>-129900000</v>
      </c>
      <c r="AM560" s="8">
        <f t="shared" si="266"/>
        <v>1.0840686667736243</v>
      </c>
      <c r="AN560" s="7">
        <f>-6233*10000</f>
        <v>-62330000</v>
      </c>
      <c r="AO560" s="6" t="str">
        <f t="shared" si="267"/>
        <v>=-62330000</v>
      </c>
      <c r="AP560" s="1">
        <f>-62330000</f>
        <v>-62330000</v>
      </c>
      <c r="AQ560" s="8">
        <f t="shared" si="268"/>
        <v>7.6762249443207127</v>
      </c>
      <c r="AR560" s="7">
        <f>-718.4*10000</f>
        <v>-7184000</v>
      </c>
      <c r="AS560" s="6" t="str">
        <f t="shared" si="269"/>
        <v>=-7184000</v>
      </c>
      <c r="AT560" s="1">
        <f>-7184000</f>
        <v>-7184000</v>
      </c>
      <c r="AU560" s="8">
        <f t="shared" si="270"/>
        <v>-0.28001603527761076</v>
      </c>
      <c r="AV560" s="7">
        <f>-997.8*10000</f>
        <v>-9978000</v>
      </c>
      <c r="AW560" s="6" t="str">
        <f t="shared" si="271"/>
        <v>=-9978000</v>
      </c>
      <c r="AX560" s="1">
        <f>-9978000</f>
        <v>-9978000</v>
      </c>
      <c r="AY560" s="10">
        <f t="shared" si="272"/>
        <v>-1.1248498498498498</v>
      </c>
      <c r="AZ560" s="7" t="s">
        <v>6759</v>
      </c>
      <c r="BA560" s="6" t="str">
        <f t="shared" si="273"/>
        <v>=7992*10000</v>
      </c>
      <c r="BB560" s="1">
        <f>7992*10000</f>
        <v>79920000</v>
      </c>
      <c r="BC560" s="8">
        <f t="shared" si="274"/>
        <v>-0.14405055156902646</v>
      </c>
      <c r="BD560" s="7" t="s">
        <v>6760</v>
      </c>
      <c r="BE560" s="6" t="str">
        <f t="shared" si="275"/>
        <v>=9337*10000</v>
      </c>
      <c r="BF560" s="1">
        <f>9337*10000</f>
        <v>93370000</v>
      </c>
      <c r="BG560" s="8">
        <f t="shared" si="276"/>
        <v>0.50596774193548388</v>
      </c>
      <c r="BH560" s="7" t="s">
        <v>6761</v>
      </c>
      <c r="BI560" s="6" t="str">
        <f t="shared" si="277"/>
        <v>=6200*10000</v>
      </c>
      <c r="BJ560" s="1">
        <f>6200*10000</f>
        <v>62000000</v>
      </c>
      <c r="BK560" s="7" t="s">
        <v>6762</v>
      </c>
      <c r="BL560" s="1" t="str">
        <f t="shared" si="249"/>
        <v>=1592*10000</v>
      </c>
      <c r="BM560" s="16">
        <f t="shared" si="278"/>
        <v>2.8944723618090453</v>
      </c>
      <c r="BN560" s="1">
        <f>1592*10000</f>
        <v>15920000</v>
      </c>
    </row>
    <row r="561" spans="1:66">
      <c r="A561" s="19"/>
      <c r="B561">
        <v>600460</v>
      </c>
      <c r="C561" t="s">
        <v>68</v>
      </c>
      <c r="D561" s="6" t="s">
        <v>892</v>
      </c>
      <c r="E561" s="7" t="str">
        <f t="shared" si="248"/>
        <v>=15.18*100000000</v>
      </c>
      <c r="F561" s="1">
        <f>15.18*100000000</f>
        <v>1518000000</v>
      </c>
      <c r="G561" s="8">
        <f t="shared" si="250"/>
        <v>1.098424108377108</v>
      </c>
      <c r="H561" s="6" t="s">
        <v>6763</v>
      </c>
      <c r="I561" s="6" t="str">
        <f t="shared" si="251"/>
        <v>=7.234*100000000</v>
      </c>
      <c r="J561" s="1">
        <f>7.234*100000000</f>
        <v>723400000</v>
      </c>
      <c r="K561" s="10">
        <f t="shared" si="252"/>
        <v>0.71788173830444046</v>
      </c>
      <c r="L561" s="6" t="s">
        <v>6764</v>
      </c>
      <c r="M561" s="6" t="str">
        <f t="shared" si="253"/>
        <v>=4.211*100000000</v>
      </c>
      <c r="N561" s="1">
        <f>4.211*100000000</f>
        <v>421100000.00000006</v>
      </c>
      <c r="O561" s="8">
        <f t="shared" si="254"/>
        <v>1.6467630421118797</v>
      </c>
      <c r="P561" s="6" t="s">
        <v>6298</v>
      </c>
      <c r="Q561" s="6" t="str">
        <f t="shared" si="255"/>
        <v>=1.591*100000000</v>
      </c>
      <c r="R561" s="11">
        <f>1.591*100000000</f>
        <v>159100000</v>
      </c>
      <c r="S561" s="8">
        <f t="shared" si="256"/>
        <v>-8.0273851590106009</v>
      </c>
      <c r="T561" s="7">
        <f>-2264*10000</f>
        <v>-22640000</v>
      </c>
      <c r="U561" s="6" t="str">
        <f t="shared" si="257"/>
        <v>=-22640000</v>
      </c>
      <c r="V561" s="1">
        <f>-22640000</f>
        <v>-22640000</v>
      </c>
      <c r="W561" s="8">
        <f t="shared" si="258"/>
        <v>-0.1221403644823575</v>
      </c>
      <c r="X561" s="7">
        <f>-2579*10000</f>
        <v>-25790000</v>
      </c>
      <c r="Y561" s="6" t="str">
        <f t="shared" si="259"/>
        <v>=-25790000</v>
      </c>
      <c r="Z561" s="1">
        <f>-25790000</f>
        <v>-25790000</v>
      </c>
      <c r="AA561" s="8">
        <f t="shared" si="260"/>
        <v>0.18520220588235295</v>
      </c>
      <c r="AB561" s="7">
        <f>-2176*10000</f>
        <v>-21760000</v>
      </c>
      <c r="AC561" s="6" t="str">
        <f t="shared" si="261"/>
        <v>=-21760000</v>
      </c>
      <c r="AD561" s="1">
        <f>-21760000</f>
        <v>-21760000</v>
      </c>
      <c r="AE561" s="8">
        <f t="shared" si="262"/>
        <v>6.1463414634146341E-2</v>
      </c>
      <c r="AF561" s="7">
        <f>-2050*10000</f>
        <v>-20500000</v>
      </c>
      <c r="AG561" s="6" t="str">
        <f t="shared" si="263"/>
        <v>=-20500000</v>
      </c>
      <c r="AH561" s="1">
        <f>-20500000</f>
        <v>-20500000</v>
      </c>
      <c r="AI561" s="8">
        <f t="shared" si="264"/>
        <v>-0.80894687791239517</v>
      </c>
      <c r="AJ561" s="6">
        <f>-1.073*100000000</f>
        <v>-107300000</v>
      </c>
      <c r="AK561" s="6" t="str">
        <f t="shared" si="265"/>
        <v>=-107300000</v>
      </c>
      <c r="AL561" s="1">
        <f>-107300000</f>
        <v>-107300000</v>
      </c>
      <c r="AM561" s="8">
        <f t="shared" si="266"/>
        <v>1.5011655011655012</v>
      </c>
      <c r="AN561" s="7">
        <f>-4290*10000</f>
        <v>-42900000</v>
      </c>
      <c r="AO561" s="6" t="str">
        <f t="shared" si="267"/>
        <v>=-42900000</v>
      </c>
      <c r="AP561" s="1">
        <f>-42900000</f>
        <v>-42900000</v>
      </c>
      <c r="AQ561" s="8">
        <f t="shared" si="268"/>
        <v>-17.436781609195403</v>
      </c>
      <c r="AR561" s="7" t="s">
        <v>6765</v>
      </c>
      <c r="AS561" s="6" t="str">
        <f t="shared" si="269"/>
        <v>=261.0*10000</v>
      </c>
      <c r="AT561" s="1">
        <f>261*10000</f>
        <v>2610000</v>
      </c>
      <c r="AU561" s="8">
        <f t="shared" si="270"/>
        <v>-1.4131708089282888</v>
      </c>
      <c r="AV561" s="7">
        <f>-631.7*10000</f>
        <v>-6317000</v>
      </c>
      <c r="AW561" s="6" t="str">
        <f t="shared" si="271"/>
        <v>=-6317000</v>
      </c>
      <c r="AX561" s="1">
        <f>-6317000</f>
        <v>-6317000</v>
      </c>
      <c r="AY561" s="10">
        <f t="shared" si="272"/>
        <v>-1.0850659843792081</v>
      </c>
      <c r="AZ561" s="7" t="s">
        <v>6766</v>
      </c>
      <c r="BA561" s="6" t="str">
        <f t="shared" si="273"/>
        <v>=7426*10000</v>
      </c>
      <c r="BB561" s="1">
        <f>7426*10000</f>
        <v>74260000</v>
      </c>
      <c r="BC561" s="8">
        <f t="shared" si="274"/>
        <v>-6.7788099422545822E-2</v>
      </c>
      <c r="BD561" s="7" t="s">
        <v>6767</v>
      </c>
      <c r="BE561" s="6" t="str">
        <f t="shared" si="275"/>
        <v>=7966*10000</v>
      </c>
      <c r="BF561" s="1">
        <f>7966*10000</f>
        <v>79660000</v>
      </c>
      <c r="BG561" s="8">
        <f t="shared" si="276"/>
        <v>0.58780147498505086</v>
      </c>
      <c r="BH561" s="7" t="s">
        <v>6768</v>
      </c>
      <c r="BI561" s="6" t="str">
        <f t="shared" si="277"/>
        <v>=5017*10000</v>
      </c>
      <c r="BJ561" s="1">
        <f>5017*10000</f>
        <v>50170000</v>
      </c>
      <c r="BK561" s="7" t="s">
        <v>6769</v>
      </c>
      <c r="BL561" s="1" t="str">
        <f t="shared" si="249"/>
        <v>=881.4*10000</v>
      </c>
      <c r="BM561" s="16">
        <f t="shared" si="278"/>
        <v>4.6920807805763554</v>
      </c>
      <c r="BN561" s="1">
        <f>881.4*10000</f>
        <v>8814000</v>
      </c>
    </row>
    <row r="562" spans="1:66">
      <c r="A562" s="17">
        <v>141</v>
      </c>
      <c r="B562">
        <v>600470</v>
      </c>
      <c r="C562" t="s">
        <v>31</v>
      </c>
      <c r="D562" s="6" t="s">
        <v>560</v>
      </c>
      <c r="E562" s="7" t="str">
        <f t="shared" si="248"/>
        <v>=59.85*100000000</v>
      </c>
      <c r="F562" s="1">
        <f>59.85*100000000</f>
        <v>5985000000</v>
      </c>
      <c r="G562" s="8">
        <f t="shared" si="250"/>
        <v>0.41422495274102078</v>
      </c>
      <c r="H562" s="6" t="s">
        <v>6770</v>
      </c>
      <c r="I562" s="6" t="str">
        <f t="shared" si="251"/>
        <v>=42.32*100000000</v>
      </c>
      <c r="J562" s="1">
        <f>42.32*100000000</f>
        <v>4232000000</v>
      </c>
      <c r="K562" s="10">
        <f t="shared" si="252"/>
        <v>0.53667392883079157</v>
      </c>
      <c r="L562" s="6" t="s">
        <v>3351</v>
      </c>
      <c r="M562" s="6" t="str">
        <f t="shared" si="253"/>
        <v>=27.54*100000000</v>
      </c>
      <c r="N562" s="1">
        <f>27.54*100000000</f>
        <v>2754000000</v>
      </c>
      <c r="O562" s="8">
        <f t="shared" si="254"/>
        <v>1.3279797125950972</v>
      </c>
      <c r="P562" s="6" t="s">
        <v>350</v>
      </c>
      <c r="Q562" s="6" t="str">
        <f t="shared" si="255"/>
        <v>=11.83*100000000</v>
      </c>
      <c r="R562" s="11">
        <f>11.83*100000000</f>
        <v>1183000000</v>
      </c>
      <c r="S562" s="8">
        <f t="shared" si="256"/>
        <v>-0.75471698113207553</v>
      </c>
      <c r="T562" s="6" t="s">
        <v>6771</v>
      </c>
      <c r="U562" s="6" t="str">
        <f t="shared" si="257"/>
        <v>=48.23*100000000</v>
      </c>
      <c r="V562" s="1">
        <f>48.23*100000000</f>
        <v>4823000000</v>
      </c>
      <c r="W562" s="8">
        <f t="shared" si="258"/>
        <v>0.39635205558772435</v>
      </c>
      <c r="X562" s="6" t="s">
        <v>6772</v>
      </c>
      <c r="Y562" s="6" t="str">
        <f t="shared" si="259"/>
        <v>=34.54*100000000</v>
      </c>
      <c r="Z562" s="1">
        <f>34.54*100000000</f>
        <v>3454000000</v>
      </c>
      <c r="AA562" s="8">
        <f t="shared" si="260"/>
        <v>0.52158590308370045</v>
      </c>
      <c r="AB562" s="6" t="s">
        <v>6773</v>
      </c>
      <c r="AC562" s="6" t="str">
        <f t="shared" si="261"/>
        <v>=22.70*100000000</v>
      </c>
      <c r="AD562" s="1">
        <f>22.7*100000000</f>
        <v>2270000000</v>
      </c>
      <c r="AE562" s="8">
        <f t="shared" si="262"/>
        <v>1.4631076388888891</v>
      </c>
      <c r="AF562" s="6" t="s">
        <v>6774</v>
      </c>
      <c r="AG562" s="6" t="str">
        <f t="shared" si="263"/>
        <v>=9.216*100000000</v>
      </c>
      <c r="AH562" s="1">
        <f>9.216*100000000</f>
        <v>921599999.99999988</v>
      </c>
      <c r="AI562" s="8">
        <f t="shared" si="264"/>
        <v>-0.78833256775378957</v>
      </c>
      <c r="AJ562" s="6" t="s">
        <v>2773</v>
      </c>
      <c r="AK562" s="6" t="str">
        <f t="shared" si="265"/>
        <v>=43.54*100000000</v>
      </c>
      <c r="AL562" s="1">
        <f>43.54*100000000</f>
        <v>4354000000</v>
      </c>
      <c r="AM562" s="8">
        <f t="shared" si="266"/>
        <v>0.35892634207240948</v>
      </c>
      <c r="AN562" s="6" t="s">
        <v>6775</v>
      </c>
      <c r="AO562" s="6" t="str">
        <f t="shared" si="267"/>
        <v>=32.04*100000000</v>
      </c>
      <c r="AP562" s="1">
        <f>32.04*100000000</f>
        <v>3204000000</v>
      </c>
      <c r="AQ562" s="8">
        <f t="shared" si="268"/>
        <v>0.5</v>
      </c>
      <c r="AR562" s="6" t="s">
        <v>2674</v>
      </c>
      <c r="AS562" s="6" t="str">
        <f t="shared" si="269"/>
        <v>=21.36*100000000</v>
      </c>
      <c r="AT562" s="1">
        <f>21.36*100000000</f>
        <v>2136000000</v>
      </c>
      <c r="AU562" s="8">
        <f t="shared" si="270"/>
        <v>1.697991663508905</v>
      </c>
      <c r="AV562" s="6" t="s">
        <v>6776</v>
      </c>
      <c r="AW562" s="6" t="str">
        <f t="shared" si="271"/>
        <v>=7.917*100000000</v>
      </c>
      <c r="AX562" s="1">
        <f>7.917*100000000</f>
        <v>791700000</v>
      </c>
      <c r="AY562" s="10">
        <f t="shared" si="272"/>
        <v>-0.80991596638655461</v>
      </c>
      <c r="AZ562" s="6" t="s">
        <v>6777</v>
      </c>
      <c r="BA562" s="6" t="str">
        <f t="shared" si="273"/>
        <v>=41.65*100000000</v>
      </c>
      <c r="BB562" s="1">
        <f>41.65*100000000</f>
        <v>4165000000</v>
      </c>
      <c r="BC562" s="8">
        <f t="shared" si="274"/>
        <v>0.45223152022315199</v>
      </c>
      <c r="BD562" s="6" t="s">
        <v>6778</v>
      </c>
      <c r="BE562" s="6" t="str">
        <f t="shared" si="275"/>
        <v>=28.68*100000000</v>
      </c>
      <c r="BF562" s="1">
        <f>28.68*100000000</f>
        <v>2868000000</v>
      </c>
      <c r="BG562" s="8">
        <f t="shared" si="276"/>
        <v>0.60492445439283715</v>
      </c>
      <c r="BH562" s="6" t="s">
        <v>6779</v>
      </c>
      <c r="BI562" s="6" t="str">
        <f t="shared" si="277"/>
        <v>=17.87*100000000</v>
      </c>
      <c r="BJ562" s="1">
        <f>17.87*100000000</f>
        <v>1787000000</v>
      </c>
      <c r="BK562" s="6" t="s">
        <v>6780</v>
      </c>
      <c r="BL562" s="1" t="str">
        <f t="shared" si="249"/>
        <v>=6.868*100000000</v>
      </c>
      <c r="BM562" s="16">
        <f t="shared" si="278"/>
        <v>1.6019219569015726</v>
      </c>
      <c r="BN562" s="1">
        <f>6.868*100000000</f>
        <v>686800000</v>
      </c>
    </row>
    <row r="563" spans="1:66">
      <c r="A563" s="18"/>
      <c r="B563">
        <v>600470</v>
      </c>
      <c r="C563" t="s">
        <v>48</v>
      </c>
      <c r="D563" s="6" t="s">
        <v>6781</v>
      </c>
      <c r="E563" s="7" t="str">
        <f t="shared" si="248"/>
        <v>=3.439*100000000</v>
      </c>
      <c r="F563" s="1">
        <f>3.439*100000000</f>
        <v>343900000</v>
      </c>
      <c r="G563" s="8">
        <f t="shared" si="250"/>
        <v>-5.7820179242555649E-3</v>
      </c>
      <c r="H563" s="6" t="s">
        <v>6782</v>
      </c>
      <c r="I563" s="6" t="str">
        <f t="shared" si="251"/>
        <v>=3.459*100000000</v>
      </c>
      <c r="J563" s="1">
        <f>3.459*100000000</f>
        <v>345900000</v>
      </c>
      <c r="K563" s="10">
        <f t="shared" si="252"/>
        <v>0.78207109737248837</v>
      </c>
      <c r="L563" s="6" t="s">
        <v>6783</v>
      </c>
      <c r="M563" s="6" t="str">
        <f t="shared" si="253"/>
        <v>=1.941*100000000</v>
      </c>
      <c r="N563" s="1">
        <f>1.941*100000000</f>
        <v>194100000</v>
      </c>
      <c r="O563" s="8">
        <f t="shared" si="254"/>
        <v>1.7330329484652212</v>
      </c>
      <c r="P563" s="7" t="s">
        <v>6784</v>
      </c>
      <c r="Q563" s="6" t="str">
        <f t="shared" si="255"/>
        <v>=7102*10000</v>
      </c>
      <c r="R563" s="11">
        <f>7102*10000</f>
        <v>71020000</v>
      </c>
      <c r="S563" s="8">
        <f t="shared" si="256"/>
        <v>-0.64736842105263148</v>
      </c>
      <c r="T563" s="6" t="s">
        <v>6785</v>
      </c>
      <c r="U563" s="6" t="str">
        <f t="shared" si="257"/>
        <v>=2.014*100000000</v>
      </c>
      <c r="V563" s="1">
        <f>2.014*100000000</f>
        <v>201399999.99999997</v>
      </c>
      <c r="W563" s="8">
        <f t="shared" si="258"/>
        <v>8.2795698924731029E-2</v>
      </c>
      <c r="X563" s="6" t="s">
        <v>6786</v>
      </c>
      <c r="Y563" s="6" t="str">
        <f t="shared" si="259"/>
        <v>=1.860*100000000</v>
      </c>
      <c r="Z563" s="1">
        <f>1.86*100000000</f>
        <v>186000000</v>
      </c>
      <c r="AA563" s="8">
        <f t="shared" si="260"/>
        <v>0.94805194805194803</v>
      </c>
      <c r="AB563" s="7" t="s">
        <v>6787</v>
      </c>
      <c r="AC563" s="6" t="str">
        <f t="shared" si="261"/>
        <v>=9548*10000</v>
      </c>
      <c r="AD563" s="1">
        <f>9548*10000</f>
        <v>95480000</v>
      </c>
      <c r="AE563" s="8">
        <f t="shared" si="262"/>
        <v>24.027522935779817</v>
      </c>
      <c r="AF563" s="7" t="s">
        <v>6788</v>
      </c>
      <c r="AG563" s="6" t="str">
        <f t="shared" si="263"/>
        <v>=381.5*10000</v>
      </c>
      <c r="AH563" s="1">
        <f>381.5*10000</f>
        <v>3815000</v>
      </c>
      <c r="AI563" s="8">
        <f t="shared" si="264"/>
        <v>-1.0146617986164488</v>
      </c>
      <c r="AJ563" s="6">
        <f>-2.602*100000000</f>
        <v>-260200000</v>
      </c>
      <c r="AK563" s="6" t="str">
        <f t="shared" si="265"/>
        <v>=-260200000</v>
      </c>
      <c r="AL563" s="1">
        <f>-260200000</f>
        <v>-260200000</v>
      </c>
      <c r="AM563" s="8">
        <f t="shared" si="266"/>
        <v>80.849638251022327</v>
      </c>
      <c r="AN563" s="7">
        <f>-317.9*10000</f>
        <v>-3179000</v>
      </c>
      <c r="AO563" s="6" t="str">
        <f t="shared" si="267"/>
        <v>=-3179000</v>
      </c>
      <c r="AP563" s="1">
        <f>-3179000</f>
        <v>-3179000</v>
      </c>
      <c r="AQ563" s="8">
        <f t="shared" si="268"/>
        <v>-1.1121736062103034</v>
      </c>
      <c r="AR563" s="7" t="s">
        <v>6789</v>
      </c>
      <c r="AS563" s="6" t="str">
        <f t="shared" si="269"/>
        <v>=2834*10000</v>
      </c>
      <c r="AT563" s="1">
        <f>2834*10000</f>
        <v>28340000</v>
      </c>
      <c r="AU563" s="8">
        <f t="shared" si="270"/>
        <v>-1.4344626705503603</v>
      </c>
      <c r="AV563" s="7">
        <f>-6523*10000</f>
        <v>-65230000</v>
      </c>
      <c r="AW563" s="6" t="str">
        <f t="shared" si="271"/>
        <v>=-65230000</v>
      </c>
      <c r="AX563" s="1">
        <f>-65230000</f>
        <v>-65230000</v>
      </c>
      <c r="AY563" s="10">
        <f t="shared" si="272"/>
        <v>-0.83573407202216066</v>
      </c>
      <c r="AZ563" s="6">
        <f>-3.971*100000000</f>
        <v>-397100000</v>
      </c>
      <c r="BA563" s="6" t="str">
        <f t="shared" si="273"/>
        <v>=-397100000</v>
      </c>
      <c r="BB563" s="1">
        <f>-397100000</f>
        <v>-397100000</v>
      </c>
      <c r="BC563" s="8">
        <f t="shared" si="274"/>
        <v>1041.257217847769</v>
      </c>
      <c r="BD563" s="7">
        <f>-38.1*10000</f>
        <v>-381000</v>
      </c>
      <c r="BE563" s="6" t="str">
        <f t="shared" si="275"/>
        <v>=-381000</v>
      </c>
      <c r="BF563" s="1">
        <f>-381000</f>
        <v>-381000</v>
      </c>
      <c r="BG563" s="8">
        <f t="shared" si="276"/>
        <v>-0.97418699186991875</v>
      </c>
      <c r="BH563" s="7">
        <f>-1476*10000</f>
        <v>-14760000</v>
      </c>
      <c r="BI563" s="6" t="str">
        <f t="shared" si="277"/>
        <v>=-14760000</v>
      </c>
      <c r="BJ563" s="1">
        <f>-14760000</f>
        <v>-14760000</v>
      </c>
      <c r="BK563" s="7">
        <f>-4722*10000</f>
        <v>-47220000</v>
      </c>
      <c r="BL563" s="1" t="str">
        <f t="shared" si="249"/>
        <v>=-47220000</v>
      </c>
      <c r="BM563" s="16">
        <f t="shared" si="278"/>
        <v>-0.68742058449809407</v>
      </c>
      <c r="BN563" s="1">
        <f>-47220000</f>
        <v>-47220000</v>
      </c>
    </row>
    <row r="564" spans="1:66">
      <c r="A564" s="18"/>
      <c r="B564">
        <v>600470</v>
      </c>
      <c r="C564" t="s">
        <v>58</v>
      </c>
      <c r="D564" s="6" t="s">
        <v>6790</v>
      </c>
      <c r="E564" s="7" t="str">
        <f t="shared" si="248"/>
        <v>=3.057*100000000</v>
      </c>
      <c r="F564" s="1">
        <f>3.057*100000000</f>
        <v>305700000</v>
      </c>
      <c r="G564" s="8">
        <f t="shared" si="250"/>
        <v>-1.8934531450577663E-2</v>
      </c>
      <c r="H564" s="6" t="s">
        <v>6791</v>
      </c>
      <c r="I564" s="6" t="str">
        <f t="shared" si="251"/>
        <v>=3.116*100000000</v>
      </c>
      <c r="J564" s="1">
        <f>3.116*100000000</f>
        <v>311600000</v>
      </c>
      <c r="K564" s="10">
        <f t="shared" si="252"/>
        <v>0.59876859928168291</v>
      </c>
      <c r="L564" s="6" t="s">
        <v>6792</v>
      </c>
      <c r="M564" s="6" t="str">
        <f t="shared" si="253"/>
        <v>=1.949*100000000</v>
      </c>
      <c r="N564" s="1">
        <f>1.949*100000000</f>
        <v>194900000</v>
      </c>
      <c r="O564" s="8">
        <f t="shared" si="254"/>
        <v>1.71410667038017</v>
      </c>
      <c r="P564" s="7" t="s">
        <v>6793</v>
      </c>
      <c r="Q564" s="6" t="str">
        <f t="shared" si="255"/>
        <v>=7181*10000</v>
      </c>
      <c r="R564" s="11">
        <f>7181*10000</f>
        <v>71810000</v>
      </c>
      <c r="S564" s="8">
        <f t="shared" si="256"/>
        <v>-0.61904509283819631</v>
      </c>
      <c r="T564" s="6" t="s">
        <v>3564</v>
      </c>
      <c r="U564" s="6" t="str">
        <f t="shared" si="257"/>
        <v>=1.885*100000000</v>
      </c>
      <c r="V564" s="1">
        <f>1.885*100000000</f>
        <v>188500000</v>
      </c>
      <c r="W564" s="8">
        <f t="shared" si="258"/>
        <v>0.20601407549584133</v>
      </c>
      <c r="X564" s="6" t="s">
        <v>6794</v>
      </c>
      <c r="Y564" s="6" t="str">
        <f t="shared" si="259"/>
        <v>=1.563*100000000</v>
      </c>
      <c r="Z564" s="1">
        <f>1.563*100000000</f>
        <v>156300000</v>
      </c>
      <c r="AA564" s="8">
        <f t="shared" si="260"/>
        <v>1.5766567754698317</v>
      </c>
      <c r="AB564" s="7" t="s">
        <v>6795</v>
      </c>
      <c r="AC564" s="6" t="str">
        <f t="shared" si="261"/>
        <v>=6066*10000</v>
      </c>
      <c r="AD564" s="1">
        <f>6066*10000</f>
        <v>60660000</v>
      </c>
      <c r="AE564" s="8">
        <f t="shared" si="262"/>
        <v>-8.5018550581251553</v>
      </c>
      <c r="AF564" s="7">
        <f>-808.6*10000</f>
        <v>-8086000</v>
      </c>
      <c r="AG564" s="6" t="str">
        <f t="shared" si="263"/>
        <v>=-8086000</v>
      </c>
      <c r="AH564" s="1">
        <f>-8086000</f>
        <v>-8086000</v>
      </c>
      <c r="AI564" s="8">
        <f t="shared" si="264"/>
        <v>-0.96949830252734814</v>
      </c>
      <c r="AJ564" s="6">
        <f>-2.651*100000000</f>
        <v>-265099999.99999997</v>
      </c>
      <c r="AK564" s="6" t="str">
        <f t="shared" si="265"/>
        <v>=-265100000</v>
      </c>
      <c r="AL564" s="1">
        <f>-265100000</f>
        <v>-265100000</v>
      </c>
      <c r="AM564" s="8">
        <f t="shared" si="266"/>
        <v>105.38041733547351</v>
      </c>
      <c r="AN564" s="7">
        <f>-249.2*10000</f>
        <v>-2492000</v>
      </c>
      <c r="AO564" s="6" t="str">
        <f t="shared" si="267"/>
        <v>=-2492000</v>
      </c>
      <c r="AP564" s="1">
        <f>-2492000</f>
        <v>-2492000</v>
      </c>
      <c r="AQ564" s="8">
        <f t="shared" si="268"/>
        <v>-1.0868898186889819</v>
      </c>
      <c r="AR564" s="7" t="s">
        <v>6796</v>
      </c>
      <c r="AS564" s="6" t="str">
        <f t="shared" si="269"/>
        <v>=2868*10000</v>
      </c>
      <c r="AT564" s="1">
        <f>2868*10000</f>
        <v>28680000</v>
      </c>
      <c r="AU564" s="8">
        <f t="shared" si="270"/>
        <v>-1.4463118580765639</v>
      </c>
      <c r="AV564" s="7">
        <f>-6426*10000</f>
        <v>-64260000</v>
      </c>
      <c r="AW564" s="6" t="str">
        <f t="shared" si="271"/>
        <v>=-64260000</v>
      </c>
      <c r="AX564" s="1">
        <f>-64260000</f>
        <v>-64260000</v>
      </c>
      <c r="AY564" s="10">
        <f t="shared" si="272"/>
        <v>-0.88200514138817476</v>
      </c>
      <c r="AZ564" s="6">
        <f>-5.446*100000000</f>
        <v>-544600000</v>
      </c>
      <c r="BA564" s="6" t="str">
        <f t="shared" si="273"/>
        <v>=-544600000</v>
      </c>
      <c r="BB564" s="1">
        <f>-544600000</f>
        <v>-544600000</v>
      </c>
      <c r="BC564" s="8">
        <f t="shared" si="274"/>
        <v>491.85067873303166</v>
      </c>
      <c r="BD564" s="7">
        <f>-110.5*10000</f>
        <v>-1105000</v>
      </c>
      <c r="BE564" s="6" t="str">
        <f t="shared" si="275"/>
        <v>=-1105000</v>
      </c>
      <c r="BF564" s="1">
        <f>-1105000</f>
        <v>-1105000</v>
      </c>
      <c r="BG564" s="8">
        <f t="shared" si="276"/>
        <v>-0.92493206521739135</v>
      </c>
      <c r="BH564" s="7">
        <f>-1472*10000</f>
        <v>-14720000</v>
      </c>
      <c r="BI564" s="6" t="str">
        <f t="shared" si="277"/>
        <v>=-14720000</v>
      </c>
      <c r="BJ564" s="1">
        <f>-14720000</f>
        <v>-14720000</v>
      </c>
      <c r="BK564" s="7">
        <f>-4730*10000</f>
        <v>-47300000</v>
      </c>
      <c r="BL564" s="1" t="str">
        <f t="shared" si="249"/>
        <v>=-47300000</v>
      </c>
      <c r="BM564" s="16">
        <f t="shared" si="278"/>
        <v>-0.68879492600422831</v>
      </c>
      <c r="BN564" s="1">
        <f>-47300000</f>
        <v>-47300000</v>
      </c>
    </row>
    <row r="565" spans="1:66">
      <c r="A565" s="19"/>
      <c r="B565">
        <v>600470</v>
      </c>
      <c r="C565" t="s">
        <v>68</v>
      </c>
      <c r="D565" s="6" t="s">
        <v>6797</v>
      </c>
      <c r="E565" s="7" t="str">
        <f t="shared" si="248"/>
        <v>=3.198*100000000</v>
      </c>
      <c r="F565" s="1">
        <f>3.198*100000000</f>
        <v>319800000</v>
      </c>
      <c r="G565" s="8">
        <f t="shared" si="250"/>
        <v>5.1973684210526318E-2</v>
      </c>
      <c r="H565" s="6" t="s">
        <v>1500</v>
      </c>
      <c r="I565" s="6" t="str">
        <f t="shared" si="251"/>
        <v>=3.040*100000000</v>
      </c>
      <c r="J565" s="1">
        <f>3.04*100000000</f>
        <v>304000000</v>
      </c>
      <c r="K565" s="10">
        <f t="shared" si="252"/>
        <v>0.58250910983862569</v>
      </c>
      <c r="L565" s="6" t="s">
        <v>3688</v>
      </c>
      <c r="M565" s="6" t="str">
        <f t="shared" si="253"/>
        <v>=1.921*100000000</v>
      </c>
      <c r="N565" s="1">
        <f>1.921*100000000</f>
        <v>192100000</v>
      </c>
      <c r="O565" s="8">
        <f t="shared" si="254"/>
        <v>1.6946275775003508</v>
      </c>
      <c r="P565" s="7" t="s">
        <v>6798</v>
      </c>
      <c r="Q565" s="6" t="str">
        <f t="shared" si="255"/>
        <v>=7129*10000</v>
      </c>
      <c r="R565" s="11">
        <f>7129*10000</f>
        <v>71290000</v>
      </c>
      <c r="S565" s="8">
        <f t="shared" si="256"/>
        <v>-0.61022416621104425</v>
      </c>
      <c r="T565" s="6" t="s">
        <v>5053</v>
      </c>
      <c r="U565" s="6" t="str">
        <f t="shared" si="257"/>
        <v>=1.829*100000000</v>
      </c>
      <c r="V565" s="1">
        <f>1.829*100000000</f>
        <v>182900000</v>
      </c>
      <c r="W565" s="8">
        <f t="shared" si="258"/>
        <v>0.17018554062699937</v>
      </c>
      <c r="X565" s="6" t="s">
        <v>6794</v>
      </c>
      <c r="Y565" s="6" t="str">
        <f t="shared" si="259"/>
        <v>=1.563*100000000</v>
      </c>
      <c r="Z565" s="1">
        <f>1.563*100000000</f>
        <v>156300000</v>
      </c>
      <c r="AA565" s="8">
        <f t="shared" si="260"/>
        <v>1.5762320751607055</v>
      </c>
      <c r="AB565" s="7" t="s">
        <v>3170</v>
      </c>
      <c r="AC565" s="6" t="str">
        <f t="shared" si="261"/>
        <v>=6067*10000</v>
      </c>
      <c r="AD565" s="1">
        <f>6067*10000</f>
        <v>60670000</v>
      </c>
      <c r="AE565" s="8">
        <f t="shared" si="262"/>
        <v>-8.4984550735384996</v>
      </c>
      <c r="AF565" s="7">
        <f>-809.1*10000</f>
        <v>-8091000</v>
      </c>
      <c r="AG565" s="6" t="str">
        <f t="shared" si="263"/>
        <v>=-8091000</v>
      </c>
      <c r="AH565" s="1">
        <f>-8091000</f>
        <v>-8091000</v>
      </c>
      <c r="AI565" s="8">
        <f t="shared" si="264"/>
        <v>-0.9685542168674699</v>
      </c>
      <c r="AJ565" s="6">
        <f>-2.573*100000000</f>
        <v>-257300000</v>
      </c>
      <c r="AK565" s="6" t="str">
        <f t="shared" si="265"/>
        <v>=-257300000</v>
      </c>
      <c r="AL565" s="1">
        <f>-257300000</f>
        <v>-257300000</v>
      </c>
      <c r="AM565" s="8">
        <f t="shared" si="266"/>
        <v>114.90090090090091</v>
      </c>
      <c r="AN565" s="7">
        <f>-222*10000</f>
        <v>-2220000</v>
      </c>
      <c r="AO565" s="6" t="str">
        <f t="shared" si="267"/>
        <v>=-2220000</v>
      </c>
      <c r="AP565" s="1">
        <f>-2220000</f>
        <v>-2220000</v>
      </c>
      <c r="AQ565" s="8">
        <f t="shared" si="268"/>
        <v>-1.076790038049118</v>
      </c>
      <c r="AR565" s="7" t="s">
        <v>6799</v>
      </c>
      <c r="AS565" s="6" t="str">
        <f t="shared" si="269"/>
        <v>=2891*10000</v>
      </c>
      <c r="AT565" s="1">
        <f>2891*10000</f>
        <v>28910000</v>
      </c>
      <c r="AU565" s="8">
        <f t="shared" si="270"/>
        <v>-1.4506625097427903</v>
      </c>
      <c r="AV565" s="7">
        <f>-6415*10000</f>
        <v>-64150000</v>
      </c>
      <c r="AW565" s="6" t="str">
        <f t="shared" si="271"/>
        <v>=-64150000</v>
      </c>
      <c r="AX565" s="1">
        <f>-64150000</f>
        <v>-64150000</v>
      </c>
      <c r="AY565" s="10">
        <f t="shared" si="272"/>
        <v>-0.87801863472142994</v>
      </c>
      <c r="AZ565" s="6">
        <f>-5.259*100000000</f>
        <v>-525900000.00000006</v>
      </c>
      <c r="BA565" s="6" t="str">
        <f t="shared" si="273"/>
        <v>=-525900000</v>
      </c>
      <c r="BB565" s="1">
        <f>-525900000</f>
        <v>-525900000</v>
      </c>
      <c r="BC565" s="8">
        <f t="shared" si="274"/>
        <v>92.195108984582674</v>
      </c>
      <c r="BD565" s="7">
        <f>-564.3*10000</f>
        <v>-5643000</v>
      </c>
      <c r="BE565" s="6" t="str">
        <f t="shared" si="275"/>
        <v>=-5643000</v>
      </c>
      <c r="BF565" s="1">
        <f>-5643000</f>
        <v>-5643000</v>
      </c>
      <c r="BG565" s="8">
        <f t="shared" si="276"/>
        <v>-0.64884878655880518</v>
      </c>
      <c r="BH565" s="7">
        <f>-1607*10000</f>
        <v>-16070000</v>
      </c>
      <c r="BI565" s="6" t="str">
        <f t="shared" si="277"/>
        <v>=-16070000</v>
      </c>
      <c r="BJ565" s="1">
        <f>-16070000</f>
        <v>-16070000</v>
      </c>
      <c r="BK565" s="7">
        <f>-4730*10000</f>
        <v>-47300000</v>
      </c>
      <c r="BL565" s="1" t="str">
        <f t="shared" si="249"/>
        <v>=-47300000</v>
      </c>
      <c r="BM565" s="16">
        <f t="shared" si="278"/>
        <v>-0.6602536997885835</v>
      </c>
      <c r="BN565" s="1">
        <f>-47300000</f>
        <v>-47300000</v>
      </c>
    </row>
    <row r="566" spans="1:66">
      <c r="A566" s="17">
        <v>142</v>
      </c>
      <c r="B566">
        <v>600481</v>
      </c>
      <c r="C566" t="s">
        <v>31</v>
      </c>
      <c r="D566" s="6" t="s">
        <v>6476</v>
      </c>
      <c r="E566" s="7" t="str">
        <f t="shared" si="248"/>
        <v>=38.30*100000000</v>
      </c>
      <c r="F566" s="1">
        <f>38.3*100000000</f>
        <v>3829999999.9999995</v>
      </c>
      <c r="G566" s="8">
        <f t="shared" si="250"/>
        <v>0.68945743273048055</v>
      </c>
      <c r="H566" s="6" t="s">
        <v>6800</v>
      </c>
      <c r="I566" s="6" t="str">
        <f t="shared" si="251"/>
        <v>=22.67*100000000</v>
      </c>
      <c r="J566" s="1">
        <f>22.67*100000000</f>
        <v>2267000000</v>
      </c>
      <c r="K566" s="10">
        <f t="shared" si="252"/>
        <v>0.81505204163330669</v>
      </c>
      <c r="L566" s="6" t="s">
        <v>6228</v>
      </c>
      <c r="M566" s="6" t="str">
        <f t="shared" si="253"/>
        <v>=12.49*100000000</v>
      </c>
      <c r="N566" s="1">
        <f>12.49*100000000</f>
        <v>1249000000</v>
      </c>
      <c r="O566" s="8">
        <f t="shared" si="254"/>
        <v>1.8772172310527528</v>
      </c>
      <c r="P566" s="6" t="s">
        <v>6801</v>
      </c>
      <c r="Q566" s="6" t="str">
        <f t="shared" si="255"/>
        <v>=4.341*100000000</v>
      </c>
      <c r="R566" s="11">
        <f>4.341*100000000</f>
        <v>434100000</v>
      </c>
      <c r="S566" s="8">
        <f t="shared" si="256"/>
        <v>-0.79049227799227795</v>
      </c>
      <c r="T566" s="6" t="s">
        <v>713</v>
      </c>
      <c r="U566" s="6" t="str">
        <f t="shared" si="257"/>
        <v>=20.72*100000000</v>
      </c>
      <c r="V566" s="1">
        <f>20.72*100000000</f>
        <v>2072000000</v>
      </c>
      <c r="W566" s="8">
        <f t="shared" si="258"/>
        <v>0.69281045751633985</v>
      </c>
      <c r="X566" s="6" t="s">
        <v>582</v>
      </c>
      <c r="Y566" s="6" t="str">
        <f t="shared" si="259"/>
        <v>=12.24*100000000</v>
      </c>
      <c r="Z566" s="1">
        <f>12.24*100000000</f>
        <v>1224000000</v>
      </c>
      <c r="AA566" s="8">
        <f t="shared" si="260"/>
        <v>0.65763813651137593</v>
      </c>
      <c r="AB566" s="6" t="s">
        <v>6802</v>
      </c>
      <c r="AC566" s="6" t="str">
        <f t="shared" si="261"/>
        <v>=7.384*100000000</v>
      </c>
      <c r="AD566" s="1">
        <f>7.384*100000000</f>
        <v>738400000</v>
      </c>
      <c r="AE566" s="8">
        <f t="shared" si="262"/>
        <v>2.3578899499772628</v>
      </c>
      <c r="AF566" s="6" t="s">
        <v>6803</v>
      </c>
      <c r="AG566" s="6" t="str">
        <f t="shared" si="263"/>
        <v>=2.199*100000000</v>
      </c>
      <c r="AH566" s="1">
        <f>2.199*100000000</f>
        <v>219899999.99999997</v>
      </c>
      <c r="AI566" s="8">
        <f t="shared" si="264"/>
        <v>-0.9129798179659675</v>
      </c>
      <c r="AJ566" s="6" t="s">
        <v>4567</v>
      </c>
      <c r="AK566" s="6" t="str">
        <f t="shared" si="265"/>
        <v>=25.27*100000000</v>
      </c>
      <c r="AL566" s="1">
        <f>25.27*100000000</f>
        <v>2527000000</v>
      </c>
      <c r="AM566" s="8">
        <f t="shared" si="266"/>
        <v>0.4514646754738656</v>
      </c>
      <c r="AN566" s="6" t="s">
        <v>6804</v>
      </c>
      <c r="AO566" s="6" t="str">
        <f t="shared" si="267"/>
        <v>=17.41*100000000</v>
      </c>
      <c r="AP566" s="1">
        <f>17.41*100000000</f>
        <v>1741000000</v>
      </c>
      <c r="AQ566" s="8">
        <f t="shared" si="268"/>
        <v>0.59578368469294229</v>
      </c>
      <c r="AR566" s="6" t="s">
        <v>6805</v>
      </c>
      <c r="AS566" s="6" t="str">
        <f t="shared" si="269"/>
        <v>=10.91*100000000</v>
      </c>
      <c r="AT566" s="1">
        <f>10.91*100000000</f>
        <v>1091000000</v>
      </c>
      <c r="AU566" s="8">
        <f t="shared" si="270"/>
        <v>2.1038406827880514</v>
      </c>
      <c r="AV566" s="6" t="s">
        <v>6806</v>
      </c>
      <c r="AW566" s="6" t="str">
        <f t="shared" si="271"/>
        <v>=3.515*100000000</v>
      </c>
      <c r="AX566" s="1">
        <f>3.515*100000000</f>
        <v>351500000</v>
      </c>
      <c r="AY566" s="10">
        <f t="shared" si="272"/>
        <v>-0.85968063872255485</v>
      </c>
      <c r="AZ566" s="6" t="s">
        <v>6807</v>
      </c>
      <c r="BA566" s="6" t="str">
        <f t="shared" si="273"/>
        <v>=25.05*100000000</v>
      </c>
      <c r="BB566" s="1">
        <f>25.05*100000000</f>
        <v>2505000000</v>
      </c>
      <c r="BC566" s="8">
        <f t="shared" si="274"/>
        <v>0.4176570458404073</v>
      </c>
      <c r="BD566" s="6" t="s">
        <v>3606</v>
      </c>
      <c r="BE566" s="6" t="str">
        <f t="shared" si="275"/>
        <v>=17.67*100000000</v>
      </c>
      <c r="BF566" s="1">
        <f>17.67*100000000</f>
        <v>1767000000.0000002</v>
      </c>
      <c r="BG566" s="8">
        <f t="shared" si="276"/>
        <v>0.61075660893345507</v>
      </c>
      <c r="BH566" s="6" t="s">
        <v>373</v>
      </c>
      <c r="BI566" s="6" t="str">
        <f t="shared" si="277"/>
        <v>=10.97*100000000</v>
      </c>
      <c r="BJ566" s="1">
        <f>10.97*100000000</f>
        <v>1097000000</v>
      </c>
      <c r="BK566" s="6" t="s">
        <v>6808</v>
      </c>
      <c r="BL566" s="1" t="str">
        <f t="shared" si="249"/>
        <v>=3.448*100000000</v>
      </c>
      <c r="BM566" s="16">
        <f t="shared" si="278"/>
        <v>2.1815545243619487</v>
      </c>
      <c r="BN566" s="1">
        <f>3.448*100000000</f>
        <v>344800000</v>
      </c>
    </row>
    <row r="567" spans="1:66">
      <c r="A567" s="18"/>
      <c r="B567">
        <v>600481</v>
      </c>
      <c r="C567" t="s">
        <v>48</v>
      </c>
      <c r="D567" s="6" t="s">
        <v>6809</v>
      </c>
      <c r="E567" s="7" t="str">
        <f t="shared" si="248"/>
        <v>=3.998*100000000</v>
      </c>
      <c r="F567" s="1">
        <f>3.998*100000000</f>
        <v>399800000</v>
      </c>
      <c r="G567" s="8">
        <f t="shared" si="250"/>
        <v>0.69766454352441609</v>
      </c>
      <c r="H567" s="6" t="s">
        <v>4006</v>
      </c>
      <c r="I567" s="6" t="str">
        <f t="shared" si="251"/>
        <v>=2.355*100000000</v>
      </c>
      <c r="J567" s="1">
        <f>2.355*100000000</f>
        <v>235500000</v>
      </c>
      <c r="K567" s="10">
        <f t="shared" si="252"/>
        <v>0.73929098966026585</v>
      </c>
      <c r="L567" s="6" t="s">
        <v>1295</v>
      </c>
      <c r="M567" s="6" t="str">
        <f t="shared" si="253"/>
        <v>=1.354*100000000</v>
      </c>
      <c r="N567" s="1">
        <f>1.354*100000000</f>
        <v>135400000</v>
      </c>
      <c r="O567" s="8">
        <f t="shared" si="254"/>
        <v>2.6634199134199132</v>
      </c>
      <c r="P567" s="7" t="s">
        <v>2577</v>
      </c>
      <c r="Q567" s="6" t="str">
        <f t="shared" si="255"/>
        <v>=3696*10000</v>
      </c>
      <c r="R567" s="11">
        <f>3696*10000</f>
        <v>36960000</v>
      </c>
      <c r="S567" s="8">
        <f t="shared" si="256"/>
        <v>-0.76813048933500627</v>
      </c>
      <c r="T567" s="6" t="s">
        <v>6810</v>
      </c>
      <c r="U567" s="6" t="str">
        <f t="shared" si="257"/>
        <v>=1.594*100000000</v>
      </c>
      <c r="V567" s="1">
        <f>1.594*100000000</f>
        <v>159400000</v>
      </c>
      <c r="W567" s="8">
        <f t="shared" si="258"/>
        <v>1.8192430137955429</v>
      </c>
      <c r="X567" s="7" t="s">
        <v>6600</v>
      </c>
      <c r="Y567" s="6" t="str">
        <f t="shared" si="259"/>
        <v>=5654*10000</v>
      </c>
      <c r="Z567" s="1">
        <f>5654*10000</f>
        <v>56540000</v>
      </c>
      <c r="AA567" s="8">
        <f t="shared" si="260"/>
        <v>3.2099776619508562</v>
      </c>
      <c r="AB567" s="7" t="s">
        <v>6811</v>
      </c>
      <c r="AC567" s="6" t="str">
        <f t="shared" si="261"/>
        <v>=1343*10000</v>
      </c>
      <c r="AD567" s="1">
        <f>1343*10000</f>
        <v>13430000</v>
      </c>
      <c r="AE567" s="8">
        <f t="shared" si="262"/>
        <v>-1.4018551765409935</v>
      </c>
      <c r="AF567" s="7">
        <f>-3342*10000</f>
        <v>-33420000</v>
      </c>
      <c r="AG567" s="6" t="str">
        <f t="shared" si="263"/>
        <v>=-33420000</v>
      </c>
      <c r="AH567" s="1">
        <f>-33420000</f>
        <v>-33420000</v>
      </c>
      <c r="AI567" s="8">
        <f t="shared" si="264"/>
        <v>-1.1428815733219324</v>
      </c>
      <c r="AJ567" s="6" t="s">
        <v>1498</v>
      </c>
      <c r="AK567" s="6" t="str">
        <f t="shared" si="265"/>
        <v>=2.339*100000000</v>
      </c>
      <c r="AL567" s="1">
        <f>2.339*100000000</f>
        <v>233900000</v>
      </c>
      <c r="AM567" s="8">
        <f t="shared" si="266"/>
        <v>0.72619926199261997</v>
      </c>
      <c r="AN567" s="6" t="s">
        <v>6812</v>
      </c>
      <c r="AO567" s="6" t="str">
        <f t="shared" si="267"/>
        <v>=1.355*100000000</v>
      </c>
      <c r="AP567" s="1">
        <f>1.355*100000000</f>
        <v>135500000</v>
      </c>
      <c r="AQ567" s="8">
        <f t="shared" si="268"/>
        <v>0.96919052463304756</v>
      </c>
      <c r="AR567" s="7" t="s">
        <v>6813</v>
      </c>
      <c r="AS567" s="6" t="str">
        <f t="shared" si="269"/>
        <v>=6881*10000</v>
      </c>
      <c r="AT567" s="1">
        <f>6881*10000</f>
        <v>68810000</v>
      </c>
      <c r="AU567" s="8">
        <f t="shared" si="270"/>
        <v>-27.598376497873986</v>
      </c>
      <c r="AV567" s="7">
        <f>-258.7*10000</f>
        <v>-2587000</v>
      </c>
      <c r="AW567" s="6" t="str">
        <f t="shared" si="271"/>
        <v>=-2587000</v>
      </c>
      <c r="AX567" s="1">
        <f>-2587000</f>
        <v>-2587000</v>
      </c>
      <c r="AY567" s="10">
        <f t="shared" si="272"/>
        <v>-1.0087457741717376</v>
      </c>
      <c r="AZ567" s="6" t="s">
        <v>6814</v>
      </c>
      <c r="BA567" s="6" t="str">
        <f t="shared" si="273"/>
        <v>=2.958*100000000</v>
      </c>
      <c r="BB567" s="1">
        <f>2.958*100000000</f>
        <v>295800000</v>
      </c>
      <c r="BC567" s="8">
        <f t="shared" si="274"/>
        <v>0.65621500559910417</v>
      </c>
      <c r="BD567" s="6" t="s">
        <v>6580</v>
      </c>
      <c r="BE567" s="6" t="str">
        <f t="shared" si="275"/>
        <v>=1.786*100000000</v>
      </c>
      <c r="BF567" s="1">
        <f>1.786*100000000</f>
        <v>178600000</v>
      </c>
      <c r="BG567" s="8">
        <f t="shared" si="276"/>
        <v>1.6776611694152923</v>
      </c>
      <c r="BH567" s="7" t="s">
        <v>6815</v>
      </c>
      <c r="BI567" s="6" t="str">
        <f t="shared" si="277"/>
        <v>=6670*10000</v>
      </c>
      <c r="BJ567" s="1">
        <f>6670*10000</f>
        <v>66700000</v>
      </c>
      <c r="BK567" s="7">
        <f>-2392*10000</f>
        <v>-23920000</v>
      </c>
      <c r="BL567" s="1" t="str">
        <f t="shared" si="249"/>
        <v>=-23920000</v>
      </c>
      <c r="BM567" s="16">
        <f t="shared" si="278"/>
        <v>-3.7884615384615383</v>
      </c>
      <c r="BN567" s="1">
        <f>-23920000</f>
        <v>-23920000</v>
      </c>
    </row>
    <row r="568" spans="1:66">
      <c r="A568" s="18"/>
      <c r="B568">
        <v>600481</v>
      </c>
      <c r="C568" t="s">
        <v>58</v>
      </c>
      <c r="D568" s="6" t="s">
        <v>6816</v>
      </c>
      <c r="E568" s="7" t="str">
        <f t="shared" si="248"/>
        <v>=4.076*100000000</v>
      </c>
      <c r="F568" s="1">
        <f>4.076*100000000</f>
        <v>407599999.99999994</v>
      </c>
      <c r="G568" s="8">
        <f t="shared" si="250"/>
        <v>0.73078556263269612</v>
      </c>
      <c r="H568" s="6" t="s">
        <v>4006</v>
      </c>
      <c r="I568" s="6" t="str">
        <f t="shared" si="251"/>
        <v>=2.355*100000000</v>
      </c>
      <c r="J568" s="1">
        <f>2.355*100000000</f>
        <v>235500000</v>
      </c>
      <c r="K568" s="10">
        <f t="shared" si="252"/>
        <v>0.73929098966026585</v>
      </c>
      <c r="L568" s="6" t="s">
        <v>1295</v>
      </c>
      <c r="M568" s="6" t="str">
        <f t="shared" si="253"/>
        <v>=1.354*100000000</v>
      </c>
      <c r="N568" s="1">
        <f>1.354*100000000</f>
        <v>135400000</v>
      </c>
      <c r="O568" s="8">
        <f t="shared" si="254"/>
        <v>2.6673889490790899</v>
      </c>
      <c r="P568" s="7" t="s">
        <v>6817</v>
      </c>
      <c r="Q568" s="6" t="str">
        <f t="shared" si="255"/>
        <v>=3692*10000</v>
      </c>
      <c r="R568" s="11">
        <f>3692*10000</f>
        <v>36920000</v>
      </c>
      <c r="S568" s="8">
        <f t="shared" si="256"/>
        <v>-0.77825825825825823</v>
      </c>
      <c r="T568" s="6" t="s">
        <v>6818</v>
      </c>
      <c r="U568" s="6" t="str">
        <f t="shared" si="257"/>
        <v>=1.665*100000000</v>
      </c>
      <c r="V568" s="1">
        <f>1.665*100000000</f>
        <v>166500000</v>
      </c>
      <c r="W568" s="8">
        <f t="shared" si="258"/>
        <v>1.9308220383735257</v>
      </c>
      <c r="X568" s="7" t="s">
        <v>6819</v>
      </c>
      <c r="Y568" s="6" t="str">
        <f t="shared" si="259"/>
        <v>=5681*10000</v>
      </c>
      <c r="Z568" s="1">
        <f>5681*10000</f>
        <v>56810000</v>
      </c>
      <c r="AA568" s="8">
        <f t="shared" si="260"/>
        <v>2.5887555274794694</v>
      </c>
      <c r="AB568" s="7" t="s">
        <v>6820</v>
      </c>
      <c r="AC568" s="6" t="str">
        <f t="shared" si="261"/>
        <v>=1583*10000</v>
      </c>
      <c r="AD568" s="1">
        <f>1583*10000</f>
        <v>15830000</v>
      </c>
      <c r="AE568" s="8">
        <f t="shared" si="262"/>
        <v>-1.4742360695026961</v>
      </c>
      <c r="AF568" s="7">
        <f>-3338*10000</f>
        <v>-33380000</v>
      </c>
      <c r="AG568" s="6" t="str">
        <f t="shared" si="263"/>
        <v>=-33380000</v>
      </c>
      <c r="AH568" s="1">
        <f>-33380000</f>
        <v>-33380000</v>
      </c>
      <c r="AI568" s="8">
        <f t="shared" si="264"/>
        <v>-1.1324603174603174</v>
      </c>
      <c r="AJ568" s="6" t="s">
        <v>6821</v>
      </c>
      <c r="AK568" s="6" t="str">
        <f t="shared" si="265"/>
        <v>=2.520*100000000</v>
      </c>
      <c r="AL568" s="1">
        <f>2.52*100000000</f>
        <v>252000000</v>
      </c>
      <c r="AM568" s="8">
        <f t="shared" si="266"/>
        <v>0.64598301763553234</v>
      </c>
      <c r="AN568" s="6" t="s">
        <v>6822</v>
      </c>
      <c r="AO568" s="6" t="str">
        <f t="shared" si="267"/>
        <v>=1.531*100000000</v>
      </c>
      <c r="AP568" s="1">
        <f>1.531*100000000</f>
        <v>153100000</v>
      </c>
      <c r="AQ568" s="8">
        <f t="shared" si="268"/>
        <v>0.76687824581650321</v>
      </c>
      <c r="AR568" s="7" t="s">
        <v>6823</v>
      </c>
      <c r="AS568" s="6" t="str">
        <f t="shared" si="269"/>
        <v>=8665*10000</v>
      </c>
      <c r="AT568" s="1">
        <f>8665*10000</f>
        <v>86650000</v>
      </c>
      <c r="AU568" s="8">
        <f t="shared" si="270"/>
        <v>5.0764375876577841</v>
      </c>
      <c r="AV568" s="7" t="s">
        <v>1298</v>
      </c>
      <c r="AW568" s="6" t="str">
        <f t="shared" si="271"/>
        <v>=1426*10000</v>
      </c>
      <c r="AX568" s="1">
        <f>1426*10000</f>
        <v>14260000</v>
      </c>
      <c r="AY568" s="10">
        <f t="shared" si="272"/>
        <v>-0.95460044571792424</v>
      </c>
      <c r="AZ568" s="6" t="s">
        <v>6554</v>
      </c>
      <c r="BA568" s="6" t="str">
        <f t="shared" si="273"/>
        <v>=3.141*100000000</v>
      </c>
      <c r="BB568" s="1">
        <f>3.141*100000000</f>
        <v>314100000</v>
      </c>
      <c r="BC568" s="8">
        <f t="shared" si="274"/>
        <v>0.66896918172157283</v>
      </c>
      <c r="BD568" s="6" t="s">
        <v>6824</v>
      </c>
      <c r="BE568" s="6" t="str">
        <f t="shared" si="275"/>
        <v>=1.882*100000000</v>
      </c>
      <c r="BF568" s="1">
        <f>1.882*100000000</f>
        <v>188200000</v>
      </c>
      <c r="BG568" s="8">
        <f t="shared" si="276"/>
        <v>1.8030980041703901</v>
      </c>
      <c r="BH568" s="7" t="s">
        <v>4889</v>
      </c>
      <c r="BI568" s="6" t="str">
        <f t="shared" si="277"/>
        <v>=6714*10000</v>
      </c>
      <c r="BJ568" s="1">
        <f>6714*10000</f>
        <v>67140000</v>
      </c>
      <c r="BK568" s="7">
        <f>-2335*10000</f>
        <v>-23350000</v>
      </c>
      <c r="BL568" s="1" t="str">
        <f t="shared" si="249"/>
        <v>=-23350000</v>
      </c>
      <c r="BM568" s="16">
        <f t="shared" si="278"/>
        <v>-3.8753747323340471</v>
      </c>
      <c r="BN568" s="1">
        <f>-23350000</f>
        <v>-23350000</v>
      </c>
    </row>
    <row r="569" spans="1:66">
      <c r="A569" s="19"/>
      <c r="B569">
        <v>600481</v>
      </c>
      <c r="C569" t="s">
        <v>68</v>
      </c>
      <c r="D569" s="6" t="s">
        <v>4028</v>
      </c>
      <c r="E569" s="7" t="str">
        <f t="shared" si="248"/>
        <v>=3.396*100000000</v>
      </c>
      <c r="F569" s="1">
        <f>3.396*100000000</f>
        <v>339600000</v>
      </c>
      <c r="G569" s="8">
        <f t="shared" si="250"/>
        <v>0.76875000000000004</v>
      </c>
      <c r="H569" s="6" t="s">
        <v>1039</v>
      </c>
      <c r="I569" s="6" t="str">
        <f t="shared" si="251"/>
        <v>=1.920*100000000</v>
      </c>
      <c r="J569" s="1">
        <f>1.92*100000000</f>
        <v>192000000</v>
      </c>
      <c r="K569" s="10">
        <f t="shared" si="252"/>
        <v>0.77121771217712154</v>
      </c>
      <c r="L569" s="6" t="s">
        <v>2094</v>
      </c>
      <c r="M569" s="6" t="str">
        <f t="shared" si="253"/>
        <v>=1.084*100000000</v>
      </c>
      <c r="N569" s="1">
        <f>1.084*100000000</f>
        <v>108400000.00000001</v>
      </c>
      <c r="O569" s="8">
        <f t="shared" si="254"/>
        <v>2.910533910533911</v>
      </c>
      <c r="P569" s="7" t="s">
        <v>6825</v>
      </c>
      <c r="Q569" s="6" t="str">
        <f t="shared" si="255"/>
        <v>=2772*10000</v>
      </c>
      <c r="R569" s="11">
        <f>2772*10000</f>
        <v>27720000</v>
      </c>
      <c r="S569" s="8">
        <f t="shared" si="256"/>
        <v>-0.79557522123893809</v>
      </c>
      <c r="T569" s="6" t="s">
        <v>4467</v>
      </c>
      <c r="U569" s="6" t="str">
        <f t="shared" si="257"/>
        <v>=1.356*100000000</v>
      </c>
      <c r="V569" s="1">
        <f>1.356*100000000</f>
        <v>135600000</v>
      </c>
      <c r="W569" s="8">
        <f t="shared" si="258"/>
        <v>1.4995391705069125</v>
      </c>
      <c r="X569" s="7" t="s">
        <v>6826</v>
      </c>
      <c r="Y569" s="6" t="str">
        <f t="shared" si="259"/>
        <v>=5425*10000</v>
      </c>
      <c r="Z569" s="1">
        <f>5425*10000</f>
        <v>54250000</v>
      </c>
      <c r="AA569" s="8">
        <f t="shared" si="260"/>
        <v>1.9742324561403508</v>
      </c>
      <c r="AB569" s="7" t="s">
        <v>6827</v>
      </c>
      <c r="AC569" s="6" t="str">
        <f t="shared" si="261"/>
        <v>=1824*10000</v>
      </c>
      <c r="AD569" s="1">
        <f>1824*10000</f>
        <v>18240000</v>
      </c>
      <c r="AE569" s="8">
        <f t="shared" si="262"/>
        <v>-1.6206192582511059</v>
      </c>
      <c r="AF569" s="7">
        <f>-2939*10000</f>
        <v>-29390000</v>
      </c>
      <c r="AG569" s="6" t="str">
        <f t="shared" si="263"/>
        <v>=-29390000</v>
      </c>
      <c r="AH569" s="1">
        <f>-29390000</f>
        <v>-29390000</v>
      </c>
      <c r="AI569" s="8">
        <f t="shared" si="264"/>
        <v>-1.137016317016317</v>
      </c>
      <c r="AJ569" s="6" t="s">
        <v>4100</v>
      </c>
      <c r="AK569" s="6" t="str">
        <f t="shared" si="265"/>
        <v>=2.145*100000000</v>
      </c>
      <c r="AL569" s="1">
        <f>2.145*100000000</f>
        <v>214500000</v>
      </c>
      <c r="AM569" s="8">
        <f t="shared" si="266"/>
        <v>0.63366336633663367</v>
      </c>
      <c r="AN569" s="6" t="s">
        <v>4888</v>
      </c>
      <c r="AO569" s="6" t="str">
        <f t="shared" si="267"/>
        <v>=1.313*100000000</v>
      </c>
      <c r="AP569" s="1">
        <f>1.313*100000000</f>
        <v>131300000</v>
      </c>
      <c r="AQ569" s="8">
        <f t="shared" si="268"/>
        <v>0.80779292303455874</v>
      </c>
      <c r="AR569" s="7" t="s">
        <v>6828</v>
      </c>
      <c r="AS569" s="6" t="str">
        <f t="shared" si="269"/>
        <v>=7263*10000</v>
      </c>
      <c r="AT569" s="1">
        <f>7263*10000</f>
        <v>72630000</v>
      </c>
      <c r="AU569" s="8">
        <f t="shared" si="270"/>
        <v>5.6027272727272726</v>
      </c>
      <c r="AV569" s="7" t="s">
        <v>6829</v>
      </c>
      <c r="AW569" s="6" t="str">
        <f t="shared" si="271"/>
        <v>=1100*10000</v>
      </c>
      <c r="AX569" s="1">
        <f>1100*10000</f>
        <v>11000000</v>
      </c>
      <c r="AY569" s="10">
        <f t="shared" si="272"/>
        <v>-0.95706479313036685</v>
      </c>
      <c r="AZ569" s="6" t="s">
        <v>6830</v>
      </c>
      <c r="BA569" s="6" t="str">
        <f t="shared" si="273"/>
        <v>=2.562*100000000</v>
      </c>
      <c r="BB569" s="1">
        <f>2.562*100000000</f>
        <v>256199999.99999997</v>
      </c>
      <c r="BC569" s="8">
        <f t="shared" si="274"/>
        <v>0.63915547024951991</v>
      </c>
      <c r="BD569" s="6" t="s">
        <v>6794</v>
      </c>
      <c r="BE569" s="6" t="str">
        <f t="shared" si="275"/>
        <v>=1.563*100000000</v>
      </c>
      <c r="BF569" s="1">
        <f>1.563*100000000</f>
        <v>156300000</v>
      </c>
      <c r="BG569" s="8">
        <f t="shared" si="276"/>
        <v>1.7498240675580576</v>
      </c>
      <c r="BH569" s="7" t="s">
        <v>6831</v>
      </c>
      <c r="BI569" s="6" t="str">
        <f t="shared" si="277"/>
        <v>=5684*10000</v>
      </c>
      <c r="BJ569" s="1">
        <f>5684*10000</f>
        <v>56840000</v>
      </c>
      <c r="BK569" s="7">
        <f>-2288*10000</f>
        <v>-22880000</v>
      </c>
      <c r="BL569" s="1" t="str">
        <f t="shared" si="249"/>
        <v>=-22880000</v>
      </c>
      <c r="BM569" s="16">
        <f t="shared" si="278"/>
        <v>-3.4842657342657342</v>
      </c>
      <c r="BN569" s="1">
        <f>-22880000</f>
        <v>-22880000</v>
      </c>
    </row>
    <row r="570" spans="1:66">
      <c r="A570" s="17">
        <v>143</v>
      </c>
      <c r="B570">
        <v>600486</v>
      </c>
      <c r="C570" t="s">
        <v>31</v>
      </c>
      <c r="D570" s="6" t="s">
        <v>6832</v>
      </c>
      <c r="E570" s="7" t="str">
        <f t="shared" si="248"/>
        <v>=118.4*100000000</v>
      </c>
      <c r="F570" s="1">
        <f>118.4*100000000</f>
        <v>11840000000</v>
      </c>
      <c r="G570" s="8">
        <f t="shared" si="250"/>
        <v>0.28110798528457043</v>
      </c>
      <c r="H570" s="6" t="s">
        <v>6833</v>
      </c>
      <c r="I570" s="6" t="str">
        <f t="shared" si="251"/>
        <v>=92.42*100000000</v>
      </c>
      <c r="J570" s="1">
        <f>92.42*100000000</f>
        <v>9242000000</v>
      </c>
      <c r="K570" s="10">
        <f t="shared" si="252"/>
        <v>0.38311882669859343</v>
      </c>
      <c r="L570" s="6" t="s">
        <v>6834</v>
      </c>
      <c r="M570" s="6" t="str">
        <f t="shared" si="253"/>
        <v>=66.82*100000000</v>
      </c>
      <c r="N570" s="1">
        <f>66.82*100000000</f>
        <v>6681999999.999999</v>
      </c>
      <c r="O570" s="8">
        <f t="shared" si="254"/>
        <v>0.80204962243797173</v>
      </c>
      <c r="P570" s="6" t="s">
        <v>6835</v>
      </c>
      <c r="Q570" s="6" t="str">
        <f t="shared" si="255"/>
        <v>=37.08*100000000</v>
      </c>
      <c r="R570" s="11">
        <f>37.08*100000000</f>
        <v>3708000000</v>
      </c>
      <c r="S570" s="8">
        <f t="shared" si="256"/>
        <v>-0.62282575526396089</v>
      </c>
      <c r="T570" s="6" t="s">
        <v>6836</v>
      </c>
      <c r="U570" s="6" t="str">
        <f t="shared" si="257"/>
        <v>=98.31*100000000</v>
      </c>
      <c r="V570" s="1">
        <f>98.31*100000000</f>
        <v>9831000000</v>
      </c>
      <c r="W570" s="8">
        <f t="shared" si="258"/>
        <v>0.23567119155354449</v>
      </c>
      <c r="X570" s="6" t="s">
        <v>6837</v>
      </c>
      <c r="Y570" s="6" t="str">
        <f t="shared" si="259"/>
        <v>=79.56*100000000</v>
      </c>
      <c r="Z570" s="1">
        <f>79.56*100000000</f>
        <v>7956000000</v>
      </c>
      <c r="AA570" s="8">
        <f t="shared" si="260"/>
        <v>0.34460030420821364</v>
      </c>
      <c r="AB570" s="6" t="s">
        <v>6838</v>
      </c>
      <c r="AC570" s="6" t="str">
        <f t="shared" si="261"/>
        <v>=59.17*100000000</v>
      </c>
      <c r="AD570" s="1">
        <f>59.17*100000000</f>
        <v>5917000000</v>
      </c>
      <c r="AE570" s="8">
        <f t="shared" si="262"/>
        <v>0.87424770351599623</v>
      </c>
      <c r="AF570" s="6" t="s">
        <v>5411</v>
      </c>
      <c r="AG570" s="6" t="str">
        <f t="shared" si="263"/>
        <v>=31.57*100000000</v>
      </c>
      <c r="AH570" s="1">
        <f>31.57*100000000</f>
        <v>3157000000</v>
      </c>
      <c r="AI570" s="8">
        <f t="shared" si="264"/>
        <v>-0.63716814159292035</v>
      </c>
      <c r="AJ570" s="6" t="s">
        <v>6839</v>
      </c>
      <c r="AK570" s="6" t="str">
        <f t="shared" si="265"/>
        <v>=87.01*100000000</v>
      </c>
      <c r="AL570" s="1">
        <f>87.01*100000000</f>
        <v>8701000000</v>
      </c>
      <c r="AM570" s="8">
        <f t="shared" si="266"/>
        <v>0.23208722741433022</v>
      </c>
      <c r="AN570" s="6" t="s">
        <v>6840</v>
      </c>
      <c r="AO570" s="6" t="str">
        <f t="shared" si="267"/>
        <v>=70.62*100000000</v>
      </c>
      <c r="AP570" s="1">
        <f>70.62*100000000</f>
        <v>7062000000</v>
      </c>
      <c r="AQ570" s="8">
        <f t="shared" si="268"/>
        <v>0.34207525655644244</v>
      </c>
      <c r="AR570" s="6" t="s">
        <v>6841</v>
      </c>
      <c r="AS570" s="6" t="str">
        <f t="shared" si="269"/>
        <v>=52.62*100000000</v>
      </c>
      <c r="AT570" s="1">
        <f>52.62*100000000</f>
        <v>5262000000</v>
      </c>
      <c r="AU570" s="8">
        <f t="shared" si="270"/>
        <v>0.91763848396501457</v>
      </c>
      <c r="AV570" s="6" t="s">
        <v>6842</v>
      </c>
      <c r="AW570" s="6" t="str">
        <f t="shared" si="271"/>
        <v>=27.44*100000000</v>
      </c>
      <c r="AX570" s="1">
        <f>27.44*100000000</f>
        <v>2744000000</v>
      </c>
      <c r="AY570" s="10">
        <f t="shared" si="272"/>
        <v>-0.68029826401025284</v>
      </c>
      <c r="AZ570" s="6" t="s">
        <v>6843</v>
      </c>
      <c r="BA570" s="6" t="str">
        <f t="shared" si="273"/>
        <v>=85.83*100000000</v>
      </c>
      <c r="BB570" s="1">
        <f>85.83*100000000</f>
        <v>8583000000</v>
      </c>
      <c r="BC570" s="8">
        <f t="shared" si="274"/>
        <v>0.2286000572573719</v>
      </c>
      <c r="BD570" s="6" t="s">
        <v>6844</v>
      </c>
      <c r="BE570" s="6" t="str">
        <f t="shared" si="275"/>
        <v>=69.86*100000000</v>
      </c>
      <c r="BF570" s="1">
        <f>69.86*100000000</f>
        <v>6986000000</v>
      </c>
      <c r="BG570" s="8">
        <f t="shared" si="276"/>
        <v>1.2571890145395799</v>
      </c>
      <c r="BH570" s="6" t="s">
        <v>824</v>
      </c>
      <c r="BI570" s="6" t="str">
        <f t="shared" si="277"/>
        <v>=30.95*100000000</v>
      </c>
      <c r="BJ570" s="1">
        <f>30.95*100000000</f>
        <v>3095000000</v>
      </c>
      <c r="BK570" s="6" t="s">
        <v>6845</v>
      </c>
      <c r="BL570" s="1" t="str">
        <f t="shared" si="249"/>
        <v>=16.10*100000000</v>
      </c>
      <c r="BM570" s="16">
        <f t="shared" si="278"/>
        <v>0.92236024844720466</v>
      </c>
      <c r="BN570" s="1">
        <f>16.1*100000000</f>
        <v>1610000000.0000002</v>
      </c>
    </row>
    <row r="571" spans="1:66">
      <c r="A571" s="18"/>
      <c r="B571">
        <v>600486</v>
      </c>
      <c r="C571" t="s">
        <v>48</v>
      </c>
      <c r="D571" s="6" t="s">
        <v>4234</v>
      </c>
      <c r="E571" s="7" t="str">
        <f t="shared" si="248"/>
        <v>=14.44*100000000</v>
      </c>
      <c r="F571" s="1">
        <f>14.44*100000000</f>
        <v>1444000000</v>
      </c>
      <c r="G571" s="8">
        <f t="shared" si="250"/>
        <v>0.19635459817729908</v>
      </c>
      <c r="H571" s="6" t="s">
        <v>1127</v>
      </c>
      <c r="I571" s="6" t="str">
        <f t="shared" si="251"/>
        <v>=12.07*100000000</v>
      </c>
      <c r="J571" s="1">
        <f>12.07*100000000</f>
        <v>1207000000</v>
      </c>
      <c r="K571" s="10">
        <f t="shared" si="252"/>
        <v>0.28090841557890267</v>
      </c>
      <c r="L571" s="6" t="s">
        <v>6846</v>
      </c>
      <c r="M571" s="6" t="str">
        <f t="shared" si="253"/>
        <v>=9.423*100000000</v>
      </c>
      <c r="N571" s="1">
        <f>9.423*100000000</f>
        <v>942300000</v>
      </c>
      <c r="O571" s="8">
        <f t="shared" si="254"/>
        <v>0.77057497181510715</v>
      </c>
      <c r="P571" s="6" t="s">
        <v>6847</v>
      </c>
      <c r="Q571" s="6" t="str">
        <f t="shared" si="255"/>
        <v>=5.322*100000000</v>
      </c>
      <c r="R571" s="11">
        <f>5.322*100000000</f>
        <v>532200000</v>
      </c>
      <c r="S571" s="8">
        <f t="shared" si="256"/>
        <v>-0.62887029288702934</v>
      </c>
      <c r="T571" s="6" t="s">
        <v>145</v>
      </c>
      <c r="U571" s="6" t="str">
        <f t="shared" si="257"/>
        <v>=14.34*100000000</v>
      </c>
      <c r="V571" s="1">
        <f>14.34*100000000</f>
        <v>1434000000</v>
      </c>
      <c r="W571" s="8">
        <f t="shared" si="258"/>
        <v>0.1687041564792176</v>
      </c>
      <c r="X571" s="6" t="s">
        <v>6848</v>
      </c>
      <c r="Y571" s="6" t="str">
        <f t="shared" si="259"/>
        <v>=12.27*100000000</v>
      </c>
      <c r="Z571" s="1">
        <f>12.27*100000000</f>
        <v>1227000000</v>
      </c>
      <c r="AA571" s="8">
        <f t="shared" si="260"/>
        <v>0.2378934624697335</v>
      </c>
      <c r="AB571" s="6" t="s">
        <v>6849</v>
      </c>
      <c r="AC571" s="6" t="str">
        <f t="shared" si="261"/>
        <v>=9.912*100000000</v>
      </c>
      <c r="AD571" s="1">
        <f>9.912*100000000</f>
        <v>991200000.00000012</v>
      </c>
      <c r="AE571" s="8">
        <f t="shared" si="262"/>
        <v>0.83998514943382241</v>
      </c>
      <c r="AF571" s="6" t="s">
        <v>6850</v>
      </c>
      <c r="AG571" s="6" t="str">
        <f t="shared" si="263"/>
        <v>=5.387*100000000</v>
      </c>
      <c r="AH571" s="1">
        <f>5.387*100000000</f>
        <v>538700000</v>
      </c>
      <c r="AI571" s="8">
        <f t="shared" si="264"/>
        <v>-0.61493924231593999</v>
      </c>
      <c r="AJ571" s="6" t="s">
        <v>1880</v>
      </c>
      <c r="AK571" s="6" t="str">
        <f t="shared" si="265"/>
        <v>=13.99*100000000</v>
      </c>
      <c r="AL571" s="1">
        <f>13.99*100000000</f>
        <v>1399000000</v>
      </c>
      <c r="AM571" s="8">
        <f t="shared" si="266"/>
        <v>8.0308880308880309E-2</v>
      </c>
      <c r="AN571" s="6" t="s">
        <v>451</v>
      </c>
      <c r="AO571" s="6" t="str">
        <f t="shared" si="267"/>
        <v>=12.95*100000000</v>
      </c>
      <c r="AP571" s="1">
        <f>12.95*100000000</f>
        <v>1295000000</v>
      </c>
      <c r="AQ571" s="8">
        <f t="shared" si="268"/>
        <v>0.26712328767123272</v>
      </c>
      <c r="AR571" s="6" t="s">
        <v>6851</v>
      </c>
      <c r="AS571" s="6" t="str">
        <f t="shared" si="269"/>
        <v>=10.22*100000000</v>
      </c>
      <c r="AT571" s="1">
        <f>10.22*100000000</f>
        <v>1022000000.0000001</v>
      </c>
      <c r="AU571" s="8">
        <f t="shared" si="270"/>
        <v>0.91565135895032823</v>
      </c>
      <c r="AV571" s="6" t="s">
        <v>4820</v>
      </c>
      <c r="AW571" s="6" t="str">
        <f t="shared" si="271"/>
        <v>=5.335*100000000</v>
      </c>
      <c r="AX571" s="1">
        <f>5.335*100000000</f>
        <v>533500000</v>
      </c>
      <c r="AY571" s="10">
        <f t="shared" si="272"/>
        <v>-0.55689368770764125</v>
      </c>
      <c r="AZ571" s="6" t="s">
        <v>1350</v>
      </c>
      <c r="BA571" s="6" t="str">
        <f t="shared" si="273"/>
        <v>=12.04*100000000</v>
      </c>
      <c r="BB571" s="1">
        <f>12.04*100000000</f>
        <v>1204000000</v>
      </c>
      <c r="BC571" s="8">
        <f t="shared" si="274"/>
        <v>2.9940119760479042E-2</v>
      </c>
      <c r="BD571" s="6" t="s">
        <v>6852</v>
      </c>
      <c r="BE571" s="6" t="str">
        <f t="shared" si="275"/>
        <v>=11.69*100000000</v>
      </c>
      <c r="BF571" s="1">
        <f>11.69*100000000</f>
        <v>1169000000</v>
      </c>
      <c r="BG571" s="8">
        <f t="shared" si="276"/>
        <v>0.67983905733582406</v>
      </c>
      <c r="BH571" s="6" t="s">
        <v>662</v>
      </c>
      <c r="BI571" s="6" t="str">
        <f t="shared" si="277"/>
        <v>=6.959*100000000</v>
      </c>
      <c r="BJ571" s="1">
        <f>6.959*100000000</f>
        <v>695900000</v>
      </c>
      <c r="BK571" s="6" t="s">
        <v>2853</v>
      </c>
      <c r="BL571" s="1" t="str">
        <f t="shared" si="249"/>
        <v>=3.386*100000000</v>
      </c>
      <c r="BM571" s="16">
        <f t="shared" si="278"/>
        <v>1.0552274069698759</v>
      </c>
      <c r="BN571" s="1">
        <f>3.386*100000000</f>
        <v>338600000</v>
      </c>
    </row>
    <row r="572" spans="1:66">
      <c r="A572" s="18"/>
      <c r="B572">
        <v>600486</v>
      </c>
      <c r="C572" t="s">
        <v>58</v>
      </c>
      <c r="D572" s="6" t="s">
        <v>6745</v>
      </c>
      <c r="E572" s="7" t="str">
        <f t="shared" si="248"/>
        <v>=14.40*100000000</v>
      </c>
      <c r="F572" s="1">
        <f>14.4*100000000</f>
        <v>1440000000</v>
      </c>
      <c r="G572" s="8">
        <f t="shared" si="250"/>
        <v>0.19205298013245034</v>
      </c>
      <c r="H572" s="6" t="s">
        <v>4251</v>
      </c>
      <c r="I572" s="6" t="str">
        <f t="shared" si="251"/>
        <v>=12.08*100000000</v>
      </c>
      <c r="J572" s="1">
        <f>12.08*100000000</f>
        <v>1208000000</v>
      </c>
      <c r="K572" s="10">
        <f t="shared" si="252"/>
        <v>0.28047487810048777</v>
      </c>
      <c r="L572" s="6" t="s">
        <v>6853</v>
      </c>
      <c r="M572" s="6" t="str">
        <f t="shared" si="253"/>
        <v>=9.434*100000000</v>
      </c>
      <c r="N572" s="1">
        <f>9.434*100000000</f>
        <v>943399999.99999988</v>
      </c>
      <c r="O572" s="8">
        <f t="shared" si="254"/>
        <v>0.77297500469836478</v>
      </c>
      <c r="P572" s="6" t="s">
        <v>6854</v>
      </c>
      <c r="Q572" s="6" t="str">
        <f t="shared" si="255"/>
        <v>=5.321*100000000</v>
      </c>
      <c r="R572" s="11">
        <f>5.321*100000000</f>
        <v>532100000</v>
      </c>
      <c r="S572" s="8">
        <f t="shared" si="256"/>
        <v>-0.62528169014084511</v>
      </c>
      <c r="T572" s="6" t="s">
        <v>50</v>
      </c>
      <c r="U572" s="6" t="str">
        <f t="shared" si="257"/>
        <v>=14.20*100000000</v>
      </c>
      <c r="V572" s="1">
        <f>14.2*100000000</f>
        <v>1420000000</v>
      </c>
      <c r="W572" s="8">
        <f t="shared" si="258"/>
        <v>0.15823817292006526</v>
      </c>
      <c r="X572" s="6" t="s">
        <v>2418</v>
      </c>
      <c r="Y572" s="6" t="str">
        <f t="shared" si="259"/>
        <v>=12.26*100000000</v>
      </c>
      <c r="Z572" s="1">
        <f>12.26*100000000</f>
        <v>1226000000</v>
      </c>
      <c r="AA572" s="8">
        <f t="shared" si="260"/>
        <v>0.23775870772337218</v>
      </c>
      <c r="AB572" s="6" t="s">
        <v>6855</v>
      </c>
      <c r="AC572" s="6" t="str">
        <f t="shared" si="261"/>
        <v>=9.905*100000000</v>
      </c>
      <c r="AD572" s="1">
        <f>9.905*100000000</f>
        <v>990499999.99999988</v>
      </c>
      <c r="AE572" s="8">
        <f t="shared" si="262"/>
        <v>0.83868572489326132</v>
      </c>
      <c r="AF572" s="6" t="s">
        <v>6850</v>
      </c>
      <c r="AG572" s="6" t="str">
        <f t="shared" si="263"/>
        <v>=5.387*100000000</v>
      </c>
      <c r="AH572" s="1">
        <f>5.387*100000000</f>
        <v>538700000</v>
      </c>
      <c r="AI572" s="8">
        <f t="shared" si="264"/>
        <v>-0.61466380543633758</v>
      </c>
      <c r="AJ572" s="6" t="s">
        <v>702</v>
      </c>
      <c r="AK572" s="6" t="str">
        <f t="shared" si="265"/>
        <v>=13.98*100000000</v>
      </c>
      <c r="AL572" s="1">
        <f>13.98*100000000</f>
        <v>1398000000</v>
      </c>
      <c r="AM572" s="8">
        <f t="shared" si="266"/>
        <v>8.0370942812983001E-2</v>
      </c>
      <c r="AN572" s="6" t="s">
        <v>913</v>
      </c>
      <c r="AO572" s="6" t="str">
        <f t="shared" si="267"/>
        <v>=12.94*100000000</v>
      </c>
      <c r="AP572" s="1">
        <f>12.94*100000000</f>
        <v>1294000000</v>
      </c>
      <c r="AQ572" s="8">
        <f t="shared" si="268"/>
        <v>0.26614481409001944</v>
      </c>
      <c r="AR572" s="6" t="s">
        <v>6851</v>
      </c>
      <c r="AS572" s="6" t="str">
        <f t="shared" si="269"/>
        <v>=10.22*100000000</v>
      </c>
      <c r="AT572" s="1">
        <f>10.22*100000000</f>
        <v>1022000000.0000001</v>
      </c>
      <c r="AU572" s="8">
        <f t="shared" si="270"/>
        <v>0.91206735266604322</v>
      </c>
      <c r="AV572" s="6" t="s">
        <v>3444</v>
      </c>
      <c r="AW572" s="6" t="str">
        <f t="shared" si="271"/>
        <v>=5.345*100000000</v>
      </c>
      <c r="AX572" s="1">
        <f>5.345*100000000</f>
        <v>534500000</v>
      </c>
      <c r="AY572" s="10">
        <f t="shared" si="272"/>
        <v>-0.55084033613445382</v>
      </c>
      <c r="AZ572" s="6" t="s">
        <v>6856</v>
      </c>
      <c r="BA572" s="6" t="str">
        <f t="shared" si="273"/>
        <v>=11.90*100000000</v>
      </c>
      <c r="BB572" s="1">
        <f>11.9*100000000</f>
        <v>1190000000</v>
      </c>
      <c r="BC572" s="8">
        <f t="shared" si="274"/>
        <v>2.0583190394511151E-2</v>
      </c>
      <c r="BD572" s="6" t="s">
        <v>6857</v>
      </c>
      <c r="BE572" s="6" t="str">
        <f t="shared" si="275"/>
        <v>=11.66*100000000</v>
      </c>
      <c r="BF572" s="1">
        <f>11.66*100000000</f>
        <v>1166000000</v>
      </c>
      <c r="BG572" s="8">
        <f t="shared" si="276"/>
        <v>0.68205424120023084</v>
      </c>
      <c r="BH572" s="6" t="s">
        <v>6858</v>
      </c>
      <c r="BI572" s="6" t="str">
        <f t="shared" si="277"/>
        <v>=6.932*100000000</v>
      </c>
      <c r="BJ572" s="1">
        <f>6.932*100000000</f>
        <v>693200000</v>
      </c>
      <c r="BK572" s="6" t="s">
        <v>6859</v>
      </c>
      <c r="BL572" s="1" t="str">
        <f t="shared" si="249"/>
        <v>=3.385*100000000</v>
      </c>
      <c r="BM572" s="16">
        <f t="shared" si="278"/>
        <v>1.0478581979320531</v>
      </c>
      <c r="BN572" s="1">
        <f>3.385*100000000</f>
        <v>338500000</v>
      </c>
    </row>
    <row r="573" spans="1:66">
      <c r="A573" s="19"/>
      <c r="B573">
        <v>600486</v>
      </c>
      <c r="C573" t="s">
        <v>68</v>
      </c>
      <c r="D573" s="6" t="s">
        <v>2742</v>
      </c>
      <c r="E573" s="7" t="str">
        <f t="shared" si="248"/>
        <v>=12.23*100000000</v>
      </c>
      <c r="F573" s="1">
        <f>12.23*100000000</f>
        <v>1223000000</v>
      </c>
      <c r="G573" s="8">
        <f t="shared" si="250"/>
        <v>0.20255653883972469</v>
      </c>
      <c r="H573" s="6" t="s">
        <v>6860</v>
      </c>
      <c r="I573" s="6" t="str">
        <f t="shared" si="251"/>
        <v>=10.17*100000000</v>
      </c>
      <c r="J573" s="1">
        <f>10.17*100000000</f>
        <v>1017000000</v>
      </c>
      <c r="K573" s="10">
        <f t="shared" si="252"/>
        <v>0.28311884935654807</v>
      </c>
      <c r="L573" s="6" t="s">
        <v>485</v>
      </c>
      <c r="M573" s="6" t="str">
        <f t="shared" si="253"/>
        <v>=7.926*100000000</v>
      </c>
      <c r="N573" s="1">
        <f>7.926*100000000</f>
        <v>792600000</v>
      </c>
      <c r="O573" s="8">
        <f t="shared" si="254"/>
        <v>0.77992364697956429</v>
      </c>
      <c r="P573" s="6" t="s">
        <v>6861</v>
      </c>
      <c r="Q573" s="6" t="str">
        <f t="shared" si="255"/>
        <v>=4.453*100000000</v>
      </c>
      <c r="R573" s="11">
        <f>4.453*100000000</f>
        <v>445300000</v>
      </c>
      <c r="S573" s="8">
        <f t="shared" si="256"/>
        <v>-0.63228736581337741</v>
      </c>
      <c r="T573" s="6" t="s">
        <v>2050</v>
      </c>
      <c r="U573" s="6" t="str">
        <f t="shared" si="257"/>
        <v>=12.11*100000000</v>
      </c>
      <c r="V573" s="1">
        <f>12.11*100000000</f>
        <v>1211000000</v>
      </c>
      <c r="W573" s="8">
        <f t="shared" si="258"/>
        <v>0.1826171875</v>
      </c>
      <c r="X573" s="6" t="s">
        <v>6314</v>
      </c>
      <c r="Y573" s="6" t="str">
        <f t="shared" si="259"/>
        <v>=10.24*100000000</v>
      </c>
      <c r="Z573" s="1">
        <f>10.24*100000000</f>
        <v>1024000000</v>
      </c>
      <c r="AA573" s="8">
        <f t="shared" si="260"/>
        <v>0.23731271145480909</v>
      </c>
      <c r="AB573" s="6" t="s">
        <v>6862</v>
      </c>
      <c r="AC573" s="6" t="str">
        <f t="shared" si="261"/>
        <v>=8.276*100000000</v>
      </c>
      <c r="AD573" s="1">
        <f>8.276*100000000</f>
        <v>827600000</v>
      </c>
      <c r="AE573" s="8">
        <f t="shared" si="262"/>
        <v>0.85311240483654271</v>
      </c>
      <c r="AF573" s="6" t="s">
        <v>6863</v>
      </c>
      <c r="AG573" s="6" t="str">
        <f t="shared" si="263"/>
        <v>=4.466*100000000</v>
      </c>
      <c r="AH573" s="1">
        <f>4.466*100000000</f>
        <v>446600000</v>
      </c>
      <c r="AI573" s="8">
        <f t="shared" si="264"/>
        <v>-0.61926683716965047</v>
      </c>
      <c r="AJ573" s="6" t="s">
        <v>6864</v>
      </c>
      <c r="AK573" s="6" t="str">
        <f t="shared" si="265"/>
        <v>=11.73*100000000</v>
      </c>
      <c r="AL573" s="1">
        <f>11.73*100000000</f>
        <v>1173000000</v>
      </c>
      <c r="AM573" s="8">
        <f t="shared" si="266"/>
        <v>9.4216417910447645E-2</v>
      </c>
      <c r="AN573" s="6" t="s">
        <v>4538</v>
      </c>
      <c r="AO573" s="6" t="str">
        <f t="shared" si="267"/>
        <v>=10.72*100000000</v>
      </c>
      <c r="AP573" s="1">
        <f>10.72*100000000</f>
        <v>1072000000.0000001</v>
      </c>
      <c r="AQ573" s="8">
        <f t="shared" si="268"/>
        <v>0.25703564727954986</v>
      </c>
      <c r="AR573" s="6" t="s">
        <v>6865</v>
      </c>
      <c r="AS573" s="6" t="str">
        <f t="shared" si="269"/>
        <v>=8.528*100000000</v>
      </c>
      <c r="AT573" s="1">
        <f>8.528*100000000</f>
        <v>852800000</v>
      </c>
      <c r="AU573" s="8">
        <f t="shared" si="270"/>
        <v>0.90868397493285591</v>
      </c>
      <c r="AV573" s="6" t="s">
        <v>6866</v>
      </c>
      <c r="AW573" s="6" t="str">
        <f t="shared" si="271"/>
        <v>=4.468*100000000</v>
      </c>
      <c r="AX573" s="1">
        <f>4.468*100000000</f>
        <v>446800000</v>
      </c>
      <c r="AY573" s="10">
        <f t="shared" si="272"/>
        <v>-0.56367187500000004</v>
      </c>
      <c r="AZ573" s="6" t="s">
        <v>6314</v>
      </c>
      <c r="BA573" s="6" t="str">
        <f t="shared" si="273"/>
        <v>=10.24*100000000</v>
      </c>
      <c r="BB573" s="1">
        <f>10.24*100000000</f>
        <v>1024000000</v>
      </c>
      <c r="BC573" s="8">
        <f t="shared" si="274"/>
        <v>5.425718109749833E-2</v>
      </c>
      <c r="BD573" s="6" t="s">
        <v>6867</v>
      </c>
      <c r="BE573" s="6" t="str">
        <f t="shared" si="275"/>
        <v>=9.713*100000000</v>
      </c>
      <c r="BF573" s="1">
        <f>9.713*100000000</f>
        <v>971299999.99999988</v>
      </c>
      <c r="BG573" s="8">
        <f t="shared" si="276"/>
        <v>0.64599220471106567</v>
      </c>
      <c r="BH573" s="6" t="s">
        <v>6868</v>
      </c>
      <c r="BI573" s="6" t="str">
        <f t="shared" si="277"/>
        <v>=5.901*100000000</v>
      </c>
      <c r="BJ573" s="1">
        <f>5.901*100000000</f>
        <v>590100000</v>
      </c>
      <c r="BK573" s="6" t="s">
        <v>6869</v>
      </c>
      <c r="BL573" s="1" t="str">
        <f t="shared" si="249"/>
        <v>=2.878*100000000</v>
      </c>
      <c r="BM573" s="16">
        <f t="shared" si="278"/>
        <v>1.0503822098679638</v>
      </c>
      <c r="BN573" s="1">
        <f>2.878*100000000</f>
        <v>287800000</v>
      </c>
    </row>
    <row r="574" spans="1:66">
      <c r="A574" s="17">
        <v>144</v>
      </c>
      <c r="B574">
        <v>600488</v>
      </c>
      <c r="C574" t="s">
        <v>31</v>
      </c>
      <c r="D574" s="6" t="s">
        <v>6870</v>
      </c>
      <c r="E574" s="7" t="str">
        <f t="shared" si="248"/>
        <v>=37.49*100000000</v>
      </c>
      <c r="F574" s="1">
        <f>37.49*100000000</f>
        <v>3749000000</v>
      </c>
      <c r="G574" s="8">
        <f t="shared" si="250"/>
        <v>0.41311722578213345</v>
      </c>
      <c r="H574" s="6" t="s">
        <v>6871</v>
      </c>
      <c r="I574" s="6" t="str">
        <f t="shared" si="251"/>
        <v>=26.53*100000000</v>
      </c>
      <c r="J574" s="1">
        <f>26.53*100000000</f>
        <v>2653000000</v>
      </c>
      <c r="K574" s="10">
        <f t="shared" si="252"/>
        <v>0.55875440658049358</v>
      </c>
      <c r="L574" s="6" t="s">
        <v>1806</v>
      </c>
      <c r="M574" s="6" t="str">
        <f t="shared" si="253"/>
        <v>=17.02*100000000</v>
      </c>
      <c r="N574" s="1">
        <f>17.02*100000000</f>
        <v>1702000000</v>
      </c>
      <c r="O574" s="8">
        <f t="shared" si="254"/>
        <v>1.0101570804299043</v>
      </c>
      <c r="P574" s="6" t="s">
        <v>6872</v>
      </c>
      <c r="Q574" s="6" t="str">
        <f t="shared" si="255"/>
        <v>=8.467*100000000</v>
      </c>
      <c r="R574" s="11">
        <f>8.467*100000000</f>
        <v>846700000</v>
      </c>
      <c r="S574" s="8">
        <f t="shared" si="256"/>
        <v>-0.72836060314404871</v>
      </c>
      <c r="T574" s="6" t="s">
        <v>88</v>
      </c>
      <c r="U574" s="6" t="str">
        <f t="shared" si="257"/>
        <v>=31.17*100000000</v>
      </c>
      <c r="V574" s="1">
        <f>31.17*100000000</f>
        <v>3117000000</v>
      </c>
      <c r="W574" s="8">
        <f t="shared" si="258"/>
        <v>0.31685678073510776</v>
      </c>
      <c r="X574" s="6" t="s">
        <v>3865</v>
      </c>
      <c r="Y574" s="6" t="str">
        <f t="shared" si="259"/>
        <v>=23.67*100000000</v>
      </c>
      <c r="Z574" s="1">
        <f>23.67*100000000</f>
        <v>2367000000</v>
      </c>
      <c r="AA574" s="8">
        <f t="shared" si="260"/>
        <v>0.46291718170580964</v>
      </c>
      <c r="AB574" s="6" t="s">
        <v>6873</v>
      </c>
      <c r="AC574" s="6" t="str">
        <f t="shared" si="261"/>
        <v>=16.18*100000000</v>
      </c>
      <c r="AD574" s="1">
        <f>16.18*100000000</f>
        <v>1618000000</v>
      </c>
      <c r="AE574" s="8">
        <f t="shared" si="262"/>
        <v>0.92504461629982182</v>
      </c>
      <c r="AF574" s="6" t="s">
        <v>6874</v>
      </c>
      <c r="AG574" s="6" t="str">
        <f t="shared" si="263"/>
        <v>=8.405*100000000</v>
      </c>
      <c r="AH574" s="1">
        <f>8.405*100000000</f>
        <v>840499999.99999988</v>
      </c>
      <c r="AI574" s="8">
        <f t="shared" si="264"/>
        <v>-0.74737000300571088</v>
      </c>
      <c r="AJ574" s="6" t="s">
        <v>1946</v>
      </c>
      <c r="AK574" s="6" t="str">
        <f t="shared" si="265"/>
        <v>=33.27*100000000</v>
      </c>
      <c r="AL574" s="1">
        <f>33.27*100000000</f>
        <v>3327000000.0000005</v>
      </c>
      <c r="AM574" s="8">
        <f t="shared" si="266"/>
        <v>0.23772321428571447</v>
      </c>
      <c r="AN574" s="6" t="s">
        <v>6875</v>
      </c>
      <c r="AO574" s="6" t="str">
        <f t="shared" si="267"/>
        <v>=26.88*100000000</v>
      </c>
      <c r="AP574" s="1">
        <f>26.88*100000000</f>
        <v>2688000000</v>
      </c>
      <c r="AQ574" s="8">
        <f t="shared" si="268"/>
        <v>0.4506206152185645</v>
      </c>
      <c r="AR574" s="6" t="s">
        <v>6876</v>
      </c>
      <c r="AS574" s="6" t="str">
        <f t="shared" si="269"/>
        <v>=18.53*100000000</v>
      </c>
      <c r="AT574" s="1">
        <f>18.53*100000000</f>
        <v>1853000000</v>
      </c>
      <c r="AU574" s="8">
        <f t="shared" si="270"/>
        <v>1.129395541254884</v>
      </c>
      <c r="AV574" s="6" t="s">
        <v>6877</v>
      </c>
      <c r="AW574" s="6" t="str">
        <f t="shared" si="271"/>
        <v>=8.702*100000000</v>
      </c>
      <c r="AX574" s="1">
        <f>8.702*100000000</f>
        <v>870200000</v>
      </c>
      <c r="AY574" s="10">
        <f t="shared" si="272"/>
        <v>-0.64145035022661723</v>
      </c>
      <c r="AZ574" s="6" t="s">
        <v>6878</v>
      </c>
      <c r="BA574" s="6" t="str">
        <f t="shared" si="273"/>
        <v>=24.27*100000000</v>
      </c>
      <c r="BB574" s="1">
        <f>24.27*100000000</f>
        <v>2427000000</v>
      </c>
      <c r="BC574" s="8">
        <f t="shared" si="274"/>
        <v>0.3013404825737267</v>
      </c>
      <c r="BD574" s="6" t="s">
        <v>6879</v>
      </c>
      <c r="BE574" s="6" t="str">
        <f t="shared" si="275"/>
        <v>=18.65*100000000</v>
      </c>
      <c r="BF574" s="1">
        <f>18.65*100000000</f>
        <v>1864999999.9999998</v>
      </c>
      <c r="BG574" s="8">
        <f t="shared" si="276"/>
        <v>0.43571978444957643</v>
      </c>
      <c r="BH574" s="6" t="s">
        <v>5040</v>
      </c>
      <c r="BI574" s="6" t="str">
        <f t="shared" si="277"/>
        <v>=12.99*100000000</v>
      </c>
      <c r="BJ574" s="1">
        <f>12.99*100000000</f>
        <v>1299000000</v>
      </c>
      <c r="BK574" s="6" t="s">
        <v>6880</v>
      </c>
      <c r="BL574" s="1" t="str">
        <f t="shared" si="249"/>
        <v>=6.277*100000000</v>
      </c>
      <c r="BM574" s="16">
        <f t="shared" si="278"/>
        <v>1.0694599330890553</v>
      </c>
      <c r="BN574" s="1">
        <f>6.277*100000000</f>
        <v>627700000</v>
      </c>
    </row>
    <row r="575" spans="1:66">
      <c r="A575" s="18"/>
      <c r="B575">
        <v>600488</v>
      </c>
      <c r="C575" t="s">
        <v>48</v>
      </c>
      <c r="D575" s="6" t="s">
        <v>3893</v>
      </c>
      <c r="E575" s="7" t="str">
        <f t="shared" si="248"/>
        <v>=1.458*100000000</v>
      </c>
      <c r="F575" s="1">
        <f>1.458*100000000</f>
        <v>145800000</v>
      </c>
      <c r="G575" s="8">
        <f t="shared" si="250"/>
        <v>0.20396366639141192</v>
      </c>
      <c r="H575" s="6" t="s">
        <v>261</v>
      </c>
      <c r="I575" s="6" t="str">
        <f t="shared" si="251"/>
        <v>=1.211*100000000</v>
      </c>
      <c r="J575" s="1">
        <f>1.211*100000000</f>
        <v>121100000.00000001</v>
      </c>
      <c r="K575" s="10">
        <f t="shared" si="252"/>
        <v>0.20858283433133748</v>
      </c>
      <c r="L575" s="6" t="s">
        <v>2523</v>
      </c>
      <c r="M575" s="6" t="str">
        <f t="shared" si="253"/>
        <v>=1.002*100000000</v>
      </c>
      <c r="N575" s="1">
        <f>1.002*100000000</f>
        <v>100200000</v>
      </c>
      <c r="O575" s="8">
        <f t="shared" si="254"/>
        <v>0.5874524714828897</v>
      </c>
      <c r="P575" s="7" t="s">
        <v>6881</v>
      </c>
      <c r="Q575" s="6" t="str">
        <f t="shared" si="255"/>
        <v>=6312*10000</v>
      </c>
      <c r="R575" s="11">
        <f>6312*10000</f>
        <v>63120000</v>
      </c>
      <c r="S575" s="8">
        <f t="shared" si="256"/>
        <v>-0.52326283987915412</v>
      </c>
      <c r="T575" s="6" t="s">
        <v>6882</v>
      </c>
      <c r="U575" s="6" t="str">
        <f t="shared" si="257"/>
        <v>=1.324*100000000</v>
      </c>
      <c r="V575" s="1">
        <f>1.324*100000000</f>
        <v>132400000</v>
      </c>
      <c r="W575" s="8">
        <f t="shared" si="258"/>
        <v>-0.16361339229311433</v>
      </c>
      <c r="X575" s="6" t="s">
        <v>6280</v>
      </c>
      <c r="Y575" s="6" t="str">
        <f t="shared" si="259"/>
        <v>=1.583*100000000</v>
      </c>
      <c r="Z575" s="1">
        <f>1.583*100000000</f>
        <v>158300000</v>
      </c>
      <c r="AA575" s="8">
        <f t="shared" si="260"/>
        <v>0.198334595003785</v>
      </c>
      <c r="AB575" s="6" t="s">
        <v>6883</v>
      </c>
      <c r="AC575" s="6" t="str">
        <f t="shared" si="261"/>
        <v>=1.321*100000000</v>
      </c>
      <c r="AD575" s="1">
        <f>1.321*100000000</f>
        <v>132100000</v>
      </c>
      <c r="AE575" s="8">
        <f t="shared" si="262"/>
        <v>1.0401544401544403</v>
      </c>
      <c r="AF575" s="7" t="s">
        <v>5704</v>
      </c>
      <c r="AG575" s="6" t="str">
        <f t="shared" si="263"/>
        <v>=6475*10000</v>
      </c>
      <c r="AH575" s="1">
        <f>6475*10000</f>
        <v>64750000</v>
      </c>
      <c r="AI575" s="8">
        <f t="shared" si="264"/>
        <v>-0.76932668329177056</v>
      </c>
      <c r="AJ575" s="6" t="s">
        <v>2865</v>
      </c>
      <c r="AK575" s="6" t="str">
        <f t="shared" si="265"/>
        <v>=2.807*100000000</v>
      </c>
      <c r="AL575" s="1">
        <f>2.807*100000000</f>
        <v>280700000</v>
      </c>
      <c r="AM575" s="8">
        <f t="shared" si="266"/>
        <v>0.25312499999999982</v>
      </c>
      <c r="AN575" s="6" t="s">
        <v>6884</v>
      </c>
      <c r="AO575" s="6" t="str">
        <f t="shared" si="267"/>
        <v>=2.240*100000000</v>
      </c>
      <c r="AP575" s="1">
        <f>2.24*100000000</f>
        <v>224000000.00000003</v>
      </c>
      <c r="AQ575" s="8">
        <f t="shared" si="268"/>
        <v>0.64343360234776248</v>
      </c>
      <c r="AR575" s="6" t="s">
        <v>6885</v>
      </c>
      <c r="AS575" s="6" t="str">
        <f t="shared" si="269"/>
        <v>=1.363*100000000</v>
      </c>
      <c r="AT575" s="1">
        <f>1.363*100000000</f>
        <v>136300000</v>
      </c>
      <c r="AU575" s="8">
        <f t="shared" si="270"/>
        <v>1.3431321987278666</v>
      </c>
      <c r="AV575" s="7" t="s">
        <v>5468</v>
      </c>
      <c r="AW575" s="6" t="str">
        <f t="shared" si="271"/>
        <v>=5817*10000</v>
      </c>
      <c r="AX575" s="1">
        <f>5817*10000</f>
        <v>58170000</v>
      </c>
      <c r="AY575" s="10">
        <f t="shared" si="272"/>
        <v>-0.73809095002251235</v>
      </c>
      <c r="AZ575" s="6" t="s">
        <v>6886</v>
      </c>
      <c r="BA575" s="6" t="str">
        <f t="shared" si="273"/>
        <v>=2.221*100000000</v>
      </c>
      <c r="BB575" s="1">
        <f>2.221*100000000</f>
        <v>222100000</v>
      </c>
      <c r="BC575" s="8">
        <f t="shared" si="274"/>
        <v>0.35592185592185593</v>
      </c>
      <c r="BD575" s="6" t="s">
        <v>6887</v>
      </c>
      <c r="BE575" s="6" t="str">
        <f t="shared" si="275"/>
        <v>=1.638*100000000</v>
      </c>
      <c r="BF575" s="1">
        <f>1.638*100000000</f>
        <v>163800000</v>
      </c>
      <c r="BG575" s="8">
        <f t="shared" si="276"/>
        <v>0.50967741935483868</v>
      </c>
      <c r="BH575" s="6" t="s">
        <v>1995</v>
      </c>
      <c r="BI575" s="6" t="str">
        <f t="shared" si="277"/>
        <v>=1.085*100000000</v>
      </c>
      <c r="BJ575" s="1">
        <f>1.085*100000000</f>
        <v>108500000</v>
      </c>
      <c r="BK575" s="7" t="s">
        <v>6888</v>
      </c>
      <c r="BL575" s="1" t="str">
        <f t="shared" si="249"/>
        <v>=4547*10000</v>
      </c>
      <c r="BM575" s="16">
        <f t="shared" si="278"/>
        <v>1.3861886958434133</v>
      </c>
      <c r="BN575" s="1">
        <f>4547*10000</f>
        <v>45470000</v>
      </c>
    </row>
    <row r="576" spans="1:66">
      <c r="A576" s="18"/>
      <c r="B576">
        <v>600488</v>
      </c>
      <c r="C576" t="s">
        <v>58</v>
      </c>
      <c r="D576" s="6" t="s">
        <v>6889</v>
      </c>
      <c r="E576" s="7" t="str">
        <f t="shared" si="248"/>
        <v>=1.491*100000000</v>
      </c>
      <c r="F576" s="1">
        <f>1.491*100000000</f>
        <v>149100000</v>
      </c>
      <c r="G576" s="8">
        <f t="shared" si="250"/>
        <v>0.17958860759493672</v>
      </c>
      <c r="H576" s="6" t="s">
        <v>6275</v>
      </c>
      <c r="I576" s="6" t="str">
        <f t="shared" si="251"/>
        <v>=1.264*100000000</v>
      </c>
      <c r="J576" s="1">
        <f>1.264*100000000</f>
        <v>126400000</v>
      </c>
      <c r="K576" s="10">
        <f t="shared" si="252"/>
        <v>0.19696969696969696</v>
      </c>
      <c r="L576" s="6" t="s">
        <v>2864</v>
      </c>
      <c r="M576" s="6" t="str">
        <f t="shared" si="253"/>
        <v>=1.056*100000000</v>
      </c>
      <c r="N576" s="1">
        <f>1.056*100000000</f>
        <v>105600000</v>
      </c>
      <c r="O576" s="8">
        <f t="shared" si="254"/>
        <v>0.67115049849659758</v>
      </c>
      <c r="P576" s="7" t="s">
        <v>6890</v>
      </c>
      <c r="Q576" s="6" t="str">
        <f t="shared" si="255"/>
        <v>=6319*10000</v>
      </c>
      <c r="R576" s="11">
        <f>6319*10000</f>
        <v>63190000</v>
      </c>
      <c r="S576" s="8">
        <f t="shared" si="256"/>
        <v>-0.43781138790035595</v>
      </c>
      <c r="T576" s="6" t="s">
        <v>6891</v>
      </c>
      <c r="U576" s="6" t="str">
        <f t="shared" si="257"/>
        <v>=1.124*100000000</v>
      </c>
      <c r="V576" s="1">
        <f>1.124*100000000</f>
        <v>112400000.00000001</v>
      </c>
      <c r="W576" s="8">
        <f t="shared" si="258"/>
        <v>-0.29529780564263314</v>
      </c>
      <c r="X576" s="6" t="s">
        <v>6129</v>
      </c>
      <c r="Y576" s="6" t="str">
        <f t="shared" si="259"/>
        <v>=1.595*100000000</v>
      </c>
      <c r="Z576" s="1">
        <f>1.595*100000000</f>
        <v>159500000</v>
      </c>
      <c r="AA576" s="8">
        <f t="shared" si="260"/>
        <v>0.19834710743801653</v>
      </c>
      <c r="AB576" s="6" t="s">
        <v>6892</v>
      </c>
      <c r="AC576" s="6" t="str">
        <f t="shared" si="261"/>
        <v>=1.331*100000000</v>
      </c>
      <c r="AD576" s="1">
        <f>1.331*100000000</f>
        <v>133100000</v>
      </c>
      <c r="AE576" s="8">
        <f t="shared" si="262"/>
        <v>1.0398467432950191</v>
      </c>
      <c r="AF576" s="7" t="s">
        <v>6893</v>
      </c>
      <c r="AG576" s="6" t="str">
        <f t="shared" si="263"/>
        <v>=6525*10000</v>
      </c>
      <c r="AH576" s="1">
        <f>6525*10000</f>
        <v>65250000</v>
      </c>
      <c r="AI576" s="8">
        <f t="shared" si="264"/>
        <v>-0.77500000000000002</v>
      </c>
      <c r="AJ576" s="6" t="s">
        <v>6894</v>
      </c>
      <c r="AK576" s="6" t="str">
        <f t="shared" si="265"/>
        <v>=2.900*100000000</v>
      </c>
      <c r="AL576" s="1">
        <f>2.9*100000000</f>
        <v>290000000</v>
      </c>
      <c r="AM576" s="8">
        <f t="shared" si="266"/>
        <v>0.23931623931623933</v>
      </c>
      <c r="AN576" s="6" t="s">
        <v>5435</v>
      </c>
      <c r="AO576" s="6" t="str">
        <f t="shared" si="267"/>
        <v>=2.340*100000000</v>
      </c>
      <c r="AP576" s="1">
        <f>2.34*100000000</f>
        <v>234000000</v>
      </c>
      <c r="AQ576" s="8">
        <f t="shared" si="268"/>
        <v>0.6071428571428571</v>
      </c>
      <c r="AR576" s="6" t="s">
        <v>3879</v>
      </c>
      <c r="AS576" s="6" t="str">
        <f t="shared" si="269"/>
        <v>=1.456*100000000</v>
      </c>
      <c r="AT576" s="1">
        <f>1.456*100000000</f>
        <v>145600000</v>
      </c>
      <c r="AU576" s="8">
        <f t="shared" si="270"/>
        <v>1.4991417782354961</v>
      </c>
      <c r="AV576" s="7" t="s">
        <v>6895</v>
      </c>
      <c r="AW576" s="6" t="str">
        <f t="shared" si="271"/>
        <v>=5826*10000</v>
      </c>
      <c r="AX576" s="1">
        <f>5826*10000</f>
        <v>58260000</v>
      </c>
      <c r="AY576" s="10">
        <f t="shared" si="272"/>
        <v>-0.73506139154160977</v>
      </c>
      <c r="AZ576" s="6" t="s">
        <v>6803</v>
      </c>
      <c r="BA576" s="6" t="str">
        <f t="shared" si="273"/>
        <v>=2.199*100000000</v>
      </c>
      <c r="BB576" s="1">
        <f>2.199*100000000</f>
        <v>219899999.99999997</v>
      </c>
      <c r="BC576" s="8">
        <f t="shared" si="274"/>
        <v>0.34742647058823511</v>
      </c>
      <c r="BD576" s="6" t="s">
        <v>5679</v>
      </c>
      <c r="BE576" s="6" t="str">
        <f t="shared" si="275"/>
        <v>=1.632*100000000</v>
      </c>
      <c r="BF576" s="1">
        <f>1.632*100000000</f>
        <v>163200000</v>
      </c>
      <c r="BG576" s="8">
        <f t="shared" si="276"/>
        <v>0.50553505535055332</v>
      </c>
      <c r="BH576" s="6" t="s">
        <v>2094</v>
      </c>
      <c r="BI576" s="6" t="str">
        <f t="shared" si="277"/>
        <v>=1.084*100000000</v>
      </c>
      <c r="BJ576" s="1">
        <f>1.084*100000000</f>
        <v>108400000.00000001</v>
      </c>
      <c r="BK576" s="7" t="s">
        <v>4448</v>
      </c>
      <c r="BL576" s="1" t="str">
        <f t="shared" si="249"/>
        <v>=4523*10000</v>
      </c>
      <c r="BM576" s="16">
        <f t="shared" si="278"/>
        <v>1.3966393986292287</v>
      </c>
      <c r="BN576" s="1">
        <f>4523*10000</f>
        <v>45230000</v>
      </c>
    </row>
    <row r="577" spans="1:66">
      <c r="A577" s="19"/>
      <c r="B577">
        <v>600488</v>
      </c>
      <c r="C577" t="s">
        <v>68</v>
      </c>
      <c r="D577" s="6" t="s">
        <v>4290</v>
      </c>
      <c r="E577" s="7" t="str">
        <f t="shared" si="248"/>
        <v>=1.087*100000000</v>
      </c>
      <c r="F577" s="1">
        <f>1.087*100000000</f>
        <v>108700000</v>
      </c>
      <c r="G577" s="8">
        <f t="shared" si="250"/>
        <v>-1.0919017288444041E-2</v>
      </c>
      <c r="H577" s="6" t="s">
        <v>3516</v>
      </c>
      <c r="I577" s="6" t="str">
        <f t="shared" si="251"/>
        <v>=1.099*100000000</v>
      </c>
      <c r="J577" s="1">
        <f>1.099*100000000</f>
        <v>109900000</v>
      </c>
      <c r="K577" s="10">
        <f t="shared" si="252"/>
        <v>0.20227546220326004</v>
      </c>
      <c r="L577" s="7" t="s">
        <v>6896</v>
      </c>
      <c r="M577" s="6" t="str">
        <f t="shared" si="253"/>
        <v>=9141*10000</v>
      </c>
      <c r="N577" s="1">
        <f>9141*10000</f>
        <v>91410000</v>
      </c>
      <c r="O577" s="8">
        <f t="shared" si="254"/>
        <v>0.78048305414881181</v>
      </c>
      <c r="P577" s="7" t="s">
        <v>6897</v>
      </c>
      <c r="Q577" s="6" t="str">
        <f t="shared" si="255"/>
        <v>=5134*10000</v>
      </c>
      <c r="R577" s="11">
        <f>5134*10000</f>
        <v>51340000</v>
      </c>
      <c r="S577" s="8">
        <f t="shared" si="256"/>
        <v>-0.3628691983122363</v>
      </c>
      <c r="T577" s="7" t="s">
        <v>6898</v>
      </c>
      <c r="U577" s="6" t="str">
        <f t="shared" si="257"/>
        <v>=8058*10000</v>
      </c>
      <c r="V577" s="1">
        <f>8058*10000</f>
        <v>80580000</v>
      </c>
      <c r="W577" s="8">
        <f t="shared" si="258"/>
        <v>-0.3820552147239264</v>
      </c>
      <c r="X577" s="6" t="s">
        <v>6899</v>
      </c>
      <c r="Y577" s="6" t="str">
        <f t="shared" si="259"/>
        <v>=1.304*100000000</v>
      </c>
      <c r="Z577" s="1">
        <f>1.304*100000000</f>
        <v>130400000</v>
      </c>
      <c r="AA577" s="8">
        <f t="shared" si="260"/>
        <v>0.19523373052245646</v>
      </c>
      <c r="AB577" s="6" t="s">
        <v>6900</v>
      </c>
      <c r="AC577" s="6" t="str">
        <f t="shared" si="261"/>
        <v>=1.091*100000000</v>
      </c>
      <c r="AD577" s="1">
        <f>1.091*100000000</f>
        <v>109100000</v>
      </c>
      <c r="AE577" s="8">
        <f t="shared" si="262"/>
        <v>0.92994869980541306</v>
      </c>
      <c r="AF577" s="7" t="s">
        <v>6901</v>
      </c>
      <c r="AG577" s="6" t="str">
        <f t="shared" si="263"/>
        <v>=5653*10000</v>
      </c>
      <c r="AH577" s="1">
        <f>5653*10000</f>
        <v>56530000</v>
      </c>
      <c r="AI577" s="8">
        <f t="shared" si="264"/>
        <v>-0.73547028544688819</v>
      </c>
      <c r="AJ577" s="6" t="s">
        <v>6902</v>
      </c>
      <c r="AK577" s="6" t="str">
        <f t="shared" si="265"/>
        <v>=2.137*100000000</v>
      </c>
      <c r="AL577" s="1">
        <f>2.137*100000000</f>
        <v>213700000</v>
      </c>
      <c r="AM577" s="8">
        <f t="shared" si="266"/>
        <v>0.31588669950738918</v>
      </c>
      <c r="AN577" s="6" t="s">
        <v>2541</v>
      </c>
      <c r="AO577" s="6" t="str">
        <f t="shared" si="267"/>
        <v>=1.624*100000000</v>
      </c>
      <c r="AP577" s="1">
        <f>1.624*100000000</f>
        <v>162400000</v>
      </c>
      <c r="AQ577" s="8">
        <f t="shared" si="268"/>
        <v>0.25599381283836042</v>
      </c>
      <c r="AR577" s="6" t="s">
        <v>2013</v>
      </c>
      <c r="AS577" s="6" t="str">
        <f t="shared" si="269"/>
        <v>=1.293*100000000</v>
      </c>
      <c r="AT577" s="1">
        <f>1.293*100000000</f>
        <v>129300000</v>
      </c>
      <c r="AU577" s="8">
        <f t="shared" si="270"/>
        <v>1.6259138911454103</v>
      </c>
      <c r="AV577" s="7" t="s">
        <v>6903</v>
      </c>
      <c r="AW577" s="6" t="str">
        <f t="shared" si="271"/>
        <v>=4924*10000</v>
      </c>
      <c r="AX577" s="1">
        <f>4924*10000</f>
        <v>49240000</v>
      </c>
      <c r="AY577" s="10">
        <f t="shared" si="272"/>
        <v>-0.73569511540526034</v>
      </c>
      <c r="AZ577" s="6" t="s">
        <v>2904</v>
      </c>
      <c r="BA577" s="6" t="str">
        <f t="shared" si="273"/>
        <v>=1.863*100000000</v>
      </c>
      <c r="BB577" s="1">
        <f>1.863*100000000</f>
        <v>186300000</v>
      </c>
      <c r="BC577" s="8">
        <f t="shared" si="274"/>
        <v>0.32503556187766713</v>
      </c>
      <c r="BD577" s="6" t="s">
        <v>2225</v>
      </c>
      <c r="BE577" s="6" t="str">
        <f t="shared" si="275"/>
        <v>=1.406*100000000</v>
      </c>
      <c r="BF577" s="1">
        <f>1.406*100000000</f>
        <v>140600000</v>
      </c>
      <c r="BG577" s="8">
        <f t="shared" si="276"/>
        <v>0.48625792811839325</v>
      </c>
      <c r="BH577" s="7" t="s">
        <v>6904</v>
      </c>
      <c r="BI577" s="6" t="str">
        <f t="shared" si="277"/>
        <v>=9460*10000</v>
      </c>
      <c r="BJ577" s="1">
        <f>9460*10000</f>
        <v>94600000</v>
      </c>
      <c r="BK577" s="7" t="s">
        <v>5975</v>
      </c>
      <c r="BL577" s="1" t="str">
        <f t="shared" si="249"/>
        <v>=3847*10000</v>
      </c>
      <c r="BM577" s="16">
        <f t="shared" si="278"/>
        <v>1.4590590070184559</v>
      </c>
      <c r="BN577" s="1">
        <f>3847*10000</f>
        <v>38470000</v>
      </c>
    </row>
    <row r="578" spans="1:66">
      <c r="A578" s="17">
        <v>145</v>
      </c>
      <c r="B578">
        <v>600495</v>
      </c>
      <c r="C578" t="s">
        <v>31</v>
      </c>
      <c r="D578" s="6" t="s">
        <v>1127</v>
      </c>
      <c r="E578" s="7" t="str">
        <f t="shared" ref="E578:E641" si="279">"="&amp;D578</f>
        <v>=12.07*100000000</v>
      </c>
      <c r="F578" s="1">
        <f>12.07*100000000</f>
        <v>1207000000</v>
      </c>
      <c r="G578" s="8">
        <f t="shared" si="250"/>
        <v>1.8541026247339796</v>
      </c>
      <c r="H578" s="6" t="s">
        <v>6905</v>
      </c>
      <c r="I578" s="6" t="str">
        <f t="shared" si="251"/>
        <v>=4.229*100000000</v>
      </c>
      <c r="J578" s="1">
        <f>4.229*100000000</f>
        <v>422900000</v>
      </c>
      <c r="K578" s="10">
        <f t="shared" si="252"/>
        <v>0.46942321056289088</v>
      </c>
      <c r="L578" s="6" t="s">
        <v>6869</v>
      </c>
      <c r="M578" s="6" t="str">
        <f t="shared" si="253"/>
        <v>=2.878*100000000</v>
      </c>
      <c r="N578" s="1">
        <f>2.878*100000000</f>
        <v>287800000</v>
      </c>
      <c r="O578" s="8">
        <f t="shared" si="254"/>
        <v>1.220679012345679</v>
      </c>
      <c r="P578" s="6" t="s">
        <v>1985</v>
      </c>
      <c r="Q578" s="6" t="str">
        <f t="shared" si="255"/>
        <v>=1.296*100000000</v>
      </c>
      <c r="R578" s="11">
        <f>1.296*100000000</f>
        <v>129600000</v>
      </c>
      <c r="S578" s="8">
        <f t="shared" si="256"/>
        <v>-0.88631578947368417</v>
      </c>
      <c r="T578" s="6" t="s">
        <v>6906</v>
      </c>
      <c r="U578" s="6" t="str">
        <f t="shared" si="257"/>
        <v>=11.40*100000000</v>
      </c>
      <c r="V578" s="1">
        <f>11.4*100000000</f>
        <v>1140000000</v>
      </c>
      <c r="W578" s="8">
        <f t="shared" si="258"/>
        <v>0.4617258622900372</v>
      </c>
      <c r="X578" s="6" t="s">
        <v>6907</v>
      </c>
      <c r="Y578" s="6" t="str">
        <f t="shared" si="259"/>
        <v>=7.799*100000000</v>
      </c>
      <c r="Z578" s="1">
        <f>7.799*100000000</f>
        <v>779900000</v>
      </c>
      <c r="AA578" s="8">
        <f t="shared" si="260"/>
        <v>0.81794871794871793</v>
      </c>
      <c r="AB578" s="6" t="s">
        <v>6908</v>
      </c>
      <c r="AC578" s="6" t="str">
        <f t="shared" si="261"/>
        <v>=4.290*100000000</v>
      </c>
      <c r="AD578" s="1">
        <f>4.29*100000000</f>
        <v>429000000</v>
      </c>
      <c r="AE578" s="8">
        <f t="shared" si="262"/>
        <v>5.9960861056751469</v>
      </c>
      <c r="AF578" s="7" t="s">
        <v>6909</v>
      </c>
      <c r="AG578" s="6" t="str">
        <f t="shared" si="263"/>
        <v>=6132*10000</v>
      </c>
      <c r="AH578" s="1">
        <f>6132*10000</f>
        <v>61320000</v>
      </c>
      <c r="AI578" s="8">
        <f t="shared" si="264"/>
        <v>-0.9573574408901252</v>
      </c>
      <c r="AJ578" s="6" t="s">
        <v>1431</v>
      </c>
      <c r="AK578" s="6" t="str">
        <f t="shared" si="265"/>
        <v>=14.38*100000000</v>
      </c>
      <c r="AL578" s="1">
        <f>14.38*100000000</f>
        <v>1438000000</v>
      </c>
      <c r="AM578" s="8">
        <f t="shared" si="266"/>
        <v>0.59317527143806781</v>
      </c>
      <c r="AN578" s="6" t="s">
        <v>6910</v>
      </c>
      <c r="AO578" s="6" t="str">
        <f t="shared" si="267"/>
        <v>=9.026*100000000</v>
      </c>
      <c r="AP578" s="1">
        <f>9.026*100000000</f>
        <v>902600000</v>
      </c>
      <c r="AQ578" s="8">
        <f t="shared" si="268"/>
        <v>0.79800796812749031</v>
      </c>
      <c r="AR578" s="6" t="s">
        <v>1236</v>
      </c>
      <c r="AS578" s="6" t="str">
        <f t="shared" si="269"/>
        <v>=5.020*100000000</v>
      </c>
      <c r="AT578" s="1">
        <f>5.02*100000000</f>
        <v>501999999.99999994</v>
      </c>
      <c r="AU578" s="8">
        <f t="shared" si="270"/>
        <v>0.64644145621515237</v>
      </c>
      <c r="AV578" s="6" t="s">
        <v>4868</v>
      </c>
      <c r="AW578" s="6" t="str">
        <f t="shared" si="271"/>
        <v>=3.049*100000000</v>
      </c>
      <c r="AX578" s="1">
        <f>3.049*100000000</f>
        <v>304900000</v>
      </c>
      <c r="AY578" s="10">
        <f t="shared" si="272"/>
        <v>-0.77825454545454542</v>
      </c>
      <c r="AZ578" s="6" t="s">
        <v>6911</v>
      </c>
      <c r="BA578" s="6" t="str">
        <f t="shared" si="273"/>
        <v>=13.75*100000000</v>
      </c>
      <c r="BB578" s="1">
        <f>13.75*100000000</f>
        <v>1375000000</v>
      </c>
      <c r="BC578" s="8">
        <f t="shared" si="274"/>
        <v>0.5081715476582207</v>
      </c>
      <c r="BD578" s="6" t="s">
        <v>6912</v>
      </c>
      <c r="BE578" s="6" t="str">
        <f t="shared" si="275"/>
        <v>=9.117*100000000</v>
      </c>
      <c r="BF578" s="1">
        <f>9.117*100000000</f>
        <v>911700000.00000012</v>
      </c>
      <c r="BG578" s="8">
        <f t="shared" si="276"/>
        <v>0.65222906850308104</v>
      </c>
      <c r="BH578" s="6" t="s">
        <v>6913</v>
      </c>
      <c r="BI578" s="6" t="str">
        <f t="shared" si="277"/>
        <v>=5.518*100000000</v>
      </c>
      <c r="BJ578" s="1">
        <f>5.518*100000000</f>
        <v>551800000</v>
      </c>
      <c r="BK578" s="6" t="s">
        <v>6914</v>
      </c>
      <c r="BL578" s="1" t="str">
        <f t="shared" ref="BL578:BL641" si="280">"="&amp;BK578</f>
        <v>=1.140*100000000</v>
      </c>
      <c r="BM578" s="16">
        <f t="shared" si="278"/>
        <v>3.8403508771929831</v>
      </c>
      <c r="BN578" s="1">
        <f>1.14*100000000</f>
        <v>113999999.99999999</v>
      </c>
    </row>
    <row r="579" spans="1:66">
      <c r="A579" s="18"/>
      <c r="B579">
        <v>600495</v>
      </c>
      <c r="C579" t="s">
        <v>48</v>
      </c>
      <c r="D579" s="7">
        <f>-92.44*10000</f>
        <v>-924400</v>
      </c>
      <c r="E579" s="7" t="str">
        <f t="shared" si="279"/>
        <v>=-924400</v>
      </c>
      <c r="F579" s="1">
        <f>-924400</f>
        <v>-924400</v>
      </c>
      <c r="G579" s="8">
        <f t="shared" ref="G579:G642" si="281">(F579-J579)/J579</f>
        <v>-0.98964721693358715</v>
      </c>
      <c r="H579" s="7">
        <f>-8929*10000</f>
        <v>-89290000</v>
      </c>
      <c r="I579" s="6" t="str">
        <f t="shared" ref="I579:I638" si="282">"="&amp;H579</f>
        <v>=-89290000</v>
      </c>
      <c r="J579" s="1">
        <f>-89290000</f>
        <v>-89290000</v>
      </c>
      <c r="K579" s="10">
        <f t="shared" ref="K579:K642" si="283">(J579-N579)/N579</f>
        <v>0.57951530160976472</v>
      </c>
      <c r="L579" s="7">
        <f>-5653*10000</f>
        <v>-56530000</v>
      </c>
      <c r="M579" s="6" t="str">
        <f t="shared" ref="M579:M638" si="284">"="&amp;L579</f>
        <v>=-56530000</v>
      </c>
      <c r="N579" s="1">
        <f>-56530000</f>
        <v>-56530000</v>
      </c>
      <c r="O579" s="8">
        <f t="shared" ref="O579:O642" si="285">(N579-R579)/R579</f>
        <v>0.64188207958176013</v>
      </c>
      <c r="P579" s="7">
        <f>-3443*10000</f>
        <v>-34430000</v>
      </c>
      <c r="Q579" s="6" t="str">
        <f t="shared" ref="Q579:Q638" si="286">"="&amp;P579</f>
        <v>=-34430000</v>
      </c>
      <c r="R579" s="11">
        <f>-34430000</f>
        <v>-34430000</v>
      </c>
      <c r="S579" s="8">
        <f t="shared" ref="S579:S642" si="287">(R579-V579)/V579</f>
        <v>-2.318147013782542</v>
      </c>
      <c r="T579" s="7" t="s">
        <v>6915</v>
      </c>
      <c r="U579" s="6" t="str">
        <f t="shared" ref="U579:U638" si="288">"="&amp;T579</f>
        <v>=2612*10000</v>
      </c>
      <c r="V579" s="1">
        <f>2612*10000</f>
        <v>26120000</v>
      </c>
      <c r="W579" s="8">
        <f t="shared" ref="W579:W642" si="289">(V579-Z579)/Z579</f>
        <v>-0.23221634332745444</v>
      </c>
      <c r="X579" s="7" t="s">
        <v>6916</v>
      </c>
      <c r="Y579" s="6" t="str">
        <f t="shared" ref="Y579:Y638" si="290">"="&amp;X579</f>
        <v>=3402*10000</v>
      </c>
      <c r="Z579" s="1">
        <f>3402*10000</f>
        <v>34020000</v>
      </c>
      <c r="AA579" s="8">
        <f t="shared" ref="AA579:AA642" si="291">(Z579-AD579)/AD579</f>
        <v>-5.0288962576977738</v>
      </c>
      <c r="AB579" s="7">
        <f>-844.4*10000</f>
        <v>-8444000</v>
      </c>
      <c r="AC579" s="6" t="str">
        <f t="shared" ref="AC579:AC638" si="292">"="&amp;AB579</f>
        <v>=-8444000</v>
      </c>
      <c r="AD579" s="1">
        <f>-8444000</f>
        <v>-8444000</v>
      </c>
      <c r="AE579" s="8">
        <f t="shared" ref="AE579:AE642" si="293">(AD579-AH579)/AH579</f>
        <v>-0.71131623931623933</v>
      </c>
      <c r="AF579" s="7">
        <f>-2925*10000</f>
        <v>-29250000</v>
      </c>
      <c r="AG579" s="6" t="str">
        <f t="shared" ref="AG579:AG638" si="294">"="&amp;AF579</f>
        <v>=-29250000</v>
      </c>
      <c r="AH579" s="1">
        <f>-29250000</f>
        <v>-29250000</v>
      </c>
      <c r="AI579" s="8">
        <f t="shared" ref="AI579:AI642" si="295">(AH579-AL579)/AL579</f>
        <v>-1.4173801369863013</v>
      </c>
      <c r="AJ579" s="7" t="s">
        <v>6917</v>
      </c>
      <c r="AK579" s="6" t="str">
        <f t="shared" ref="AK579:AK638" si="296">"="&amp;AJ579</f>
        <v>=7008*10000</v>
      </c>
      <c r="AL579" s="1">
        <f>7008*10000</f>
        <v>70080000</v>
      </c>
      <c r="AM579" s="8">
        <f t="shared" ref="AM579:AM642" si="297">(AL579-AP579)/AP579</f>
        <v>0.19713016740690126</v>
      </c>
      <c r="AN579" s="7" t="s">
        <v>6918</v>
      </c>
      <c r="AO579" s="6" t="str">
        <f t="shared" ref="AO579:AO638" si="298">"="&amp;AN579</f>
        <v>=5854*10000</v>
      </c>
      <c r="AP579" s="1">
        <f>5854*10000</f>
        <v>58540000</v>
      </c>
      <c r="AQ579" s="8">
        <f t="shared" ref="AQ579:AQ642" si="299">(AP579-AT579)/AT579</f>
        <v>2.1088688263409452</v>
      </c>
      <c r="AR579" s="7" t="s">
        <v>6919</v>
      </c>
      <c r="AS579" s="6" t="str">
        <f t="shared" ref="AS579:AS638" si="300">"="&amp;AR579</f>
        <v>=1883*10000</v>
      </c>
      <c r="AT579" s="1">
        <f>1883*10000</f>
        <v>18830000</v>
      </c>
      <c r="AU579" s="8">
        <f t="shared" ref="AU579:AU642" si="301">(AT579-AX579)/AX579</f>
        <v>1.1414761742295008</v>
      </c>
      <c r="AV579" s="7" t="s">
        <v>6920</v>
      </c>
      <c r="AW579" s="6" t="str">
        <f t="shared" ref="AW579:AW638" si="302">"="&amp;AV579</f>
        <v>=879.3*10000</v>
      </c>
      <c r="AX579" s="1">
        <f>879.3*10000</f>
        <v>8793000</v>
      </c>
      <c r="AY579" s="10">
        <f t="shared" ref="AY579:AY642" si="303">(AX579-BB579)/BB579</f>
        <v>-0.83622648537902777</v>
      </c>
      <c r="AZ579" s="7" t="s">
        <v>6921</v>
      </c>
      <c r="BA579" s="6" t="str">
        <f t="shared" ref="BA579:BA638" si="304">"="&amp;AZ579</f>
        <v>=5369*10000</v>
      </c>
      <c r="BB579" s="1">
        <f>5369*10000</f>
        <v>53690000</v>
      </c>
      <c r="BC579" s="8">
        <f t="shared" ref="BC579:BC642" si="305">(BB579-BF579)/BF579</f>
        <v>-4.9566294919454773E-2</v>
      </c>
      <c r="BD579" s="7" t="s">
        <v>6922</v>
      </c>
      <c r="BE579" s="6" t="str">
        <f t="shared" ref="BE579:BE638" si="306">"="&amp;BD579</f>
        <v>=5649*10000</v>
      </c>
      <c r="BF579" s="1">
        <f>5649*10000</f>
        <v>56490000</v>
      </c>
      <c r="BG579" s="8">
        <f t="shared" ref="BG579:BG642" si="307">(BF579-BJ579)/BJ579</f>
        <v>0.44180704441041346</v>
      </c>
      <c r="BH579" s="7" t="s">
        <v>6923</v>
      </c>
      <c r="BI579" s="6" t="str">
        <f t="shared" ref="BI579:BI638" si="308">"="&amp;BH579</f>
        <v>=3918*10000</v>
      </c>
      <c r="BJ579" s="1">
        <f>3918*10000</f>
        <v>39180000</v>
      </c>
      <c r="BK579" s="7">
        <f>-1108*10000</f>
        <v>-11080000</v>
      </c>
      <c r="BL579" s="1" t="str">
        <f t="shared" si="280"/>
        <v>=-11080000</v>
      </c>
      <c r="BM579" s="16">
        <f t="shared" ref="BM579:BM642" si="309">(BJ579-BN579)/BN579</f>
        <v>-4.5361010830324906</v>
      </c>
      <c r="BN579" s="1">
        <f>-11080000</f>
        <v>-11080000</v>
      </c>
    </row>
    <row r="580" spans="1:66">
      <c r="A580" s="18"/>
      <c r="B580">
        <v>600495</v>
      </c>
      <c r="C580" t="s">
        <v>58</v>
      </c>
      <c r="D580" s="7" t="s">
        <v>6924</v>
      </c>
      <c r="E580" s="7" t="str">
        <f t="shared" si="279"/>
        <v>=419.2*10000</v>
      </c>
      <c r="F580" s="1">
        <f>419.2*10000</f>
        <v>4192000</v>
      </c>
      <c r="G580" s="8">
        <f t="shared" si="281"/>
        <v>-1.0483227665706052</v>
      </c>
      <c r="H580" s="7">
        <f>-8675*10000</f>
        <v>-86750000</v>
      </c>
      <c r="I580" s="6" t="str">
        <f t="shared" si="282"/>
        <v>=-86750000</v>
      </c>
      <c r="J580" s="1">
        <f>-86750000</f>
        <v>-86750000</v>
      </c>
      <c r="K580" s="10">
        <f t="shared" si="283"/>
        <v>0.60440170149805805</v>
      </c>
      <c r="L580" s="7">
        <f>-5407*10000</f>
        <v>-54070000</v>
      </c>
      <c r="M580" s="6" t="str">
        <f t="shared" si="284"/>
        <v>=-54070000</v>
      </c>
      <c r="N580" s="1">
        <f>-54070000</f>
        <v>-54070000</v>
      </c>
      <c r="O580" s="8">
        <f t="shared" si="285"/>
        <v>0.56136298007507945</v>
      </c>
      <c r="P580" s="7">
        <f>-3463*10000</f>
        <v>-34630000</v>
      </c>
      <c r="Q580" s="6" t="str">
        <f t="shared" si="286"/>
        <v>=-34630000</v>
      </c>
      <c r="R580" s="11">
        <f>-34630000</f>
        <v>-34630000</v>
      </c>
      <c r="S580" s="8">
        <f t="shared" si="287"/>
        <v>-2.1966136834830685</v>
      </c>
      <c r="T580" s="7" t="s">
        <v>6925</v>
      </c>
      <c r="U580" s="6" t="str">
        <f t="shared" si="288"/>
        <v>=2894*10000</v>
      </c>
      <c r="V580" s="1">
        <f>2894*10000</f>
        <v>28940000</v>
      </c>
      <c r="W580" s="8">
        <f t="shared" si="289"/>
        <v>-0.19855995569094434</v>
      </c>
      <c r="X580" s="7" t="s">
        <v>6926</v>
      </c>
      <c r="Y580" s="6" t="str">
        <f t="shared" si="290"/>
        <v>=3611*10000</v>
      </c>
      <c r="Z580" s="1">
        <f>3611*10000</f>
        <v>36110000</v>
      </c>
      <c r="AA580" s="8">
        <f t="shared" si="291"/>
        <v>-5.9411603721948554</v>
      </c>
      <c r="AB580" s="7">
        <f>-730.8*10000</f>
        <v>-7308000</v>
      </c>
      <c r="AC580" s="6" t="str">
        <f t="shared" si="292"/>
        <v>=-7308000</v>
      </c>
      <c r="AD580" s="1">
        <f>-7308000</f>
        <v>-7308000</v>
      </c>
      <c r="AE580" s="8">
        <f t="shared" si="293"/>
        <v>-0.7421312632321807</v>
      </c>
      <c r="AF580" s="7">
        <f>-2834*10000</f>
        <v>-28340000</v>
      </c>
      <c r="AG580" s="6" t="str">
        <f t="shared" si="294"/>
        <v>=-28340000</v>
      </c>
      <c r="AH580" s="1">
        <f>-28340000</f>
        <v>-28340000</v>
      </c>
      <c r="AI580" s="8">
        <f t="shared" si="295"/>
        <v>-1.3848974602743447</v>
      </c>
      <c r="AJ580" s="7" t="s">
        <v>6927</v>
      </c>
      <c r="AK580" s="6" t="str">
        <f t="shared" si="296"/>
        <v>=7363*10000</v>
      </c>
      <c r="AL580" s="1">
        <f>7363*10000</f>
        <v>73630000</v>
      </c>
      <c r="AM580" s="8">
        <f t="shared" si="297"/>
        <v>0.19296824368114063</v>
      </c>
      <c r="AN580" s="7" t="s">
        <v>3507</v>
      </c>
      <c r="AO580" s="6" t="str">
        <f t="shared" si="298"/>
        <v>=6172*10000</v>
      </c>
      <c r="AP580" s="1">
        <f>6172*10000</f>
        <v>61720000</v>
      </c>
      <c r="AQ580" s="8">
        <f t="shared" si="299"/>
        <v>2.1781668383110198</v>
      </c>
      <c r="AR580" s="7" t="s">
        <v>6928</v>
      </c>
      <c r="AS580" s="6" t="str">
        <f t="shared" si="300"/>
        <v>=1942*10000</v>
      </c>
      <c r="AT580" s="1">
        <f>1942*10000</f>
        <v>19420000</v>
      </c>
      <c r="AU580" s="8">
        <f t="shared" si="301"/>
        <v>1.25735208648146</v>
      </c>
      <c r="AV580" s="7" t="s">
        <v>6929</v>
      </c>
      <c r="AW580" s="6" t="str">
        <f t="shared" si="302"/>
        <v>=860.3*10000</v>
      </c>
      <c r="AX580" s="1">
        <f>860.3*10000</f>
        <v>8603000</v>
      </c>
      <c r="AY580" s="10">
        <f t="shared" si="303"/>
        <v>-0.81726847918436707</v>
      </c>
      <c r="AZ580" s="7" t="s">
        <v>6930</v>
      </c>
      <c r="BA580" s="6" t="str">
        <f t="shared" si="304"/>
        <v>=4708*10000</v>
      </c>
      <c r="BB580" s="1">
        <f>4708*10000</f>
        <v>47080000</v>
      </c>
      <c r="BC580" s="8">
        <f t="shared" si="305"/>
        <v>-0.15898535191139693</v>
      </c>
      <c r="BD580" s="7" t="s">
        <v>5474</v>
      </c>
      <c r="BE580" s="6" t="str">
        <f t="shared" si="306"/>
        <v>=5598*10000</v>
      </c>
      <c r="BF580" s="1">
        <f>5598*10000</f>
        <v>55980000</v>
      </c>
      <c r="BG580" s="8">
        <f t="shared" si="307"/>
        <v>0.42915496553484811</v>
      </c>
      <c r="BH580" s="7" t="s">
        <v>6931</v>
      </c>
      <c r="BI580" s="6" t="str">
        <f t="shared" si="308"/>
        <v>=3917*10000</v>
      </c>
      <c r="BJ580" s="1">
        <f>3917*10000</f>
        <v>39170000</v>
      </c>
      <c r="BK580" s="7">
        <f>-1087*10000</f>
        <v>-10870000</v>
      </c>
      <c r="BL580" s="1" t="str">
        <f t="shared" si="280"/>
        <v>=-10870000</v>
      </c>
      <c r="BM580" s="16">
        <f t="shared" si="309"/>
        <v>-4.6034958601655935</v>
      </c>
      <c r="BN580" s="1">
        <f>-10870000</f>
        <v>-10870000</v>
      </c>
    </row>
    <row r="581" spans="1:66">
      <c r="A581" s="19"/>
      <c r="B581">
        <v>600495</v>
      </c>
      <c r="C581" t="s">
        <v>68</v>
      </c>
      <c r="D581" s="7" t="s">
        <v>6932</v>
      </c>
      <c r="E581" s="7" t="str">
        <f t="shared" si="279"/>
        <v>=1081*10000</v>
      </c>
      <c r="F581" s="1">
        <f>1081*10000</f>
        <v>10810000</v>
      </c>
      <c r="G581" s="8">
        <f t="shared" si="281"/>
        <v>-1.1237975263398992</v>
      </c>
      <c r="H581" s="7">
        <f>-8732*10000</f>
        <v>-87320000</v>
      </c>
      <c r="I581" s="6" t="str">
        <f t="shared" si="282"/>
        <v>=-87320000</v>
      </c>
      <c r="J581" s="1">
        <f>-87320000</f>
        <v>-87320000</v>
      </c>
      <c r="K581" s="10">
        <f t="shared" si="283"/>
        <v>0.58937022206042955</v>
      </c>
      <c r="L581" s="7">
        <f>-5494*10000</f>
        <v>-54940000</v>
      </c>
      <c r="M581" s="6" t="str">
        <f t="shared" si="284"/>
        <v>=-54940000</v>
      </c>
      <c r="N581" s="1">
        <f>-54940000</f>
        <v>-54940000</v>
      </c>
      <c r="O581" s="8">
        <f t="shared" si="285"/>
        <v>0.62112717615815871</v>
      </c>
      <c r="P581" s="7">
        <f>-3389*10000</f>
        <v>-33890000</v>
      </c>
      <c r="Q581" s="6" t="str">
        <f t="shared" si="286"/>
        <v>=-33890000</v>
      </c>
      <c r="R581" s="11">
        <f>-33890000</f>
        <v>-33890000</v>
      </c>
      <c r="S581" s="8">
        <f t="shared" si="287"/>
        <v>-2.6744071146245059</v>
      </c>
      <c r="T581" s="7" t="s">
        <v>6933</v>
      </c>
      <c r="U581" s="6" t="str">
        <f t="shared" si="288"/>
        <v>=2024*10000</v>
      </c>
      <c r="V581" s="1">
        <f>2024*10000</f>
        <v>20240000</v>
      </c>
      <c r="W581" s="8">
        <f t="shared" si="289"/>
        <v>-0.15029387069689337</v>
      </c>
      <c r="X581" s="7" t="s">
        <v>6934</v>
      </c>
      <c r="Y581" s="6" t="str">
        <f t="shared" si="290"/>
        <v>=2382*10000</v>
      </c>
      <c r="Z581" s="1">
        <f>2382*10000</f>
        <v>23820000</v>
      </c>
      <c r="AA581" s="8">
        <f t="shared" si="291"/>
        <v>-2.9132530120481928</v>
      </c>
      <c r="AB581" s="7">
        <f>-1245*10000</f>
        <v>-12450000</v>
      </c>
      <c r="AC581" s="6" t="str">
        <f t="shared" si="292"/>
        <v>=-12450000</v>
      </c>
      <c r="AD581" s="1">
        <f>-12450000</f>
        <v>-12450000</v>
      </c>
      <c r="AE581" s="8">
        <f t="shared" si="293"/>
        <v>-0.56022606852702228</v>
      </c>
      <c r="AF581" s="7">
        <f>-2831*10000</f>
        <v>-28310000</v>
      </c>
      <c r="AG581" s="6" t="str">
        <f t="shared" si="294"/>
        <v>=-28310000</v>
      </c>
      <c r="AH581" s="1">
        <f>-28310000</f>
        <v>-28310000</v>
      </c>
      <c r="AI581" s="8">
        <f t="shared" si="295"/>
        <v>-1.4712050599201065</v>
      </c>
      <c r="AJ581" s="7" t="s">
        <v>6935</v>
      </c>
      <c r="AK581" s="6" t="str">
        <f t="shared" si="296"/>
        <v>=6008*10000</v>
      </c>
      <c r="AL581" s="1">
        <f>6008*10000</f>
        <v>60080000</v>
      </c>
      <c r="AM581" s="8">
        <f t="shared" si="297"/>
        <v>0.28184339662897373</v>
      </c>
      <c r="AN581" s="7" t="s">
        <v>6936</v>
      </c>
      <c r="AO581" s="6" t="str">
        <f t="shared" si="298"/>
        <v>=4687*10000</v>
      </c>
      <c r="AP581" s="1">
        <f>4687*10000</f>
        <v>46870000</v>
      </c>
      <c r="AQ581" s="8">
        <f t="shared" si="299"/>
        <v>3.9207349081364828</v>
      </c>
      <c r="AR581" s="7" t="s">
        <v>6937</v>
      </c>
      <c r="AS581" s="6" t="str">
        <f t="shared" si="300"/>
        <v>=952.5*10000</v>
      </c>
      <c r="AT581" s="1">
        <f>952.5*10000</f>
        <v>9525000</v>
      </c>
      <c r="AU581" s="8">
        <f t="shared" si="301"/>
        <v>0.52448783610755445</v>
      </c>
      <c r="AV581" s="7" t="s">
        <v>6938</v>
      </c>
      <c r="AW581" s="6" t="str">
        <f t="shared" si="302"/>
        <v>=624.8*10000</v>
      </c>
      <c r="AX581" s="1">
        <f>624.8*10000</f>
        <v>6248000</v>
      </c>
      <c r="AY581" s="10">
        <f t="shared" si="303"/>
        <v>-0.8250839865621501</v>
      </c>
      <c r="AZ581" s="7" t="s">
        <v>6939</v>
      </c>
      <c r="BA581" s="6" t="str">
        <f t="shared" si="304"/>
        <v>=3572*10000</v>
      </c>
      <c r="BB581" s="1">
        <f>3572*10000</f>
        <v>35720000</v>
      </c>
      <c r="BC581" s="8">
        <f t="shared" si="305"/>
        <v>-0.10318855134320863</v>
      </c>
      <c r="BD581" s="7" t="s">
        <v>6940</v>
      </c>
      <c r="BE581" s="6" t="str">
        <f t="shared" si="306"/>
        <v>=3983*10000</v>
      </c>
      <c r="BF581" s="1">
        <f>3983*10000</f>
        <v>39830000</v>
      </c>
      <c r="BG581" s="8">
        <f t="shared" si="307"/>
        <v>0.46919955735890817</v>
      </c>
      <c r="BH581" s="7" t="s">
        <v>6941</v>
      </c>
      <c r="BI581" s="6" t="str">
        <f t="shared" si="308"/>
        <v>=2711*10000</v>
      </c>
      <c r="BJ581" s="1">
        <f>2711*10000</f>
        <v>27110000</v>
      </c>
      <c r="BK581" s="7">
        <f>-1197*10000</f>
        <v>-11970000</v>
      </c>
      <c r="BL581" s="1" t="str">
        <f t="shared" si="280"/>
        <v>=-11970000</v>
      </c>
      <c r="BM581" s="16">
        <f t="shared" si="309"/>
        <v>-3.2648287385129491</v>
      </c>
      <c r="BN581" s="1">
        <f>-11970000</f>
        <v>-11970000</v>
      </c>
    </row>
    <row r="582" spans="1:66">
      <c r="A582" s="17">
        <v>146</v>
      </c>
      <c r="B582">
        <v>600499</v>
      </c>
      <c r="C582" t="s">
        <v>31</v>
      </c>
      <c r="D582" s="6" t="s">
        <v>6942</v>
      </c>
      <c r="E582" s="7" t="str">
        <f t="shared" si="279"/>
        <v>=97.97*100000000</v>
      </c>
      <c r="F582" s="1">
        <f>97.97*100000000</f>
        <v>9797000000</v>
      </c>
      <c r="G582" s="8">
        <f t="shared" si="281"/>
        <v>0.41554688628810887</v>
      </c>
      <c r="H582" s="6" t="s">
        <v>6943</v>
      </c>
      <c r="I582" s="6" t="str">
        <f t="shared" si="282"/>
        <v>=69.21*100000000</v>
      </c>
      <c r="J582" s="1">
        <f>69.21*100000000</f>
        <v>6920999999.999999</v>
      </c>
      <c r="K582" s="10">
        <f t="shared" si="283"/>
        <v>0.51842913558578307</v>
      </c>
      <c r="L582" s="6" t="s">
        <v>6944</v>
      </c>
      <c r="M582" s="6" t="str">
        <f t="shared" si="284"/>
        <v>=45.58*100000000</v>
      </c>
      <c r="N582" s="1">
        <f>45.58*100000000</f>
        <v>4558000000</v>
      </c>
      <c r="O582" s="8">
        <f t="shared" si="285"/>
        <v>1.1581439393939394</v>
      </c>
      <c r="P582" s="6" t="s">
        <v>6945</v>
      </c>
      <c r="Q582" s="6" t="str">
        <f t="shared" si="286"/>
        <v>=21.12*100000000</v>
      </c>
      <c r="R582" s="11">
        <f>21.12*100000000</f>
        <v>2112000000</v>
      </c>
      <c r="S582" s="8">
        <f t="shared" si="287"/>
        <v>-0.71060564538229654</v>
      </c>
      <c r="T582" s="6" t="s">
        <v>6946</v>
      </c>
      <c r="U582" s="6" t="str">
        <f t="shared" si="288"/>
        <v>=72.98*100000000</v>
      </c>
      <c r="V582" s="1">
        <f>72.98*100000000</f>
        <v>7298000000</v>
      </c>
      <c r="W582" s="8">
        <f t="shared" si="289"/>
        <v>0.47583417593528815</v>
      </c>
      <c r="X582" s="6" t="s">
        <v>6947</v>
      </c>
      <c r="Y582" s="6" t="str">
        <f t="shared" si="290"/>
        <v>=49.45*100000000</v>
      </c>
      <c r="Z582" s="1">
        <f>49.45*100000000</f>
        <v>4945000000</v>
      </c>
      <c r="AA582" s="8">
        <f t="shared" si="291"/>
        <v>0.60291734197730962</v>
      </c>
      <c r="AB582" s="6" t="s">
        <v>5094</v>
      </c>
      <c r="AC582" s="6" t="str">
        <f t="shared" si="292"/>
        <v>=30.85*100000000</v>
      </c>
      <c r="AD582" s="1">
        <f>30.85*100000000</f>
        <v>3085000000</v>
      </c>
      <c r="AE582" s="8">
        <f t="shared" si="293"/>
        <v>1.4234092694422624</v>
      </c>
      <c r="AF582" s="6" t="s">
        <v>1590</v>
      </c>
      <c r="AG582" s="6" t="str">
        <f t="shared" si="294"/>
        <v>=12.73*100000000</v>
      </c>
      <c r="AH582" s="1">
        <f>12.73*100000000</f>
        <v>1273000000</v>
      </c>
      <c r="AI582" s="8">
        <f t="shared" si="295"/>
        <v>-0.80177514792899407</v>
      </c>
      <c r="AJ582" s="6" t="s">
        <v>6948</v>
      </c>
      <c r="AK582" s="6" t="str">
        <f t="shared" si="296"/>
        <v>=64.22*100000000</v>
      </c>
      <c r="AL582" s="1">
        <f>64.22*100000000</f>
        <v>6422000000</v>
      </c>
      <c r="AM582" s="8">
        <f t="shared" si="297"/>
        <v>0.36754684838160134</v>
      </c>
      <c r="AN582" s="6" t="s">
        <v>6234</v>
      </c>
      <c r="AO582" s="6" t="str">
        <f t="shared" si="298"/>
        <v>=46.96*100000000</v>
      </c>
      <c r="AP582" s="1">
        <f>46.96*100000000</f>
        <v>4696000000</v>
      </c>
      <c r="AQ582" s="8">
        <f t="shared" si="299"/>
        <v>0.44938271604938274</v>
      </c>
      <c r="AR582" s="6" t="s">
        <v>6949</v>
      </c>
      <c r="AS582" s="6" t="str">
        <f t="shared" si="300"/>
        <v>=32.40*100000000</v>
      </c>
      <c r="AT582" s="1">
        <f>32.4*100000000</f>
        <v>3240000000</v>
      </c>
      <c r="AU582" s="8">
        <f t="shared" si="301"/>
        <v>0.87066974595842961</v>
      </c>
      <c r="AV582" s="6" t="s">
        <v>4543</v>
      </c>
      <c r="AW582" s="6" t="str">
        <f t="shared" si="302"/>
        <v>=17.32*100000000</v>
      </c>
      <c r="AX582" s="1">
        <f>17.32*100000000</f>
        <v>1732000000</v>
      </c>
      <c r="AY582" s="10">
        <f t="shared" si="303"/>
        <v>-0.71470927359578318</v>
      </c>
      <c r="AZ582" s="6" t="s">
        <v>6950</v>
      </c>
      <c r="BA582" s="6" t="str">
        <f t="shared" si="304"/>
        <v>=60.71*100000000</v>
      </c>
      <c r="BB582" s="1">
        <f>60.71*100000000</f>
        <v>6071000000</v>
      </c>
      <c r="BC582" s="8">
        <f t="shared" si="305"/>
        <v>0.35725463894477977</v>
      </c>
      <c r="BD582" s="6" t="s">
        <v>1857</v>
      </c>
      <c r="BE582" s="6" t="str">
        <f t="shared" si="306"/>
        <v>=44.73*100000000</v>
      </c>
      <c r="BF582" s="1">
        <f>44.73*100000000</f>
        <v>4473000000</v>
      </c>
      <c r="BG582" s="8">
        <f t="shared" si="307"/>
        <v>0.48259860788863107</v>
      </c>
      <c r="BH582" s="6" t="s">
        <v>3257</v>
      </c>
      <c r="BI582" s="6" t="str">
        <f t="shared" si="308"/>
        <v>=30.17*100000000</v>
      </c>
      <c r="BJ582" s="1">
        <f>30.17*100000000</f>
        <v>3017000000</v>
      </c>
      <c r="BK582" s="6" t="s">
        <v>6182</v>
      </c>
      <c r="BL582" s="1" t="str">
        <f t="shared" si="280"/>
        <v>=15.31*100000000</v>
      </c>
      <c r="BM582" s="16">
        <f t="shared" si="309"/>
        <v>0.97060744611365124</v>
      </c>
      <c r="BN582" s="1">
        <f>15.31*100000000</f>
        <v>1531000000</v>
      </c>
    </row>
    <row r="583" spans="1:66">
      <c r="A583" s="18"/>
      <c r="B583">
        <v>600499</v>
      </c>
      <c r="C583" t="s">
        <v>48</v>
      </c>
      <c r="D583" s="6" t="s">
        <v>6951</v>
      </c>
      <c r="E583" s="7" t="str">
        <f t="shared" si="279"/>
        <v>=14.84*100000000</v>
      </c>
      <c r="F583" s="1">
        <f>14.84*100000000</f>
        <v>1484000000</v>
      </c>
      <c r="G583" s="8">
        <f t="shared" si="281"/>
        <v>0.33213644524236985</v>
      </c>
      <c r="H583" s="6" t="s">
        <v>6952</v>
      </c>
      <c r="I583" s="6" t="str">
        <f t="shared" si="282"/>
        <v>=11.14*100000000</v>
      </c>
      <c r="J583" s="1">
        <f>11.14*100000000</f>
        <v>1114000000</v>
      </c>
      <c r="K583" s="10">
        <f t="shared" si="283"/>
        <v>0.81729200652528544</v>
      </c>
      <c r="L583" s="6" t="s">
        <v>1693</v>
      </c>
      <c r="M583" s="6" t="str">
        <f t="shared" si="284"/>
        <v>=6.130*100000000</v>
      </c>
      <c r="N583" s="1">
        <f>6.13*100000000</f>
        <v>613000000</v>
      </c>
      <c r="O583" s="8">
        <f t="shared" si="285"/>
        <v>1.0426524491836056</v>
      </c>
      <c r="P583" s="6" t="s">
        <v>2196</v>
      </c>
      <c r="Q583" s="6" t="str">
        <f t="shared" si="286"/>
        <v>=3.001*100000000</v>
      </c>
      <c r="R583" s="11">
        <f>3.001*100000000</f>
        <v>300100000</v>
      </c>
      <c r="S583" s="8">
        <f t="shared" si="287"/>
        <v>-0.4639156841729189</v>
      </c>
      <c r="T583" s="6" t="s">
        <v>6953</v>
      </c>
      <c r="U583" s="6" t="str">
        <f t="shared" si="288"/>
        <v>=5.598*100000000</v>
      </c>
      <c r="V583" s="1">
        <f>5.598*100000000</f>
        <v>559800000</v>
      </c>
      <c r="W583" s="8">
        <f t="shared" si="289"/>
        <v>0.72617946345975948</v>
      </c>
      <c r="X583" s="6" t="s">
        <v>915</v>
      </c>
      <c r="Y583" s="6" t="str">
        <f t="shared" si="290"/>
        <v>=3.243*100000000</v>
      </c>
      <c r="Z583" s="1">
        <f>3.243*100000000</f>
        <v>324300000</v>
      </c>
      <c r="AA583" s="8">
        <f t="shared" si="291"/>
        <v>0.83635334088335223</v>
      </c>
      <c r="AB583" s="6" t="s">
        <v>2181</v>
      </c>
      <c r="AC583" s="6" t="str">
        <f t="shared" si="292"/>
        <v>=1.766*100000000</v>
      </c>
      <c r="AD583" s="1">
        <f>1.766*100000000</f>
        <v>176600000</v>
      </c>
      <c r="AE583" s="8">
        <f t="shared" si="293"/>
        <v>1.5676068624600175</v>
      </c>
      <c r="AF583" s="7" t="s">
        <v>6954</v>
      </c>
      <c r="AG583" s="6" t="str">
        <f t="shared" si="294"/>
        <v>=6878*10000</v>
      </c>
      <c r="AH583" s="1">
        <f>6878*10000</f>
        <v>68780000</v>
      </c>
      <c r="AI583" s="8">
        <f t="shared" si="295"/>
        <v>-0.72097363083164301</v>
      </c>
      <c r="AJ583" s="6" t="s">
        <v>3384</v>
      </c>
      <c r="AK583" s="6" t="str">
        <f t="shared" si="296"/>
        <v>=2.465*100000000</v>
      </c>
      <c r="AL583" s="1">
        <f>2.465*100000000</f>
        <v>246500000</v>
      </c>
      <c r="AM583" s="8">
        <f t="shared" si="297"/>
        <v>-0.30913677130044842</v>
      </c>
      <c r="AN583" s="6" t="s">
        <v>6955</v>
      </c>
      <c r="AO583" s="6" t="str">
        <f t="shared" si="298"/>
        <v>=3.568*100000000</v>
      </c>
      <c r="AP583" s="1">
        <f>3.568*100000000</f>
        <v>356800000</v>
      </c>
      <c r="AQ583" s="8">
        <f t="shared" si="299"/>
        <v>0.26794598436389483</v>
      </c>
      <c r="AR583" s="6" t="s">
        <v>6956</v>
      </c>
      <c r="AS583" s="6" t="str">
        <f t="shared" si="300"/>
        <v>=2.814*100000000</v>
      </c>
      <c r="AT583" s="1">
        <f>2.814*100000000</f>
        <v>281400000</v>
      </c>
      <c r="AU583" s="8">
        <f t="shared" si="301"/>
        <v>0.71585365853658534</v>
      </c>
      <c r="AV583" s="6" t="s">
        <v>6957</v>
      </c>
      <c r="AW583" s="6" t="str">
        <f t="shared" si="302"/>
        <v>=1.640*100000000</v>
      </c>
      <c r="AX583" s="1">
        <f>1.64*100000000</f>
        <v>164000000</v>
      </c>
      <c r="AY583" s="10">
        <f t="shared" si="303"/>
        <v>-1.291089811856585</v>
      </c>
      <c r="AZ583" s="6">
        <f>-5.634*100000000</f>
        <v>-563400000</v>
      </c>
      <c r="BA583" s="6" t="str">
        <f t="shared" si="304"/>
        <v>=-563400000</v>
      </c>
      <c r="BB583" s="1">
        <f>-563400000</f>
        <v>-563400000</v>
      </c>
      <c r="BC583" s="8">
        <f t="shared" si="305"/>
        <v>-2.3353875325906608</v>
      </c>
      <c r="BD583" s="6" t="s">
        <v>3679</v>
      </c>
      <c r="BE583" s="6" t="str">
        <f t="shared" si="306"/>
        <v>=4.219*100000000</v>
      </c>
      <c r="BF583" s="1">
        <f>4.219*100000000</f>
        <v>421900000.00000006</v>
      </c>
      <c r="BG583" s="8">
        <f t="shared" si="307"/>
        <v>0.1722700750208393</v>
      </c>
      <c r="BH583" s="6" t="s">
        <v>6958</v>
      </c>
      <c r="BI583" s="6" t="str">
        <f t="shared" si="308"/>
        <v>=3.599*100000000</v>
      </c>
      <c r="BJ583" s="1">
        <f>3.599*100000000</f>
        <v>359900000</v>
      </c>
      <c r="BK583" s="6" t="s">
        <v>6959</v>
      </c>
      <c r="BL583" s="1" t="str">
        <f t="shared" si="280"/>
        <v>=2.165*100000000</v>
      </c>
      <c r="BM583" s="16">
        <f t="shared" si="309"/>
        <v>0.66235565819861431</v>
      </c>
      <c r="BN583" s="1">
        <f>2.165*100000000</f>
        <v>216500000</v>
      </c>
    </row>
    <row r="584" spans="1:66">
      <c r="A584" s="18"/>
      <c r="B584">
        <v>600499</v>
      </c>
      <c r="C584" t="s">
        <v>58</v>
      </c>
      <c r="D584" s="6" t="s">
        <v>889</v>
      </c>
      <c r="E584" s="7" t="str">
        <f t="shared" si="279"/>
        <v>=14.92*100000000</v>
      </c>
      <c r="F584" s="1">
        <f>14.92*100000000</f>
        <v>1492000000</v>
      </c>
      <c r="G584" s="8">
        <f t="shared" si="281"/>
        <v>0.33691756272401435</v>
      </c>
      <c r="H584" s="6" t="s">
        <v>5042</v>
      </c>
      <c r="I584" s="6" t="str">
        <f t="shared" si="282"/>
        <v>=11.16*100000000</v>
      </c>
      <c r="J584" s="1">
        <f>11.16*100000000</f>
        <v>1116000000</v>
      </c>
      <c r="K584" s="10">
        <f t="shared" si="283"/>
        <v>0.79854955680902495</v>
      </c>
      <c r="L584" s="6" t="s">
        <v>6960</v>
      </c>
      <c r="M584" s="6" t="str">
        <f t="shared" si="284"/>
        <v>=6.205*100000000</v>
      </c>
      <c r="N584" s="1">
        <f>6.205*100000000</f>
        <v>620500000</v>
      </c>
      <c r="O584" s="8">
        <f t="shared" si="285"/>
        <v>1.0614617940199336</v>
      </c>
      <c r="P584" s="6" t="s">
        <v>6961</v>
      </c>
      <c r="Q584" s="6" t="str">
        <f t="shared" si="286"/>
        <v>=3.010*100000000</v>
      </c>
      <c r="R584" s="11">
        <f>3.01*100000000</f>
        <v>301000000</v>
      </c>
      <c r="S584" s="8">
        <f t="shared" si="287"/>
        <v>-0.32662192393736017</v>
      </c>
      <c r="T584" s="6" t="s">
        <v>4560</v>
      </c>
      <c r="U584" s="6" t="str">
        <f t="shared" si="288"/>
        <v>=4.470*100000000</v>
      </c>
      <c r="V584" s="1">
        <f>4.47*100000000</f>
        <v>447000000</v>
      </c>
      <c r="W584" s="8">
        <f t="shared" si="289"/>
        <v>0.36238951539164888</v>
      </c>
      <c r="X584" s="6" t="s">
        <v>6962</v>
      </c>
      <c r="Y584" s="6" t="str">
        <f t="shared" si="290"/>
        <v>=3.281*100000000</v>
      </c>
      <c r="Z584" s="1">
        <f>3.281*100000000</f>
        <v>328100000</v>
      </c>
      <c r="AA584" s="8">
        <f t="shared" si="291"/>
        <v>0.79289617486338793</v>
      </c>
      <c r="AB584" s="6" t="s">
        <v>6963</v>
      </c>
      <c r="AC584" s="6" t="str">
        <f t="shared" si="292"/>
        <v>=1.830*100000000</v>
      </c>
      <c r="AD584" s="1">
        <f>1.83*100000000</f>
        <v>183000000</v>
      </c>
      <c r="AE584" s="8">
        <f t="shared" si="293"/>
        <v>1.563743345474923</v>
      </c>
      <c r="AF584" s="7" t="s">
        <v>6964</v>
      </c>
      <c r="AG584" s="6" t="str">
        <f t="shared" si="294"/>
        <v>=7138*10000</v>
      </c>
      <c r="AH584" s="1">
        <f>7138*10000</f>
        <v>71380000</v>
      </c>
      <c r="AI584" s="8">
        <f t="shared" si="295"/>
        <v>-0.71402243589743586</v>
      </c>
      <c r="AJ584" s="6" t="s">
        <v>1750</v>
      </c>
      <c r="AK584" s="6" t="str">
        <f t="shared" si="296"/>
        <v>=2.496*100000000</v>
      </c>
      <c r="AL584" s="1">
        <f>2.496*100000000</f>
        <v>249600000</v>
      </c>
      <c r="AM584" s="8">
        <f t="shared" si="297"/>
        <v>-0.30376569037656903</v>
      </c>
      <c r="AN584" s="6" t="s">
        <v>1381</v>
      </c>
      <c r="AO584" s="6" t="str">
        <f t="shared" si="298"/>
        <v>=3.585*100000000</v>
      </c>
      <c r="AP584" s="1">
        <f>3.585*100000000</f>
        <v>358500000</v>
      </c>
      <c r="AQ584" s="8">
        <f t="shared" si="299"/>
        <v>0.27807486631016043</v>
      </c>
      <c r="AR584" s="6" t="s">
        <v>6965</v>
      </c>
      <c r="AS584" s="6" t="str">
        <f t="shared" si="300"/>
        <v>=2.805*100000000</v>
      </c>
      <c r="AT584" s="1">
        <f>2.805*100000000</f>
        <v>280500000</v>
      </c>
      <c r="AU584" s="8">
        <f t="shared" si="301"/>
        <v>0.71140939597315433</v>
      </c>
      <c r="AV584" s="6" t="s">
        <v>1688</v>
      </c>
      <c r="AW584" s="6" t="str">
        <f t="shared" si="302"/>
        <v>=1.639*100000000</v>
      </c>
      <c r="AX584" s="1">
        <f>1.639*100000000</f>
        <v>163900000</v>
      </c>
      <c r="AY584" s="10">
        <f t="shared" si="303"/>
        <v>-1.2914814156144407</v>
      </c>
      <c r="AZ584" s="6">
        <f>-5.623*100000000</f>
        <v>-562300000</v>
      </c>
      <c r="BA584" s="6" t="str">
        <f t="shared" si="304"/>
        <v>=-562300000</v>
      </c>
      <c r="BB584" s="1">
        <f>-562300000</f>
        <v>-562300000</v>
      </c>
      <c r="BC584" s="8">
        <f t="shared" si="305"/>
        <v>-2.3162453183520597</v>
      </c>
      <c r="BD584" s="6" t="s">
        <v>6966</v>
      </c>
      <c r="BE584" s="6" t="str">
        <f t="shared" si="306"/>
        <v>=4.272*100000000</v>
      </c>
      <c r="BF584" s="1">
        <f>4.272*100000000</f>
        <v>427200000</v>
      </c>
      <c r="BG584" s="8">
        <f t="shared" si="307"/>
        <v>0.16912972085385877</v>
      </c>
      <c r="BH584" s="6" t="s">
        <v>6967</v>
      </c>
      <c r="BI584" s="6" t="str">
        <f t="shared" si="308"/>
        <v>=3.654*100000000</v>
      </c>
      <c r="BJ584" s="1">
        <f>3.654*100000000</f>
        <v>365400000</v>
      </c>
      <c r="BK584" s="6" t="s">
        <v>6968</v>
      </c>
      <c r="BL584" s="1" t="str">
        <f t="shared" si="280"/>
        <v>=2.202*100000000</v>
      </c>
      <c r="BM584" s="16">
        <f t="shared" si="309"/>
        <v>0.65940054495912803</v>
      </c>
      <c r="BN584" s="1">
        <f>2.202*100000000</f>
        <v>220200000</v>
      </c>
    </row>
    <row r="585" spans="1:66">
      <c r="A585" s="19"/>
      <c r="B585">
        <v>600499</v>
      </c>
      <c r="C585" t="s">
        <v>68</v>
      </c>
      <c r="D585" s="6" t="s">
        <v>3138</v>
      </c>
      <c r="E585" s="7" t="str">
        <f t="shared" si="279"/>
        <v>=14.63*100000000</v>
      </c>
      <c r="F585" s="1">
        <f>14.63*100000000</f>
        <v>1463000000</v>
      </c>
      <c r="G585" s="8">
        <f t="shared" si="281"/>
        <v>0.33</v>
      </c>
      <c r="H585" s="6" t="s">
        <v>4155</v>
      </c>
      <c r="I585" s="6" t="str">
        <f t="shared" si="282"/>
        <v>=11.00*100000000</v>
      </c>
      <c r="J585" s="1">
        <f>11*100000000</f>
        <v>1100000000</v>
      </c>
      <c r="K585" s="10">
        <f t="shared" si="283"/>
        <v>0.84749748068525366</v>
      </c>
      <c r="L585" s="6" t="s">
        <v>6969</v>
      </c>
      <c r="M585" s="6" t="str">
        <f t="shared" si="284"/>
        <v>=5.954*100000000</v>
      </c>
      <c r="N585" s="1">
        <f>5.954*100000000</f>
        <v>595400000</v>
      </c>
      <c r="O585" s="8">
        <f t="shared" si="285"/>
        <v>1.0994358251057827</v>
      </c>
      <c r="P585" s="6" t="s">
        <v>4516</v>
      </c>
      <c r="Q585" s="6" t="str">
        <f t="shared" si="286"/>
        <v>=2.836*100000000</v>
      </c>
      <c r="R585" s="11">
        <f>2.836*100000000</f>
        <v>283600000</v>
      </c>
      <c r="S585" s="8">
        <f t="shared" si="287"/>
        <v>-0.30182176267848349</v>
      </c>
      <c r="T585" s="6" t="s">
        <v>502</v>
      </c>
      <c r="U585" s="6" t="str">
        <f t="shared" si="288"/>
        <v>=4.062*100000000</v>
      </c>
      <c r="V585" s="1">
        <f>4.062*100000000</f>
        <v>406200000</v>
      </c>
      <c r="W585" s="8">
        <f t="shared" si="289"/>
        <v>0.33093053735255568</v>
      </c>
      <c r="X585" s="6" t="s">
        <v>6970</v>
      </c>
      <c r="Y585" s="6" t="str">
        <f t="shared" si="290"/>
        <v>=3.052*100000000</v>
      </c>
      <c r="Z585" s="1">
        <f>3.052*100000000</f>
        <v>305200000</v>
      </c>
      <c r="AA585" s="8">
        <f t="shared" si="291"/>
        <v>0.80805687203791465</v>
      </c>
      <c r="AB585" s="6" t="s">
        <v>6971</v>
      </c>
      <c r="AC585" s="6" t="str">
        <f t="shared" si="292"/>
        <v>=1.688*100000000</v>
      </c>
      <c r="AD585" s="1">
        <f>1.688*100000000</f>
        <v>168800000</v>
      </c>
      <c r="AE585" s="8">
        <f t="shared" si="293"/>
        <v>1.5696453036991931</v>
      </c>
      <c r="AF585" s="7" t="s">
        <v>6972</v>
      </c>
      <c r="AG585" s="6" t="str">
        <f t="shared" si="294"/>
        <v>=6569*10000</v>
      </c>
      <c r="AH585" s="1">
        <f>6569*10000</f>
        <v>65690000</v>
      </c>
      <c r="AI585" s="8">
        <f t="shared" si="295"/>
        <v>-0.7136442894507411</v>
      </c>
      <c r="AJ585" s="6" t="s">
        <v>6973</v>
      </c>
      <c r="AK585" s="6" t="str">
        <f t="shared" si="296"/>
        <v>=2.294*100000000</v>
      </c>
      <c r="AL585" s="1">
        <f>2.294*100000000</f>
        <v>229400000</v>
      </c>
      <c r="AM585" s="8">
        <f t="shared" si="297"/>
        <v>-0.31317365269461078</v>
      </c>
      <c r="AN585" s="6" t="s">
        <v>6974</v>
      </c>
      <c r="AO585" s="6" t="str">
        <f t="shared" si="298"/>
        <v>=3.340*100000000</v>
      </c>
      <c r="AP585" s="1">
        <f>3.34*100000000</f>
        <v>334000000</v>
      </c>
      <c r="AQ585" s="8">
        <f t="shared" si="299"/>
        <v>0.26180581790706475</v>
      </c>
      <c r="AR585" s="6" t="s">
        <v>6975</v>
      </c>
      <c r="AS585" s="6" t="str">
        <f t="shared" si="300"/>
        <v>=2.647*100000000</v>
      </c>
      <c r="AT585" s="1">
        <f>2.647*100000000</f>
        <v>264699999.99999997</v>
      </c>
      <c r="AU585" s="8">
        <f t="shared" si="301"/>
        <v>0.77056856187290945</v>
      </c>
      <c r="AV585" s="6" t="s">
        <v>6976</v>
      </c>
      <c r="AW585" s="6" t="str">
        <f t="shared" si="302"/>
        <v>=1.495*100000000</v>
      </c>
      <c r="AX585" s="1">
        <f>1.495*100000000</f>
        <v>149500000</v>
      </c>
      <c r="AY585" s="10">
        <f t="shared" si="303"/>
        <v>-1.2906298600311041</v>
      </c>
      <c r="AZ585" s="6">
        <f>-5.144*100000000</f>
        <v>-514400000</v>
      </c>
      <c r="BA585" s="6" t="str">
        <f t="shared" si="304"/>
        <v>=-514400000</v>
      </c>
      <c r="BB585" s="1">
        <f>-514400000</f>
        <v>-514400000</v>
      </c>
      <c r="BC585" s="8">
        <f t="shared" si="305"/>
        <v>-2.3264569365652399</v>
      </c>
      <c r="BD585" s="6" t="s">
        <v>5037</v>
      </c>
      <c r="BE585" s="6" t="str">
        <f t="shared" si="306"/>
        <v>=3.878*100000000</v>
      </c>
      <c r="BF585" s="1">
        <f>3.878*100000000</f>
        <v>387800000</v>
      </c>
      <c r="BG585" s="8">
        <f t="shared" si="307"/>
        <v>0.17089371980676329</v>
      </c>
      <c r="BH585" s="6" t="s">
        <v>6977</v>
      </c>
      <c r="BI585" s="6" t="str">
        <f t="shared" si="308"/>
        <v>=3.312*100000000</v>
      </c>
      <c r="BJ585" s="1">
        <f>3.312*100000000</f>
        <v>331200000</v>
      </c>
      <c r="BK585" s="6" t="s">
        <v>2972</v>
      </c>
      <c r="BL585" s="1" t="str">
        <f t="shared" si="280"/>
        <v>=1.942*100000000</v>
      </c>
      <c r="BM585" s="16">
        <f t="shared" si="309"/>
        <v>0.70545829042224506</v>
      </c>
      <c r="BN585" s="1">
        <f>1.942*100000000</f>
        <v>194200000</v>
      </c>
    </row>
    <row r="586" spans="1:66">
      <c r="A586" s="17">
        <v>147</v>
      </c>
      <c r="B586">
        <v>600502</v>
      </c>
      <c r="C586" t="s">
        <v>31</v>
      </c>
      <c r="D586" s="6" t="s">
        <v>6978</v>
      </c>
      <c r="E586" s="7" t="str">
        <f t="shared" si="279"/>
        <v>=713.4*100000000</v>
      </c>
      <c r="F586" s="1">
        <f>713.4*100000000</f>
        <v>71340000000</v>
      </c>
      <c r="G586" s="8">
        <f t="shared" si="281"/>
        <v>0.43483507642799679</v>
      </c>
      <c r="H586" s="6" t="s">
        <v>6979</v>
      </c>
      <c r="I586" s="6" t="str">
        <f t="shared" si="282"/>
        <v>=497.2*100000000</v>
      </c>
      <c r="J586" s="1">
        <f>497.2*100000000</f>
        <v>49720000000</v>
      </c>
      <c r="K586" s="10">
        <f t="shared" si="283"/>
        <v>0.57093206951026854</v>
      </c>
      <c r="L586" s="6" t="s">
        <v>2019</v>
      </c>
      <c r="M586" s="6" t="str">
        <f t="shared" si="284"/>
        <v>=316.5*100000000</v>
      </c>
      <c r="N586" s="1">
        <f>316.5*100000000</f>
        <v>31650000000</v>
      </c>
      <c r="O586" s="8">
        <f t="shared" si="285"/>
        <v>1.2430900070871722</v>
      </c>
      <c r="P586" s="6" t="s">
        <v>6980</v>
      </c>
      <c r="Q586" s="6" t="str">
        <f t="shared" si="286"/>
        <v>=141.1*100000000</v>
      </c>
      <c r="R586" s="11">
        <f>141.1*100000000</f>
        <v>14110000000</v>
      </c>
      <c r="S586" s="8">
        <f t="shared" si="287"/>
        <v>-0.75232578550114093</v>
      </c>
      <c r="T586" s="6" t="s">
        <v>6981</v>
      </c>
      <c r="U586" s="6" t="str">
        <f t="shared" si="288"/>
        <v>=569.7*100000000</v>
      </c>
      <c r="V586" s="1">
        <f>569.7*100000000</f>
        <v>56970000000.000008</v>
      </c>
      <c r="W586" s="8">
        <f t="shared" si="289"/>
        <v>0.49842188321935843</v>
      </c>
      <c r="X586" s="6" t="s">
        <v>6982</v>
      </c>
      <c r="Y586" s="6" t="str">
        <f t="shared" si="290"/>
        <v>=380.2*100000000</v>
      </c>
      <c r="Z586" s="1">
        <f>380.2*100000000</f>
        <v>38020000000</v>
      </c>
      <c r="AA586" s="8">
        <f t="shared" si="291"/>
        <v>0.60965283657917024</v>
      </c>
      <c r="AB586" s="6" t="s">
        <v>1624</v>
      </c>
      <c r="AC586" s="6" t="str">
        <f t="shared" si="292"/>
        <v>=236.2*100000000</v>
      </c>
      <c r="AD586" s="1">
        <f>236.2*100000000</f>
        <v>23620000000</v>
      </c>
      <c r="AE586" s="8">
        <f t="shared" si="293"/>
        <v>2.5593731163351419</v>
      </c>
      <c r="AF586" s="6" t="s">
        <v>6983</v>
      </c>
      <c r="AG586" s="6" t="str">
        <f t="shared" si="294"/>
        <v>=66.36*100000000</v>
      </c>
      <c r="AH586" s="1">
        <f>66.36*100000000</f>
        <v>6636000000</v>
      </c>
      <c r="AI586" s="8">
        <f t="shared" si="295"/>
        <v>-0.85961497778717999</v>
      </c>
      <c r="AJ586" s="6" t="s">
        <v>6984</v>
      </c>
      <c r="AK586" s="6" t="str">
        <f t="shared" si="296"/>
        <v>=472.7*100000000</v>
      </c>
      <c r="AL586" s="1">
        <f>472.7*100000000</f>
        <v>47270000000</v>
      </c>
      <c r="AM586" s="8">
        <f t="shared" si="297"/>
        <v>0.61001362397820147</v>
      </c>
      <c r="AN586" s="6" t="s">
        <v>6985</v>
      </c>
      <c r="AO586" s="6" t="str">
        <f t="shared" si="298"/>
        <v>=293.6*100000000</v>
      </c>
      <c r="AP586" s="1">
        <f>293.6*100000000</f>
        <v>29360000000.000004</v>
      </c>
      <c r="AQ586" s="8">
        <f t="shared" si="299"/>
        <v>0.54526315789473701</v>
      </c>
      <c r="AR586" s="6" t="s">
        <v>6986</v>
      </c>
      <c r="AS586" s="6" t="str">
        <f t="shared" si="300"/>
        <v>=190.0*100000000</v>
      </c>
      <c r="AT586" s="1">
        <f>190*100000000</f>
        <v>19000000000</v>
      </c>
      <c r="AU586" s="8">
        <f t="shared" si="301"/>
        <v>1.6458710486004735</v>
      </c>
      <c r="AV586" s="6" t="s">
        <v>6987</v>
      </c>
      <c r="AW586" s="6" t="str">
        <f t="shared" si="302"/>
        <v>=71.81*100000000</v>
      </c>
      <c r="AX586" s="1">
        <f>71.81*100000000</f>
        <v>7181000000</v>
      </c>
      <c r="AY586" s="10">
        <f t="shared" si="303"/>
        <v>-0.81506567087303627</v>
      </c>
      <c r="AZ586" s="6" t="s">
        <v>6988</v>
      </c>
      <c r="BA586" s="6" t="str">
        <f t="shared" si="304"/>
        <v>=388.3*100000000</v>
      </c>
      <c r="BB586" s="1">
        <f>388.3*100000000</f>
        <v>38830000000</v>
      </c>
      <c r="BC586" s="8">
        <f t="shared" si="305"/>
        <v>0.51148306734137816</v>
      </c>
      <c r="BD586" s="6" t="s">
        <v>6989</v>
      </c>
      <c r="BE586" s="6" t="str">
        <f t="shared" si="306"/>
        <v>=256.9*100000000</v>
      </c>
      <c r="BF586" s="1">
        <f>256.9*100000000</f>
        <v>25689999999.999996</v>
      </c>
      <c r="BG586" s="8">
        <f t="shared" si="307"/>
        <v>0.5751072961373388</v>
      </c>
      <c r="BH586" s="6" t="s">
        <v>6990</v>
      </c>
      <c r="BI586" s="6" t="str">
        <f t="shared" si="308"/>
        <v>=163.1*100000000</v>
      </c>
      <c r="BJ586" s="1">
        <f>163.1*100000000</f>
        <v>16310000000</v>
      </c>
      <c r="BK586" s="6" t="s">
        <v>6991</v>
      </c>
      <c r="BL586" s="1" t="str">
        <f t="shared" si="280"/>
        <v>=73.83*100000000</v>
      </c>
      <c r="BM586" s="16">
        <f t="shared" si="309"/>
        <v>1.2091290803196533</v>
      </c>
      <c r="BN586" s="1">
        <f>73.83*100000000</f>
        <v>7383000000</v>
      </c>
    </row>
    <row r="587" spans="1:66">
      <c r="A587" s="18"/>
      <c r="B587">
        <v>600502</v>
      </c>
      <c r="C587" t="s">
        <v>48</v>
      </c>
      <c r="D587" s="6" t="s">
        <v>6203</v>
      </c>
      <c r="E587" s="7" t="str">
        <f t="shared" si="279"/>
        <v>=18.04*100000000</v>
      </c>
      <c r="F587" s="1">
        <f>18.04*100000000</f>
        <v>1804000000</v>
      </c>
      <c r="G587" s="8">
        <f t="shared" si="281"/>
        <v>0.20106524633821571</v>
      </c>
      <c r="H587" s="6" t="s">
        <v>2841</v>
      </c>
      <c r="I587" s="6" t="str">
        <f t="shared" si="282"/>
        <v>=15.02*100000000</v>
      </c>
      <c r="J587" s="1">
        <f>15.02*100000000</f>
        <v>1502000000</v>
      </c>
      <c r="K587" s="10">
        <f t="shared" si="283"/>
        <v>0.44562078922040421</v>
      </c>
      <c r="L587" s="6" t="s">
        <v>2056</v>
      </c>
      <c r="M587" s="6" t="str">
        <f t="shared" si="284"/>
        <v>=10.39*100000000</v>
      </c>
      <c r="N587" s="1">
        <f>10.39*100000000</f>
        <v>1039000000</v>
      </c>
      <c r="O587" s="8">
        <f t="shared" si="285"/>
        <v>1.1650343821629505</v>
      </c>
      <c r="P587" s="6" t="s">
        <v>1702</v>
      </c>
      <c r="Q587" s="6" t="str">
        <f t="shared" si="286"/>
        <v>=4.799*100000000</v>
      </c>
      <c r="R587" s="11">
        <f>4.799*100000000</f>
        <v>479900000.00000006</v>
      </c>
      <c r="S587" s="8">
        <f t="shared" si="287"/>
        <v>-0.72131242740998835</v>
      </c>
      <c r="T587" s="6" t="s">
        <v>5666</v>
      </c>
      <c r="U587" s="6" t="str">
        <f t="shared" si="288"/>
        <v>=17.22*100000000</v>
      </c>
      <c r="V587" s="1">
        <f>17.22*100000000</f>
        <v>1722000000</v>
      </c>
      <c r="W587" s="8">
        <f t="shared" si="289"/>
        <v>0.51985878199470437</v>
      </c>
      <c r="X587" s="6" t="s">
        <v>6992</v>
      </c>
      <c r="Y587" s="6" t="str">
        <f t="shared" si="290"/>
        <v>=11.33*100000000</v>
      </c>
      <c r="Z587" s="1">
        <f>11.33*100000000</f>
        <v>1133000000</v>
      </c>
      <c r="AA587" s="8">
        <f t="shared" si="291"/>
        <v>0.37200290627270544</v>
      </c>
      <c r="AB587" s="6" t="s">
        <v>6993</v>
      </c>
      <c r="AC587" s="6" t="str">
        <f t="shared" si="292"/>
        <v>=8.258*100000000</v>
      </c>
      <c r="AD587" s="1">
        <f>8.258*100000000</f>
        <v>825799999.99999988</v>
      </c>
      <c r="AE587" s="8">
        <f t="shared" si="293"/>
        <v>6.0042408821034767</v>
      </c>
      <c r="AF587" s="6" t="s">
        <v>6994</v>
      </c>
      <c r="AG587" s="6" t="str">
        <f t="shared" si="294"/>
        <v>=1.179*100000000</v>
      </c>
      <c r="AH587" s="1">
        <f>1.179*100000000</f>
        <v>117900000</v>
      </c>
      <c r="AI587" s="8">
        <f t="shared" si="295"/>
        <v>-0.9072383949645948</v>
      </c>
      <c r="AJ587" s="6" t="s">
        <v>3952</v>
      </c>
      <c r="AK587" s="6" t="str">
        <f t="shared" si="296"/>
        <v>=12.71*100000000</v>
      </c>
      <c r="AL587" s="1">
        <f>12.71*100000000</f>
        <v>1271000000</v>
      </c>
      <c r="AM587" s="8">
        <f t="shared" si="297"/>
        <v>0.37375702550799811</v>
      </c>
      <c r="AN587" s="6" t="s">
        <v>6995</v>
      </c>
      <c r="AO587" s="6" t="str">
        <f t="shared" si="298"/>
        <v>=9.252*100000000</v>
      </c>
      <c r="AP587" s="1">
        <f>9.252*100000000</f>
        <v>925200000.00000012</v>
      </c>
      <c r="AQ587" s="8">
        <f t="shared" si="299"/>
        <v>0.30089988751406094</v>
      </c>
      <c r="AR587" s="6" t="s">
        <v>6996</v>
      </c>
      <c r="AS587" s="6" t="str">
        <f t="shared" si="300"/>
        <v>=7.112*100000000</v>
      </c>
      <c r="AT587" s="1">
        <f>7.112*100000000</f>
        <v>711200000</v>
      </c>
      <c r="AU587" s="8">
        <f t="shared" si="301"/>
        <v>3.395550061804697</v>
      </c>
      <c r="AV587" s="6" t="s">
        <v>1779</v>
      </c>
      <c r="AW587" s="6" t="str">
        <f t="shared" si="302"/>
        <v>=1.618*100000000</v>
      </c>
      <c r="AX587" s="1">
        <f>1.618*100000000</f>
        <v>161800000</v>
      </c>
      <c r="AY587" s="10">
        <f t="shared" si="303"/>
        <v>-0.8607573149741824</v>
      </c>
      <c r="AZ587" s="6" t="s">
        <v>73</v>
      </c>
      <c r="BA587" s="6" t="str">
        <f t="shared" si="304"/>
        <v>=11.62*100000000</v>
      </c>
      <c r="BB587" s="1">
        <f>11.62*100000000</f>
        <v>1162000000</v>
      </c>
      <c r="BC587" s="8">
        <f t="shared" si="305"/>
        <v>0.88025889967637538</v>
      </c>
      <c r="BD587" s="6" t="s">
        <v>6997</v>
      </c>
      <c r="BE587" s="6" t="str">
        <f t="shared" si="306"/>
        <v>=6.180*100000000</v>
      </c>
      <c r="BF587" s="1">
        <f>6.18*100000000</f>
        <v>618000000</v>
      </c>
      <c r="BG587" s="8">
        <f t="shared" si="307"/>
        <v>0.48915662650602387</v>
      </c>
      <c r="BH587" s="6" t="s">
        <v>3687</v>
      </c>
      <c r="BI587" s="6" t="str">
        <f t="shared" si="308"/>
        <v>=4.150*100000000</v>
      </c>
      <c r="BJ587" s="1">
        <f>4.15*100000000</f>
        <v>415000000.00000006</v>
      </c>
      <c r="BK587" s="6" t="s">
        <v>6998</v>
      </c>
      <c r="BL587" s="1" t="str">
        <f t="shared" si="280"/>
        <v>=1.571*100000000</v>
      </c>
      <c r="BM587" s="16">
        <f t="shared" si="309"/>
        <v>1.641629535327817</v>
      </c>
      <c r="BN587" s="1">
        <f>1.571*100000000</f>
        <v>157100000</v>
      </c>
    </row>
    <row r="588" spans="1:66">
      <c r="A588" s="18"/>
      <c r="B588">
        <v>600502</v>
      </c>
      <c r="C588" t="s">
        <v>58</v>
      </c>
      <c r="D588" s="6" t="s">
        <v>6203</v>
      </c>
      <c r="E588" s="7" t="str">
        <f t="shared" si="279"/>
        <v>=18.04*100000000</v>
      </c>
      <c r="F588" s="1">
        <f>18.04*100000000</f>
        <v>1804000000</v>
      </c>
      <c r="G588" s="8">
        <f t="shared" si="281"/>
        <v>0.19391131700860356</v>
      </c>
      <c r="H588" s="6" t="s">
        <v>6999</v>
      </c>
      <c r="I588" s="6" t="str">
        <f t="shared" si="282"/>
        <v>=15.11*100000000</v>
      </c>
      <c r="J588" s="1">
        <f>15.11*100000000</f>
        <v>1511000000</v>
      </c>
      <c r="K588" s="10">
        <f t="shared" si="283"/>
        <v>0.44593301435406713</v>
      </c>
      <c r="L588" s="6" t="s">
        <v>2743</v>
      </c>
      <c r="M588" s="6" t="str">
        <f t="shared" si="284"/>
        <v>=10.45*100000000</v>
      </c>
      <c r="N588" s="1">
        <f>10.45*100000000</f>
        <v>1044999999.9999999</v>
      </c>
      <c r="O588" s="8">
        <f t="shared" si="285"/>
        <v>1.1684996887321017</v>
      </c>
      <c r="P588" s="6" t="s">
        <v>2974</v>
      </c>
      <c r="Q588" s="6" t="str">
        <f t="shared" si="286"/>
        <v>=4.819*100000000</v>
      </c>
      <c r="R588" s="11">
        <f>4.819*100000000</f>
        <v>481900000</v>
      </c>
      <c r="S588" s="8">
        <f t="shared" si="287"/>
        <v>-0.72079953650057937</v>
      </c>
      <c r="T588" s="6" t="s">
        <v>7000</v>
      </c>
      <c r="U588" s="6" t="str">
        <f t="shared" si="288"/>
        <v>=17.26*100000000</v>
      </c>
      <c r="V588" s="1">
        <f>17.26*100000000</f>
        <v>1726000000.0000002</v>
      </c>
      <c r="W588" s="8">
        <f t="shared" si="289"/>
        <v>0.52338923212709643</v>
      </c>
      <c r="X588" s="6" t="s">
        <v>6992</v>
      </c>
      <c r="Y588" s="6" t="str">
        <f t="shared" si="290"/>
        <v>=11.33*100000000</v>
      </c>
      <c r="Z588" s="1">
        <f>11.33*100000000</f>
        <v>1133000000</v>
      </c>
      <c r="AA588" s="8">
        <f t="shared" si="291"/>
        <v>0.37084089534180276</v>
      </c>
      <c r="AB588" s="6" t="s">
        <v>7001</v>
      </c>
      <c r="AC588" s="6" t="str">
        <f t="shared" si="292"/>
        <v>=8.265*100000000</v>
      </c>
      <c r="AD588" s="1">
        <f>8.265*100000000</f>
        <v>826500000</v>
      </c>
      <c r="AE588" s="8">
        <f t="shared" si="293"/>
        <v>6.2819383259911898</v>
      </c>
      <c r="AF588" s="6" t="s">
        <v>7002</v>
      </c>
      <c r="AG588" s="6" t="str">
        <f t="shared" si="294"/>
        <v>=1.135*100000000</v>
      </c>
      <c r="AH588" s="1">
        <f>1.135*100000000</f>
        <v>113500000</v>
      </c>
      <c r="AI588" s="8">
        <f t="shared" si="295"/>
        <v>-0.91077044025157228</v>
      </c>
      <c r="AJ588" s="6" t="s">
        <v>3054</v>
      </c>
      <c r="AK588" s="6" t="str">
        <f t="shared" si="296"/>
        <v>=12.72*100000000</v>
      </c>
      <c r="AL588" s="1">
        <f>12.72*100000000</f>
        <v>1272000000</v>
      </c>
      <c r="AM588" s="8">
        <f t="shared" si="297"/>
        <v>0.37781629116117871</v>
      </c>
      <c r="AN588" s="6" t="s">
        <v>7003</v>
      </c>
      <c r="AO588" s="6" t="str">
        <f t="shared" si="298"/>
        <v>=9.232*100000000</v>
      </c>
      <c r="AP588" s="1">
        <f>9.232*100000000</f>
        <v>923199999.99999988</v>
      </c>
      <c r="AQ588" s="8">
        <f t="shared" si="299"/>
        <v>0.30561448168575855</v>
      </c>
      <c r="AR588" s="6" t="s">
        <v>6417</v>
      </c>
      <c r="AS588" s="6" t="str">
        <f t="shared" si="300"/>
        <v>=7.071*100000000</v>
      </c>
      <c r="AT588" s="1">
        <f>7.071*100000000</f>
        <v>707100000</v>
      </c>
      <c r="AU588" s="8">
        <f t="shared" si="301"/>
        <v>3.2958687727825029</v>
      </c>
      <c r="AV588" s="6" t="s">
        <v>2045</v>
      </c>
      <c r="AW588" s="6" t="str">
        <f t="shared" si="302"/>
        <v>=1.646*100000000</v>
      </c>
      <c r="AX588" s="1">
        <f>1.646*100000000</f>
        <v>164600000</v>
      </c>
      <c r="AY588" s="10">
        <f t="shared" si="303"/>
        <v>-0.85907534246575346</v>
      </c>
      <c r="AZ588" s="6" t="s">
        <v>7004</v>
      </c>
      <c r="BA588" s="6" t="str">
        <f t="shared" si="304"/>
        <v>=11.68*100000000</v>
      </c>
      <c r="BB588" s="1">
        <f>11.68*100000000</f>
        <v>1168000000</v>
      </c>
      <c r="BC588" s="8">
        <f t="shared" si="305"/>
        <v>0.88600032294526077</v>
      </c>
      <c r="BD588" s="6" t="s">
        <v>7005</v>
      </c>
      <c r="BE588" s="6" t="str">
        <f t="shared" si="306"/>
        <v>=6.193*100000000</v>
      </c>
      <c r="BF588" s="1">
        <f>6.193*100000000</f>
        <v>619300000</v>
      </c>
      <c r="BG588" s="8">
        <f t="shared" si="307"/>
        <v>0.48477583313354111</v>
      </c>
      <c r="BH588" s="6" t="s">
        <v>6387</v>
      </c>
      <c r="BI588" s="6" t="str">
        <f t="shared" si="308"/>
        <v>=4.171*100000000</v>
      </c>
      <c r="BJ588" s="1">
        <f>4.171*100000000</f>
        <v>417100000</v>
      </c>
      <c r="BK588" s="6" t="s">
        <v>1772</v>
      </c>
      <c r="BL588" s="1" t="str">
        <f t="shared" si="280"/>
        <v>=1.564*100000000</v>
      </c>
      <c r="BM588" s="16">
        <f t="shared" si="309"/>
        <v>1.6668797953964194</v>
      </c>
      <c r="BN588" s="1">
        <f>1.564*100000000</f>
        <v>156400000</v>
      </c>
    </row>
    <row r="589" spans="1:66">
      <c r="A589" s="19"/>
      <c r="B589">
        <v>600502</v>
      </c>
      <c r="C589" t="s">
        <v>68</v>
      </c>
      <c r="D589" s="6" t="s">
        <v>1087</v>
      </c>
      <c r="E589" s="7" t="str">
        <f t="shared" si="279"/>
        <v>=14.13*100000000</v>
      </c>
      <c r="F589" s="1">
        <f>14.13*100000000</f>
        <v>1413000000</v>
      </c>
      <c r="G589" s="8">
        <f t="shared" si="281"/>
        <v>0.22443674176776429</v>
      </c>
      <c r="H589" s="6" t="s">
        <v>2038</v>
      </c>
      <c r="I589" s="6" t="str">
        <f t="shared" si="282"/>
        <v>=11.54*100000000</v>
      </c>
      <c r="J589" s="1">
        <f>11.54*100000000</f>
        <v>1154000000</v>
      </c>
      <c r="K589" s="10">
        <f t="shared" si="283"/>
        <v>0.47853939782190902</v>
      </c>
      <c r="L589" s="6" t="s">
        <v>7006</v>
      </c>
      <c r="M589" s="6" t="str">
        <f t="shared" si="284"/>
        <v>=7.805*100000000</v>
      </c>
      <c r="N589" s="1">
        <f>7.805*100000000</f>
        <v>780500000</v>
      </c>
      <c r="O589" s="8">
        <f t="shared" si="285"/>
        <v>1.1572692095080155</v>
      </c>
      <c r="P589" s="6" t="s">
        <v>7007</v>
      </c>
      <c r="Q589" s="6" t="str">
        <f t="shared" si="286"/>
        <v>=3.618*100000000</v>
      </c>
      <c r="R589" s="11">
        <f>3.618*100000000</f>
        <v>361800000</v>
      </c>
      <c r="S589" s="8">
        <f t="shared" si="287"/>
        <v>-0.70197693574958819</v>
      </c>
      <c r="T589" s="6" t="s">
        <v>2082</v>
      </c>
      <c r="U589" s="6" t="str">
        <f t="shared" si="288"/>
        <v>=12.14*100000000</v>
      </c>
      <c r="V589" s="1">
        <f>12.14*100000000</f>
        <v>1214000000</v>
      </c>
      <c r="W589" s="8">
        <f t="shared" si="289"/>
        <v>0.47276477010797041</v>
      </c>
      <c r="X589" s="6" t="s">
        <v>7008</v>
      </c>
      <c r="Y589" s="6" t="str">
        <f t="shared" si="290"/>
        <v>=8.243*100000000</v>
      </c>
      <c r="Z589" s="1">
        <f>8.243*100000000</f>
        <v>824300000</v>
      </c>
      <c r="AA589" s="8">
        <f t="shared" si="291"/>
        <v>0.35508795002465887</v>
      </c>
      <c r="AB589" s="6" t="s">
        <v>7009</v>
      </c>
      <c r="AC589" s="6" t="str">
        <f t="shared" si="292"/>
        <v>=6.083*100000000</v>
      </c>
      <c r="AD589" s="1">
        <f>6.083*100000000</f>
        <v>608300000</v>
      </c>
      <c r="AE589" s="8">
        <f t="shared" si="293"/>
        <v>6.6486860304287694</v>
      </c>
      <c r="AF589" s="7" t="s">
        <v>7010</v>
      </c>
      <c r="AG589" s="6" t="str">
        <f t="shared" si="294"/>
        <v>=7953*10000</v>
      </c>
      <c r="AH589" s="1">
        <f>7953*10000</f>
        <v>79530000</v>
      </c>
      <c r="AI589" s="8">
        <f t="shared" si="295"/>
        <v>-0.89488501189532121</v>
      </c>
      <c r="AJ589" s="6" t="s">
        <v>7011</v>
      </c>
      <c r="AK589" s="6" t="str">
        <f t="shared" si="296"/>
        <v>=7.566*100000000</v>
      </c>
      <c r="AL589" s="1">
        <f>7.566*100000000</f>
        <v>756600000</v>
      </c>
      <c r="AM589" s="8">
        <f t="shared" si="297"/>
        <v>0.23385518590998042</v>
      </c>
      <c r="AN589" s="6" t="s">
        <v>7012</v>
      </c>
      <c r="AO589" s="6" t="str">
        <f t="shared" si="298"/>
        <v>=6.132*100000000</v>
      </c>
      <c r="AP589" s="1">
        <f>6.132*100000000</f>
        <v>613200000</v>
      </c>
      <c r="AQ589" s="8">
        <f t="shared" si="299"/>
        <v>0.36631016042780729</v>
      </c>
      <c r="AR589" s="6" t="s">
        <v>7013</v>
      </c>
      <c r="AS589" s="6" t="str">
        <f t="shared" si="300"/>
        <v>=4.488*100000000</v>
      </c>
      <c r="AT589" s="1">
        <f>4.488*100000000</f>
        <v>448800000.00000006</v>
      </c>
      <c r="AU589" s="8">
        <f t="shared" si="301"/>
        <v>2.9681697612732099</v>
      </c>
      <c r="AV589" s="6" t="s">
        <v>4468</v>
      </c>
      <c r="AW589" s="6" t="str">
        <f t="shared" si="302"/>
        <v>=1.131*100000000</v>
      </c>
      <c r="AX589" s="1">
        <f>1.131*100000000</f>
        <v>113100000</v>
      </c>
      <c r="AY589" s="10">
        <f t="shared" si="303"/>
        <v>-0.86203952183459376</v>
      </c>
      <c r="AZ589" s="6" t="s">
        <v>7014</v>
      </c>
      <c r="BA589" s="6" t="str">
        <f t="shared" si="304"/>
        <v>=8.198*100000000</v>
      </c>
      <c r="BB589" s="1">
        <f>8.198*100000000</f>
        <v>819800000</v>
      </c>
      <c r="BC589" s="8">
        <f t="shared" si="305"/>
        <v>0.83359427421158583</v>
      </c>
      <c r="BD589" s="6" t="s">
        <v>7015</v>
      </c>
      <c r="BE589" s="6" t="str">
        <f t="shared" si="306"/>
        <v>=4.471*100000000</v>
      </c>
      <c r="BF589" s="1">
        <f>4.471*100000000</f>
        <v>447100000</v>
      </c>
      <c r="BG589" s="8">
        <f t="shared" si="307"/>
        <v>0.48193569771295991</v>
      </c>
      <c r="BH589" s="6" t="s">
        <v>7016</v>
      </c>
      <c r="BI589" s="6" t="str">
        <f t="shared" si="308"/>
        <v>=3.017*100000000</v>
      </c>
      <c r="BJ589" s="1">
        <f>3.017*100000000</f>
        <v>301700000</v>
      </c>
      <c r="BK589" s="6" t="s">
        <v>4870</v>
      </c>
      <c r="BL589" s="1" t="str">
        <f t="shared" si="280"/>
        <v>=1.079*100000000</v>
      </c>
      <c r="BM589" s="16">
        <f t="shared" si="309"/>
        <v>1.7961075069508805</v>
      </c>
      <c r="BN589" s="1">
        <f>1.079*100000000</f>
        <v>107900000</v>
      </c>
    </row>
    <row r="590" spans="1:66">
      <c r="A590" s="17">
        <v>148</v>
      </c>
      <c r="B590">
        <v>600505</v>
      </c>
      <c r="C590" t="s">
        <v>31</v>
      </c>
      <c r="D590" s="6" t="s">
        <v>937</v>
      </c>
      <c r="E590" s="7" t="str">
        <f t="shared" si="279"/>
        <v>=10.81*100000000</v>
      </c>
      <c r="F590" s="1">
        <f>10.81*100000000</f>
        <v>1081000000</v>
      </c>
      <c r="G590" s="8">
        <f t="shared" si="281"/>
        <v>0.32507967639127239</v>
      </c>
      <c r="H590" s="6" t="s">
        <v>7017</v>
      </c>
      <c r="I590" s="6" t="str">
        <f t="shared" si="282"/>
        <v>=8.158*100000000</v>
      </c>
      <c r="J590" s="1">
        <f>8.158*100000000</f>
        <v>815800000</v>
      </c>
      <c r="K590" s="10">
        <f t="shared" si="283"/>
        <v>0.62509960159362565</v>
      </c>
      <c r="L590" s="6" t="s">
        <v>1236</v>
      </c>
      <c r="M590" s="6" t="str">
        <f t="shared" si="284"/>
        <v>=5.020*100000000</v>
      </c>
      <c r="N590" s="1">
        <f>5.02*100000000</f>
        <v>501999999.99999994</v>
      </c>
      <c r="O590" s="8">
        <f t="shared" si="285"/>
        <v>1.0274636510500805</v>
      </c>
      <c r="P590" s="6" t="s">
        <v>3488</v>
      </c>
      <c r="Q590" s="6" t="str">
        <f t="shared" si="286"/>
        <v>=2.476*100000000</v>
      </c>
      <c r="R590" s="11">
        <f>2.476*100000000</f>
        <v>247600000</v>
      </c>
      <c r="S590" s="8">
        <f t="shared" si="287"/>
        <v>-0.74259278511279758</v>
      </c>
      <c r="T590" s="6" t="s">
        <v>7018</v>
      </c>
      <c r="U590" s="6" t="str">
        <f t="shared" si="288"/>
        <v>=9.619*100000000</v>
      </c>
      <c r="V590" s="1">
        <f>9.619*100000000</f>
        <v>961900000</v>
      </c>
      <c r="W590" s="8">
        <f t="shared" si="289"/>
        <v>0.36944760820045558</v>
      </c>
      <c r="X590" s="6" t="s">
        <v>7019</v>
      </c>
      <c r="Y590" s="6" t="str">
        <f t="shared" si="290"/>
        <v>=7.024*100000000</v>
      </c>
      <c r="Z590" s="1">
        <f>7.024*100000000</f>
        <v>702400000</v>
      </c>
      <c r="AA590" s="8">
        <f t="shared" si="291"/>
        <v>0.66682486948267661</v>
      </c>
      <c r="AB590" s="6" t="s">
        <v>7020</v>
      </c>
      <c r="AC590" s="6" t="str">
        <f t="shared" si="292"/>
        <v>=4.214*100000000</v>
      </c>
      <c r="AD590" s="1">
        <f>4.214*100000000</f>
        <v>421400000.00000006</v>
      </c>
      <c r="AE590" s="8">
        <f t="shared" si="293"/>
        <v>1.0298651252408482</v>
      </c>
      <c r="AF590" s="6" t="s">
        <v>2190</v>
      </c>
      <c r="AG590" s="6" t="str">
        <f t="shared" si="294"/>
        <v>=2.076*100000000</v>
      </c>
      <c r="AH590" s="1">
        <f>2.076*100000000</f>
        <v>207600000</v>
      </c>
      <c r="AI590" s="8">
        <f t="shared" si="295"/>
        <v>-0.7811050189793336</v>
      </c>
      <c r="AJ590" s="6" t="s">
        <v>7021</v>
      </c>
      <c r="AK590" s="6" t="str">
        <f t="shared" si="296"/>
        <v>=9.484*100000000</v>
      </c>
      <c r="AL590" s="1">
        <f>9.484*100000000</f>
        <v>948400000</v>
      </c>
      <c r="AM590" s="8">
        <f t="shared" si="297"/>
        <v>0.37111464507734565</v>
      </c>
      <c r="AN590" s="6" t="s">
        <v>5993</v>
      </c>
      <c r="AO590" s="6" t="str">
        <f t="shared" si="298"/>
        <v>=6.917*100000000</v>
      </c>
      <c r="AP590" s="1">
        <f>6.917*100000000</f>
        <v>691700000</v>
      </c>
      <c r="AQ590" s="8">
        <f t="shared" si="299"/>
        <v>0.56883647085506917</v>
      </c>
      <c r="AR590" s="6" t="s">
        <v>5478</v>
      </c>
      <c r="AS590" s="6" t="str">
        <f t="shared" si="300"/>
        <v>=4.409*100000000</v>
      </c>
      <c r="AT590" s="1">
        <f>4.409*100000000</f>
        <v>440900000</v>
      </c>
      <c r="AU590" s="8">
        <f t="shared" si="301"/>
        <v>0.98782687105500455</v>
      </c>
      <c r="AV590" s="6" t="s">
        <v>7022</v>
      </c>
      <c r="AW590" s="6" t="str">
        <f t="shared" si="302"/>
        <v>=2.218*100000000</v>
      </c>
      <c r="AX590" s="1">
        <f>2.218*100000000</f>
        <v>221800000</v>
      </c>
      <c r="AY590" s="10">
        <f t="shared" si="303"/>
        <v>-0.76539031097947963</v>
      </c>
      <c r="AZ590" s="6" t="s">
        <v>7023</v>
      </c>
      <c r="BA590" s="6" t="str">
        <f t="shared" si="304"/>
        <v>=9.454*100000000</v>
      </c>
      <c r="BB590" s="1">
        <f>9.454*100000000</f>
        <v>945400000.00000012</v>
      </c>
      <c r="BC590" s="8">
        <f t="shared" si="305"/>
        <v>0.35463533457515423</v>
      </c>
      <c r="BD590" s="6" t="s">
        <v>7024</v>
      </c>
      <c r="BE590" s="6" t="str">
        <f t="shared" si="306"/>
        <v>=6.979*100000000</v>
      </c>
      <c r="BF590" s="1">
        <f>6.979*100000000</f>
        <v>697900000</v>
      </c>
      <c r="BG590" s="8">
        <f t="shared" si="307"/>
        <v>0.59228838694957786</v>
      </c>
      <c r="BH590" s="6" t="s">
        <v>7025</v>
      </c>
      <c r="BI590" s="6" t="str">
        <f t="shared" si="308"/>
        <v>=4.383*100000000</v>
      </c>
      <c r="BJ590" s="1">
        <f>4.383*100000000</f>
        <v>438300000</v>
      </c>
      <c r="BK590" s="6" t="s">
        <v>7026</v>
      </c>
      <c r="BL590" s="1" t="str">
        <f t="shared" si="280"/>
        <v>=2.189*100000000</v>
      </c>
      <c r="BM590" s="16">
        <f t="shared" si="309"/>
        <v>1.0022841480127913</v>
      </c>
      <c r="BN590" s="1">
        <f>2.189*100000000</f>
        <v>218900000</v>
      </c>
    </row>
    <row r="591" spans="1:66">
      <c r="A591" s="18"/>
      <c r="B591">
        <v>600505</v>
      </c>
      <c r="C591" t="s">
        <v>48</v>
      </c>
      <c r="D591" s="7" t="s">
        <v>3456</v>
      </c>
      <c r="E591" s="7" t="str">
        <f t="shared" si="279"/>
        <v>=6079*10000</v>
      </c>
      <c r="F591" s="1">
        <f>6079*10000</f>
        <v>60790000</v>
      </c>
      <c r="G591" s="8">
        <f t="shared" si="281"/>
        <v>0.19783251231527094</v>
      </c>
      <c r="H591" s="7" t="s">
        <v>7027</v>
      </c>
      <c r="I591" s="6" t="str">
        <f t="shared" si="282"/>
        <v>=5075*10000</v>
      </c>
      <c r="J591" s="1">
        <f>5075*10000</f>
        <v>50750000</v>
      </c>
      <c r="K591" s="10">
        <f t="shared" si="283"/>
        <v>27.818852924474729</v>
      </c>
      <c r="L591" s="7" t="s">
        <v>7028</v>
      </c>
      <c r="M591" s="6" t="str">
        <f t="shared" si="284"/>
        <v>=176.1*10000</v>
      </c>
      <c r="N591" s="1">
        <f>176.1*10000</f>
        <v>1761000</v>
      </c>
      <c r="O591" s="8">
        <f t="shared" si="285"/>
        <v>-0.70228233305156385</v>
      </c>
      <c r="P591" s="7" t="s">
        <v>7029</v>
      </c>
      <c r="Q591" s="6" t="str">
        <f t="shared" si="286"/>
        <v>=591.5*10000</v>
      </c>
      <c r="R591" s="11">
        <f>591.5*10000</f>
        <v>5915000</v>
      </c>
      <c r="S591" s="8">
        <f t="shared" si="287"/>
        <v>-0.8843597262952102</v>
      </c>
      <c r="T591" s="7" t="s">
        <v>7030</v>
      </c>
      <c r="U591" s="6" t="str">
        <f t="shared" si="288"/>
        <v>=5115*10000</v>
      </c>
      <c r="V591" s="1">
        <f>5115*10000</f>
        <v>51150000</v>
      </c>
      <c r="W591" s="8">
        <f t="shared" si="289"/>
        <v>0.41454646017699115</v>
      </c>
      <c r="X591" s="7" t="s">
        <v>7031</v>
      </c>
      <c r="Y591" s="6" t="str">
        <f t="shared" si="290"/>
        <v>=3616*10000</v>
      </c>
      <c r="Z591" s="1">
        <f>3616*10000</f>
        <v>36160000</v>
      </c>
      <c r="AA591" s="8">
        <f t="shared" si="291"/>
        <v>-2.2438940488476091</v>
      </c>
      <c r="AB591" s="7">
        <f>-2907*10000</f>
        <v>-29070000</v>
      </c>
      <c r="AC591" s="6" t="str">
        <f t="shared" si="292"/>
        <v>=-29070000</v>
      </c>
      <c r="AD591" s="1">
        <f>-29070000</f>
        <v>-29070000</v>
      </c>
      <c r="AE591" s="8">
        <f t="shared" si="293"/>
        <v>2.103448275862069</v>
      </c>
      <c r="AF591" s="7">
        <f>-936.7*10000</f>
        <v>-9367000</v>
      </c>
      <c r="AG591" s="6" t="str">
        <f t="shared" si="294"/>
        <v>=-9367000</v>
      </c>
      <c r="AH591" s="1">
        <f>-9367000</f>
        <v>-9367000</v>
      </c>
      <c r="AI591" s="8">
        <f t="shared" si="295"/>
        <v>-1.1628193985746567</v>
      </c>
      <c r="AJ591" s="7" t="s">
        <v>3711</v>
      </c>
      <c r="AK591" s="6" t="str">
        <f t="shared" si="296"/>
        <v>=5753*10000</v>
      </c>
      <c r="AL591" s="1">
        <f>5753*10000</f>
        <v>57530000</v>
      </c>
      <c r="AM591" s="8">
        <f t="shared" si="297"/>
        <v>-1.7085255424568596E-2</v>
      </c>
      <c r="AN591" s="7" t="s">
        <v>7032</v>
      </c>
      <c r="AO591" s="6" t="str">
        <f t="shared" si="298"/>
        <v>=5853*10000</v>
      </c>
      <c r="AP591" s="1">
        <f>5853*10000</f>
        <v>58530000</v>
      </c>
      <c r="AQ591" s="8">
        <f t="shared" si="299"/>
        <v>9.2360965372507877</v>
      </c>
      <c r="AR591" s="7" t="s">
        <v>7033</v>
      </c>
      <c r="AS591" s="6" t="str">
        <f t="shared" si="300"/>
        <v>=571.8*10000</v>
      </c>
      <c r="AT591" s="1">
        <f>571.8*10000</f>
        <v>5718000</v>
      </c>
      <c r="AU591" s="8">
        <f t="shared" si="301"/>
        <v>-0.41569589209074187</v>
      </c>
      <c r="AV591" s="7" t="s">
        <v>7034</v>
      </c>
      <c r="AW591" s="6" t="str">
        <f t="shared" si="302"/>
        <v>=978.6*10000</v>
      </c>
      <c r="AX591" s="1">
        <f>978.6*10000</f>
        <v>9786000</v>
      </c>
      <c r="AY591" s="10">
        <f t="shared" si="303"/>
        <v>-0.88547688706846106</v>
      </c>
      <c r="AZ591" s="7" t="s">
        <v>4574</v>
      </c>
      <c r="BA591" s="6" t="str">
        <f t="shared" si="304"/>
        <v>=8545*10000</v>
      </c>
      <c r="BB591" s="1">
        <f>8545*10000</f>
        <v>85450000</v>
      </c>
      <c r="BC591" s="8">
        <f t="shared" si="305"/>
        <v>0.432523051131601</v>
      </c>
      <c r="BD591" s="7" t="s">
        <v>7035</v>
      </c>
      <c r="BE591" s="6" t="str">
        <f t="shared" si="306"/>
        <v>=5965*10000</v>
      </c>
      <c r="BF591" s="1">
        <f>5965*10000</f>
        <v>59650000</v>
      </c>
      <c r="BG591" s="8">
        <f t="shared" si="307"/>
        <v>4.3835740072202167</v>
      </c>
      <c r="BH591" s="7" t="s">
        <v>7036</v>
      </c>
      <c r="BI591" s="6" t="str">
        <f t="shared" si="308"/>
        <v>=1108*10000</v>
      </c>
      <c r="BJ591" s="1">
        <f>1108*10000</f>
        <v>11080000</v>
      </c>
      <c r="BK591" s="7" t="s">
        <v>6625</v>
      </c>
      <c r="BL591" s="1" t="str">
        <f t="shared" si="280"/>
        <v>=829.8*10000</v>
      </c>
      <c r="BM591" s="16">
        <f t="shared" si="309"/>
        <v>0.33526150879730054</v>
      </c>
      <c r="BN591" s="1">
        <f>829.8*10000</f>
        <v>8298000</v>
      </c>
    </row>
    <row r="592" spans="1:66">
      <c r="A592" s="18"/>
      <c r="B592">
        <v>600505</v>
      </c>
      <c r="C592" t="s">
        <v>58</v>
      </c>
      <c r="D592" s="7" t="s">
        <v>3849</v>
      </c>
      <c r="E592" s="7" t="str">
        <f t="shared" si="279"/>
        <v>=6281*10000</v>
      </c>
      <c r="F592" s="1">
        <f>6281*10000</f>
        <v>62810000</v>
      </c>
      <c r="G592" s="8">
        <f t="shared" si="281"/>
        <v>0.2027958636537725</v>
      </c>
      <c r="H592" s="7" t="s">
        <v>7037</v>
      </c>
      <c r="I592" s="6" t="str">
        <f t="shared" si="282"/>
        <v>=5222*10000</v>
      </c>
      <c r="J592" s="1">
        <f>5222*10000</f>
        <v>52220000</v>
      </c>
      <c r="K592" s="10">
        <f t="shared" si="283"/>
        <v>18.521495327102805</v>
      </c>
      <c r="L592" s="7" t="s">
        <v>7038</v>
      </c>
      <c r="M592" s="6" t="str">
        <f t="shared" si="284"/>
        <v>=267.5*10000</v>
      </c>
      <c r="N592" s="1">
        <f>267.5*10000</f>
        <v>2675000</v>
      </c>
      <c r="O592" s="8">
        <f t="shared" si="285"/>
        <v>-0.57620405576679345</v>
      </c>
      <c r="P592" s="7" t="s">
        <v>7039</v>
      </c>
      <c r="Q592" s="6" t="str">
        <f t="shared" si="286"/>
        <v>=631.2*10000</v>
      </c>
      <c r="R592" s="11">
        <f>631.2*10000</f>
        <v>6312000</v>
      </c>
      <c r="S592" s="8">
        <f t="shared" si="287"/>
        <v>-0.88278551532033422</v>
      </c>
      <c r="T592" s="7" t="s">
        <v>7040</v>
      </c>
      <c r="U592" s="6" t="str">
        <f t="shared" si="288"/>
        <v>=5385*10000</v>
      </c>
      <c r="V592" s="1">
        <f>5385*10000</f>
        <v>53850000</v>
      </c>
      <c r="W592" s="8">
        <f t="shared" si="289"/>
        <v>0.36640446587160619</v>
      </c>
      <c r="X592" s="7" t="s">
        <v>7041</v>
      </c>
      <c r="Y592" s="6" t="str">
        <f t="shared" si="290"/>
        <v>=3941*10000</v>
      </c>
      <c r="Z592" s="1">
        <f>3941*10000</f>
        <v>39410000</v>
      </c>
      <c r="AA592" s="8">
        <f t="shared" si="291"/>
        <v>-2.3765281173594133</v>
      </c>
      <c r="AB592" s="7">
        <f>-2863*10000</f>
        <v>-28630000</v>
      </c>
      <c r="AC592" s="6" t="str">
        <f t="shared" si="292"/>
        <v>=-28630000</v>
      </c>
      <c r="AD592" s="1">
        <f>-28630000</f>
        <v>-28630000</v>
      </c>
      <c r="AE592" s="8">
        <f t="shared" si="293"/>
        <v>2.06662382176521</v>
      </c>
      <c r="AF592" s="7">
        <f>-933.6*10000</f>
        <v>-9336000</v>
      </c>
      <c r="AG592" s="6" t="str">
        <f t="shared" si="294"/>
        <v>=-9336000</v>
      </c>
      <c r="AH592" s="1">
        <f>-9336000</f>
        <v>-9336000</v>
      </c>
      <c r="AI592" s="8">
        <f t="shared" si="295"/>
        <v>-1.159073095927756</v>
      </c>
      <c r="AJ592" s="7" t="s">
        <v>5501</v>
      </c>
      <c r="AK592" s="6" t="str">
        <f t="shared" si="296"/>
        <v>=5869*10000</v>
      </c>
      <c r="AL592" s="1">
        <f>5869*10000</f>
        <v>58690000</v>
      </c>
      <c r="AM592" s="8">
        <f t="shared" si="297"/>
        <v>-4.9169209901661582E-3</v>
      </c>
      <c r="AN592" s="7" t="s">
        <v>7042</v>
      </c>
      <c r="AO592" s="6" t="str">
        <f t="shared" si="298"/>
        <v>=5898*10000</v>
      </c>
      <c r="AP592" s="1">
        <f>5898*10000</f>
        <v>58980000</v>
      </c>
      <c r="AQ592" s="8">
        <f t="shared" si="299"/>
        <v>8.9695740365111565</v>
      </c>
      <c r="AR592" s="7" t="s">
        <v>7043</v>
      </c>
      <c r="AS592" s="6" t="str">
        <f t="shared" si="300"/>
        <v>=591.6*10000</v>
      </c>
      <c r="AT592" s="1">
        <f>591.6*10000</f>
        <v>5916000</v>
      </c>
      <c r="AU592" s="8">
        <f t="shared" si="301"/>
        <v>-0.37144071398215045</v>
      </c>
      <c r="AV592" s="7" t="s">
        <v>7044</v>
      </c>
      <c r="AW592" s="6" t="str">
        <f t="shared" si="302"/>
        <v>=941.2*10000</v>
      </c>
      <c r="AX592" s="1">
        <f>941.2*10000</f>
        <v>9412000</v>
      </c>
      <c r="AY592" s="10">
        <f t="shared" si="303"/>
        <v>-0.89373376989951447</v>
      </c>
      <c r="AZ592" s="7" t="s">
        <v>2037</v>
      </c>
      <c r="BA592" s="6" t="str">
        <f t="shared" si="304"/>
        <v>=8857*10000</v>
      </c>
      <c r="BB592" s="1">
        <f>8857*10000</f>
        <v>88570000</v>
      </c>
      <c r="BC592" s="8">
        <f t="shared" si="305"/>
        <v>0.39943118976141573</v>
      </c>
      <c r="BD592" s="7" t="s">
        <v>7045</v>
      </c>
      <c r="BE592" s="6" t="str">
        <f t="shared" si="306"/>
        <v>=6329*10000</v>
      </c>
      <c r="BF592" s="1">
        <f>6329*10000</f>
        <v>63290000</v>
      </c>
      <c r="BG592" s="8">
        <f t="shared" si="307"/>
        <v>3.3890429958391124</v>
      </c>
      <c r="BH592" s="7" t="s">
        <v>7046</v>
      </c>
      <c r="BI592" s="6" t="str">
        <f t="shared" si="308"/>
        <v>=1442*10000</v>
      </c>
      <c r="BJ592" s="1">
        <f>1442*10000</f>
        <v>14420000</v>
      </c>
      <c r="BK592" s="7" t="s">
        <v>7047</v>
      </c>
      <c r="BL592" s="1" t="str">
        <f t="shared" si="280"/>
        <v>=797.1*10000</v>
      </c>
      <c r="BM592" s="16">
        <f t="shared" si="309"/>
        <v>0.80905783465060843</v>
      </c>
      <c r="BN592" s="1">
        <f>797.1*10000</f>
        <v>7971000</v>
      </c>
    </row>
    <row r="593" spans="1:66">
      <c r="A593" s="19"/>
      <c r="B593">
        <v>600505</v>
      </c>
      <c r="C593" t="s">
        <v>68</v>
      </c>
      <c r="D593" s="7" t="s">
        <v>7048</v>
      </c>
      <c r="E593" s="7" t="str">
        <f t="shared" si="279"/>
        <v>=4603*10000</v>
      </c>
      <c r="F593" s="1">
        <f>4603*10000</f>
        <v>46030000</v>
      </c>
      <c r="G593" s="8">
        <f t="shared" si="281"/>
        <v>5.9134836631385183E-2</v>
      </c>
      <c r="H593" s="7" t="s">
        <v>7049</v>
      </c>
      <c r="I593" s="6" t="str">
        <f t="shared" si="282"/>
        <v>=4346*10000</v>
      </c>
      <c r="J593" s="1">
        <f>4346*10000</f>
        <v>43460000</v>
      </c>
      <c r="K593" s="10">
        <f t="shared" si="283"/>
        <v>-48.466142420270863</v>
      </c>
      <c r="L593" s="7">
        <f>-91.56*10000</f>
        <v>-915600</v>
      </c>
      <c r="M593" s="6" t="str">
        <f t="shared" si="284"/>
        <v>=-915600</v>
      </c>
      <c r="N593" s="1">
        <f>-915600</f>
        <v>-915600</v>
      </c>
      <c r="O593" s="8">
        <f t="shared" si="285"/>
        <v>-1.2057065827903841</v>
      </c>
      <c r="P593" s="7" t="s">
        <v>7050</v>
      </c>
      <c r="Q593" s="6" t="str">
        <f t="shared" si="286"/>
        <v>=445.1*10000</v>
      </c>
      <c r="R593" s="11">
        <f>445.1*10000</f>
        <v>4451000</v>
      </c>
      <c r="S593" s="8">
        <f t="shared" si="287"/>
        <v>-0.89058505408062927</v>
      </c>
      <c r="T593" s="7" t="s">
        <v>7051</v>
      </c>
      <c r="U593" s="6" t="str">
        <f t="shared" si="288"/>
        <v>=4068*10000</v>
      </c>
      <c r="V593" s="1">
        <f>4068*10000</f>
        <v>40680000</v>
      </c>
      <c r="W593" s="8">
        <f t="shared" si="289"/>
        <v>0.23497267759562843</v>
      </c>
      <c r="X593" s="7" t="s">
        <v>7052</v>
      </c>
      <c r="Y593" s="6" t="str">
        <f t="shared" si="290"/>
        <v>=3294*10000</v>
      </c>
      <c r="Z593" s="1">
        <f>3294*10000</f>
        <v>32940000</v>
      </c>
      <c r="AA593" s="8">
        <f t="shared" si="291"/>
        <v>-2.0691333982473221</v>
      </c>
      <c r="AB593" s="7">
        <f>-3081*10000</f>
        <v>-30810000</v>
      </c>
      <c r="AC593" s="6" t="str">
        <f t="shared" si="292"/>
        <v>=-30810000</v>
      </c>
      <c r="AD593" s="1">
        <f>-30810000</f>
        <v>-30810000</v>
      </c>
      <c r="AE593" s="8">
        <f t="shared" si="293"/>
        <v>1.8085688240656335</v>
      </c>
      <c r="AF593" s="7">
        <f>-1097*10000</f>
        <v>-10970000</v>
      </c>
      <c r="AG593" s="6" t="str">
        <f t="shared" si="294"/>
        <v>=-10970000</v>
      </c>
      <c r="AH593" s="1">
        <f>-10970000</f>
        <v>-10970000</v>
      </c>
      <c r="AI593" s="8">
        <f t="shared" si="295"/>
        <v>-1.2378061998699328</v>
      </c>
      <c r="AJ593" s="7" t="s">
        <v>7053</v>
      </c>
      <c r="AK593" s="6" t="str">
        <f t="shared" si="296"/>
        <v>=4613*10000</v>
      </c>
      <c r="AL593" s="1">
        <f>4613*10000</f>
        <v>46130000</v>
      </c>
      <c r="AM593" s="8">
        <f t="shared" si="297"/>
        <v>-6.543760129659644E-2</v>
      </c>
      <c r="AN593" s="7" t="s">
        <v>7054</v>
      </c>
      <c r="AO593" s="6" t="str">
        <f t="shared" si="298"/>
        <v>=4936*10000</v>
      </c>
      <c r="AP593" s="1">
        <f>4936*10000</f>
        <v>49360000</v>
      </c>
      <c r="AQ593" s="8">
        <f t="shared" si="299"/>
        <v>21.683823529411764</v>
      </c>
      <c r="AR593" s="7" t="s">
        <v>7055</v>
      </c>
      <c r="AS593" s="6" t="str">
        <f t="shared" si="300"/>
        <v>=217.6*10000</v>
      </c>
      <c r="AT593" s="1">
        <f>217.6*10000</f>
        <v>2176000</v>
      </c>
      <c r="AU593" s="8">
        <f t="shared" si="301"/>
        <v>-0.65759244689221086</v>
      </c>
      <c r="AV593" s="7" t="s">
        <v>7056</v>
      </c>
      <c r="AW593" s="6" t="str">
        <f t="shared" si="302"/>
        <v>=635.5*10000</v>
      </c>
      <c r="AX593" s="1">
        <f>635.5*10000</f>
        <v>6355000</v>
      </c>
      <c r="AY593" s="10">
        <f t="shared" si="303"/>
        <v>-0.91008771929824561</v>
      </c>
      <c r="AZ593" s="7" t="s">
        <v>7057</v>
      </c>
      <c r="BA593" s="6" t="str">
        <f t="shared" si="304"/>
        <v>=7068*10000</v>
      </c>
      <c r="BB593" s="1">
        <f>7068*10000</f>
        <v>70680000</v>
      </c>
      <c r="BC593" s="8">
        <f t="shared" si="305"/>
        <v>0.34551684751570533</v>
      </c>
      <c r="BD593" s="7" t="s">
        <v>7058</v>
      </c>
      <c r="BE593" s="6" t="str">
        <f t="shared" si="306"/>
        <v>=5253*10000</v>
      </c>
      <c r="BF593" s="1">
        <f>5253*10000</f>
        <v>52530000</v>
      </c>
      <c r="BG593" s="8">
        <f t="shared" si="307"/>
        <v>4.4087726523887971</v>
      </c>
      <c r="BH593" s="7" t="s">
        <v>7059</v>
      </c>
      <c r="BI593" s="6" t="str">
        <f t="shared" si="308"/>
        <v>=971.2*10000</v>
      </c>
      <c r="BJ593" s="1">
        <f>971.2*10000</f>
        <v>9712000</v>
      </c>
      <c r="BK593" s="7" t="s">
        <v>7060</v>
      </c>
      <c r="BL593" s="1" t="str">
        <f t="shared" si="280"/>
        <v>=529.3*10000</v>
      </c>
      <c r="BM593" s="16">
        <f t="shared" si="309"/>
        <v>0.83487625165312673</v>
      </c>
      <c r="BN593" s="1">
        <f>529.3*10000</f>
        <v>5293000</v>
      </c>
    </row>
    <row r="594" spans="1:66">
      <c r="A594" s="17">
        <v>149</v>
      </c>
      <c r="B594">
        <v>600507</v>
      </c>
      <c r="C594" t="s">
        <v>31</v>
      </c>
      <c r="D594" s="6" t="s">
        <v>7061</v>
      </c>
      <c r="E594" s="7" t="str">
        <f t="shared" si="279"/>
        <v>=216.8*100000000</v>
      </c>
      <c r="F594" s="1">
        <f>216.8*100000000</f>
        <v>21680000000</v>
      </c>
      <c r="G594" s="8">
        <f t="shared" si="281"/>
        <v>0.35584740462789244</v>
      </c>
      <c r="H594" s="6" t="s">
        <v>4940</v>
      </c>
      <c r="I594" s="6" t="str">
        <f t="shared" si="282"/>
        <v>=159.9*100000000</v>
      </c>
      <c r="J594" s="1">
        <f>159.9*100000000</f>
        <v>15990000000</v>
      </c>
      <c r="K594" s="10">
        <f t="shared" si="283"/>
        <v>0.62055335968379444</v>
      </c>
      <c r="L594" s="6" t="s">
        <v>7062</v>
      </c>
      <c r="M594" s="6" t="str">
        <f t="shared" si="284"/>
        <v>=98.67*100000000</v>
      </c>
      <c r="N594" s="1">
        <f>98.67*100000000</f>
        <v>9867000000</v>
      </c>
      <c r="O594" s="8">
        <f t="shared" si="285"/>
        <v>1.4411182582879762</v>
      </c>
      <c r="P594" s="6" t="s">
        <v>7063</v>
      </c>
      <c r="Q594" s="6" t="str">
        <f t="shared" si="286"/>
        <v>=40.42*100000000</v>
      </c>
      <c r="R594" s="11">
        <f>40.42*100000000</f>
        <v>4042000000</v>
      </c>
      <c r="S594" s="8">
        <f t="shared" si="287"/>
        <v>-0.75650602409638557</v>
      </c>
      <c r="T594" s="6" t="s">
        <v>7064</v>
      </c>
      <c r="U594" s="6" t="str">
        <f t="shared" si="288"/>
        <v>=166.0*100000000</v>
      </c>
      <c r="V594" s="1">
        <f>166*100000000</f>
        <v>16600000000</v>
      </c>
      <c r="W594" s="8">
        <f t="shared" si="289"/>
        <v>0.3996627318718381</v>
      </c>
      <c r="X594" s="6" t="s">
        <v>3321</v>
      </c>
      <c r="Y594" s="6" t="str">
        <f t="shared" si="290"/>
        <v>=118.6*100000000</v>
      </c>
      <c r="Z594" s="1">
        <f>118.6*100000000</f>
        <v>11860000000</v>
      </c>
      <c r="AA594" s="8">
        <f t="shared" si="291"/>
        <v>0.61207013728421933</v>
      </c>
      <c r="AB594" s="6" t="s">
        <v>7065</v>
      </c>
      <c r="AC594" s="6" t="str">
        <f t="shared" si="292"/>
        <v>=73.57*100000000</v>
      </c>
      <c r="AD594" s="1">
        <f>73.57*100000000</f>
        <v>7356999999.999999</v>
      </c>
      <c r="AE594" s="8">
        <f t="shared" si="293"/>
        <v>1.310615577889447</v>
      </c>
      <c r="AF594" s="6" t="s">
        <v>7066</v>
      </c>
      <c r="AG594" s="6" t="str">
        <f t="shared" si="294"/>
        <v>=31.84*100000000</v>
      </c>
      <c r="AH594" s="1">
        <f>31.84*100000000</f>
        <v>3184000000</v>
      </c>
      <c r="AI594" s="8">
        <f t="shared" si="295"/>
        <v>-0.79311241065627025</v>
      </c>
      <c r="AJ594" s="6" t="s">
        <v>7067</v>
      </c>
      <c r="AK594" s="6" t="str">
        <f t="shared" si="296"/>
        <v>=153.9*100000000</v>
      </c>
      <c r="AL594" s="1">
        <f>153.9*100000000</f>
        <v>15390000000</v>
      </c>
      <c r="AM594" s="8">
        <f t="shared" si="297"/>
        <v>0.38773669972948605</v>
      </c>
      <c r="AN594" s="6" t="s">
        <v>7068</v>
      </c>
      <c r="AO594" s="6" t="str">
        <f t="shared" si="298"/>
        <v>=110.9*100000000</v>
      </c>
      <c r="AP594" s="1">
        <f>110.9*100000000</f>
        <v>11090000000</v>
      </c>
      <c r="AQ594" s="8">
        <f t="shared" si="299"/>
        <v>0.3437537865018781</v>
      </c>
      <c r="AR594" s="6" t="s">
        <v>7069</v>
      </c>
      <c r="AS594" s="6" t="str">
        <f t="shared" si="300"/>
        <v>=82.53*100000000</v>
      </c>
      <c r="AT594" s="1">
        <f>82.53*100000000</f>
        <v>8253000000</v>
      </c>
      <c r="AU594" s="8">
        <f t="shared" si="301"/>
        <v>1.0967987804878048</v>
      </c>
      <c r="AV594" s="6" t="s">
        <v>6108</v>
      </c>
      <c r="AW594" s="6" t="str">
        <f t="shared" si="302"/>
        <v>=39.36*100000000</v>
      </c>
      <c r="AX594" s="1">
        <f>39.36*100000000</f>
        <v>3936000000</v>
      </c>
      <c r="AY594" s="10">
        <f t="shared" si="303"/>
        <v>-0.77235396182764604</v>
      </c>
      <c r="AZ594" s="6" t="s">
        <v>7070</v>
      </c>
      <c r="BA594" s="6" t="str">
        <f t="shared" si="304"/>
        <v>=172.9*100000000</v>
      </c>
      <c r="BB594" s="1">
        <f>172.9*100000000</f>
        <v>17290000000</v>
      </c>
      <c r="BC594" s="8">
        <f t="shared" si="305"/>
        <v>0.35289514866979654</v>
      </c>
      <c r="BD594" s="6" t="s">
        <v>7071</v>
      </c>
      <c r="BE594" s="6" t="str">
        <f t="shared" si="306"/>
        <v>=127.8*100000000</v>
      </c>
      <c r="BF594" s="1">
        <f>127.8*100000000</f>
        <v>12780000000</v>
      </c>
      <c r="BG594" s="8">
        <f t="shared" si="307"/>
        <v>0.55134741442097601</v>
      </c>
      <c r="BH594" s="6" t="s">
        <v>7072</v>
      </c>
      <c r="BI594" s="6" t="str">
        <f t="shared" si="308"/>
        <v>=82.38*100000000</v>
      </c>
      <c r="BJ594" s="1">
        <f>82.38*100000000</f>
        <v>8238000000</v>
      </c>
      <c r="BK594" s="6" t="s">
        <v>7073</v>
      </c>
      <c r="BL594" s="1" t="str">
        <f t="shared" si="280"/>
        <v>=38.63*100000000</v>
      </c>
      <c r="BM594" s="16">
        <f t="shared" si="309"/>
        <v>1.1325394770903441</v>
      </c>
      <c r="BN594" s="1">
        <f>38.63*100000000</f>
        <v>3863000000.0000005</v>
      </c>
    </row>
    <row r="595" spans="1:66">
      <c r="A595" s="18"/>
      <c r="B595">
        <v>600507</v>
      </c>
      <c r="C595" t="s">
        <v>48</v>
      </c>
      <c r="D595" s="6" t="s">
        <v>7074</v>
      </c>
      <c r="E595" s="7" t="str">
        <f t="shared" si="279"/>
        <v>=36.73*100000000</v>
      </c>
      <c r="F595" s="1">
        <f>36.73*100000000</f>
        <v>3672999999.9999995</v>
      </c>
      <c r="G595" s="8">
        <f t="shared" si="281"/>
        <v>0.26961631524369151</v>
      </c>
      <c r="H595" s="6" t="s">
        <v>7075</v>
      </c>
      <c r="I595" s="6" t="str">
        <f t="shared" si="282"/>
        <v>=28.93*100000000</v>
      </c>
      <c r="J595" s="1">
        <f>28.93*100000000</f>
        <v>2893000000</v>
      </c>
      <c r="K595" s="10">
        <f t="shared" si="283"/>
        <v>0.46332827516439051</v>
      </c>
      <c r="L595" s="6" t="s">
        <v>7076</v>
      </c>
      <c r="M595" s="6" t="str">
        <f t="shared" si="284"/>
        <v>=19.77*100000000</v>
      </c>
      <c r="N595" s="1">
        <f>19.77*100000000</f>
        <v>1977000000</v>
      </c>
      <c r="O595" s="8">
        <f t="shared" si="285"/>
        <v>1.6861413043478262</v>
      </c>
      <c r="P595" s="6" t="s">
        <v>7077</v>
      </c>
      <c r="Q595" s="6" t="str">
        <f t="shared" si="286"/>
        <v>=7.360*100000000</v>
      </c>
      <c r="R595" s="11">
        <f>7.36*100000000</f>
        <v>736000000</v>
      </c>
      <c r="S595" s="8">
        <f t="shared" si="287"/>
        <v>-0.76258064516129032</v>
      </c>
      <c r="T595" s="6" t="s">
        <v>7078</v>
      </c>
      <c r="U595" s="6" t="str">
        <f t="shared" si="288"/>
        <v>=31.00*100000000</v>
      </c>
      <c r="V595" s="1">
        <f>31*100000000</f>
        <v>3100000000</v>
      </c>
      <c r="W595" s="8">
        <f t="shared" si="289"/>
        <v>0.41230068337129838</v>
      </c>
      <c r="X595" s="6" t="s">
        <v>7079</v>
      </c>
      <c r="Y595" s="6" t="str">
        <f t="shared" si="290"/>
        <v>=21.95*100000000</v>
      </c>
      <c r="Z595" s="1">
        <f>21.95*100000000</f>
        <v>2195000000</v>
      </c>
      <c r="AA595" s="8">
        <f t="shared" si="291"/>
        <v>0.71350507416081188</v>
      </c>
      <c r="AB595" s="6" t="s">
        <v>3969</v>
      </c>
      <c r="AC595" s="6" t="str">
        <f t="shared" si="292"/>
        <v>=12.81*100000000</v>
      </c>
      <c r="AD595" s="1">
        <f>12.81*100000000</f>
        <v>1281000000</v>
      </c>
      <c r="AE595" s="8">
        <f t="shared" si="293"/>
        <v>2.2587127957262783</v>
      </c>
      <c r="AF595" s="6" t="s">
        <v>2811</v>
      </c>
      <c r="AG595" s="6" t="str">
        <f t="shared" si="294"/>
        <v>=3.931*100000000</v>
      </c>
      <c r="AH595" s="1">
        <f>3.931*100000000</f>
        <v>393100000</v>
      </c>
      <c r="AI595" s="8">
        <f t="shared" si="295"/>
        <v>-0.83434471133586174</v>
      </c>
      <c r="AJ595" s="6" t="s">
        <v>7080</v>
      </c>
      <c r="AK595" s="6" t="str">
        <f t="shared" si="296"/>
        <v>=23.73*100000000</v>
      </c>
      <c r="AL595" s="1">
        <f>23.73*100000000</f>
        <v>2373000000</v>
      </c>
      <c r="AM595" s="8">
        <f t="shared" si="297"/>
        <v>0.40747330960854095</v>
      </c>
      <c r="AN595" s="6" t="s">
        <v>5649</v>
      </c>
      <c r="AO595" s="6" t="str">
        <f t="shared" si="298"/>
        <v>=16.86*100000000</v>
      </c>
      <c r="AP595" s="1">
        <f>16.86*100000000</f>
        <v>1686000000</v>
      </c>
      <c r="AQ595" s="8">
        <f t="shared" si="299"/>
        <v>0.20085470085470086</v>
      </c>
      <c r="AR595" s="6" t="s">
        <v>1826</v>
      </c>
      <c r="AS595" s="6" t="str">
        <f t="shared" si="300"/>
        <v>=14.04*100000000</v>
      </c>
      <c r="AT595" s="1">
        <f>14.04*100000000</f>
        <v>1404000000</v>
      </c>
      <c r="AU595" s="8">
        <f t="shared" si="301"/>
        <v>1.2615979381443299</v>
      </c>
      <c r="AV595" s="6" t="s">
        <v>7081</v>
      </c>
      <c r="AW595" s="6" t="str">
        <f t="shared" si="302"/>
        <v>=6.208*100000000</v>
      </c>
      <c r="AX595" s="1">
        <f>6.208*100000000</f>
        <v>620800000</v>
      </c>
      <c r="AY595" s="10">
        <f t="shared" si="303"/>
        <v>-0.84065708418891172</v>
      </c>
      <c r="AZ595" s="6" t="s">
        <v>7082</v>
      </c>
      <c r="BA595" s="6" t="str">
        <f t="shared" si="304"/>
        <v>=38.96*100000000</v>
      </c>
      <c r="BB595" s="1">
        <f>38.96*100000000</f>
        <v>3896000000</v>
      </c>
      <c r="BC595" s="8">
        <f t="shared" si="305"/>
        <v>0.2592113768584357</v>
      </c>
      <c r="BD595" s="6" t="s">
        <v>7083</v>
      </c>
      <c r="BE595" s="6" t="str">
        <f t="shared" si="306"/>
        <v>=30.94*100000000</v>
      </c>
      <c r="BF595" s="1">
        <f>30.94*100000000</f>
        <v>3094000000</v>
      </c>
      <c r="BG595" s="8">
        <f t="shared" si="307"/>
        <v>0.76095617529880477</v>
      </c>
      <c r="BH595" s="6" t="s">
        <v>7084</v>
      </c>
      <c r="BI595" s="6" t="str">
        <f t="shared" si="308"/>
        <v>=17.57*100000000</v>
      </c>
      <c r="BJ595" s="1">
        <f>17.57*100000000</f>
        <v>1757000000</v>
      </c>
      <c r="BK595" s="6" t="s">
        <v>7085</v>
      </c>
      <c r="BL595" s="1" t="str">
        <f t="shared" si="280"/>
        <v>=7.464*100000000</v>
      </c>
      <c r="BM595" s="16">
        <f t="shared" si="309"/>
        <v>1.3539657020364415</v>
      </c>
      <c r="BN595" s="1">
        <f>7.464*100000000</f>
        <v>746400000</v>
      </c>
    </row>
    <row r="596" spans="1:66">
      <c r="A596" s="18"/>
      <c r="B596">
        <v>600507</v>
      </c>
      <c r="C596" t="s">
        <v>58</v>
      </c>
      <c r="D596" s="6" t="s">
        <v>3061</v>
      </c>
      <c r="E596" s="7" t="str">
        <f t="shared" si="279"/>
        <v>=36.38*100000000</v>
      </c>
      <c r="F596" s="1">
        <f>36.38*100000000</f>
        <v>3638000000.0000005</v>
      </c>
      <c r="G596" s="8">
        <f t="shared" si="281"/>
        <v>0.26892221834670405</v>
      </c>
      <c r="H596" s="6" t="s">
        <v>2133</v>
      </c>
      <c r="I596" s="6" t="str">
        <f t="shared" si="282"/>
        <v>=28.67*100000000</v>
      </c>
      <c r="J596" s="1">
        <f>28.67*100000000</f>
        <v>2867000000</v>
      </c>
      <c r="K596" s="10">
        <f t="shared" si="283"/>
        <v>0.45164556962025315</v>
      </c>
      <c r="L596" s="6" t="s">
        <v>2950</v>
      </c>
      <c r="M596" s="6" t="str">
        <f t="shared" si="284"/>
        <v>=19.75*100000000</v>
      </c>
      <c r="N596" s="1">
        <f>19.75*100000000</f>
        <v>1975000000</v>
      </c>
      <c r="O596" s="8">
        <f t="shared" si="285"/>
        <v>1.6988248155233669</v>
      </c>
      <c r="P596" s="6" t="s">
        <v>7086</v>
      </c>
      <c r="Q596" s="6" t="str">
        <f t="shared" si="286"/>
        <v>=7.318*100000000</v>
      </c>
      <c r="R596" s="11">
        <f>7.318*100000000</f>
        <v>731800000</v>
      </c>
      <c r="S596" s="8">
        <f t="shared" si="287"/>
        <v>-0.76186137325089487</v>
      </c>
      <c r="T596" s="6" t="s">
        <v>7087</v>
      </c>
      <c r="U596" s="6" t="str">
        <f t="shared" si="288"/>
        <v>=30.73*100000000</v>
      </c>
      <c r="V596" s="1">
        <f>30.73*100000000</f>
        <v>3073000000</v>
      </c>
      <c r="W596" s="8">
        <f t="shared" si="289"/>
        <v>0.41222426470588236</v>
      </c>
      <c r="X596" s="6" t="s">
        <v>1879</v>
      </c>
      <c r="Y596" s="6" t="str">
        <f t="shared" si="290"/>
        <v>=21.76*100000000</v>
      </c>
      <c r="Z596" s="1">
        <f>21.76*100000000</f>
        <v>2176000000</v>
      </c>
      <c r="AA596" s="8">
        <f t="shared" si="291"/>
        <v>0.72561459159397301</v>
      </c>
      <c r="AB596" s="6" t="s">
        <v>3046</v>
      </c>
      <c r="AC596" s="6" t="str">
        <f t="shared" si="292"/>
        <v>=12.61*100000000</v>
      </c>
      <c r="AD596" s="1">
        <f>12.61*100000000</f>
        <v>1261000000</v>
      </c>
      <c r="AE596" s="8">
        <f t="shared" si="293"/>
        <v>2.5341928251121075</v>
      </c>
      <c r="AF596" s="6" t="s">
        <v>6955</v>
      </c>
      <c r="AG596" s="6" t="str">
        <f t="shared" si="294"/>
        <v>=3.568*100000000</v>
      </c>
      <c r="AH596" s="1">
        <f>3.568*100000000</f>
        <v>356800000</v>
      </c>
      <c r="AI596" s="8">
        <f t="shared" si="295"/>
        <v>-0.84778156996587029</v>
      </c>
      <c r="AJ596" s="6" t="s">
        <v>7088</v>
      </c>
      <c r="AK596" s="6" t="str">
        <f t="shared" si="296"/>
        <v>=23.44*100000000</v>
      </c>
      <c r="AL596" s="1">
        <f>23.44*100000000</f>
        <v>2344000000</v>
      </c>
      <c r="AM596" s="8">
        <f t="shared" si="297"/>
        <v>0.40023894862604559</v>
      </c>
      <c r="AN596" s="6" t="s">
        <v>5638</v>
      </c>
      <c r="AO596" s="6" t="str">
        <f t="shared" si="298"/>
        <v>=16.74*100000000</v>
      </c>
      <c r="AP596" s="1">
        <f>16.74*100000000</f>
        <v>1673999999.9999998</v>
      </c>
      <c r="AQ596" s="8">
        <f t="shared" si="299"/>
        <v>0.20258620689655155</v>
      </c>
      <c r="AR596" s="6" t="s">
        <v>7089</v>
      </c>
      <c r="AS596" s="6" t="str">
        <f t="shared" si="300"/>
        <v>=13.92*100000000</v>
      </c>
      <c r="AT596" s="1">
        <f>13.92*100000000</f>
        <v>1392000000</v>
      </c>
      <c r="AU596" s="8">
        <f t="shared" si="301"/>
        <v>1.2531563612819683</v>
      </c>
      <c r="AV596" s="6" t="s">
        <v>7090</v>
      </c>
      <c r="AW596" s="6" t="str">
        <f t="shared" si="302"/>
        <v>=6.178*100000000</v>
      </c>
      <c r="AX596" s="1">
        <f>6.178*100000000</f>
        <v>617800000</v>
      </c>
      <c r="AY596" s="10">
        <f t="shared" si="303"/>
        <v>-0.83932379713914174</v>
      </c>
      <c r="AZ596" s="6" t="s">
        <v>7091</v>
      </c>
      <c r="BA596" s="6" t="str">
        <f t="shared" si="304"/>
        <v>=38.45*100000000</v>
      </c>
      <c r="BB596" s="1">
        <f>38.45*100000000</f>
        <v>3845000000.0000005</v>
      </c>
      <c r="BC596" s="8">
        <f t="shared" si="305"/>
        <v>0.2355398457583549</v>
      </c>
      <c r="BD596" s="6" t="s">
        <v>5122</v>
      </c>
      <c r="BE596" s="6" t="str">
        <f t="shared" si="306"/>
        <v>=31.12*100000000</v>
      </c>
      <c r="BF596" s="1">
        <f>31.12*100000000</f>
        <v>3112000000</v>
      </c>
      <c r="BG596" s="8">
        <f t="shared" si="307"/>
        <v>0.75126617895329206</v>
      </c>
      <c r="BH596" s="6" t="s">
        <v>7092</v>
      </c>
      <c r="BI596" s="6" t="str">
        <f t="shared" si="308"/>
        <v>=17.77*100000000</v>
      </c>
      <c r="BJ596" s="1">
        <f>17.77*100000000</f>
        <v>1777000000</v>
      </c>
      <c r="BK596" s="6" t="s">
        <v>7093</v>
      </c>
      <c r="BL596" s="1" t="str">
        <f t="shared" si="280"/>
        <v>=7.531*100000000</v>
      </c>
      <c r="BM596" s="16">
        <f t="shared" si="309"/>
        <v>1.3595804010091621</v>
      </c>
      <c r="BN596" s="1">
        <f>7.531*100000000</f>
        <v>753100000</v>
      </c>
    </row>
    <row r="597" spans="1:66">
      <c r="A597" s="19"/>
      <c r="B597">
        <v>600507</v>
      </c>
      <c r="C597" t="s">
        <v>68</v>
      </c>
      <c r="D597" s="6" t="s">
        <v>5420</v>
      </c>
      <c r="E597" s="7" t="str">
        <f t="shared" si="279"/>
        <v>=27.60*100000000</v>
      </c>
      <c r="F597" s="1">
        <f>27.6*100000000</f>
        <v>2760000000</v>
      </c>
      <c r="G597" s="8">
        <f t="shared" si="281"/>
        <v>0.26896551724137929</v>
      </c>
      <c r="H597" s="6" t="s">
        <v>3868</v>
      </c>
      <c r="I597" s="6" t="str">
        <f t="shared" si="282"/>
        <v>=21.75*100000000</v>
      </c>
      <c r="J597" s="1">
        <f>21.75*100000000</f>
        <v>2175000000</v>
      </c>
      <c r="K597" s="10">
        <f t="shared" si="283"/>
        <v>0.45387700534759357</v>
      </c>
      <c r="L597" s="6" t="s">
        <v>7094</v>
      </c>
      <c r="M597" s="6" t="str">
        <f t="shared" si="284"/>
        <v>=14.96*100000000</v>
      </c>
      <c r="N597" s="1">
        <f>14.96*100000000</f>
        <v>1496000000</v>
      </c>
      <c r="O597" s="8">
        <f t="shared" si="285"/>
        <v>1.6979260595130747</v>
      </c>
      <c r="P597" s="6" t="s">
        <v>3429</v>
      </c>
      <c r="Q597" s="6" t="str">
        <f t="shared" si="286"/>
        <v>=5.545*100000000</v>
      </c>
      <c r="R597" s="11">
        <f>5.545*100000000</f>
        <v>554500000</v>
      </c>
      <c r="S597" s="8">
        <f t="shared" si="287"/>
        <v>-0.74304911955514363</v>
      </c>
      <c r="T597" s="6" t="s">
        <v>2280</v>
      </c>
      <c r="U597" s="6" t="str">
        <f t="shared" si="288"/>
        <v>=21.58*100000000</v>
      </c>
      <c r="V597" s="1">
        <f>21.58*100000000</f>
        <v>2158000000</v>
      </c>
      <c r="W597" s="8">
        <f t="shared" si="289"/>
        <v>0.41973684210526313</v>
      </c>
      <c r="X597" s="6" t="s">
        <v>5249</v>
      </c>
      <c r="Y597" s="6" t="str">
        <f t="shared" si="290"/>
        <v>=15.20*100000000</v>
      </c>
      <c r="Z597" s="1">
        <f>15.2*100000000</f>
        <v>1520000000</v>
      </c>
      <c r="AA597" s="8">
        <f t="shared" si="291"/>
        <v>0.8444363548113093</v>
      </c>
      <c r="AB597" s="6" t="s">
        <v>7095</v>
      </c>
      <c r="AC597" s="6" t="str">
        <f t="shared" si="292"/>
        <v>=8.241*100000000</v>
      </c>
      <c r="AD597" s="1">
        <f>8.241*100000000</f>
        <v>824100000</v>
      </c>
      <c r="AE597" s="8">
        <f t="shared" si="293"/>
        <v>2.0715616846813272</v>
      </c>
      <c r="AF597" s="6" t="s">
        <v>7096</v>
      </c>
      <c r="AG597" s="6" t="str">
        <f t="shared" si="294"/>
        <v>=2.683*100000000</v>
      </c>
      <c r="AH597" s="1">
        <f>2.683*100000000</f>
        <v>268299999.99999997</v>
      </c>
      <c r="AI597" s="8">
        <f t="shared" si="295"/>
        <v>-0.84355685131195335</v>
      </c>
      <c r="AJ597" s="6" t="s">
        <v>2679</v>
      </c>
      <c r="AK597" s="6" t="str">
        <f t="shared" si="296"/>
        <v>=17.15*100000000</v>
      </c>
      <c r="AL597" s="1">
        <f>17.15*100000000</f>
        <v>1714999999.9999998</v>
      </c>
      <c r="AM597" s="8">
        <f t="shared" si="297"/>
        <v>0.31923076923076904</v>
      </c>
      <c r="AN597" s="6" t="s">
        <v>3870</v>
      </c>
      <c r="AO597" s="6" t="str">
        <f t="shared" si="298"/>
        <v>=13.00*100000000</v>
      </c>
      <c r="AP597" s="1">
        <f>13*100000000</f>
        <v>1300000000</v>
      </c>
      <c r="AQ597" s="8">
        <f t="shared" si="299"/>
        <v>0.21381886087768429</v>
      </c>
      <c r="AR597" s="6" t="s">
        <v>588</v>
      </c>
      <c r="AS597" s="6" t="str">
        <f t="shared" si="300"/>
        <v>=10.71*100000000</v>
      </c>
      <c r="AT597" s="1">
        <f>10.71*100000000</f>
        <v>1071000000.0000001</v>
      </c>
      <c r="AU597" s="8">
        <f t="shared" si="301"/>
        <v>1.2331109257714765</v>
      </c>
      <c r="AV597" s="6" t="s">
        <v>5377</v>
      </c>
      <c r="AW597" s="6" t="str">
        <f t="shared" si="302"/>
        <v>=4.796*100000000</v>
      </c>
      <c r="AX597" s="1">
        <f>4.796*100000000</f>
        <v>479600000</v>
      </c>
      <c r="AY597" s="10">
        <f t="shared" si="303"/>
        <v>-0.83642564802182806</v>
      </c>
      <c r="AZ597" s="6" t="s">
        <v>7097</v>
      </c>
      <c r="BA597" s="6" t="str">
        <f t="shared" si="304"/>
        <v>=29.32*100000000</v>
      </c>
      <c r="BB597" s="1">
        <f>29.32*100000000</f>
        <v>2932000000</v>
      </c>
      <c r="BC597" s="8">
        <f t="shared" si="305"/>
        <v>0.26324859974149073</v>
      </c>
      <c r="BD597" s="6" t="s">
        <v>7098</v>
      </c>
      <c r="BE597" s="6" t="str">
        <f t="shared" si="306"/>
        <v>=23.21*100000000</v>
      </c>
      <c r="BF597" s="1">
        <f>23.21*100000000</f>
        <v>2321000000</v>
      </c>
      <c r="BG597" s="8">
        <f t="shared" si="307"/>
        <v>0.76770753998476771</v>
      </c>
      <c r="BH597" s="6" t="s">
        <v>5717</v>
      </c>
      <c r="BI597" s="6" t="str">
        <f t="shared" si="308"/>
        <v>=13.13*100000000</v>
      </c>
      <c r="BJ597" s="1">
        <f>13.13*100000000</f>
        <v>1313000000</v>
      </c>
      <c r="BK597" s="6" t="s">
        <v>7099</v>
      </c>
      <c r="BL597" s="1" t="str">
        <f t="shared" si="280"/>
        <v>=5.614*100000000</v>
      </c>
      <c r="BM597" s="16">
        <f t="shared" si="309"/>
        <v>1.3387958674741718</v>
      </c>
      <c r="BN597" s="1">
        <f>5.614*100000000</f>
        <v>561400000</v>
      </c>
    </row>
    <row r="598" spans="1:66">
      <c r="A598" s="17">
        <v>150</v>
      </c>
      <c r="B598">
        <v>600508</v>
      </c>
      <c r="C598" t="s">
        <v>31</v>
      </c>
      <c r="D598" s="6" t="s">
        <v>7100</v>
      </c>
      <c r="E598" s="7" t="str">
        <f t="shared" si="279"/>
        <v>=101.6*100000000</v>
      </c>
      <c r="F598" s="1">
        <f>101.6*100000000</f>
        <v>10160000000</v>
      </c>
      <c r="G598" s="8">
        <f t="shared" si="281"/>
        <v>0.44956484519902984</v>
      </c>
      <c r="H598" s="6" t="s">
        <v>7101</v>
      </c>
      <c r="I598" s="6" t="str">
        <f t="shared" si="282"/>
        <v>=70.09*100000000</v>
      </c>
      <c r="J598" s="1">
        <f>70.09*100000000</f>
        <v>7009000000</v>
      </c>
      <c r="K598" s="10">
        <f t="shared" si="283"/>
        <v>0.57117238287379513</v>
      </c>
      <c r="L598" s="6" t="s">
        <v>7102</v>
      </c>
      <c r="M598" s="6" t="str">
        <f t="shared" si="284"/>
        <v>=44.61*100000000</v>
      </c>
      <c r="N598" s="1">
        <f>44.61*100000000</f>
        <v>4461000000</v>
      </c>
      <c r="O598" s="8">
        <f t="shared" si="285"/>
        <v>1.2227204783258594</v>
      </c>
      <c r="P598" s="6" t="s">
        <v>7103</v>
      </c>
      <c r="Q598" s="6" t="str">
        <f t="shared" si="286"/>
        <v>=20.07*100000000</v>
      </c>
      <c r="R598" s="11">
        <f>20.07*100000000</f>
        <v>2007000000</v>
      </c>
      <c r="S598" s="8">
        <f t="shared" si="287"/>
        <v>-0.73778416514240919</v>
      </c>
      <c r="T598" s="6" t="s">
        <v>7104</v>
      </c>
      <c r="U598" s="6" t="str">
        <f t="shared" si="288"/>
        <v>=76.54*100000000</v>
      </c>
      <c r="V598" s="1">
        <f>76.54*100000000</f>
        <v>7654000000.000001</v>
      </c>
      <c r="W598" s="8">
        <f t="shared" si="289"/>
        <v>0.4072439786725503</v>
      </c>
      <c r="X598" s="6" t="s">
        <v>7105</v>
      </c>
      <c r="Y598" s="6" t="str">
        <f t="shared" si="290"/>
        <v>=54.39*100000000</v>
      </c>
      <c r="Z598" s="1">
        <f>54.39*100000000</f>
        <v>5439000000</v>
      </c>
      <c r="AA598" s="8">
        <f t="shared" si="291"/>
        <v>0.49628610729023381</v>
      </c>
      <c r="AB598" s="6" t="s">
        <v>7106</v>
      </c>
      <c r="AC598" s="6" t="str">
        <f t="shared" si="292"/>
        <v>=36.35*100000000</v>
      </c>
      <c r="AD598" s="1">
        <f>36.35*100000000</f>
        <v>3635000000</v>
      </c>
      <c r="AE598" s="8">
        <f t="shared" si="293"/>
        <v>1.0795194508009154</v>
      </c>
      <c r="AF598" s="6" t="s">
        <v>7107</v>
      </c>
      <c r="AG598" s="6" t="str">
        <f t="shared" si="294"/>
        <v>=17.48*100000000</v>
      </c>
      <c r="AH598" s="1">
        <f>17.48*100000000</f>
        <v>1748000000</v>
      </c>
      <c r="AI598" s="8">
        <f t="shared" si="295"/>
        <v>-0.77069395251213435</v>
      </c>
      <c r="AJ598" s="6" t="s">
        <v>7108</v>
      </c>
      <c r="AK598" s="6" t="str">
        <f t="shared" si="296"/>
        <v>=76.23*100000000</v>
      </c>
      <c r="AL598" s="1">
        <f>76.23*100000000</f>
        <v>7623000000</v>
      </c>
      <c r="AM598" s="8">
        <f t="shared" si="297"/>
        <v>0.36931920244296751</v>
      </c>
      <c r="AN598" s="6" t="s">
        <v>2738</v>
      </c>
      <c r="AO598" s="6" t="str">
        <f t="shared" si="298"/>
        <v>=55.67*100000000</v>
      </c>
      <c r="AP598" s="1">
        <f>55.67*100000000</f>
        <v>5567000000</v>
      </c>
      <c r="AQ598" s="8">
        <f t="shared" si="299"/>
        <v>0.51482993197278915</v>
      </c>
      <c r="AR598" s="6" t="s">
        <v>7109</v>
      </c>
      <c r="AS598" s="6" t="str">
        <f t="shared" si="300"/>
        <v>=36.75*100000000</v>
      </c>
      <c r="AT598" s="1">
        <f>36.75*100000000</f>
        <v>3675000000</v>
      </c>
      <c r="AU598" s="8">
        <f t="shared" si="301"/>
        <v>0.97262479871175522</v>
      </c>
      <c r="AV598" s="6" t="s">
        <v>7110</v>
      </c>
      <c r="AW598" s="6" t="str">
        <f t="shared" si="302"/>
        <v>=18.63*100000000</v>
      </c>
      <c r="AX598" s="1">
        <f>18.63*100000000</f>
        <v>1863000000</v>
      </c>
      <c r="AY598" s="10">
        <f t="shared" si="303"/>
        <v>-0.72798948751642567</v>
      </c>
      <c r="AZ598" s="6" t="s">
        <v>7111</v>
      </c>
      <c r="BA598" s="6" t="str">
        <f t="shared" si="304"/>
        <v>=68.49*100000000</v>
      </c>
      <c r="BB598" s="1">
        <f>68.49*100000000</f>
        <v>6848999999.999999</v>
      </c>
      <c r="BC598" s="8">
        <f t="shared" si="305"/>
        <v>0.32041642567958339</v>
      </c>
      <c r="BD598" s="6" t="s">
        <v>7112</v>
      </c>
      <c r="BE598" s="6" t="str">
        <f t="shared" si="306"/>
        <v>=51.87*100000000</v>
      </c>
      <c r="BF598" s="1">
        <f>51.87*100000000</f>
        <v>5187000000</v>
      </c>
      <c r="BG598" s="8">
        <f t="shared" si="307"/>
        <v>0.5166666666666665</v>
      </c>
      <c r="BH598" s="6" t="s">
        <v>3058</v>
      </c>
      <c r="BI598" s="6" t="str">
        <f t="shared" si="308"/>
        <v>=34.20*100000000</v>
      </c>
      <c r="BJ598" s="1">
        <f>34.2*100000000</f>
        <v>3420000000.0000005</v>
      </c>
      <c r="BK598" s="6" t="s">
        <v>322</v>
      </c>
      <c r="BL598" s="1" t="str">
        <f t="shared" si="280"/>
        <v>=17.52*100000000</v>
      </c>
      <c r="BM598" s="16">
        <f t="shared" si="309"/>
        <v>0.9520547945205482</v>
      </c>
      <c r="BN598" s="1">
        <f>17.52*100000000</f>
        <v>1752000000</v>
      </c>
    </row>
    <row r="599" spans="1:66">
      <c r="A599" s="18"/>
      <c r="B599">
        <v>600508</v>
      </c>
      <c r="C599" t="s">
        <v>48</v>
      </c>
      <c r="D599" s="6" t="s">
        <v>7113</v>
      </c>
      <c r="E599" s="7" t="str">
        <f t="shared" si="279"/>
        <v>=5.780*100000000</v>
      </c>
      <c r="F599" s="1">
        <f>5.78*100000000</f>
        <v>578000000</v>
      </c>
      <c r="G599" s="8">
        <f t="shared" si="281"/>
        <v>-0.32413470533208605</v>
      </c>
      <c r="H599" s="6" t="s">
        <v>7114</v>
      </c>
      <c r="I599" s="6" t="str">
        <f t="shared" si="282"/>
        <v>=8.552*100000000</v>
      </c>
      <c r="J599" s="1">
        <f>8.552*100000000</f>
        <v>855200000</v>
      </c>
      <c r="K599" s="10">
        <f t="shared" si="283"/>
        <v>0.48911718613964827</v>
      </c>
      <c r="L599" s="6" t="s">
        <v>6014</v>
      </c>
      <c r="M599" s="6" t="str">
        <f t="shared" si="284"/>
        <v>=5.743*100000000</v>
      </c>
      <c r="N599" s="1">
        <f>5.743*100000000</f>
        <v>574300000</v>
      </c>
      <c r="O599" s="8">
        <f t="shared" si="285"/>
        <v>1.0710421925712226</v>
      </c>
      <c r="P599" s="6" t="s">
        <v>2876</v>
      </c>
      <c r="Q599" s="6" t="str">
        <f t="shared" si="286"/>
        <v>=2.773*100000000</v>
      </c>
      <c r="R599" s="11">
        <f>2.773*100000000</f>
        <v>277300000</v>
      </c>
      <c r="S599" s="8">
        <f t="shared" si="287"/>
        <v>-0.65035934938847562</v>
      </c>
      <c r="T599" s="6" t="s">
        <v>7115</v>
      </c>
      <c r="U599" s="6" t="str">
        <f t="shared" si="288"/>
        <v>=7.931*100000000</v>
      </c>
      <c r="V599" s="1">
        <f>7.931*100000000</f>
        <v>793100000</v>
      </c>
      <c r="W599" s="8">
        <f t="shared" si="289"/>
        <v>-5.6419257773319964E-3</v>
      </c>
      <c r="X599" s="6" t="s">
        <v>7116</v>
      </c>
      <c r="Y599" s="6" t="str">
        <f t="shared" si="290"/>
        <v>=7.976*100000000</v>
      </c>
      <c r="Z599" s="1">
        <f>7.976*100000000</f>
        <v>797600000</v>
      </c>
      <c r="AA599" s="8">
        <f t="shared" si="291"/>
        <v>0.24469413233458176</v>
      </c>
      <c r="AB599" s="6" t="s">
        <v>7117</v>
      </c>
      <c r="AC599" s="6" t="str">
        <f t="shared" si="292"/>
        <v>=6.408*100000000</v>
      </c>
      <c r="AD599" s="1">
        <f>6.408*100000000</f>
        <v>640800000</v>
      </c>
      <c r="AE599" s="8">
        <f t="shared" si="293"/>
        <v>1.0388164174355712</v>
      </c>
      <c r="AF599" s="6" t="s">
        <v>1530</v>
      </c>
      <c r="AG599" s="6" t="str">
        <f t="shared" si="294"/>
        <v>=3.143*100000000</v>
      </c>
      <c r="AH599" s="1">
        <f>3.143*100000000</f>
        <v>314300000</v>
      </c>
      <c r="AI599" s="8">
        <f t="shared" si="295"/>
        <v>-0.52029914529914534</v>
      </c>
      <c r="AJ599" s="6" t="s">
        <v>7118</v>
      </c>
      <c r="AK599" s="6" t="str">
        <f t="shared" si="296"/>
        <v>=6.552*100000000</v>
      </c>
      <c r="AL599" s="1">
        <f>6.552*100000000</f>
        <v>655200000</v>
      </c>
      <c r="AM599" s="8">
        <f t="shared" si="297"/>
        <v>-0.20224035066358201</v>
      </c>
      <c r="AN599" s="6" t="s">
        <v>7119</v>
      </c>
      <c r="AO599" s="6" t="str">
        <f t="shared" si="298"/>
        <v>=8.213*100000000</v>
      </c>
      <c r="AP599" s="1">
        <f>8.213*100000000</f>
        <v>821299999.99999988</v>
      </c>
      <c r="AQ599" s="8">
        <f t="shared" si="299"/>
        <v>0.36587393979710608</v>
      </c>
      <c r="AR599" s="6" t="s">
        <v>7120</v>
      </c>
      <c r="AS599" s="6" t="str">
        <f t="shared" si="300"/>
        <v>=6.013*100000000</v>
      </c>
      <c r="AT599" s="1">
        <f>6.013*100000000</f>
        <v>601300000</v>
      </c>
      <c r="AU599" s="8">
        <f t="shared" si="301"/>
        <v>0.93219794344473006</v>
      </c>
      <c r="AV599" s="6" t="s">
        <v>6415</v>
      </c>
      <c r="AW599" s="6" t="str">
        <f t="shared" si="302"/>
        <v>=3.112*100000000</v>
      </c>
      <c r="AX599" s="1">
        <f>3.112*100000000</f>
        <v>311200000</v>
      </c>
      <c r="AY599" s="10">
        <f t="shared" si="303"/>
        <v>-0.38376237623762377</v>
      </c>
      <c r="AZ599" s="6" t="s">
        <v>7121</v>
      </c>
      <c r="BA599" s="6" t="str">
        <f t="shared" si="304"/>
        <v>=5.050*100000000</v>
      </c>
      <c r="BB599" s="1">
        <f>5.05*100000000</f>
        <v>505000000</v>
      </c>
      <c r="BC599" s="8">
        <f t="shared" si="305"/>
        <v>-0.49261529187179737</v>
      </c>
      <c r="BD599" s="6" t="s">
        <v>7122</v>
      </c>
      <c r="BE599" s="6" t="str">
        <f t="shared" si="306"/>
        <v>=9.953*100000000</v>
      </c>
      <c r="BF599" s="1">
        <f>9.953*100000000</f>
        <v>995299999.99999988</v>
      </c>
      <c r="BG599" s="8">
        <f t="shared" si="307"/>
        <v>0.25653326600176729</v>
      </c>
      <c r="BH599" s="6" t="s">
        <v>6339</v>
      </c>
      <c r="BI599" s="6" t="str">
        <f t="shared" si="308"/>
        <v>=7.921*100000000</v>
      </c>
      <c r="BJ599" s="1">
        <f>7.921*100000000</f>
        <v>792100000</v>
      </c>
      <c r="BK599" s="6" t="s">
        <v>7123</v>
      </c>
      <c r="BL599" s="1" t="str">
        <f t="shared" si="280"/>
        <v>=4.463*100000000</v>
      </c>
      <c r="BM599" s="16">
        <f t="shared" si="309"/>
        <v>0.77481514676226748</v>
      </c>
      <c r="BN599" s="1">
        <f>4.463*100000000</f>
        <v>446300000</v>
      </c>
    </row>
    <row r="600" spans="1:66">
      <c r="A600" s="18"/>
      <c r="B600">
        <v>600508</v>
      </c>
      <c r="C600" t="s">
        <v>58</v>
      </c>
      <c r="D600" s="6" t="s">
        <v>7124</v>
      </c>
      <c r="E600" s="7" t="str">
        <f t="shared" si="279"/>
        <v>=5.327*100000000</v>
      </c>
      <c r="F600" s="1">
        <f>5.327*100000000</f>
        <v>532700000</v>
      </c>
      <c r="G600" s="8">
        <f t="shared" si="281"/>
        <v>-0.34710136046084089</v>
      </c>
      <c r="H600" s="6" t="s">
        <v>4550</v>
      </c>
      <c r="I600" s="6" t="str">
        <f t="shared" si="282"/>
        <v>=8.159*100000000</v>
      </c>
      <c r="J600" s="1">
        <f>8.159*100000000</f>
        <v>815900000.00000012</v>
      </c>
      <c r="K600" s="10">
        <f t="shared" si="283"/>
        <v>0.40430292598967316</v>
      </c>
      <c r="L600" s="6" t="s">
        <v>7125</v>
      </c>
      <c r="M600" s="6" t="str">
        <f t="shared" si="284"/>
        <v>=5.810*100000000</v>
      </c>
      <c r="N600" s="1">
        <f>5.81*100000000</f>
        <v>581000000</v>
      </c>
      <c r="O600" s="8">
        <f t="shared" si="285"/>
        <v>1.0891765551959727</v>
      </c>
      <c r="P600" s="6" t="s">
        <v>6431</v>
      </c>
      <c r="Q600" s="6" t="str">
        <f t="shared" si="286"/>
        <v>=2.781*100000000</v>
      </c>
      <c r="R600" s="11">
        <f>2.781*100000000</f>
        <v>278100000</v>
      </c>
      <c r="S600" s="8">
        <f t="shared" si="287"/>
        <v>-0.65556106019321281</v>
      </c>
      <c r="T600" s="6" t="s">
        <v>1919</v>
      </c>
      <c r="U600" s="6" t="str">
        <f t="shared" si="288"/>
        <v>=8.074*100000000</v>
      </c>
      <c r="V600" s="1">
        <f>8.074*100000000</f>
        <v>807400000</v>
      </c>
      <c r="W600" s="8">
        <f t="shared" si="289"/>
        <v>2.8273051451859398E-2</v>
      </c>
      <c r="X600" s="6" t="s">
        <v>5126</v>
      </c>
      <c r="Y600" s="6" t="str">
        <f t="shared" si="290"/>
        <v>=7.852*100000000</v>
      </c>
      <c r="Z600" s="1">
        <f>7.852*100000000</f>
        <v>785200000</v>
      </c>
      <c r="AA600" s="8">
        <f t="shared" si="291"/>
        <v>0.24536082474226803</v>
      </c>
      <c r="AB600" s="6" t="s">
        <v>7126</v>
      </c>
      <c r="AC600" s="6" t="str">
        <f t="shared" si="292"/>
        <v>=6.305*100000000</v>
      </c>
      <c r="AD600" s="1">
        <f>6.305*100000000</f>
        <v>630500000</v>
      </c>
      <c r="AE600" s="8">
        <f t="shared" si="293"/>
        <v>1.0054071246819338</v>
      </c>
      <c r="AF600" s="6" t="s">
        <v>7127</v>
      </c>
      <c r="AG600" s="6" t="str">
        <f t="shared" si="294"/>
        <v>=3.144*100000000</v>
      </c>
      <c r="AH600" s="1">
        <f>3.144*100000000</f>
        <v>314400000</v>
      </c>
      <c r="AI600" s="8">
        <f t="shared" si="295"/>
        <v>-0.51749539594843463</v>
      </c>
      <c r="AJ600" s="6" t="s">
        <v>7128</v>
      </c>
      <c r="AK600" s="6" t="str">
        <f t="shared" si="296"/>
        <v>=6.516*100000000</v>
      </c>
      <c r="AL600" s="1">
        <f>6.516*100000000</f>
        <v>651600000</v>
      </c>
      <c r="AM600" s="8">
        <f t="shared" si="297"/>
        <v>-0.21654442707707106</v>
      </c>
      <c r="AN600" s="6" t="s">
        <v>7129</v>
      </c>
      <c r="AO600" s="6" t="str">
        <f t="shared" si="298"/>
        <v>=8.317*100000000</v>
      </c>
      <c r="AP600" s="1">
        <f>8.317*100000000</f>
        <v>831700000</v>
      </c>
      <c r="AQ600" s="8">
        <f t="shared" si="299"/>
        <v>0.36635452603909974</v>
      </c>
      <c r="AR600" s="6" t="s">
        <v>7130</v>
      </c>
      <c r="AS600" s="6" t="str">
        <f t="shared" si="300"/>
        <v>=6.087*100000000</v>
      </c>
      <c r="AT600" s="1">
        <f>6.087*100000000</f>
        <v>608700000</v>
      </c>
      <c r="AU600" s="8">
        <f t="shared" si="301"/>
        <v>0.90994665829934107</v>
      </c>
      <c r="AV600" s="6" t="s">
        <v>7131</v>
      </c>
      <c r="AW600" s="6" t="str">
        <f t="shared" si="302"/>
        <v>=3.187*100000000</v>
      </c>
      <c r="AX600" s="1">
        <f>3.187*100000000</f>
        <v>318700000</v>
      </c>
      <c r="AY600" s="10">
        <f t="shared" si="303"/>
        <v>-0.49113843206131247</v>
      </c>
      <c r="AZ600" s="6" t="s">
        <v>7132</v>
      </c>
      <c r="BA600" s="6" t="str">
        <f t="shared" si="304"/>
        <v>=6.263*100000000</v>
      </c>
      <c r="BB600" s="1">
        <f>6.263*100000000</f>
        <v>626300000</v>
      </c>
      <c r="BC600" s="8">
        <f t="shared" si="305"/>
        <v>-0.37238200220462964</v>
      </c>
      <c r="BD600" s="6" t="s">
        <v>7133</v>
      </c>
      <c r="BE600" s="6" t="str">
        <f t="shared" si="306"/>
        <v>=9.979*100000000</v>
      </c>
      <c r="BF600" s="1">
        <f>9.979*100000000</f>
        <v>997899999.99999988</v>
      </c>
      <c r="BG600" s="8">
        <f t="shared" si="307"/>
        <v>0.2523845381526103</v>
      </c>
      <c r="BH600" s="6" t="s">
        <v>7134</v>
      </c>
      <c r="BI600" s="6" t="str">
        <f t="shared" si="308"/>
        <v>=7.968*100000000</v>
      </c>
      <c r="BJ600" s="1">
        <f>7.968*100000000</f>
        <v>796800000</v>
      </c>
      <c r="BK600" s="6" t="s">
        <v>6020</v>
      </c>
      <c r="BL600" s="1" t="str">
        <f t="shared" si="280"/>
        <v>=4.487*100000000</v>
      </c>
      <c r="BM600" s="16">
        <f t="shared" si="309"/>
        <v>0.77579674615556049</v>
      </c>
      <c r="BN600" s="1">
        <f>4.487*100000000</f>
        <v>448700000</v>
      </c>
    </row>
    <row r="601" spans="1:66">
      <c r="A601" s="19"/>
      <c r="B601">
        <v>600508</v>
      </c>
      <c r="C601" t="s">
        <v>68</v>
      </c>
      <c r="D601" s="6" t="s">
        <v>7135</v>
      </c>
      <c r="E601" s="7" t="str">
        <f t="shared" si="279"/>
        <v>=4.093*100000000</v>
      </c>
      <c r="F601" s="1">
        <f>4.093*100000000</f>
        <v>409300000</v>
      </c>
      <c r="G601" s="8">
        <f t="shared" si="281"/>
        <v>-0.32156472733300184</v>
      </c>
      <c r="H601" s="6" t="s">
        <v>7136</v>
      </c>
      <c r="I601" s="6" t="str">
        <f t="shared" si="282"/>
        <v>=6.033*100000000</v>
      </c>
      <c r="J601" s="1">
        <f>6.033*100000000</f>
        <v>603300000</v>
      </c>
      <c r="K601" s="10">
        <f t="shared" si="283"/>
        <v>0.42962085308056874</v>
      </c>
      <c r="L601" s="6" t="s">
        <v>7137</v>
      </c>
      <c r="M601" s="6" t="str">
        <f t="shared" si="284"/>
        <v>=4.220*100000000</v>
      </c>
      <c r="N601" s="1">
        <f>4.22*100000000</f>
        <v>422000000</v>
      </c>
      <c r="O601" s="8">
        <f t="shared" si="285"/>
        <v>1.1068397403894159</v>
      </c>
      <c r="P601" s="6" t="s">
        <v>4805</v>
      </c>
      <c r="Q601" s="6" t="str">
        <f t="shared" si="286"/>
        <v>=2.003*100000000</v>
      </c>
      <c r="R601" s="11">
        <f>2.003*100000000</f>
        <v>200300000</v>
      </c>
      <c r="S601" s="8">
        <f t="shared" si="287"/>
        <v>-0.66650016650016652</v>
      </c>
      <c r="T601" s="6" t="s">
        <v>7138</v>
      </c>
      <c r="U601" s="6" t="str">
        <f t="shared" si="288"/>
        <v>=6.006*100000000</v>
      </c>
      <c r="V601" s="1">
        <f>6.006*100000000</f>
        <v>600600000</v>
      </c>
      <c r="W601" s="8">
        <f t="shared" si="289"/>
        <v>7.422643534251476E-2</v>
      </c>
      <c r="X601" s="6" t="s">
        <v>7139</v>
      </c>
      <c r="Y601" s="6" t="str">
        <f t="shared" si="290"/>
        <v>=5.591*100000000</v>
      </c>
      <c r="Z601" s="1">
        <f>5.591*100000000</f>
        <v>559100000</v>
      </c>
      <c r="AA601" s="8">
        <f t="shared" si="291"/>
        <v>0.24910634495084896</v>
      </c>
      <c r="AB601" s="6" t="s">
        <v>7140</v>
      </c>
      <c r="AC601" s="6" t="str">
        <f t="shared" si="292"/>
        <v>=4.476*100000000</v>
      </c>
      <c r="AD601" s="1">
        <f>4.476*100000000</f>
        <v>447600000</v>
      </c>
      <c r="AE601" s="8">
        <f t="shared" si="293"/>
        <v>1.0655283802491926</v>
      </c>
      <c r="AF601" s="6" t="s">
        <v>7141</v>
      </c>
      <c r="AG601" s="6" t="str">
        <f t="shared" si="294"/>
        <v>=2.167*100000000</v>
      </c>
      <c r="AH601" s="1">
        <f>2.167*100000000</f>
        <v>216699999.99999997</v>
      </c>
      <c r="AI601" s="8">
        <f t="shared" si="295"/>
        <v>-0.55657867812563955</v>
      </c>
      <c r="AJ601" s="6" t="s">
        <v>7142</v>
      </c>
      <c r="AK601" s="6" t="str">
        <f t="shared" si="296"/>
        <v>=4.887*100000000</v>
      </c>
      <c r="AL601" s="1">
        <f>4.887*100000000</f>
        <v>488699999.99999994</v>
      </c>
      <c r="AM601" s="8">
        <f t="shared" si="297"/>
        <v>-0.21430868167202582</v>
      </c>
      <c r="AN601" s="6" t="s">
        <v>7143</v>
      </c>
      <c r="AO601" s="6" t="str">
        <f t="shared" si="298"/>
        <v>=6.220*100000000</v>
      </c>
      <c r="AP601" s="1">
        <f>6.22*100000000</f>
        <v>622000000</v>
      </c>
      <c r="AQ601" s="8">
        <f t="shared" si="299"/>
        <v>0.36883802816901429</v>
      </c>
      <c r="AR601" s="6" t="s">
        <v>7144</v>
      </c>
      <c r="AS601" s="6" t="str">
        <f t="shared" si="300"/>
        <v>=4.544*100000000</v>
      </c>
      <c r="AT601" s="1">
        <f>4.544*100000000</f>
        <v>454399999.99999994</v>
      </c>
      <c r="AU601" s="8">
        <f t="shared" si="301"/>
        <v>1.0115095174856128</v>
      </c>
      <c r="AV601" s="6" t="s">
        <v>7145</v>
      </c>
      <c r="AW601" s="6" t="str">
        <f t="shared" si="302"/>
        <v>=2.259*100000000</v>
      </c>
      <c r="AX601" s="1">
        <f>2.259*100000000</f>
        <v>225900000</v>
      </c>
      <c r="AY601" s="10">
        <f t="shared" si="303"/>
        <v>-0.61172224132004127</v>
      </c>
      <c r="AZ601" s="6" t="s">
        <v>7146</v>
      </c>
      <c r="BA601" s="6" t="str">
        <f t="shared" si="304"/>
        <v>=5.818*100000000</v>
      </c>
      <c r="BB601" s="1">
        <f>5.818*100000000</f>
        <v>581800000</v>
      </c>
      <c r="BC601" s="8">
        <f t="shared" si="305"/>
        <v>-0.20016497113005224</v>
      </c>
      <c r="BD601" s="6" t="s">
        <v>7147</v>
      </c>
      <c r="BE601" s="6" t="str">
        <f t="shared" si="306"/>
        <v>=7.274*100000000</v>
      </c>
      <c r="BF601" s="1">
        <f>7.274*100000000</f>
        <v>727400000</v>
      </c>
      <c r="BG601" s="8">
        <f t="shared" si="307"/>
        <v>0.2461881103306493</v>
      </c>
      <c r="BH601" s="6" t="s">
        <v>7148</v>
      </c>
      <c r="BI601" s="6" t="str">
        <f t="shared" si="308"/>
        <v>=5.837*100000000</v>
      </c>
      <c r="BJ601" s="1">
        <f>5.837*100000000</f>
        <v>583700000</v>
      </c>
      <c r="BK601" s="6" t="s">
        <v>6414</v>
      </c>
      <c r="BL601" s="1" t="str">
        <f t="shared" si="280"/>
        <v>=3.304*100000000</v>
      </c>
      <c r="BM601" s="16">
        <f t="shared" si="309"/>
        <v>0.76664648910411626</v>
      </c>
      <c r="BN601" s="1">
        <f>3.304*100000000</f>
        <v>330400000</v>
      </c>
    </row>
    <row r="602" spans="1:66">
      <c r="A602" s="17">
        <v>151</v>
      </c>
      <c r="B602">
        <v>600511</v>
      </c>
      <c r="C602" t="s">
        <v>31</v>
      </c>
      <c r="D602" s="6" t="s">
        <v>7149</v>
      </c>
      <c r="E602" s="7" t="str">
        <f t="shared" si="279"/>
        <v>=464.7*100000000</v>
      </c>
      <c r="F602" s="1">
        <f>464.7*100000000</f>
        <v>46470000000</v>
      </c>
      <c r="G602" s="8">
        <f t="shared" si="281"/>
        <v>0.35520559930008766</v>
      </c>
      <c r="H602" s="6" t="s">
        <v>504</v>
      </c>
      <c r="I602" s="6" t="str">
        <f t="shared" si="282"/>
        <v>=342.9*100000000</v>
      </c>
      <c r="J602" s="1">
        <f>342.9*100000000</f>
        <v>34289999999.999996</v>
      </c>
      <c r="K602" s="10">
        <f t="shared" si="283"/>
        <v>0.55298913043478248</v>
      </c>
      <c r="L602" s="6" t="s">
        <v>5763</v>
      </c>
      <c r="M602" s="6" t="str">
        <f t="shared" si="284"/>
        <v>=220.8*100000000</v>
      </c>
      <c r="N602" s="1">
        <f>220.8*100000000</f>
        <v>22080000000</v>
      </c>
      <c r="O602" s="8">
        <f t="shared" si="285"/>
        <v>1.1333333333333333</v>
      </c>
      <c r="P602" s="6" t="s">
        <v>7150</v>
      </c>
      <c r="Q602" s="6" t="str">
        <f t="shared" si="286"/>
        <v>=103.5*100000000</v>
      </c>
      <c r="R602" s="11">
        <f>103.5*100000000</f>
        <v>10350000000</v>
      </c>
      <c r="S602" s="8">
        <f t="shared" si="287"/>
        <v>-0.74368499257057952</v>
      </c>
      <c r="T602" s="6" t="s">
        <v>269</v>
      </c>
      <c r="U602" s="6" t="str">
        <f t="shared" si="288"/>
        <v>=403.8*100000000</v>
      </c>
      <c r="V602" s="1">
        <f>403.8*100000000</f>
        <v>40380000000</v>
      </c>
      <c r="W602" s="8">
        <f t="shared" si="289"/>
        <v>0.38715218138096857</v>
      </c>
      <c r="X602" s="6" t="s">
        <v>7151</v>
      </c>
      <c r="Y602" s="6" t="str">
        <f t="shared" si="290"/>
        <v>=291.1*100000000</v>
      </c>
      <c r="Z602" s="1">
        <f>291.1*100000000</f>
        <v>29110000000.000004</v>
      </c>
      <c r="AA602" s="8">
        <f t="shared" si="291"/>
        <v>0.66058185966913885</v>
      </c>
      <c r="AB602" s="6" t="s">
        <v>7152</v>
      </c>
      <c r="AC602" s="6" t="str">
        <f t="shared" si="292"/>
        <v>=175.3*100000000</v>
      </c>
      <c r="AD602" s="1">
        <f>175.3*100000000</f>
        <v>17530000000</v>
      </c>
      <c r="AE602" s="8">
        <f t="shared" si="293"/>
        <v>1.1352009744214373</v>
      </c>
      <c r="AF602" s="6" t="s">
        <v>7153</v>
      </c>
      <c r="AG602" s="6" t="str">
        <f t="shared" si="294"/>
        <v>=82.10*100000000</v>
      </c>
      <c r="AH602" s="1">
        <f>82.1*100000000</f>
        <v>8209999999.999999</v>
      </c>
      <c r="AI602" s="8">
        <f t="shared" si="295"/>
        <v>-0.81608422939068104</v>
      </c>
      <c r="AJ602" s="6" t="s">
        <v>7154</v>
      </c>
      <c r="AK602" s="6" t="str">
        <f t="shared" si="296"/>
        <v>=446.4*100000000</v>
      </c>
      <c r="AL602" s="1">
        <f>446.4*100000000</f>
        <v>44640000000</v>
      </c>
      <c r="AM602" s="8">
        <f t="shared" si="297"/>
        <v>0.36472026903087723</v>
      </c>
      <c r="AN602" s="6" t="s">
        <v>7155</v>
      </c>
      <c r="AO602" s="6" t="str">
        <f t="shared" si="298"/>
        <v>=327.1*100000000</v>
      </c>
      <c r="AP602" s="1">
        <f>327.1*100000000</f>
        <v>32710000000.000004</v>
      </c>
      <c r="AQ602" s="8">
        <f t="shared" si="299"/>
        <v>0.55613701236917235</v>
      </c>
      <c r="AR602" s="6" t="s">
        <v>7156</v>
      </c>
      <c r="AS602" s="6" t="str">
        <f t="shared" si="300"/>
        <v>=210.2*100000000</v>
      </c>
      <c r="AT602" s="1">
        <f>210.2*100000000</f>
        <v>21020000000</v>
      </c>
      <c r="AU602" s="8">
        <f t="shared" si="301"/>
        <v>1.0915422885572139</v>
      </c>
      <c r="AV602" s="6" t="s">
        <v>4623</v>
      </c>
      <c r="AW602" s="6" t="str">
        <f t="shared" si="302"/>
        <v>=100.5*100000000</v>
      </c>
      <c r="AX602" s="1">
        <f>100.5*100000000</f>
        <v>10050000000</v>
      </c>
      <c r="AY602" s="10">
        <f t="shared" si="303"/>
        <v>-0.74057821373257615</v>
      </c>
      <c r="AZ602" s="6" t="s">
        <v>7157</v>
      </c>
      <c r="BA602" s="6" t="str">
        <f t="shared" si="304"/>
        <v>=387.4*100000000</v>
      </c>
      <c r="BB602" s="1">
        <f>387.4*100000000</f>
        <v>38740000000</v>
      </c>
      <c r="BC602" s="8">
        <f t="shared" si="305"/>
        <v>0.3460736622654621</v>
      </c>
      <c r="BD602" s="6" t="s">
        <v>430</v>
      </c>
      <c r="BE602" s="6" t="str">
        <f t="shared" si="306"/>
        <v>=287.8*100000000</v>
      </c>
      <c r="BF602" s="1">
        <f>287.8*100000000</f>
        <v>28780000000</v>
      </c>
      <c r="BG602" s="8">
        <f t="shared" si="307"/>
        <v>0.53329781566329248</v>
      </c>
      <c r="BH602" s="6" t="s">
        <v>7158</v>
      </c>
      <c r="BI602" s="6" t="str">
        <f t="shared" si="308"/>
        <v>=187.7*100000000</v>
      </c>
      <c r="BJ602" s="1">
        <f>187.7*100000000</f>
        <v>18770000000</v>
      </c>
      <c r="BK602" s="6" t="s">
        <v>7159</v>
      </c>
      <c r="BL602" s="1" t="str">
        <f t="shared" si="280"/>
        <v>=91.30*100000000</v>
      </c>
      <c r="BM602" s="16">
        <f t="shared" si="309"/>
        <v>1.0558598028477546</v>
      </c>
      <c r="BN602" s="1">
        <f>91.3*100000000</f>
        <v>9130000000</v>
      </c>
    </row>
    <row r="603" spans="1:66">
      <c r="A603" s="18"/>
      <c r="B603">
        <v>600511</v>
      </c>
      <c r="C603" t="s">
        <v>48</v>
      </c>
      <c r="D603" s="6" t="s">
        <v>7160</v>
      </c>
      <c r="E603" s="7" t="str">
        <f t="shared" si="279"/>
        <v>=24.47*100000000</v>
      </c>
      <c r="F603" s="1">
        <f>24.47*100000000</f>
        <v>2447000000</v>
      </c>
      <c r="G603" s="8">
        <f t="shared" si="281"/>
        <v>0.35718247365501943</v>
      </c>
      <c r="H603" s="6" t="s">
        <v>7161</v>
      </c>
      <c r="I603" s="6" t="str">
        <f t="shared" si="282"/>
        <v>=18.03*100000000</v>
      </c>
      <c r="J603" s="1">
        <f>18.03*100000000</f>
        <v>1803000000</v>
      </c>
      <c r="K603" s="10">
        <f t="shared" si="283"/>
        <v>0.71714285714285719</v>
      </c>
      <c r="L603" s="6" t="s">
        <v>2851</v>
      </c>
      <c r="M603" s="6" t="str">
        <f t="shared" si="284"/>
        <v>=10.50*100000000</v>
      </c>
      <c r="N603" s="1">
        <f>10.5*100000000</f>
        <v>1050000000</v>
      </c>
      <c r="O603" s="8">
        <f t="shared" si="285"/>
        <v>1.5362318840579712</v>
      </c>
      <c r="P603" s="6" t="s">
        <v>2982</v>
      </c>
      <c r="Q603" s="6" t="str">
        <f t="shared" si="286"/>
        <v>=4.140*100000000</v>
      </c>
      <c r="R603" s="11">
        <f>4.14*100000000</f>
        <v>413999999.99999994</v>
      </c>
      <c r="S603" s="8">
        <f t="shared" si="287"/>
        <v>-0.78358599059069522</v>
      </c>
      <c r="T603" s="6" t="s">
        <v>7162</v>
      </c>
      <c r="U603" s="6" t="str">
        <f t="shared" si="288"/>
        <v>=19.13*100000000</v>
      </c>
      <c r="V603" s="1">
        <f>19.13*100000000</f>
        <v>1913000000</v>
      </c>
      <c r="W603" s="8">
        <f t="shared" si="289"/>
        <v>0.37625899280575542</v>
      </c>
      <c r="X603" s="6" t="s">
        <v>7163</v>
      </c>
      <c r="Y603" s="6" t="str">
        <f t="shared" si="290"/>
        <v>=13.90*100000000</v>
      </c>
      <c r="Z603" s="1">
        <f>13.9*100000000</f>
        <v>1390000000</v>
      </c>
      <c r="AA603" s="8">
        <f t="shared" si="291"/>
        <v>0.65693169626892378</v>
      </c>
      <c r="AB603" s="6" t="s">
        <v>7164</v>
      </c>
      <c r="AC603" s="6" t="str">
        <f t="shared" si="292"/>
        <v>=8.389*100000000</v>
      </c>
      <c r="AD603" s="1">
        <f>8.389*100000000</f>
        <v>838899999.99999988</v>
      </c>
      <c r="AE603" s="8">
        <f t="shared" si="293"/>
        <v>1.5064236629817744</v>
      </c>
      <c r="AF603" s="6" t="s">
        <v>7165</v>
      </c>
      <c r="AG603" s="6" t="str">
        <f t="shared" si="294"/>
        <v>=3.347*100000000</v>
      </c>
      <c r="AH603" s="1">
        <f>3.347*100000000</f>
        <v>334700000</v>
      </c>
      <c r="AI603" s="8">
        <f t="shared" si="295"/>
        <v>-0.86260262725779968</v>
      </c>
      <c r="AJ603" s="6" t="s">
        <v>7166</v>
      </c>
      <c r="AK603" s="6" t="str">
        <f t="shared" si="296"/>
        <v>=24.36*100000000</v>
      </c>
      <c r="AL603" s="1">
        <f>24.36*100000000</f>
        <v>2436000000</v>
      </c>
      <c r="AM603" s="8">
        <f t="shared" si="297"/>
        <v>0.50092421441774493</v>
      </c>
      <c r="AN603" s="6" t="s">
        <v>6483</v>
      </c>
      <c r="AO603" s="6" t="str">
        <f t="shared" si="298"/>
        <v>=16.23*100000000</v>
      </c>
      <c r="AP603" s="1">
        <f>16.23*100000000</f>
        <v>1623000000</v>
      </c>
      <c r="AQ603" s="8">
        <f t="shared" si="299"/>
        <v>0.44781445138269405</v>
      </c>
      <c r="AR603" s="6" t="s">
        <v>1393</v>
      </c>
      <c r="AS603" s="6" t="str">
        <f t="shared" si="300"/>
        <v>=11.21*100000000</v>
      </c>
      <c r="AT603" s="1">
        <f>11.21*100000000</f>
        <v>1121000000</v>
      </c>
      <c r="AU603" s="8">
        <f t="shared" si="301"/>
        <v>1.7235179786200197</v>
      </c>
      <c r="AV603" s="6" t="s">
        <v>7167</v>
      </c>
      <c r="AW603" s="6" t="str">
        <f t="shared" si="302"/>
        <v>=4.116*100000000</v>
      </c>
      <c r="AX603" s="1">
        <f>4.116*100000000</f>
        <v>411599999.99999994</v>
      </c>
      <c r="AY603" s="10">
        <f t="shared" si="303"/>
        <v>-0.79803729146221791</v>
      </c>
      <c r="AZ603" s="6" t="s">
        <v>583</v>
      </c>
      <c r="BA603" s="6" t="str">
        <f t="shared" si="304"/>
        <v>=20.38*100000000</v>
      </c>
      <c r="BB603" s="1">
        <f>20.38*100000000</f>
        <v>2038000000</v>
      </c>
      <c r="BC603" s="8">
        <f t="shared" si="305"/>
        <v>0.46197991391678622</v>
      </c>
      <c r="BD603" s="6" t="s">
        <v>5392</v>
      </c>
      <c r="BE603" s="6" t="str">
        <f t="shared" si="306"/>
        <v>=13.94*100000000</v>
      </c>
      <c r="BF603" s="1">
        <f>13.94*100000000</f>
        <v>1394000000</v>
      </c>
      <c r="BG603" s="8">
        <f t="shared" si="307"/>
        <v>0.49043087779322142</v>
      </c>
      <c r="BH603" s="6" t="s">
        <v>7168</v>
      </c>
      <c r="BI603" s="6" t="str">
        <f t="shared" si="308"/>
        <v>=9.353*100000000</v>
      </c>
      <c r="BJ603" s="1">
        <f>9.353*100000000</f>
        <v>935300000</v>
      </c>
      <c r="BK603" s="6" t="s">
        <v>7169</v>
      </c>
      <c r="BL603" s="1" t="str">
        <f t="shared" si="280"/>
        <v>=3.557*100000000</v>
      </c>
      <c r="BM603" s="16">
        <f t="shared" si="309"/>
        <v>1.6294630306438009</v>
      </c>
      <c r="BN603" s="1">
        <f>3.557*100000000</f>
        <v>355700000</v>
      </c>
    </row>
    <row r="604" spans="1:66">
      <c r="A604" s="18"/>
      <c r="B604">
        <v>600511</v>
      </c>
      <c r="C604" t="s">
        <v>58</v>
      </c>
      <c r="D604" s="6" t="s">
        <v>5630</v>
      </c>
      <c r="E604" s="7" t="str">
        <f t="shared" si="279"/>
        <v>=24.45*100000000</v>
      </c>
      <c r="F604" s="1">
        <f>24.45*100000000</f>
        <v>2445000000</v>
      </c>
      <c r="G604" s="8">
        <f t="shared" si="281"/>
        <v>0.35607321131447589</v>
      </c>
      <c r="H604" s="6" t="s">
        <v>7161</v>
      </c>
      <c r="I604" s="6" t="str">
        <f t="shared" si="282"/>
        <v>=18.03*100000000</v>
      </c>
      <c r="J604" s="1">
        <f>18.03*100000000</f>
        <v>1803000000</v>
      </c>
      <c r="K604" s="10">
        <f t="shared" si="283"/>
        <v>0.71387832699619769</v>
      </c>
      <c r="L604" s="6" t="s">
        <v>1971</v>
      </c>
      <c r="M604" s="6" t="str">
        <f t="shared" si="284"/>
        <v>=10.52*100000000</v>
      </c>
      <c r="N604" s="1">
        <f>10.52*100000000</f>
        <v>1052000000</v>
      </c>
      <c r="O604" s="8">
        <f t="shared" si="285"/>
        <v>1.5373854317414375</v>
      </c>
      <c r="P604" s="6" t="s">
        <v>7170</v>
      </c>
      <c r="Q604" s="6" t="str">
        <f t="shared" si="286"/>
        <v>=4.146*100000000</v>
      </c>
      <c r="R604" s="11">
        <f>4.146*100000000</f>
        <v>414600000</v>
      </c>
      <c r="S604" s="8">
        <f t="shared" si="287"/>
        <v>-0.78372456964006265</v>
      </c>
      <c r="T604" s="6" t="s">
        <v>3268</v>
      </c>
      <c r="U604" s="6" t="str">
        <f t="shared" si="288"/>
        <v>=19.17*100000000</v>
      </c>
      <c r="V604" s="1">
        <f>19.17*100000000</f>
        <v>1917000000.0000002</v>
      </c>
      <c r="W604" s="8">
        <f t="shared" si="289"/>
        <v>0.37616654702081853</v>
      </c>
      <c r="X604" s="6" t="s">
        <v>1345</v>
      </c>
      <c r="Y604" s="6" t="str">
        <f t="shared" si="290"/>
        <v>=13.93*100000000</v>
      </c>
      <c r="Z604" s="1">
        <f>13.93*100000000</f>
        <v>1393000000</v>
      </c>
      <c r="AA604" s="8">
        <f t="shared" si="291"/>
        <v>0.6561645464272976</v>
      </c>
      <c r="AB604" s="6" t="s">
        <v>7171</v>
      </c>
      <c r="AC604" s="6" t="str">
        <f t="shared" si="292"/>
        <v>=8.411*100000000</v>
      </c>
      <c r="AD604" s="1">
        <f>8.411*100000000</f>
        <v>841100000</v>
      </c>
      <c r="AE604" s="8">
        <f t="shared" si="293"/>
        <v>1.5303850782190132</v>
      </c>
      <c r="AF604" s="6" t="s">
        <v>7172</v>
      </c>
      <c r="AG604" s="6" t="str">
        <f t="shared" si="294"/>
        <v>=3.324*100000000</v>
      </c>
      <c r="AH604" s="1">
        <f>3.324*100000000</f>
        <v>332400000</v>
      </c>
      <c r="AI604" s="8">
        <f t="shared" si="295"/>
        <v>-0.86304079110012366</v>
      </c>
      <c r="AJ604" s="6" t="s">
        <v>6878</v>
      </c>
      <c r="AK604" s="6" t="str">
        <f t="shared" si="296"/>
        <v>=24.27*100000000</v>
      </c>
      <c r="AL604" s="1">
        <f>24.27*100000000</f>
        <v>2427000000</v>
      </c>
      <c r="AM604" s="8">
        <f t="shared" si="297"/>
        <v>0.50092764378478638</v>
      </c>
      <c r="AN604" s="6" t="s">
        <v>7173</v>
      </c>
      <c r="AO604" s="6" t="str">
        <f t="shared" si="298"/>
        <v>=16.17*100000000</v>
      </c>
      <c r="AP604" s="1">
        <f>16.17*100000000</f>
        <v>1617000000.0000002</v>
      </c>
      <c r="AQ604" s="8">
        <f t="shared" si="299"/>
        <v>0.4476275738585499</v>
      </c>
      <c r="AR604" s="6" t="s">
        <v>1597</v>
      </c>
      <c r="AS604" s="6" t="str">
        <f t="shared" si="300"/>
        <v>=11.17*100000000</v>
      </c>
      <c r="AT604" s="1">
        <f>11.17*100000000</f>
        <v>1117000000</v>
      </c>
      <c r="AU604" s="8">
        <f t="shared" si="301"/>
        <v>1.7131406363857178</v>
      </c>
      <c r="AV604" s="6" t="s">
        <v>1584</v>
      </c>
      <c r="AW604" s="6" t="str">
        <f t="shared" si="302"/>
        <v>=4.117*100000000</v>
      </c>
      <c r="AX604" s="1">
        <f>4.117*100000000</f>
        <v>411700000</v>
      </c>
      <c r="AY604" s="10">
        <f t="shared" si="303"/>
        <v>-0.7964903608502224</v>
      </c>
      <c r="AZ604" s="6" t="s">
        <v>6087</v>
      </c>
      <c r="BA604" s="6" t="str">
        <f t="shared" si="304"/>
        <v>=20.23*100000000</v>
      </c>
      <c r="BB604" s="1">
        <f>20.23*100000000</f>
        <v>2023000000</v>
      </c>
      <c r="BC604" s="8">
        <f t="shared" si="305"/>
        <v>0.45959595959595961</v>
      </c>
      <c r="BD604" s="6" t="s">
        <v>4240</v>
      </c>
      <c r="BE604" s="6" t="str">
        <f t="shared" si="306"/>
        <v>=13.86*100000000</v>
      </c>
      <c r="BF604" s="1">
        <f>13.86*100000000</f>
        <v>1386000000</v>
      </c>
      <c r="BG604" s="8">
        <f t="shared" si="307"/>
        <v>0.48568978454282324</v>
      </c>
      <c r="BH604" s="6" t="s">
        <v>2448</v>
      </c>
      <c r="BI604" s="6" t="str">
        <f t="shared" si="308"/>
        <v>=9.329*100000000</v>
      </c>
      <c r="BJ604" s="1">
        <f>9.329*100000000</f>
        <v>932900000.00000012</v>
      </c>
      <c r="BK604" s="6" t="s">
        <v>3902</v>
      </c>
      <c r="BL604" s="1" t="str">
        <f t="shared" si="280"/>
        <v>=3.546*100000000</v>
      </c>
      <c r="BM604" s="16">
        <f t="shared" si="309"/>
        <v>1.630851663846588</v>
      </c>
      <c r="BN604" s="1">
        <f>3.546*100000000</f>
        <v>354600000</v>
      </c>
    </row>
    <row r="605" spans="1:66">
      <c r="A605" s="19"/>
      <c r="B605">
        <v>600511</v>
      </c>
      <c r="C605" t="s">
        <v>68</v>
      </c>
      <c r="D605" s="6" t="s">
        <v>7174</v>
      </c>
      <c r="E605" s="7" t="str">
        <f t="shared" si="279"/>
        <v>=19.29*100000000</v>
      </c>
      <c r="F605" s="1">
        <f>19.29*100000000</f>
        <v>1929000000</v>
      </c>
      <c r="G605" s="8">
        <f t="shared" si="281"/>
        <v>0.35749472202674171</v>
      </c>
      <c r="H605" s="6" t="s">
        <v>2468</v>
      </c>
      <c r="I605" s="6" t="str">
        <f t="shared" si="282"/>
        <v>=14.21*100000000</v>
      </c>
      <c r="J605" s="1">
        <f>14.21*100000000</f>
        <v>1421000000</v>
      </c>
      <c r="K605" s="10">
        <f t="shared" si="283"/>
        <v>0.70649693767263122</v>
      </c>
      <c r="L605" s="6" t="s">
        <v>7175</v>
      </c>
      <c r="M605" s="6" t="str">
        <f t="shared" si="284"/>
        <v>=8.327*100000000</v>
      </c>
      <c r="N605" s="1">
        <f>8.327*100000000</f>
        <v>832700000</v>
      </c>
      <c r="O605" s="8">
        <f t="shared" si="285"/>
        <v>1.538719512195122</v>
      </c>
      <c r="P605" s="6" t="s">
        <v>4404</v>
      </c>
      <c r="Q605" s="6" t="str">
        <f t="shared" si="286"/>
        <v>=3.280*100000000</v>
      </c>
      <c r="R605" s="11">
        <f>3.28*100000000</f>
        <v>328000000</v>
      </c>
      <c r="S605" s="8">
        <f t="shared" si="287"/>
        <v>-0.78263750828363154</v>
      </c>
      <c r="T605" s="6" t="s">
        <v>7176</v>
      </c>
      <c r="U605" s="6" t="str">
        <f t="shared" si="288"/>
        <v>=15.09*100000000</v>
      </c>
      <c r="V605" s="1">
        <f>15.09*100000000</f>
        <v>1509000000</v>
      </c>
      <c r="W605" s="8">
        <f t="shared" si="289"/>
        <v>0.39592969472710454</v>
      </c>
      <c r="X605" s="6" t="s">
        <v>937</v>
      </c>
      <c r="Y605" s="6" t="str">
        <f t="shared" si="290"/>
        <v>=10.81*100000000</v>
      </c>
      <c r="Z605" s="1">
        <f>10.81*100000000</f>
        <v>1081000000</v>
      </c>
      <c r="AA605" s="8">
        <f t="shared" si="291"/>
        <v>0.63663890991672978</v>
      </c>
      <c r="AB605" s="6" t="s">
        <v>4819</v>
      </c>
      <c r="AC605" s="6" t="str">
        <f t="shared" si="292"/>
        <v>=6.605*100000000</v>
      </c>
      <c r="AD605" s="1">
        <f>6.605*100000000</f>
        <v>660500000</v>
      </c>
      <c r="AE605" s="8">
        <f t="shared" si="293"/>
        <v>1.6356743814844374</v>
      </c>
      <c r="AF605" s="6" t="s">
        <v>2653</v>
      </c>
      <c r="AG605" s="6" t="str">
        <f t="shared" si="294"/>
        <v>=2.506*100000000</v>
      </c>
      <c r="AH605" s="1">
        <f>2.506*100000000</f>
        <v>250599999.99999997</v>
      </c>
      <c r="AI605" s="8">
        <f t="shared" si="295"/>
        <v>-0.86670212765957444</v>
      </c>
      <c r="AJ605" s="6" t="s">
        <v>7177</v>
      </c>
      <c r="AK605" s="6" t="str">
        <f t="shared" si="296"/>
        <v>=18.80*100000000</v>
      </c>
      <c r="AL605" s="1">
        <f>18.8*100000000</f>
        <v>1880000000</v>
      </c>
      <c r="AM605" s="8">
        <f t="shared" si="297"/>
        <v>0.5088282504012841</v>
      </c>
      <c r="AN605" s="6" t="s">
        <v>5722</v>
      </c>
      <c r="AO605" s="6" t="str">
        <f t="shared" si="298"/>
        <v>=12.46*100000000</v>
      </c>
      <c r="AP605" s="1">
        <f>12.46*100000000</f>
        <v>1246000000</v>
      </c>
      <c r="AQ605" s="8">
        <f t="shared" si="299"/>
        <v>0.43185474603539414</v>
      </c>
      <c r="AR605" s="6" t="s">
        <v>6877</v>
      </c>
      <c r="AS605" s="6" t="str">
        <f t="shared" si="300"/>
        <v>=8.702*100000000</v>
      </c>
      <c r="AT605" s="1">
        <f>8.702*100000000</f>
        <v>870200000</v>
      </c>
      <c r="AU605" s="8">
        <f t="shared" si="301"/>
        <v>1.6849737735266892</v>
      </c>
      <c r="AV605" s="6" t="s">
        <v>5823</v>
      </c>
      <c r="AW605" s="6" t="str">
        <f t="shared" si="302"/>
        <v>=3.241*100000000</v>
      </c>
      <c r="AX605" s="1">
        <f>3.241*100000000</f>
        <v>324100000</v>
      </c>
      <c r="AY605" s="10">
        <f t="shared" si="303"/>
        <v>-0.79654739485247961</v>
      </c>
      <c r="AZ605" s="6" t="s">
        <v>1586</v>
      </c>
      <c r="BA605" s="6" t="str">
        <f t="shared" si="304"/>
        <v>=15.93*100000000</v>
      </c>
      <c r="BB605" s="1">
        <f>15.93*100000000</f>
        <v>1593000000</v>
      </c>
      <c r="BC605" s="8">
        <f t="shared" si="305"/>
        <v>0.48186046511627906</v>
      </c>
      <c r="BD605" s="6" t="s">
        <v>4101</v>
      </c>
      <c r="BE605" s="6" t="str">
        <f t="shared" si="306"/>
        <v>=10.75*100000000</v>
      </c>
      <c r="BF605" s="1">
        <f>10.75*100000000</f>
        <v>1075000000</v>
      </c>
      <c r="BG605" s="8">
        <f t="shared" si="307"/>
        <v>0.48378191856452724</v>
      </c>
      <c r="BH605" s="6" t="s">
        <v>7178</v>
      </c>
      <c r="BI605" s="6" t="str">
        <f t="shared" si="308"/>
        <v>=7.245*100000000</v>
      </c>
      <c r="BJ605" s="1">
        <f>7.245*100000000</f>
        <v>724500000</v>
      </c>
      <c r="BK605" s="6" t="s">
        <v>6956</v>
      </c>
      <c r="BL605" s="1" t="str">
        <f t="shared" si="280"/>
        <v>=2.814*100000000</v>
      </c>
      <c r="BM605" s="16">
        <f t="shared" si="309"/>
        <v>1.5746268656716418</v>
      </c>
      <c r="BN605" s="1">
        <f>2.814*100000000</f>
        <v>281400000</v>
      </c>
    </row>
    <row r="606" spans="1:66">
      <c r="A606" s="17">
        <v>152</v>
      </c>
      <c r="B606">
        <v>600519</v>
      </c>
      <c r="C606" t="s">
        <v>31</v>
      </c>
      <c r="D606" s="6" t="s">
        <v>7179</v>
      </c>
      <c r="E606" s="7" t="str">
        <f t="shared" si="279"/>
        <v>=1062*100000000</v>
      </c>
      <c r="F606" s="1">
        <f>1062*100000000</f>
        <v>106200000000</v>
      </c>
      <c r="G606" s="8">
        <f t="shared" si="281"/>
        <v>0.42282958199356913</v>
      </c>
      <c r="H606" s="6" t="s">
        <v>7180</v>
      </c>
      <c r="I606" s="6" t="str">
        <f t="shared" si="282"/>
        <v>=746.4*100000000</v>
      </c>
      <c r="J606" s="1">
        <f>746.4*100000000</f>
        <v>74640000000</v>
      </c>
      <c r="K606" s="10">
        <f t="shared" si="283"/>
        <v>0.52047260134446938</v>
      </c>
      <c r="L606" s="6" t="s">
        <v>7181</v>
      </c>
      <c r="M606" s="6" t="str">
        <f t="shared" si="284"/>
        <v>=490.9*100000000</v>
      </c>
      <c r="N606" s="1">
        <f>490.9*100000000</f>
        <v>49090000000</v>
      </c>
      <c r="O606" s="8">
        <f t="shared" si="285"/>
        <v>0.80014668133480016</v>
      </c>
      <c r="P606" s="6" t="s">
        <v>7182</v>
      </c>
      <c r="Q606" s="6" t="str">
        <f t="shared" si="286"/>
        <v>=272.7*100000000</v>
      </c>
      <c r="R606" s="11">
        <f>272.7*100000000</f>
        <v>27270000000</v>
      </c>
      <c r="S606" s="8">
        <f t="shared" si="287"/>
        <v>-0.71270543615676363</v>
      </c>
      <c r="T606" s="6" t="s">
        <v>7183</v>
      </c>
      <c r="U606" s="6" t="str">
        <f t="shared" si="288"/>
        <v>=949.2*100000000</v>
      </c>
      <c r="V606" s="1">
        <f>949.2*100000000</f>
        <v>94920000000</v>
      </c>
      <c r="W606" s="8">
        <f t="shared" si="289"/>
        <v>0.41228983782175271</v>
      </c>
      <c r="X606" s="6" t="s">
        <v>7184</v>
      </c>
      <c r="Y606" s="6" t="str">
        <f t="shared" si="290"/>
        <v>=672.1*100000000</v>
      </c>
      <c r="Z606" s="1">
        <f>672.1*100000000</f>
        <v>67210000000</v>
      </c>
      <c r="AA606" s="8">
        <f t="shared" si="291"/>
        <v>0.52923777019340157</v>
      </c>
      <c r="AB606" s="6" t="s">
        <v>5270</v>
      </c>
      <c r="AC606" s="6" t="str">
        <f t="shared" si="292"/>
        <v>=439.5*100000000</v>
      </c>
      <c r="AD606" s="1">
        <f>439.5*100000000</f>
        <v>43950000000</v>
      </c>
      <c r="AE606" s="8">
        <f t="shared" si="293"/>
        <v>0.80049160180253998</v>
      </c>
      <c r="AF606" s="6" t="s">
        <v>7185</v>
      </c>
      <c r="AG606" s="6" t="str">
        <f t="shared" si="294"/>
        <v>=244.1*100000000</v>
      </c>
      <c r="AH606" s="1">
        <f>244.1*100000000</f>
        <v>24410000000</v>
      </c>
      <c r="AI606" s="8">
        <f t="shared" si="295"/>
        <v>-0.71426899215732176</v>
      </c>
      <c r="AJ606" s="6" t="s">
        <v>7186</v>
      </c>
      <c r="AK606" s="6" t="str">
        <f t="shared" si="296"/>
        <v>=854.3*100000000</v>
      </c>
      <c r="AL606" s="1">
        <f>854.3*100000000</f>
        <v>85430000000</v>
      </c>
      <c r="AM606" s="8">
        <f t="shared" si="297"/>
        <v>0.40210077137699018</v>
      </c>
      <c r="AN606" s="6" t="s">
        <v>7187</v>
      </c>
      <c r="AO606" s="6" t="str">
        <f t="shared" si="298"/>
        <v>=609.3*100000000</v>
      </c>
      <c r="AP606" s="1">
        <f>609.3*100000000</f>
        <v>60929999999.999992</v>
      </c>
      <c r="AQ606" s="8">
        <f t="shared" si="299"/>
        <v>0.54292225879969591</v>
      </c>
      <c r="AR606" s="6" t="s">
        <v>7188</v>
      </c>
      <c r="AS606" s="6" t="str">
        <f t="shared" si="300"/>
        <v>=394.9*100000000</v>
      </c>
      <c r="AT606" s="1">
        <f>394.9*100000000</f>
        <v>39490000000</v>
      </c>
      <c r="AU606" s="8">
        <f t="shared" si="301"/>
        <v>0.82486136783733821</v>
      </c>
      <c r="AV606" s="6" t="s">
        <v>7189</v>
      </c>
      <c r="AW606" s="6" t="str">
        <f t="shared" si="302"/>
        <v>=216.4*100000000</v>
      </c>
      <c r="AX606" s="1">
        <f>216.4*100000000</f>
        <v>21640000000</v>
      </c>
      <c r="AY606" s="10">
        <f t="shared" si="303"/>
        <v>-0.70613796849538291</v>
      </c>
      <c r="AZ606" s="6" t="s">
        <v>7190</v>
      </c>
      <c r="BA606" s="6" t="str">
        <f t="shared" si="304"/>
        <v>=736.4*100000000</v>
      </c>
      <c r="BB606" s="1">
        <f>736.4*100000000</f>
        <v>73640000000</v>
      </c>
      <c r="BC606" s="8">
        <f t="shared" si="305"/>
        <v>0.40964777947932618</v>
      </c>
      <c r="BD606" s="6" t="s">
        <v>7191</v>
      </c>
      <c r="BE606" s="6" t="str">
        <f t="shared" si="306"/>
        <v>=522.4*100000000</v>
      </c>
      <c r="BF606" s="1">
        <f>522.4*100000000</f>
        <v>52240000000</v>
      </c>
      <c r="BG606" s="8">
        <f t="shared" si="307"/>
        <v>0.56407185628742518</v>
      </c>
      <c r="BH606" s="6" t="s">
        <v>7192</v>
      </c>
      <c r="BI606" s="6" t="str">
        <f t="shared" si="308"/>
        <v>=334.0*100000000</v>
      </c>
      <c r="BJ606" s="1">
        <f>334*100000000</f>
        <v>33400000000</v>
      </c>
      <c r="BK606" s="6" t="s">
        <v>7193</v>
      </c>
      <c r="BL606" s="1" t="str">
        <f t="shared" si="280"/>
        <v>=174.7*100000000</v>
      </c>
      <c r="BM606" s="16">
        <f t="shared" si="309"/>
        <v>0.91184888380080142</v>
      </c>
      <c r="BN606" s="1">
        <f>174.7*100000000</f>
        <v>17470000000</v>
      </c>
    </row>
    <row r="607" spans="1:66">
      <c r="A607" s="18"/>
      <c r="B607">
        <v>600519</v>
      </c>
      <c r="C607" t="s">
        <v>48</v>
      </c>
      <c r="D607" s="6" t="s">
        <v>7194</v>
      </c>
      <c r="E607" s="7" t="str">
        <f t="shared" si="279"/>
        <v>=747.5*100000000</v>
      </c>
      <c r="F607" s="1">
        <f>747.5*100000000</f>
        <v>74750000000</v>
      </c>
      <c r="G607" s="8">
        <f t="shared" si="281"/>
        <v>0.40984534138061091</v>
      </c>
      <c r="H607" s="6" t="s">
        <v>7195</v>
      </c>
      <c r="I607" s="6" t="str">
        <f t="shared" si="282"/>
        <v>=530.2*100000000</v>
      </c>
      <c r="J607" s="1">
        <f>530.2*100000000</f>
        <v>53020000000.000008</v>
      </c>
      <c r="K607" s="10">
        <f t="shared" si="283"/>
        <v>0.51183347590533246</v>
      </c>
      <c r="L607" s="6" t="s">
        <v>7196</v>
      </c>
      <c r="M607" s="6" t="str">
        <f t="shared" si="284"/>
        <v>=350.7*100000000</v>
      </c>
      <c r="N607" s="1">
        <f>350.7*100000000</f>
        <v>35070000000</v>
      </c>
      <c r="O607" s="8">
        <f t="shared" si="285"/>
        <v>0.77929984779299843</v>
      </c>
      <c r="P607" s="6" t="s">
        <v>3001</v>
      </c>
      <c r="Q607" s="6" t="str">
        <f t="shared" si="286"/>
        <v>=197.1*100000000</v>
      </c>
      <c r="R607" s="11">
        <f>197.1*100000000</f>
        <v>19710000000</v>
      </c>
      <c r="S607" s="8">
        <f t="shared" si="287"/>
        <v>-0.70423169267707086</v>
      </c>
      <c r="T607" s="6" t="s">
        <v>7197</v>
      </c>
      <c r="U607" s="6" t="str">
        <f t="shared" si="288"/>
        <v>=666.4*100000000</v>
      </c>
      <c r="V607" s="1">
        <f>666.4*100000000</f>
        <v>66640000000</v>
      </c>
      <c r="W607" s="8">
        <f t="shared" si="289"/>
        <v>0.38862262971452388</v>
      </c>
      <c r="X607" s="6" t="s">
        <v>7198</v>
      </c>
      <c r="Y607" s="6" t="str">
        <f t="shared" si="290"/>
        <v>=479.9*100000000</v>
      </c>
      <c r="Z607" s="1">
        <f>479.9*100000000</f>
        <v>47990000000</v>
      </c>
      <c r="AA607" s="8">
        <f t="shared" si="291"/>
        <v>0.49594763092269328</v>
      </c>
      <c r="AB607" s="6" t="s">
        <v>7199</v>
      </c>
      <c r="AC607" s="6" t="str">
        <f t="shared" si="292"/>
        <v>=320.8*100000000</v>
      </c>
      <c r="AD607" s="1">
        <f>320.8*100000000</f>
        <v>32080000000</v>
      </c>
      <c r="AE607" s="8">
        <f t="shared" si="293"/>
        <v>0.72844827586206895</v>
      </c>
      <c r="AF607" s="6" t="s">
        <v>7200</v>
      </c>
      <c r="AG607" s="6" t="str">
        <f t="shared" si="294"/>
        <v>=185.6*100000000</v>
      </c>
      <c r="AH607" s="1">
        <f>185.6*100000000</f>
        <v>18560000000</v>
      </c>
      <c r="AI607" s="8">
        <f t="shared" si="295"/>
        <v>-0.68563685636856364</v>
      </c>
      <c r="AJ607" s="6" t="s">
        <v>7201</v>
      </c>
      <c r="AK607" s="6" t="str">
        <f t="shared" si="296"/>
        <v>=590.4*100000000</v>
      </c>
      <c r="AL607" s="1">
        <f>590.4*100000000</f>
        <v>59040000000</v>
      </c>
      <c r="AM607" s="8">
        <f t="shared" si="297"/>
        <v>0.36319556684368504</v>
      </c>
      <c r="AN607" s="6" t="s">
        <v>7202</v>
      </c>
      <c r="AO607" s="6" t="str">
        <f t="shared" si="298"/>
        <v>=433.1*100000000</v>
      </c>
      <c r="AP607" s="1">
        <f>433.1*100000000</f>
        <v>43310000000</v>
      </c>
      <c r="AQ607" s="8">
        <f t="shared" si="299"/>
        <v>0.52500000000000002</v>
      </c>
      <c r="AR607" s="6" t="s">
        <v>1912</v>
      </c>
      <c r="AS607" s="6" t="str">
        <f t="shared" si="300"/>
        <v>=284.0*100000000</v>
      </c>
      <c r="AT607" s="1">
        <f>284*100000000</f>
        <v>28400000000</v>
      </c>
      <c r="AU607" s="8">
        <f t="shared" si="301"/>
        <v>0.77500000000000002</v>
      </c>
      <c r="AV607" s="6" t="s">
        <v>7203</v>
      </c>
      <c r="AW607" s="6" t="str">
        <f t="shared" si="302"/>
        <v>=160.0*100000000</v>
      </c>
      <c r="AX607" s="1">
        <f>160*100000000</f>
        <v>16000000000</v>
      </c>
      <c r="AY607" s="10">
        <f t="shared" si="303"/>
        <v>-0.68835216205687577</v>
      </c>
      <c r="AZ607" s="6" t="s">
        <v>7204</v>
      </c>
      <c r="BA607" s="6" t="str">
        <f t="shared" si="304"/>
        <v>=513.4*100000000</v>
      </c>
      <c r="BB607" s="1">
        <f>513.4*100000000</f>
        <v>51340000000</v>
      </c>
      <c r="BC607" s="8">
        <f t="shared" si="305"/>
        <v>0.43247767857142855</v>
      </c>
      <c r="BD607" s="6" t="s">
        <v>7205</v>
      </c>
      <c r="BE607" s="6" t="str">
        <f t="shared" si="306"/>
        <v>=358.4*100000000</v>
      </c>
      <c r="BF607" s="1">
        <f>358.4*100000000</f>
        <v>35840000000</v>
      </c>
      <c r="BG607" s="8">
        <f t="shared" si="307"/>
        <v>0.56643356643356646</v>
      </c>
      <c r="BH607" s="6" t="s">
        <v>7206</v>
      </c>
      <c r="BI607" s="6" t="str">
        <f t="shared" si="308"/>
        <v>=228.8*100000000</v>
      </c>
      <c r="BJ607" s="1">
        <f>228.8*100000000</f>
        <v>22880000000</v>
      </c>
      <c r="BK607" s="6" t="s">
        <v>7207</v>
      </c>
      <c r="BL607" s="1" t="str">
        <f t="shared" si="280"/>
        <v>=121.8*100000000</v>
      </c>
      <c r="BM607" s="16">
        <f t="shared" si="309"/>
        <v>0.87848932676518887</v>
      </c>
      <c r="BN607" s="1">
        <f>121.8*100000000</f>
        <v>12180000000</v>
      </c>
    </row>
    <row r="608" spans="1:66">
      <c r="A608" s="18"/>
      <c r="B608">
        <v>600519</v>
      </c>
      <c r="C608" t="s">
        <v>58</v>
      </c>
      <c r="D608" s="6" t="s">
        <v>7208</v>
      </c>
      <c r="E608" s="7" t="str">
        <f t="shared" si="279"/>
        <v>=745.3*100000000</v>
      </c>
      <c r="F608" s="1">
        <f>745.3*100000000</f>
        <v>74530000000</v>
      </c>
      <c r="G608" s="8">
        <f t="shared" si="281"/>
        <v>0.40995081346954221</v>
      </c>
      <c r="H608" s="6" t="s">
        <v>7209</v>
      </c>
      <c r="I608" s="6" t="str">
        <f t="shared" si="282"/>
        <v>=528.6*100000000</v>
      </c>
      <c r="J608" s="1">
        <f>528.6*100000000</f>
        <v>52860000000</v>
      </c>
      <c r="K608" s="10">
        <f t="shared" si="283"/>
        <v>0.50813124108416552</v>
      </c>
      <c r="L608" s="6" t="s">
        <v>7210</v>
      </c>
      <c r="M608" s="6" t="str">
        <f t="shared" si="284"/>
        <v>=350.5*100000000</v>
      </c>
      <c r="N608" s="1">
        <f>350.5*100000000</f>
        <v>35050000000</v>
      </c>
      <c r="O608" s="8">
        <f t="shared" si="285"/>
        <v>0.78009141696292539</v>
      </c>
      <c r="P608" s="6" t="s">
        <v>7211</v>
      </c>
      <c r="Q608" s="6" t="str">
        <f t="shared" si="286"/>
        <v>=196.9*100000000</v>
      </c>
      <c r="R608" s="11">
        <f>196.9*100000000</f>
        <v>19690000000</v>
      </c>
      <c r="S608" s="8">
        <f t="shared" si="287"/>
        <v>-0.70256797583081576</v>
      </c>
      <c r="T608" s="6" t="s">
        <v>7212</v>
      </c>
      <c r="U608" s="6" t="str">
        <f t="shared" si="288"/>
        <v>=662.0*100000000</v>
      </c>
      <c r="V608" s="1">
        <f>662*100000000</f>
        <v>66200000000</v>
      </c>
      <c r="W608" s="8">
        <f t="shared" si="289"/>
        <v>0.38262322472848787</v>
      </c>
      <c r="X608" s="6" t="s">
        <v>7213</v>
      </c>
      <c r="Y608" s="6" t="str">
        <f t="shared" si="290"/>
        <v>=478.8*100000000</v>
      </c>
      <c r="Z608" s="1">
        <f>478.8*100000000</f>
        <v>47880000000</v>
      </c>
      <c r="AA608" s="8">
        <f t="shared" si="291"/>
        <v>0.49718574108818009</v>
      </c>
      <c r="AB608" s="6" t="s">
        <v>7214</v>
      </c>
      <c r="AC608" s="6" t="str">
        <f t="shared" si="292"/>
        <v>=319.8*100000000</v>
      </c>
      <c r="AD608" s="1">
        <f>319.8*100000000</f>
        <v>31980000000</v>
      </c>
      <c r="AE608" s="8">
        <f t="shared" si="293"/>
        <v>0.73051948051948057</v>
      </c>
      <c r="AF608" s="6" t="s">
        <v>7215</v>
      </c>
      <c r="AG608" s="6" t="str">
        <f t="shared" si="294"/>
        <v>=184.8*100000000</v>
      </c>
      <c r="AH608" s="1">
        <f>184.8*100000000</f>
        <v>18480000000</v>
      </c>
      <c r="AI608" s="8">
        <f t="shared" si="295"/>
        <v>-0.68560734943858448</v>
      </c>
      <c r="AJ608" s="6" t="s">
        <v>2255</v>
      </c>
      <c r="AK608" s="6" t="str">
        <f t="shared" si="296"/>
        <v>=587.8*100000000</v>
      </c>
      <c r="AL608" s="1">
        <f>587.8*100000000</f>
        <v>58779999999.999992</v>
      </c>
      <c r="AM608" s="8">
        <f t="shared" si="297"/>
        <v>0.36033325619069639</v>
      </c>
      <c r="AN608" s="6" t="s">
        <v>7216</v>
      </c>
      <c r="AO608" s="6" t="str">
        <f t="shared" si="298"/>
        <v>=432.1*100000000</v>
      </c>
      <c r="AP608" s="1">
        <f>432.1*100000000</f>
        <v>43210000000</v>
      </c>
      <c r="AQ608" s="8">
        <f t="shared" si="299"/>
        <v>0.52739483916578311</v>
      </c>
      <c r="AR608" s="6" t="s">
        <v>7217</v>
      </c>
      <c r="AS608" s="6" t="str">
        <f t="shared" si="300"/>
        <v>=282.9*100000000</v>
      </c>
      <c r="AT608" s="1">
        <f>282.9*100000000</f>
        <v>28289999999.999996</v>
      </c>
      <c r="AU608" s="8">
        <f t="shared" si="301"/>
        <v>0.78036500943989906</v>
      </c>
      <c r="AV608" s="6" t="s">
        <v>7218</v>
      </c>
      <c r="AW608" s="6" t="str">
        <f t="shared" si="302"/>
        <v>=158.9*100000000</v>
      </c>
      <c r="AX608" s="1">
        <f>158.9*100000000</f>
        <v>15890000000</v>
      </c>
      <c r="AY608" s="10">
        <f t="shared" si="303"/>
        <v>-0.68738933700570526</v>
      </c>
      <c r="AZ608" s="6" t="s">
        <v>7219</v>
      </c>
      <c r="BA608" s="6" t="str">
        <f t="shared" si="304"/>
        <v>=508.3*100000000</v>
      </c>
      <c r="BB608" s="1">
        <f>508.3*100000000</f>
        <v>50830000000</v>
      </c>
      <c r="BC608" s="8">
        <f t="shared" si="305"/>
        <v>0.42861157953906687</v>
      </c>
      <c r="BD608" s="6" t="s">
        <v>7220</v>
      </c>
      <c r="BE608" s="6" t="str">
        <f t="shared" si="306"/>
        <v>=355.8*100000000</v>
      </c>
      <c r="BF608" s="1">
        <f>355.8*100000000</f>
        <v>35580000000</v>
      </c>
      <c r="BG608" s="8">
        <f t="shared" si="307"/>
        <v>0.56602112676056338</v>
      </c>
      <c r="BH608" s="6" t="s">
        <v>7221</v>
      </c>
      <c r="BI608" s="6" t="str">
        <f t="shared" si="308"/>
        <v>=227.2*100000000</v>
      </c>
      <c r="BJ608" s="1">
        <f>227.2*100000000</f>
        <v>22720000000</v>
      </c>
      <c r="BK608" s="6" t="s">
        <v>7222</v>
      </c>
      <c r="BL608" s="1" t="str">
        <f t="shared" si="280"/>
        <v>=121.7*100000000</v>
      </c>
      <c r="BM608" s="16">
        <f t="shared" si="309"/>
        <v>0.86688578471651601</v>
      </c>
      <c r="BN608" s="1">
        <f>121.7*100000000</f>
        <v>12170000000</v>
      </c>
    </row>
    <row r="609" spans="1:66">
      <c r="A609" s="19"/>
      <c r="B609">
        <v>600519</v>
      </c>
      <c r="C609" t="s">
        <v>68</v>
      </c>
      <c r="D609" s="6" t="s">
        <v>7223</v>
      </c>
      <c r="E609" s="7" t="str">
        <f t="shared" si="279"/>
        <v>=557.2*100000000</v>
      </c>
      <c r="F609" s="1">
        <f>557.2*100000000</f>
        <v>55720000000.000008</v>
      </c>
      <c r="G609" s="8">
        <f t="shared" si="281"/>
        <v>0.40813747788728855</v>
      </c>
      <c r="H609" s="6" t="s">
        <v>7224</v>
      </c>
      <c r="I609" s="6" t="str">
        <f t="shared" si="282"/>
        <v>=395.7*100000000</v>
      </c>
      <c r="J609" s="1">
        <f>395.7*100000000</f>
        <v>39570000000</v>
      </c>
      <c r="K609" s="10">
        <f t="shared" si="283"/>
        <v>0.50972911102632557</v>
      </c>
      <c r="L609" s="6" t="s">
        <v>7225</v>
      </c>
      <c r="M609" s="6" t="str">
        <f t="shared" si="284"/>
        <v>=262.1*100000000</v>
      </c>
      <c r="N609" s="1">
        <f>262.1*100000000</f>
        <v>26210000000.000004</v>
      </c>
      <c r="O609" s="8">
        <f t="shared" si="285"/>
        <v>0.77454299255247172</v>
      </c>
      <c r="P609" s="6" t="s">
        <v>7226</v>
      </c>
      <c r="Q609" s="6" t="str">
        <f t="shared" si="286"/>
        <v>=147.7*100000000</v>
      </c>
      <c r="R609" s="11">
        <f>147.7*100000000</f>
        <v>14769999999.999998</v>
      </c>
      <c r="S609" s="8">
        <f t="shared" si="287"/>
        <v>-0.70173667205169632</v>
      </c>
      <c r="T609" s="6" t="s">
        <v>7227</v>
      </c>
      <c r="U609" s="6" t="str">
        <f t="shared" si="288"/>
        <v>=495.2*100000000</v>
      </c>
      <c r="V609" s="1">
        <f>495.2*100000000</f>
        <v>49520000000</v>
      </c>
      <c r="W609" s="8">
        <f t="shared" si="289"/>
        <v>0.3813110181311018</v>
      </c>
      <c r="X609" s="6" t="s">
        <v>7228</v>
      </c>
      <c r="Y609" s="6" t="str">
        <f t="shared" si="290"/>
        <v>=358.5*100000000</v>
      </c>
      <c r="Z609" s="1">
        <f>358.5*100000000</f>
        <v>35850000000</v>
      </c>
      <c r="AA609" s="8">
        <f t="shared" si="291"/>
        <v>0.49811951525282072</v>
      </c>
      <c r="AB609" s="6" t="s">
        <v>7229</v>
      </c>
      <c r="AC609" s="6" t="str">
        <f t="shared" si="292"/>
        <v>=239.3*100000000</v>
      </c>
      <c r="AD609" s="1">
        <f>239.3*100000000</f>
        <v>23930000000</v>
      </c>
      <c r="AE609" s="8">
        <f t="shared" si="293"/>
        <v>0.7265512265512265</v>
      </c>
      <c r="AF609" s="6" t="s">
        <v>7230</v>
      </c>
      <c r="AG609" s="6" t="str">
        <f t="shared" si="294"/>
        <v>=138.6*100000000</v>
      </c>
      <c r="AH609" s="1">
        <f>138.6*100000000</f>
        <v>13860000000</v>
      </c>
      <c r="AI609" s="8">
        <f t="shared" si="295"/>
        <v>-0.68478508073686606</v>
      </c>
      <c r="AJ609" s="6" t="s">
        <v>7231</v>
      </c>
      <c r="AK609" s="6" t="str">
        <f t="shared" si="296"/>
        <v>=439.7*100000000</v>
      </c>
      <c r="AL609" s="1">
        <f>439.7*100000000</f>
        <v>43970000000</v>
      </c>
      <c r="AM609" s="8">
        <f t="shared" si="297"/>
        <v>0.35668003702560924</v>
      </c>
      <c r="AN609" s="6" t="s">
        <v>7232</v>
      </c>
      <c r="AO609" s="6" t="str">
        <f t="shared" si="298"/>
        <v>=324.1*100000000</v>
      </c>
      <c r="AP609" s="1">
        <f>324.1*100000000</f>
        <v>32410000000.000004</v>
      </c>
      <c r="AQ609" s="8">
        <f t="shared" si="299"/>
        <v>0.52877358490566051</v>
      </c>
      <c r="AR609" s="6" t="s">
        <v>7233</v>
      </c>
      <c r="AS609" s="6" t="str">
        <f t="shared" si="300"/>
        <v>=212.0*100000000</v>
      </c>
      <c r="AT609" s="1">
        <f>212*100000000</f>
        <v>21200000000</v>
      </c>
      <c r="AU609" s="8">
        <f t="shared" si="301"/>
        <v>0.77852348993288589</v>
      </c>
      <c r="AV609" s="6" t="s">
        <v>1156</v>
      </c>
      <c r="AW609" s="6" t="str">
        <f t="shared" si="302"/>
        <v>=119.2*100000000</v>
      </c>
      <c r="AX609" s="1">
        <f>119.2*100000000</f>
        <v>11920000000</v>
      </c>
      <c r="AY609" s="10">
        <f t="shared" si="303"/>
        <v>-0.68490615913296327</v>
      </c>
      <c r="AZ609" s="6" t="s">
        <v>7234</v>
      </c>
      <c r="BA609" s="6" t="str">
        <f t="shared" si="304"/>
        <v>=378.3*100000000</v>
      </c>
      <c r="BB609" s="1">
        <f>378.3*100000000</f>
        <v>37830000000</v>
      </c>
      <c r="BC609" s="8">
        <f t="shared" si="305"/>
        <v>0.42378622506586378</v>
      </c>
      <c r="BD609" s="6" t="s">
        <v>7235</v>
      </c>
      <c r="BE609" s="6" t="str">
        <f t="shared" si="306"/>
        <v>=265.7*100000000</v>
      </c>
      <c r="BF609" s="1">
        <f>265.7*100000000</f>
        <v>26570000000</v>
      </c>
      <c r="BG609" s="8">
        <f t="shared" si="307"/>
        <v>0.57033096926713966</v>
      </c>
      <c r="BH609" s="6" t="s">
        <v>7236</v>
      </c>
      <c r="BI609" s="6" t="str">
        <f t="shared" si="308"/>
        <v>=169.2*100000000</v>
      </c>
      <c r="BJ609" s="1">
        <f>169.2*100000000</f>
        <v>16919999999.999998</v>
      </c>
      <c r="BK609" s="6" t="s">
        <v>4944</v>
      </c>
      <c r="BL609" s="1" t="str">
        <f t="shared" si="280"/>
        <v>=91.31*100000000</v>
      </c>
      <c r="BM609" s="16">
        <f t="shared" si="309"/>
        <v>0.85302814587668363</v>
      </c>
      <c r="BN609" s="1">
        <f>91.31*100000000</f>
        <v>9131000000</v>
      </c>
    </row>
    <row r="610" spans="1:66">
      <c r="A610" s="17">
        <v>153</v>
      </c>
      <c r="B610">
        <v>600523</v>
      </c>
      <c r="C610" t="s">
        <v>31</v>
      </c>
      <c r="D610" s="6" t="s">
        <v>7237</v>
      </c>
      <c r="E610" s="7" t="str">
        <f t="shared" si="279"/>
        <v>=23.94*100000000</v>
      </c>
      <c r="F610" s="1">
        <f>23.94*100000000</f>
        <v>2394000000</v>
      </c>
      <c r="G610" s="8">
        <f t="shared" si="281"/>
        <v>0.36878216123499163</v>
      </c>
      <c r="H610" s="6" t="s">
        <v>7238</v>
      </c>
      <c r="I610" s="6" t="str">
        <f t="shared" si="282"/>
        <v>=17.49*100000000</v>
      </c>
      <c r="J610" s="1">
        <f>17.49*100000000</f>
        <v>1748999999.9999998</v>
      </c>
      <c r="K610" s="10">
        <f t="shared" si="283"/>
        <v>0.4574999999999998</v>
      </c>
      <c r="L610" s="6" t="s">
        <v>7239</v>
      </c>
      <c r="M610" s="6" t="str">
        <f t="shared" si="284"/>
        <v>=12.00*100000000</v>
      </c>
      <c r="N610" s="1">
        <f>12*100000000</f>
        <v>1200000000</v>
      </c>
      <c r="O610" s="8">
        <f t="shared" si="285"/>
        <v>1.1175224986765484</v>
      </c>
      <c r="P610" s="6" t="s">
        <v>7240</v>
      </c>
      <c r="Q610" s="6" t="str">
        <f t="shared" si="286"/>
        <v>=5.667*100000000</v>
      </c>
      <c r="R610" s="11">
        <f>5.667*100000000</f>
        <v>566700000</v>
      </c>
      <c r="S610" s="8">
        <f t="shared" si="287"/>
        <v>-0.74655635062611803</v>
      </c>
      <c r="T610" s="6" t="s">
        <v>7241</v>
      </c>
      <c r="U610" s="6" t="str">
        <f t="shared" si="288"/>
        <v>=22.36*100000000</v>
      </c>
      <c r="V610" s="1">
        <f>22.36*100000000</f>
        <v>2236000000</v>
      </c>
      <c r="W610" s="8">
        <f t="shared" si="289"/>
        <v>0.44165054803352677</v>
      </c>
      <c r="X610" s="6" t="s">
        <v>3049</v>
      </c>
      <c r="Y610" s="6" t="str">
        <f t="shared" si="290"/>
        <v>=15.51*100000000</v>
      </c>
      <c r="Z610" s="1">
        <f>15.51*100000000</f>
        <v>1551000000</v>
      </c>
      <c r="AA610" s="8">
        <f t="shared" si="291"/>
        <v>0.6259565992242373</v>
      </c>
      <c r="AB610" s="6" t="s">
        <v>7242</v>
      </c>
      <c r="AC610" s="6" t="str">
        <f t="shared" si="292"/>
        <v>=9.539*100000000</v>
      </c>
      <c r="AD610" s="1">
        <f>9.539*100000000</f>
        <v>953900000</v>
      </c>
      <c r="AE610" s="8">
        <f t="shared" si="293"/>
        <v>1.2609623133443941</v>
      </c>
      <c r="AF610" s="6" t="s">
        <v>3679</v>
      </c>
      <c r="AG610" s="6" t="str">
        <f t="shared" si="294"/>
        <v>=4.219*100000000</v>
      </c>
      <c r="AH610" s="1">
        <f>4.219*100000000</f>
        <v>421900000.00000006</v>
      </c>
      <c r="AI610" s="8">
        <f t="shared" si="295"/>
        <v>-0.80892210144927534</v>
      </c>
      <c r="AJ610" s="6" t="s">
        <v>7243</v>
      </c>
      <c r="AK610" s="6" t="str">
        <f t="shared" si="296"/>
        <v>=22.08*100000000</v>
      </c>
      <c r="AL610" s="1">
        <f>22.08*100000000</f>
        <v>2208000000</v>
      </c>
      <c r="AM610" s="8">
        <f t="shared" si="297"/>
        <v>0.39835338822039268</v>
      </c>
      <c r="AN610" s="6" t="s">
        <v>7244</v>
      </c>
      <c r="AO610" s="6" t="str">
        <f t="shared" si="298"/>
        <v>=15.79*100000000</v>
      </c>
      <c r="AP610" s="1">
        <f>15.79*100000000</f>
        <v>1579000000</v>
      </c>
      <c r="AQ610" s="8">
        <f t="shared" si="299"/>
        <v>0.49243856332703212</v>
      </c>
      <c r="AR610" s="6" t="s">
        <v>1383</v>
      </c>
      <c r="AS610" s="6" t="str">
        <f t="shared" si="300"/>
        <v>=10.58*100000000</v>
      </c>
      <c r="AT610" s="1">
        <f>10.58*100000000</f>
        <v>1058000000</v>
      </c>
      <c r="AU610" s="8">
        <f t="shared" si="301"/>
        <v>1.0381429397033326</v>
      </c>
      <c r="AV610" s="6" t="s">
        <v>7245</v>
      </c>
      <c r="AW610" s="6" t="str">
        <f t="shared" si="302"/>
        <v>=5.191*100000000</v>
      </c>
      <c r="AX610" s="1">
        <f>5.191*100000000</f>
        <v>519100000</v>
      </c>
      <c r="AY610" s="10">
        <f t="shared" si="303"/>
        <v>-0.81447462473195142</v>
      </c>
      <c r="AZ610" s="6" t="s">
        <v>887</v>
      </c>
      <c r="BA610" s="6" t="str">
        <f t="shared" si="304"/>
        <v>=27.98*100000000</v>
      </c>
      <c r="BB610" s="1">
        <f>27.98*100000000</f>
        <v>2798000000</v>
      </c>
      <c r="BC610" s="8">
        <f t="shared" si="305"/>
        <v>0.32795443758898907</v>
      </c>
      <c r="BD610" s="6" t="s">
        <v>694</v>
      </c>
      <c r="BE610" s="6" t="str">
        <f t="shared" si="306"/>
        <v>=21.07*100000000</v>
      </c>
      <c r="BF610" s="1">
        <f>21.07*100000000</f>
        <v>2107000000</v>
      </c>
      <c r="BG610" s="8">
        <f t="shared" si="307"/>
        <v>0.4734265734265734</v>
      </c>
      <c r="BH610" s="6" t="s">
        <v>2791</v>
      </c>
      <c r="BI610" s="6" t="str">
        <f t="shared" si="308"/>
        <v>=14.30*100000000</v>
      </c>
      <c r="BJ610" s="1">
        <f>14.3*100000000</f>
        <v>1430000000</v>
      </c>
      <c r="BK610" s="6" t="s">
        <v>7246</v>
      </c>
      <c r="BL610" s="1" t="str">
        <f t="shared" si="280"/>
        <v>=6.720*100000000</v>
      </c>
      <c r="BM610" s="16">
        <f t="shared" si="309"/>
        <v>1.1279761904761905</v>
      </c>
      <c r="BN610" s="1">
        <f>6.72*100000000</f>
        <v>672000000</v>
      </c>
    </row>
    <row r="611" spans="1:66">
      <c r="A611" s="18"/>
      <c r="B611">
        <v>600523</v>
      </c>
      <c r="C611" t="s">
        <v>48</v>
      </c>
      <c r="D611" s="6" t="s">
        <v>7247</v>
      </c>
      <c r="E611" s="7" t="str">
        <f t="shared" si="279"/>
        <v>=1.828*100000000</v>
      </c>
      <c r="F611" s="1">
        <f>1.828*100000000</f>
        <v>182800000</v>
      </c>
      <c r="G611" s="8">
        <f t="shared" si="281"/>
        <v>0.14464621164683783</v>
      </c>
      <c r="H611" s="6" t="s">
        <v>2924</v>
      </c>
      <c r="I611" s="6" t="str">
        <f t="shared" si="282"/>
        <v>=1.597*100000000</v>
      </c>
      <c r="J611" s="1">
        <f>1.597*100000000</f>
        <v>159700000</v>
      </c>
      <c r="K611" s="10">
        <f t="shared" si="283"/>
        <v>0.46648301193755737</v>
      </c>
      <c r="L611" s="6" t="s">
        <v>7248</v>
      </c>
      <c r="M611" s="6" t="str">
        <f t="shared" si="284"/>
        <v>=1.089*100000000</v>
      </c>
      <c r="N611" s="1">
        <f>1.089*100000000</f>
        <v>108900000</v>
      </c>
      <c r="O611" s="8">
        <f t="shared" si="285"/>
        <v>1.7327478042659974</v>
      </c>
      <c r="P611" s="7" t="s">
        <v>7249</v>
      </c>
      <c r="Q611" s="6" t="str">
        <f t="shared" si="286"/>
        <v>=3985*10000</v>
      </c>
      <c r="R611" s="11">
        <f>3985*10000</f>
        <v>39850000</v>
      </c>
      <c r="S611" s="8">
        <f t="shared" si="287"/>
        <v>-0.78982067510548526</v>
      </c>
      <c r="T611" s="6" t="s">
        <v>7250</v>
      </c>
      <c r="U611" s="6" t="str">
        <f t="shared" si="288"/>
        <v>=1.896*100000000</v>
      </c>
      <c r="V611" s="1">
        <f>1.896*100000000</f>
        <v>189600000</v>
      </c>
      <c r="W611" s="8">
        <f t="shared" si="289"/>
        <v>0.52289156626506006</v>
      </c>
      <c r="X611" s="6" t="s">
        <v>7251</v>
      </c>
      <c r="Y611" s="6" t="str">
        <f t="shared" si="290"/>
        <v>=1.245*100000000</v>
      </c>
      <c r="Z611" s="1">
        <f>1.245*100000000</f>
        <v>124500000.00000001</v>
      </c>
      <c r="AA611" s="8">
        <f t="shared" si="291"/>
        <v>0.86712657468506316</v>
      </c>
      <c r="AB611" s="7" t="s">
        <v>7252</v>
      </c>
      <c r="AC611" s="6" t="str">
        <f t="shared" si="292"/>
        <v>=6668*10000</v>
      </c>
      <c r="AD611" s="1">
        <f>6668*10000</f>
        <v>66680000</v>
      </c>
      <c r="AE611" s="8">
        <f t="shared" si="293"/>
        <v>119.57866184448463</v>
      </c>
      <c r="AF611" s="7" t="s">
        <v>7253</v>
      </c>
      <c r="AG611" s="6" t="str">
        <f t="shared" si="294"/>
        <v>=55.30*10000</v>
      </c>
      <c r="AH611" s="1">
        <f>55.3*10000</f>
        <v>553000</v>
      </c>
      <c r="AI611" s="8">
        <f t="shared" si="295"/>
        <v>-0.99618883528600966</v>
      </c>
      <c r="AJ611" s="6" t="s">
        <v>5318</v>
      </c>
      <c r="AK611" s="6" t="str">
        <f t="shared" si="296"/>
        <v>=1.451*100000000</v>
      </c>
      <c r="AL611" s="1">
        <f>1.451*100000000</f>
        <v>145100000</v>
      </c>
      <c r="AM611" s="8">
        <f t="shared" si="297"/>
        <v>0.76757217687903523</v>
      </c>
      <c r="AN611" s="7" t="s">
        <v>7254</v>
      </c>
      <c r="AO611" s="6" t="str">
        <f t="shared" si="298"/>
        <v>=8209*10000</v>
      </c>
      <c r="AP611" s="1">
        <f>8209*10000</f>
        <v>82090000</v>
      </c>
      <c r="AQ611" s="8">
        <f t="shared" si="299"/>
        <v>0.42616400277970812</v>
      </c>
      <c r="AR611" s="7" t="s">
        <v>7255</v>
      </c>
      <c r="AS611" s="6" t="str">
        <f t="shared" si="300"/>
        <v>=5756*10000</v>
      </c>
      <c r="AT611" s="1">
        <f>5756*10000</f>
        <v>57560000</v>
      </c>
      <c r="AU611" s="8">
        <f t="shared" si="301"/>
        <v>6.0747295968534907</v>
      </c>
      <c r="AV611" s="7" t="s">
        <v>7256</v>
      </c>
      <c r="AW611" s="6" t="str">
        <f t="shared" si="302"/>
        <v>=813.6*10000</v>
      </c>
      <c r="AX611" s="1">
        <f>813.6*10000</f>
        <v>8136000</v>
      </c>
      <c r="AY611" s="10">
        <f t="shared" si="303"/>
        <v>-0.9446906866077498</v>
      </c>
      <c r="AZ611" s="6" t="s">
        <v>4597</v>
      </c>
      <c r="BA611" s="6" t="str">
        <f t="shared" si="304"/>
        <v>=1.471*100000000</v>
      </c>
      <c r="BB611" s="1">
        <f>1.471*100000000</f>
        <v>147100000</v>
      </c>
      <c r="BC611" s="8">
        <f t="shared" si="305"/>
        <v>0.16468725257323846</v>
      </c>
      <c r="BD611" s="6" t="s">
        <v>7257</v>
      </c>
      <c r="BE611" s="6" t="str">
        <f t="shared" si="306"/>
        <v>=1.263*100000000</v>
      </c>
      <c r="BF611" s="1">
        <f>1.263*100000000</f>
        <v>126299999.99999999</v>
      </c>
      <c r="BG611" s="8">
        <f t="shared" si="307"/>
        <v>0.44723272602268804</v>
      </c>
      <c r="BH611" s="7" t="s">
        <v>7258</v>
      </c>
      <c r="BI611" s="6" t="str">
        <f t="shared" si="308"/>
        <v>=8727*10000</v>
      </c>
      <c r="BJ611" s="1">
        <f>8727*10000</f>
        <v>87270000</v>
      </c>
      <c r="BK611" s="7" t="s">
        <v>7259</v>
      </c>
      <c r="BL611" s="1" t="str">
        <f t="shared" si="280"/>
        <v>=1376*10000</v>
      </c>
      <c r="BM611" s="16">
        <f t="shared" si="309"/>
        <v>5.3422965116279073</v>
      </c>
      <c r="BN611" s="1">
        <f>1376*10000</f>
        <v>13760000</v>
      </c>
    </row>
    <row r="612" spans="1:66">
      <c r="A612" s="18"/>
      <c r="B612">
        <v>600523</v>
      </c>
      <c r="C612" t="s">
        <v>58</v>
      </c>
      <c r="D612" s="6" t="s">
        <v>7260</v>
      </c>
      <c r="E612" s="7" t="str">
        <f t="shared" si="279"/>
        <v>=1.791*100000000</v>
      </c>
      <c r="F612" s="1">
        <f>1.791*100000000</f>
        <v>179100000</v>
      </c>
      <c r="G612" s="8">
        <f t="shared" si="281"/>
        <v>0.125</v>
      </c>
      <c r="H612" s="6" t="s">
        <v>4438</v>
      </c>
      <c r="I612" s="6" t="str">
        <f t="shared" si="282"/>
        <v>=1.592*100000000</v>
      </c>
      <c r="J612" s="1">
        <f>1.592*100000000</f>
        <v>159200000</v>
      </c>
      <c r="K612" s="10">
        <f t="shared" si="283"/>
        <v>0.46863468634686328</v>
      </c>
      <c r="L612" s="6" t="s">
        <v>2094</v>
      </c>
      <c r="M612" s="6" t="str">
        <f t="shared" si="284"/>
        <v>=1.084*100000000</v>
      </c>
      <c r="N612" s="1">
        <f>1.084*100000000</f>
        <v>108400000.00000001</v>
      </c>
      <c r="O612" s="8">
        <f t="shared" si="285"/>
        <v>1.6706085242670612</v>
      </c>
      <c r="P612" s="7" t="s">
        <v>7261</v>
      </c>
      <c r="Q612" s="6" t="str">
        <f t="shared" si="286"/>
        <v>=4059*10000</v>
      </c>
      <c r="R612" s="11">
        <f>4059*10000</f>
        <v>40590000</v>
      </c>
      <c r="S612" s="8">
        <f t="shared" si="287"/>
        <v>-0.77976125881714597</v>
      </c>
      <c r="T612" s="6" t="s">
        <v>1558</v>
      </c>
      <c r="U612" s="6" t="str">
        <f t="shared" si="288"/>
        <v>=1.843*100000000</v>
      </c>
      <c r="V612" s="1">
        <f>1.843*100000000</f>
        <v>184300000</v>
      </c>
      <c r="W612" s="8">
        <f t="shared" si="289"/>
        <v>0.51812191103789129</v>
      </c>
      <c r="X612" s="6" t="s">
        <v>4406</v>
      </c>
      <c r="Y612" s="6" t="str">
        <f t="shared" si="290"/>
        <v>=1.214*100000000</v>
      </c>
      <c r="Z612" s="1">
        <f>1.214*100000000</f>
        <v>121400000</v>
      </c>
      <c r="AA612" s="8">
        <f t="shared" si="291"/>
        <v>0.88363072148952682</v>
      </c>
      <c r="AB612" s="7" t="s">
        <v>7262</v>
      </c>
      <c r="AC612" s="6" t="str">
        <f t="shared" si="292"/>
        <v>=6445*10000</v>
      </c>
      <c r="AD612" s="1">
        <f>6445*10000</f>
        <v>64450000</v>
      </c>
      <c r="AE612" s="8">
        <f t="shared" si="293"/>
        <v>37.546650717703351</v>
      </c>
      <c r="AF612" s="7" t="s">
        <v>7263</v>
      </c>
      <c r="AG612" s="6" t="str">
        <f t="shared" si="294"/>
        <v>=167.2*10000</v>
      </c>
      <c r="AH612" s="1">
        <f>167.2*10000</f>
        <v>1672000</v>
      </c>
      <c r="AI612" s="8">
        <f t="shared" si="295"/>
        <v>-0.98933673469387751</v>
      </c>
      <c r="AJ612" s="6" t="s">
        <v>617</v>
      </c>
      <c r="AK612" s="6" t="str">
        <f t="shared" si="296"/>
        <v>=1.568*100000000</v>
      </c>
      <c r="AL612" s="1">
        <f>1.568*100000000</f>
        <v>156800000</v>
      </c>
      <c r="AM612" s="8">
        <f t="shared" si="297"/>
        <v>0.82367992556408465</v>
      </c>
      <c r="AN612" s="7" t="s">
        <v>7264</v>
      </c>
      <c r="AO612" s="6" t="str">
        <f t="shared" si="298"/>
        <v>=8598*10000</v>
      </c>
      <c r="AP612" s="1">
        <f>8598*10000</f>
        <v>85980000</v>
      </c>
      <c r="AQ612" s="8">
        <f t="shared" si="299"/>
        <v>0.42256783587028457</v>
      </c>
      <c r="AR612" s="7" t="s">
        <v>7265</v>
      </c>
      <c r="AS612" s="6" t="str">
        <f t="shared" si="300"/>
        <v>=6044*10000</v>
      </c>
      <c r="AT612" s="1">
        <f>6044*10000</f>
        <v>60440000</v>
      </c>
      <c r="AU612" s="8">
        <f t="shared" si="301"/>
        <v>5.2997706900145927</v>
      </c>
      <c r="AV612" s="7" t="s">
        <v>7266</v>
      </c>
      <c r="AW612" s="6" t="str">
        <f t="shared" si="302"/>
        <v>=959.4*10000</v>
      </c>
      <c r="AX612" s="1">
        <f>959.4*10000</f>
        <v>9594000</v>
      </c>
      <c r="AY612" s="10">
        <f t="shared" si="303"/>
        <v>-0.9376202860858257</v>
      </c>
      <c r="AZ612" s="6" t="s">
        <v>7267</v>
      </c>
      <c r="BA612" s="6" t="str">
        <f t="shared" si="304"/>
        <v>=1.538*100000000</v>
      </c>
      <c r="BB612" s="1">
        <f>1.538*100000000</f>
        <v>153800000</v>
      </c>
      <c r="BC612" s="8">
        <f t="shared" si="305"/>
        <v>0.21870047543581617</v>
      </c>
      <c r="BD612" s="6" t="s">
        <v>7268</v>
      </c>
      <c r="BE612" s="6" t="str">
        <f t="shared" si="306"/>
        <v>=1.262*100000000</v>
      </c>
      <c r="BF612" s="1">
        <f>1.262*100000000</f>
        <v>126200000</v>
      </c>
      <c r="BG612" s="8">
        <f t="shared" si="307"/>
        <v>0.39802813780879581</v>
      </c>
      <c r="BH612" s="7" t="s">
        <v>7269</v>
      </c>
      <c r="BI612" s="6" t="str">
        <f t="shared" si="308"/>
        <v>=9027*10000</v>
      </c>
      <c r="BJ612" s="1">
        <f>9027*10000</f>
        <v>90270000</v>
      </c>
      <c r="BK612" s="7" t="s">
        <v>7270</v>
      </c>
      <c r="BL612" s="1" t="str">
        <f t="shared" si="280"/>
        <v>=1880*10000</v>
      </c>
      <c r="BM612" s="16">
        <f t="shared" si="309"/>
        <v>3.801595744680851</v>
      </c>
      <c r="BN612" s="1">
        <f>1880*10000</f>
        <v>18800000</v>
      </c>
    </row>
    <row r="613" spans="1:66">
      <c r="A613" s="19"/>
      <c r="B613">
        <v>600523</v>
      </c>
      <c r="C613" t="s">
        <v>68</v>
      </c>
      <c r="D613" s="6" t="s">
        <v>7271</v>
      </c>
      <c r="E613" s="7" t="str">
        <f t="shared" si="279"/>
        <v>=1.611*100000000</v>
      </c>
      <c r="F613" s="1">
        <f>1.611*100000000</f>
        <v>161100000</v>
      </c>
      <c r="G613" s="8">
        <f t="shared" si="281"/>
        <v>0.19866071428571427</v>
      </c>
      <c r="H613" s="6" t="s">
        <v>7272</v>
      </c>
      <c r="I613" s="6" t="str">
        <f t="shared" si="282"/>
        <v>=1.344*100000000</v>
      </c>
      <c r="J613" s="1">
        <f>1.344*100000000</f>
        <v>134400000</v>
      </c>
      <c r="K613" s="10">
        <f t="shared" si="283"/>
        <v>0.49250416435313715</v>
      </c>
      <c r="L613" s="7" t="s">
        <v>7273</v>
      </c>
      <c r="M613" s="6" t="str">
        <f t="shared" si="284"/>
        <v>=9005*10000</v>
      </c>
      <c r="N613" s="1">
        <f>9005*10000</f>
        <v>90050000</v>
      </c>
      <c r="O613" s="8">
        <f t="shared" si="285"/>
        <v>1.5633361799032166</v>
      </c>
      <c r="P613" s="7" t="s">
        <v>7274</v>
      </c>
      <c r="Q613" s="6" t="str">
        <f t="shared" si="286"/>
        <v>=3513*10000</v>
      </c>
      <c r="R613" s="11">
        <f>3513*10000</f>
        <v>35130000</v>
      </c>
      <c r="S613" s="8">
        <f t="shared" si="287"/>
        <v>-0.78301420630018526</v>
      </c>
      <c r="T613" s="6" t="s">
        <v>1514</v>
      </c>
      <c r="U613" s="6" t="str">
        <f t="shared" si="288"/>
        <v>=1.619*100000000</v>
      </c>
      <c r="V613" s="1">
        <f>1.619*100000000</f>
        <v>161900000</v>
      </c>
      <c r="W613" s="8">
        <f t="shared" si="289"/>
        <v>0.51733833177132149</v>
      </c>
      <c r="X613" s="6" t="s">
        <v>1937</v>
      </c>
      <c r="Y613" s="6" t="str">
        <f t="shared" si="290"/>
        <v>=1.067*100000000</v>
      </c>
      <c r="Z613" s="1">
        <f>1.067*100000000</f>
        <v>106700000</v>
      </c>
      <c r="AA613" s="8">
        <f t="shared" si="291"/>
        <v>0.90128296507483963</v>
      </c>
      <c r="AB613" s="7" t="s">
        <v>7275</v>
      </c>
      <c r="AC613" s="6" t="str">
        <f t="shared" si="292"/>
        <v>=5612*10000</v>
      </c>
      <c r="AD613" s="1">
        <f>5612*10000</f>
        <v>56120000</v>
      </c>
      <c r="AE613" s="8">
        <f t="shared" si="293"/>
        <v>696.83635911464808</v>
      </c>
      <c r="AF613" s="7" t="s">
        <v>7276</v>
      </c>
      <c r="AG613" s="6" t="str">
        <f t="shared" si="294"/>
        <v>=8.042*10000</v>
      </c>
      <c r="AH613" s="1">
        <f>8.042*10000</f>
        <v>80420</v>
      </c>
      <c r="AI613" s="8">
        <f t="shared" si="295"/>
        <v>-0.99944993160054718</v>
      </c>
      <c r="AJ613" s="6" t="s">
        <v>2033</v>
      </c>
      <c r="AK613" s="6" t="str">
        <f t="shared" si="296"/>
        <v>=1.462*100000000</v>
      </c>
      <c r="AL613" s="1">
        <f>1.462*100000000</f>
        <v>146200000</v>
      </c>
      <c r="AM613" s="8">
        <f t="shared" si="297"/>
        <v>0.94285714285714284</v>
      </c>
      <c r="AN613" s="7" t="s">
        <v>7277</v>
      </c>
      <c r="AO613" s="6" t="str">
        <f t="shared" si="298"/>
        <v>=7525*10000</v>
      </c>
      <c r="AP613" s="1">
        <f>7525*10000</f>
        <v>75250000</v>
      </c>
      <c r="AQ613" s="8">
        <f t="shared" si="299"/>
        <v>0.40287099179716629</v>
      </c>
      <c r="AR613" s="7" t="s">
        <v>7278</v>
      </c>
      <c r="AS613" s="6" t="str">
        <f t="shared" si="300"/>
        <v>=5364*10000</v>
      </c>
      <c r="AT613" s="1">
        <f>5364*10000</f>
        <v>53640000</v>
      </c>
      <c r="AU613" s="8">
        <f t="shared" si="301"/>
        <v>6.3258672493854142</v>
      </c>
      <c r="AV613" s="7" t="s">
        <v>7279</v>
      </c>
      <c r="AW613" s="6" t="str">
        <f t="shared" si="302"/>
        <v>=732.2*10000</v>
      </c>
      <c r="AX613" s="1">
        <f>732.2*10000</f>
        <v>7322000</v>
      </c>
      <c r="AY613" s="10">
        <f t="shared" si="303"/>
        <v>-0.9454396423248882</v>
      </c>
      <c r="AZ613" s="6" t="s">
        <v>4381</v>
      </c>
      <c r="BA613" s="6" t="str">
        <f t="shared" si="304"/>
        <v>=1.342*100000000</v>
      </c>
      <c r="BB613" s="1">
        <f>1.342*100000000</f>
        <v>134200000.00000001</v>
      </c>
      <c r="BC613" s="8">
        <f t="shared" si="305"/>
        <v>0.20250896057347667</v>
      </c>
      <c r="BD613" s="6" t="s">
        <v>3880</v>
      </c>
      <c r="BE613" s="6" t="str">
        <f t="shared" si="306"/>
        <v>=1.116*100000000</v>
      </c>
      <c r="BF613" s="1">
        <f>1.116*100000000</f>
        <v>111600000.00000001</v>
      </c>
      <c r="BG613" s="8">
        <f t="shared" si="307"/>
        <v>0.34102379235760655</v>
      </c>
      <c r="BH613" s="7" t="s">
        <v>5600</v>
      </c>
      <c r="BI613" s="6" t="str">
        <f t="shared" si="308"/>
        <v>=8322*10000</v>
      </c>
      <c r="BJ613" s="1">
        <f>8322*10000</f>
        <v>83220000</v>
      </c>
      <c r="BK613" s="7" t="s">
        <v>7280</v>
      </c>
      <c r="BL613" s="1" t="str">
        <f t="shared" si="280"/>
        <v>=1420*10000</v>
      </c>
      <c r="BM613" s="16">
        <f t="shared" si="309"/>
        <v>4.8605633802816905</v>
      </c>
      <c r="BN613" s="1">
        <f>1420*10000</f>
        <v>14200000</v>
      </c>
    </row>
    <row r="614" spans="1:66">
      <c r="A614" s="17">
        <v>154</v>
      </c>
      <c r="B614">
        <v>600526</v>
      </c>
      <c r="C614" t="s">
        <v>31</v>
      </c>
      <c r="D614" s="6" t="s">
        <v>6067</v>
      </c>
      <c r="E614" s="7" t="str">
        <f t="shared" si="279"/>
        <v>=33.84*100000000</v>
      </c>
      <c r="F614" s="1">
        <f>33.84*100000000</f>
        <v>3384000000.0000005</v>
      </c>
      <c r="G614" s="8">
        <f t="shared" si="281"/>
        <v>0.86651958080529534</v>
      </c>
      <c r="H614" s="6" t="s">
        <v>7281</v>
      </c>
      <c r="I614" s="6" t="str">
        <f t="shared" si="282"/>
        <v>=18.13*100000000</v>
      </c>
      <c r="J614" s="1">
        <f>18.13*100000000</f>
        <v>1813000000</v>
      </c>
      <c r="K614" s="10">
        <f t="shared" si="283"/>
        <v>0.4692058346839546</v>
      </c>
      <c r="L614" s="6" t="s">
        <v>7282</v>
      </c>
      <c r="M614" s="6" t="str">
        <f t="shared" si="284"/>
        <v>=12.34*100000000</v>
      </c>
      <c r="N614" s="1">
        <f>12.34*100000000</f>
        <v>1234000000</v>
      </c>
      <c r="O614" s="8">
        <f t="shared" si="285"/>
        <v>1.3639846743295019</v>
      </c>
      <c r="P614" s="6" t="s">
        <v>7283</v>
      </c>
      <c r="Q614" s="6" t="str">
        <f t="shared" si="286"/>
        <v>=5.220*100000000</v>
      </c>
      <c r="R614" s="11">
        <f>5.22*100000000</f>
        <v>522000000</v>
      </c>
      <c r="S614" s="8">
        <f t="shared" si="287"/>
        <v>-0.83220829315332689</v>
      </c>
      <c r="T614" s="6" t="s">
        <v>6744</v>
      </c>
      <c r="U614" s="6" t="str">
        <f t="shared" si="288"/>
        <v>=31.11*100000000</v>
      </c>
      <c r="V614" s="1">
        <f>31.11*100000000</f>
        <v>3111000000</v>
      </c>
      <c r="W614" s="8">
        <f t="shared" si="289"/>
        <v>0.5570570570570571</v>
      </c>
      <c r="X614" s="6" t="s">
        <v>4540</v>
      </c>
      <c r="Y614" s="6" t="str">
        <f t="shared" si="290"/>
        <v>=19.98*100000000</v>
      </c>
      <c r="Z614" s="1">
        <f>19.98*100000000</f>
        <v>1998000000</v>
      </c>
      <c r="AA614" s="8">
        <f t="shared" si="291"/>
        <v>0.43844492440604754</v>
      </c>
      <c r="AB614" s="6" t="s">
        <v>7284</v>
      </c>
      <c r="AC614" s="6" t="str">
        <f t="shared" si="292"/>
        <v>=13.89*100000000</v>
      </c>
      <c r="AD614" s="1">
        <f>13.89*100000000</f>
        <v>1389000000</v>
      </c>
      <c r="AE614" s="8">
        <f t="shared" si="293"/>
        <v>1.511754068716094</v>
      </c>
      <c r="AF614" s="6" t="s">
        <v>7285</v>
      </c>
      <c r="AG614" s="6" t="str">
        <f t="shared" si="294"/>
        <v>=5.530*100000000</v>
      </c>
      <c r="AH614" s="1">
        <f>5.53*100000000</f>
        <v>553000000</v>
      </c>
      <c r="AI614" s="8">
        <f t="shared" si="295"/>
        <v>-0.83811475409836067</v>
      </c>
      <c r="AJ614" s="6" t="s">
        <v>7286</v>
      </c>
      <c r="AK614" s="6" t="str">
        <f t="shared" si="296"/>
        <v>=34.16*100000000</v>
      </c>
      <c r="AL614" s="1">
        <f>34.16*100000000</f>
        <v>3415999999.9999995</v>
      </c>
      <c r="AM614" s="8">
        <f t="shared" si="297"/>
        <v>0.6360153256704979</v>
      </c>
      <c r="AN614" s="6" t="s">
        <v>7287</v>
      </c>
      <c r="AO614" s="6" t="str">
        <f t="shared" si="298"/>
        <v>=20.88*100000000</v>
      </c>
      <c r="AP614" s="1">
        <f>20.88*100000000</f>
        <v>2088000000</v>
      </c>
      <c r="AQ614" s="8">
        <f t="shared" si="299"/>
        <v>0.45201668984700971</v>
      </c>
      <c r="AR614" s="6" t="s">
        <v>1431</v>
      </c>
      <c r="AS614" s="6" t="str">
        <f t="shared" si="300"/>
        <v>=14.38*100000000</v>
      </c>
      <c r="AT614" s="1">
        <f>14.38*100000000</f>
        <v>1438000000</v>
      </c>
      <c r="AU614" s="8">
        <f t="shared" si="301"/>
        <v>0.89160747171796895</v>
      </c>
      <c r="AV614" s="6" t="s">
        <v>7288</v>
      </c>
      <c r="AW614" s="6" t="str">
        <f t="shared" si="302"/>
        <v>=7.602*100000000</v>
      </c>
      <c r="AX614" s="1">
        <f>7.602*100000000</f>
        <v>760200000</v>
      </c>
      <c r="AY614" s="10">
        <f t="shared" si="303"/>
        <v>-0.78409542743538763</v>
      </c>
      <c r="AZ614" s="6" t="s">
        <v>7289</v>
      </c>
      <c r="BA614" s="6" t="str">
        <f t="shared" si="304"/>
        <v>=35.21*100000000</v>
      </c>
      <c r="BB614" s="1">
        <f>35.21*100000000</f>
        <v>3521000000</v>
      </c>
      <c r="BC614" s="8">
        <f t="shared" si="305"/>
        <v>0.14392462638076672</v>
      </c>
      <c r="BD614" s="6" t="s">
        <v>7290</v>
      </c>
      <c r="BE614" s="6" t="str">
        <f t="shared" si="306"/>
        <v>=30.78*100000000</v>
      </c>
      <c r="BF614" s="1">
        <f>30.78*100000000</f>
        <v>3078000000</v>
      </c>
      <c r="BG614" s="8">
        <f t="shared" si="307"/>
        <v>0.64335290977042181</v>
      </c>
      <c r="BH614" s="6" t="s">
        <v>7291</v>
      </c>
      <c r="BI614" s="6" t="str">
        <f t="shared" si="308"/>
        <v>=18.73*100000000</v>
      </c>
      <c r="BJ614" s="1">
        <f>18.73*100000000</f>
        <v>1873000000</v>
      </c>
      <c r="BK614" s="6" t="s">
        <v>7292</v>
      </c>
      <c r="BL614" s="1" t="str">
        <f t="shared" si="280"/>
        <v>=8.126*100000000</v>
      </c>
      <c r="BM614" s="16">
        <f t="shared" si="309"/>
        <v>1.3049470834358847</v>
      </c>
      <c r="BN614" s="1">
        <f>8.126*100000000</f>
        <v>812600000</v>
      </c>
    </row>
    <row r="615" spans="1:66">
      <c r="A615" s="18"/>
      <c r="B615">
        <v>600526</v>
      </c>
      <c r="C615" t="s">
        <v>48</v>
      </c>
      <c r="D615" s="7" t="s">
        <v>7293</v>
      </c>
      <c r="E615" s="7" t="str">
        <f t="shared" si="279"/>
        <v>=6691*10000</v>
      </c>
      <c r="F615" s="1">
        <f>6691*10000</f>
        <v>66910000</v>
      </c>
      <c r="G615" s="8">
        <f t="shared" si="281"/>
        <v>2.6699401565137334E-2</v>
      </c>
      <c r="H615" s="7" t="s">
        <v>7294</v>
      </c>
      <c r="I615" s="6" t="str">
        <f t="shared" si="282"/>
        <v>=6517*10000</v>
      </c>
      <c r="J615" s="1">
        <f>6517*10000</f>
        <v>65170000</v>
      </c>
      <c r="K615" s="10">
        <f t="shared" si="283"/>
        <v>0.20018416206261511</v>
      </c>
      <c r="L615" s="7" t="s">
        <v>7295</v>
      </c>
      <c r="M615" s="6" t="str">
        <f t="shared" si="284"/>
        <v>=5430*10000</v>
      </c>
      <c r="N615" s="1">
        <f>5430*10000</f>
        <v>54300000</v>
      </c>
      <c r="O615" s="8">
        <f t="shared" si="285"/>
        <v>9.5049332559489255</v>
      </c>
      <c r="P615" s="7" t="s">
        <v>7296</v>
      </c>
      <c r="Q615" s="6" t="str">
        <f t="shared" si="286"/>
        <v>=516.9*10000</v>
      </c>
      <c r="R615" s="11">
        <f>516.9*10000</f>
        <v>5169000</v>
      </c>
      <c r="S615" s="8">
        <f t="shared" si="287"/>
        <v>-0.94205156950672642</v>
      </c>
      <c r="T615" s="7" t="s">
        <v>7297</v>
      </c>
      <c r="U615" s="6" t="str">
        <f t="shared" si="288"/>
        <v>=8920*10000</v>
      </c>
      <c r="V615" s="1">
        <f>8920*10000</f>
        <v>89200000</v>
      </c>
      <c r="W615" s="8">
        <f t="shared" si="289"/>
        <v>4.4723926380368102</v>
      </c>
      <c r="X615" s="7" t="s">
        <v>7298</v>
      </c>
      <c r="Y615" s="6" t="str">
        <f t="shared" si="290"/>
        <v>=1630*10000</v>
      </c>
      <c r="Z615" s="1">
        <f>1630*10000</f>
        <v>16300000</v>
      </c>
      <c r="AA615" s="8">
        <f t="shared" si="291"/>
        <v>0.52764761012183692</v>
      </c>
      <c r="AB615" s="7" t="s">
        <v>4188</v>
      </c>
      <c r="AC615" s="6" t="str">
        <f t="shared" si="292"/>
        <v>=1067*10000</v>
      </c>
      <c r="AD615" s="1">
        <f>1067*10000</f>
        <v>10670000</v>
      </c>
      <c r="AE615" s="8">
        <f t="shared" si="293"/>
        <v>-6.5176908752327747E-3</v>
      </c>
      <c r="AF615" s="7" t="s">
        <v>7299</v>
      </c>
      <c r="AG615" s="6" t="str">
        <f t="shared" si="294"/>
        <v>=1074*10000</v>
      </c>
      <c r="AH615" s="1">
        <f>1074*10000</f>
        <v>10740000</v>
      </c>
      <c r="AI615" s="8">
        <f t="shared" si="295"/>
        <v>-0.88678051865907659</v>
      </c>
      <c r="AJ615" s="7" t="s">
        <v>7300</v>
      </c>
      <c r="AK615" s="6" t="str">
        <f t="shared" si="296"/>
        <v>=9486*10000</v>
      </c>
      <c r="AL615" s="1">
        <f>9486*10000</f>
        <v>94860000</v>
      </c>
      <c r="AM615" s="8">
        <f t="shared" si="297"/>
        <v>1.1379310344827587</v>
      </c>
      <c r="AN615" s="7" t="s">
        <v>7301</v>
      </c>
      <c r="AO615" s="6" t="str">
        <f t="shared" si="298"/>
        <v>=4437*10000</v>
      </c>
      <c r="AP615" s="1">
        <f>4437*10000</f>
        <v>44370000</v>
      </c>
      <c r="AQ615" s="8">
        <f t="shared" si="299"/>
        <v>0.78695126862666132</v>
      </c>
      <c r="AR615" s="7" t="s">
        <v>7302</v>
      </c>
      <c r="AS615" s="6" t="str">
        <f t="shared" si="300"/>
        <v>=2483*10000</v>
      </c>
      <c r="AT615" s="1">
        <f>2483*10000</f>
        <v>24830000</v>
      </c>
      <c r="AU615" s="8">
        <f t="shared" si="301"/>
        <v>1.0993485342019544E-2</v>
      </c>
      <c r="AV615" s="7" t="s">
        <v>7303</v>
      </c>
      <c r="AW615" s="6" t="str">
        <f t="shared" si="302"/>
        <v>=2456*10000</v>
      </c>
      <c r="AX615" s="1">
        <f>2456*10000</f>
        <v>24560000</v>
      </c>
      <c r="AY615" s="10">
        <f t="shared" si="303"/>
        <v>-1.0598294762484775</v>
      </c>
      <c r="AZ615" s="6">
        <f>-4.105*100000000</f>
        <v>-410500000.00000006</v>
      </c>
      <c r="BA615" s="6" t="str">
        <f t="shared" si="304"/>
        <v>=-410500000</v>
      </c>
      <c r="BB615" s="1">
        <f>-410500000</f>
        <v>-410500000</v>
      </c>
      <c r="BC615" s="8">
        <f t="shared" si="305"/>
        <v>-11.429369918699187</v>
      </c>
      <c r="BD615" s="7" t="s">
        <v>7304</v>
      </c>
      <c r="BE615" s="6" t="str">
        <f t="shared" si="306"/>
        <v>=3936*10000</v>
      </c>
      <c r="BF615" s="1">
        <f>3936*10000</f>
        <v>39360000</v>
      </c>
      <c r="BG615" s="8">
        <f t="shared" si="307"/>
        <v>0.61245391233101187</v>
      </c>
      <c r="BH615" s="7" t="s">
        <v>7305</v>
      </c>
      <c r="BI615" s="6" t="str">
        <f t="shared" si="308"/>
        <v>=2441*10000</v>
      </c>
      <c r="BJ615" s="1">
        <f>2441*10000</f>
        <v>24410000</v>
      </c>
      <c r="BK615" s="7" t="s">
        <v>7306</v>
      </c>
      <c r="BL615" s="1" t="str">
        <f t="shared" si="280"/>
        <v>=1224*10000</v>
      </c>
      <c r="BM615" s="16">
        <f t="shared" si="309"/>
        <v>0.99428104575163401</v>
      </c>
      <c r="BN615" s="1">
        <f>1224*10000</f>
        <v>12240000</v>
      </c>
    </row>
    <row r="616" spans="1:66">
      <c r="A616" s="18"/>
      <c r="B616">
        <v>600526</v>
      </c>
      <c r="C616" t="s">
        <v>58</v>
      </c>
      <c r="D616" s="7" t="s">
        <v>7307</v>
      </c>
      <c r="E616" s="7" t="str">
        <f t="shared" si="279"/>
        <v>=6527*10000</v>
      </c>
      <c r="F616" s="1">
        <f>6527*10000</f>
        <v>65270000</v>
      </c>
      <c r="G616" s="8">
        <f t="shared" si="281"/>
        <v>-3.2607084630206021E-2</v>
      </c>
      <c r="H616" s="7" t="s">
        <v>7308</v>
      </c>
      <c r="I616" s="6" t="str">
        <f t="shared" si="282"/>
        <v>=6747*10000</v>
      </c>
      <c r="J616" s="1">
        <f>6747*10000</f>
        <v>67470000</v>
      </c>
      <c r="K616" s="10">
        <f t="shared" si="283"/>
        <v>0.21589475581185799</v>
      </c>
      <c r="L616" s="7" t="s">
        <v>7309</v>
      </c>
      <c r="M616" s="6" t="str">
        <f t="shared" si="284"/>
        <v>=5549*10000</v>
      </c>
      <c r="N616" s="1">
        <f>5549*10000</f>
        <v>55490000</v>
      </c>
      <c r="O616" s="8">
        <f t="shared" si="285"/>
        <v>7.7385826771653541</v>
      </c>
      <c r="P616" s="7" t="s">
        <v>7310</v>
      </c>
      <c r="Q616" s="6" t="str">
        <f t="shared" si="286"/>
        <v>=635.0*10000</v>
      </c>
      <c r="R616" s="11">
        <f>635*10000</f>
        <v>6350000</v>
      </c>
      <c r="S616" s="8">
        <f t="shared" si="287"/>
        <v>-0.91386326641345628</v>
      </c>
      <c r="T616" s="7" t="s">
        <v>7311</v>
      </c>
      <c r="U616" s="6" t="str">
        <f t="shared" si="288"/>
        <v>=7372*10000</v>
      </c>
      <c r="V616" s="1">
        <f>7372*10000</f>
        <v>73720000</v>
      </c>
      <c r="W616" s="8">
        <f t="shared" si="289"/>
        <v>3.3085914669783754</v>
      </c>
      <c r="X616" s="7" t="s">
        <v>7312</v>
      </c>
      <c r="Y616" s="6" t="str">
        <f t="shared" si="290"/>
        <v>=1711*10000</v>
      </c>
      <c r="Z616" s="1">
        <f>1711*10000</f>
        <v>17110000</v>
      </c>
      <c r="AA616" s="8">
        <f t="shared" si="291"/>
        <v>0.62952380952380949</v>
      </c>
      <c r="AB616" s="7" t="s">
        <v>4937</v>
      </c>
      <c r="AC616" s="6" t="str">
        <f t="shared" si="292"/>
        <v>=1050*10000</v>
      </c>
      <c r="AD616" s="1">
        <f>1050*10000</f>
        <v>10500000</v>
      </c>
      <c r="AE616" s="8">
        <f t="shared" si="293"/>
        <v>1.253616200578592E-2</v>
      </c>
      <c r="AF616" s="7" t="s">
        <v>7313</v>
      </c>
      <c r="AG616" s="6" t="str">
        <f t="shared" si="294"/>
        <v>=1037*10000</v>
      </c>
      <c r="AH616" s="1">
        <f>1037*10000</f>
        <v>10370000</v>
      </c>
      <c r="AI616" s="8">
        <f t="shared" si="295"/>
        <v>-0.89402146142054162</v>
      </c>
      <c r="AJ616" s="7" t="s">
        <v>7314</v>
      </c>
      <c r="AK616" s="6" t="str">
        <f t="shared" si="296"/>
        <v>=9785*10000</v>
      </c>
      <c r="AL616" s="1">
        <f>9785*10000</f>
        <v>97850000</v>
      </c>
      <c r="AM616" s="8">
        <f t="shared" si="297"/>
        <v>0.93036101795225878</v>
      </c>
      <c r="AN616" s="7" t="s">
        <v>7315</v>
      </c>
      <c r="AO616" s="6" t="str">
        <f t="shared" si="298"/>
        <v>=5069*10000</v>
      </c>
      <c r="AP616" s="1">
        <f>5069*10000</f>
        <v>50690000</v>
      </c>
      <c r="AQ616" s="8">
        <f t="shared" si="299"/>
        <v>0.65114006514657985</v>
      </c>
      <c r="AR616" s="7" t="s">
        <v>7316</v>
      </c>
      <c r="AS616" s="6" t="str">
        <f t="shared" si="300"/>
        <v>=3070*10000</v>
      </c>
      <c r="AT616" s="1">
        <f>3070*10000</f>
        <v>30700000</v>
      </c>
      <c r="AU616" s="8">
        <f t="shared" si="301"/>
        <v>0.22554890219560877</v>
      </c>
      <c r="AV616" s="7" t="s">
        <v>7317</v>
      </c>
      <c r="AW616" s="6" t="str">
        <f t="shared" si="302"/>
        <v>=2505*10000</v>
      </c>
      <c r="AX616" s="1">
        <f>2505*10000</f>
        <v>25050000</v>
      </c>
      <c r="AY616" s="10">
        <f t="shared" si="303"/>
        <v>-1.0610231425091352</v>
      </c>
      <c r="AZ616" s="6">
        <f>-4.105*100000000</f>
        <v>-410500000.00000006</v>
      </c>
      <c r="BA616" s="6" t="str">
        <f t="shared" si="304"/>
        <v>=-410500000</v>
      </c>
      <c r="BB616" s="1">
        <f>-410500000</f>
        <v>-410500000</v>
      </c>
      <c r="BC616" s="8">
        <f t="shared" si="305"/>
        <v>-11.522942835170468</v>
      </c>
      <c r="BD616" s="7" t="s">
        <v>7318</v>
      </c>
      <c r="BE616" s="6" t="str">
        <f t="shared" si="306"/>
        <v>=3901*10000</v>
      </c>
      <c r="BF616" s="1">
        <f>3901*10000</f>
        <v>39010000</v>
      </c>
      <c r="BG616" s="8">
        <f t="shared" si="307"/>
        <v>0.62813021702838068</v>
      </c>
      <c r="BH616" s="7" t="s">
        <v>7319</v>
      </c>
      <c r="BI616" s="6" t="str">
        <f t="shared" si="308"/>
        <v>=2396*10000</v>
      </c>
      <c r="BJ616" s="1">
        <f>2396*10000</f>
        <v>23960000</v>
      </c>
      <c r="BK616" s="7" t="s">
        <v>7320</v>
      </c>
      <c r="BL616" s="1" t="str">
        <f t="shared" si="280"/>
        <v>=1255*10000</v>
      </c>
      <c r="BM616" s="16">
        <f t="shared" si="309"/>
        <v>0.90916334661354581</v>
      </c>
      <c r="BN616" s="1">
        <f>1255*10000</f>
        <v>12550000</v>
      </c>
    </row>
    <row r="617" spans="1:66">
      <c r="A617" s="19"/>
      <c r="B617">
        <v>600526</v>
      </c>
      <c r="C617" t="s">
        <v>68</v>
      </c>
      <c r="D617" s="7" t="s">
        <v>7321</v>
      </c>
      <c r="E617" s="7" t="str">
        <f t="shared" si="279"/>
        <v>=5046*10000</v>
      </c>
      <c r="F617" s="1">
        <f>5046*10000</f>
        <v>50460000</v>
      </c>
      <c r="G617" s="8">
        <f t="shared" si="281"/>
        <v>0.3463180362860192</v>
      </c>
      <c r="H617" s="7" t="s">
        <v>7322</v>
      </c>
      <c r="I617" s="6" t="str">
        <f t="shared" si="282"/>
        <v>=3748*10000</v>
      </c>
      <c r="J617" s="1">
        <f>3748*10000</f>
        <v>37480000</v>
      </c>
      <c r="K617" s="10">
        <f t="shared" si="283"/>
        <v>0.27787248550971699</v>
      </c>
      <c r="L617" s="7" t="s">
        <v>7323</v>
      </c>
      <c r="M617" s="6" t="str">
        <f t="shared" si="284"/>
        <v>=2933*10000</v>
      </c>
      <c r="N617" s="1">
        <f>2933*10000</f>
        <v>29330000</v>
      </c>
      <c r="O617" s="8">
        <f t="shared" si="285"/>
        <v>5.4039301310043673</v>
      </c>
      <c r="P617" s="7" t="s">
        <v>7324</v>
      </c>
      <c r="Q617" s="6" t="str">
        <f t="shared" si="286"/>
        <v>=458.0*10000</v>
      </c>
      <c r="R617" s="11">
        <f>458*10000</f>
        <v>4580000</v>
      </c>
      <c r="S617" s="8">
        <f t="shared" si="287"/>
        <v>-0.90832666132906326</v>
      </c>
      <c r="T617" s="7" t="s">
        <v>7325</v>
      </c>
      <c r="U617" s="6" t="str">
        <f t="shared" si="288"/>
        <v>=4996*10000</v>
      </c>
      <c r="V617" s="1">
        <f>4996*10000</f>
        <v>49960000</v>
      </c>
      <c r="W617" s="8">
        <f t="shared" si="289"/>
        <v>3.2957867583834908</v>
      </c>
      <c r="X617" s="7" t="s">
        <v>7326</v>
      </c>
      <c r="Y617" s="6" t="str">
        <f t="shared" si="290"/>
        <v>=1163*10000</v>
      </c>
      <c r="Z617" s="1">
        <f>1163*10000</f>
        <v>11630000</v>
      </c>
      <c r="AA617" s="8">
        <f t="shared" si="291"/>
        <v>0.5864138589551221</v>
      </c>
      <c r="AB617" s="7" t="s">
        <v>7327</v>
      </c>
      <c r="AC617" s="6" t="str">
        <f t="shared" si="292"/>
        <v>=733.1*10000</v>
      </c>
      <c r="AD617" s="1">
        <f>733.1*10000</f>
        <v>7331000</v>
      </c>
      <c r="AE617" s="8">
        <f t="shared" si="293"/>
        <v>-0.18217313699241411</v>
      </c>
      <c r="AF617" s="7" t="s">
        <v>7328</v>
      </c>
      <c r="AG617" s="6" t="str">
        <f t="shared" si="294"/>
        <v>=896.4*10000</v>
      </c>
      <c r="AH617" s="1">
        <f>896.4*10000</f>
        <v>8964000</v>
      </c>
      <c r="AI617" s="8">
        <f t="shared" si="295"/>
        <v>-0.90097216084843124</v>
      </c>
      <c r="AJ617" s="7" t="s">
        <v>7329</v>
      </c>
      <c r="AK617" s="6" t="str">
        <f t="shared" si="296"/>
        <v>=9052*10000</v>
      </c>
      <c r="AL617" s="1">
        <f>9052*10000</f>
        <v>90520000</v>
      </c>
      <c r="AM617" s="8">
        <f t="shared" si="297"/>
        <v>1.3739837398373984</v>
      </c>
      <c r="AN617" s="7" t="s">
        <v>7330</v>
      </c>
      <c r="AO617" s="6" t="str">
        <f t="shared" si="298"/>
        <v>=3813*10000</v>
      </c>
      <c r="AP617" s="1">
        <f>3813*10000</f>
        <v>38130000</v>
      </c>
      <c r="AQ617" s="8">
        <f t="shared" si="299"/>
        <v>0.67017082785808146</v>
      </c>
      <c r="AR617" s="7" t="s">
        <v>7331</v>
      </c>
      <c r="AS617" s="6" t="str">
        <f t="shared" si="300"/>
        <v>=2283*10000</v>
      </c>
      <c r="AT617" s="1">
        <f>2283*10000</f>
        <v>22830000</v>
      </c>
      <c r="AU617" s="8">
        <f t="shared" si="301"/>
        <v>0.17498713329902213</v>
      </c>
      <c r="AV617" s="7" t="s">
        <v>7332</v>
      </c>
      <c r="AW617" s="6" t="str">
        <f t="shared" si="302"/>
        <v>=1943*10000</v>
      </c>
      <c r="AX617" s="1">
        <f>1943*10000</f>
        <v>19430000</v>
      </c>
      <c r="AY617" s="10">
        <f t="shared" si="303"/>
        <v>-1.0454928588152657</v>
      </c>
      <c r="AZ617" s="6">
        <f>-4.271*100000000</f>
        <v>-427100000</v>
      </c>
      <c r="BA617" s="6" t="str">
        <f t="shared" si="304"/>
        <v>=-427100000</v>
      </c>
      <c r="BB617" s="1">
        <f>-427100000</f>
        <v>-427100000</v>
      </c>
      <c r="BC617" s="8">
        <f t="shared" si="305"/>
        <v>-32.590236686390533</v>
      </c>
      <c r="BD617" s="7" t="s">
        <v>7333</v>
      </c>
      <c r="BE617" s="6" t="str">
        <f t="shared" si="306"/>
        <v>=1352*10000</v>
      </c>
      <c r="BF617" s="1">
        <f>1352*10000</f>
        <v>13520000</v>
      </c>
      <c r="BG617" s="8">
        <f t="shared" si="307"/>
        <v>0.51484593837535009</v>
      </c>
      <c r="BH617" s="7" t="s">
        <v>7334</v>
      </c>
      <c r="BI617" s="6" t="str">
        <f t="shared" si="308"/>
        <v>=892.5*10000</v>
      </c>
      <c r="BJ617" s="1">
        <f>892.5*10000</f>
        <v>8925000</v>
      </c>
      <c r="BK617" s="7" t="s">
        <v>7335</v>
      </c>
      <c r="BL617" s="1" t="str">
        <f t="shared" si="280"/>
        <v>=567.8*10000</v>
      </c>
      <c r="BM617" s="16">
        <f t="shared" si="309"/>
        <v>0.57185628742514971</v>
      </c>
      <c r="BN617" s="1">
        <f>567.8*10000</f>
        <v>5678000</v>
      </c>
    </row>
    <row r="618" spans="1:66">
      <c r="A618" s="17">
        <v>155</v>
      </c>
      <c r="B618">
        <v>600528</v>
      </c>
      <c r="C618" t="s">
        <v>31</v>
      </c>
      <c r="D618" s="6" t="s">
        <v>7336</v>
      </c>
      <c r="E618" s="7" t="str">
        <f t="shared" si="279"/>
        <v>=271.6*100000000</v>
      </c>
      <c r="F618" s="1">
        <f>271.6*100000000</f>
        <v>27160000000.000004</v>
      </c>
      <c r="G618" s="8">
        <f t="shared" si="281"/>
        <v>0.35057185479860786</v>
      </c>
      <c r="H618" s="6" t="s">
        <v>400</v>
      </c>
      <c r="I618" s="6" t="str">
        <f t="shared" si="282"/>
        <v>=201.1*100000000</v>
      </c>
      <c r="J618" s="1">
        <f>201.1*100000000</f>
        <v>20110000000</v>
      </c>
      <c r="K618" s="10">
        <f t="shared" si="283"/>
        <v>0.48852701702442636</v>
      </c>
      <c r="L618" s="6" t="s">
        <v>7337</v>
      </c>
      <c r="M618" s="6" t="str">
        <f t="shared" si="284"/>
        <v>=135.1*100000000</v>
      </c>
      <c r="N618" s="1">
        <f>135.1*100000000</f>
        <v>13510000000</v>
      </c>
      <c r="O618" s="8">
        <f t="shared" si="285"/>
        <v>0.94696642167459288</v>
      </c>
      <c r="P618" s="6" t="s">
        <v>7338</v>
      </c>
      <c r="Q618" s="6" t="str">
        <f t="shared" si="286"/>
        <v>=69.39*100000000</v>
      </c>
      <c r="R618" s="11">
        <f>69.39*100000000</f>
        <v>6939000000</v>
      </c>
      <c r="S618" s="8">
        <f t="shared" si="287"/>
        <v>-0.71432688349114859</v>
      </c>
      <c r="T618" s="6" t="s">
        <v>7339</v>
      </c>
      <c r="U618" s="6" t="str">
        <f t="shared" si="288"/>
        <v>=242.9*100000000</v>
      </c>
      <c r="V618" s="1">
        <f>242.9*100000000</f>
        <v>24290000000</v>
      </c>
      <c r="W618" s="8">
        <f t="shared" si="289"/>
        <v>0.34944444444444445</v>
      </c>
      <c r="X618" s="6" t="s">
        <v>7340</v>
      </c>
      <c r="Y618" s="6" t="str">
        <f t="shared" si="290"/>
        <v>=180.0*100000000</v>
      </c>
      <c r="Z618" s="1">
        <f>180*100000000</f>
        <v>18000000000</v>
      </c>
      <c r="AA618" s="8">
        <f t="shared" si="291"/>
        <v>0.60857908847184983</v>
      </c>
      <c r="AB618" s="6" t="s">
        <v>2613</v>
      </c>
      <c r="AC618" s="6" t="str">
        <f t="shared" si="292"/>
        <v>=111.9*100000000</v>
      </c>
      <c r="AD618" s="1">
        <f>111.9*100000000</f>
        <v>11190000000</v>
      </c>
      <c r="AE618" s="8">
        <f t="shared" si="293"/>
        <v>1.3798383666524883</v>
      </c>
      <c r="AF618" s="6" t="s">
        <v>2803</v>
      </c>
      <c r="AG618" s="6" t="str">
        <f t="shared" si="294"/>
        <v>=47.02*100000000</v>
      </c>
      <c r="AH618" s="1">
        <f>47.02*100000000</f>
        <v>4702000000</v>
      </c>
      <c r="AI618" s="8">
        <f t="shared" si="295"/>
        <v>-0.77152575315840621</v>
      </c>
      <c r="AJ618" s="6" t="s">
        <v>7341</v>
      </c>
      <c r="AK618" s="6" t="str">
        <f t="shared" si="296"/>
        <v>=205.8*100000000</v>
      </c>
      <c r="AL618" s="1">
        <f>205.8*100000000</f>
        <v>20580000000</v>
      </c>
      <c r="AM618" s="8">
        <f t="shared" si="297"/>
        <v>0.3566249176005275</v>
      </c>
      <c r="AN618" s="6" t="s">
        <v>2343</v>
      </c>
      <c r="AO618" s="6" t="str">
        <f t="shared" si="298"/>
        <v>=151.7*100000000</v>
      </c>
      <c r="AP618" s="1">
        <f>151.7*100000000</f>
        <v>15169999999.999998</v>
      </c>
      <c r="AQ618" s="8">
        <f t="shared" si="299"/>
        <v>0.60071752664345235</v>
      </c>
      <c r="AR618" s="6" t="s">
        <v>7342</v>
      </c>
      <c r="AS618" s="6" t="str">
        <f t="shared" si="300"/>
        <v>=94.77*100000000</v>
      </c>
      <c r="AT618" s="1">
        <f>94.77*100000000</f>
        <v>9477000000</v>
      </c>
      <c r="AU618" s="8">
        <f t="shared" si="301"/>
        <v>0.96129966887417218</v>
      </c>
      <c r="AV618" s="6" t="s">
        <v>7343</v>
      </c>
      <c r="AW618" s="6" t="str">
        <f t="shared" si="302"/>
        <v>=48.32*100000000</v>
      </c>
      <c r="AX618" s="1">
        <f>48.32*100000000</f>
        <v>4832000000</v>
      </c>
      <c r="AY618" s="10">
        <f t="shared" si="303"/>
        <v>-0.73005586592178773</v>
      </c>
      <c r="AZ618" s="6" t="s">
        <v>7344</v>
      </c>
      <c r="BA618" s="6" t="str">
        <f t="shared" si="304"/>
        <v>=179.0*100000000</v>
      </c>
      <c r="BB618" s="1">
        <f>179*100000000</f>
        <v>17900000000</v>
      </c>
      <c r="BC618" s="8">
        <f t="shared" si="305"/>
        <v>0.50293870696893372</v>
      </c>
      <c r="BD618" s="6" t="s">
        <v>4116</v>
      </c>
      <c r="BE618" s="6" t="str">
        <f t="shared" si="306"/>
        <v>=119.1*100000000</v>
      </c>
      <c r="BF618" s="1">
        <f>119.1*100000000</f>
        <v>11910000000</v>
      </c>
      <c r="BG618" s="8">
        <f t="shared" si="307"/>
        <v>0.48744848257774465</v>
      </c>
      <c r="BH618" s="6" t="s">
        <v>1854</v>
      </c>
      <c r="BI618" s="6" t="str">
        <f t="shared" si="308"/>
        <v>=80.07*100000000</v>
      </c>
      <c r="BJ618" s="1">
        <f>80.07*100000000</f>
        <v>8006999999.999999</v>
      </c>
      <c r="BK618" s="6" t="s">
        <v>7345</v>
      </c>
      <c r="BL618" s="1" t="str">
        <f t="shared" si="280"/>
        <v>=39.87*100000000</v>
      </c>
      <c r="BM618" s="16">
        <f t="shared" si="309"/>
        <v>1.0082768999247556</v>
      </c>
      <c r="BN618" s="1">
        <f>39.87*100000000</f>
        <v>3986999999.9999995</v>
      </c>
    </row>
    <row r="619" spans="1:66">
      <c r="A619" s="18"/>
      <c r="B619">
        <v>600528</v>
      </c>
      <c r="C619" t="s">
        <v>48</v>
      </c>
      <c r="D619" s="6" t="s">
        <v>7346</v>
      </c>
      <c r="E619" s="7" t="str">
        <f t="shared" si="279"/>
        <v>=20.68*100000000</v>
      </c>
      <c r="F619" s="1">
        <f>20.68*100000000</f>
        <v>2068000000</v>
      </c>
      <c r="G619" s="8">
        <f t="shared" si="281"/>
        <v>0.29736511919698871</v>
      </c>
      <c r="H619" s="6" t="s">
        <v>5997</v>
      </c>
      <c r="I619" s="6" t="str">
        <f t="shared" si="282"/>
        <v>=15.94*100000000</v>
      </c>
      <c r="J619" s="1">
        <f>15.94*100000000</f>
        <v>1594000000</v>
      </c>
      <c r="K619" s="10">
        <f t="shared" si="283"/>
        <v>0.51090047393364912</v>
      </c>
      <c r="L619" s="6" t="s">
        <v>3050</v>
      </c>
      <c r="M619" s="6" t="str">
        <f t="shared" si="284"/>
        <v>=10.55*100000000</v>
      </c>
      <c r="N619" s="1">
        <f>10.55*100000000</f>
        <v>1055000000.0000001</v>
      </c>
      <c r="O619" s="8">
        <f t="shared" si="285"/>
        <v>0.87956529485123836</v>
      </c>
      <c r="P619" s="6" t="s">
        <v>7347</v>
      </c>
      <c r="Q619" s="6" t="str">
        <f t="shared" si="286"/>
        <v>=5.613*100000000</v>
      </c>
      <c r="R619" s="11">
        <f>5.613*100000000</f>
        <v>561300000</v>
      </c>
      <c r="S619" s="8">
        <f t="shared" si="287"/>
        <v>-0.7271268838113758</v>
      </c>
      <c r="T619" s="6" t="s">
        <v>7348</v>
      </c>
      <c r="U619" s="6" t="str">
        <f t="shared" si="288"/>
        <v>=20.57*100000000</v>
      </c>
      <c r="V619" s="1">
        <f>20.57*100000000</f>
        <v>2057000000</v>
      </c>
      <c r="W619" s="8">
        <f t="shared" si="289"/>
        <v>0.31858974358974357</v>
      </c>
      <c r="X619" s="6" t="s">
        <v>357</v>
      </c>
      <c r="Y619" s="6" t="str">
        <f t="shared" si="290"/>
        <v>=15.60*100000000</v>
      </c>
      <c r="Z619" s="1">
        <f>15.6*100000000</f>
        <v>1560000000</v>
      </c>
      <c r="AA619" s="8">
        <f t="shared" si="291"/>
        <v>0.59346271705822284</v>
      </c>
      <c r="AB619" s="6" t="s">
        <v>7349</v>
      </c>
      <c r="AC619" s="6" t="str">
        <f t="shared" si="292"/>
        <v>=9.790*100000000</v>
      </c>
      <c r="AD619" s="1">
        <f>9.79*100000000</f>
        <v>978999999.99999988</v>
      </c>
      <c r="AE619" s="8">
        <f t="shared" si="293"/>
        <v>1.5186519166452275</v>
      </c>
      <c r="AF619" s="6" t="s">
        <v>2076</v>
      </c>
      <c r="AG619" s="6" t="str">
        <f t="shared" si="294"/>
        <v>=3.887*100000000</v>
      </c>
      <c r="AH619" s="1">
        <f>3.887*100000000</f>
        <v>388700000</v>
      </c>
      <c r="AI619" s="8">
        <f t="shared" si="295"/>
        <v>-0.79146995708154511</v>
      </c>
      <c r="AJ619" s="6" t="s">
        <v>7350</v>
      </c>
      <c r="AK619" s="6" t="str">
        <f t="shared" si="296"/>
        <v>=18.64*100000000</v>
      </c>
      <c r="AL619" s="1">
        <f>18.64*100000000</f>
        <v>1864000000</v>
      </c>
      <c r="AM619" s="8">
        <f t="shared" si="297"/>
        <v>0.27148703956343795</v>
      </c>
      <c r="AN619" s="6" t="s">
        <v>6062</v>
      </c>
      <c r="AO619" s="6" t="str">
        <f t="shared" si="298"/>
        <v>=14.66*100000000</v>
      </c>
      <c r="AP619" s="1">
        <f>14.66*100000000</f>
        <v>1466000000</v>
      </c>
      <c r="AQ619" s="8">
        <f t="shared" si="299"/>
        <v>0.4724789071916432</v>
      </c>
      <c r="AR619" s="6" t="s">
        <v>7351</v>
      </c>
      <c r="AS619" s="6" t="str">
        <f t="shared" si="300"/>
        <v>=9.956*100000000</v>
      </c>
      <c r="AT619" s="1">
        <f>9.956*100000000</f>
        <v>995600000</v>
      </c>
      <c r="AU619" s="8">
        <f t="shared" si="301"/>
        <v>1.2139203913720258</v>
      </c>
      <c r="AV619" s="6" t="s">
        <v>6680</v>
      </c>
      <c r="AW619" s="6" t="str">
        <f t="shared" si="302"/>
        <v>=4.497*100000000</v>
      </c>
      <c r="AX619" s="1">
        <f>4.497*100000000</f>
        <v>449700000</v>
      </c>
      <c r="AY619" s="10">
        <f t="shared" si="303"/>
        <v>-0.74214449541284411</v>
      </c>
      <c r="AZ619" s="6" t="s">
        <v>7352</v>
      </c>
      <c r="BA619" s="6" t="str">
        <f t="shared" si="304"/>
        <v>=17.44*100000000</v>
      </c>
      <c r="BB619" s="1">
        <f>17.44*100000000</f>
        <v>1744000000.0000002</v>
      </c>
      <c r="BC619" s="8">
        <f t="shared" si="305"/>
        <v>0.37322834645669312</v>
      </c>
      <c r="BD619" s="6" t="s">
        <v>1090</v>
      </c>
      <c r="BE619" s="6" t="str">
        <f t="shared" si="306"/>
        <v>=12.70*100000000</v>
      </c>
      <c r="BF619" s="1">
        <f>12.7*100000000</f>
        <v>1270000000</v>
      </c>
      <c r="BG619" s="8">
        <f t="shared" si="307"/>
        <v>0.51804924695194832</v>
      </c>
      <c r="BH619" s="6" t="s">
        <v>7353</v>
      </c>
      <c r="BI619" s="6" t="str">
        <f t="shared" si="308"/>
        <v>=8.366*100000000</v>
      </c>
      <c r="BJ619" s="1">
        <f>8.366*100000000</f>
        <v>836600000</v>
      </c>
      <c r="BK619" s="6" t="s">
        <v>5932</v>
      </c>
      <c r="BL619" s="1" t="str">
        <f t="shared" si="280"/>
        <v>=3.953*100000000</v>
      </c>
      <c r="BM619" s="16">
        <f t="shared" si="309"/>
        <v>1.11636731596256</v>
      </c>
      <c r="BN619" s="1">
        <f>3.953*100000000</f>
        <v>395300000</v>
      </c>
    </row>
    <row r="620" spans="1:66">
      <c r="A620" s="18"/>
      <c r="B620">
        <v>600528</v>
      </c>
      <c r="C620" t="s">
        <v>58</v>
      </c>
      <c r="D620" s="6" t="s">
        <v>1933</v>
      </c>
      <c r="E620" s="7" t="str">
        <f t="shared" si="279"/>
        <v>=20.80*100000000</v>
      </c>
      <c r="F620" s="1">
        <f>20.8*100000000</f>
        <v>2080000000</v>
      </c>
      <c r="G620" s="8">
        <f t="shared" si="281"/>
        <v>0.2975670617592015</v>
      </c>
      <c r="H620" s="6" t="s">
        <v>5389</v>
      </c>
      <c r="I620" s="6" t="str">
        <f t="shared" si="282"/>
        <v>=16.03*100000000</v>
      </c>
      <c r="J620" s="1">
        <f>16.03*100000000</f>
        <v>1603000000</v>
      </c>
      <c r="K620" s="10">
        <f t="shared" si="283"/>
        <v>0.51655629139072845</v>
      </c>
      <c r="L620" s="6" t="s">
        <v>930</v>
      </c>
      <c r="M620" s="6" t="str">
        <f t="shared" si="284"/>
        <v>=10.57*100000000</v>
      </c>
      <c r="N620" s="1">
        <f>10.57*100000000</f>
        <v>1057000000</v>
      </c>
      <c r="O620" s="8">
        <f t="shared" si="285"/>
        <v>0.87644239304100835</v>
      </c>
      <c r="P620" s="6" t="s">
        <v>4099</v>
      </c>
      <c r="Q620" s="6" t="str">
        <f t="shared" si="286"/>
        <v>=5.633*100000000</v>
      </c>
      <c r="R620" s="11">
        <f>5.633*100000000</f>
        <v>563300000</v>
      </c>
      <c r="S620" s="8">
        <f t="shared" si="287"/>
        <v>-0.72264894140817326</v>
      </c>
      <c r="T620" s="6" t="s">
        <v>6176</v>
      </c>
      <c r="U620" s="6" t="str">
        <f t="shared" si="288"/>
        <v>=20.31*100000000</v>
      </c>
      <c r="V620" s="1">
        <f>20.31*100000000</f>
        <v>2030999999.9999998</v>
      </c>
      <c r="W620" s="8">
        <f t="shared" si="289"/>
        <v>0.30610932475884228</v>
      </c>
      <c r="X620" s="6" t="s">
        <v>7354</v>
      </c>
      <c r="Y620" s="6" t="str">
        <f t="shared" si="290"/>
        <v>=15.55*100000000</v>
      </c>
      <c r="Z620" s="1">
        <f>15.55*100000000</f>
        <v>1555000000</v>
      </c>
      <c r="AA620" s="8">
        <f t="shared" si="291"/>
        <v>0.59864295260614786</v>
      </c>
      <c r="AB620" s="6" t="s">
        <v>7355</v>
      </c>
      <c r="AC620" s="6" t="str">
        <f t="shared" si="292"/>
        <v>=9.727*100000000</v>
      </c>
      <c r="AD620" s="1">
        <f>9.727*100000000</f>
        <v>972700000</v>
      </c>
      <c r="AE620" s="8">
        <f t="shared" si="293"/>
        <v>1.4826442062276672</v>
      </c>
      <c r="AF620" s="6" t="s">
        <v>7356</v>
      </c>
      <c r="AG620" s="6" t="str">
        <f t="shared" si="294"/>
        <v>=3.918*100000000</v>
      </c>
      <c r="AH620" s="1">
        <f>3.918*100000000</f>
        <v>391800000</v>
      </c>
      <c r="AI620" s="8">
        <f t="shared" si="295"/>
        <v>-0.78969404186795489</v>
      </c>
      <c r="AJ620" s="6" t="s">
        <v>7110</v>
      </c>
      <c r="AK620" s="6" t="str">
        <f t="shared" si="296"/>
        <v>=18.63*100000000</v>
      </c>
      <c r="AL620" s="1">
        <f>18.63*100000000</f>
        <v>1863000000</v>
      </c>
      <c r="AM620" s="8">
        <f t="shared" si="297"/>
        <v>0.27167235494880548</v>
      </c>
      <c r="AN620" s="6" t="s">
        <v>5267</v>
      </c>
      <c r="AO620" s="6" t="str">
        <f t="shared" si="298"/>
        <v>=14.65*100000000</v>
      </c>
      <c r="AP620" s="1">
        <f>14.65*100000000</f>
        <v>1465000000</v>
      </c>
      <c r="AQ620" s="8">
        <f t="shared" si="299"/>
        <v>0.4699979931768013</v>
      </c>
      <c r="AR620" s="6" t="s">
        <v>7357</v>
      </c>
      <c r="AS620" s="6" t="str">
        <f t="shared" si="300"/>
        <v>=9.966*100000000</v>
      </c>
      <c r="AT620" s="1">
        <f>9.966*100000000</f>
        <v>996599999.99999988</v>
      </c>
      <c r="AU620" s="8">
        <f t="shared" si="301"/>
        <v>1.2029177718832889</v>
      </c>
      <c r="AV620" s="6" t="s">
        <v>3794</v>
      </c>
      <c r="AW620" s="6" t="str">
        <f t="shared" si="302"/>
        <v>=4.524*100000000</v>
      </c>
      <c r="AX620" s="1">
        <f>4.524*100000000</f>
        <v>452400000</v>
      </c>
      <c r="AY620" s="10">
        <f t="shared" si="303"/>
        <v>-0.73925072046109519</v>
      </c>
      <c r="AZ620" s="6" t="s">
        <v>6749</v>
      </c>
      <c r="BA620" s="6" t="str">
        <f t="shared" si="304"/>
        <v>=17.35*100000000</v>
      </c>
      <c r="BB620" s="1">
        <f>17.35*100000000</f>
        <v>1735000000.0000002</v>
      </c>
      <c r="BC620" s="8">
        <f t="shared" si="305"/>
        <v>0.37262658227848122</v>
      </c>
      <c r="BD620" s="6" t="s">
        <v>5658</v>
      </c>
      <c r="BE620" s="6" t="str">
        <f t="shared" si="306"/>
        <v>=12.64*100000000</v>
      </c>
      <c r="BF620" s="1">
        <f>12.64*100000000</f>
        <v>1264000000</v>
      </c>
      <c r="BG620" s="8">
        <f t="shared" si="307"/>
        <v>0.52197471402769413</v>
      </c>
      <c r="BH620" s="6" t="s">
        <v>7358</v>
      </c>
      <c r="BI620" s="6" t="str">
        <f t="shared" si="308"/>
        <v>=8.305*100000000</v>
      </c>
      <c r="BJ620" s="1">
        <f>8.305*100000000</f>
        <v>830500000</v>
      </c>
      <c r="BK620" s="6" t="s">
        <v>7359</v>
      </c>
      <c r="BL620" s="1" t="str">
        <f t="shared" si="280"/>
        <v>=3.995*100000000</v>
      </c>
      <c r="BM620" s="16">
        <f t="shared" si="309"/>
        <v>1.0788485607008762</v>
      </c>
      <c r="BN620" s="1">
        <f>3.995*100000000</f>
        <v>399500000</v>
      </c>
    </row>
    <row r="621" spans="1:66">
      <c r="A621" s="19"/>
      <c r="B621">
        <v>600528</v>
      </c>
      <c r="C621" t="s">
        <v>68</v>
      </c>
      <c r="D621" s="6" t="s">
        <v>7360</v>
      </c>
      <c r="E621" s="7" t="str">
        <f t="shared" si="279"/>
        <v>=18.59*100000000</v>
      </c>
      <c r="F621" s="1">
        <f>18.59*100000000</f>
        <v>1859000000</v>
      </c>
      <c r="G621" s="8">
        <f t="shared" si="281"/>
        <v>0.26807639836289221</v>
      </c>
      <c r="H621" s="6" t="s">
        <v>6062</v>
      </c>
      <c r="I621" s="6" t="str">
        <f t="shared" si="282"/>
        <v>=14.66*100000000</v>
      </c>
      <c r="J621" s="1">
        <f>14.66*100000000</f>
        <v>1466000000</v>
      </c>
      <c r="K621" s="10">
        <f t="shared" si="283"/>
        <v>0.52264229331117573</v>
      </c>
      <c r="L621" s="6" t="s">
        <v>7361</v>
      </c>
      <c r="M621" s="6" t="str">
        <f t="shared" si="284"/>
        <v>=9.628*100000000</v>
      </c>
      <c r="N621" s="1">
        <f>9.628*100000000</f>
        <v>962800000</v>
      </c>
      <c r="O621" s="8">
        <f t="shared" si="285"/>
        <v>0.98638332989478006</v>
      </c>
      <c r="P621" s="6" t="s">
        <v>7362</v>
      </c>
      <c r="Q621" s="6" t="str">
        <f t="shared" si="286"/>
        <v>=4.847*100000000</v>
      </c>
      <c r="R621" s="11">
        <f>4.847*100000000</f>
        <v>484700000.00000006</v>
      </c>
      <c r="S621" s="8">
        <f t="shared" si="287"/>
        <v>-0.73441095890410957</v>
      </c>
      <c r="T621" s="6" t="s">
        <v>7363</v>
      </c>
      <c r="U621" s="6" t="str">
        <f t="shared" si="288"/>
        <v>=18.25*100000000</v>
      </c>
      <c r="V621" s="1">
        <f>18.25*100000000</f>
        <v>1825000000</v>
      </c>
      <c r="W621" s="8">
        <f t="shared" si="289"/>
        <v>0.31106321839080459</v>
      </c>
      <c r="X621" s="6" t="s">
        <v>7089</v>
      </c>
      <c r="Y621" s="6" t="str">
        <f t="shared" si="290"/>
        <v>=13.92*100000000</v>
      </c>
      <c r="Z621" s="1">
        <f>13.92*100000000</f>
        <v>1392000000</v>
      </c>
      <c r="AA621" s="8">
        <f t="shared" si="291"/>
        <v>0.57448252460128968</v>
      </c>
      <c r="AB621" s="6" t="s">
        <v>7364</v>
      </c>
      <c r="AC621" s="6" t="str">
        <f t="shared" si="292"/>
        <v>=8.841*100000000</v>
      </c>
      <c r="AD621" s="1">
        <f>8.841*100000000</f>
        <v>884099999.99999988</v>
      </c>
      <c r="AE621" s="8">
        <f t="shared" si="293"/>
        <v>1.6304671228800949</v>
      </c>
      <c r="AF621" s="6" t="s">
        <v>4161</v>
      </c>
      <c r="AG621" s="6" t="str">
        <f t="shared" si="294"/>
        <v>=3.361*100000000</v>
      </c>
      <c r="AH621" s="1">
        <f>3.361*100000000</f>
        <v>336100000</v>
      </c>
      <c r="AI621" s="8">
        <f t="shared" si="295"/>
        <v>-0.794559902200489</v>
      </c>
      <c r="AJ621" s="6" t="s">
        <v>6184</v>
      </c>
      <c r="AK621" s="6" t="str">
        <f t="shared" si="296"/>
        <v>=16.36*100000000</v>
      </c>
      <c r="AL621" s="1">
        <f>16.36*100000000</f>
        <v>1636000000</v>
      </c>
      <c r="AM621" s="8">
        <f t="shared" si="297"/>
        <v>0.27912431587177483</v>
      </c>
      <c r="AN621" s="6" t="s">
        <v>243</v>
      </c>
      <c r="AO621" s="6" t="str">
        <f t="shared" si="298"/>
        <v>=12.79*100000000</v>
      </c>
      <c r="AP621" s="1">
        <f>12.79*100000000</f>
        <v>1279000000</v>
      </c>
      <c r="AQ621" s="8">
        <f t="shared" si="299"/>
        <v>0.4711295146077753</v>
      </c>
      <c r="AR621" s="6" t="s">
        <v>7365</v>
      </c>
      <c r="AS621" s="6" t="str">
        <f t="shared" si="300"/>
        <v>=8.694*100000000</v>
      </c>
      <c r="AT621" s="1">
        <f>8.694*100000000</f>
        <v>869400000.00000012</v>
      </c>
      <c r="AU621" s="8">
        <f t="shared" si="301"/>
        <v>1.3529093369418135</v>
      </c>
      <c r="AV621" s="6" t="s">
        <v>3020</v>
      </c>
      <c r="AW621" s="6" t="str">
        <f t="shared" si="302"/>
        <v>=3.695*100000000</v>
      </c>
      <c r="AX621" s="1">
        <f>3.695*100000000</f>
        <v>369500000</v>
      </c>
      <c r="AY621" s="10">
        <f t="shared" si="303"/>
        <v>-0.75545996029119789</v>
      </c>
      <c r="AZ621" s="6" t="s">
        <v>6999</v>
      </c>
      <c r="BA621" s="6" t="str">
        <f t="shared" si="304"/>
        <v>=15.11*100000000</v>
      </c>
      <c r="BB621" s="1">
        <f>15.11*100000000</f>
        <v>1511000000</v>
      </c>
      <c r="BC621" s="8">
        <f t="shared" si="305"/>
        <v>0.37613843351548271</v>
      </c>
      <c r="BD621" s="6" t="s">
        <v>2659</v>
      </c>
      <c r="BE621" s="6" t="str">
        <f t="shared" si="306"/>
        <v>=10.98*100000000</v>
      </c>
      <c r="BF621" s="1">
        <f>10.98*100000000</f>
        <v>1098000000</v>
      </c>
      <c r="BG621" s="8">
        <f t="shared" si="307"/>
        <v>0.52056501869547156</v>
      </c>
      <c r="BH621" s="6" t="s">
        <v>4347</v>
      </c>
      <c r="BI621" s="6" t="str">
        <f t="shared" si="308"/>
        <v>=7.221*100000000</v>
      </c>
      <c r="BJ621" s="1">
        <f>7.221*100000000</f>
        <v>722100000</v>
      </c>
      <c r="BK621" s="6" t="s">
        <v>7366</v>
      </c>
      <c r="BL621" s="1" t="str">
        <f t="shared" si="280"/>
        <v>=3.309*100000000</v>
      </c>
      <c r="BM621" s="16">
        <f t="shared" si="309"/>
        <v>1.1822302810516772</v>
      </c>
      <c r="BN621" s="1">
        <f>3.309*100000000</f>
        <v>330900000</v>
      </c>
    </row>
    <row r="622" spans="1:66">
      <c r="A622" s="17">
        <v>156</v>
      </c>
      <c r="B622">
        <v>600531</v>
      </c>
      <c r="C622" t="s">
        <v>31</v>
      </c>
      <c r="D622" s="6" t="s">
        <v>7367</v>
      </c>
      <c r="E622" s="7" t="str">
        <f t="shared" si="279"/>
        <v>=268.9*100000000</v>
      </c>
      <c r="F622" s="1">
        <f>268.9*100000000</f>
        <v>26889999999.999996</v>
      </c>
      <c r="G622" s="8">
        <f t="shared" si="281"/>
        <v>0.50897867564534205</v>
      </c>
      <c r="H622" s="6" t="s">
        <v>7368</v>
      </c>
      <c r="I622" s="6" t="str">
        <f t="shared" si="282"/>
        <v>=178.2*100000000</v>
      </c>
      <c r="J622" s="1">
        <f>178.2*100000000</f>
        <v>17820000000</v>
      </c>
      <c r="K622" s="10">
        <f t="shared" si="283"/>
        <v>0.51145038167938928</v>
      </c>
      <c r="L622" s="6" t="s">
        <v>7369</v>
      </c>
      <c r="M622" s="6" t="str">
        <f t="shared" si="284"/>
        <v>=117.9*100000000</v>
      </c>
      <c r="N622" s="1">
        <f>117.9*100000000</f>
        <v>11790000000</v>
      </c>
      <c r="O622" s="8">
        <f t="shared" si="285"/>
        <v>1.0775330396475771</v>
      </c>
      <c r="P622" s="6" t="s">
        <v>7370</v>
      </c>
      <c r="Q622" s="6" t="str">
        <f t="shared" si="286"/>
        <v>=56.75*100000000</v>
      </c>
      <c r="R622" s="11">
        <f>56.75*100000000</f>
        <v>5675000000</v>
      </c>
      <c r="S622" s="8">
        <f t="shared" si="287"/>
        <v>-0.71961462450592883</v>
      </c>
      <c r="T622" s="6" t="s">
        <v>7371</v>
      </c>
      <c r="U622" s="6" t="str">
        <f t="shared" si="288"/>
        <v>=202.4*100000000</v>
      </c>
      <c r="V622" s="1">
        <f>202.4*100000000</f>
        <v>20240000000</v>
      </c>
      <c r="W622" s="8">
        <f t="shared" si="289"/>
        <v>0.58745098039215682</v>
      </c>
      <c r="X622" s="6" t="s">
        <v>7372</v>
      </c>
      <c r="Y622" s="6" t="str">
        <f t="shared" si="290"/>
        <v>=127.5*100000000</v>
      </c>
      <c r="Z622" s="1">
        <f>127.5*100000000</f>
        <v>12750000000</v>
      </c>
      <c r="AA622" s="8">
        <f t="shared" si="291"/>
        <v>0.77601337233597967</v>
      </c>
      <c r="AB622" s="6" t="s">
        <v>7373</v>
      </c>
      <c r="AC622" s="6" t="str">
        <f t="shared" si="292"/>
        <v>=71.79*100000000</v>
      </c>
      <c r="AD622" s="1">
        <f>71.79*100000000</f>
        <v>7179000000.000001</v>
      </c>
      <c r="AE622" s="8">
        <f t="shared" si="293"/>
        <v>1.1214539007092199</v>
      </c>
      <c r="AF622" s="6" t="s">
        <v>6067</v>
      </c>
      <c r="AG622" s="6" t="str">
        <f t="shared" si="294"/>
        <v>=33.84*100000000</v>
      </c>
      <c r="AH622" s="1">
        <f>33.84*100000000</f>
        <v>3384000000.0000005</v>
      </c>
      <c r="AI622" s="8">
        <f t="shared" si="295"/>
        <v>-0.81608695652173913</v>
      </c>
      <c r="AJ622" s="6" t="s">
        <v>7374</v>
      </c>
      <c r="AK622" s="6" t="str">
        <f t="shared" si="296"/>
        <v>=184.0*100000000</v>
      </c>
      <c r="AL622" s="1">
        <f>184*100000000</f>
        <v>18400000000</v>
      </c>
      <c r="AM622" s="8">
        <f t="shared" si="297"/>
        <v>0.38658628485305219</v>
      </c>
      <c r="AN622" s="6" t="s">
        <v>1071</v>
      </c>
      <c r="AO622" s="6" t="str">
        <f t="shared" si="298"/>
        <v>=132.7*100000000</v>
      </c>
      <c r="AP622" s="1">
        <f>132.7*100000000</f>
        <v>13269999999.999998</v>
      </c>
      <c r="AQ622" s="8">
        <f t="shared" si="299"/>
        <v>0.5810794709877275</v>
      </c>
      <c r="AR622" s="6" t="s">
        <v>7375</v>
      </c>
      <c r="AS622" s="6" t="str">
        <f t="shared" si="300"/>
        <v>=83.93*100000000</v>
      </c>
      <c r="AT622" s="1">
        <f>83.93*100000000</f>
        <v>8393000000.000001</v>
      </c>
      <c r="AU622" s="8">
        <f t="shared" si="301"/>
        <v>0.794526405815694</v>
      </c>
      <c r="AV622" s="6" t="s">
        <v>5097</v>
      </c>
      <c r="AW622" s="6" t="str">
        <f t="shared" si="302"/>
        <v>=46.77*100000000</v>
      </c>
      <c r="AX622" s="1">
        <f>46.77*100000000</f>
        <v>4677000000</v>
      </c>
      <c r="AY622" s="10">
        <f t="shared" si="303"/>
        <v>-0.75804449042938438</v>
      </c>
      <c r="AZ622" s="6" t="s">
        <v>7376</v>
      </c>
      <c r="BA622" s="6" t="str">
        <f t="shared" si="304"/>
        <v>=193.3*100000000</v>
      </c>
      <c r="BB622" s="1">
        <f>193.3*100000000</f>
        <v>19330000000</v>
      </c>
      <c r="BC622" s="8">
        <f t="shared" si="305"/>
        <v>0.4150805270863836</v>
      </c>
      <c r="BD622" s="6" t="s">
        <v>7377</v>
      </c>
      <c r="BE622" s="6" t="str">
        <f t="shared" si="306"/>
        <v>=136.6*100000000</v>
      </c>
      <c r="BF622" s="1">
        <f>136.6*100000000</f>
        <v>13660000000</v>
      </c>
      <c r="BG622" s="8">
        <f t="shared" si="307"/>
        <v>0.50606394707828006</v>
      </c>
      <c r="BH622" s="6" t="s">
        <v>7378</v>
      </c>
      <c r="BI622" s="6" t="str">
        <f t="shared" si="308"/>
        <v>=90.70*100000000</v>
      </c>
      <c r="BJ622" s="1">
        <f>90.7*100000000</f>
        <v>9070000000</v>
      </c>
      <c r="BK622" s="6" t="s">
        <v>5365</v>
      </c>
      <c r="BL622" s="1" t="str">
        <f t="shared" si="280"/>
        <v>=41.40*100000000</v>
      </c>
      <c r="BM622" s="16">
        <f t="shared" si="309"/>
        <v>1.1908212560386473</v>
      </c>
      <c r="BN622" s="1">
        <f>41.4*100000000</f>
        <v>4140000000</v>
      </c>
    </row>
    <row r="623" spans="1:66">
      <c r="A623" s="18"/>
      <c r="B623">
        <v>600531</v>
      </c>
      <c r="C623" t="s">
        <v>48</v>
      </c>
      <c r="D623" s="6" t="s">
        <v>7379</v>
      </c>
      <c r="E623" s="7" t="str">
        <f t="shared" si="279"/>
        <v>=4.699*100000000</v>
      </c>
      <c r="F623" s="1">
        <f>4.699*100000000</f>
        <v>469900000</v>
      </c>
      <c r="G623" s="8">
        <f t="shared" si="281"/>
        <v>0.36242389098289357</v>
      </c>
      <c r="H623" s="6" t="s">
        <v>4555</v>
      </c>
      <c r="I623" s="6" t="str">
        <f t="shared" si="282"/>
        <v>=3.449*100000000</v>
      </c>
      <c r="J623" s="1">
        <f>3.449*100000000</f>
        <v>344900000</v>
      </c>
      <c r="K623" s="10">
        <f t="shared" si="283"/>
        <v>0.18685478320715759</v>
      </c>
      <c r="L623" s="6" t="s">
        <v>6337</v>
      </c>
      <c r="M623" s="6" t="str">
        <f t="shared" si="284"/>
        <v>=2.906*100000000</v>
      </c>
      <c r="N623" s="1">
        <f>2.906*100000000</f>
        <v>290600000</v>
      </c>
      <c r="O623" s="8">
        <f t="shared" si="285"/>
        <v>2.1686838948860538</v>
      </c>
      <c r="P623" s="7" t="s">
        <v>7380</v>
      </c>
      <c r="Q623" s="6" t="str">
        <f t="shared" si="286"/>
        <v>=9171*10000</v>
      </c>
      <c r="R623" s="11">
        <f>9171*10000</f>
        <v>91710000</v>
      </c>
      <c r="S623" s="8">
        <f t="shared" si="287"/>
        <v>-0.71196608040201004</v>
      </c>
      <c r="T623" s="6" t="s">
        <v>4596</v>
      </c>
      <c r="U623" s="6" t="str">
        <f t="shared" si="288"/>
        <v>=3.184*100000000</v>
      </c>
      <c r="V623" s="1">
        <f>3.184*100000000</f>
        <v>318400000</v>
      </c>
      <c r="W623" s="8">
        <f t="shared" si="289"/>
        <v>0.24423602969910108</v>
      </c>
      <c r="X623" s="6" t="s">
        <v>2862</v>
      </c>
      <c r="Y623" s="6" t="str">
        <f t="shared" si="290"/>
        <v>=2.559*100000000</v>
      </c>
      <c r="Z623" s="1">
        <f>2.559*100000000</f>
        <v>255900000.00000003</v>
      </c>
      <c r="AA623" s="8">
        <f t="shared" si="291"/>
        <v>5.7130115424973775</v>
      </c>
      <c r="AB623" s="7" t="s">
        <v>7381</v>
      </c>
      <c r="AC623" s="6" t="str">
        <f t="shared" si="292"/>
        <v>=3812*10000</v>
      </c>
      <c r="AD623" s="1">
        <f>3812*10000</f>
        <v>38120000</v>
      </c>
      <c r="AE623" s="8">
        <f t="shared" si="293"/>
        <v>-1.7184319638145495</v>
      </c>
      <c r="AF623" s="7">
        <f>-5306*10000</f>
        <v>-53060000</v>
      </c>
      <c r="AG623" s="6" t="str">
        <f t="shared" si="294"/>
        <v>=-53060000</v>
      </c>
      <c r="AH623" s="1">
        <f>-53060000</f>
        <v>-53060000</v>
      </c>
      <c r="AI623" s="8">
        <f t="shared" si="295"/>
        <v>-1.2396567299006322</v>
      </c>
      <c r="AJ623" s="6" t="s">
        <v>118</v>
      </c>
      <c r="AK623" s="6" t="str">
        <f t="shared" si="296"/>
        <v>=2.214*100000000</v>
      </c>
      <c r="AL623" s="1">
        <f>2.214*100000000</f>
        <v>221400000</v>
      </c>
      <c r="AM623" s="8">
        <f t="shared" si="297"/>
        <v>1.2215532811559302</v>
      </c>
      <c r="AN623" s="7" t="s">
        <v>3875</v>
      </c>
      <c r="AO623" s="6" t="str">
        <f t="shared" si="298"/>
        <v>=9966*10000</v>
      </c>
      <c r="AP623" s="1">
        <f>9966*10000</f>
        <v>99660000</v>
      </c>
      <c r="AQ623" s="8">
        <f t="shared" si="299"/>
        <v>0.73110995310057325</v>
      </c>
      <c r="AR623" s="7" t="s">
        <v>7382</v>
      </c>
      <c r="AS623" s="6" t="str">
        <f t="shared" si="300"/>
        <v>=5757*10000</v>
      </c>
      <c r="AT623" s="1">
        <f>5757*10000</f>
        <v>57570000</v>
      </c>
      <c r="AU623" s="8">
        <f t="shared" si="301"/>
        <v>4.219401631912965</v>
      </c>
      <c r="AV623" s="7" t="s">
        <v>1274</v>
      </c>
      <c r="AW623" s="6" t="str">
        <f t="shared" si="302"/>
        <v>=1103*10000</v>
      </c>
      <c r="AX623" s="1">
        <f>1103*10000</f>
        <v>11030000</v>
      </c>
      <c r="AY623" s="10">
        <f t="shared" si="303"/>
        <v>-0.93241421568627447</v>
      </c>
      <c r="AZ623" s="6" t="s">
        <v>5679</v>
      </c>
      <c r="BA623" s="6" t="str">
        <f t="shared" si="304"/>
        <v>=1.632*100000000</v>
      </c>
      <c r="BB623" s="1">
        <f>1.632*100000000</f>
        <v>163200000</v>
      </c>
      <c r="BC623" s="8">
        <f t="shared" si="305"/>
        <v>1.3320948842526437</v>
      </c>
      <c r="BD623" s="7" t="s">
        <v>7383</v>
      </c>
      <c r="BE623" s="6" t="str">
        <f t="shared" si="306"/>
        <v>=6998*10000</v>
      </c>
      <c r="BF623" s="1">
        <f>6998*10000</f>
        <v>69980000</v>
      </c>
      <c r="BG623" s="8">
        <f t="shared" si="307"/>
        <v>0.10605342184289553</v>
      </c>
      <c r="BH623" s="7" t="s">
        <v>7384</v>
      </c>
      <c r="BI623" s="6" t="str">
        <f t="shared" si="308"/>
        <v>=6327*10000</v>
      </c>
      <c r="BJ623" s="1">
        <f>6327*10000</f>
        <v>63270000</v>
      </c>
      <c r="BK623" s="7" t="s">
        <v>7385</v>
      </c>
      <c r="BL623" s="1" t="str">
        <f t="shared" si="280"/>
        <v>=2584*10000</v>
      </c>
      <c r="BM623" s="16">
        <f t="shared" si="309"/>
        <v>1.4485294117647058</v>
      </c>
      <c r="BN623" s="1">
        <f>2584*10000</f>
        <v>25840000</v>
      </c>
    </row>
    <row r="624" spans="1:66">
      <c r="A624" s="18"/>
      <c r="B624">
        <v>600531</v>
      </c>
      <c r="C624" t="s">
        <v>58</v>
      </c>
      <c r="D624" s="6" t="s">
        <v>7386</v>
      </c>
      <c r="E624" s="7" t="str">
        <f t="shared" si="279"/>
        <v>=4.658*100000000</v>
      </c>
      <c r="F624" s="1">
        <f>4.658*100000000</f>
        <v>465800000.00000006</v>
      </c>
      <c r="G624" s="8">
        <f t="shared" si="281"/>
        <v>0.3667840375586856</v>
      </c>
      <c r="H624" s="6" t="s">
        <v>7387</v>
      </c>
      <c r="I624" s="6" t="str">
        <f t="shared" si="282"/>
        <v>=3.408*100000000</v>
      </c>
      <c r="J624" s="1">
        <f>3.408*100000000</f>
        <v>340800000</v>
      </c>
      <c r="K624" s="10">
        <f t="shared" si="283"/>
        <v>0.18128249566724436</v>
      </c>
      <c r="L624" s="6" t="s">
        <v>933</v>
      </c>
      <c r="M624" s="6" t="str">
        <f t="shared" si="284"/>
        <v>=2.885*100000000</v>
      </c>
      <c r="N624" s="1">
        <f>2.885*100000000</f>
        <v>288500000</v>
      </c>
      <c r="O624" s="8">
        <f t="shared" si="285"/>
        <v>2.1829214474845542</v>
      </c>
      <c r="P624" s="7" t="s">
        <v>7388</v>
      </c>
      <c r="Q624" s="6" t="str">
        <f t="shared" si="286"/>
        <v>=9064*10000</v>
      </c>
      <c r="R624" s="11">
        <f>9064*10000</f>
        <v>90640000</v>
      </c>
      <c r="S624" s="8">
        <f t="shared" si="287"/>
        <v>-0.71041533546325875</v>
      </c>
      <c r="T624" s="6" t="s">
        <v>7389</v>
      </c>
      <c r="U624" s="6" t="str">
        <f t="shared" si="288"/>
        <v>=3.130*100000000</v>
      </c>
      <c r="V624" s="1">
        <f>3.13*100000000</f>
        <v>313000000</v>
      </c>
      <c r="W624" s="8">
        <f t="shared" si="289"/>
        <v>0.2425565700674871</v>
      </c>
      <c r="X624" s="6" t="s">
        <v>7390</v>
      </c>
      <c r="Y624" s="6" t="str">
        <f t="shared" si="290"/>
        <v>=2.519*100000000</v>
      </c>
      <c r="Z624" s="1">
        <f>2.519*100000000</f>
        <v>251900000</v>
      </c>
      <c r="AA624" s="8">
        <f t="shared" si="291"/>
        <v>6.1460992907801417</v>
      </c>
      <c r="AB624" s="7" t="s">
        <v>7391</v>
      </c>
      <c r="AC624" s="6" t="str">
        <f t="shared" si="292"/>
        <v>=3525*10000</v>
      </c>
      <c r="AD624" s="1">
        <f>3525*10000</f>
        <v>35250000</v>
      </c>
      <c r="AE624" s="8">
        <f t="shared" si="293"/>
        <v>-1.6384712914327115</v>
      </c>
      <c r="AF624" s="7">
        <f>-5521*10000</f>
        <v>-55210000</v>
      </c>
      <c r="AG624" s="6" t="str">
        <f t="shared" si="294"/>
        <v>=-55210000</v>
      </c>
      <c r="AH624" s="1">
        <f>-55210000</f>
        <v>-55210000</v>
      </c>
      <c r="AI624" s="8">
        <f t="shared" si="295"/>
        <v>-1.2498190045248869</v>
      </c>
      <c r="AJ624" s="6" t="s">
        <v>1778</v>
      </c>
      <c r="AK624" s="6" t="str">
        <f t="shared" si="296"/>
        <v>=2.210*100000000</v>
      </c>
      <c r="AL624" s="1">
        <f>2.21*100000000</f>
        <v>221000000</v>
      </c>
      <c r="AM624" s="8">
        <f t="shared" si="297"/>
        <v>1.1751968503937007</v>
      </c>
      <c r="AN624" s="6" t="s">
        <v>7392</v>
      </c>
      <c r="AO624" s="6" t="str">
        <f t="shared" si="298"/>
        <v>=1.016*100000000</v>
      </c>
      <c r="AP624" s="1">
        <f>1.016*100000000</f>
        <v>101600000</v>
      </c>
      <c r="AQ624" s="8">
        <f t="shared" si="299"/>
        <v>0.73201500170473921</v>
      </c>
      <c r="AR624" s="7" t="s">
        <v>7393</v>
      </c>
      <c r="AS624" s="6" t="str">
        <f t="shared" si="300"/>
        <v>=5866*10000</v>
      </c>
      <c r="AT624" s="1">
        <f>5866*10000</f>
        <v>58660000</v>
      </c>
      <c r="AU624" s="8">
        <f t="shared" si="301"/>
        <v>4.4822429906542052</v>
      </c>
      <c r="AV624" s="7" t="s">
        <v>7394</v>
      </c>
      <c r="AW624" s="6" t="str">
        <f t="shared" si="302"/>
        <v>=1070*10000</v>
      </c>
      <c r="AX624" s="1">
        <f>1070*10000</f>
        <v>10700000</v>
      </c>
      <c r="AY624" s="10">
        <f t="shared" si="303"/>
        <v>-0.926812585499316</v>
      </c>
      <c r="AZ624" s="6" t="s">
        <v>2033</v>
      </c>
      <c r="BA624" s="6" t="str">
        <f t="shared" si="304"/>
        <v>=1.462*100000000</v>
      </c>
      <c r="BB624" s="1">
        <f>1.462*100000000</f>
        <v>146200000</v>
      </c>
      <c r="BC624" s="8">
        <f t="shared" si="305"/>
        <v>1.7189882834294217</v>
      </c>
      <c r="BD624" s="7" t="s">
        <v>7395</v>
      </c>
      <c r="BE624" s="6" t="str">
        <f t="shared" si="306"/>
        <v>=5377*10000</v>
      </c>
      <c r="BF624" s="1">
        <f>5377*10000</f>
        <v>53770000</v>
      </c>
      <c r="BG624" s="8">
        <f t="shared" si="307"/>
        <v>-0.1398176291793313</v>
      </c>
      <c r="BH624" s="7" t="s">
        <v>7396</v>
      </c>
      <c r="BI624" s="6" t="str">
        <f t="shared" si="308"/>
        <v>=6251*10000</v>
      </c>
      <c r="BJ624" s="1">
        <f>6251*10000</f>
        <v>62510000</v>
      </c>
      <c r="BK624" s="7" t="s">
        <v>4761</v>
      </c>
      <c r="BL624" s="1" t="str">
        <f t="shared" si="280"/>
        <v>=2499*10000</v>
      </c>
      <c r="BM624" s="16">
        <f t="shared" si="309"/>
        <v>1.5014005602240896</v>
      </c>
      <c r="BN624" s="1">
        <f>2499*10000</f>
        <v>24990000</v>
      </c>
    </row>
    <row r="625" spans="1:66">
      <c r="A625" s="19"/>
      <c r="B625">
        <v>600531</v>
      </c>
      <c r="C625" t="s">
        <v>68</v>
      </c>
      <c r="D625" s="6" t="s">
        <v>7397</v>
      </c>
      <c r="E625" s="7" t="str">
        <f t="shared" si="279"/>
        <v>=3.988*100000000</v>
      </c>
      <c r="F625" s="1">
        <f>3.988*100000000</f>
        <v>398800000</v>
      </c>
      <c r="G625" s="8">
        <f t="shared" si="281"/>
        <v>0.35232282129535436</v>
      </c>
      <c r="H625" s="6" t="s">
        <v>130</v>
      </c>
      <c r="I625" s="6" t="str">
        <f t="shared" si="282"/>
        <v>=2.949*100000000</v>
      </c>
      <c r="J625" s="1">
        <f>2.949*100000000</f>
        <v>294900000</v>
      </c>
      <c r="K625" s="10">
        <f t="shared" si="283"/>
        <v>0.23285953177257526</v>
      </c>
      <c r="L625" s="6" t="s">
        <v>7398</v>
      </c>
      <c r="M625" s="6" t="str">
        <f t="shared" si="284"/>
        <v>=2.392*100000000</v>
      </c>
      <c r="N625" s="1">
        <f>2.392*100000000</f>
        <v>239200000</v>
      </c>
      <c r="O625" s="8">
        <f t="shared" si="285"/>
        <v>2.0065359477124183</v>
      </c>
      <c r="P625" s="7" t="s">
        <v>7399</v>
      </c>
      <c r="Q625" s="6" t="str">
        <f t="shared" si="286"/>
        <v>=7956*10000</v>
      </c>
      <c r="R625" s="11">
        <f>7956*10000</f>
        <v>79560000</v>
      </c>
      <c r="S625" s="8">
        <f t="shared" si="287"/>
        <v>-0.745</v>
      </c>
      <c r="T625" s="6" t="s">
        <v>6428</v>
      </c>
      <c r="U625" s="6" t="str">
        <f t="shared" si="288"/>
        <v>=3.120*100000000</v>
      </c>
      <c r="V625" s="1">
        <f>3.12*100000000</f>
        <v>312000000</v>
      </c>
      <c r="W625" s="8">
        <f t="shared" si="289"/>
        <v>0.28765992571192739</v>
      </c>
      <c r="X625" s="6" t="s">
        <v>7400</v>
      </c>
      <c r="Y625" s="6" t="str">
        <f t="shared" si="290"/>
        <v>=2.423*100000000</v>
      </c>
      <c r="Z625" s="1">
        <f>2.423*100000000</f>
        <v>242300000</v>
      </c>
      <c r="AA625" s="8">
        <f t="shared" si="291"/>
        <v>8.809716599190283</v>
      </c>
      <c r="AB625" s="7" t="s">
        <v>7401</v>
      </c>
      <c r="AC625" s="6" t="str">
        <f t="shared" si="292"/>
        <v>=2470*10000</v>
      </c>
      <c r="AD625" s="1">
        <f>2470*10000</f>
        <v>24700000</v>
      </c>
      <c r="AE625" s="8">
        <f t="shared" si="293"/>
        <v>-1.5382436260623229</v>
      </c>
      <c r="AF625" s="7">
        <f>-4589*10000</f>
        <v>-45890000</v>
      </c>
      <c r="AG625" s="6" t="str">
        <f t="shared" si="294"/>
        <v>=-45890000</v>
      </c>
      <c r="AH625" s="1">
        <f>-45890000</f>
        <v>-45890000</v>
      </c>
      <c r="AI625" s="8">
        <f t="shared" si="295"/>
        <v>-1.2129466357308585</v>
      </c>
      <c r="AJ625" s="6" t="s">
        <v>2155</v>
      </c>
      <c r="AK625" s="6" t="str">
        <f t="shared" si="296"/>
        <v>=2.155*100000000</v>
      </c>
      <c r="AL625" s="1">
        <f>2.155*100000000</f>
        <v>215499999.99999997</v>
      </c>
      <c r="AM625" s="8">
        <f t="shared" si="297"/>
        <v>1.7337308131422045</v>
      </c>
      <c r="AN625" s="7" t="s">
        <v>7402</v>
      </c>
      <c r="AO625" s="6" t="str">
        <f t="shared" si="298"/>
        <v>=7883*10000</v>
      </c>
      <c r="AP625" s="1">
        <f>7883*10000</f>
        <v>78830000</v>
      </c>
      <c r="AQ625" s="8">
        <f t="shared" si="299"/>
        <v>0.65644042866148355</v>
      </c>
      <c r="AR625" s="7" t="s">
        <v>4453</v>
      </c>
      <c r="AS625" s="6" t="str">
        <f t="shared" si="300"/>
        <v>=4759*10000</v>
      </c>
      <c r="AT625" s="1">
        <f>4759*10000</f>
        <v>47590000</v>
      </c>
      <c r="AU625" s="8">
        <f t="shared" si="301"/>
        <v>3.2758310871518419</v>
      </c>
      <c r="AV625" s="7" t="s">
        <v>7403</v>
      </c>
      <c r="AW625" s="6" t="str">
        <f t="shared" si="302"/>
        <v>=1113*10000</v>
      </c>
      <c r="AX625" s="1">
        <f>1113*10000</f>
        <v>11130000</v>
      </c>
      <c r="AY625" s="10">
        <f t="shared" si="303"/>
        <v>-0.91490825688073396</v>
      </c>
      <c r="AZ625" s="6" t="s">
        <v>6057</v>
      </c>
      <c r="BA625" s="6" t="str">
        <f t="shared" si="304"/>
        <v>=1.308*100000000</v>
      </c>
      <c r="BB625" s="1">
        <f>1.308*100000000</f>
        <v>130800000</v>
      </c>
      <c r="BC625" s="8">
        <f t="shared" si="305"/>
        <v>3.2384964355152301</v>
      </c>
      <c r="BD625" s="7" t="s">
        <v>7404</v>
      </c>
      <c r="BE625" s="6" t="str">
        <f t="shared" si="306"/>
        <v>=3086*10000</v>
      </c>
      <c r="BF625" s="1">
        <f>3086*10000</f>
        <v>30860000</v>
      </c>
      <c r="BG625" s="8">
        <f t="shared" si="307"/>
        <v>-0.51938950319264909</v>
      </c>
      <c r="BH625" s="7" t="s">
        <v>7405</v>
      </c>
      <c r="BI625" s="6" t="str">
        <f t="shared" si="308"/>
        <v>=6421*10000</v>
      </c>
      <c r="BJ625" s="1">
        <f>6421*10000</f>
        <v>64210000</v>
      </c>
      <c r="BK625" s="7" t="s">
        <v>7406</v>
      </c>
      <c r="BL625" s="1" t="str">
        <f t="shared" si="280"/>
        <v>=4405*10000</v>
      </c>
      <c r="BM625" s="16">
        <f t="shared" si="309"/>
        <v>0.45766174801362086</v>
      </c>
      <c r="BN625" s="1">
        <f>4405*10000</f>
        <v>44050000</v>
      </c>
    </row>
    <row r="626" spans="1:66">
      <c r="A626" s="17">
        <v>157</v>
      </c>
      <c r="B626">
        <v>600535</v>
      </c>
      <c r="C626" t="s">
        <v>31</v>
      </c>
      <c r="D626" s="6" t="s">
        <v>7407</v>
      </c>
      <c r="E626" s="7" t="str">
        <f t="shared" si="279"/>
        <v>=79.52*100000000</v>
      </c>
      <c r="F626" s="1">
        <f>79.52*100000000</f>
        <v>7952000000</v>
      </c>
      <c r="G626" s="8">
        <f t="shared" si="281"/>
        <v>0.37816291161178511</v>
      </c>
      <c r="H626" s="6" t="s">
        <v>5626</v>
      </c>
      <c r="I626" s="6" t="str">
        <f t="shared" si="282"/>
        <v>=57.70*100000000</v>
      </c>
      <c r="J626" s="1">
        <f>57.7*100000000</f>
        <v>5770000000</v>
      </c>
      <c r="K626" s="10">
        <f t="shared" si="283"/>
        <v>0.50770838777109994</v>
      </c>
      <c r="L626" s="6" t="s">
        <v>7408</v>
      </c>
      <c r="M626" s="6" t="str">
        <f t="shared" si="284"/>
        <v>=38.27*100000000</v>
      </c>
      <c r="N626" s="1">
        <f>38.27*100000000</f>
        <v>3827000000.0000005</v>
      </c>
      <c r="O626" s="8">
        <f t="shared" si="285"/>
        <v>1.1695011337868484</v>
      </c>
      <c r="P626" s="6" t="s">
        <v>2626</v>
      </c>
      <c r="Q626" s="6" t="str">
        <f t="shared" si="286"/>
        <v>=17.64*100000000</v>
      </c>
      <c r="R626" s="11">
        <f>17.64*100000000</f>
        <v>1764000000</v>
      </c>
      <c r="S626" s="8">
        <f t="shared" si="287"/>
        <v>-0.87010309278350517</v>
      </c>
      <c r="T626" s="6" t="s">
        <v>7409</v>
      </c>
      <c r="U626" s="6" t="str">
        <f t="shared" si="288"/>
        <v>=135.8*100000000</v>
      </c>
      <c r="V626" s="1">
        <f>135.8*100000000</f>
        <v>13580000000.000002</v>
      </c>
      <c r="W626" s="8">
        <f t="shared" si="289"/>
        <v>0.19227392449517136</v>
      </c>
      <c r="X626" s="6" t="s">
        <v>4366</v>
      </c>
      <c r="Y626" s="6" t="str">
        <f t="shared" si="290"/>
        <v>=113.9*100000000</v>
      </c>
      <c r="Z626" s="1">
        <f>113.9*100000000</f>
        <v>11390000000</v>
      </c>
      <c r="AA626" s="8">
        <f t="shared" si="291"/>
        <v>0.32088600255131627</v>
      </c>
      <c r="AB626" s="6" t="s">
        <v>7410</v>
      </c>
      <c r="AC626" s="6" t="str">
        <f t="shared" si="292"/>
        <v>=86.23*100000000</v>
      </c>
      <c r="AD626" s="1">
        <f>86.23*100000000</f>
        <v>8623000000</v>
      </c>
      <c r="AE626" s="8">
        <f t="shared" si="293"/>
        <v>1.1813812294459904</v>
      </c>
      <c r="AF626" s="6" t="s">
        <v>7411</v>
      </c>
      <c r="AG626" s="6" t="str">
        <f t="shared" si="294"/>
        <v>=39.53*100000000</v>
      </c>
      <c r="AH626" s="1">
        <f>39.53*100000000</f>
        <v>3953000000</v>
      </c>
      <c r="AI626" s="8">
        <f t="shared" si="295"/>
        <v>-0.79194736842105262</v>
      </c>
      <c r="AJ626" s="6" t="s">
        <v>6986</v>
      </c>
      <c r="AK626" s="6" t="str">
        <f t="shared" si="296"/>
        <v>=190.0*100000000</v>
      </c>
      <c r="AL626" s="1">
        <f>190*100000000</f>
        <v>19000000000</v>
      </c>
      <c r="AM626" s="8">
        <f t="shared" si="297"/>
        <v>0.34847409510290989</v>
      </c>
      <c r="AN626" s="6" t="s">
        <v>7412</v>
      </c>
      <c r="AO626" s="6" t="str">
        <f t="shared" si="298"/>
        <v>=140.9*100000000</v>
      </c>
      <c r="AP626" s="1">
        <f>140.9*100000000</f>
        <v>14090000000</v>
      </c>
      <c r="AQ626" s="8">
        <f t="shared" si="299"/>
        <v>0.49623022193904642</v>
      </c>
      <c r="AR626" s="6" t="s">
        <v>7413</v>
      </c>
      <c r="AS626" s="6" t="str">
        <f t="shared" si="300"/>
        <v>=94.17*100000000</v>
      </c>
      <c r="AT626" s="1">
        <f>94.17*100000000</f>
        <v>9417000000</v>
      </c>
      <c r="AU626" s="8">
        <f t="shared" si="301"/>
        <v>1.0601618901772041</v>
      </c>
      <c r="AV626" s="6" t="s">
        <v>7414</v>
      </c>
      <c r="AW626" s="6" t="str">
        <f t="shared" si="302"/>
        <v>=45.71*100000000</v>
      </c>
      <c r="AX626" s="1">
        <f>45.71*100000000</f>
        <v>4571000000</v>
      </c>
      <c r="AY626" s="10">
        <f t="shared" si="303"/>
        <v>-0.74591439688715955</v>
      </c>
      <c r="AZ626" s="6" t="s">
        <v>7415</v>
      </c>
      <c r="BA626" s="6" t="str">
        <f t="shared" si="304"/>
        <v>=179.9*100000000</v>
      </c>
      <c r="BB626" s="1">
        <f>179.9*100000000</f>
        <v>17990000000</v>
      </c>
      <c r="BC626" s="8">
        <f t="shared" si="305"/>
        <v>0.3817204301075271</v>
      </c>
      <c r="BD626" s="6" t="s">
        <v>7416</v>
      </c>
      <c r="BE626" s="6" t="str">
        <f t="shared" si="306"/>
        <v>=130.2*100000000</v>
      </c>
      <c r="BF626" s="1">
        <f>130.2*100000000</f>
        <v>13019999999.999998</v>
      </c>
      <c r="BG626" s="8">
        <f t="shared" si="307"/>
        <v>0.53610193487494062</v>
      </c>
      <c r="BH626" s="6" t="s">
        <v>7417</v>
      </c>
      <c r="BI626" s="6" t="str">
        <f t="shared" si="308"/>
        <v>=84.76*100000000</v>
      </c>
      <c r="BJ626" s="1">
        <f>84.76*100000000</f>
        <v>8476000000.000001</v>
      </c>
      <c r="BK626" s="6" t="s">
        <v>7418</v>
      </c>
      <c r="BL626" s="1" t="str">
        <f t="shared" si="280"/>
        <v>=39.52*100000000</v>
      </c>
      <c r="BM626" s="16">
        <f t="shared" si="309"/>
        <v>1.1447368421052631</v>
      </c>
      <c r="BN626" s="1">
        <f>39.52*100000000</f>
        <v>3952000000.0000005</v>
      </c>
    </row>
    <row r="627" spans="1:66">
      <c r="A627" s="18"/>
      <c r="B627">
        <v>600535</v>
      </c>
      <c r="C627" t="s">
        <v>48</v>
      </c>
      <c r="D627" s="6" t="s">
        <v>2286</v>
      </c>
      <c r="E627" s="7" t="str">
        <f t="shared" si="279"/>
        <v>=27.33*100000000</v>
      </c>
      <c r="F627" s="1">
        <f>27.33*100000000</f>
        <v>2733000000</v>
      </c>
      <c r="G627" s="8">
        <f t="shared" si="281"/>
        <v>0.60954063604240283</v>
      </c>
      <c r="H627" s="6" t="s">
        <v>1123</v>
      </c>
      <c r="I627" s="6" t="str">
        <f t="shared" si="282"/>
        <v>=16.98*100000000</v>
      </c>
      <c r="J627" s="1">
        <f>16.98*100000000</f>
        <v>1698000000</v>
      </c>
      <c r="K627" s="10">
        <f t="shared" si="283"/>
        <v>0.43776460626587638</v>
      </c>
      <c r="L627" s="6" t="s">
        <v>5171</v>
      </c>
      <c r="M627" s="6" t="str">
        <f t="shared" si="284"/>
        <v>=11.81*100000000</v>
      </c>
      <c r="N627" s="1">
        <f>11.81*100000000</f>
        <v>1181000000</v>
      </c>
      <c r="O627" s="8">
        <f t="shared" si="285"/>
        <v>2.1070770849776377</v>
      </c>
      <c r="P627" s="6" t="s">
        <v>3680</v>
      </c>
      <c r="Q627" s="6" t="str">
        <f t="shared" si="286"/>
        <v>=3.801*100000000</v>
      </c>
      <c r="R627" s="11">
        <f>3.801*100000000</f>
        <v>380100000</v>
      </c>
      <c r="S627" s="8">
        <f t="shared" si="287"/>
        <v>-0.74177989130434785</v>
      </c>
      <c r="T627" s="6" t="s">
        <v>7419</v>
      </c>
      <c r="U627" s="6" t="str">
        <f t="shared" si="288"/>
        <v>=14.72*100000000</v>
      </c>
      <c r="V627" s="1">
        <f>14.72*100000000</f>
        <v>1472000000</v>
      </c>
      <c r="W627" s="8">
        <f t="shared" si="289"/>
        <v>4.7781569965870303E-3</v>
      </c>
      <c r="X627" s="6" t="s">
        <v>5267</v>
      </c>
      <c r="Y627" s="6" t="str">
        <f t="shared" si="290"/>
        <v>=14.65*100000000</v>
      </c>
      <c r="Z627" s="1">
        <f>14.65*100000000</f>
        <v>1465000000</v>
      </c>
      <c r="AA627" s="8">
        <f t="shared" si="291"/>
        <v>0.64884637028700054</v>
      </c>
      <c r="AB627" s="6" t="s">
        <v>7420</v>
      </c>
      <c r="AC627" s="6" t="str">
        <f t="shared" si="292"/>
        <v>=8.885*100000000</v>
      </c>
      <c r="AD627" s="1">
        <f>8.885*100000000</f>
        <v>888500000</v>
      </c>
      <c r="AE627" s="8">
        <f t="shared" si="293"/>
        <v>1.4223009814612868</v>
      </c>
      <c r="AF627" s="6" t="s">
        <v>7421</v>
      </c>
      <c r="AG627" s="6" t="str">
        <f t="shared" si="294"/>
        <v>=3.668*100000000</v>
      </c>
      <c r="AH627" s="1">
        <f>3.668*100000000</f>
        <v>366800000</v>
      </c>
      <c r="AI627" s="8">
        <f t="shared" si="295"/>
        <v>-0.72585949177877429</v>
      </c>
      <c r="AJ627" s="6" t="s">
        <v>4143</v>
      </c>
      <c r="AK627" s="6" t="str">
        <f t="shared" si="296"/>
        <v>=13.38*100000000</v>
      </c>
      <c r="AL627" s="1">
        <f>13.38*100000000</f>
        <v>1338000000</v>
      </c>
      <c r="AM627" s="8">
        <f t="shared" si="297"/>
        <v>-4.9040511727078892E-2</v>
      </c>
      <c r="AN627" s="6" t="s">
        <v>4920</v>
      </c>
      <c r="AO627" s="6" t="str">
        <f t="shared" si="298"/>
        <v>=14.07*100000000</v>
      </c>
      <c r="AP627" s="1">
        <f>14.07*100000000</f>
        <v>1407000000</v>
      </c>
      <c r="AQ627" s="8">
        <f t="shared" si="299"/>
        <v>0.27676950998185118</v>
      </c>
      <c r="AR627" s="6" t="s">
        <v>7422</v>
      </c>
      <c r="AS627" s="6" t="str">
        <f t="shared" si="300"/>
        <v>=11.02*100000000</v>
      </c>
      <c r="AT627" s="1">
        <f>11.02*100000000</f>
        <v>1102000000</v>
      </c>
      <c r="AU627" s="8">
        <f t="shared" si="301"/>
        <v>1.0072859744990892</v>
      </c>
      <c r="AV627" s="6" t="s">
        <v>4379</v>
      </c>
      <c r="AW627" s="6" t="str">
        <f t="shared" si="302"/>
        <v>=5.490*100000000</v>
      </c>
      <c r="AX627" s="1">
        <f>5.49*100000000</f>
        <v>549000000</v>
      </c>
      <c r="AY627" s="10">
        <f t="shared" si="303"/>
        <v>-0.71773778920308484</v>
      </c>
      <c r="AZ627" s="6" t="s">
        <v>7423</v>
      </c>
      <c r="BA627" s="6" t="str">
        <f t="shared" si="304"/>
        <v>=19.45*100000000</v>
      </c>
      <c r="BB627" s="1">
        <f>19.45*100000000</f>
        <v>1945000000</v>
      </c>
      <c r="BC627" s="8">
        <f t="shared" si="305"/>
        <v>0.1625821876867902</v>
      </c>
      <c r="BD627" s="6" t="s">
        <v>6403</v>
      </c>
      <c r="BE627" s="6" t="str">
        <f t="shared" si="306"/>
        <v>=16.73*100000000</v>
      </c>
      <c r="BF627" s="1">
        <f>16.73*100000000</f>
        <v>1673000000</v>
      </c>
      <c r="BG627" s="8">
        <f t="shared" si="307"/>
        <v>0.45731707317073172</v>
      </c>
      <c r="BH627" s="6" t="s">
        <v>7424</v>
      </c>
      <c r="BI627" s="6" t="str">
        <f t="shared" si="308"/>
        <v>=11.48*100000000</v>
      </c>
      <c r="BJ627" s="1">
        <f>11.48*100000000</f>
        <v>1148000000</v>
      </c>
      <c r="BK627" s="6" t="s">
        <v>5485</v>
      </c>
      <c r="BL627" s="1" t="str">
        <f t="shared" si="280"/>
        <v>=4.557*100000000</v>
      </c>
      <c r="BM627" s="16">
        <f t="shared" si="309"/>
        <v>1.5192012288786481</v>
      </c>
      <c r="BN627" s="1">
        <f>4.557*100000000</f>
        <v>455700000.00000006</v>
      </c>
    </row>
    <row r="628" spans="1:66">
      <c r="A628" s="18"/>
      <c r="B628">
        <v>600535</v>
      </c>
      <c r="C628" t="s">
        <v>58</v>
      </c>
      <c r="D628" s="6" t="s">
        <v>7425</v>
      </c>
      <c r="E628" s="7" t="str">
        <f t="shared" si="279"/>
        <v>=27.24*100000000</v>
      </c>
      <c r="F628" s="1">
        <f>27.24*100000000</f>
        <v>2724000000</v>
      </c>
      <c r="G628" s="8">
        <f t="shared" si="281"/>
        <v>0.6089781453041937</v>
      </c>
      <c r="H628" s="6" t="s">
        <v>3059</v>
      </c>
      <c r="I628" s="6" t="str">
        <f t="shared" si="282"/>
        <v>=16.93*100000000</v>
      </c>
      <c r="J628" s="1">
        <f>16.93*100000000</f>
        <v>1693000000</v>
      </c>
      <c r="K628" s="10">
        <f t="shared" si="283"/>
        <v>0.43840271877655057</v>
      </c>
      <c r="L628" s="6" t="s">
        <v>7426</v>
      </c>
      <c r="M628" s="6" t="str">
        <f t="shared" si="284"/>
        <v>=11.77*100000000</v>
      </c>
      <c r="N628" s="1">
        <f>11.77*100000000</f>
        <v>1177000000</v>
      </c>
      <c r="O628" s="8">
        <f t="shared" si="285"/>
        <v>2.119533527696793</v>
      </c>
      <c r="P628" s="6" t="s">
        <v>7427</v>
      </c>
      <c r="Q628" s="6" t="str">
        <f t="shared" si="286"/>
        <v>=3.773*100000000</v>
      </c>
      <c r="R628" s="11">
        <f>3.773*100000000</f>
        <v>377300000</v>
      </c>
      <c r="S628" s="8">
        <f t="shared" si="287"/>
        <v>-0.74104323953328755</v>
      </c>
      <c r="T628" s="6" t="s">
        <v>1504</v>
      </c>
      <c r="U628" s="6" t="str">
        <f t="shared" si="288"/>
        <v>=14.57*100000000</v>
      </c>
      <c r="V628" s="1">
        <f>14.57*100000000</f>
        <v>1457000000</v>
      </c>
      <c r="W628" s="8">
        <f t="shared" si="289"/>
        <v>2.7529249827942187E-3</v>
      </c>
      <c r="X628" s="6" t="s">
        <v>7428</v>
      </c>
      <c r="Y628" s="6" t="str">
        <f t="shared" si="290"/>
        <v>=14.53*100000000</v>
      </c>
      <c r="Z628" s="1">
        <f>14.53*100000000</f>
        <v>1453000000</v>
      </c>
      <c r="AA628" s="8">
        <f t="shared" si="291"/>
        <v>0.65376735715911682</v>
      </c>
      <c r="AB628" s="6" t="s">
        <v>7429</v>
      </c>
      <c r="AC628" s="6" t="str">
        <f t="shared" si="292"/>
        <v>=8.786*100000000</v>
      </c>
      <c r="AD628" s="1">
        <f>8.786*100000000</f>
        <v>878600000</v>
      </c>
      <c r="AE628" s="8">
        <f t="shared" si="293"/>
        <v>1.4405555555555556</v>
      </c>
      <c r="AF628" s="6" t="s">
        <v>7430</v>
      </c>
      <c r="AG628" s="6" t="str">
        <f t="shared" si="294"/>
        <v>=3.600*100000000</v>
      </c>
      <c r="AH628" s="1">
        <f>3.6*100000000</f>
        <v>360000000</v>
      </c>
      <c r="AI628" s="8">
        <f t="shared" si="295"/>
        <v>-0.72952667167543206</v>
      </c>
      <c r="AJ628" s="6" t="s">
        <v>2291</v>
      </c>
      <c r="AK628" s="6" t="str">
        <f t="shared" si="296"/>
        <v>=13.31*100000000</v>
      </c>
      <c r="AL628" s="1">
        <f>13.31*100000000</f>
        <v>1331000000</v>
      </c>
      <c r="AM628" s="8">
        <f t="shared" si="297"/>
        <v>-5.1318602993585177E-2</v>
      </c>
      <c r="AN628" s="6" t="s">
        <v>6219</v>
      </c>
      <c r="AO628" s="6" t="str">
        <f t="shared" si="298"/>
        <v>=14.03*100000000</v>
      </c>
      <c r="AP628" s="1">
        <f>14.03*100000000</f>
        <v>1403000000</v>
      </c>
      <c r="AQ628" s="8">
        <f t="shared" si="299"/>
        <v>0.27313974591651541</v>
      </c>
      <c r="AR628" s="6" t="s">
        <v>7422</v>
      </c>
      <c r="AS628" s="6" t="str">
        <f t="shared" si="300"/>
        <v>=11.02*100000000</v>
      </c>
      <c r="AT628" s="1">
        <f>11.02*100000000</f>
        <v>1102000000</v>
      </c>
      <c r="AU628" s="8">
        <f t="shared" si="301"/>
        <v>1.0036363636363637</v>
      </c>
      <c r="AV628" s="6" t="s">
        <v>7431</v>
      </c>
      <c r="AW628" s="6" t="str">
        <f t="shared" si="302"/>
        <v>=5.500*100000000</v>
      </c>
      <c r="AX628" s="1">
        <f>5.5*100000000</f>
        <v>550000000</v>
      </c>
      <c r="AY628" s="10">
        <f t="shared" si="303"/>
        <v>-0.71881390593047034</v>
      </c>
      <c r="AZ628" s="6" t="s">
        <v>2452</v>
      </c>
      <c r="BA628" s="6" t="str">
        <f t="shared" si="304"/>
        <v>=19.56*100000000</v>
      </c>
      <c r="BB628" s="1">
        <f>19.56*100000000</f>
        <v>1955999999.9999998</v>
      </c>
      <c r="BC628" s="8">
        <f t="shared" si="305"/>
        <v>0.16497915425848705</v>
      </c>
      <c r="BD628" s="6" t="s">
        <v>7432</v>
      </c>
      <c r="BE628" s="6" t="str">
        <f t="shared" si="306"/>
        <v>=16.79*100000000</v>
      </c>
      <c r="BF628" s="1">
        <f>16.79*100000000</f>
        <v>1679000000</v>
      </c>
      <c r="BG628" s="8">
        <f t="shared" si="307"/>
        <v>0.46</v>
      </c>
      <c r="BH628" s="6" t="s">
        <v>910</v>
      </c>
      <c r="BI628" s="6" t="str">
        <f t="shared" si="308"/>
        <v>=11.50*100000000</v>
      </c>
      <c r="BJ628" s="1">
        <f>11.5*100000000</f>
        <v>1150000000</v>
      </c>
      <c r="BK628" s="6" t="s">
        <v>7433</v>
      </c>
      <c r="BL628" s="1" t="str">
        <f t="shared" si="280"/>
        <v>=4.560*100000000</v>
      </c>
      <c r="BM628" s="16">
        <f t="shared" si="309"/>
        <v>1.5219298245614037</v>
      </c>
      <c r="BN628" s="1">
        <f>4.56*100000000</f>
        <v>455999999.99999994</v>
      </c>
    </row>
    <row r="629" spans="1:66">
      <c r="A629" s="19"/>
      <c r="B629">
        <v>600535</v>
      </c>
      <c r="C629" t="s">
        <v>68</v>
      </c>
      <c r="D629" s="6" t="s">
        <v>1365</v>
      </c>
      <c r="E629" s="7" t="str">
        <f t="shared" si="279"/>
        <v>=24.08*100000000</v>
      </c>
      <c r="F629" s="1">
        <f>24.08*100000000</f>
        <v>2408000000</v>
      </c>
      <c r="G629" s="8">
        <f t="shared" si="281"/>
        <v>0.62045760430686403</v>
      </c>
      <c r="H629" s="6" t="s">
        <v>1111</v>
      </c>
      <c r="I629" s="6" t="str">
        <f t="shared" si="282"/>
        <v>=14.86*100000000</v>
      </c>
      <c r="J629" s="1">
        <f>14.86*100000000</f>
        <v>1486000000</v>
      </c>
      <c r="K629" s="10">
        <f t="shared" si="283"/>
        <v>0.45543584720861885</v>
      </c>
      <c r="L629" s="6" t="s">
        <v>1390</v>
      </c>
      <c r="M629" s="6" t="str">
        <f t="shared" si="284"/>
        <v>=10.21*100000000</v>
      </c>
      <c r="N629" s="1">
        <f>10.21*100000000</f>
        <v>1021000000.0000001</v>
      </c>
      <c r="O629" s="8">
        <f t="shared" si="285"/>
        <v>2.1619696500464545</v>
      </c>
      <c r="P629" s="6" t="s">
        <v>7434</v>
      </c>
      <c r="Q629" s="6" t="str">
        <f t="shared" si="286"/>
        <v>=3.229*100000000</v>
      </c>
      <c r="R629" s="11">
        <f>3.229*100000000</f>
        <v>322900000</v>
      </c>
      <c r="S629" s="8">
        <f t="shared" si="287"/>
        <v>-0.70376146788990823</v>
      </c>
      <c r="T629" s="6" t="s">
        <v>7435</v>
      </c>
      <c r="U629" s="6" t="str">
        <f t="shared" si="288"/>
        <v>=10.90*100000000</v>
      </c>
      <c r="V629" s="1">
        <f>10.9*100000000</f>
        <v>1090000000</v>
      </c>
      <c r="W629" s="8">
        <f t="shared" si="289"/>
        <v>-1.8901890189018902E-2</v>
      </c>
      <c r="X629" s="6" t="s">
        <v>4104</v>
      </c>
      <c r="Y629" s="6" t="str">
        <f t="shared" si="290"/>
        <v>=11.11*100000000</v>
      </c>
      <c r="Z629" s="1">
        <f>11.11*100000000</f>
        <v>1111000000</v>
      </c>
      <c r="AA629" s="8">
        <f t="shared" si="291"/>
        <v>0.60572337042925273</v>
      </c>
      <c r="AB629" s="6" t="s">
        <v>2135</v>
      </c>
      <c r="AC629" s="6" t="str">
        <f t="shared" si="292"/>
        <v>=6.919*100000000</v>
      </c>
      <c r="AD629" s="1">
        <f>6.919*100000000</f>
        <v>691900000</v>
      </c>
      <c r="AE629" s="8">
        <f t="shared" si="293"/>
        <v>1.3662790697674418</v>
      </c>
      <c r="AF629" s="6" t="s">
        <v>5039</v>
      </c>
      <c r="AG629" s="6" t="str">
        <f t="shared" si="294"/>
        <v>=2.924*100000000</v>
      </c>
      <c r="AH629" s="1">
        <f>2.924*100000000</f>
        <v>292400000</v>
      </c>
      <c r="AI629" s="8">
        <f t="shared" si="295"/>
        <v>-0.70847457627118637</v>
      </c>
      <c r="AJ629" s="6" t="s">
        <v>1121</v>
      </c>
      <c r="AK629" s="6" t="str">
        <f t="shared" si="296"/>
        <v>=10.03*100000000</v>
      </c>
      <c r="AL629" s="1">
        <f>10.03*100000000</f>
        <v>1002999999.9999999</v>
      </c>
      <c r="AM629" s="8">
        <f t="shared" si="297"/>
        <v>-0.12554489973844823</v>
      </c>
      <c r="AN629" s="6" t="s">
        <v>3749</v>
      </c>
      <c r="AO629" s="6" t="str">
        <f t="shared" si="298"/>
        <v>=11.47*100000000</v>
      </c>
      <c r="AP629" s="1">
        <f>11.47*100000000</f>
        <v>1147000000</v>
      </c>
      <c r="AQ629" s="8">
        <f t="shared" si="299"/>
        <v>0.26852466268524661</v>
      </c>
      <c r="AR629" s="6" t="s">
        <v>7436</v>
      </c>
      <c r="AS629" s="6" t="str">
        <f t="shared" si="300"/>
        <v>=9.042*100000000</v>
      </c>
      <c r="AT629" s="1">
        <f>9.042*100000000</f>
        <v>904200000</v>
      </c>
      <c r="AU629" s="8">
        <f t="shared" si="301"/>
        <v>0.99779054352629248</v>
      </c>
      <c r="AV629" s="6" t="s">
        <v>6484</v>
      </c>
      <c r="AW629" s="6" t="str">
        <f t="shared" si="302"/>
        <v>=4.526*100000000</v>
      </c>
      <c r="AX629" s="1">
        <f>4.526*100000000</f>
        <v>452600000</v>
      </c>
      <c r="AY629" s="10">
        <f t="shared" si="303"/>
        <v>-0.71570351758793971</v>
      </c>
      <c r="AZ629" s="6" t="s">
        <v>7437</v>
      </c>
      <c r="BA629" s="6" t="str">
        <f t="shared" si="304"/>
        <v>=15.92*100000000</v>
      </c>
      <c r="BB629" s="1">
        <f>15.92*100000000</f>
        <v>1592000000</v>
      </c>
      <c r="BC629" s="8">
        <f t="shared" si="305"/>
        <v>0.14285714285714285</v>
      </c>
      <c r="BD629" s="6" t="s">
        <v>1345</v>
      </c>
      <c r="BE629" s="6" t="str">
        <f t="shared" si="306"/>
        <v>=13.93*100000000</v>
      </c>
      <c r="BF629" s="1">
        <f>13.93*100000000</f>
        <v>1393000000</v>
      </c>
      <c r="BG629" s="8">
        <f t="shared" si="307"/>
        <v>0.47986826728991822</v>
      </c>
      <c r="BH629" s="6" t="s">
        <v>7438</v>
      </c>
      <c r="BI629" s="6" t="str">
        <f t="shared" si="308"/>
        <v>=9.413*100000000</v>
      </c>
      <c r="BJ629" s="1">
        <f>9.413*100000000</f>
        <v>941300000</v>
      </c>
      <c r="BK629" s="6" t="s">
        <v>7439</v>
      </c>
      <c r="BL629" s="1" t="str">
        <f t="shared" si="280"/>
        <v>=3.765*100000000</v>
      </c>
      <c r="BM629" s="16">
        <f t="shared" si="309"/>
        <v>1.5001328021248339</v>
      </c>
      <c r="BN629" s="1">
        <f>3.765*100000000</f>
        <v>376500000</v>
      </c>
    </row>
    <row r="630" spans="1:66">
      <c r="A630" s="17">
        <v>158</v>
      </c>
      <c r="B630">
        <v>600538</v>
      </c>
      <c r="C630" t="s">
        <v>31</v>
      </c>
      <c r="D630" s="6" t="s">
        <v>7440</v>
      </c>
      <c r="E630" s="7" t="str">
        <f t="shared" si="279"/>
        <v>=4.247*100000000</v>
      </c>
      <c r="F630" s="1">
        <f>4.247*100000000</f>
        <v>424700000</v>
      </c>
      <c r="G630" s="8">
        <f t="shared" si="281"/>
        <v>0.39428759028233751</v>
      </c>
      <c r="H630" s="6" t="s">
        <v>7441</v>
      </c>
      <c r="I630" s="6" t="str">
        <f t="shared" si="282"/>
        <v>=3.046*100000000</v>
      </c>
      <c r="J630" s="1">
        <f>3.046*100000000</f>
        <v>304600000</v>
      </c>
      <c r="K630" s="10">
        <f t="shared" si="283"/>
        <v>0.60231457127827459</v>
      </c>
      <c r="L630" s="6" t="s">
        <v>7442</v>
      </c>
      <c r="M630" s="6" t="str">
        <f t="shared" si="284"/>
        <v>=1.901*100000000</v>
      </c>
      <c r="N630" s="1">
        <f>1.901*100000000</f>
        <v>190100000</v>
      </c>
      <c r="O630" s="8">
        <f t="shared" si="285"/>
        <v>1.02212530581853</v>
      </c>
      <c r="P630" s="7" t="s">
        <v>7443</v>
      </c>
      <c r="Q630" s="6" t="str">
        <f t="shared" si="286"/>
        <v>=9401*10000</v>
      </c>
      <c r="R630" s="11">
        <f>9401*10000</f>
        <v>94010000</v>
      </c>
      <c r="S630" s="8">
        <f t="shared" si="287"/>
        <v>-0.64882330967500934</v>
      </c>
      <c r="T630" s="6" t="s">
        <v>7444</v>
      </c>
      <c r="U630" s="6" t="str">
        <f t="shared" si="288"/>
        <v>=2.677*100000000</v>
      </c>
      <c r="V630" s="1">
        <f>2.677*100000000</f>
        <v>267700000</v>
      </c>
      <c r="W630" s="8">
        <f t="shared" si="289"/>
        <v>0.47655819084390511</v>
      </c>
      <c r="X630" s="6" t="s">
        <v>1501</v>
      </c>
      <c r="Y630" s="6" t="str">
        <f t="shared" si="290"/>
        <v>=1.813*100000000</v>
      </c>
      <c r="Z630" s="1">
        <f>1.813*100000000</f>
        <v>181300000</v>
      </c>
      <c r="AA630" s="8">
        <f t="shared" si="291"/>
        <v>0.54297872340425535</v>
      </c>
      <c r="AB630" s="6" t="s">
        <v>5315</v>
      </c>
      <c r="AC630" s="6" t="str">
        <f t="shared" si="292"/>
        <v>=1.175*100000000</v>
      </c>
      <c r="AD630" s="1">
        <f>1.175*100000000</f>
        <v>117500000</v>
      </c>
      <c r="AE630" s="8">
        <f t="shared" si="293"/>
        <v>0.99592322065568206</v>
      </c>
      <c r="AF630" s="7" t="s">
        <v>7445</v>
      </c>
      <c r="AG630" s="6" t="str">
        <f t="shared" si="294"/>
        <v>=5887*10000</v>
      </c>
      <c r="AH630" s="1">
        <f>5887*10000</f>
        <v>58870000</v>
      </c>
      <c r="AI630" s="8">
        <f t="shared" si="295"/>
        <v>-0.76564490445859867</v>
      </c>
      <c r="AJ630" s="6" t="s">
        <v>4747</v>
      </c>
      <c r="AK630" s="6" t="str">
        <f t="shared" si="296"/>
        <v>=2.512*100000000</v>
      </c>
      <c r="AL630" s="1">
        <f>2.512*100000000</f>
        <v>251200000</v>
      </c>
      <c r="AM630" s="8">
        <f t="shared" si="297"/>
        <v>0.37267759562841529</v>
      </c>
      <c r="AN630" s="6" t="s">
        <v>6963</v>
      </c>
      <c r="AO630" s="6" t="str">
        <f t="shared" si="298"/>
        <v>=1.830*100000000</v>
      </c>
      <c r="AP630" s="1">
        <f>1.83*100000000</f>
        <v>183000000</v>
      </c>
      <c r="AQ630" s="8">
        <f t="shared" si="299"/>
        <v>0.63392857142857117</v>
      </c>
      <c r="AR630" s="6" t="s">
        <v>7446</v>
      </c>
      <c r="AS630" s="6" t="str">
        <f t="shared" si="300"/>
        <v>=1.120*100000000</v>
      </c>
      <c r="AT630" s="1">
        <f>1.12*100000000</f>
        <v>112000000.00000001</v>
      </c>
      <c r="AU630" s="8">
        <f t="shared" si="301"/>
        <v>1.0147508544702288</v>
      </c>
      <c r="AV630" s="7" t="s">
        <v>7447</v>
      </c>
      <c r="AW630" s="6" t="str">
        <f t="shared" si="302"/>
        <v>=5559*10000</v>
      </c>
      <c r="AX630" s="1">
        <f>5559*10000</f>
        <v>55590000</v>
      </c>
      <c r="AY630" s="10">
        <f t="shared" si="303"/>
        <v>-0.75238307349665923</v>
      </c>
      <c r="AZ630" s="6" t="s">
        <v>7448</v>
      </c>
      <c r="BA630" s="6" t="str">
        <f t="shared" si="304"/>
        <v>=2.245*100000000</v>
      </c>
      <c r="BB630" s="1">
        <f>2.245*100000000</f>
        <v>224500000</v>
      </c>
      <c r="BC630" s="8">
        <f t="shared" si="305"/>
        <v>0.38068880688806889</v>
      </c>
      <c r="BD630" s="6" t="s">
        <v>5818</v>
      </c>
      <c r="BE630" s="6" t="str">
        <f t="shared" si="306"/>
        <v>=1.626*100000000</v>
      </c>
      <c r="BF630" s="1">
        <f>1.626*100000000</f>
        <v>162600000</v>
      </c>
      <c r="BG630" s="8">
        <f t="shared" si="307"/>
        <v>0.58325219084712776</v>
      </c>
      <c r="BH630" s="6" t="s">
        <v>3884</v>
      </c>
      <c r="BI630" s="6" t="str">
        <f t="shared" si="308"/>
        <v>=1.027*100000000</v>
      </c>
      <c r="BJ630" s="1">
        <f>1.027*100000000</f>
        <v>102699999.99999999</v>
      </c>
      <c r="BK630" s="7" t="s">
        <v>5605</v>
      </c>
      <c r="BL630" s="1" t="str">
        <f t="shared" si="280"/>
        <v>=4858*10000</v>
      </c>
      <c r="BM630" s="16">
        <f t="shared" si="309"/>
        <v>1.1140386990531079</v>
      </c>
      <c r="BN630" s="1">
        <f>4858*10000</f>
        <v>48580000</v>
      </c>
    </row>
    <row r="631" spans="1:66">
      <c r="A631" s="18"/>
      <c r="B631">
        <v>600538</v>
      </c>
      <c r="C631" t="s">
        <v>48</v>
      </c>
      <c r="D631" s="7" t="s">
        <v>2008</v>
      </c>
      <c r="E631" s="7" t="str">
        <f t="shared" si="279"/>
        <v>=1516*10000</v>
      </c>
      <c r="F631" s="1">
        <f>1516*10000</f>
        <v>15160000</v>
      </c>
      <c r="G631" s="8">
        <f t="shared" si="281"/>
        <v>0.21571772253408181</v>
      </c>
      <c r="H631" s="7" t="s">
        <v>7449</v>
      </c>
      <c r="I631" s="6" t="str">
        <f t="shared" si="282"/>
        <v>=1247*10000</v>
      </c>
      <c r="J631" s="1">
        <f>1247*10000</f>
        <v>12470000</v>
      </c>
      <c r="K631" s="10">
        <f t="shared" si="283"/>
        <v>0.5054931787999517</v>
      </c>
      <c r="L631" s="7" t="s">
        <v>7450</v>
      </c>
      <c r="M631" s="6" t="str">
        <f t="shared" si="284"/>
        <v>=828.3*10000</v>
      </c>
      <c r="N631" s="1">
        <f>828.3*10000</f>
        <v>8283000</v>
      </c>
      <c r="O631" s="8">
        <f t="shared" si="285"/>
        <v>0.63019090730171223</v>
      </c>
      <c r="P631" s="7" t="s">
        <v>7451</v>
      </c>
      <c r="Q631" s="6" t="str">
        <f t="shared" si="286"/>
        <v>=508.1*10000</v>
      </c>
      <c r="R631" s="11">
        <f>508.1*10000</f>
        <v>5081000</v>
      </c>
      <c r="S631" s="8">
        <f t="shared" si="287"/>
        <v>-0.42411878046016094</v>
      </c>
      <c r="T631" s="7" t="s">
        <v>7452</v>
      </c>
      <c r="U631" s="6" t="str">
        <f t="shared" si="288"/>
        <v>=882.3*10000</v>
      </c>
      <c r="V631" s="1">
        <f>882.3*10000</f>
        <v>8823000</v>
      </c>
      <c r="W631" s="8">
        <f t="shared" si="289"/>
        <v>-3.6687840290381124</v>
      </c>
      <c r="X631" s="7">
        <f>-330.6*10000</f>
        <v>-3306000</v>
      </c>
      <c r="Y631" s="6" t="str">
        <f t="shared" si="290"/>
        <v>=-3306000</v>
      </c>
      <c r="Z631" s="1">
        <f>-3306000</f>
        <v>-3306000</v>
      </c>
      <c r="AA631" s="8">
        <f t="shared" si="291"/>
        <v>0.31713147410358566</v>
      </c>
      <c r="AB631" s="7">
        <f>-251*10000</f>
        <v>-2510000</v>
      </c>
      <c r="AC631" s="6" t="str">
        <f t="shared" si="292"/>
        <v>=-2510000</v>
      </c>
      <c r="AD631" s="1">
        <f>-2510000</f>
        <v>-2510000</v>
      </c>
      <c r="AE631" s="8">
        <f t="shared" si="293"/>
        <v>-2.3867403314917128</v>
      </c>
      <c r="AF631" s="7" t="s">
        <v>7453</v>
      </c>
      <c r="AG631" s="6" t="str">
        <f t="shared" si="294"/>
        <v>=181.0*10000</v>
      </c>
      <c r="AH631" s="1">
        <f>181*10000</f>
        <v>1810000</v>
      </c>
      <c r="AI631" s="8">
        <f t="shared" si="295"/>
        <v>-0.81080798578446744</v>
      </c>
      <c r="AJ631" s="7" t="s">
        <v>7454</v>
      </c>
      <c r="AK631" s="6" t="str">
        <f t="shared" si="296"/>
        <v>=956.7*10000</v>
      </c>
      <c r="AL631" s="1">
        <f>956.7*10000</f>
        <v>9567000</v>
      </c>
      <c r="AM631" s="8">
        <f t="shared" si="297"/>
        <v>-2.5161648177496039</v>
      </c>
      <c r="AN631" s="7">
        <f>-631*10000</f>
        <v>-6310000</v>
      </c>
      <c r="AO631" s="6" t="str">
        <f t="shared" si="298"/>
        <v>=-6310000</v>
      </c>
      <c r="AP631" s="1">
        <f>-6310000</f>
        <v>-6310000</v>
      </c>
      <c r="AQ631" s="8">
        <f t="shared" si="299"/>
        <v>0.20997123681687441</v>
      </c>
      <c r="AR631" s="7">
        <f>-521.5*10000</f>
        <v>-5215000</v>
      </c>
      <c r="AS631" s="6" t="str">
        <f t="shared" si="300"/>
        <v>=-5215000</v>
      </c>
      <c r="AT631" s="1">
        <f>-5215000</f>
        <v>-5215000</v>
      </c>
      <c r="AU631" s="8">
        <f t="shared" si="301"/>
        <v>-5.5034542314335058</v>
      </c>
      <c r="AV631" s="7" t="s">
        <v>7455</v>
      </c>
      <c r="AW631" s="6" t="str">
        <f t="shared" si="302"/>
        <v>=115.8*10000</v>
      </c>
      <c r="AX631" s="1">
        <f>115.8*10000</f>
        <v>1158000</v>
      </c>
      <c r="AY631" s="10">
        <f t="shared" si="303"/>
        <v>-1.0559420289855073</v>
      </c>
      <c r="AZ631" s="7">
        <f>-2070*10000</f>
        <v>-20700000</v>
      </c>
      <c r="BA631" s="6" t="str">
        <f t="shared" si="304"/>
        <v>=-20700000</v>
      </c>
      <c r="BB631" s="1">
        <f>-20700000</f>
        <v>-20700000</v>
      </c>
      <c r="BC631" s="8">
        <f t="shared" si="305"/>
        <v>2.7425420357982282</v>
      </c>
      <c r="BD631" s="7">
        <f>-553.1*10000</f>
        <v>-5531000</v>
      </c>
      <c r="BE631" s="6" t="str">
        <f t="shared" si="306"/>
        <v>=-5531000</v>
      </c>
      <c r="BF631" s="1">
        <f>-5531000</f>
        <v>-5531000</v>
      </c>
      <c r="BG631" s="8">
        <f t="shared" si="307"/>
        <v>1.2262079062957541E-2</v>
      </c>
      <c r="BH631" s="7">
        <f>-546.4*10000</f>
        <v>-5464000</v>
      </c>
      <c r="BI631" s="6" t="str">
        <f t="shared" si="308"/>
        <v>=-5464000</v>
      </c>
      <c r="BJ631" s="1">
        <f>-5464000</f>
        <v>-5464000</v>
      </c>
      <c r="BK631" s="7" t="s">
        <v>7456</v>
      </c>
      <c r="BL631" s="1" t="str">
        <f t="shared" si="280"/>
        <v>=30.81*10000</v>
      </c>
      <c r="BM631" s="16">
        <f t="shared" si="309"/>
        <v>-18.734501785134697</v>
      </c>
      <c r="BN631" s="1">
        <f>30.81*10000</f>
        <v>308100</v>
      </c>
    </row>
    <row r="632" spans="1:66">
      <c r="A632" s="18"/>
      <c r="B632">
        <v>600538</v>
      </c>
      <c r="C632" t="s">
        <v>58</v>
      </c>
      <c r="D632" s="7" t="s">
        <v>7457</v>
      </c>
      <c r="E632" s="7" t="str">
        <f t="shared" si="279"/>
        <v>=1579*10000</v>
      </c>
      <c r="F632" s="1">
        <f>1579*10000</f>
        <v>15790000</v>
      </c>
      <c r="G632" s="8">
        <f t="shared" si="281"/>
        <v>0.23455824863174354</v>
      </c>
      <c r="H632" s="7" t="s">
        <v>7458</v>
      </c>
      <c r="I632" s="6" t="str">
        <f t="shared" si="282"/>
        <v>=1279*10000</v>
      </c>
      <c r="J632" s="1">
        <f>1279*10000</f>
        <v>12790000</v>
      </c>
      <c r="K632" s="10">
        <f t="shared" si="283"/>
        <v>0.5536929057337221</v>
      </c>
      <c r="L632" s="7" t="s">
        <v>7459</v>
      </c>
      <c r="M632" s="6" t="str">
        <f t="shared" si="284"/>
        <v>=823.2*10000</v>
      </c>
      <c r="N632" s="1">
        <f>823.2*10000</f>
        <v>8232000</v>
      </c>
      <c r="O632" s="8">
        <f t="shared" si="285"/>
        <v>0.61253672869735554</v>
      </c>
      <c r="P632" s="7" t="s">
        <v>7460</v>
      </c>
      <c r="Q632" s="6" t="str">
        <f t="shared" si="286"/>
        <v>=510.5*10000</v>
      </c>
      <c r="R632" s="11">
        <f>510.5*10000</f>
        <v>5105000</v>
      </c>
      <c r="S632" s="8">
        <f t="shared" si="287"/>
        <v>-0.46667363142498958</v>
      </c>
      <c r="T632" s="7" t="s">
        <v>7461</v>
      </c>
      <c r="U632" s="6" t="str">
        <f t="shared" si="288"/>
        <v>=957.2*10000</v>
      </c>
      <c r="V632" s="1">
        <f>957.2*10000</f>
        <v>9572000</v>
      </c>
      <c r="W632" s="8">
        <f t="shared" si="289"/>
        <v>-3.7569124423963132</v>
      </c>
      <c r="X632" s="7">
        <f>-347.2*10000</f>
        <v>-3472000</v>
      </c>
      <c r="Y632" s="6" t="str">
        <f t="shared" si="290"/>
        <v>=-3472000</v>
      </c>
      <c r="Z632" s="1">
        <f>-3472000</f>
        <v>-3472000</v>
      </c>
      <c r="AA632" s="8">
        <f t="shared" si="291"/>
        <v>0.24355300859598855</v>
      </c>
      <c r="AB632" s="7">
        <f>-279.2*10000</f>
        <v>-2792000</v>
      </c>
      <c r="AC632" s="6" t="str">
        <f t="shared" si="292"/>
        <v>=-2792000</v>
      </c>
      <c r="AD632" s="1">
        <f>-2792000</f>
        <v>-2792000</v>
      </c>
      <c r="AE632" s="8">
        <f t="shared" si="293"/>
        <v>-2.8200782268578877</v>
      </c>
      <c r="AF632" s="7" t="s">
        <v>7462</v>
      </c>
      <c r="AG632" s="6" t="str">
        <f t="shared" si="294"/>
        <v>=153.4*10000</v>
      </c>
      <c r="AH632" s="1">
        <f>153.4*10000</f>
        <v>1534000</v>
      </c>
      <c r="AI632" s="8">
        <f t="shared" si="295"/>
        <v>-0.85264169068203655</v>
      </c>
      <c r="AJ632" s="7" t="s">
        <v>3821</v>
      </c>
      <c r="AK632" s="6" t="str">
        <f t="shared" si="296"/>
        <v>=1041*10000</v>
      </c>
      <c r="AL632" s="1">
        <f>1041*10000</f>
        <v>10410000</v>
      </c>
      <c r="AM632" s="8">
        <f t="shared" si="297"/>
        <v>-2.9072920483693663</v>
      </c>
      <c r="AN632" s="7">
        <f>-545.8*10000</f>
        <v>-5458000</v>
      </c>
      <c r="AO632" s="6" t="str">
        <f t="shared" si="298"/>
        <v>=-5458000</v>
      </c>
      <c r="AP632" s="1">
        <f>-5458000</f>
        <v>-5458000</v>
      </c>
      <c r="AQ632" s="8">
        <f t="shared" si="299"/>
        <v>0.24925612268253605</v>
      </c>
      <c r="AR632" s="7">
        <f>-436.9*10000</f>
        <v>-4369000</v>
      </c>
      <c r="AS632" s="6" t="str">
        <f t="shared" si="300"/>
        <v>=-4369000</v>
      </c>
      <c r="AT632" s="1">
        <f>-4369000</f>
        <v>-4369000</v>
      </c>
      <c r="AU632" s="8">
        <f t="shared" si="301"/>
        <v>-3.1714711729622267</v>
      </c>
      <c r="AV632" s="7" t="s">
        <v>7463</v>
      </c>
      <c r="AW632" s="6" t="str">
        <f t="shared" si="302"/>
        <v>=201.2*10000</v>
      </c>
      <c r="AX632" s="1">
        <f>201.2*10000</f>
        <v>2012000</v>
      </c>
      <c r="AY632" s="10">
        <f t="shared" si="303"/>
        <v>-1.0950850661625708</v>
      </c>
      <c r="AZ632" s="7">
        <f>-2116*10000</f>
        <v>-21160000</v>
      </c>
      <c r="BA632" s="6" t="str">
        <f t="shared" si="304"/>
        <v>=-21160000</v>
      </c>
      <c r="BB632" s="1">
        <f>-21160000</f>
        <v>-21160000</v>
      </c>
      <c r="BC632" s="8">
        <f t="shared" si="305"/>
        <v>2.8947174673292841</v>
      </c>
      <c r="BD632" s="7">
        <f>-543.3*10000</f>
        <v>-5433000</v>
      </c>
      <c r="BE632" s="6" t="str">
        <f t="shared" si="306"/>
        <v>=-5433000</v>
      </c>
      <c r="BF632" s="1">
        <f>-5433000</f>
        <v>-5433000</v>
      </c>
      <c r="BG632" s="8">
        <f t="shared" si="307"/>
        <v>1.0414729403012832E-2</v>
      </c>
      <c r="BH632" s="7">
        <f>-537.7*10000</f>
        <v>-5377000</v>
      </c>
      <c r="BI632" s="6" t="str">
        <f t="shared" si="308"/>
        <v>=-5377000</v>
      </c>
      <c r="BJ632" s="1">
        <f>-5377000</f>
        <v>-5377000</v>
      </c>
      <c r="BK632" s="7" t="s">
        <v>7464</v>
      </c>
      <c r="BL632" s="1" t="str">
        <f t="shared" si="280"/>
        <v>=37.01*10000</v>
      </c>
      <c r="BM632" s="16">
        <f t="shared" si="309"/>
        <v>-15.528505809240746</v>
      </c>
      <c r="BN632" s="1">
        <f>37.01*10000</f>
        <v>370100</v>
      </c>
    </row>
    <row r="633" spans="1:66">
      <c r="A633" s="19"/>
      <c r="B633">
        <v>600538</v>
      </c>
      <c r="C633" t="s">
        <v>68</v>
      </c>
      <c r="D633" s="7" t="s">
        <v>7465</v>
      </c>
      <c r="E633" s="7" t="str">
        <f t="shared" si="279"/>
        <v>=992.7*10000</v>
      </c>
      <c r="F633" s="1">
        <f>992.7*10000</f>
        <v>9927000</v>
      </c>
      <c r="G633" s="8">
        <f t="shared" si="281"/>
        <v>0.19544797687861271</v>
      </c>
      <c r="H633" s="7" t="s">
        <v>7466</v>
      </c>
      <c r="I633" s="6" t="str">
        <f t="shared" si="282"/>
        <v>=830.4*10000</v>
      </c>
      <c r="J633" s="1">
        <f>830.4*10000</f>
        <v>8304000</v>
      </c>
      <c r="K633" s="10">
        <f t="shared" si="283"/>
        <v>0.61682242990654201</v>
      </c>
      <c r="L633" s="7" t="s">
        <v>7467</v>
      </c>
      <c r="M633" s="6" t="str">
        <f t="shared" si="284"/>
        <v>=513.6*10000</v>
      </c>
      <c r="N633" s="1">
        <f>513.6*10000</f>
        <v>5136000</v>
      </c>
      <c r="O633" s="8">
        <f t="shared" si="285"/>
        <v>0.36632083000798082</v>
      </c>
      <c r="P633" s="7" t="s">
        <v>7468</v>
      </c>
      <c r="Q633" s="6" t="str">
        <f t="shared" si="286"/>
        <v>=375.9*10000</v>
      </c>
      <c r="R633" s="11">
        <f>375.9*10000</f>
        <v>3759000</v>
      </c>
      <c r="S633" s="8">
        <f t="shared" si="287"/>
        <v>0.17432052483598875</v>
      </c>
      <c r="T633" s="7" t="s">
        <v>7469</v>
      </c>
      <c r="U633" s="6" t="str">
        <f t="shared" si="288"/>
        <v>=320.1*10000</v>
      </c>
      <c r="V633" s="1">
        <f>320.1*10000</f>
        <v>3201000</v>
      </c>
      <c r="W633" s="8">
        <f t="shared" si="289"/>
        <v>-1.603734439834025</v>
      </c>
      <c r="X633" s="7">
        <f>-530.2*10000</f>
        <v>-5302000</v>
      </c>
      <c r="Y633" s="6" t="str">
        <f t="shared" si="290"/>
        <v>=-5302000</v>
      </c>
      <c r="Z633" s="1">
        <f>-5302000</f>
        <v>-5302000</v>
      </c>
      <c r="AA633" s="8">
        <f t="shared" si="291"/>
        <v>0.39452919516044188</v>
      </c>
      <c r="AB633" s="7">
        <f>-380.2*10000</f>
        <v>-3802000</v>
      </c>
      <c r="AC633" s="6" t="str">
        <f t="shared" si="292"/>
        <v>=-3802000</v>
      </c>
      <c r="AD633" s="1">
        <f>-3802000</f>
        <v>-3802000</v>
      </c>
      <c r="AE633" s="8">
        <f t="shared" si="293"/>
        <v>-4.687681862269641</v>
      </c>
      <c r="AF633" s="7" t="s">
        <v>7470</v>
      </c>
      <c r="AG633" s="6" t="str">
        <f t="shared" si="294"/>
        <v>=103.1*10000</v>
      </c>
      <c r="AH633" s="1">
        <f>103.1*10000</f>
        <v>1031000</v>
      </c>
      <c r="AI633" s="8">
        <f t="shared" si="295"/>
        <v>-0.82141001212541143</v>
      </c>
      <c r="AJ633" s="7" t="s">
        <v>7471</v>
      </c>
      <c r="AK633" s="6" t="str">
        <f t="shared" si="296"/>
        <v>=577.3*10000</v>
      </c>
      <c r="AL633" s="1">
        <f>577.3*10000</f>
        <v>5773000</v>
      </c>
      <c r="AM633" s="8">
        <f t="shared" si="297"/>
        <v>-1.9413011576716126</v>
      </c>
      <c r="AN633" s="7">
        <f>-613.3*10000</f>
        <v>-6133000</v>
      </c>
      <c r="AO633" s="6" t="str">
        <f t="shared" si="298"/>
        <v>=-6133000</v>
      </c>
      <c r="AP633" s="1">
        <f>-6133000</f>
        <v>-6133000</v>
      </c>
      <c r="AQ633" s="8">
        <f t="shared" si="299"/>
        <v>0.29197387823888771</v>
      </c>
      <c r="AR633" s="7">
        <f>-474.7*10000</f>
        <v>-4747000</v>
      </c>
      <c r="AS633" s="6" t="str">
        <f t="shared" si="300"/>
        <v>=-4747000</v>
      </c>
      <c r="AT633" s="1">
        <f>-4747000</f>
        <v>-4747000</v>
      </c>
      <c r="AU633" s="8">
        <f t="shared" si="301"/>
        <v>-4.0764744005184701</v>
      </c>
      <c r="AV633" s="7" t="s">
        <v>7472</v>
      </c>
      <c r="AW633" s="6" t="str">
        <f t="shared" si="302"/>
        <v>=154.3*10000</v>
      </c>
      <c r="AX633" s="1">
        <f>154.3*10000</f>
        <v>1543000</v>
      </c>
      <c r="AY633" s="10">
        <f t="shared" si="303"/>
        <v>-1.0714021286441462</v>
      </c>
      <c r="AZ633" s="7">
        <f>-2161*10000</f>
        <v>-21610000</v>
      </c>
      <c r="BA633" s="6" t="str">
        <f t="shared" si="304"/>
        <v>=-21610000</v>
      </c>
      <c r="BB633" s="1">
        <f>-21610000</f>
        <v>-21610000</v>
      </c>
      <c r="BC633" s="8">
        <f t="shared" si="305"/>
        <v>2.6058735191056233</v>
      </c>
      <c r="BD633" s="7">
        <f>-599.3*10000</f>
        <v>-5993000</v>
      </c>
      <c r="BE633" s="6" t="str">
        <f t="shared" si="306"/>
        <v>=-5993000</v>
      </c>
      <c r="BF633" s="1">
        <f>-5993000</f>
        <v>-5993000</v>
      </c>
      <c r="BG633" s="8">
        <f t="shared" si="307"/>
        <v>9.0826356024754279E-2</v>
      </c>
      <c r="BH633" s="7">
        <f>-549.4*10000</f>
        <v>-5494000</v>
      </c>
      <c r="BI633" s="6" t="str">
        <f t="shared" si="308"/>
        <v>=-5494000</v>
      </c>
      <c r="BJ633" s="1">
        <f>-5494000</f>
        <v>-5494000</v>
      </c>
      <c r="BK633" s="7" t="s">
        <v>7473</v>
      </c>
      <c r="BL633" s="1" t="str">
        <f t="shared" si="280"/>
        <v>=12.19*10000</v>
      </c>
      <c r="BM633" s="16">
        <f t="shared" si="309"/>
        <v>-46.069729286300245</v>
      </c>
      <c r="BN633" s="1">
        <f>12.19*10000</f>
        <v>121900</v>
      </c>
    </row>
    <row r="634" spans="1:66">
      <c r="A634" s="17">
        <v>159</v>
      </c>
      <c r="B634">
        <v>600547</v>
      </c>
      <c r="C634" t="s">
        <v>31</v>
      </c>
      <c r="D634" s="6" t="s">
        <v>7474</v>
      </c>
      <c r="E634" s="7" t="str">
        <f t="shared" si="279"/>
        <v>=339.3*100000000</v>
      </c>
      <c r="F634" s="1">
        <f>339.3*100000000</f>
        <v>33930000000</v>
      </c>
      <c r="G634" s="8">
        <f t="shared" si="281"/>
        <v>0.91694915254237286</v>
      </c>
      <c r="H634" s="6" t="s">
        <v>1145</v>
      </c>
      <c r="I634" s="6" t="str">
        <f t="shared" si="282"/>
        <v>=177.0*100000000</v>
      </c>
      <c r="J634" s="1">
        <f>177*100000000</f>
        <v>17700000000</v>
      </c>
      <c r="K634" s="10">
        <f t="shared" si="283"/>
        <v>0.49115417017691659</v>
      </c>
      <c r="L634" s="6" t="s">
        <v>526</v>
      </c>
      <c r="M634" s="6" t="str">
        <f t="shared" si="284"/>
        <v>=118.7*100000000</v>
      </c>
      <c r="N634" s="1">
        <f>118.7*100000000</f>
        <v>11870000000</v>
      </c>
      <c r="O634" s="8">
        <f t="shared" si="285"/>
        <v>0.62669590242565443</v>
      </c>
      <c r="P634" s="6" t="s">
        <v>7475</v>
      </c>
      <c r="Q634" s="6" t="str">
        <f t="shared" si="286"/>
        <v>=72.97*100000000</v>
      </c>
      <c r="R634" s="11">
        <f>72.97*100000000</f>
        <v>7297000000</v>
      </c>
      <c r="S634" s="8">
        <f t="shared" si="287"/>
        <v>-0.88537543198240654</v>
      </c>
      <c r="T634" s="6" t="s">
        <v>7476</v>
      </c>
      <c r="U634" s="6" t="str">
        <f t="shared" si="288"/>
        <v>=636.6*100000000</v>
      </c>
      <c r="V634" s="1">
        <f>636.6*100000000</f>
        <v>63660000000</v>
      </c>
      <c r="W634" s="8">
        <f t="shared" si="289"/>
        <v>0.18635855385762207</v>
      </c>
      <c r="X634" s="6" t="s">
        <v>7477</v>
      </c>
      <c r="Y634" s="6" t="str">
        <f t="shared" si="290"/>
        <v>=536.6*100000000</v>
      </c>
      <c r="Z634" s="1">
        <f>536.6*100000000</f>
        <v>53660000000</v>
      </c>
      <c r="AA634" s="8">
        <f t="shared" si="291"/>
        <v>0.62360060514372162</v>
      </c>
      <c r="AB634" s="6" t="s">
        <v>972</v>
      </c>
      <c r="AC634" s="6" t="str">
        <f t="shared" si="292"/>
        <v>=330.5*100000000</v>
      </c>
      <c r="AD634" s="1">
        <f>330.5*100000000</f>
        <v>33050000000</v>
      </c>
      <c r="AE634" s="8">
        <f t="shared" si="293"/>
        <v>1.365783822476736</v>
      </c>
      <c r="AF634" s="6" t="s">
        <v>7478</v>
      </c>
      <c r="AG634" s="6" t="str">
        <f t="shared" si="294"/>
        <v>=139.7*100000000</v>
      </c>
      <c r="AH634" s="1">
        <f>139.7*100000000</f>
        <v>13969999999.999998</v>
      </c>
      <c r="AI634" s="8">
        <f t="shared" si="295"/>
        <v>-0.77694395657033366</v>
      </c>
      <c r="AJ634" s="6" t="s">
        <v>7479</v>
      </c>
      <c r="AK634" s="6" t="str">
        <f t="shared" si="296"/>
        <v>=626.3*100000000</v>
      </c>
      <c r="AL634" s="1">
        <f>626.3*100000000</f>
        <v>62629999999.999992</v>
      </c>
      <c r="AM634" s="8">
        <f t="shared" si="297"/>
        <v>-3.3934906679006636E-2</v>
      </c>
      <c r="AN634" s="6" t="s">
        <v>7480</v>
      </c>
      <c r="AO634" s="6" t="str">
        <f t="shared" si="298"/>
        <v>=648.3*100000000</v>
      </c>
      <c r="AP634" s="1">
        <f>648.3*100000000</f>
        <v>64829999999.999992</v>
      </c>
      <c r="AQ634" s="8">
        <f t="shared" si="299"/>
        <v>1.0303789539617911</v>
      </c>
      <c r="AR634" s="6" t="s">
        <v>7481</v>
      </c>
      <c r="AS634" s="6" t="str">
        <f t="shared" si="300"/>
        <v>=319.3*100000000</v>
      </c>
      <c r="AT634" s="1">
        <f>319.3*100000000</f>
        <v>31930000000</v>
      </c>
      <c r="AU634" s="8">
        <f t="shared" si="301"/>
        <v>1.9428571428571428</v>
      </c>
      <c r="AV634" s="6" t="s">
        <v>881</v>
      </c>
      <c r="AW634" s="6" t="str">
        <f t="shared" si="302"/>
        <v>=108.5*100000000</v>
      </c>
      <c r="AX634" s="1">
        <f>108.5*100000000</f>
        <v>10850000000</v>
      </c>
      <c r="AY634" s="10">
        <f t="shared" si="303"/>
        <v>-0.80714539637397797</v>
      </c>
      <c r="AZ634" s="6" t="s">
        <v>7482</v>
      </c>
      <c r="BA634" s="6" t="str">
        <f t="shared" si="304"/>
        <v>=562.6*100000000</v>
      </c>
      <c r="BB634" s="1">
        <f>562.6*100000000</f>
        <v>56260000000</v>
      </c>
      <c r="BC634" s="8">
        <f t="shared" si="305"/>
        <v>0.19498725573491929</v>
      </c>
      <c r="BD634" s="6" t="s">
        <v>7483</v>
      </c>
      <c r="BE634" s="6" t="str">
        <f t="shared" si="306"/>
        <v>=470.8*100000000</v>
      </c>
      <c r="BF634" s="1">
        <f>470.8*100000000</f>
        <v>47080000000</v>
      </c>
      <c r="BG634" s="8">
        <f t="shared" si="307"/>
        <v>0.80937740199846275</v>
      </c>
      <c r="BH634" s="6" t="s">
        <v>7484</v>
      </c>
      <c r="BI634" s="6" t="str">
        <f t="shared" si="308"/>
        <v>=260.2*100000000</v>
      </c>
      <c r="BJ634" s="1">
        <f>260.2*100000000</f>
        <v>26020000000</v>
      </c>
      <c r="BK634" s="6" t="s">
        <v>3317</v>
      </c>
      <c r="BL634" s="1" t="str">
        <f t="shared" si="280"/>
        <v>=141.7*100000000</v>
      </c>
      <c r="BM634" s="16">
        <f t="shared" si="309"/>
        <v>0.83627381792519428</v>
      </c>
      <c r="BN634" s="1">
        <f>141.7*100000000</f>
        <v>14169999999.999998</v>
      </c>
    </row>
    <row r="635" spans="1:66">
      <c r="A635" s="18"/>
      <c r="B635">
        <v>600547</v>
      </c>
      <c r="C635" t="s">
        <v>48</v>
      </c>
      <c r="D635" s="7" t="s">
        <v>7485</v>
      </c>
      <c r="E635" s="7" t="str">
        <f t="shared" si="279"/>
        <v>=6848*10000</v>
      </c>
      <c r="F635" s="1">
        <f>6848*10000</f>
        <v>68480000</v>
      </c>
      <c r="G635" s="8">
        <f t="shared" si="281"/>
        <v>-1.066550048590865</v>
      </c>
      <c r="H635" s="6">
        <f>-10.29*100000000</f>
        <v>-1028999999.9999999</v>
      </c>
      <c r="I635" s="6" t="str">
        <f t="shared" si="282"/>
        <v>=-1029000000</v>
      </c>
      <c r="J635" s="1">
        <f>-1029000000</f>
        <v>-1029000000</v>
      </c>
      <c r="K635" s="10">
        <f t="shared" si="283"/>
        <v>-0.21390374331550802</v>
      </c>
      <c r="L635" s="6">
        <f>-13.09*100000000</f>
        <v>-1309000000</v>
      </c>
      <c r="M635" s="6" t="str">
        <f t="shared" si="284"/>
        <v>=-1309000000</v>
      </c>
      <c r="N635" s="1">
        <f>-1309000000</f>
        <v>-1309000000</v>
      </c>
      <c r="O635" s="8">
        <f t="shared" si="285"/>
        <v>3.3101745143233452</v>
      </c>
      <c r="P635" s="6">
        <f>-3.037*100000000</f>
        <v>-303700000</v>
      </c>
      <c r="Q635" s="6" t="str">
        <f t="shared" si="286"/>
        <v>=-303700000</v>
      </c>
      <c r="R635" s="11">
        <f>-303700000</f>
        <v>-303700000</v>
      </c>
      <c r="S635" s="8">
        <f t="shared" si="287"/>
        <v>-1.0945811273746497</v>
      </c>
      <c r="T635" s="6" t="s">
        <v>2294</v>
      </c>
      <c r="U635" s="6" t="str">
        <f t="shared" si="288"/>
        <v>=32.11*100000000</v>
      </c>
      <c r="V635" s="1">
        <f>32.11*100000000</f>
        <v>3211000000</v>
      </c>
      <c r="W635" s="8">
        <f t="shared" si="289"/>
        <v>0.15920577617328519</v>
      </c>
      <c r="X635" s="6" t="s">
        <v>7486</v>
      </c>
      <c r="Y635" s="6" t="str">
        <f t="shared" si="290"/>
        <v>=27.70*100000000</v>
      </c>
      <c r="Z635" s="1">
        <f>27.7*100000000</f>
        <v>2770000000</v>
      </c>
      <c r="AA635" s="8">
        <f t="shared" si="291"/>
        <v>0.62845385067607262</v>
      </c>
      <c r="AB635" s="6" t="s">
        <v>723</v>
      </c>
      <c r="AC635" s="6" t="str">
        <f t="shared" si="292"/>
        <v>=17.01*100000000</v>
      </c>
      <c r="AD635" s="1">
        <f>17.01*100000000</f>
        <v>1701000000.0000002</v>
      </c>
      <c r="AE635" s="8">
        <f t="shared" si="293"/>
        <v>0.96306982111944661</v>
      </c>
      <c r="AF635" s="6" t="s">
        <v>7487</v>
      </c>
      <c r="AG635" s="6" t="str">
        <f t="shared" si="294"/>
        <v>=8.665*100000000</v>
      </c>
      <c r="AH635" s="1">
        <f>8.665*100000000</f>
        <v>866499999.99999988</v>
      </c>
      <c r="AI635" s="8">
        <f t="shared" si="295"/>
        <v>-0.59547152194211028</v>
      </c>
      <c r="AJ635" s="6" t="s">
        <v>7488</v>
      </c>
      <c r="AK635" s="6" t="str">
        <f t="shared" si="296"/>
        <v>=21.42*100000000</v>
      </c>
      <c r="AL635" s="1">
        <f>21.42*100000000</f>
        <v>2142000000.0000002</v>
      </c>
      <c r="AM635" s="8">
        <f t="shared" si="297"/>
        <v>0.39453125000000017</v>
      </c>
      <c r="AN635" s="6" t="s">
        <v>4548</v>
      </c>
      <c r="AO635" s="6" t="str">
        <f t="shared" si="298"/>
        <v>=15.36*100000000</v>
      </c>
      <c r="AP635" s="1">
        <f>15.36*100000000</f>
        <v>1536000000</v>
      </c>
      <c r="AQ635" s="8">
        <f t="shared" si="299"/>
        <v>0.68717047451669622</v>
      </c>
      <c r="AR635" s="6" t="s">
        <v>7489</v>
      </c>
      <c r="AS635" s="6" t="str">
        <f t="shared" si="300"/>
        <v>=9.104*100000000</v>
      </c>
      <c r="AT635" s="1">
        <f>9.104*100000000</f>
        <v>910399999.99999988</v>
      </c>
      <c r="AU635" s="8">
        <f t="shared" si="301"/>
        <v>0.66313481914504913</v>
      </c>
      <c r="AV635" s="6" t="s">
        <v>4386</v>
      </c>
      <c r="AW635" s="6" t="str">
        <f t="shared" si="302"/>
        <v>=5.474*100000000</v>
      </c>
      <c r="AX635" s="1">
        <f>5.474*100000000</f>
        <v>547400000</v>
      </c>
      <c r="AY635" s="10">
        <f t="shared" si="303"/>
        <v>-0.67724056603773586</v>
      </c>
      <c r="AZ635" s="6" t="s">
        <v>7490</v>
      </c>
      <c r="BA635" s="6" t="str">
        <f t="shared" si="304"/>
        <v>=16.96*100000000</v>
      </c>
      <c r="BB635" s="1">
        <f>16.96*100000000</f>
        <v>1696000000</v>
      </c>
      <c r="BC635" s="8">
        <f t="shared" si="305"/>
        <v>0.34177215189873417</v>
      </c>
      <c r="BD635" s="6" t="s">
        <v>5658</v>
      </c>
      <c r="BE635" s="6" t="str">
        <f t="shared" si="306"/>
        <v>=12.64*100000000</v>
      </c>
      <c r="BF635" s="1">
        <f>12.64*100000000</f>
        <v>1264000000</v>
      </c>
      <c r="BG635" s="8">
        <f t="shared" si="307"/>
        <v>0.30470685383980167</v>
      </c>
      <c r="BH635" s="6" t="s">
        <v>7491</v>
      </c>
      <c r="BI635" s="6" t="str">
        <f t="shared" si="308"/>
        <v>=9.688*100000000</v>
      </c>
      <c r="BJ635" s="1">
        <f>9.688*100000000</f>
        <v>968800000.00000012</v>
      </c>
      <c r="BK635" s="6" t="s">
        <v>7492</v>
      </c>
      <c r="BL635" s="1" t="str">
        <f t="shared" si="280"/>
        <v>=5.180*100000000</v>
      </c>
      <c r="BM635" s="16">
        <f t="shared" si="309"/>
        <v>0.87027027027027049</v>
      </c>
      <c r="BN635" s="1">
        <f>5.18*100000000</f>
        <v>518000000</v>
      </c>
    </row>
    <row r="636" spans="1:66">
      <c r="A636" s="18"/>
      <c r="B636">
        <v>600547</v>
      </c>
      <c r="C636" t="s">
        <v>58</v>
      </c>
      <c r="D636" s="7" t="s">
        <v>7493</v>
      </c>
      <c r="E636" s="7" t="str">
        <f t="shared" si="279"/>
        <v>=2246*10000</v>
      </c>
      <c r="F636" s="1">
        <f>2246*10000</f>
        <v>22460000</v>
      </c>
      <c r="G636" s="8">
        <f t="shared" si="281"/>
        <v>-1.0220412168792934</v>
      </c>
      <c r="H636" s="6">
        <f>-10.19*100000000</f>
        <v>-1019000000</v>
      </c>
      <c r="I636" s="6" t="str">
        <f t="shared" si="282"/>
        <v>=-1019000000</v>
      </c>
      <c r="J636" s="1">
        <f>-1019000000</f>
        <v>-1019000000</v>
      </c>
      <c r="K636" s="10">
        <f t="shared" si="283"/>
        <v>-0.22332317073170732</v>
      </c>
      <c r="L636" s="6">
        <f>-13.12*100000000</f>
        <v>-1312000000</v>
      </c>
      <c r="M636" s="6" t="str">
        <f t="shared" si="284"/>
        <v>=-1312000000</v>
      </c>
      <c r="N636" s="1">
        <f>-1312000000</f>
        <v>-1312000000</v>
      </c>
      <c r="O636" s="8">
        <f t="shared" si="285"/>
        <v>3.2847811887655127</v>
      </c>
      <c r="P636" s="6">
        <f>-3.062*100000000</f>
        <v>-306200000</v>
      </c>
      <c r="Q636" s="6" t="str">
        <f t="shared" si="286"/>
        <v>=-306200000</v>
      </c>
      <c r="R636" s="11">
        <f>-306200000</f>
        <v>-306200000</v>
      </c>
      <c r="S636" s="8">
        <f t="shared" si="287"/>
        <v>-1.1008563899868247</v>
      </c>
      <c r="T636" s="6" t="s">
        <v>1119</v>
      </c>
      <c r="U636" s="6" t="str">
        <f t="shared" si="288"/>
        <v>=30.36*100000000</v>
      </c>
      <c r="V636" s="1">
        <f>30.36*100000000</f>
        <v>3036000000</v>
      </c>
      <c r="W636" s="8">
        <f t="shared" si="289"/>
        <v>0.1</v>
      </c>
      <c r="X636" s="6" t="s">
        <v>5420</v>
      </c>
      <c r="Y636" s="6" t="str">
        <f t="shared" si="290"/>
        <v>=27.60*100000000</v>
      </c>
      <c r="Z636" s="1">
        <f>27.6*100000000</f>
        <v>2760000000</v>
      </c>
      <c r="AA636" s="8">
        <f t="shared" si="291"/>
        <v>0.63313609467455645</v>
      </c>
      <c r="AB636" s="6" t="s">
        <v>2459</v>
      </c>
      <c r="AC636" s="6" t="str">
        <f t="shared" si="292"/>
        <v>=16.90*100000000</v>
      </c>
      <c r="AD636" s="1">
        <f>16.9*100000000</f>
        <v>1689999999.9999998</v>
      </c>
      <c r="AE636" s="8">
        <f t="shared" si="293"/>
        <v>0.9694674280386899</v>
      </c>
      <c r="AF636" s="6" t="s">
        <v>7494</v>
      </c>
      <c r="AG636" s="6" t="str">
        <f t="shared" si="294"/>
        <v>=8.581*100000000</v>
      </c>
      <c r="AH636" s="1">
        <f>8.581*100000000</f>
        <v>858100000</v>
      </c>
      <c r="AI636" s="8">
        <f t="shared" si="295"/>
        <v>-0.59466225791213989</v>
      </c>
      <c r="AJ636" s="6" t="s">
        <v>214</v>
      </c>
      <c r="AK636" s="6" t="str">
        <f t="shared" si="296"/>
        <v>=21.17*100000000</v>
      </c>
      <c r="AL636" s="1">
        <f>21.17*100000000</f>
        <v>2117000000.0000002</v>
      </c>
      <c r="AM636" s="8">
        <f t="shared" si="297"/>
        <v>0.38637851997380501</v>
      </c>
      <c r="AN636" s="6" t="s">
        <v>4136</v>
      </c>
      <c r="AO636" s="6" t="str">
        <f t="shared" si="298"/>
        <v>=15.27*100000000</v>
      </c>
      <c r="AP636" s="1">
        <f>15.27*100000000</f>
        <v>1527000000</v>
      </c>
      <c r="AQ636" s="8">
        <f t="shared" si="299"/>
        <v>0.68357221609702312</v>
      </c>
      <c r="AR636" s="6" t="s">
        <v>7495</v>
      </c>
      <c r="AS636" s="6" t="str">
        <f t="shared" si="300"/>
        <v>=9.070*100000000</v>
      </c>
      <c r="AT636" s="1">
        <f>9.07*100000000</f>
        <v>907000000</v>
      </c>
      <c r="AU636" s="8">
        <f t="shared" si="301"/>
        <v>0.66208539490562579</v>
      </c>
      <c r="AV636" s="6" t="s">
        <v>7496</v>
      </c>
      <c r="AW636" s="6" t="str">
        <f t="shared" si="302"/>
        <v>=5.457*100000000</v>
      </c>
      <c r="AX636" s="1">
        <f>5.457*100000000</f>
        <v>545700000</v>
      </c>
      <c r="AY636" s="10">
        <f t="shared" si="303"/>
        <v>-0.67303774715398446</v>
      </c>
      <c r="AZ636" s="6" t="s">
        <v>719</v>
      </c>
      <c r="BA636" s="6" t="str">
        <f t="shared" si="304"/>
        <v>=16.69*100000000</v>
      </c>
      <c r="BB636" s="1">
        <f>16.69*100000000</f>
        <v>1669000000.0000002</v>
      </c>
      <c r="BC636" s="8">
        <f t="shared" si="305"/>
        <v>0.3204113924050635</v>
      </c>
      <c r="BD636" s="6" t="s">
        <v>5658</v>
      </c>
      <c r="BE636" s="6" t="str">
        <f t="shared" si="306"/>
        <v>=12.64*100000000</v>
      </c>
      <c r="BF636" s="1">
        <f>12.64*100000000</f>
        <v>1264000000</v>
      </c>
      <c r="BG636" s="8">
        <f t="shared" si="307"/>
        <v>0.29694233531705316</v>
      </c>
      <c r="BH636" s="6" t="s">
        <v>5731</v>
      </c>
      <c r="BI636" s="6" t="str">
        <f t="shared" si="308"/>
        <v>=9.746*100000000</v>
      </c>
      <c r="BJ636" s="1">
        <f>9.746*100000000</f>
        <v>974600000</v>
      </c>
      <c r="BK636" s="6" t="s">
        <v>7497</v>
      </c>
      <c r="BL636" s="1" t="str">
        <f t="shared" si="280"/>
        <v>=5.167*100000000</v>
      </c>
      <c r="BM636" s="16">
        <f t="shared" si="309"/>
        <v>0.88620089026514415</v>
      </c>
      <c r="BN636" s="1">
        <f>5.167*100000000</f>
        <v>516700000</v>
      </c>
    </row>
    <row r="637" spans="1:66">
      <c r="A637" s="19"/>
      <c r="B637">
        <v>600547</v>
      </c>
      <c r="C637" t="s">
        <v>68</v>
      </c>
      <c r="D637" s="6">
        <f>-1.954*100000000</f>
        <v>-195400000</v>
      </c>
      <c r="E637" s="7" t="str">
        <f t="shared" si="279"/>
        <v>=-195400000</v>
      </c>
      <c r="F637" s="1">
        <f>-195400000</f>
        <v>-195400000</v>
      </c>
      <c r="G637" s="8">
        <f t="shared" si="281"/>
        <v>-0.85026819923371644</v>
      </c>
      <c r="H637" s="6">
        <f>-13.05*100000000</f>
        <v>-1305000000</v>
      </c>
      <c r="I637" s="6" t="str">
        <f t="shared" si="282"/>
        <v>=-1305000000</v>
      </c>
      <c r="J637" s="1">
        <f>-1305000000</f>
        <v>-1305000000</v>
      </c>
      <c r="K637" s="10">
        <f t="shared" si="283"/>
        <v>-8.8687150837988823E-2</v>
      </c>
      <c r="L637" s="6">
        <f>-14.32*100000000</f>
        <v>-1432000000</v>
      </c>
      <c r="M637" s="6" t="str">
        <f t="shared" si="284"/>
        <v>=-1432000000</v>
      </c>
      <c r="N637" s="1">
        <f>-1432000000</f>
        <v>-1432000000</v>
      </c>
      <c r="O637" s="8">
        <f t="shared" si="285"/>
        <v>3.1785818500145901</v>
      </c>
      <c r="P637" s="6">
        <f>-3.427*100000000</f>
        <v>-342700000</v>
      </c>
      <c r="Q637" s="6" t="str">
        <f t="shared" si="286"/>
        <v>=-342700000</v>
      </c>
      <c r="R637" s="11">
        <f>-342700000</f>
        <v>-342700000</v>
      </c>
      <c r="S637" s="8">
        <f t="shared" si="287"/>
        <v>-1.1491946016543317</v>
      </c>
      <c r="T637" s="6" t="s">
        <v>7498</v>
      </c>
      <c r="U637" s="6" t="str">
        <f t="shared" si="288"/>
        <v>=22.97*100000000</v>
      </c>
      <c r="V637" s="1">
        <f>22.97*100000000</f>
        <v>2297000000</v>
      </c>
      <c r="W637" s="8">
        <f t="shared" si="289"/>
        <v>0.10432692307692308</v>
      </c>
      <c r="X637" s="6" t="s">
        <v>1933</v>
      </c>
      <c r="Y637" s="6" t="str">
        <f t="shared" si="290"/>
        <v>=20.80*100000000</v>
      </c>
      <c r="Z637" s="1">
        <f>20.8*100000000</f>
        <v>2080000000</v>
      </c>
      <c r="AA637" s="8">
        <f t="shared" si="291"/>
        <v>0.59877017678708688</v>
      </c>
      <c r="AB637" s="6" t="s">
        <v>177</v>
      </c>
      <c r="AC637" s="6" t="str">
        <f t="shared" si="292"/>
        <v>=13.01*100000000</v>
      </c>
      <c r="AD637" s="1">
        <f>13.01*100000000</f>
        <v>1301000000</v>
      </c>
      <c r="AE637" s="8">
        <f t="shared" si="293"/>
        <v>1.0526980119911644</v>
      </c>
      <c r="AF637" s="6" t="s">
        <v>7499</v>
      </c>
      <c r="AG637" s="6" t="str">
        <f t="shared" si="294"/>
        <v>=6.338*100000000</v>
      </c>
      <c r="AH637" s="1">
        <f>6.338*100000000</f>
        <v>633800000</v>
      </c>
      <c r="AI637" s="8">
        <f t="shared" si="295"/>
        <v>-0.55397607318789588</v>
      </c>
      <c r="AJ637" s="6" t="s">
        <v>2468</v>
      </c>
      <c r="AK637" s="6" t="str">
        <f t="shared" si="296"/>
        <v>=14.21*100000000</v>
      </c>
      <c r="AL637" s="1">
        <f>14.21*100000000</f>
        <v>1421000000</v>
      </c>
      <c r="AM637" s="8">
        <f t="shared" si="297"/>
        <v>0.3520456707897241</v>
      </c>
      <c r="AN637" s="6" t="s">
        <v>7500</v>
      </c>
      <c r="AO637" s="6" t="str">
        <f t="shared" si="298"/>
        <v>=10.51*100000000</v>
      </c>
      <c r="AP637" s="1">
        <f>10.51*100000000</f>
        <v>1051000000</v>
      </c>
      <c r="AQ637" s="8">
        <f t="shared" si="299"/>
        <v>0.58330822536908711</v>
      </c>
      <c r="AR637" s="6" t="s">
        <v>7501</v>
      </c>
      <c r="AS637" s="6" t="str">
        <f t="shared" si="300"/>
        <v>=6.638*100000000</v>
      </c>
      <c r="AT637" s="1">
        <f>6.638*100000000</f>
        <v>663800000</v>
      </c>
      <c r="AU637" s="8">
        <f t="shared" si="301"/>
        <v>0.65867066466766622</v>
      </c>
      <c r="AV637" s="6" t="s">
        <v>7502</v>
      </c>
      <c r="AW637" s="6" t="str">
        <f t="shared" si="302"/>
        <v>=4.002*100000000</v>
      </c>
      <c r="AX637" s="1">
        <f>4.002*100000000</f>
        <v>400200000</v>
      </c>
      <c r="AY637" s="10">
        <f t="shared" si="303"/>
        <v>-0.6314917127071823</v>
      </c>
      <c r="AZ637" s="6" t="s">
        <v>7503</v>
      </c>
      <c r="BA637" s="6" t="str">
        <f t="shared" si="304"/>
        <v>=10.86*100000000</v>
      </c>
      <c r="BB637" s="1">
        <f>10.86*100000000</f>
        <v>1086000000</v>
      </c>
      <c r="BC637" s="8">
        <f t="shared" si="305"/>
        <v>0.22379986477349562</v>
      </c>
      <c r="BD637" s="6" t="s">
        <v>7504</v>
      </c>
      <c r="BE637" s="6" t="str">
        <f t="shared" si="306"/>
        <v>=8.874*100000000</v>
      </c>
      <c r="BF637" s="1">
        <f>8.874*100000000</f>
        <v>887400000</v>
      </c>
      <c r="BG637" s="8">
        <f t="shared" si="307"/>
        <v>0.35979160281949124</v>
      </c>
      <c r="BH637" s="6" t="s">
        <v>7505</v>
      </c>
      <c r="BI637" s="6" t="str">
        <f t="shared" si="308"/>
        <v>=6.526*100000000</v>
      </c>
      <c r="BJ637" s="1">
        <f>6.526*100000000</f>
        <v>652600000</v>
      </c>
      <c r="BK637" s="6" t="s">
        <v>7506</v>
      </c>
      <c r="BL637" s="1" t="str">
        <f t="shared" si="280"/>
        <v>=3.740*100000000</v>
      </c>
      <c r="BM637" s="16">
        <f t="shared" si="309"/>
        <v>0.74491978609625664</v>
      </c>
      <c r="BN637" s="1">
        <f>3.74*100000000</f>
        <v>374000000</v>
      </c>
    </row>
    <row r="638" spans="1:66">
      <c r="A638" s="17">
        <v>161</v>
      </c>
      <c r="B638">
        <v>600549</v>
      </c>
      <c r="C638" t="s">
        <v>31</v>
      </c>
      <c r="D638" s="6" t="s">
        <v>7507</v>
      </c>
      <c r="E638" s="7" t="str">
        <f t="shared" si="279"/>
        <v>=318.5*100000000</v>
      </c>
      <c r="F638" s="1">
        <f>318.5*100000000</f>
        <v>31850000000</v>
      </c>
      <c r="G638" s="8">
        <f t="shared" si="281"/>
        <v>0.4366260712674786</v>
      </c>
      <c r="H638" s="6" t="s">
        <v>7508</v>
      </c>
      <c r="I638" s="6" t="str">
        <f t="shared" si="282"/>
        <v>=221.7*100000000</v>
      </c>
      <c r="J638" s="1">
        <f>221.7*100000000</f>
        <v>22170000000</v>
      </c>
      <c r="K638" s="10">
        <f t="shared" si="283"/>
        <v>0.55907172995780607</v>
      </c>
      <c r="L638" s="6" t="s">
        <v>5068</v>
      </c>
      <c r="M638" s="6" t="str">
        <f t="shared" si="284"/>
        <v>=142.2*100000000</v>
      </c>
      <c r="N638" s="1">
        <f>142.2*100000000</f>
        <v>14219999999.999998</v>
      </c>
      <c r="O638" s="8">
        <f t="shared" si="285"/>
        <v>1.2582181991424486</v>
      </c>
      <c r="P638" s="6" t="s">
        <v>7509</v>
      </c>
      <c r="Q638" s="6" t="str">
        <f t="shared" si="286"/>
        <v>=62.97*100000000</v>
      </c>
      <c r="R638" s="11">
        <f>62.97*100000000</f>
        <v>6297000000</v>
      </c>
      <c r="S638" s="8">
        <f t="shared" si="287"/>
        <v>-0.66787974683544304</v>
      </c>
      <c r="T638" s="6" t="s">
        <v>7510</v>
      </c>
      <c r="U638" s="6" t="str">
        <f t="shared" si="288"/>
        <v>=189.6*100000000</v>
      </c>
      <c r="V638" s="1">
        <f>189.6*100000000</f>
        <v>18960000000</v>
      </c>
      <c r="W638" s="8">
        <f t="shared" si="289"/>
        <v>0.4789391575663029</v>
      </c>
      <c r="X638" s="6" t="s">
        <v>7511</v>
      </c>
      <c r="Y638" s="6" t="str">
        <f t="shared" si="290"/>
        <v>=128.2*100000000</v>
      </c>
      <c r="Z638" s="1">
        <f>128.2*100000000</f>
        <v>12819999999.999998</v>
      </c>
      <c r="AA638" s="8">
        <f t="shared" si="291"/>
        <v>0.61786976274608774</v>
      </c>
      <c r="AB638" s="6" t="s">
        <v>7512</v>
      </c>
      <c r="AC638" s="6" t="str">
        <f t="shared" si="292"/>
        <v>=79.24*100000000</v>
      </c>
      <c r="AD638" s="1">
        <f>79.24*100000000</f>
        <v>7923999999.999999</v>
      </c>
      <c r="AE638" s="8">
        <f t="shared" si="293"/>
        <v>1.2409502262443437</v>
      </c>
      <c r="AF638" s="6" t="s">
        <v>3332</v>
      </c>
      <c r="AG638" s="6" t="str">
        <f t="shared" si="294"/>
        <v>=35.36*100000000</v>
      </c>
      <c r="AH638" s="1">
        <f>35.36*100000000</f>
        <v>3536000000</v>
      </c>
      <c r="AI638" s="8">
        <f t="shared" si="295"/>
        <v>-0.79678160919540231</v>
      </c>
      <c r="AJ638" s="6" t="s">
        <v>4682</v>
      </c>
      <c r="AK638" s="6" t="str">
        <f t="shared" si="296"/>
        <v>=174.0*100000000</v>
      </c>
      <c r="AL638" s="1">
        <f>174*100000000</f>
        <v>17400000000</v>
      </c>
      <c r="AM638" s="8">
        <f t="shared" si="297"/>
        <v>0.36792452830188677</v>
      </c>
      <c r="AN638" s="6" t="s">
        <v>5368</v>
      </c>
      <c r="AO638" s="6" t="str">
        <f t="shared" si="298"/>
        <v>=127.2*100000000</v>
      </c>
      <c r="AP638" s="1">
        <f>127.2*100000000</f>
        <v>12720000000</v>
      </c>
      <c r="AQ638" s="8">
        <f t="shared" si="299"/>
        <v>0.51717557251908397</v>
      </c>
      <c r="AR638" s="6" t="s">
        <v>7513</v>
      </c>
      <c r="AS638" s="6" t="str">
        <f t="shared" si="300"/>
        <v>=83.84*100000000</v>
      </c>
      <c r="AT638" s="1">
        <f>83.84*100000000</f>
        <v>8384000000</v>
      </c>
      <c r="AU638" s="8">
        <f t="shared" si="301"/>
        <v>1.1982170949134767</v>
      </c>
      <c r="AV638" s="6" t="s">
        <v>7514</v>
      </c>
      <c r="AW638" s="6" t="str">
        <f t="shared" si="302"/>
        <v>=38.14*100000000</v>
      </c>
      <c r="AX638" s="1">
        <f>38.14*100000000</f>
        <v>3814000000</v>
      </c>
      <c r="AY638" s="10">
        <f t="shared" si="303"/>
        <v>-0.80501022494887531</v>
      </c>
      <c r="AZ638" s="6" t="s">
        <v>7515</v>
      </c>
      <c r="BA638" s="6" t="str">
        <f t="shared" si="304"/>
        <v>=195.6*100000000</v>
      </c>
      <c r="BB638" s="1">
        <f>195.6*100000000</f>
        <v>19560000000</v>
      </c>
      <c r="BC638" s="8">
        <f t="shared" si="305"/>
        <v>0.38330975954738333</v>
      </c>
      <c r="BD638" s="6" t="s">
        <v>7516</v>
      </c>
      <c r="BE638" s="6" t="str">
        <f t="shared" si="306"/>
        <v>=141.4*100000000</v>
      </c>
      <c r="BF638" s="1">
        <f>141.4*100000000</f>
        <v>14140000000</v>
      </c>
      <c r="BG638" s="8">
        <f t="shared" si="307"/>
        <v>0.63204062788550319</v>
      </c>
      <c r="BH638" s="6" t="s">
        <v>7517</v>
      </c>
      <c r="BI638" s="6" t="str">
        <f t="shared" si="308"/>
        <v>=86.64*100000000</v>
      </c>
      <c r="BJ638" s="1">
        <f>86.64*100000000</f>
        <v>8664000000</v>
      </c>
      <c r="BK638" s="6" t="s">
        <v>7518</v>
      </c>
      <c r="BL638" s="1" t="str">
        <f t="shared" si="280"/>
        <v>=34.15*100000000</v>
      </c>
      <c r="BM638" s="16">
        <f t="shared" si="309"/>
        <v>1.5370424597364567</v>
      </c>
      <c r="BN638" s="1">
        <f>34.15*100000000</f>
        <v>3415000000</v>
      </c>
    </row>
    <row r="639" spans="1:66">
      <c r="A639" s="18"/>
      <c r="B639">
        <v>600549</v>
      </c>
      <c r="C639" t="s">
        <v>48</v>
      </c>
      <c r="D639" s="6" t="s">
        <v>7519</v>
      </c>
      <c r="E639" s="7" t="str">
        <f t="shared" si="279"/>
        <v>=19.81*100000000</v>
      </c>
      <c r="F639" s="1">
        <f>19.81*100000000</f>
        <v>1980999999.9999998</v>
      </c>
      <c r="G639" s="8">
        <f t="shared" si="281"/>
        <v>0.19987886129618382</v>
      </c>
      <c r="H639" s="6" t="s">
        <v>4529</v>
      </c>
      <c r="I639" s="6" t="str">
        <f t="shared" ref="I639:I702" si="310">"="&amp;H639</f>
        <v>=16.51*100000000</v>
      </c>
      <c r="J639" s="1">
        <f>16.51*100000000</f>
        <v>1651000000.0000002</v>
      </c>
      <c r="K639" s="10">
        <f t="shared" si="283"/>
        <v>0.51885924563017505</v>
      </c>
      <c r="L639" s="6" t="s">
        <v>7520</v>
      </c>
      <c r="M639" s="6" t="str">
        <f t="shared" ref="M639:M702" si="311">"="&amp;L639</f>
        <v>=10.87*100000000</v>
      </c>
      <c r="N639" s="1">
        <f>10.87*100000000</f>
        <v>1087000000</v>
      </c>
      <c r="O639" s="8">
        <f t="shared" si="285"/>
        <v>1.0859719823450391</v>
      </c>
      <c r="P639" s="6" t="s">
        <v>4127</v>
      </c>
      <c r="Q639" s="6" t="str">
        <f t="shared" ref="Q639:Q702" si="312">"="&amp;P639</f>
        <v>=5.211*100000000</v>
      </c>
      <c r="R639" s="11">
        <f>5.211*100000000</f>
        <v>521100000.00000006</v>
      </c>
      <c r="S639" s="8">
        <f t="shared" si="287"/>
        <v>-0.53721136767317934</v>
      </c>
      <c r="T639" s="6" t="s">
        <v>4245</v>
      </c>
      <c r="U639" s="6" t="str">
        <f t="shared" ref="U639:U702" si="313">"="&amp;T639</f>
        <v>=11.26*100000000</v>
      </c>
      <c r="V639" s="1">
        <f>11.26*100000000</f>
        <v>1126000000</v>
      </c>
      <c r="W639" s="8">
        <f t="shared" si="289"/>
        <v>0.48705758055995774</v>
      </c>
      <c r="X639" s="6" t="s">
        <v>7521</v>
      </c>
      <c r="Y639" s="6" t="str">
        <f t="shared" ref="Y639:Y702" si="314">"="&amp;X639</f>
        <v>=7.572*100000000</v>
      </c>
      <c r="Z639" s="1">
        <f>7.572*100000000</f>
        <v>757200000</v>
      </c>
      <c r="AA639" s="8">
        <f t="shared" si="291"/>
        <v>0.48093096029728127</v>
      </c>
      <c r="AB639" s="6" t="s">
        <v>5716</v>
      </c>
      <c r="AC639" s="6" t="str">
        <f t="shared" ref="AC639:AC702" si="315">"="&amp;AB639</f>
        <v>=5.113*100000000</v>
      </c>
      <c r="AD639" s="1">
        <f>5.113*100000000</f>
        <v>511300000.00000006</v>
      </c>
      <c r="AE639" s="8">
        <f t="shared" si="293"/>
        <v>1.4820388349514566</v>
      </c>
      <c r="AF639" s="6" t="s">
        <v>7522</v>
      </c>
      <c r="AG639" s="6" t="str">
        <f t="shared" ref="AG639:AG702" si="316">"="&amp;AF639</f>
        <v>=2.060*100000000</v>
      </c>
      <c r="AH639" s="1">
        <f>2.06*100000000</f>
        <v>206000000</v>
      </c>
      <c r="AI639" s="8">
        <f t="shared" si="295"/>
        <v>-0.63706835799859052</v>
      </c>
      <c r="AJ639" s="6" t="s">
        <v>1865</v>
      </c>
      <c r="AK639" s="6" t="str">
        <f t="shared" ref="AK639:AK702" si="317">"="&amp;AJ639</f>
        <v>=5.676*100000000</v>
      </c>
      <c r="AL639" s="1">
        <f>5.676*100000000</f>
        <v>567600000</v>
      </c>
      <c r="AM639" s="8">
        <f t="shared" si="297"/>
        <v>0.67928994082840233</v>
      </c>
      <c r="AN639" s="6" t="s">
        <v>7523</v>
      </c>
      <c r="AO639" s="6" t="str">
        <f t="shared" ref="AO639:AO702" si="318">"="&amp;AN639</f>
        <v>=3.380*100000000</v>
      </c>
      <c r="AP639" s="1">
        <f>3.38*100000000</f>
        <v>338000000</v>
      </c>
      <c r="AQ639" s="8">
        <f t="shared" si="299"/>
        <v>0.68831168831168854</v>
      </c>
      <c r="AR639" s="6" t="s">
        <v>2147</v>
      </c>
      <c r="AS639" s="6" t="str">
        <f t="shared" ref="AS639:AS702" si="319">"="&amp;AR639</f>
        <v>=2.002*100000000</v>
      </c>
      <c r="AT639" s="1">
        <f>2.002*100000000</f>
        <v>200199999.99999997</v>
      </c>
      <c r="AU639" s="8">
        <f t="shared" si="301"/>
        <v>4.1032373183787909</v>
      </c>
      <c r="AV639" s="7" t="s">
        <v>7524</v>
      </c>
      <c r="AW639" s="6" t="str">
        <f t="shared" ref="AW639:AW702" si="320">"="&amp;AV639</f>
        <v>=3923*10000</v>
      </c>
      <c r="AX639" s="1">
        <f>3923*10000</f>
        <v>39230000</v>
      </c>
      <c r="AY639" s="10">
        <f t="shared" si="303"/>
        <v>-0.96046956872228939</v>
      </c>
      <c r="AZ639" s="6" t="s">
        <v>7525</v>
      </c>
      <c r="BA639" s="6" t="str">
        <f t="shared" ref="BA639:BA702" si="321">"="&amp;AZ639</f>
        <v>=9.924*100000000</v>
      </c>
      <c r="BB639" s="1">
        <f>9.924*100000000</f>
        <v>992400000</v>
      </c>
      <c r="BC639" s="8">
        <f t="shared" si="305"/>
        <v>9.548515288663223E-2</v>
      </c>
      <c r="BD639" s="6" t="s">
        <v>7526</v>
      </c>
      <c r="BE639" s="6" t="str">
        <f t="shared" ref="BE639:BE702" si="322">"="&amp;BD639</f>
        <v>=9.059*100000000</v>
      </c>
      <c r="BF639" s="1">
        <f>9.059*100000000</f>
        <v>905899999.99999988</v>
      </c>
      <c r="BG639" s="8">
        <f t="shared" si="307"/>
        <v>0.47085565838610144</v>
      </c>
      <c r="BH639" s="6" t="s">
        <v>7527</v>
      </c>
      <c r="BI639" s="6" t="str">
        <f t="shared" ref="BI639:BI702" si="323">"="&amp;BH639</f>
        <v>=6.159*100000000</v>
      </c>
      <c r="BJ639" s="1">
        <f>6.159*100000000</f>
        <v>615900000</v>
      </c>
      <c r="BK639" s="7" t="s">
        <v>7528</v>
      </c>
      <c r="BL639" s="1" t="str">
        <f t="shared" si="280"/>
        <v>=8325*10000</v>
      </c>
      <c r="BM639" s="16">
        <f t="shared" si="309"/>
        <v>6.3981981981981981</v>
      </c>
      <c r="BN639" s="1">
        <f>8325*10000</f>
        <v>83250000</v>
      </c>
    </row>
    <row r="640" spans="1:66">
      <c r="A640" s="18"/>
      <c r="B640">
        <v>600549</v>
      </c>
      <c r="C640" t="s">
        <v>58</v>
      </c>
      <c r="D640" s="6" t="s">
        <v>7529</v>
      </c>
      <c r="E640" s="7" t="str">
        <f t="shared" si="279"/>
        <v>=19.38*100000000</v>
      </c>
      <c r="F640" s="1">
        <f>19.38*100000000</f>
        <v>1938000000</v>
      </c>
      <c r="G640" s="8">
        <f t="shared" si="281"/>
        <v>0.1926153846153846</v>
      </c>
      <c r="H640" s="6" t="s">
        <v>6193</v>
      </c>
      <c r="I640" s="6" t="str">
        <f t="shared" si="310"/>
        <v>=16.25*100000000</v>
      </c>
      <c r="J640" s="1">
        <f>16.25*100000000</f>
        <v>1625000000</v>
      </c>
      <c r="K640" s="10">
        <f t="shared" si="283"/>
        <v>0.50882079851439188</v>
      </c>
      <c r="L640" s="6" t="s">
        <v>7530</v>
      </c>
      <c r="M640" s="6" t="str">
        <f t="shared" si="311"/>
        <v>=10.77*100000000</v>
      </c>
      <c r="N640" s="1">
        <f>10.77*100000000</f>
        <v>1077000000</v>
      </c>
      <c r="O640" s="8">
        <f t="shared" si="285"/>
        <v>1.0707556239184772</v>
      </c>
      <c r="P640" s="6" t="s">
        <v>7531</v>
      </c>
      <c r="Q640" s="6" t="str">
        <f t="shared" si="312"/>
        <v>=5.201*100000000</v>
      </c>
      <c r="R640" s="11">
        <f>5.201*100000000</f>
        <v>520099999.99999994</v>
      </c>
      <c r="S640" s="8">
        <f t="shared" si="287"/>
        <v>-0.51663568773234203</v>
      </c>
      <c r="T640" s="6" t="s">
        <v>649</v>
      </c>
      <c r="U640" s="6" t="str">
        <f t="shared" si="313"/>
        <v>=10.76*100000000</v>
      </c>
      <c r="V640" s="1">
        <f>10.76*100000000</f>
        <v>1076000000</v>
      </c>
      <c r="W640" s="8">
        <f t="shared" si="289"/>
        <v>0.49631483799193438</v>
      </c>
      <c r="X640" s="6" t="s">
        <v>5733</v>
      </c>
      <c r="Y640" s="6" t="str">
        <f t="shared" si="314"/>
        <v>=7.191*100000000</v>
      </c>
      <c r="Z640" s="1">
        <f>7.191*100000000</f>
        <v>719100000</v>
      </c>
      <c r="AA640" s="8">
        <f t="shared" si="291"/>
        <v>0.51772899957788077</v>
      </c>
      <c r="AB640" s="6" t="s">
        <v>4530</v>
      </c>
      <c r="AC640" s="6" t="str">
        <f t="shared" si="315"/>
        <v>=4.738*100000000</v>
      </c>
      <c r="AD640" s="1">
        <f>4.738*100000000</f>
        <v>473800000.00000006</v>
      </c>
      <c r="AE640" s="8">
        <f t="shared" si="293"/>
        <v>1.7074285714285717</v>
      </c>
      <c r="AF640" s="6" t="s">
        <v>226</v>
      </c>
      <c r="AG640" s="6" t="str">
        <f t="shared" si="316"/>
        <v>=1.750*100000000</v>
      </c>
      <c r="AH640" s="1">
        <f>1.75*100000000</f>
        <v>175000000</v>
      </c>
      <c r="AI640" s="8">
        <f t="shared" si="295"/>
        <v>-0.68388728323699421</v>
      </c>
      <c r="AJ640" s="6" t="s">
        <v>7532</v>
      </c>
      <c r="AK640" s="6" t="str">
        <f t="shared" si="317"/>
        <v>=5.536*100000000</v>
      </c>
      <c r="AL640" s="1">
        <f>5.536*100000000</f>
        <v>553600000</v>
      </c>
      <c r="AM640" s="8">
        <f t="shared" si="297"/>
        <v>0.67757575757575761</v>
      </c>
      <c r="AN640" s="6" t="s">
        <v>7533</v>
      </c>
      <c r="AO640" s="6" t="str">
        <f t="shared" si="318"/>
        <v>=3.300*100000000</v>
      </c>
      <c r="AP640" s="1">
        <f>3.3*100000000</f>
        <v>330000000</v>
      </c>
      <c r="AQ640" s="8">
        <f t="shared" si="299"/>
        <v>0.64917541229385312</v>
      </c>
      <c r="AR640" s="6" t="s">
        <v>6230</v>
      </c>
      <c r="AS640" s="6" t="str">
        <f t="shared" si="319"/>
        <v>=2.001*100000000</v>
      </c>
      <c r="AT640" s="1">
        <f>2.001*100000000</f>
        <v>200100000</v>
      </c>
      <c r="AU640" s="8">
        <f t="shared" si="301"/>
        <v>4.3218085106382977</v>
      </c>
      <c r="AV640" s="7" t="s">
        <v>7534</v>
      </c>
      <c r="AW640" s="6" t="str">
        <f t="shared" si="320"/>
        <v>=3760*10000</v>
      </c>
      <c r="AX640" s="1">
        <f>3760*10000</f>
        <v>37600000</v>
      </c>
      <c r="AY640" s="10">
        <f t="shared" si="303"/>
        <v>-0.96191633748607308</v>
      </c>
      <c r="AZ640" s="6" t="s">
        <v>7535</v>
      </c>
      <c r="BA640" s="6" t="str">
        <f t="shared" si="321"/>
        <v>=9.873*100000000</v>
      </c>
      <c r="BB640" s="1">
        <f>9.873*100000000</f>
        <v>987299999.99999988</v>
      </c>
      <c r="BC640" s="8">
        <f t="shared" si="305"/>
        <v>9.5782463928967679E-2</v>
      </c>
      <c r="BD640" s="6" t="s">
        <v>7536</v>
      </c>
      <c r="BE640" s="6" t="str">
        <f t="shared" si="322"/>
        <v>=9.010*100000000</v>
      </c>
      <c r="BF640" s="1">
        <f>9.01*100000000</f>
        <v>901000000</v>
      </c>
      <c r="BG640" s="8">
        <f t="shared" si="307"/>
        <v>0.46480247114290357</v>
      </c>
      <c r="BH640" s="6" t="s">
        <v>1662</v>
      </c>
      <c r="BI640" s="6" t="str">
        <f t="shared" si="323"/>
        <v>=6.151*100000000</v>
      </c>
      <c r="BJ640" s="1">
        <f>6.151*100000000</f>
        <v>615100000</v>
      </c>
      <c r="BK640" s="7" t="s">
        <v>2537</v>
      </c>
      <c r="BL640" s="1" t="str">
        <f t="shared" si="280"/>
        <v>=8341*10000</v>
      </c>
      <c r="BM640" s="16">
        <f t="shared" si="309"/>
        <v>6.3744155377053113</v>
      </c>
      <c r="BN640" s="1">
        <f>8341*10000</f>
        <v>83410000</v>
      </c>
    </row>
    <row r="641" spans="1:66">
      <c r="A641" s="19"/>
      <c r="B641">
        <v>600549</v>
      </c>
      <c r="C641" t="s">
        <v>68</v>
      </c>
      <c r="D641" s="6" t="s">
        <v>7537</v>
      </c>
      <c r="E641" s="7" t="str">
        <f t="shared" si="279"/>
        <v>=16.95*100000000</v>
      </c>
      <c r="F641" s="1">
        <f>16.95*100000000</f>
        <v>1695000000</v>
      </c>
      <c r="G641" s="8">
        <f t="shared" si="281"/>
        <v>0.18365921787709497</v>
      </c>
      <c r="H641" s="6" t="s">
        <v>4340</v>
      </c>
      <c r="I641" s="6" t="str">
        <f t="shared" si="310"/>
        <v>=14.32*100000000</v>
      </c>
      <c r="J641" s="1">
        <f>14.32*100000000</f>
        <v>1432000000</v>
      </c>
      <c r="K641" s="10">
        <f t="shared" si="283"/>
        <v>0.50089089194004821</v>
      </c>
      <c r="L641" s="6" t="s">
        <v>7538</v>
      </c>
      <c r="M641" s="6" t="str">
        <f t="shared" si="311"/>
        <v>=9.541*100000000</v>
      </c>
      <c r="N641" s="1">
        <f>9.541*100000000</f>
        <v>954100000</v>
      </c>
      <c r="O641" s="8">
        <f t="shared" si="285"/>
        <v>1.0978452066842568</v>
      </c>
      <c r="P641" s="6" t="s">
        <v>7539</v>
      </c>
      <c r="Q641" s="6" t="str">
        <f t="shared" si="312"/>
        <v>=4.548*100000000</v>
      </c>
      <c r="R641" s="11">
        <f>4.548*100000000</f>
        <v>454800000</v>
      </c>
      <c r="S641" s="8">
        <f t="shared" si="287"/>
        <v>-0.52446675031367629</v>
      </c>
      <c r="T641" s="6" t="s">
        <v>7540</v>
      </c>
      <c r="U641" s="6" t="str">
        <f t="shared" si="313"/>
        <v>=9.564*100000000</v>
      </c>
      <c r="V641" s="1">
        <f>9.564*100000000</f>
        <v>956400000</v>
      </c>
      <c r="W641" s="8">
        <f t="shared" si="289"/>
        <v>0.53539894043987801</v>
      </c>
      <c r="X641" s="6" t="s">
        <v>7541</v>
      </c>
      <c r="Y641" s="6" t="str">
        <f t="shared" si="314"/>
        <v>=6.229*100000000</v>
      </c>
      <c r="Z641" s="1">
        <f>6.229*100000000</f>
        <v>622900000</v>
      </c>
      <c r="AA641" s="8">
        <f t="shared" si="291"/>
        <v>0.509694619486185</v>
      </c>
      <c r="AB641" s="6" t="s">
        <v>7542</v>
      </c>
      <c r="AC641" s="6" t="str">
        <f t="shared" si="315"/>
        <v>=4.126*100000000</v>
      </c>
      <c r="AD641" s="1">
        <f>4.126*100000000</f>
        <v>412600000.00000006</v>
      </c>
      <c r="AE641" s="8">
        <f t="shared" si="293"/>
        <v>1.6414852752880926</v>
      </c>
      <c r="AF641" s="6" t="s">
        <v>7543</v>
      </c>
      <c r="AG641" s="6" t="str">
        <f t="shared" si="316"/>
        <v>=1.562*100000000</v>
      </c>
      <c r="AH641" s="1">
        <f>1.562*100000000</f>
        <v>156200000</v>
      </c>
      <c r="AI641" s="8">
        <f t="shared" si="295"/>
        <v>-0.72127052105638834</v>
      </c>
      <c r="AJ641" s="6" t="s">
        <v>1411</v>
      </c>
      <c r="AK641" s="6" t="str">
        <f t="shared" si="317"/>
        <v>=5.604*100000000</v>
      </c>
      <c r="AL641" s="1">
        <f>5.604*100000000</f>
        <v>560400000</v>
      </c>
      <c r="AM641" s="8">
        <f t="shared" si="297"/>
        <v>1.2238095238095239</v>
      </c>
      <c r="AN641" s="6" t="s">
        <v>6821</v>
      </c>
      <c r="AO641" s="6" t="str">
        <f t="shared" si="318"/>
        <v>=2.520*100000000</v>
      </c>
      <c r="AP641" s="1">
        <f>2.52*100000000</f>
        <v>252000000</v>
      </c>
      <c r="AQ641" s="8">
        <f t="shared" si="299"/>
        <v>0.53377967133292759</v>
      </c>
      <c r="AR641" s="6" t="s">
        <v>1940</v>
      </c>
      <c r="AS641" s="6" t="str">
        <f t="shared" si="319"/>
        <v>=1.643*100000000</v>
      </c>
      <c r="AT641" s="1">
        <f>1.643*100000000</f>
        <v>164300000</v>
      </c>
      <c r="AU641" s="8">
        <f t="shared" si="301"/>
        <v>5.4229867083659107</v>
      </c>
      <c r="AV641" s="7" t="s">
        <v>7544</v>
      </c>
      <c r="AW641" s="6" t="str">
        <f t="shared" si="320"/>
        <v>=2558*10000</v>
      </c>
      <c r="AX641" s="1">
        <f>2558*10000</f>
        <v>25580000</v>
      </c>
      <c r="AY641" s="10">
        <f t="shared" si="303"/>
        <v>-0.96809280279406262</v>
      </c>
      <c r="AZ641" s="6" t="s">
        <v>7545</v>
      </c>
      <c r="BA641" s="6" t="str">
        <f t="shared" si="321"/>
        <v>=8.017*100000000</v>
      </c>
      <c r="BB641" s="1">
        <f>8.017*100000000</f>
        <v>801700000</v>
      </c>
      <c r="BC641" s="8">
        <f t="shared" si="305"/>
        <v>0.14988525530694205</v>
      </c>
      <c r="BD641" s="6" t="s">
        <v>7546</v>
      </c>
      <c r="BE641" s="6" t="str">
        <f t="shared" si="322"/>
        <v>=6.972*100000000</v>
      </c>
      <c r="BF641" s="1">
        <f>6.972*100000000</f>
        <v>697200000</v>
      </c>
      <c r="BG641" s="8">
        <f t="shared" si="307"/>
        <v>0.46655448043752645</v>
      </c>
      <c r="BH641" s="6" t="s">
        <v>7547</v>
      </c>
      <c r="BI641" s="6" t="str">
        <f t="shared" si="323"/>
        <v>=4.754*100000000</v>
      </c>
      <c r="BJ641" s="1">
        <f>4.754*100000000</f>
        <v>475399999.99999994</v>
      </c>
      <c r="BK641" s="7" t="s">
        <v>7548</v>
      </c>
      <c r="BL641" s="1" t="str">
        <f t="shared" si="280"/>
        <v>=5196*10000</v>
      </c>
      <c r="BM641" s="16">
        <f t="shared" si="309"/>
        <v>8.1493456505003845</v>
      </c>
      <c r="BN641" s="1">
        <f>5196*10000</f>
        <v>51960000</v>
      </c>
    </row>
    <row r="642" spans="1:66">
      <c r="A642" s="17">
        <v>162</v>
      </c>
      <c r="B642">
        <v>600550</v>
      </c>
      <c r="C642" t="s">
        <v>31</v>
      </c>
      <c r="D642" s="6" t="s">
        <v>5365</v>
      </c>
      <c r="E642" s="7" t="str">
        <f t="shared" ref="E642:E705" si="324">"="&amp;D642</f>
        <v>=41.40*100000000</v>
      </c>
      <c r="F642" s="1">
        <f>41.4*100000000</f>
        <v>4140000000</v>
      </c>
      <c r="G642" s="8">
        <f t="shared" si="281"/>
        <v>0.66331860184813174</v>
      </c>
      <c r="H642" s="6" t="s">
        <v>7549</v>
      </c>
      <c r="I642" s="6" t="str">
        <f t="shared" si="310"/>
        <v>=24.89*100000000</v>
      </c>
      <c r="J642" s="1">
        <f>24.89*100000000</f>
        <v>2489000000</v>
      </c>
      <c r="K642" s="10">
        <f t="shared" si="283"/>
        <v>0.53831891223733008</v>
      </c>
      <c r="L642" s="6" t="s">
        <v>6873</v>
      </c>
      <c r="M642" s="6" t="str">
        <f t="shared" si="311"/>
        <v>=16.18*100000000</v>
      </c>
      <c r="N642" s="1">
        <f>16.18*100000000</f>
        <v>1618000000</v>
      </c>
      <c r="O642" s="8">
        <f t="shared" si="285"/>
        <v>1.4850253417293811</v>
      </c>
      <c r="P642" s="6" t="s">
        <v>7550</v>
      </c>
      <c r="Q642" s="6" t="str">
        <f t="shared" si="312"/>
        <v>=6.511*100000000</v>
      </c>
      <c r="R642" s="11">
        <f>6.511*100000000</f>
        <v>651100000</v>
      </c>
      <c r="S642" s="8">
        <f t="shared" si="287"/>
        <v>-0.84061199510403917</v>
      </c>
      <c r="T642" s="6" t="s">
        <v>1165</v>
      </c>
      <c r="U642" s="6" t="str">
        <f t="shared" si="313"/>
        <v>=40.85*100000000</v>
      </c>
      <c r="V642" s="1">
        <f>40.85*100000000</f>
        <v>4085000000</v>
      </c>
      <c r="W642" s="8">
        <f t="shared" si="289"/>
        <v>0.65317685147713478</v>
      </c>
      <c r="X642" s="6" t="s">
        <v>7551</v>
      </c>
      <c r="Y642" s="6" t="str">
        <f t="shared" si="314"/>
        <v>=24.71*100000000</v>
      </c>
      <c r="Z642" s="1">
        <f>24.71*100000000</f>
        <v>2471000000</v>
      </c>
      <c r="AA642" s="8">
        <f t="shared" si="291"/>
        <v>0.54630788485607007</v>
      </c>
      <c r="AB642" s="6" t="s">
        <v>3366</v>
      </c>
      <c r="AC642" s="6" t="str">
        <f t="shared" si="315"/>
        <v>=15.98*100000000</v>
      </c>
      <c r="AD642" s="1">
        <f>15.98*100000000</f>
        <v>1598000000</v>
      </c>
      <c r="AE642" s="8">
        <f t="shared" si="293"/>
        <v>1.7589779005524862</v>
      </c>
      <c r="AF642" s="6" t="s">
        <v>7552</v>
      </c>
      <c r="AG642" s="6" t="str">
        <f t="shared" si="316"/>
        <v>=5.792*100000000</v>
      </c>
      <c r="AH642" s="1">
        <f>5.792*100000000</f>
        <v>579200000</v>
      </c>
      <c r="AI642" s="8">
        <f t="shared" si="295"/>
        <v>-0.83536100056850482</v>
      </c>
      <c r="AJ642" s="6" t="s">
        <v>7553</v>
      </c>
      <c r="AK642" s="6" t="str">
        <f t="shared" si="317"/>
        <v>=35.18*100000000</v>
      </c>
      <c r="AL642" s="1">
        <f>35.18*100000000</f>
        <v>3518000000</v>
      </c>
      <c r="AM642" s="8">
        <f t="shared" si="297"/>
        <v>0.61228230980751608</v>
      </c>
      <c r="AN642" s="6" t="s">
        <v>1369</v>
      </c>
      <c r="AO642" s="6" t="str">
        <f t="shared" si="318"/>
        <v>=21.82*100000000</v>
      </c>
      <c r="AP642" s="1">
        <f>21.82*100000000</f>
        <v>2182000000</v>
      </c>
      <c r="AQ642" s="8">
        <f t="shared" si="299"/>
        <v>0.72217837411207575</v>
      </c>
      <c r="AR642" s="6" t="s">
        <v>7554</v>
      </c>
      <c r="AS642" s="6" t="str">
        <f t="shared" si="319"/>
        <v>=12.67*100000000</v>
      </c>
      <c r="AT642" s="1">
        <f>12.67*100000000</f>
        <v>1267000000</v>
      </c>
      <c r="AU642" s="8">
        <f t="shared" si="301"/>
        <v>1.3011260443152923</v>
      </c>
      <c r="AV642" s="6" t="s">
        <v>7555</v>
      </c>
      <c r="AW642" s="6" t="str">
        <f t="shared" si="320"/>
        <v>=5.506*100000000</v>
      </c>
      <c r="AX642" s="1">
        <f>5.506*100000000</f>
        <v>550600000</v>
      </c>
      <c r="AY642" s="10">
        <f t="shared" si="303"/>
        <v>-0.8272356448070286</v>
      </c>
      <c r="AZ642" s="6" t="s">
        <v>5982</v>
      </c>
      <c r="BA642" s="6" t="str">
        <f t="shared" si="321"/>
        <v>=31.87*100000000</v>
      </c>
      <c r="BB642" s="1">
        <f>31.87*100000000</f>
        <v>3187000000</v>
      </c>
      <c r="BC642" s="8">
        <f t="shared" si="305"/>
        <v>0.40272887323943662</v>
      </c>
      <c r="BD642" s="6" t="s">
        <v>7556</v>
      </c>
      <c r="BE642" s="6" t="str">
        <f t="shared" si="322"/>
        <v>=22.72*100000000</v>
      </c>
      <c r="BF642" s="1">
        <f>22.72*100000000</f>
        <v>2272000000</v>
      </c>
      <c r="BG642" s="8">
        <f t="shared" si="307"/>
        <v>0.44529262086513993</v>
      </c>
      <c r="BH642" s="6" t="s">
        <v>7557</v>
      </c>
      <c r="BI642" s="6" t="str">
        <f t="shared" si="323"/>
        <v>=15.72*100000000</v>
      </c>
      <c r="BJ642" s="1">
        <f>15.72*100000000</f>
        <v>1572000000</v>
      </c>
      <c r="BK642" s="6" t="s">
        <v>7558</v>
      </c>
      <c r="BL642" s="1" t="str">
        <f t="shared" ref="BL642:BL705" si="325">"="&amp;BK642</f>
        <v>=5.416*100000000</v>
      </c>
      <c r="BM642" s="16">
        <f t="shared" si="309"/>
        <v>1.9025110782865584</v>
      </c>
      <c r="BN642" s="1">
        <f>5.416*100000000</f>
        <v>541600000</v>
      </c>
    </row>
    <row r="643" spans="1:66">
      <c r="A643" s="18"/>
      <c r="B643">
        <v>600550</v>
      </c>
      <c r="C643" t="s">
        <v>48</v>
      </c>
      <c r="D643" s="7" t="s">
        <v>7559</v>
      </c>
      <c r="E643" s="7" t="str">
        <f t="shared" si="324"/>
        <v>=6570*10000</v>
      </c>
      <c r="F643" s="1">
        <f>6570*10000</f>
        <v>65700000</v>
      </c>
      <c r="G643" s="8">
        <f t="shared" ref="G643:G706" si="326">(F643-J643)/J643</f>
        <v>1.9836512261580381</v>
      </c>
      <c r="H643" s="7" t="s">
        <v>7560</v>
      </c>
      <c r="I643" s="6" t="str">
        <f t="shared" si="310"/>
        <v>=2202*10000</v>
      </c>
      <c r="J643" s="1">
        <f>2202*10000</f>
        <v>22020000</v>
      </c>
      <c r="K643" s="10">
        <f t="shared" ref="K643:K706" si="327">(J643-N643)/N643</f>
        <v>1.1461988304093567</v>
      </c>
      <c r="L643" s="7" t="s">
        <v>7561</v>
      </c>
      <c r="M643" s="6" t="str">
        <f t="shared" si="311"/>
        <v>=1026*10000</v>
      </c>
      <c r="N643" s="1">
        <f>1026*10000</f>
        <v>10260000</v>
      </c>
      <c r="O643" s="8">
        <f t="shared" ref="O643:O706" si="328">(N643-R643)/R643</f>
        <v>0.57289590679135372</v>
      </c>
      <c r="P643" s="7" t="s">
        <v>7562</v>
      </c>
      <c r="Q643" s="6" t="str">
        <f t="shared" si="312"/>
        <v>=652.3*10000</v>
      </c>
      <c r="R643" s="11">
        <f>652.3*10000</f>
        <v>6523000</v>
      </c>
      <c r="S643" s="8">
        <f t="shared" ref="S643:S706" si="329">(R643-V643)/V643</f>
        <v>-0.55806233062330624</v>
      </c>
      <c r="T643" s="7" t="s">
        <v>7563</v>
      </c>
      <c r="U643" s="6" t="str">
        <f t="shared" si="313"/>
        <v>=1476*10000</v>
      </c>
      <c r="V643" s="1">
        <f>1476*10000</f>
        <v>14760000</v>
      </c>
      <c r="W643" s="8">
        <f t="shared" ref="W643:W706" si="330">(V643-Z643)/Z643</f>
        <v>-0.16136363636363638</v>
      </c>
      <c r="X643" s="7" t="s">
        <v>7564</v>
      </c>
      <c r="Y643" s="6" t="str">
        <f t="shared" si="314"/>
        <v>=1760*10000</v>
      </c>
      <c r="Z643" s="1">
        <f>1760*10000</f>
        <v>17600000</v>
      </c>
      <c r="AA643" s="8">
        <f t="shared" ref="AA643:AA706" si="331">(Z643-AD643)/AD643</f>
        <v>0.64026095060577815</v>
      </c>
      <c r="AB643" s="7" t="s">
        <v>7565</v>
      </c>
      <c r="AC643" s="6" t="str">
        <f t="shared" si="315"/>
        <v>=1073*10000</v>
      </c>
      <c r="AD643" s="1">
        <f>1073*10000</f>
        <v>10730000</v>
      </c>
      <c r="AE643" s="8">
        <f t="shared" ref="AE643:AE706" si="332">(AD643-AH643)/AH643</f>
        <v>-1.8773507767784137</v>
      </c>
      <c r="AF643" s="7">
        <f>-1223*10000</f>
        <v>-12230000</v>
      </c>
      <c r="AG643" s="6" t="str">
        <f t="shared" si="316"/>
        <v>=-12230000</v>
      </c>
      <c r="AH643" s="1">
        <f>-12230000</f>
        <v>-12230000</v>
      </c>
      <c r="AI643" s="8">
        <f t="shared" ref="AI643:AI706" si="333">(AH643-AL643)/AL643</f>
        <v>-7.9331065759637189</v>
      </c>
      <c r="AJ643" s="7" t="s">
        <v>7566</v>
      </c>
      <c r="AK643" s="6" t="str">
        <f t="shared" si="317"/>
        <v>=176.4*10000</v>
      </c>
      <c r="AL643" s="1">
        <f>176.4*10000</f>
        <v>1764000</v>
      </c>
      <c r="AM643" s="8">
        <f t="shared" ref="AM643:AM706" si="334">(AL643-AP643)/AP643</f>
        <v>-1.0163940520446098</v>
      </c>
      <c r="AN643" s="6">
        <f>-1.076*100000000</f>
        <v>-107600000</v>
      </c>
      <c r="AO643" s="6" t="str">
        <f t="shared" si="318"/>
        <v>=-107600000</v>
      </c>
      <c r="AP643" s="1">
        <f>-107600000</f>
        <v>-107600000</v>
      </c>
      <c r="AQ643" s="8">
        <f t="shared" ref="AQ643:AQ706" si="335">(AP643-AT643)/AT643</f>
        <v>-7.8767123287671229E-2</v>
      </c>
      <c r="AR643" s="6">
        <f>-1.168*100000000</f>
        <v>-116800000</v>
      </c>
      <c r="AS643" s="6" t="str">
        <f t="shared" si="319"/>
        <v>=-116800000</v>
      </c>
      <c r="AT643" s="1">
        <f>-116800000</f>
        <v>-116800000</v>
      </c>
      <c r="AU643" s="8">
        <f t="shared" ref="AU643:AU706" si="336">(AT643-AX643)/AX643</f>
        <v>1.3812436289500509</v>
      </c>
      <c r="AV643" s="7">
        <f>-4905*10000</f>
        <v>-49050000</v>
      </c>
      <c r="AW643" s="6" t="str">
        <f t="shared" si="320"/>
        <v>=-49050000</v>
      </c>
      <c r="AX643" s="1">
        <f>-49050000</f>
        <v>-49050000</v>
      </c>
      <c r="AY643" s="10">
        <f t="shared" ref="AY643:AY706" si="337">(AX643-BB643)/BB643</f>
        <v>-0.94166270218839199</v>
      </c>
      <c r="AZ643" s="6">
        <f>-8.408*100000000</f>
        <v>-840800000</v>
      </c>
      <c r="BA643" s="6" t="str">
        <f t="shared" si="321"/>
        <v>=-840800000</v>
      </c>
      <c r="BB643" s="1">
        <f>-840800000</f>
        <v>-840800000</v>
      </c>
      <c r="BC643" s="8">
        <f t="shared" ref="BC643:BC706" si="338">(BB643-BF643)/BF643</f>
        <v>3.0618357487922707</v>
      </c>
      <c r="BD643" s="6">
        <f>-2.07*100000000</f>
        <v>-206999999.99999997</v>
      </c>
      <c r="BE643" s="6" t="str">
        <f t="shared" si="322"/>
        <v>=-207000000</v>
      </c>
      <c r="BF643" s="1">
        <f>-207000000</f>
        <v>-207000000</v>
      </c>
      <c r="BG643" s="8">
        <f t="shared" ref="BG643:BG706" si="339">(BF643-BJ643)/BJ643</f>
        <v>0.47330960854092524</v>
      </c>
      <c r="BH643" s="6">
        <f>-1.405*100000000</f>
        <v>-140500000</v>
      </c>
      <c r="BI643" s="6" t="str">
        <f t="shared" si="323"/>
        <v>=-140500000</v>
      </c>
      <c r="BJ643" s="1">
        <f>-140500000</f>
        <v>-140500000</v>
      </c>
      <c r="BK643" s="7">
        <f>-6506*10000</f>
        <v>-65060000</v>
      </c>
      <c r="BL643" s="1" t="str">
        <f t="shared" si="325"/>
        <v>=-65060000</v>
      </c>
      <c r="BM643" s="16">
        <f t="shared" ref="BM643:BM706" si="340">(BJ643-BN643)/BN643</f>
        <v>1.1595450353519827</v>
      </c>
      <c r="BN643" s="1">
        <f>-65060000</f>
        <v>-65060000</v>
      </c>
    </row>
    <row r="644" spans="1:66">
      <c r="A644" s="18"/>
      <c r="B644">
        <v>600550</v>
      </c>
      <c r="C644" t="s">
        <v>58</v>
      </c>
      <c r="D644" s="7" t="s">
        <v>7567</v>
      </c>
      <c r="E644" s="7" t="str">
        <f t="shared" si="324"/>
        <v>=6005*10000</v>
      </c>
      <c r="F644" s="1">
        <f>6005*10000</f>
        <v>60050000</v>
      </c>
      <c r="G644" s="8">
        <f t="shared" si="326"/>
        <v>1.6280087527352298</v>
      </c>
      <c r="H644" s="7" t="s">
        <v>7568</v>
      </c>
      <c r="I644" s="6" t="str">
        <f t="shared" si="310"/>
        <v>=2285*10000</v>
      </c>
      <c r="J644" s="1">
        <f>2285*10000</f>
        <v>22850000</v>
      </c>
      <c r="K644" s="10">
        <f t="shared" si="327"/>
        <v>0.90734557595993326</v>
      </c>
      <c r="L644" s="7" t="s">
        <v>7569</v>
      </c>
      <c r="M644" s="6" t="str">
        <f t="shared" si="311"/>
        <v>=1198*10000</v>
      </c>
      <c r="N644" s="1">
        <f>1198*10000</f>
        <v>11980000</v>
      </c>
      <c r="O644" s="8">
        <f t="shared" si="328"/>
        <v>0.56294846705805612</v>
      </c>
      <c r="P644" s="7" t="s">
        <v>7570</v>
      </c>
      <c r="Q644" s="6" t="str">
        <f t="shared" si="312"/>
        <v>=766.5*10000</v>
      </c>
      <c r="R644" s="11">
        <f>766.5*10000</f>
        <v>7665000</v>
      </c>
      <c r="S644" s="8">
        <f t="shared" si="329"/>
        <v>-0.75065061808718281</v>
      </c>
      <c r="T644" s="7" t="s">
        <v>7571</v>
      </c>
      <c r="U644" s="6" t="str">
        <f t="shared" si="313"/>
        <v>=3074*10000</v>
      </c>
      <c r="V644" s="1">
        <f>3074*10000</f>
        <v>30740000</v>
      </c>
      <c r="W644" s="8">
        <f t="shared" si="330"/>
        <v>0.73085585585585588</v>
      </c>
      <c r="X644" s="7" t="s">
        <v>7572</v>
      </c>
      <c r="Y644" s="6" t="str">
        <f t="shared" si="314"/>
        <v>=1776*10000</v>
      </c>
      <c r="Z644" s="1">
        <f>1776*10000</f>
        <v>17760000</v>
      </c>
      <c r="AA644" s="8">
        <f t="shared" si="331"/>
        <v>1.297542043984476</v>
      </c>
      <c r="AB644" s="7" t="s">
        <v>7573</v>
      </c>
      <c r="AC644" s="6" t="str">
        <f t="shared" si="315"/>
        <v>=773.0*10000</v>
      </c>
      <c r="AD644" s="1">
        <f>773*10000</f>
        <v>7730000</v>
      </c>
      <c r="AE644" s="8">
        <f t="shared" si="332"/>
        <v>-1.6315359477124183</v>
      </c>
      <c r="AF644" s="7">
        <f>-1224*10000</f>
        <v>-12240000</v>
      </c>
      <c r="AG644" s="6" t="str">
        <f t="shared" si="316"/>
        <v>=-12240000</v>
      </c>
      <c r="AH644" s="1">
        <f>-12240000</f>
        <v>-12240000</v>
      </c>
      <c r="AI644" s="8">
        <f t="shared" si="333"/>
        <v>-1.2921938410121747</v>
      </c>
      <c r="AJ644" s="7" t="s">
        <v>7574</v>
      </c>
      <c r="AK644" s="6" t="str">
        <f t="shared" si="317"/>
        <v>=4189*10000</v>
      </c>
      <c r="AL644" s="1">
        <f>4189*10000</f>
        <v>41890000</v>
      </c>
      <c r="AM644" s="8">
        <f t="shared" si="334"/>
        <v>-1.6850367947669664</v>
      </c>
      <c r="AN644" s="7">
        <f>-6115*10000</f>
        <v>-61150000</v>
      </c>
      <c r="AO644" s="6" t="str">
        <f t="shared" si="318"/>
        <v>=-61150000</v>
      </c>
      <c r="AP644" s="1">
        <f>-61150000</f>
        <v>-61150000</v>
      </c>
      <c r="AQ644" s="8">
        <f t="shared" si="335"/>
        <v>-0.18596911608093716</v>
      </c>
      <c r="AR644" s="7">
        <f>-7512*10000</f>
        <v>-75120000</v>
      </c>
      <c r="AS644" s="6" t="str">
        <f t="shared" si="319"/>
        <v>=-75120000</v>
      </c>
      <c r="AT644" s="1">
        <f>-75120000</f>
        <v>-75120000</v>
      </c>
      <c r="AU644" s="8">
        <f t="shared" si="336"/>
        <v>0.76836158192090398</v>
      </c>
      <c r="AV644" s="7">
        <f>-4248*10000</f>
        <v>-42480000</v>
      </c>
      <c r="AW644" s="6" t="str">
        <f t="shared" si="320"/>
        <v>=-42480000</v>
      </c>
      <c r="AX644" s="1">
        <f>-42480000</f>
        <v>-42480000</v>
      </c>
      <c r="AY644" s="10">
        <f t="shared" si="337"/>
        <v>-0.94930182599355528</v>
      </c>
      <c r="AZ644" s="6">
        <f>-8.379*100000000</f>
        <v>-837900000</v>
      </c>
      <c r="BA644" s="6" t="str">
        <f t="shared" si="321"/>
        <v>=-837900000</v>
      </c>
      <c r="BB644" s="1">
        <f>-837900000</f>
        <v>-837900000</v>
      </c>
      <c r="BC644" s="8">
        <f t="shared" si="338"/>
        <v>3.1665837891596222</v>
      </c>
      <c r="BD644" s="6">
        <f>-2.011*100000000</f>
        <v>-201100000</v>
      </c>
      <c r="BE644" s="6" t="str">
        <f t="shared" si="322"/>
        <v>=-201100000</v>
      </c>
      <c r="BF644" s="1">
        <f>-201100000</f>
        <v>-201100000</v>
      </c>
      <c r="BG644" s="8">
        <f t="shared" si="339"/>
        <v>0.45513748191027498</v>
      </c>
      <c r="BH644" s="6">
        <f>-1.382*100000000</f>
        <v>-138200000</v>
      </c>
      <c r="BI644" s="6" t="str">
        <f t="shared" si="323"/>
        <v>=-138200000</v>
      </c>
      <c r="BJ644" s="1">
        <f>-138200000</f>
        <v>-138200000</v>
      </c>
      <c r="BK644" s="7">
        <f>-6324*10000</f>
        <v>-63240000</v>
      </c>
      <c r="BL644" s="1" t="str">
        <f t="shared" si="325"/>
        <v>=-63240000</v>
      </c>
      <c r="BM644" s="16">
        <f t="shared" si="340"/>
        <v>1.185325743200506</v>
      </c>
      <c r="BN644" s="1">
        <f>-63240000</f>
        <v>-63240000</v>
      </c>
    </row>
    <row r="645" spans="1:66">
      <c r="A645" s="19"/>
      <c r="B645">
        <v>600550</v>
      </c>
      <c r="C645" t="s">
        <v>68</v>
      </c>
      <c r="D645" s="7" t="s">
        <v>7575</v>
      </c>
      <c r="E645" s="7" t="str">
        <f t="shared" si="324"/>
        <v>=5724*10000</v>
      </c>
      <c r="F645" s="1">
        <f>5724*10000</f>
        <v>57240000</v>
      </c>
      <c r="G645" s="8">
        <f t="shared" si="326"/>
        <v>1.9489953632148378</v>
      </c>
      <c r="H645" s="7" t="s">
        <v>7576</v>
      </c>
      <c r="I645" s="6" t="str">
        <f t="shared" si="310"/>
        <v>=1941*10000</v>
      </c>
      <c r="J645" s="1">
        <f>1941*10000</f>
        <v>19410000</v>
      </c>
      <c r="K645" s="10">
        <f t="shared" si="327"/>
        <v>0.81571562207670723</v>
      </c>
      <c r="L645" s="7" t="s">
        <v>7577</v>
      </c>
      <c r="M645" s="6" t="str">
        <f t="shared" si="311"/>
        <v>=1069*10000</v>
      </c>
      <c r="N645" s="1">
        <f>1069*10000</f>
        <v>10690000</v>
      </c>
      <c r="O645" s="8">
        <f t="shared" si="328"/>
        <v>0.50967377489055221</v>
      </c>
      <c r="P645" s="7" t="s">
        <v>7578</v>
      </c>
      <c r="Q645" s="6" t="str">
        <f t="shared" si="312"/>
        <v>=708.1*10000</v>
      </c>
      <c r="R645" s="11">
        <f>708.1*10000</f>
        <v>7081000</v>
      </c>
      <c r="S645" s="8">
        <f t="shared" si="329"/>
        <v>-0.71675999999999995</v>
      </c>
      <c r="T645" s="7" t="s">
        <v>7579</v>
      </c>
      <c r="U645" s="6" t="str">
        <f t="shared" si="313"/>
        <v>=2500*10000</v>
      </c>
      <c r="V645" s="1">
        <f>2500*10000</f>
        <v>25000000</v>
      </c>
      <c r="W645" s="8">
        <f t="shared" si="330"/>
        <v>0.53092467850581748</v>
      </c>
      <c r="X645" s="7" t="s">
        <v>7580</v>
      </c>
      <c r="Y645" s="6" t="str">
        <f t="shared" si="314"/>
        <v>=1633*10000</v>
      </c>
      <c r="Z645" s="1">
        <f>1633*10000</f>
        <v>16330000</v>
      </c>
      <c r="AA645" s="8">
        <f t="shared" si="331"/>
        <v>1.0155517156257714</v>
      </c>
      <c r="AB645" s="7" t="s">
        <v>7581</v>
      </c>
      <c r="AC645" s="6" t="str">
        <f t="shared" si="315"/>
        <v>=810.2*10000</v>
      </c>
      <c r="AD645" s="1">
        <f>810.2*10000</f>
        <v>8102000</v>
      </c>
      <c r="AE645" s="8">
        <f t="shared" si="332"/>
        <v>-1.6592351505288854</v>
      </c>
      <c r="AF645" s="7">
        <f>-1229*10000</f>
        <v>-12290000</v>
      </c>
      <c r="AG645" s="6" t="str">
        <f t="shared" si="316"/>
        <v>=-12290000</v>
      </c>
      <c r="AH645" s="1">
        <f>-12290000</f>
        <v>-12290000</v>
      </c>
      <c r="AI645" s="8">
        <f t="shared" si="333"/>
        <v>-1.7120509849362688</v>
      </c>
      <c r="AJ645" s="7" t="s">
        <v>7582</v>
      </c>
      <c r="AK645" s="6" t="str">
        <f t="shared" si="317"/>
        <v>=1726*10000</v>
      </c>
      <c r="AL645" s="1">
        <f>1726*10000</f>
        <v>17260000</v>
      </c>
      <c r="AM645" s="8">
        <f t="shared" si="334"/>
        <v>-1.2271052631578947</v>
      </c>
      <c r="AN645" s="7">
        <f>-7600*10000</f>
        <v>-76000000</v>
      </c>
      <c r="AO645" s="6" t="str">
        <f t="shared" si="318"/>
        <v>=-76000000</v>
      </c>
      <c r="AP645" s="1">
        <f>-76000000</f>
        <v>-76000000</v>
      </c>
      <c r="AQ645" s="8">
        <f t="shared" si="335"/>
        <v>-6.519065190651907E-2</v>
      </c>
      <c r="AR645" s="7">
        <f>-8130*10000</f>
        <v>-81300000</v>
      </c>
      <c r="AS645" s="6" t="str">
        <f t="shared" si="319"/>
        <v>=-81300000</v>
      </c>
      <c r="AT645" s="1">
        <f>-81300000</f>
        <v>-81300000</v>
      </c>
      <c r="AU645" s="8">
        <f t="shared" si="336"/>
        <v>0.8815089099745429</v>
      </c>
      <c r="AV645" s="7">
        <f>-4321*10000</f>
        <v>-43210000</v>
      </c>
      <c r="AW645" s="6" t="str">
        <f t="shared" si="320"/>
        <v>=-43210000</v>
      </c>
      <c r="AX645" s="1">
        <f>-43210000</f>
        <v>-43210000</v>
      </c>
      <c r="AY645" s="10">
        <f t="shared" si="337"/>
        <v>-0.9485595238095238</v>
      </c>
      <c r="AZ645" s="6">
        <f>-8.4*100000000</f>
        <v>-840000000</v>
      </c>
      <c r="BA645" s="6" t="str">
        <f t="shared" si="321"/>
        <v>=-840000000</v>
      </c>
      <c r="BB645" s="1">
        <f>-840000000</f>
        <v>-840000000</v>
      </c>
      <c r="BC645" s="8">
        <f t="shared" si="338"/>
        <v>3.0481927710843375</v>
      </c>
      <c r="BD645" s="6">
        <f>-2.075*100000000</f>
        <v>-207500000.00000003</v>
      </c>
      <c r="BE645" s="6" t="str">
        <f t="shared" si="322"/>
        <v>=-207500000</v>
      </c>
      <c r="BF645" s="1">
        <f>-207500000</f>
        <v>-207500000</v>
      </c>
      <c r="BG645" s="8">
        <f t="shared" si="339"/>
        <v>0.49173256649892166</v>
      </c>
      <c r="BH645" s="6">
        <f>-1.391*100000000</f>
        <v>-139100000</v>
      </c>
      <c r="BI645" s="6" t="str">
        <f t="shared" si="323"/>
        <v>=-139100000</v>
      </c>
      <c r="BJ645" s="1">
        <f>-139100000</f>
        <v>-139100000</v>
      </c>
      <c r="BK645" s="7">
        <f>-6397*10000</f>
        <v>-63970000</v>
      </c>
      <c r="BL645" s="1" t="str">
        <f t="shared" si="325"/>
        <v>=-63970000</v>
      </c>
      <c r="BM645" s="16">
        <f t="shared" si="340"/>
        <v>1.1744567766140379</v>
      </c>
      <c r="BN645" s="1">
        <f>-63970000</f>
        <v>-63970000</v>
      </c>
    </row>
    <row r="646" spans="1:66">
      <c r="A646" s="17">
        <v>163</v>
      </c>
      <c r="B646">
        <v>600552</v>
      </c>
      <c r="C646" t="s">
        <v>31</v>
      </c>
      <c r="D646" s="6" t="s">
        <v>7583</v>
      </c>
      <c r="E646" s="7" t="str">
        <f t="shared" si="324"/>
        <v>=63.24*100000000</v>
      </c>
      <c r="F646" s="1">
        <f>63.24*100000000</f>
        <v>6324000000</v>
      </c>
      <c r="G646" s="8">
        <f t="shared" si="326"/>
        <v>0.30526315789473685</v>
      </c>
      <c r="H646" s="6" t="s">
        <v>7584</v>
      </c>
      <c r="I646" s="6" t="str">
        <f t="shared" si="310"/>
        <v>=48.45*100000000</v>
      </c>
      <c r="J646" s="1">
        <f>48.45*100000000</f>
        <v>4845000000</v>
      </c>
      <c r="K646" s="10">
        <f t="shared" si="327"/>
        <v>0.43131462333825704</v>
      </c>
      <c r="L646" s="6" t="s">
        <v>6360</v>
      </c>
      <c r="M646" s="6" t="str">
        <f t="shared" si="311"/>
        <v>=33.85*100000000</v>
      </c>
      <c r="N646" s="1">
        <f>33.85*100000000</f>
        <v>3385000000</v>
      </c>
      <c r="O646" s="8">
        <f t="shared" si="328"/>
        <v>1.0856438693776955</v>
      </c>
      <c r="P646" s="6" t="s">
        <v>6483</v>
      </c>
      <c r="Q646" s="6" t="str">
        <f t="shared" si="312"/>
        <v>=16.23*100000000</v>
      </c>
      <c r="R646" s="11">
        <f>16.23*100000000</f>
        <v>1623000000</v>
      </c>
      <c r="S646" s="8">
        <f t="shared" si="329"/>
        <v>-0.67975532754538281</v>
      </c>
      <c r="T646" s="6" t="s">
        <v>7585</v>
      </c>
      <c r="U646" s="6" t="str">
        <f t="shared" si="313"/>
        <v>=50.68*100000000</v>
      </c>
      <c r="V646" s="1">
        <f>50.68*100000000</f>
        <v>5068000000</v>
      </c>
      <c r="W646" s="8">
        <f t="shared" si="330"/>
        <v>0.39691289966923926</v>
      </c>
      <c r="X646" s="6" t="s">
        <v>7586</v>
      </c>
      <c r="Y646" s="6" t="str">
        <f t="shared" si="314"/>
        <v>=36.28*100000000</v>
      </c>
      <c r="Z646" s="1">
        <f>36.28*100000000</f>
        <v>3628000000</v>
      </c>
      <c r="AA646" s="8">
        <f t="shared" si="331"/>
        <v>0.82311557788944745</v>
      </c>
      <c r="AB646" s="6" t="s">
        <v>7587</v>
      </c>
      <c r="AC646" s="6" t="str">
        <f t="shared" si="315"/>
        <v>=19.90*100000000</v>
      </c>
      <c r="AD646" s="1">
        <f>19.9*100000000</f>
        <v>1989999999.9999998</v>
      </c>
      <c r="AE646" s="8">
        <f t="shared" si="332"/>
        <v>1.4215137503042099</v>
      </c>
      <c r="AF646" s="6" t="s">
        <v>7588</v>
      </c>
      <c r="AG646" s="6" t="str">
        <f t="shared" si="316"/>
        <v>=8.218*100000000</v>
      </c>
      <c r="AH646" s="1">
        <f>8.218*100000000</f>
        <v>821800000</v>
      </c>
      <c r="AI646" s="8">
        <f t="shared" si="333"/>
        <v>-0.81810535635236825</v>
      </c>
      <c r="AJ646" s="6" t="s">
        <v>7589</v>
      </c>
      <c r="AK646" s="6" t="str">
        <f t="shared" si="317"/>
        <v>=45.18*100000000</v>
      </c>
      <c r="AL646" s="1">
        <f>45.18*100000000</f>
        <v>4518000000</v>
      </c>
      <c r="AM646" s="8">
        <f t="shared" si="334"/>
        <v>0.46879063719115732</v>
      </c>
      <c r="AN646" s="6" t="s">
        <v>4987</v>
      </c>
      <c r="AO646" s="6" t="str">
        <f t="shared" si="318"/>
        <v>=30.76*100000000</v>
      </c>
      <c r="AP646" s="1">
        <f>30.76*100000000</f>
        <v>3076000000</v>
      </c>
      <c r="AQ646" s="8">
        <f t="shared" si="335"/>
        <v>0.72228443449048152</v>
      </c>
      <c r="AR646" s="6" t="s">
        <v>7590</v>
      </c>
      <c r="AS646" s="6" t="str">
        <f t="shared" si="319"/>
        <v>=17.86*100000000</v>
      </c>
      <c r="AT646" s="1">
        <f>17.86*100000000</f>
        <v>1786000000</v>
      </c>
      <c r="AU646" s="8">
        <f t="shared" si="336"/>
        <v>1.453633740898475</v>
      </c>
      <c r="AV646" s="6" t="s">
        <v>7591</v>
      </c>
      <c r="AW646" s="6" t="str">
        <f t="shared" si="320"/>
        <v>=7.279*100000000</v>
      </c>
      <c r="AX646" s="1">
        <f>7.279*100000000</f>
        <v>727900000</v>
      </c>
      <c r="AY646" s="10">
        <f t="shared" si="337"/>
        <v>-0.76118766404199478</v>
      </c>
      <c r="AZ646" s="6" t="s">
        <v>7592</v>
      </c>
      <c r="BA646" s="6" t="str">
        <f t="shared" si="321"/>
        <v>=30.48*100000000</v>
      </c>
      <c r="BB646" s="1">
        <f>30.48*100000000</f>
        <v>3048000000</v>
      </c>
      <c r="BC646" s="8">
        <f t="shared" si="338"/>
        <v>0.42230517965468967</v>
      </c>
      <c r="BD646" s="6" t="s">
        <v>7593</v>
      </c>
      <c r="BE646" s="6" t="str">
        <f t="shared" si="322"/>
        <v>=21.43*100000000</v>
      </c>
      <c r="BF646" s="1">
        <f>21.43*100000000</f>
        <v>2143000000</v>
      </c>
      <c r="BG646" s="8">
        <f t="shared" si="339"/>
        <v>0.63712757830404887</v>
      </c>
      <c r="BH646" s="6" t="s">
        <v>6409</v>
      </c>
      <c r="BI646" s="6" t="str">
        <f t="shared" si="323"/>
        <v>=13.09*100000000</v>
      </c>
      <c r="BJ646" s="1">
        <f>13.09*100000000</f>
        <v>1309000000</v>
      </c>
      <c r="BK646" s="6" t="s">
        <v>4500</v>
      </c>
      <c r="BL646" s="1" t="str">
        <f t="shared" si="325"/>
        <v>=5.819*100000000</v>
      </c>
      <c r="BM646" s="16">
        <f t="shared" si="340"/>
        <v>1.2495274102079394</v>
      </c>
      <c r="BN646" s="1">
        <f>5.819*100000000</f>
        <v>581900000</v>
      </c>
    </row>
    <row r="647" spans="1:66">
      <c r="A647" s="18"/>
      <c r="B647">
        <v>600552</v>
      </c>
      <c r="C647" t="s">
        <v>48</v>
      </c>
      <c r="D647" s="6" t="s">
        <v>7594</v>
      </c>
      <c r="E647" s="7" t="str">
        <f t="shared" si="324"/>
        <v>=2.829*100000000</v>
      </c>
      <c r="F647" s="1">
        <f>2.829*100000000</f>
        <v>282900000</v>
      </c>
      <c r="G647" s="8">
        <f t="shared" si="326"/>
        <v>0.17045924700041387</v>
      </c>
      <c r="H647" s="6" t="s">
        <v>7595</v>
      </c>
      <c r="I647" s="6" t="str">
        <f t="shared" si="310"/>
        <v>=2.417*100000000</v>
      </c>
      <c r="J647" s="1">
        <f>2.417*100000000</f>
        <v>241699999.99999997</v>
      </c>
      <c r="K647" s="10">
        <f t="shared" si="327"/>
        <v>0.60384870603848684</v>
      </c>
      <c r="L647" s="6" t="s">
        <v>4834</v>
      </c>
      <c r="M647" s="6" t="str">
        <f t="shared" si="311"/>
        <v>=1.507*100000000</v>
      </c>
      <c r="N647" s="1">
        <f>1.507*100000000</f>
        <v>150700000</v>
      </c>
      <c r="O647" s="8">
        <f t="shared" si="328"/>
        <v>2.7627965043695379</v>
      </c>
      <c r="P647" s="7" t="s">
        <v>7596</v>
      </c>
      <c r="Q647" s="6" t="str">
        <f t="shared" si="312"/>
        <v>=4005*10000</v>
      </c>
      <c r="R647" s="11">
        <f>4005*10000</f>
        <v>40050000</v>
      </c>
      <c r="S647" s="8">
        <f t="shared" si="329"/>
        <v>-0.80652173913043479</v>
      </c>
      <c r="T647" s="6" t="s">
        <v>7597</v>
      </c>
      <c r="U647" s="6" t="str">
        <f t="shared" si="313"/>
        <v>=2.070*100000000</v>
      </c>
      <c r="V647" s="1">
        <f>2.07*100000000</f>
        <v>206999999.99999997</v>
      </c>
      <c r="W647" s="8">
        <f t="shared" si="330"/>
        <v>0.49242970439798106</v>
      </c>
      <c r="X647" s="6" t="s">
        <v>2160</v>
      </c>
      <c r="Y647" s="6" t="str">
        <f t="shared" si="314"/>
        <v>=1.387*100000000</v>
      </c>
      <c r="Z647" s="1">
        <f>1.387*100000000</f>
        <v>138700000</v>
      </c>
      <c r="AA647" s="8">
        <f t="shared" si="331"/>
        <v>0.76575429662635264</v>
      </c>
      <c r="AB647" s="7" t="s">
        <v>7598</v>
      </c>
      <c r="AC647" s="6" t="str">
        <f t="shared" si="315"/>
        <v>=7855*10000</v>
      </c>
      <c r="AD647" s="1">
        <f>7855*10000</f>
        <v>78550000</v>
      </c>
      <c r="AE647" s="8">
        <f t="shared" si="332"/>
        <v>2.7983558994197293</v>
      </c>
      <c r="AF647" s="7" t="s">
        <v>2011</v>
      </c>
      <c r="AG647" s="6" t="str">
        <f t="shared" si="316"/>
        <v>=2068*10000</v>
      </c>
      <c r="AH647" s="1">
        <f>2068*10000</f>
        <v>20680000</v>
      </c>
      <c r="AI647" s="8">
        <f t="shared" si="333"/>
        <v>-0.86036461850101287</v>
      </c>
      <c r="AJ647" s="6" t="s">
        <v>1994</v>
      </c>
      <c r="AK647" s="6" t="str">
        <f t="shared" si="317"/>
        <v>=1.481*100000000</v>
      </c>
      <c r="AL647" s="1">
        <f>1.481*100000000</f>
        <v>148100000</v>
      </c>
      <c r="AM647" s="8">
        <f t="shared" si="334"/>
        <v>0.32587287376902419</v>
      </c>
      <c r="AN647" s="6" t="s">
        <v>7599</v>
      </c>
      <c r="AO647" s="6" t="str">
        <f t="shared" si="318"/>
        <v>=1.117*100000000</v>
      </c>
      <c r="AP647" s="1">
        <f>1.117*100000000</f>
        <v>111700000</v>
      </c>
      <c r="AQ647" s="8">
        <f t="shared" si="335"/>
        <v>0.53476229733443259</v>
      </c>
      <c r="AR647" s="7" t="s">
        <v>7600</v>
      </c>
      <c r="AS647" s="6" t="str">
        <f t="shared" si="319"/>
        <v>=7278*10000</v>
      </c>
      <c r="AT647" s="1">
        <f>7278*10000</f>
        <v>72780000</v>
      </c>
      <c r="AU647" s="8">
        <f t="shared" si="336"/>
        <v>1.7309568480300188</v>
      </c>
      <c r="AV647" s="7" t="s">
        <v>7601</v>
      </c>
      <c r="AW647" s="6" t="str">
        <f t="shared" si="320"/>
        <v>=2665*10000</v>
      </c>
      <c r="AX647" s="1">
        <f>2665*10000</f>
        <v>26650000</v>
      </c>
      <c r="AY647" s="10">
        <f t="shared" si="337"/>
        <v>-0.54884035889622484</v>
      </c>
      <c r="AZ647" s="7" t="s">
        <v>7602</v>
      </c>
      <c r="BA647" s="6" t="str">
        <f t="shared" si="321"/>
        <v>=5907*10000</v>
      </c>
      <c r="BB647" s="1">
        <f>5907*10000</f>
        <v>59070000</v>
      </c>
      <c r="BC647" s="8">
        <f t="shared" si="338"/>
        <v>2.5843446601941746</v>
      </c>
      <c r="BD647" s="7" t="s">
        <v>7603</v>
      </c>
      <c r="BE647" s="6" t="str">
        <f t="shared" si="322"/>
        <v>=1648*10000</v>
      </c>
      <c r="BF647" s="1">
        <f>1648*10000</f>
        <v>16480000</v>
      </c>
      <c r="BG647" s="8">
        <f t="shared" si="339"/>
        <v>9.110429447852761</v>
      </c>
      <c r="BH647" s="7" t="s">
        <v>7604</v>
      </c>
      <c r="BI647" s="6" t="str">
        <f t="shared" si="323"/>
        <v>=163.0*10000</v>
      </c>
      <c r="BJ647" s="1">
        <f>163*10000</f>
        <v>1630000</v>
      </c>
      <c r="BK647" s="7">
        <f>-2706*10000</f>
        <v>-27060000</v>
      </c>
      <c r="BL647" s="1" t="str">
        <f t="shared" si="325"/>
        <v>=-27060000</v>
      </c>
      <c r="BM647" s="16">
        <f t="shared" si="340"/>
        <v>-1.0602365114560237</v>
      </c>
      <c r="BN647" s="1">
        <f>-27060000</f>
        <v>-27060000</v>
      </c>
    </row>
    <row r="648" spans="1:66">
      <c r="A648" s="18"/>
      <c r="B648">
        <v>600552</v>
      </c>
      <c r="C648" t="s">
        <v>58</v>
      </c>
      <c r="D648" s="6" t="s">
        <v>7605</v>
      </c>
      <c r="E648" s="7" t="str">
        <f t="shared" si="324"/>
        <v>=2.823*100000000</v>
      </c>
      <c r="F648" s="1">
        <f>2.823*100000000</f>
        <v>282300000</v>
      </c>
      <c r="G648" s="8">
        <f t="shared" si="326"/>
        <v>0.16412371134020634</v>
      </c>
      <c r="H648" s="6" t="s">
        <v>4035</v>
      </c>
      <c r="I648" s="6" t="str">
        <f t="shared" si="310"/>
        <v>=2.425*100000000</v>
      </c>
      <c r="J648" s="1">
        <f>2.425*100000000</f>
        <v>242499999.99999997</v>
      </c>
      <c r="K648" s="10">
        <f t="shared" si="327"/>
        <v>0.6091572660915725</v>
      </c>
      <c r="L648" s="6" t="s">
        <v>4834</v>
      </c>
      <c r="M648" s="6" t="str">
        <f t="shared" si="311"/>
        <v>=1.507*100000000</v>
      </c>
      <c r="N648" s="1">
        <f>1.507*100000000</f>
        <v>150700000</v>
      </c>
      <c r="O648" s="8">
        <f t="shared" si="328"/>
        <v>2.7684421105276318</v>
      </c>
      <c r="P648" s="7" t="s">
        <v>7606</v>
      </c>
      <c r="Q648" s="6" t="str">
        <f t="shared" si="312"/>
        <v>=3999*10000</v>
      </c>
      <c r="R648" s="11">
        <f>3999*10000</f>
        <v>39990000</v>
      </c>
      <c r="S648" s="8">
        <f t="shared" si="329"/>
        <v>-0.80884321223709366</v>
      </c>
      <c r="T648" s="6" t="s">
        <v>7607</v>
      </c>
      <c r="U648" s="6" t="str">
        <f t="shared" si="313"/>
        <v>=2.092*100000000</v>
      </c>
      <c r="V648" s="1">
        <f>2.092*100000000</f>
        <v>209200000</v>
      </c>
      <c r="W648" s="8">
        <f t="shared" si="330"/>
        <v>0.47740112994350281</v>
      </c>
      <c r="X648" s="6" t="s">
        <v>7608</v>
      </c>
      <c r="Y648" s="6" t="str">
        <f t="shared" si="314"/>
        <v>=1.416*100000000</v>
      </c>
      <c r="Z648" s="1">
        <f>1.416*100000000</f>
        <v>141600000</v>
      </c>
      <c r="AA648" s="8">
        <f t="shared" si="331"/>
        <v>0.76712841632347439</v>
      </c>
      <c r="AB648" s="7" t="s">
        <v>7609</v>
      </c>
      <c r="AC648" s="6" t="str">
        <f t="shared" si="315"/>
        <v>=8013*10000</v>
      </c>
      <c r="AD648" s="1">
        <f>8013*10000</f>
        <v>80130000</v>
      </c>
      <c r="AE648" s="8">
        <f t="shared" si="332"/>
        <v>2.8084600760456273</v>
      </c>
      <c r="AF648" s="7" t="s">
        <v>7610</v>
      </c>
      <c r="AG648" s="6" t="str">
        <f t="shared" si="316"/>
        <v>=2104*10000</v>
      </c>
      <c r="AH648" s="1">
        <f>2104*10000</f>
        <v>21040000</v>
      </c>
      <c r="AI648" s="8">
        <f t="shared" si="333"/>
        <v>-0.86010638297872344</v>
      </c>
      <c r="AJ648" s="6" t="s">
        <v>4857</v>
      </c>
      <c r="AK648" s="6" t="str">
        <f t="shared" si="317"/>
        <v>=1.504*100000000</v>
      </c>
      <c r="AL648" s="1">
        <f>1.504*100000000</f>
        <v>150400000</v>
      </c>
      <c r="AM648" s="8">
        <f t="shared" si="334"/>
        <v>0.34285714285714269</v>
      </c>
      <c r="AN648" s="6" t="s">
        <v>7446</v>
      </c>
      <c r="AO648" s="6" t="str">
        <f t="shared" si="318"/>
        <v>=1.120*100000000</v>
      </c>
      <c r="AP648" s="1">
        <f>1.12*100000000</f>
        <v>112000000.00000001</v>
      </c>
      <c r="AQ648" s="8">
        <f t="shared" si="335"/>
        <v>0.52796725784447496</v>
      </c>
      <c r="AR648" s="7" t="s">
        <v>7611</v>
      </c>
      <c r="AS648" s="6" t="str">
        <f t="shared" si="319"/>
        <v>=7330*10000</v>
      </c>
      <c r="AT648" s="1">
        <f>7330*10000</f>
        <v>73300000</v>
      </c>
      <c r="AU648" s="8">
        <f t="shared" si="336"/>
        <v>1.5477928397636427</v>
      </c>
      <c r="AV648" s="7" t="s">
        <v>7612</v>
      </c>
      <c r="AW648" s="6" t="str">
        <f t="shared" si="320"/>
        <v>=2877*10000</v>
      </c>
      <c r="AX648" s="1">
        <f>2877*10000</f>
        <v>28770000</v>
      </c>
      <c r="AY648" s="10">
        <f t="shared" si="337"/>
        <v>-0.59358666478316147</v>
      </c>
      <c r="AZ648" s="7" t="s">
        <v>7613</v>
      </c>
      <c r="BA648" s="6" t="str">
        <f t="shared" si="321"/>
        <v>=7079*10000</v>
      </c>
      <c r="BB648" s="1">
        <f>7079*10000</f>
        <v>70790000</v>
      </c>
      <c r="BC648" s="8">
        <f t="shared" si="338"/>
        <v>-0.25819972754898879</v>
      </c>
      <c r="BD648" s="7" t="s">
        <v>7614</v>
      </c>
      <c r="BE648" s="6" t="str">
        <f t="shared" si="322"/>
        <v>=9543*10000</v>
      </c>
      <c r="BF648" s="1">
        <f>9543*10000</f>
        <v>95430000</v>
      </c>
      <c r="BG648" s="8">
        <f t="shared" si="339"/>
        <v>0.46544840294840295</v>
      </c>
      <c r="BH648" s="7" t="s">
        <v>7615</v>
      </c>
      <c r="BI648" s="6" t="str">
        <f t="shared" si="323"/>
        <v>=6512*10000</v>
      </c>
      <c r="BJ648" s="1">
        <f>6512*10000</f>
        <v>65120000</v>
      </c>
      <c r="BK648" s="7" t="s">
        <v>7616</v>
      </c>
      <c r="BL648" s="1" t="str">
        <f t="shared" si="325"/>
        <v>=1735*10000</v>
      </c>
      <c r="BM648" s="16">
        <f t="shared" si="340"/>
        <v>2.7533141210374641</v>
      </c>
      <c r="BN648" s="1">
        <f>1735*10000</f>
        <v>17350000</v>
      </c>
    </row>
    <row r="649" spans="1:66">
      <c r="A649" s="19"/>
      <c r="B649">
        <v>600552</v>
      </c>
      <c r="C649" t="s">
        <v>68</v>
      </c>
      <c r="D649" s="6" t="s">
        <v>7617</v>
      </c>
      <c r="E649" s="7" t="str">
        <f t="shared" si="324"/>
        <v>=2.480*100000000</v>
      </c>
      <c r="F649" s="1">
        <f>2.48*100000000</f>
        <v>248000000</v>
      </c>
      <c r="G649" s="8">
        <f t="shared" si="326"/>
        <v>0.16870876531573986</v>
      </c>
      <c r="H649" s="6" t="s">
        <v>4869</v>
      </c>
      <c r="I649" s="6" t="str">
        <f t="shared" si="310"/>
        <v>=2.122*100000000</v>
      </c>
      <c r="J649" s="1">
        <f>2.122*100000000</f>
        <v>212200000</v>
      </c>
      <c r="K649" s="10">
        <f t="shared" si="327"/>
        <v>0.72520325203252034</v>
      </c>
      <c r="L649" s="6" t="s">
        <v>7618</v>
      </c>
      <c r="M649" s="6" t="str">
        <f t="shared" si="311"/>
        <v>=1.230*100000000</v>
      </c>
      <c r="N649" s="1">
        <f>1.23*100000000</f>
        <v>123000000</v>
      </c>
      <c r="O649" s="8">
        <f t="shared" si="328"/>
        <v>3.1836734693877551</v>
      </c>
      <c r="P649" s="7" t="s">
        <v>7619</v>
      </c>
      <c r="Q649" s="6" t="str">
        <f t="shared" si="312"/>
        <v>=2940*10000</v>
      </c>
      <c r="R649" s="11">
        <f>2940*10000</f>
        <v>29400000</v>
      </c>
      <c r="S649" s="8">
        <f t="shared" si="329"/>
        <v>-0.84328358208955223</v>
      </c>
      <c r="T649" s="6" t="s">
        <v>1551</v>
      </c>
      <c r="U649" s="6" t="str">
        <f t="shared" si="313"/>
        <v>=1.876*100000000</v>
      </c>
      <c r="V649" s="1">
        <f>1.876*100000000</f>
        <v>187600000</v>
      </c>
      <c r="W649" s="8">
        <f t="shared" si="330"/>
        <v>0.63557105492589361</v>
      </c>
      <c r="X649" s="6" t="s">
        <v>7620</v>
      </c>
      <c r="Y649" s="6" t="str">
        <f t="shared" si="314"/>
        <v>=1.147*100000000</v>
      </c>
      <c r="Z649" s="1">
        <f>1.147*100000000</f>
        <v>114700000</v>
      </c>
      <c r="AA649" s="8">
        <f t="shared" si="331"/>
        <v>0.62372593431483581</v>
      </c>
      <c r="AB649" s="7" t="s">
        <v>7621</v>
      </c>
      <c r="AC649" s="6" t="str">
        <f t="shared" si="315"/>
        <v>=7064*10000</v>
      </c>
      <c r="AD649" s="1">
        <f>7064*10000</f>
        <v>70640000</v>
      </c>
      <c r="AE649" s="8">
        <f t="shared" si="332"/>
        <v>2.9200887902330743</v>
      </c>
      <c r="AF649" s="7" t="s">
        <v>7622</v>
      </c>
      <c r="AG649" s="6" t="str">
        <f t="shared" si="316"/>
        <v>=1802*10000</v>
      </c>
      <c r="AH649" s="1">
        <f>1802*10000</f>
        <v>18020000</v>
      </c>
      <c r="AI649" s="8">
        <f t="shared" si="333"/>
        <v>-0.87063890882986361</v>
      </c>
      <c r="AJ649" s="6" t="s">
        <v>2808</v>
      </c>
      <c r="AK649" s="6" t="str">
        <f t="shared" si="317"/>
        <v>=1.393*100000000</v>
      </c>
      <c r="AL649" s="1">
        <f>1.393*100000000</f>
        <v>139300000</v>
      </c>
      <c r="AM649" s="8">
        <f t="shared" si="334"/>
        <v>0.44277576385292594</v>
      </c>
      <c r="AN649" s="7" t="s">
        <v>7623</v>
      </c>
      <c r="AO649" s="6" t="str">
        <f t="shared" si="318"/>
        <v>=9655*10000</v>
      </c>
      <c r="AP649" s="1">
        <f>9655*10000</f>
        <v>96550000</v>
      </c>
      <c r="AQ649" s="8">
        <f t="shared" si="335"/>
        <v>0.44665867545699728</v>
      </c>
      <c r="AR649" s="7" t="s">
        <v>2698</v>
      </c>
      <c r="AS649" s="6" t="str">
        <f t="shared" si="319"/>
        <v>=6674*10000</v>
      </c>
      <c r="AT649" s="1">
        <f>6674*10000</f>
        <v>66740000</v>
      </c>
      <c r="AU649" s="8">
        <f t="shared" si="336"/>
        <v>1.9452780229479258</v>
      </c>
      <c r="AV649" s="7" t="s">
        <v>7624</v>
      </c>
      <c r="AW649" s="6" t="str">
        <f t="shared" si="320"/>
        <v>=2266*10000</v>
      </c>
      <c r="AX649" s="1">
        <f>2266*10000</f>
        <v>22660000</v>
      </c>
      <c r="AY649" s="10">
        <f t="shared" si="337"/>
        <v>-0.60460652591170827</v>
      </c>
      <c r="AZ649" s="7" t="s">
        <v>7625</v>
      </c>
      <c r="BA649" s="6" t="str">
        <f t="shared" si="321"/>
        <v>=5731*10000</v>
      </c>
      <c r="BB649" s="1">
        <f>5731*10000</f>
        <v>57310000</v>
      </c>
      <c r="BC649" s="8">
        <f t="shared" si="338"/>
        <v>-0.28798608522797864</v>
      </c>
      <c r="BD649" s="7" t="s">
        <v>7626</v>
      </c>
      <c r="BE649" s="6" t="str">
        <f t="shared" si="322"/>
        <v>=8049*10000</v>
      </c>
      <c r="BF649" s="1">
        <f>8049*10000</f>
        <v>80490000</v>
      </c>
      <c r="BG649" s="8">
        <f t="shared" si="339"/>
        <v>0.5</v>
      </c>
      <c r="BH649" s="7" t="s">
        <v>7627</v>
      </c>
      <c r="BI649" s="6" t="str">
        <f t="shared" si="323"/>
        <v>=5366*10000</v>
      </c>
      <c r="BJ649" s="1">
        <f>5366*10000</f>
        <v>53660000</v>
      </c>
      <c r="BK649" s="7" t="s">
        <v>7628</v>
      </c>
      <c r="BL649" s="1" t="str">
        <f t="shared" si="325"/>
        <v>=1479*10000</v>
      </c>
      <c r="BM649" s="16">
        <f t="shared" si="340"/>
        <v>2.628127112914131</v>
      </c>
      <c r="BN649" s="1">
        <f>1479*10000</f>
        <v>14790000</v>
      </c>
    </row>
    <row r="650" spans="1:66">
      <c r="A650" s="17">
        <v>164</v>
      </c>
      <c r="B650">
        <v>600557</v>
      </c>
      <c r="C650" t="s">
        <v>31</v>
      </c>
      <c r="D650" s="6" t="s">
        <v>7629</v>
      </c>
      <c r="E650" s="7" t="str">
        <f t="shared" si="324"/>
        <v>=36.49*100000000</v>
      </c>
      <c r="F650" s="1">
        <f>36.49*100000000</f>
        <v>3649000000</v>
      </c>
      <c r="G650" s="8">
        <f t="shared" si="326"/>
        <v>0.41215170278637769</v>
      </c>
      <c r="H650" s="6" t="s">
        <v>4621</v>
      </c>
      <c r="I650" s="6" t="str">
        <f t="shared" si="310"/>
        <v>=25.84*100000000</v>
      </c>
      <c r="J650" s="1">
        <f>25.84*100000000</f>
        <v>2584000000</v>
      </c>
      <c r="K650" s="10">
        <f t="shared" si="327"/>
        <v>0.46071226681741079</v>
      </c>
      <c r="L650" s="6" t="s">
        <v>7630</v>
      </c>
      <c r="M650" s="6" t="str">
        <f t="shared" si="311"/>
        <v>=17.69*100000000</v>
      </c>
      <c r="N650" s="1">
        <f>17.69*100000000</f>
        <v>1769000000.0000002</v>
      </c>
      <c r="O650" s="8">
        <f t="shared" si="328"/>
        <v>1.0526804362961246</v>
      </c>
      <c r="P650" s="6" t="s">
        <v>7631</v>
      </c>
      <c r="Q650" s="6" t="str">
        <f t="shared" si="312"/>
        <v>=8.618*100000000</v>
      </c>
      <c r="R650" s="11">
        <f>8.618*100000000</f>
        <v>861800000</v>
      </c>
      <c r="S650" s="8">
        <f t="shared" si="329"/>
        <v>-0.7157651715039578</v>
      </c>
      <c r="T650" s="6" t="s">
        <v>7632</v>
      </c>
      <c r="U650" s="6" t="str">
        <f t="shared" si="313"/>
        <v>=30.32*100000000</v>
      </c>
      <c r="V650" s="1">
        <f>30.32*100000000</f>
        <v>3032000000</v>
      </c>
      <c r="W650" s="8">
        <f t="shared" si="330"/>
        <v>0.33509467195068254</v>
      </c>
      <c r="X650" s="6" t="s">
        <v>7633</v>
      </c>
      <c r="Y650" s="6" t="str">
        <f t="shared" si="314"/>
        <v>=22.71*100000000</v>
      </c>
      <c r="Z650" s="1">
        <f>22.71*100000000</f>
        <v>2271000000</v>
      </c>
      <c r="AA650" s="8">
        <f t="shared" si="331"/>
        <v>0.46800258564964448</v>
      </c>
      <c r="AB650" s="6" t="s">
        <v>349</v>
      </c>
      <c r="AC650" s="6" t="str">
        <f t="shared" si="315"/>
        <v>=15.47*100000000</v>
      </c>
      <c r="AD650" s="1">
        <f>15.47*100000000</f>
        <v>1547000000</v>
      </c>
      <c r="AE650" s="8">
        <f t="shared" si="332"/>
        <v>0.88981187393110184</v>
      </c>
      <c r="AF650" s="6" t="s">
        <v>174</v>
      </c>
      <c r="AG650" s="6" t="str">
        <f t="shared" si="316"/>
        <v>=8.186*100000000</v>
      </c>
      <c r="AH650" s="1">
        <f>8.186*100000000</f>
        <v>818600000</v>
      </c>
      <c r="AI650" s="8">
        <f t="shared" si="333"/>
        <v>-0.82071835304424001</v>
      </c>
      <c r="AJ650" s="6" t="s">
        <v>7634</v>
      </c>
      <c r="AK650" s="6" t="str">
        <f t="shared" si="317"/>
        <v>=45.66*100000000</v>
      </c>
      <c r="AL650" s="1">
        <f>45.66*100000000</f>
        <v>4566000000</v>
      </c>
      <c r="AM650" s="8">
        <f t="shared" si="334"/>
        <v>0.3565062388591802</v>
      </c>
      <c r="AN650" s="6" t="s">
        <v>7635</v>
      </c>
      <c r="AO650" s="6" t="str">
        <f t="shared" si="318"/>
        <v>=33.66*100000000</v>
      </c>
      <c r="AP650" s="1">
        <f>33.66*100000000</f>
        <v>3365999999.9999995</v>
      </c>
      <c r="AQ650" s="8">
        <f t="shared" si="335"/>
        <v>0.48740609809986724</v>
      </c>
      <c r="AR650" s="6" t="s">
        <v>7636</v>
      </c>
      <c r="AS650" s="6" t="str">
        <f t="shared" si="319"/>
        <v>=22.63*100000000</v>
      </c>
      <c r="AT650" s="1">
        <f>22.63*100000000</f>
        <v>2263000000</v>
      </c>
      <c r="AU650" s="8">
        <f t="shared" si="336"/>
        <v>1.0973123262279889</v>
      </c>
      <c r="AV650" s="6" t="s">
        <v>1835</v>
      </c>
      <c r="AW650" s="6" t="str">
        <f t="shared" si="320"/>
        <v>=10.79*100000000</v>
      </c>
      <c r="AX650" s="1">
        <f>10.79*100000000</f>
        <v>1079000000</v>
      </c>
      <c r="AY650" s="10">
        <f t="shared" si="337"/>
        <v>-0.71790849673202617</v>
      </c>
      <c r="AZ650" s="6" t="s">
        <v>7637</v>
      </c>
      <c r="BA650" s="6" t="str">
        <f t="shared" si="321"/>
        <v>=38.25*100000000</v>
      </c>
      <c r="BB650" s="1">
        <f>38.25*100000000</f>
        <v>3825000000</v>
      </c>
      <c r="BC650" s="8">
        <f t="shared" si="338"/>
        <v>0.38838475499092556</v>
      </c>
      <c r="BD650" s="6" t="s">
        <v>7638</v>
      </c>
      <c r="BE650" s="6" t="str">
        <f t="shared" si="322"/>
        <v>=27.55*100000000</v>
      </c>
      <c r="BF650" s="1">
        <f>27.55*100000000</f>
        <v>2755000000</v>
      </c>
      <c r="BG650" s="8">
        <f t="shared" si="339"/>
        <v>0.4924160346695558</v>
      </c>
      <c r="BH650" s="6" t="s">
        <v>7639</v>
      </c>
      <c r="BI650" s="6" t="str">
        <f t="shared" si="323"/>
        <v>=18.46*100000000</v>
      </c>
      <c r="BJ650" s="1">
        <f>18.46*100000000</f>
        <v>1846000000</v>
      </c>
      <c r="BK650" s="6" t="s">
        <v>7640</v>
      </c>
      <c r="BL650" s="1" t="str">
        <f t="shared" si="325"/>
        <v>=8.958*100000000</v>
      </c>
      <c r="BM650" s="16">
        <f t="shared" si="340"/>
        <v>1.0607278410359455</v>
      </c>
      <c r="BN650" s="1">
        <f>8.958*100000000</f>
        <v>895800000</v>
      </c>
    </row>
    <row r="651" spans="1:66">
      <c r="A651" s="18"/>
      <c r="B651">
        <v>600557</v>
      </c>
      <c r="C651" t="s">
        <v>48</v>
      </c>
      <c r="D651" s="6" t="s">
        <v>7641</v>
      </c>
      <c r="E651" s="7" t="str">
        <f t="shared" si="324"/>
        <v>=3.510*100000000</v>
      </c>
      <c r="F651" s="1">
        <f>3.51*100000000</f>
        <v>351000000</v>
      </c>
      <c r="G651" s="8">
        <f t="shared" si="326"/>
        <v>0.31214953271028051</v>
      </c>
      <c r="H651" s="6" t="s">
        <v>7642</v>
      </c>
      <c r="I651" s="6" t="str">
        <f t="shared" si="310"/>
        <v>=2.675*100000000</v>
      </c>
      <c r="J651" s="1">
        <f>2.675*100000000</f>
        <v>267499999.99999997</v>
      </c>
      <c r="K651" s="10">
        <f t="shared" si="327"/>
        <v>0.27990430622009554</v>
      </c>
      <c r="L651" s="6" t="s">
        <v>7643</v>
      </c>
      <c r="M651" s="6" t="str">
        <f t="shared" si="311"/>
        <v>=2.090*100000000</v>
      </c>
      <c r="N651" s="1">
        <f>2.09*100000000</f>
        <v>209000000</v>
      </c>
      <c r="O651" s="8">
        <f t="shared" si="328"/>
        <v>1.0173745173745175</v>
      </c>
      <c r="P651" s="6" t="s">
        <v>344</v>
      </c>
      <c r="Q651" s="6" t="str">
        <f t="shared" si="312"/>
        <v>=1.036*100000000</v>
      </c>
      <c r="R651" s="11">
        <f>1.036*100000000</f>
        <v>103600000</v>
      </c>
      <c r="S651" s="8">
        <f t="shared" si="329"/>
        <v>-0.70517928286852594</v>
      </c>
      <c r="T651" s="6" t="s">
        <v>7644</v>
      </c>
      <c r="U651" s="6" t="str">
        <f t="shared" si="313"/>
        <v>=3.514*100000000</v>
      </c>
      <c r="V651" s="1">
        <f>3.514*100000000</f>
        <v>351400000</v>
      </c>
      <c r="W651" s="8">
        <f t="shared" si="330"/>
        <v>0.23950617283950618</v>
      </c>
      <c r="X651" s="6" t="s">
        <v>2885</v>
      </c>
      <c r="Y651" s="6" t="str">
        <f t="shared" si="314"/>
        <v>=2.835*100000000</v>
      </c>
      <c r="Z651" s="1">
        <f>2.835*100000000</f>
        <v>283500000</v>
      </c>
      <c r="AA651" s="8">
        <f t="shared" si="331"/>
        <v>0.24451273046532046</v>
      </c>
      <c r="AB651" s="6" t="s">
        <v>7645</v>
      </c>
      <c r="AC651" s="6" t="str">
        <f t="shared" si="315"/>
        <v>=2.278*100000000</v>
      </c>
      <c r="AD651" s="1">
        <f>2.278*100000000</f>
        <v>227800000</v>
      </c>
      <c r="AE651" s="8">
        <f t="shared" si="332"/>
        <v>0.54127198917456021</v>
      </c>
      <c r="AF651" s="6" t="s">
        <v>7646</v>
      </c>
      <c r="AG651" s="6" t="str">
        <f t="shared" si="316"/>
        <v>=1.478*100000000</v>
      </c>
      <c r="AH651" s="1">
        <f>1.478*100000000</f>
        <v>147800000</v>
      </c>
      <c r="AI651" s="8">
        <f t="shared" si="333"/>
        <v>-0.74468820176196238</v>
      </c>
      <c r="AJ651" s="6" t="s">
        <v>7647</v>
      </c>
      <c r="AK651" s="6" t="str">
        <f t="shared" si="317"/>
        <v>=5.789*100000000</v>
      </c>
      <c r="AL651" s="1">
        <f>5.789*100000000</f>
        <v>578900000</v>
      </c>
      <c r="AM651" s="8">
        <f t="shared" si="334"/>
        <v>0.28046892280468921</v>
      </c>
      <c r="AN651" s="6" t="s">
        <v>7648</v>
      </c>
      <c r="AO651" s="6" t="str">
        <f t="shared" si="318"/>
        <v>=4.521*100000000</v>
      </c>
      <c r="AP651" s="1">
        <f>4.521*100000000</f>
        <v>452100000</v>
      </c>
      <c r="AQ651" s="8">
        <f t="shared" si="335"/>
        <v>0.53306205493387593</v>
      </c>
      <c r="AR651" s="6" t="s">
        <v>130</v>
      </c>
      <c r="AS651" s="6" t="str">
        <f t="shared" si="319"/>
        <v>=2.949*100000000</v>
      </c>
      <c r="AT651" s="1">
        <f>2.949*100000000</f>
        <v>294900000</v>
      </c>
      <c r="AU651" s="8">
        <f t="shared" si="336"/>
        <v>1.251145038167939</v>
      </c>
      <c r="AV651" s="6" t="s">
        <v>7649</v>
      </c>
      <c r="AW651" s="6" t="str">
        <f t="shared" si="320"/>
        <v>=1.310*100000000</v>
      </c>
      <c r="AX651" s="1">
        <f>1.31*100000000</f>
        <v>131000000</v>
      </c>
      <c r="AY651" s="10">
        <f t="shared" si="337"/>
        <v>-0.72905894519131331</v>
      </c>
      <c r="AZ651" s="6" t="s">
        <v>1755</v>
      </c>
      <c r="BA651" s="6" t="str">
        <f t="shared" si="321"/>
        <v>=4.835*100000000</v>
      </c>
      <c r="BB651" s="1">
        <f>4.835*100000000</f>
        <v>483500000</v>
      </c>
      <c r="BC651" s="8">
        <f t="shared" si="338"/>
        <v>0.30958829902491874</v>
      </c>
      <c r="BD651" s="6" t="s">
        <v>7650</v>
      </c>
      <c r="BE651" s="6" t="str">
        <f t="shared" si="322"/>
        <v>=3.692*100000000</v>
      </c>
      <c r="BF651" s="1">
        <f>3.692*100000000</f>
        <v>369200000</v>
      </c>
      <c r="BG651" s="8">
        <f t="shared" si="339"/>
        <v>0.54025865665415118</v>
      </c>
      <c r="BH651" s="6" t="s">
        <v>7651</v>
      </c>
      <c r="BI651" s="6" t="str">
        <f t="shared" si="323"/>
        <v>=2.397*100000000</v>
      </c>
      <c r="BJ651" s="1">
        <f>2.397*100000000</f>
        <v>239699999.99999997</v>
      </c>
      <c r="BK651" s="6" t="s">
        <v>3880</v>
      </c>
      <c r="BL651" s="1" t="str">
        <f t="shared" si="325"/>
        <v>=1.116*100000000</v>
      </c>
      <c r="BM651" s="16">
        <f t="shared" si="340"/>
        <v>1.1478494623655908</v>
      </c>
      <c r="BN651" s="1">
        <f>1.116*100000000</f>
        <v>111600000.00000001</v>
      </c>
    </row>
    <row r="652" spans="1:66">
      <c r="A652" s="18"/>
      <c r="B652">
        <v>600557</v>
      </c>
      <c r="C652" t="s">
        <v>58</v>
      </c>
      <c r="D652" s="6" t="s">
        <v>4633</v>
      </c>
      <c r="E652" s="7" t="str">
        <f t="shared" si="324"/>
        <v>=3.283*100000000</v>
      </c>
      <c r="F652" s="1">
        <f>3.283*100000000</f>
        <v>328300000</v>
      </c>
      <c r="G652" s="8">
        <f t="shared" si="326"/>
        <v>0.31215027977617921</v>
      </c>
      <c r="H652" s="6" t="s">
        <v>7652</v>
      </c>
      <c r="I652" s="6" t="str">
        <f t="shared" si="310"/>
        <v>=2.502*100000000</v>
      </c>
      <c r="J652" s="1">
        <f>2.502*100000000</f>
        <v>250199999.99999997</v>
      </c>
      <c r="K652" s="10">
        <f t="shared" si="327"/>
        <v>0.30109204368174713</v>
      </c>
      <c r="L652" s="6" t="s">
        <v>7653</v>
      </c>
      <c r="M652" s="6" t="str">
        <f t="shared" si="311"/>
        <v>=1.923*100000000</v>
      </c>
      <c r="N652" s="1">
        <f>1.923*100000000</f>
        <v>192300000</v>
      </c>
      <c r="O652" s="8">
        <f t="shared" si="328"/>
        <v>0.90019762845849804</v>
      </c>
      <c r="P652" s="6" t="s">
        <v>7654</v>
      </c>
      <c r="Q652" s="6" t="str">
        <f t="shared" si="312"/>
        <v>=1.012*100000000</v>
      </c>
      <c r="R652" s="11">
        <f>1.012*100000000</f>
        <v>101200000</v>
      </c>
      <c r="S652" s="8">
        <f t="shared" si="329"/>
        <v>-0.65625</v>
      </c>
      <c r="T652" s="6" t="s">
        <v>2369</v>
      </c>
      <c r="U652" s="6" t="str">
        <f t="shared" si="313"/>
        <v>=2.944*100000000</v>
      </c>
      <c r="V652" s="1">
        <f>2.944*100000000</f>
        <v>294400000</v>
      </c>
      <c r="W652" s="8">
        <f t="shared" si="330"/>
        <v>0.26896551724137946</v>
      </c>
      <c r="X652" s="6" t="s">
        <v>7655</v>
      </c>
      <c r="Y652" s="6" t="str">
        <f t="shared" si="314"/>
        <v>=2.320*100000000</v>
      </c>
      <c r="Z652" s="1">
        <f>2.32*100000000</f>
        <v>231999999.99999997</v>
      </c>
      <c r="AA652" s="8">
        <f t="shared" si="331"/>
        <v>0.3144475920679885</v>
      </c>
      <c r="AB652" s="6" t="s">
        <v>4441</v>
      </c>
      <c r="AC652" s="6" t="str">
        <f t="shared" si="315"/>
        <v>=1.765*100000000</v>
      </c>
      <c r="AD652" s="1">
        <f>1.765*100000000</f>
        <v>176500000</v>
      </c>
      <c r="AE652" s="8">
        <f t="shared" si="332"/>
        <v>0.8299637117677553</v>
      </c>
      <c r="AF652" s="7" t="s">
        <v>7656</v>
      </c>
      <c r="AG652" s="6" t="str">
        <f t="shared" si="316"/>
        <v>=9645*10000</v>
      </c>
      <c r="AH652" s="1">
        <f>9645*10000</f>
        <v>96450000</v>
      </c>
      <c r="AI652" s="8">
        <f t="shared" si="333"/>
        <v>-0.83237747653806049</v>
      </c>
      <c r="AJ652" s="6" t="s">
        <v>7657</v>
      </c>
      <c r="AK652" s="6" t="str">
        <f t="shared" si="317"/>
        <v>=5.754*100000000</v>
      </c>
      <c r="AL652" s="1">
        <f>5.754*100000000</f>
        <v>575400000</v>
      </c>
      <c r="AM652" s="8">
        <f t="shared" si="334"/>
        <v>0.27498338134278749</v>
      </c>
      <c r="AN652" s="6" t="s">
        <v>7658</v>
      </c>
      <c r="AO652" s="6" t="str">
        <f t="shared" si="318"/>
        <v>=4.513*100000000</v>
      </c>
      <c r="AP652" s="1">
        <f>4.513*100000000</f>
        <v>451300000</v>
      </c>
      <c r="AQ652" s="8">
        <f t="shared" si="335"/>
        <v>0.54396168320218952</v>
      </c>
      <c r="AR652" s="6" t="s">
        <v>3831</v>
      </c>
      <c r="AS652" s="6" t="str">
        <f t="shared" si="319"/>
        <v>=2.923*100000000</v>
      </c>
      <c r="AT652" s="1">
        <f>2.923*100000000</f>
        <v>292300000</v>
      </c>
      <c r="AU652" s="8">
        <f t="shared" si="336"/>
        <v>1.2554012345679013</v>
      </c>
      <c r="AV652" s="6" t="s">
        <v>1985</v>
      </c>
      <c r="AW652" s="6" t="str">
        <f t="shared" si="320"/>
        <v>=1.296*100000000</v>
      </c>
      <c r="AX652" s="1">
        <f>1.296*100000000</f>
        <v>129600000</v>
      </c>
      <c r="AY652" s="10">
        <f t="shared" si="337"/>
        <v>-0.72926676415291414</v>
      </c>
      <c r="AZ652" s="6" t="s">
        <v>7659</v>
      </c>
      <c r="BA652" s="6" t="str">
        <f t="shared" si="321"/>
        <v>=4.787*100000000</v>
      </c>
      <c r="BB652" s="1">
        <f>4.787*100000000</f>
        <v>478700000</v>
      </c>
      <c r="BC652" s="8">
        <f t="shared" si="338"/>
        <v>0.29099244875943903</v>
      </c>
      <c r="BD652" s="6" t="s">
        <v>7660</v>
      </c>
      <c r="BE652" s="6" t="str">
        <f t="shared" si="322"/>
        <v>=3.708*100000000</v>
      </c>
      <c r="BF652" s="1">
        <f>3.708*100000000</f>
        <v>370800000</v>
      </c>
      <c r="BG652" s="8">
        <f t="shared" si="339"/>
        <v>0.54050685500623186</v>
      </c>
      <c r="BH652" s="6" t="s">
        <v>7661</v>
      </c>
      <c r="BI652" s="6" t="str">
        <f t="shared" si="323"/>
        <v>=2.407*100000000</v>
      </c>
      <c r="BJ652" s="1">
        <f>2.407*100000000</f>
        <v>240700000</v>
      </c>
      <c r="BK652" s="6" t="s">
        <v>7446</v>
      </c>
      <c r="BL652" s="1" t="str">
        <f t="shared" si="325"/>
        <v>=1.120*100000000</v>
      </c>
      <c r="BM652" s="16">
        <f t="shared" si="340"/>
        <v>1.1491071428571427</v>
      </c>
      <c r="BN652" s="1">
        <f>1.12*100000000</f>
        <v>112000000.00000001</v>
      </c>
    </row>
    <row r="653" spans="1:66">
      <c r="A653" s="19"/>
      <c r="B653">
        <v>600557</v>
      </c>
      <c r="C653" t="s">
        <v>68</v>
      </c>
      <c r="D653" s="6" t="s">
        <v>7662</v>
      </c>
      <c r="E653" s="7" t="str">
        <f t="shared" si="324"/>
        <v>=3.244*100000000</v>
      </c>
      <c r="F653" s="1">
        <f>3.244*100000000</f>
        <v>324400000</v>
      </c>
      <c r="G653" s="8">
        <f t="shared" si="326"/>
        <v>0.54182509505703425</v>
      </c>
      <c r="H653" s="6" t="s">
        <v>7663</v>
      </c>
      <c r="I653" s="6" t="str">
        <f t="shared" si="310"/>
        <v>=2.104*100000000</v>
      </c>
      <c r="J653" s="1">
        <f>2.104*100000000</f>
        <v>210400000</v>
      </c>
      <c r="K653" s="10">
        <f t="shared" si="327"/>
        <v>0.30198019801980197</v>
      </c>
      <c r="L653" s="6" t="s">
        <v>7664</v>
      </c>
      <c r="M653" s="6" t="str">
        <f t="shared" si="311"/>
        <v>=1.616*100000000</v>
      </c>
      <c r="N653" s="1">
        <f>1.616*100000000</f>
        <v>161600000</v>
      </c>
      <c r="O653" s="8">
        <f t="shared" si="328"/>
        <v>0.89005847953216377</v>
      </c>
      <c r="P653" s="7" t="s">
        <v>7665</v>
      </c>
      <c r="Q653" s="6" t="str">
        <f t="shared" si="312"/>
        <v>=8550*10000</v>
      </c>
      <c r="R653" s="11">
        <f>8550*10000</f>
        <v>85500000</v>
      </c>
      <c r="S653" s="8">
        <f t="shared" si="329"/>
        <v>-0.68795620437956206</v>
      </c>
      <c r="T653" s="6" t="s">
        <v>4810</v>
      </c>
      <c r="U653" s="6" t="str">
        <f t="shared" si="313"/>
        <v>=2.740*100000000</v>
      </c>
      <c r="V653" s="1">
        <f>2.74*100000000</f>
        <v>274000000</v>
      </c>
      <c r="W653" s="8">
        <f t="shared" si="330"/>
        <v>0.41237113402061853</v>
      </c>
      <c r="X653" s="6" t="s">
        <v>7666</v>
      </c>
      <c r="Y653" s="6" t="str">
        <f t="shared" si="314"/>
        <v>=1.940*100000000</v>
      </c>
      <c r="Z653" s="1">
        <f>1.94*100000000</f>
        <v>194000000</v>
      </c>
      <c r="AA653" s="8">
        <f t="shared" si="331"/>
        <v>0.30376344086021506</v>
      </c>
      <c r="AB653" s="6" t="s">
        <v>4851</v>
      </c>
      <c r="AC653" s="6" t="str">
        <f t="shared" si="315"/>
        <v>=1.488*100000000</v>
      </c>
      <c r="AD653" s="1">
        <f>1.488*100000000</f>
        <v>148800000</v>
      </c>
      <c r="AE653" s="8">
        <f t="shared" si="332"/>
        <v>0.8295831796385098</v>
      </c>
      <c r="AF653" s="7" t="s">
        <v>7667</v>
      </c>
      <c r="AG653" s="6" t="str">
        <f t="shared" si="316"/>
        <v>=8133*10000</v>
      </c>
      <c r="AH653" s="1">
        <f>8133*10000</f>
        <v>81330000</v>
      </c>
      <c r="AI653" s="8">
        <f t="shared" si="333"/>
        <v>-0.84253630203291385</v>
      </c>
      <c r="AJ653" s="6" t="s">
        <v>7668</v>
      </c>
      <c r="AK653" s="6" t="str">
        <f t="shared" si="317"/>
        <v>=5.165*100000000</v>
      </c>
      <c r="AL653" s="1">
        <f>5.165*100000000</f>
        <v>516500000</v>
      </c>
      <c r="AM653" s="8">
        <f t="shared" si="334"/>
        <v>0.36028443508032659</v>
      </c>
      <c r="AN653" s="6" t="s">
        <v>7669</v>
      </c>
      <c r="AO653" s="6" t="str">
        <f t="shared" si="318"/>
        <v>=3.797*100000000</v>
      </c>
      <c r="AP653" s="1">
        <f>3.797*100000000</f>
        <v>379700000</v>
      </c>
      <c r="AQ653" s="8">
        <f t="shared" si="335"/>
        <v>0.54600977198697065</v>
      </c>
      <c r="AR653" s="6" t="s">
        <v>1457</v>
      </c>
      <c r="AS653" s="6" t="str">
        <f t="shared" si="319"/>
        <v>=2.456*100000000</v>
      </c>
      <c r="AT653" s="1">
        <f>2.456*100000000</f>
        <v>245600000</v>
      </c>
      <c r="AU653" s="8">
        <f t="shared" si="336"/>
        <v>1.2511457378551787</v>
      </c>
      <c r="AV653" s="6" t="s">
        <v>6900</v>
      </c>
      <c r="AW653" s="6" t="str">
        <f t="shared" si="320"/>
        <v>=1.091*100000000</v>
      </c>
      <c r="AX653" s="1">
        <f>1.091*100000000</f>
        <v>109100000</v>
      </c>
      <c r="AY653" s="10">
        <f t="shared" si="337"/>
        <v>-0.74042350701879611</v>
      </c>
      <c r="AZ653" s="6" t="s">
        <v>7670</v>
      </c>
      <c r="BA653" s="6" t="str">
        <f t="shared" si="321"/>
        <v>=4.203*100000000</v>
      </c>
      <c r="BB653" s="1">
        <f>4.203*100000000</f>
        <v>420300000</v>
      </c>
      <c r="BC653" s="8">
        <f t="shared" si="338"/>
        <v>0.34668375520666456</v>
      </c>
      <c r="BD653" s="6" t="s">
        <v>4829</v>
      </c>
      <c r="BE653" s="6" t="str">
        <f t="shared" si="322"/>
        <v>=3.121*100000000</v>
      </c>
      <c r="BF653" s="1">
        <f>3.121*100000000</f>
        <v>312100000</v>
      </c>
      <c r="BG653" s="8">
        <f t="shared" si="339"/>
        <v>0.53140333660451444</v>
      </c>
      <c r="BH653" s="6" t="s">
        <v>6130</v>
      </c>
      <c r="BI653" s="6" t="str">
        <f t="shared" si="323"/>
        <v>=2.038*100000000</v>
      </c>
      <c r="BJ653" s="1">
        <f>2.038*100000000</f>
        <v>203799999.99999997</v>
      </c>
      <c r="BK653" s="7" t="s">
        <v>7671</v>
      </c>
      <c r="BL653" s="1" t="str">
        <f t="shared" si="325"/>
        <v>=9509*10000</v>
      </c>
      <c r="BM653" s="16">
        <f t="shared" si="340"/>
        <v>1.1432327268903142</v>
      </c>
      <c r="BN653" s="1">
        <f>9509*10000</f>
        <v>95090000</v>
      </c>
    </row>
    <row r="654" spans="1:66">
      <c r="A654" s="17">
        <v>165</v>
      </c>
      <c r="B654">
        <v>600558</v>
      </c>
      <c r="C654" t="s">
        <v>31</v>
      </c>
      <c r="D654" s="6" t="s">
        <v>1321</v>
      </c>
      <c r="E654" s="7" t="str">
        <f t="shared" si="324"/>
        <v>=34.45*100000000</v>
      </c>
      <c r="F654" s="1">
        <f>34.45*100000000</f>
        <v>3445000000.0000005</v>
      </c>
      <c r="G654" s="8">
        <f t="shared" si="326"/>
        <v>0.26607864755604577</v>
      </c>
      <c r="H654" s="6" t="s">
        <v>6064</v>
      </c>
      <c r="I654" s="6" t="str">
        <f t="shared" si="310"/>
        <v>=27.21*100000000</v>
      </c>
      <c r="J654" s="1">
        <f>27.21*100000000</f>
        <v>2721000000</v>
      </c>
      <c r="K654" s="10">
        <f t="shared" si="327"/>
        <v>0.49341383095499453</v>
      </c>
      <c r="L654" s="6" t="s">
        <v>1344</v>
      </c>
      <c r="M654" s="6" t="str">
        <f t="shared" si="311"/>
        <v>=18.22*100000000</v>
      </c>
      <c r="N654" s="1">
        <f>18.22*100000000</f>
        <v>1822000000</v>
      </c>
      <c r="O654" s="8">
        <f t="shared" si="328"/>
        <v>1.0150409201504091</v>
      </c>
      <c r="P654" s="6" t="s">
        <v>7436</v>
      </c>
      <c r="Q654" s="6" t="str">
        <f t="shared" si="312"/>
        <v>=9.042*100000000</v>
      </c>
      <c r="R654" s="11">
        <f>9.042*100000000</f>
        <v>904200000</v>
      </c>
      <c r="S654" s="8">
        <f t="shared" si="329"/>
        <v>-0.69980079681274898</v>
      </c>
      <c r="T654" s="6" t="s">
        <v>7672</v>
      </c>
      <c r="U654" s="6" t="str">
        <f t="shared" si="313"/>
        <v>=30.12*100000000</v>
      </c>
      <c r="V654" s="1">
        <f>30.12*100000000</f>
        <v>3012000000</v>
      </c>
      <c r="W654" s="8">
        <f t="shared" si="330"/>
        <v>0.33097657976137868</v>
      </c>
      <c r="X654" s="6" t="s">
        <v>7636</v>
      </c>
      <c r="Y654" s="6" t="str">
        <f t="shared" si="314"/>
        <v>=22.63*100000000</v>
      </c>
      <c r="Z654" s="1">
        <f>22.63*100000000</f>
        <v>2263000000</v>
      </c>
      <c r="AA654" s="8">
        <f t="shared" si="331"/>
        <v>0.58584442887175892</v>
      </c>
      <c r="AB654" s="6" t="s">
        <v>1974</v>
      </c>
      <c r="AC654" s="6" t="str">
        <f t="shared" si="315"/>
        <v>=14.27*100000000</v>
      </c>
      <c r="AD654" s="1">
        <f>14.27*100000000</f>
        <v>1427000000</v>
      </c>
      <c r="AE654" s="8">
        <f t="shared" si="332"/>
        <v>1.6097293343087051</v>
      </c>
      <c r="AF654" s="6" t="s">
        <v>7673</v>
      </c>
      <c r="AG654" s="6" t="str">
        <f t="shared" si="316"/>
        <v>=5.468*100000000</v>
      </c>
      <c r="AH654" s="1">
        <f>5.468*100000000</f>
        <v>546800000</v>
      </c>
      <c r="AI654" s="8">
        <f t="shared" si="333"/>
        <v>-0.8038737446197991</v>
      </c>
      <c r="AJ654" s="6" t="s">
        <v>7674</v>
      </c>
      <c r="AK654" s="6" t="str">
        <f t="shared" si="317"/>
        <v>=27.88*100000000</v>
      </c>
      <c r="AL654" s="1">
        <f>27.88*100000000</f>
        <v>2788000000</v>
      </c>
      <c r="AM654" s="8">
        <f t="shared" si="334"/>
        <v>0.27714154832798898</v>
      </c>
      <c r="AN654" s="6" t="s">
        <v>7675</v>
      </c>
      <c r="AO654" s="6" t="str">
        <f t="shared" si="318"/>
        <v>=21.83*100000000</v>
      </c>
      <c r="AP654" s="1">
        <f>21.83*100000000</f>
        <v>2183000000</v>
      </c>
      <c r="AQ654" s="8">
        <f t="shared" si="335"/>
        <v>0.50344352617079891</v>
      </c>
      <c r="AR654" s="6" t="s">
        <v>7676</v>
      </c>
      <c r="AS654" s="6" t="str">
        <f t="shared" si="319"/>
        <v>=14.52*100000000</v>
      </c>
      <c r="AT654" s="1">
        <f>14.52*100000000</f>
        <v>1452000000</v>
      </c>
      <c r="AU654" s="8">
        <f t="shared" si="336"/>
        <v>0.98659187303324669</v>
      </c>
      <c r="AV654" s="6" t="s">
        <v>7677</v>
      </c>
      <c r="AW654" s="6" t="str">
        <f t="shared" si="320"/>
        <v>=7.309*100000000</v>
      </c>
      <c r="AX654" s="1">
        <f>7.309*100000000</f>
        <v>730900000</v>
      </c>
      <c r="AY654" s="10">
        <f t="shared" si="337"/>
        <v>-0.71604506604506601</v>
      </c>
      <c r="AZ654" s="6" t="s">
        <v>6710</v>
      </c>
      <c r="BA654" s="6" t="str">
        <f t="shared" si="321"/>
        <v>=25.74*100000000</v>
      </c>
      <c r="BB654" s="1">
        <f>25.74*100000000</f>
        <v>2574000000</v>
      </c>
      <c r="BC654" s="8">
        <f t="shared" si="338"/>
        <v>0.32817337461300311</v>
      </c>
      <c r="BD654" s="6" t="s">
        <v>7529</v>
      </c>
      <c r="BE654" s="6" t="str">
        <f t="shared" si="322"/>
        <v>=19.38*100000000</v>
      </c>
      <c r="BF654" s="1">
        <f>19.38*100000000</f>
        <v>1938000000</v>
      </c>
      <c r="BG654" s="8">
        <f t="shared" si="339"/>
        <v>0.5504</v>
      </c>
      <c r="BH654" s="6" t="s">
        <v>7678</v>
      </c>
      <c r="BI654" s="6" t="str">
        <f t="shared" si="323"/>
        <v>=12.50*100000000</v>
      </c>
      <c r="BJ654" s="1">
        <f>12.5*100000000</f>
        <v>1250000000</v>
      </c>
      <c r="BK654" s="6" t="s">
        <v>7679</v>
      </c>
      <c r="BL654" s="1" t="str">
        <f t="shared" si="325"/>
        <v>=5.557*100000000</v>
      </c>
      <c r="BM654" s="16">
        <f t="shared" si="340"/>
        <v>1.2494151520604644</v>
      </c>
      <c r="BN654" s="1">
        <f>5.557*100000000</f>
        <v>555700000</v>
      </c>
    </row>
    <row r="655" spans="1:66">
      <c r="A655" s="18"/>
      <c r="B655">
        <v>600558</v>
      </c>
      <c r="C655" t="s">
        <v>48</v>
      </c>
      <c r="D655" s="6" t="s">
        <v>6254</v>
      </c>
      <c r="E655" s="7" t="str">
        <f t="shared" si="324"/>
        <v>=1.088*100000000</v>
      </c>
      <c r="F655" s="1">
        <f>1.088*100000000</f>
        <v>108800000.00000001</v>
      </c>
      <c r="G655" s="8">
        <f t="shared" si="326"/>
        <v>2.1596244131455538E-2</v>
      </c>
      <c r="H655" s="6" t="s">
        <v>7680</v>
      </c>
      <c r="I655" s="6" t="str">
        <f t="shared" si="310"/>
        <v>=1.065*100000000</v>
      </c>
      <c r="J655" s="1">
        <f>1.065*100000000</f>
        <v>106500000</v>
      </c>
      <c r="K655" s="10">
        <f t="shared" si="327"/>
        <v>0.40353189246178178</v>
      </c>
      <c r="L655" s="7" t="s">
        <v>7681</v>
      </c>
      <c r="M655" s="6" t="str">
        <f t="shared" si="311"/>
        <v>=7588*10000</v>
      </c>
      <c r="N655" s="1">
        <f>7588*10000</f>
        <v>75880000</v>
      </c>
      <c r="O655" s="8">
        <f t="shared" si="328"/>
        <v>0.57820299500831951</v>
      </c>
      <c r="P655" s="7" t="s">
        <v>3186</v>
      </c>
      <c r="Q655" s="6" t="str">
        <f t="shared" si="312"/>
        <v>=4808*10000</v>
      </c>
      <c r="R655" s="11">
        <f>4808*10000</f>
        <v>48080000</v>
      </c>
      <c r="S655" s="8">
        <f t="shared" si="329"/>
        <v>-0.68095554080955545</v>
      </c>
      <c r="T655" s="6" t="s">
        <v>4834</v>
      </c>
      <c r="U655" s="6" t="str">
        <f t="shared" si="313"/>
        <v>=1.507*100000000</v>
      </c>
      <c r="V655" s="1">
        <f>1.507*100000000</f>
        <v>150700000</v>
      </c>
      <c r="W655" s="8">
        <f t="shared" si="330"/>
        <v>0.70803581548226224</v>
      </c>
      <c r="X655" s="7" t="s">
        <v>4601</v>
      </c>
      <c r="Y655" s="6" t="str">
        <f t="shared" si="314"/>
        <v>=8823*10000</v>
      </c>
      <c r="Z655" s="1">
        <f>8823*10000</f>
        <v>88230000</v>
      </c>
      <c r="AA655" s="8">
        <f t="shared" si="331"/>
        <v>0.90314926660914585</v>
      </c>
      <c r="AB655" s="7" t="s">
        <v>7682</v>
      </c>
      <c r="AC655" s="6" t="str">
        <f t="shared" si="315"/>
        <v>=4636*10000</v>
      </c>
      <c r="AD655" s="1">
        <f>4636*10000</f>
        <v>46360000</v>
      </c>
      <c r="AE655" s="8">
        <f t="shared" si="332"/>
        <v>-17.142061281337046</v>
      </c>
      <c r="AF655" s="7">
        <f>-287.2*10000</f>
        <v>-2872000</v>
      </c>
      <c r="AG655" s="6" t="str">
        <f t="shared" si="316"/>
        <v>=-2872000</v>
      </c>
      <c r="AH655" s="1">
        <f>-2872000</f>
        <v>-2872000</v>
      </c>
      <c r="AI655" s="8">
        <f t="shared" si="333"/>
        <v>-1.0532739751437581</v>
      </c>
      <c r="AJ655" s="7" t="s">
        <v>7683</v>
      </c>
      <c r="AK655" s="6" t="str">
        <f t="shared" si="317"/>
        <v>=5391*10000</v>
      </c>
      <c r="AL655" s="1">
        <f>5391*10000</f>
        <v>53910000</v>
      </c>
      <c r="AM655" s="8">
        <f t="shared" si="334"/>
        <v>3.4939527740449221E-2</v>
      </c>
      <c r="AN655" s="7" t="s">
        <v>7684</v>
      </c>
      <c r="AO655" s="6" t="str">
        <f t="shared" si="318"/>
        <v>=5209*10000</v>
      </c>
      <c r="AP655" s="1">
        <f>5209*10000</f>
        <v>52090000</v>
      </c>
      <c r="AQ655" s="8">
        <f t="shared" si="335"/>
        <v>0.41895941160446742</v>
      </c>
      <c r="AR655" s="7" t="s">
        <v>7685</v>
      </c>
      <c r="AS655" s="6" t="str">
        <f t="shared" si="319"/>
        <v>=3671*10000</v>
      </c>
      <c r="AT655" s="1">
        <f>3671*10000</f>
        <v>36710000</v>
      </c>
      <c r="AU655" s="8">
        <f t="shared" si="336"/>
        <v>1.3729799612152553</v>
      </c>
      <c r="AV655" s="7" t="s">
        <v>7686</v>
      </c>
      <c r="AW655" s="6" t="str">
        <f t="shared" si="320"/>
        <v>=1547*10000</v>
      </c>
      <c r="AX655" s="1">
        <f>1547*10000</f>
        <v>15470000</v>
      </c>
      <c r="AY655" s="10">
        <f t="shared" si="337"/>
        <v>-0.81887366818873664</v>
      </c>
      <c r="AZ655" s="7" t="s">
        <v>7687</v>
      </c>
      <c r="BA655" s="6" t="str">
        <f t="shared" si="321"/>
        <v>=8541*10000</v>
      </c>
      <c r="BB655" s="1">
        <f>8541*10000</f>
        <v>85410000</v>
      </c>
      <c r="BC655" s="8">
        <f t="shared" si="338"/>
        <v>-1.1114970475859673E-2</v>
      </c>
      <c r="BD655" s="7" t="s">
        <v>7688</v>
      </c>
      <c r="BE655" s="6" t="str">
        <f t="shared" si="322"/>
        <v>=8637*10000</v>
      </c>
      <c r="BF655" s="1">
        <f>8637*10000</f>
        <v>86370000</v>
      </c>
      <c r="BG655" s="8">
        <f t="shared" si="339"/>
        <v>0.47238322536651894</v>
      </c>
      <c r="BH655" s="7" t="s">
        <v>7393</v>
      </c>
      <c r="BI655" s="6" t="str">
        <f t="shared" si="323"/>
        <v>=5866*10000</v>
      </c>
      <c r="BJ655" s="1">
        <f>5866*10000</f>
        <v>58660000</v>
      </c>
      <c r="BK655" s="7" t="s">
        <v>7689</v>
      </c>
      <c r="BL655" s="1" t="str">
        <f t="shared" si="325"/>
        <v>=1481*10000</v>
      </c>
      <c r="BM655" s="16">
        <f t="shared" si="340"/>
        <v>2.9608372721134368</v>
      </c>
      <c r="BN655" s="1">
        <f>1481*10000</f>
        <v>14810000</v>
      </c>
    </row>
    <row r="656" spans="1:66">
      <c r="A656" s="18"/>
      <c r="B656">
        <v>600558</v>
      </c>
      <c r="C656" t="s">
        <v>58</v>
      </c>
      <c r="D656" s="6" t="s">
        <v>4577</v>
      </c>
      <c r="E656" s="7" t="str">
        <f t="shared" si="324"/>
        <v>=1.185*100000000</v>
      </c>
      <c r="F656" s="1">
        <f>1.185*100000000</f>
        <v>118500000</v>
      </c>
      <c r="G656" s="8">
        <f t="shared" si="326"/>
        <v>1.6295025728988125E-2</v>
      </c>
      <c r="H656" s="6" t="s">
        <v>6606</v>
      </c>
      <c r="I656" s="6" t="str">
        <f t="shared" si="310"/>
        <v>=1.166*100000000</v>
      </c>
      <c r="J656" s="1">
        <f>1.166*100000000</f>
        <v>116599999.99999999</v>
      </c>
      <c r="K656" s="10">
        <f t="shared" si="327"/>
        <v>0.53118844386080089</v>
      </c>
      <c r="L656" s="7" t="s">
        <v>7690</v>
      </c>
      <c r="M656" s="6" t="str">
        <f t="shared" si="311"/>
        <v>=7615*10000</v>
      </c>
      <c r="N656" s="1">
        <f>7615*10000</f>
        <v>76150000</v>
      </c>
      <c r="O656" s="8">
        <f t="shared" si="328"/>
        <v>0.58151609553478711</v>
      </c>
      <c r="P656" s="7" t="s">
        <v>7691</v>
      </c>
      <c r="Q656" s="6" t="str">
        <f t="shared" si="312"/>
        <v>=4815*10000</v>
      </c>
      <c r="R656" s="11">
        <f>4815*10000</f>
        <v>48150000</v>
      </c>
      <c r="S656" s="8">
        <f t="shared" si="329"/>
        <v>-0.67942743009320905</v>
      </c>
      <c r="T656" s="6" t="s">
        <v>7692</v>
      </c>
      <c r="U656" s="6" t="str">
        <f t="shared" si="313"/>
        <v>=1.502*100000000</v>
      </c>
      <c r="V656" s="1">
        <f>1.502*100000000</f>
        <v>150200000</v>
      </c>
      <c r="W656" s="8">
        <f t="shared" si="330"/>
        <v>0.73822474250665437</v>
      </c>
      <c r="X656" s="7" t="s">
        <v>7693</v>
      </c>
      <c r="Y656" s="6" t="str">
        <f t="shared" si="314"/>
        <v>=8641*10000</v>
      </c>
      <c r="Z656" s="1">
        <f>8641*10000</f>
        <v>86410000</v>
      </c>
      <c r="AA656" s="8">
        <f t="shared" si="331"/>
        <v>0.93961840628507298</v>
      </c>
      <c r="AB656" s="7" t="s">
        <v>7694</v>
      </c>
      <c r="AC656" s="6" t="str">
        <f t="shared" si="315"/>
        <v>=4455*10000</v>
      </c>
      <c r="AD656" s="1">
        <f>4455*10000</f>
        <v>44550000</v>
      </c>
      <c r="AE656" s="8">
        <f t="shared" si="332"/>
        <v>-15.55406729826854</v>
      </c>
      <c r="AF656" s="7">
        <f>-306.1*10000</f>
        <v>-3061000</v>
      </c>
      <c r="AG656" s="6" t="str">
        <f t="shared" si="316"/>
        <v>=-3061000</v>
      </c>
      <c r="AH656" s="1">
        <f>-3061000</f>
        <v>-3061000</v>
      </c>
      <c r="AI656" s="8">
        <f t="shared" si="333"/>
        <v>-1.0298343079922028</v>
      </c>
      <c r="AJ656" s="6" t="s">
        <v>2208</v>
      </c>
      <c r="AK656" s="6" t="str">
        <f t="shared" si="317"/>
        <v>=1.026*100000000</v>
      </c>
      <c r="AL656" s="1">
        <f>1.026*100000000</f>
        <v>102600000</v>
      </c>
      <c r="AM656" s="8">
        <f t="shared" si="334"/>
        <v>1.024067863483922</v>
      </c>
      <c r="AN656" s="7" t="s">
        <v>7315</v>
      </c>
      <c r="AO656" s="6" t="str">
        <f t="shared" si="318"/>
        <v>=5069*10000</v>
      </c>
      <c r="AP656" s="1">
        <f>5069*10000</f>
        <v>50690000</v>
      </c>
      <c r="AQ656" s="8">
        <f t="shared" si="335"/>
        <v>0.4331354255018377</v>
      </c>
      <c r="AR656" s="7" t="s">
        <v>7695</v>
      </c>
      <c r="AS656" s="6" t="str">
        <f t="shared" si="319"/>
        <v>=3537*10000</v>
      </c>
      <c r="AT656" s="1">
        <f>3537*10000</f>
        <v>35370000</v>
      </c>
      <c r="AU656" s="8">
        <f t="shared" si="336"/>
        <v>1.4908450704225351</v>
      </c>
      <c r="AV656" s="7" t="s">
        <v>7280</v>
      </c>
      <c r="AW656" s="6" t="str">
        <f t="shared" si="320"/>
        <v>=1420*10000</v>
      </c>
      <c r="AX656" s="1">
        <f>1420*10000</f>
        <v>14200000</v>
      </c>
      <c r="AY656" s="10">
        <f t="shared" si="337"/>
        <v>-0.8280455316057157</v>
      </c>
      <c r="AZ656" s="7" t="s">
        <v>7696</v>
      </c>
      <c r="BA656" s="6" t="str">
        <f t="shared" si="321"/>
        <v>=8258*10000</v>
      </c>
      <c r="BB656" s="1">
        <f>8258*10000</f>
        <v>82580000</v>
      </c>
      <c r="BC656" s="8">
        <f t="shared" si="338"/>
        <v>-3.245459871118922E-2</v>
      </c>
      <c r="BD656" s="7" t="s">
        <v>7697</v>
      </c>
      <c r="BE656" s="6" t="str">
        <f t="shared" si="322"/>
        <v>=8535*10000</v>
      </c>
      <c r="BF656" s="1">
        <f>8535*10000</f>
        <v>85350000</v>
      </c>
      <c r="BG656" s="8">
        <f t="shared" si="339"/>
        <v>0.45400340715502557</v>
      </c>
      <c r="BH656" s="7" t="s">
        <v>7698</v>
      </c>
      <c r="BI656" s="6" t="str">
        <f t="shared" si="323"/>
        <v>=5870*10000</v>
      </c>
      <c r="BJ656" s="1">
        <f>5870*10000</f>
        <v>58700000</v>
      </c>
      <c r="BK656" s="7" t="s">
        <v>3706</v>
      </c>
      <c r="BL656" s="1" t="str">
        <f t="shared" si="325"/>
        <v>=1489*10000</v>
      </c>
      <c r="BM656" s="16">
        <f t="shared" si="340"/>
        <v>2.9422431161853595</v>
      </c>
      <c r="BN656" s="1">
        <f>1489*10000</f>
        <v>14890000</v>
      </c>
    </row>
    <row r="657" spans="1:66">
      <c r="A657" s="19"/>
      <c r="B657">
        <v>600558</v>
      </c>
      <c r="C657" t="s">
        <v>68</v>
      </c>
      <c r="D657" s="7" t="s">
        <v>7699</v>
      </c>
      <c r="E657" s="7" t="str">
        <f t="shared" si="324"/>
        <v>=9910*10000</v>
      </c>
      <c r="F657" s="1">
        <f>9910*10000</f>
        <v>99100000</v>
      </c>
      <c r="G657" s="8">
        <f t="shared" si="326"/>
        <v>3.5443037974683543E-3</v>
      </c>
      <c r="H657" s="7" t="s">
        <v>6146</v>
      </c>
      <c r="I657" s="6" t="str">
        <f t="shared" si="310"/>
        <v>=9875*10000</v>
      </c>
      <c r="J657" s="1">
        <f>9875*10000</f>
        <v>98750000</v>
      </c>
      <c r="K657" s="10">
        <f t="shared" si="327"/>
        <v>0.58405518126403588</v>
      </c>
      <c r="L657" s="7" t="s">
        <v>7700</v>
      </c>
      <c r="M657" s="6" t="str">
        <f t="shared" si="311"/>
        <v>=6234*10000</v>
      </c>
      <c r="N657" s="1">
        <f>6234*10000</f>
        <v>62340000</v>
      </c>
      <c r="O657" s="8">
        <f t="shared" si="328"/>
        <v>0.60918946824987097</v>
      </c>
      <c r="P657" s="7" t="s">
        <v>7701</v>
      </c>
      <c r="Q657" s="6" t="str">
        <f t="shared" si="312"/>
        <v>=3874*10000</v>
      </c>
      <c r="R657" s="11">
        <f>3874*10000</f>
        <v>38740000</v>
      </c>
      <c r="S657" s="8">
        <f t="shared" si="329"/>
        <v>-0.6878323932312651</v>
      </c>
      <c r="T657" s="6" t="s">
        <v>2117</v>
      </c>
      <c r="U657" s="6" t="str">
        <f t="shared" si="313"/>
        <v>=1.241*100000000</v>
      </c>
      <c r="V657" s="1">
        <f>1.241*100000000</f>
        <v>124100000.00000001</v>
      </c>
      <c r="W657" s="8">
        <f t="shared" si="330"/>
        <v>0.84535315985130133</v>
      </c>
      <c r="X657" s="7" t="s">
        <v>7702</v>
      </c>
      <c r="Y657" s="6" t="str">
        <f t="shared" si="314"/>
        <v>=6725*10000</v>
      </c>
      <c r="Z657" s="1">
        <f>6725*10000</f>
        <v>67250000</v>
      </c>
      <c r="AA657" s="8">
        <f t="shared" si="331"/>
        <v>0.9236270022883295</v>
      </c>
      <c r="AB657" s="7" t="s">
        <v>7703</v>
      </c>
      <c r="AC657" s="6" t="str">
        <f t="shared" si="315"/>
        <v>=3496*10000</v>
      </c>
      <c r="AD657" s="1">
        <f>3496*10000</f>
        <v>34960000</v>
      </c>
      <c r="AE657" s="8">
        <f t="shared" si="332"/>
        <v>-9.0534439069338859</v>
      </c>
      <c r="AF657" s="7">
        <f>-434.1*10000</f>
        <v>-4341000</v>
      </c>
      <c r="AG657" s="6" t="str">
        <f t="shared" si="316"/>
        <v>=-4341000</v>
      </c>
      <c r="AH657" s="1">
        <f>-4341000</f>
        <v>-4341000</v>
      </c>
      <c r="AI657" s="8">
        <f t="shared" si="333"/>
        <v>-1.0506121021336132</v>
      </c>
      <c r="AJ657" s="7" t="s">
        <v>7704</v>
      </c>
      <c r="AK657" s="6" t="str">
        <f t="shared" si="317"/>
        <v>=8577*10000</v>
      </c>
      <c r="AL657" s="1">
        <f>8577*10000</f>
        <v>85770000</v>
      </c>
      <c r="AM657" s="8">
        <f t="shared" si="334"/>
        <v>1.1769035532994925</v>
      </c>
      <c r="AN657" s="7" t="s">
        <v>7705</v>
      </c>
      <c r="AO657" s="6" t="str">
        <f t="shared" si="318"/>
        <v>=3940*10000</v>
      </c>
      <c r="AP657" s="1">
        <f>3940*10000</f>
        <v>39400000</v>
      </c>
      <c r="AQ657" s="8">
        <f t="shared" si="335"/>
        <v>0.37091162143354212</v>
      </c>
      <c r="AR657" s="7" t="s">
        <v>7706</v>
      </c>
      <c r="AS657" s="6" t="str">
        <f t="shared" si="319"/>
        <v>=2874*10000</v>
      </c>
      <c r="AT657" s="1">
        <f>2874*10000</f>
        <v>28740000</v>
      </c>
      <c r="AU657" s="8">
        <f t="shared" si="336"/>
        <v>2.1725355999558449</v>
      </c>
      <c r="AV657" s="7" t="s">
        <v>7707</v>
      </c>
      <c r="AW657" s="6" t="str">
        <f t="shared" si="320"/>
        <v>=905.9*10000</v>
      </c>
      <c r="AX657" s="1">
        <f>905.9*10000</f>
        <v>9059000</v>
      </c>
      <c r="AY657" s="10">
        <f t="shared" si="337"/>
        <v>-0.87739883610772773</v>
      </c>
      <c r="AZ657" s="7" t="s">
        <v>7708</v>
      </c>
      <c r="BA657" s="6" t="str">
        <f t="shared" si="321"/>
        <v>=7389*10000</v>
      </c>
      <c r="BB657" s="1">
        <f>7389*10000</f>
        <v>73890000</v>
      </c>
      <c r="BC657" s="8">
        <f t="shared" si="338"/>
        <v>-8.8531187122736412E-3</v>
      </c>
      <c r="BD657" s="7" t="s">
        <v>7709</v>
      </c>
      <c r="BE657" s="6" t="str">
        <f t="shared" si="322"/>
        <v>=7455*10000</v>
      </c>
      <c r="BF657" s="1">
        <f>7455*10000</f>
        <v>74550000</v>
      </c>
      <c r="BG657" s="8">
        <f t="shared" si="339"/>
        <v>0.42027052771956563</v>
      </c>
      <c r="BH657" s="7" t="s">
        <v>7710</v>
      </c>
      <c r="BI657" s="6" t="str">
        <f t="shared" si="323"/>
        <v>=5249*10000</v>
      </c>
      <c r="BJ657" s="1">
        <f>5249*10000</f>
        <v>52490000</v>
      </c>
      <c r="BK657" s="7" t="s">
        <v>4209</v>
      </c>
      <c r="BL657" s="1" t="str">
        <f t="shared" si="325"/>
        <v>=1143*10000</v>
      </c>
      <c r="BM657" s="16">
        <f t="shared" si="340"/>
        <v>3.5923009623797024</v>
      </c>
      <c r="BN657" s="1">
        <f>1143*10000</f>
        <v>11430000</v>
      </c>
    </row>
    <row r="658" spans="1:66">
      <c r="A658" s="17">
        <v>166</v>
      </c>
      <c r="B658">
        <v>600560</v>
      </c>
      <c r="C658" t="s">
        <v>31</v>
      </c>
      <c r="D658" s="6" t="s">
        <v>7711</v>
      </c>
      <c r="E658" s="7" t="str">
        <f t="shared" si="324"/>
        <v>=7.068*100000000</v>
      </c>
      <c r="F658" s="1">
        <f>7.068*100000000</f>
        <v>706800000</v>
      </c>
      <c r="G658" s="8">
        <f t="shared" si="326"/>
        <v>0.40656716417910432</v>
      </c>
      <c r="H658" s="6" t="s">
        <v>7712</v>
      </c>
      <c r="I658" s="6" t="str">
        <f t="shared" si="310"/>
        <v>=5.025*100000000</v>
      </c>
      <c r="J658" s="1">
        <f>5.025*100000000</f>
        <v>502500000.00000006</v>
      </c>
      <c r="K658" s="10">
        <f t="shared" si="327"/>
        <v>0.62253793994187945</v>
      </c>
      <c r="L658" s="6" t="s">
        <v>7713</v>
      </c>
      <c r="M658" s="6" t="str">
        <f t="shared" si="311"/>
        <v>=3.097*100000000</v>
      </c>
      <c r="N658" s="1">
        <f>3.097*100000000</f>
        <v>309700000</v>
      </c>
      <c r="O658" s="8">
        <f t="shared" si="328"/>
        <v>1.1733333333333333</v>
      </c>
      <c r="P658" s="6" t="s">
        <v>5503</v>
      </c>
      <c r="Q658" s="6" t="str">
        <f t="shared" si="312"/>
        <v>=1.425*100000000</v>
      </c>
      <c r="R658" s="11">
        <f>1.425*100000000</f>
        <v>142500000</v>
      </c>
      <c r="S658" s="8">
        <f t="shared" si="329"/>
        <v>-0.79522919959764338</v>
      </c>
      <c r="T658" s="6" t="s">
        <v>662</v>
      </c>
      <c r="U658" s="6" t="str">
        <f t="shared" si="313"/>
        <v>=6.959*100000000</v>
      </c>
      <c r="V658" s="1">
        <f>6.959*100000000</f>
        <v>695900000</v>
      </c>
      <c r="W658" s="8">
        <f t="shared" si="330"/>
        <v>0.21005042601286733</v>
      </c>
      <c r="X658" s="6" t="s">
        <v>7714</v>
      </c>
      <c r="Y658" s="6" t="str">
        <f t="shared" si="314"/>
        <v>=5.751*100000000</v>
      </c>
      <c r="Z658" s="1">
        <f>5.751*100000000</f>
        <v>575100000</v>
      </c>
      <c r="AA658" s="8">
        <f t="shared" si="331"/>
        <v>1.1042810098792535</v>
      </c>
      <c r="AB658" s="6" t="s">
        <v>2310</v>
      </c>
      <c r="AC658" s="6" t="str">
        <f t="shared" si="315"/>
        <v>=2.733*100000000</v>
      </c>
      <c r="AD658" s="1">
        <f>2.733*100000000</f>
        <v>273300000</v>
      </c>
      <c r="AE658" s="8">
        <f t="shared" si="332"/>
        <v>1.3682842287694976</v>
      </c>
      <c r="AF658" s="6" t="s">
        <v>2639</v>
      </c>
      <c r="AG658" s="6" t="str">
        <f t="shared" si="316"/>
        <v>=1.154*100000000</v>
      </c>
      <c r="AH658" s="1">
        <f>1.154*100000000</f>
        <v>115399999.99999999</v>
      </c>
      <c r="AI658" s="8">
        <f t="shared" si="333"/>
        <v>-0.82517800333282831</v>
      </c>
      <c r="AJ658" s="6" t="s">
        <v>7715</v>
      </c>
      <c r="AK658" s="6" t="str">
        <f t="shared" si="317"/>
        <v>=6.601*100000000</v>
      </c>
      <c r="AL658" s="1">
        <f>6.601*100000000</f>
        <v>660100000</v>
      </c>
      <c r="AM658" s="8">
        <f t="shared" si="334"/>
        <v>0.40656296611975301</v>
      </c>
      <c r="AN658" s="6" t="s">
        <v>7716</v>
      </c>
      <c r="AO658" s="6" t="str">
        <f t="shared" si="318"/>
        <v>=4.693*100000000</v>
      </c>
      <c r="AP658" s="1">
        <f>4.693*100000000</f>
        <v>469299999.99999994</v>
      </c>
      <c r="AQ658" s="8">
        <f t="shared" si="335"/>
        <v>0.34124035438696754</v>
      </c>
      <c r="AR658" s="6" t="s">
        <v>5201</v>
      </c>
      <c r="AS658" s="6" t="str">
        <f t="shared" si="319"/>
        <v>=3.499*100000000</v>
      </c>
      <c r="AT658" s="1">
        <f>3.499*100000000</f>
        <v>349900000</v>
      </c>
      <c r="AU658" s="8">
        <f t="shared" si="336"/>
        <v>1.30348913759052</v>
      </c>
      <c r="AV658" s="6" t="s">
        <v>7717</v>
      </c>
      <c r="AW658" s="6" t="str">
        <f t="shared" si="320"/>
        <v>=1.519*100000000</v>
      </c>
      <c r="AX658" s="1">
        <f>1.519*100000000</f>
        <v>151900000</v>
      </c>
      <c r="AY658" s="10">
        <f t="shared" si="337"/>
        <v>-0.72870155384890156</v>
      </c>
      <c r="AZ658" s="6" t="s">
        <v>1438</v>
      </c>
      <c r="BA658" s="6" t="str">
        <f t="shared" si="321"/>
        <v>=5.599*100000000</v>
      </c>
      <c r="BB658" s="1">
        <f>5.599*100000000</f>
        <v>559900000</v>
      </c>
      <c r="BC658" s="8">
        <f t="shared" si="338"/>
        <v>0.27423759672280384</v>
      </c>
      <c r="BD658" s="6" t="s">
        <v>7718</v>
      </c>
      <c r="BE658" s="6" t="str">
        <f t="shared" si="322"/>
        <v>=4.394*100000000</v>
      </c>
      <c r="BF658" s="1">
        <f>4.394*100000000</f>
        <v>439400000</v>
      </c>
      <c r="BG658" s="8">
        <f t="shared" si="339"/>
        <v>0.6874039938556068</v>
      </c>
      <c r="BH658" s="6" t="s">
        <v>7719</v>
      </c>
      <c r="BI658" s="6" t="str">
        <f t="shared" si="323"/>
        <v>=2.604*100000000</v>
      </c>
      <c r="BJ658" s="1">
        <f>2.604*100000000</f>
        <v>260400000</v>
      </c>
      <c r="BK658" s="6" t="s">
        <v>7720</v>
      </c>
      <c r="BL658" s="1" t="str">
        <f t="shared" si="325"/>
        <v>=1.101*100000000</v>
      </c>
      <c r="BM658" s="16">
        <f t="shared" si="340"/>
        <v>1.3651226158038148</v>
      </c>
      <c r="BN658" s="1">
        <f>1.101*100000000</f>
        <v>110100000</v>
      </c>
    </row>
    <row r="659" spans="1:66">
      <c r="A659" s="18"/>
      <c r="B659">
        <v>600560</v>
      </c>
      <c r="C659" t="s">
        <v>48</v>
      </c>
      <c r="D659" s="7" t="s">
        <v>7721</v>
      </c>
      <c r="E659" s="7" t="str">
        <f t="shared" si="324"/>
        <v>=5065*10000</v>
      </c>
      <c r="F659" s="1">
        <f>5065*10000</f>
        <v>50650000</v>
      </c>
      <c r="G659" s="8">
        <f t="shared" si="326"/>
        <v>0.16920590951061865</v>
      </c>
      <c r="H659" s="7" t="s">
        <v>7722</v>
      </c>
      <c r="I659" s="6" t="str">
        <f t="shared" si="310"/>
        <v>=4332*10000</v>
      </c>
      <c r="J659" s="1">
        <f>4332*10000</f>
        <v>43320000</v>
      </c>
      <c r="K659" s="10">
        <f t="shared" si="327"/>
        <v>0.35332708528584816</v>
      </c>
      <c r="L659" s="7" t="s">
        <v>7723</v>
      </c>
      <c r="M659" s="6" t="str">
        <f t="shared" si="311"/>
        <v>=3201*10000</v>
      </c>
      <c r="N659" s="1">
        <f>3201*10000</f>
        <v>32010000</v>
      </c>
      <c r="O659" s="8">
        <f t="shared" si="328"/>
        <v>0.89632701421800953</v>
      </c>
      <c r="P659" s="7" t="s">
        <v>7724</v>
      </c>
      <c r="Q659" s="6" t="str">
        <f t="shared" si="312"/>
        <v>=1688*10000</v>
      </c>
      <c r="R659" s="11">
        <f>1688*10000</f>
        <v>16880000</v>
      </c>
      <c r="S659" s="8">
        <f t="shared" si="329"/>
        <v>-0.58758856584412411</v>
      </c>
      <c r="T659" s="7" t="s">
        <v>4443</v>
      </c>
      <c r="U659" s="6" t="str">
        <f t="shared" si="313"/>
        <v>=4093*10000</v>
      </c>
      <c r="V659" s="1">
        <f>4093*10000</f>
        <v>40930000</v>
      </c>
      <c r="W659" s="8">
        <f t="shared" si="330"/>
        <v>3.9624079248158493E-2</v>
      </c>
      <c r="X659" s="7" t="s">
        <v>7725</v>
      </c>
      <c r="Y659" s="6" t="str">
        <f t="shared" si="314"/>
        <v>=3937*10000</v>
      </c>
      <c r="Z659" s="1">
        <f>3937*10000</f>
        <v>39370000</v>
      </c>
      <c r="AA659" s="8">
        <f t="shared" si="331"/>
        <v>0.72827041264266901</v>
      </c>
      <c r="AB659" s="7" t="s">
        <v>7726</v>
      </c>
      <c r="AC659" s="6" t="str">
        <f t="shared" si="315"/>
        <v>=2278*10000</v>
      </c>
      <c r="AD659" s="1">
        <f>2278*10000</f>
        <v>22780000</v>
      </c>
      <c r="AE659" s="8">
        <f t="shared" si="332"/>
        <v>1.9306574038337836</v>
      </c>
      <c r="AF659" s="7" t="s">
        <v>7727</v>
      </c>
      <c r="AG659" s="6" t="str">
        <f t="shared" si="316"/>
        <v>=777.3*10000</v>
      </c>
      <c r="AH659" s="1">
        <f>777.3*10000</f>
        <v>7773000</v>
      </c>
      <c r="AI659" s="8">
        <f t="shared" si="333"/>
        <v>-0.75014464802314373</v>
      </c>
      <c r="AJ659" s="7" t="s">
        <v>3931</v>
      </c>
      <c r="AK659" s="6" t="str">
        <f t="shared" si="317"/>
        <v>=3111*10000</v>
      </c>
      <c r="AL659" s="1">
        <f>3111*10000</f>
        <v>31110000</v>
      </c>
      <c r="AM659" s="8">
        <f t="shared" si="334"/>
        <v>0.18785796105383734</v>
      </c>
      <c r="AN659" s="7" t="s">
        <v>2124</v>
      </c>
      <c r="AO659" s="6" t="str">
        <f t="shared" si="318"/>
        <v>=2619*10000</v>
      </c>
      <c r="AP659" s="1">
        <f>2619*10000</f>
        <v>26190000</v>
      </c>
      <c r="AQ659" s="8">
        <f t="shared" si="335"/>
        <v>0.2939723320158103</v>
      </c>
      <c r="AR659" s="7" t="s">
        <v>6933</v>
      </c>
      <c r="AS659" s="6" t="str">
        <f t="shared" si="319"/>
        <v>=2024*10000</v>
      </c>
      <c r="AT659" s="1">
        <f>2024*10000</f>
        <v>20240000</v>
      </c>
      <c r="AU659" s="8">
        <f t="shared" si="336"/>
        <v>1.6025459688826025</v>
      </c>
      <c r="AV659" s="7" t="s">
        <v>7728</v>
      </c>
      <c r="AW659" s="6" t="str">
        <f t="shared" si="320"/>
        <v>=777.7*10000</v>
      </c>
      <c r="AX659" s="1">
        <f>777.7*10000</f>
        <v>7777000</v>
      </c>
      <c r="AY659" s="10">
        <f t="shared" si="337"/>
        <v>-0.69821497865735349</v>
      </c>
      <c r="AZ659" s="7" t="s">
        <v>4195</v>
      </c>
      <c r="BA659" s="6" t="str">
        <f t="shared" si="321"/>
        <v>=2577*10000</v>
      </c>
      <c r="BB659" s="1">
        <f>2577*10000</f>
        <v>25770000</v>
      </c>
      <c r="BC659" s="8">
        <f t="shared" si="338"/>
        <v>0.3228952772073922</v>
      </c>
      <c r="BD659" s="7" t="s">
        <v>7729</v>
      </c>
      <c r="BE659" s="6" t="str">
        <f t="shared" si="322"/>
        <v>=1948*10000</v>
      </c>
      <c r="BF659" s="1">
        <f>1948*10000</f>
        <v>19480000</v>
      </c>
      <c r="BG659" s="8">
        <f t="shared" si="339"/>
        <v>0.64527027027027029</v>
      </c>
      <c r="BH659" s="7" t="s">
        <v>7730</v>
      </c>
      <c r="BI659" s="6" t="str">
        <f t="shared" si="323"/>
        <v>=1184*10000</v>
      </c>
      <c r="BJ659" s="1">
        <f>1184*10000</f>
        <v>11840000</v>
      </c>
      <c r="BK659" s="7" t="s">
        <v>7731</v>
      </c>
      <c r="BL659" s="1" t="str">
        <f t="shared" si="325"/>
        <v>=668.8*10000</v>
      </c>
      <c r="BM659" s="16">
        <f t="shared" si="340"/>
        <v>0.77033492822966509</v>
      </c>
      <c r="BN659" s="1">
        <f>668.8*10000</f>
        <v>6688000</v>
      </c>
    </row>
    <row r="660" spans="1:66">
      <c r="A660" s="18"/>
      <c r="B660">
        <v>600560</v>
      </c>
      <c r="C660" t="s">
        <v>58</v>
      </c>
      <c r="D660" s="7" t="s">
        <v>7732</v>
      </c>
      <c r="E660" s="7" t="str">
        <f t="shared" si="324"/>
        <v>=5135*10000</v>
      </c>
      <c r="F660" s="1">
        <f>5135*10000</f>
        <v>51350000</v>
      </c>
      <c r="G660" s="8">
        <f t="shared" si="326"/>
        <v>0.234375</v>
      </c>
      <c r="H660" s="7" t="s">
        <v>7733</v>
      </c>
      <c r="I660" s="6" t="str">
        <f t="shared" si="310"/>
        <v>=4160*10000</v>
      </c>
      <c r="J660" s="1">
        <f>4160*10000</f>
        <v>41600000</v>
      </c>
      <c r="K660" s="10">
        <f t="shared" si="327"/>
        <v>0.3</v>
      </c>
      <c r="L660" s="7" t="s">
        <v>7734</v>
      </c>
      <c r="M660" s="6" t="str">
        <f t="shared" si="311"/>
        <v>=3200*10000</v>
      </c>
      <c r="N660" s="1">
        <f>3200*10000</f>
        <v>32000000</v>
      </c>
      <c r="O660" s="8">
        <f t="shared" si="328"/>
        <v>0.89910979228486643</v>
      </c>
      <c r="P660" s="7" t="s">
        <v>7735</v>
      </c>
      <c r="Q660" s="6" t="str">
        <f t="shared" si="312"/>
        <v>=1685*10000</v>
      </c>
      <c r="R660" s="11">
        <f>1685*10000</f>
        <v>16850000</v>
      </c>
      <c r="S660" s="8">
        <f t="shared" si="329"/>
        <v>-0.58882381649585158</v>
      </c>
      <c r="T660" s="7" t="s">
        <v>3731</v>
      </c>
      <c r="U660" s="6" t="str">
        <f t="shared" si="313"/>
        <v>=4098*10000</v>
      </c>
      <c r="V660" s="1">
        <f>4098*10000</f>
        <v>40980000</v>
      </c>
      <c r="W660" s="8">
        <f t="shared" si="330"/>
        <v>1.4105419450631032E-2</v>
      </c>
      <c r="X660" s="7" t="s">
        <v>7736</v>
      </c>
      <c r="Y660" s="6" t="str">
        <f t="shared" si="314"/>
        <v>=4041*10000</v>
      </c>
      <c r="Z660" s="1">
        <f>4041*10000</f>
        <v>40410000</v>
      </c>
      <c r="AA660" s="8">
        <f t="shared" si="331"/>
        <v>0.80886302596239923</v>
      </c>
      <c r="AB660" s="7" t="s">
        <v>7737</v>
      </c>
      <c r="AC660" s="6" t="str">
        <f t="shared" si="315"/>
        <v>=2234*10000</v>
      </c>
      <c r="AD660" s="1">
        <f>2234*10000</f>
        <v>22340000</v>
      </c>
      <c r="AE660" s="8">
        <f t="shared" si="332"/>
        <v>1.6760900814566364</v>
      </c>
      <c r="AF660" s="7" t="s">
        <v>7738</v>
      </c>
      <c r="AG660" s="6" t="str">
        <f t="shared" si="316"/>
        <v>=834.8*10000</v>
      </c>
      <c r="AH660" s="1">
        <f>834.8*10000</f>
        <v>8348000</v>
      </c>
      <c r="AI660" s="8">
        <f t="shared" si="333"/>
        <v>-0.71854349291975728</v>
      </c>
      <c r="AJ660" s="7" t="s">
        <v>7739</v>
      </c>
      <c r="AK660" s="6" t="str">
        <f t="shared" si="317"/>
        <v>=2966*10000</v>
      </c>
      <c r="AL660" s="1">
        <f>2966*10000</f>
        <v>29660000</v>
      </c>
      <c r="AM660" s="8">
        <f t="shared" si="334"/>
        <v>-2.594417077175698E-2</v>
      </c>
      <c r="AN660" s="7" t="s">
        <v>7740</v>
      </c>
      <c r="AO660" s="6" t="str">
        <f t="shared" si="318"/>
        <v>=3045*10000</v>
      </c>
      <c r="AP660" s="1">
        <f>3045*10000</f>
        <v>30450000</v>
      </c>
      <c r="AQ660" s="8">
        <f t="shared" si="335"/>
        <v>0.27352572145545795</v>
      </c>
      <c r="AR660" s="7" t="s">
        <v>7741</v>
      </c>
      <c r="AS660" s="6" t="str">
        <f t="shared" si="319"/>
        <v>=2391*10000</v>
      </c>
      <c r="AT660" s="1">
        <f>2391*10000</f>
        <v>23910000</v>
      </c>
      <c r="AU660" s="8">
        <f t="shared" si="336"/>
        <v>1.7577854671280277</v>
      </c>
      <c r="AV660" s="7" t="s">
        <v>7742</v>
      </c>
      <c r="AW660" s="6" t="str">
        <f t="shared" si="320"/>
        <v>=867.0*10000</v>
      </c>
      <c r="AX660" s="1">
        <f>867*10000</f>
        <v>8670000</v>
      </c>
      <c r="AY660" s="10">
        <f t="shared" si="337"/>
        <v>-0.67841246290801183</v>
      </c>
      <c r="AZ660" s="7" t="s">
        <v>7743</v>
      </c>
      <c r="BA660" s="6" t="str">
        <f t="shared" si="321"/>
        <v>=2696*10000</v>
      </c>
      <c r="BB660" s="1">
        <f>2696*10000</f>
        <v>26960000</v>
      </c>
      <c r="BC660" s="8">
        <f t="shared" si="338"/>
        <v>0.35273457099849476</v>
      </c>
      <c r="BD660" s="7" t="s">
        <v>7744</v>
      </c>
      <c r="BE660" s="6" t="str">
        <f t="shared" si="322"/>
        <v>=1993*10000</v>
      </c>
      <c r="BF660" s="1">
        <f>1993*10000</f>
        <v>19930000</v>
      </c>
      <c r="BG660" s="8">
        <f t="shared" si="339"/>
        <v>0.64574731626754744</v>
      </c>
      <c r="BH660" s="7" t="s">
        <v>7745</v>
      </c>
      <c r="BI660" s="6" t="str">
        <f t="shared" si="323"/>
        <v>=1211*10000</v>
      </c>
      <c r="BJ660" s="1">
        <f>1211*10000</f>
        <v>12110000</v>
      </c>
      <c r="BK660" s="7" t="s">
        <v>7746</v>
      </c>
      <c r="BL660" s="1" t="str">
        <f t="shared" si="325"/>
        <v>=649.5*10000</v>
      </c>
      <c r="BM660" s="16">
        <f t="shared" si="340"/>
        <v>0.86451116243264048</v>
      </c>
      <c r="BN660" s="1">
        <f>649.5*10000</f>
        <v>6495000</v>
      </c>
    </row>
    <row r="661" spans="1:66">
      <c r="A661" s="19"/>
      <c r="B661">
        <v>600560</v>
      </c>
      <c r="C661" t="s">
        <v>68</v>
      </c>
      <c r="D661" s="7" t="s">
        <v>7747</v>
      </c>
      <c r="E661" s="7" t="str">
        <f t="shared" si="324"/>
        <v>=4847*10000</v>
      </c>
      <c r="F661" s="1">
        <f>4847*10000</f>
        <v>48470000</v>
      </c>
      <c r="G661" s="8">
        <f t="shared" si="326"/>
        <v>0.33269177893868573</v>
      </c>
      <c r="H661" s="7" t="s">
        <v>7748</v>
      </c>
      <c r="I661" s="6" t="str">
        <f t="shared" si="310"/>
        <v>=3637*10000</v>
      </c>
      <c r="J661" s="1">
        <f>3637*10000</f>
        <v>36370000</v>
      </c>
      <c r="K661" s="10">
        <f t="shared" si="327"/>
        <v>0.384996191926885</v>
      </c>
      <c r="L661" s="7" t="s">
        <v>6273</v>
      </c>
      <c r="M661" s="6" t="str">
        <f t="shared" si="311"/>
        <v>=2626*10000</v>
      </c>
      <c r="N661" s="1">
        <f>2626*10000</f>
        <v>26260000</v>
      </c>
      <c r="O661" s="8">
        <f t="shared" si="328"/>
        <v>0.84151472650771386</v>
      </c>
      <c r="P661" s="7" t="s">
        <v>1298</v>
      </c>
      <c r="Q661" s="6" t="str">
        <f t="shared" si="312"/>
        <v>=1426*10000</v>
      </c>
      <c r="R661" s="11">
        <f>1426*10000</f>
        <v>14260000</v>
      </c>
      <c r="S661" s="8">
        <f t="shared" si="329"/>
        <v>-0.64580228514654747</v>
      </c>
      <c r="T661" s="7" t="s">
        <v>7749</v>
      </c>
      <c r="U661" s="6" t="str">
        <f t="shared" si="313"/>
        <v>=4026*10000</v>
      </c>
      <c r="V661" s="1">
        <f>4026*10000</f>
        <v>40260000</v>
      </c>
      <c r="W661" s="8">
        <f t="shared" si="330"/>
        <v>0.17068915382378599</v>
      </c>
      <c r="X661" s="7" t="s">
        <v>7750</v>
      </c>
      <c r="Y661" s="6" t="str">
        <f t="shared" si="314"/>
        <v>=3439*10000</v>
      </c>
      <c r="Z661" s="1">
        <f>3439*10000</f>
        <v>34390000</v>
      </c>
      <c r="AA661" s="8">
        <f t="shared" si="331"/>
        <v>0.71435692921236293</v>
      </c>
      <c r="AB661" s="7" t="s">
        <v>2549</v>
      </c>
      <c r="AC661" s="6" t="str">
        <f t="shared" si="315"/>
        <v>=2006*10000</v>
      </c>
      <c r="AD661" s="1">
        <f>2006*10000</f>
        <v>20060000</v>
      </c>
      <c r="AE661" s="8">
        <f t="shared" si="332"/>
        <v>1.6926174496644295</v>
      </c>
      <c r="AF661" s="7" t="s">
        <v>7751</v>
      </c>
      <c r="AG661" s="6" t="str">
        <f t="shared" si="316"/>
        <v>=745.0*10000</v>
      </c>
      <c r="AH661" s="1">
        <f>745*10000</f>
        <v>7450000</v>
      </c>
      <c r="AI661" s="8">
        <f t="shared" si="333"/>
        <v>-0.73124098124098125</v>
      </c>
      <c r="AJ661" s="7" t="s">
        <v>6825</v>
      </c>
      <c r="AK661" s="6" t="str">
        <f t="shared" si="317"/>
        <v>=2772*10000</v>
      </c>
      <c r="AL661" s="1">
        <f>2772*10000</f>
        <v>27720000</v>
      </c>
      <c r="AM661" s="8">
        <f t="shared" si="334"/>
        <v>6.9857197993052872E-2</v>
      </c>
      <c r="AN661" s="7" t="s">
        <v>7752</v>
      </c>
      <c r="AO661" s="6" t="str">
        <f t="shared" si="318"/>
        <v>=2591*10000</v>
      </c>
      <c r="AP661" s="1">
        <f>2591*10000</f>
        <v>25910000</v>
      </c>
      <c r="AQ661" s="8">
        <f t="shared" si="335"/>
        <v>0.19345923537540305</v>
      </c>
      <c r="AR661" s="7" t="s">
        <v>3400</v>
      </c>
      <c r="AS661" s="6" t="str">
        <f t="shared" si="319"/>
        <v>=2171*10000</v>
      </c>
      <c r="AT661" s="1">
        <f>2171*10000</f>
        <v>21710000</v>
      </c>
      <c r="AU661" s="8">
        <f t="shared" si="336"/>
        <v>2.1054212559004433</v>
      </c>
      <c r="AV661" s="7" t="s">
        <v>7753</v>
      </c>
      <c r="AW661" s="6" t="str">
        <f t="shared" si="320"/>
        <v>=699.1*10000</v>
      </c>
      <c r="AX661" s="1">
        <f>699.1*10000</f>
        <v>6991000</v>
      </c>
      <c r="AY661" s="10">
        <f t="shared" si="337"/>
        <v>-0.70021440823327619</v>
      </c>
      <c r="AZ661" s="7" t="s">
        <v>7754</v>
      </c>
      <c r="BA661" s="6" t="str">
        <f t="shared" si="321"/>
        <v>=2332*10000</v>
      </c>
      <c r="BB661" s="1">
        <f>2332*10000</f>
        <v>23320000</v>
      </c>
      <c r="BC661" s="8">
        <f t="shared" si="338"/>
        <v>0.26946107784431139</v>
      </c>
      <c r="BD661" s="7" t="s">
        <v>4459</v>
      </c>
      <c r="BE661" s="6" t="str">
        <f t="shared" si="322"/>
        <v>=1837*10000</v>
      </c>
      <c r="BF661" s="1">
        <f>1837*10000</f>
        <v>18370000</v>
      </c>
      <c r="BG661" s="8">
        <f t="shared" si="339"/>
        <v>0.68223443223443225</v>
      </c>
      <c r="BH661" s="7" t="s">
        <v>7755</v>
      </c>
      <c r="BI661" s="6" t="str">
        <f t="shared" si="323"/>
        <v>=1092*10000</v>
      </c>
      <c r="BJ661" s="1">
        <f>1092*10000</f>
        <v>10920000</v>
      </c>
      <c r="BK661" s="7" t="s">
        <v>7756</v>
      </c>
      <c r="BL661" s="1" t="str">
        <f t="shared" si="325"/>
        <v>=470.1*10000</v>
      </c>
      <c r="BM661" s="16">
        <f t="shared" si="340"/>
        <v>1.3229100191448628</v>
      </c>
      <c r="BN661" s="1">
        <f>470.1*10000</f>
        <v>4701000</v>
      </c>
    </row>
    <row r="662" spans="1:66">
      <c r="A662" s="17">
        <v>167</v>
      </c>
      <c r="B662">
        <v>600563</v>
      </c>
      <c r="C662" t="s">
        <v>31</v>
      </c>
      <c r="D662" s="6" t="s">
        <v>1878</v>
      </c>
      <c r="E662" s="7" t="str">
        <f t="shared" si="324"/>
        <v>=28.11*100000000</v>
      </c>
      <c r="F662" s="1">
        <f>28.11*100000000</f>
        <v>2811000000</v>
      </c>
      <c r="G662" s="8">
        <f t="shared" si="326"/>
        <v>0.39089559623948539</v>
      </c>
      <c r="H662" s="6" t="s">
        <v>7757</v>
      </c>
      <c r="I662" s="6" t="str">
        <f t="shared" si="310"/>
        <v>=20.21*100000000</v>
      </c>
      <c r="J662" s="1">
        <f>20.21*100000000</f>
        <v>2021000000</v>
      </c>
      <c r="K662" s="10">
        <f t="shared" si="327"/>
        <v>0.57521434138737337</v>
      </c>
      <c r="L662" s="6" t="s">
        <v>162</v>
      </c>
      <c r="M662" s="6" t="str">
        <f t="shared" si="311"/>
        <v>=12.83*100000000</v>
      </c>
      <c r="N662" s="1">
        <f>12.83*100000000</f>
        <v>1283000000</v>
      </c>
      <c r="O662" s="8">
        <f t="shared" si="328"/>
        <v>1.2097829831209095</v>
      </c>
      <c r="P662" s="6" t="s">
        <v>7758</v>
      </c>
      <c r="Q662" s="6" t="str">
        <f t="shared" si="312"/>
        <v>=5.806*100000000</v>
      </c>
      <c r="R662" s="11">
        <f>5.806*100000000</f>
        <v>580600000</v>
      </c>
      <c r="S662" s="8">
        <f t="shared" si="329"/>
        <v>-0.6929666842940243</v>
      </c>
      <c r="T662" s="6" t="s">
        <v>1825</v>
      </c>
      <c r="U662" s="6" t="str">
        <f t="shared" si="313"/>
        <v>=18.91*100000000</v>
      </c>
      <c r="V662" s="1">
        <f>18.91*100000000</f>
        <v>1891000000</v>
      </c>
      <c r="W662" s="8">
        <f t="shared" si="330"/>
        <v>0.41541916167664672</v>
      </c>
      <c r="X662" s="6" t="s">
        <v>7759</v>
      </c>
      <c r="Y662" s="6" t="str">
        <f t="shared" si="314"/>
        <v>=13.36*100000000</v>
      </c>
      <c r="Z662" s="1">
        <f>13.36*100000000</f>
        <v>1336000000</v>
      </c>
      <c r="AA662" s="8">
        <f t="shared" si="331"/>
        <v>0.59713090257023316</v>
      </c>
      <c r="AB662" s="6" t="s">
        <v>7760</v>
      </c>
      <c r="AC662" s="6" t="str">
        <f t="shared" si="315"/>
        <v>=8.365*100000000</v>
      </c>
      <c r="AD662" s="1">
        <f>8.365*100000000</f>
        <v>836500000</v>
      </c>
      <c r="AE662" s="8">
        <f t="shared" si="332"/>
        <v>1.419728087937518</v>
      </c>
      <c r="AF662" s="6" t="s">
        <v>7761</v>
      </c>
      <c r="AG662" s="6" t="str">
        <f t="shared" si="316"/>
        <v>=3.457*100000000</v>
      </c>
      <c r="AH662" s="1">
        <f>3.457*100000000</f>
        <v>345700000</v>
      </c>
      <c r="AI662" s="8">
        <f t="shared" si="333"/>
        <v>-0.79422619047619047</v>
      </c>
      <c r="AJ662" s="6" t="s">
        <v>1545</v>
      </c>
      <c r="AK662" s="6" t="str">
        <f t="shared" si="317"/>
        <v>=16.80*100000000</v>
      </c>
      <c r="AL662" s="1">
        <f>16.8*100000000</f>
        <v>1680000000</v>
      </c>
      <c r="AM662" s="8">
        <f t="shared" si="334"/>
        <v>0.40939597315436244</v>
      </c>
      <c r="AN662" s="6" t="s">
        <v>4553</v>
      </c>
      <c r="AO662" s="6" t="str">
        <f t="shared" si="318"/>
        <v>=11.92*100000000</v>
      </c>
      <c r="AP662" s="1">
        <f>11.92*100000000</f>
        <v>1192000000</v>
      </c>
      <c r="AQ662" s="8">
        <f t="shared" si="335"/>
        <v>0.5014485451568208</v>
      </c>
      <c r="AR662" s="6" t="s">
        <v>7762</v>
      </c>
      <c r="AS662" s="6" t="str">
        <f t="shared" si="319"/>
        <v>=7.939*100000000</v>
      </c>
      <c r="AT662" s="1">
        <f>7.939*100000000</f>
        <v>793900000</v>
      </c>
      <c r="AU662" s="8">
        <f t="shared" si="336"/>
        <v>1.083727034120735</v>
      </c>
      <c r="AV662" s="6" t="s">
        <v>7763</v>
      </c>
      <c r="AW662" s="6" t="str">
        <f t="shared" si="320"/>
        <v>=3.810*100000000</v>
      </c>
      <c r="AX662" s="1">
        <f>3.81*100000000</f>
        <v>381000000</v>
      </c>
      <c r="AY662" s="10">
        <f t="shared" si="337"/>
        <v>-0.77861708309122601</v>
      </c>
      <c r="AZ662" s="6" t="s">
        <v>7764</v>
      </c>
      <c r="BA662" s="6" t="str">
        <f t="shared" si="321"/>
        <v>=17.21*100000000</v>
      </c>
      <c r="BB662" s="1">
        <f>17.21*100000000</f>
        <v>1721000000</v>
      </c>
      <c r="BC662" s="8">
        <f t="shared" si="338"/>
        <v>0.33514352211016291</v>
      </c>
      <c r="BD662" s="6" t="s">
        <v>7765</v>
      </c>
      <c r="BE662" s="6" t="str">
        <f t="shared" si="322"/>
        <v>=12.89*100000000</v>
      </c>
      <c r="BF662" s="1">
        <f>12.89*100000000</f>
        <v>1289000000</v>
      </c>
      <c r="BG662" s="8">
        <f t="shared" si="339"/>
        <v>0.53818615751789955</v>
      </c>
      <c r="BH662" s="6" t="s">
        <v>7766</v>
      </c>
      <c r="BI662" s="6" t="str">
        <f t="shared" si="323"/>
        <v>=8.380*100000000</v>
      </c>
      <c r="BJ662" s="1">
        <f>8.38*100000000</f>
        <v>838000000.00000012</v>
      </c>
      <c r="BK662" s="6" t="s">
        <v>5046</v>
      </c>
      <c r="BL662" s="1" t="str">
        <f t="shared" si="325"/>
        <v>=3.885*100000000</v>
      </c>
      <c r="BM662" s="16">
        <f t="shared" si="340"/>
        <v>1.1570141570141572</v>
      </c>
      <c r="BN662" s="1">
        <f>3.885*100000000</f>
        <v>388500000</v>
      </c>
    </row>
    <row r="663" spans="1:66">
      <c r="A663" s="18"/>
      <c r="B663">
        <v>600563</v>
      </c>
      <c r="C663" t="s">
        <v>48</v>
      </c>
      <c r="D663" s="6" t="s">
        <v>7767</v>
      </c>
      <c r="E663" s="7" t="str">
        <f t="shared" si="324"/>
        <v>=9.777*100000000</v>
      </c>
      <c r="F663" s="1">
        <f>9.777*100000000</f>
        <v>977699999.99999988</v>
      </c>
      <c r="G663" s="8">
        <f t="shared" si="326"/>
        <v>0.48226197695573059</v>
      </c>
      <c r="H663" s="6" t="s">
        <v>5292</v>
      </c>
      <c r="I663" s="6" t="str">
        <f t="shared" si="310"/>
        <v>=6.596*100000000</v>
      </c>
      <c r="J663" s="1">
        <f>6.596*100000000</f>
        <v>659600000</v>
      </c>
      <c r="K663" s="10">
        <f t="shared" si="327"/>
        <v>0.51701931922723088</v>
      </c>
      <c r="L663" s="6" t="s">
        <v>7768</v>
      </c>
      <c r="M663" s="6" t="str">
        <f t="shared" si="311"/>
        <v>=4.348*100000000</v>
      </c>
      <c r="N663" s="1">
        <f>4.348*100000000</f>
        <v>434800000</v>
      </c>
      <c r="O663" s="8">
        <f t="shared" si="328"/>
        <v>1.1948510853104493</v>
      </c>
      <c r="P663" s="6" t="s">
        <v>7769</v>
      </c>
      <c r="Q663" s="6" t="str">
        <f t="shared" si="312"/>
        <v>=1.981*100000000</v>
      </c>
      <c r="R663" s="11">
        <f>1.981*100000000</f>
        <v>198100000</v>
      </c>
      <c r="S663" s="8">
        <f t="shared" si="329"/>
        <v>-0.69760341932529379</v>
      </c>
      <c r="T663" s="6" t="s">
        <v>7770</v>
      </c>
      <c r="U663" s="6" t="str">
        <f t="shared" si="313"/>
        <v>=6.551*100000000</v>
      </c>
      <c r="V663" s="1">
        <f>6.551*100000000</f>
        <v>655100000</v>
      </c>
      <c r="W663" s="8">
        <f t="shared" si="330"/>
        <v>0.48886363636363617</v>
      </c>
      <c r="X663" s="6" t="s">
        <v>7771</v>
      </c>
      <c r="Y663" s="6" t="str">
        <f t="shared" si="314"/>
        <v>=4.400*100000000</v>
      </c>
      <c r="Z663" s="1">
        <f>4.4*100000000</f>
        <v>440000000.00000006</v>
      </c>
      <c r="AA663" s="8">
        <f t="shared" si="331"/>
        <v>0.59074475777295754</v>
      </c>
      <c r="AB663" s="6" t="s">
        <v>1239</v>
      </c>
      <c r="AC663" s="6" t="str">
        <f t="shared" si="315"/>
        <v>=2.766*100000000</v>
      </c>
      <c r="AD663" s="1">
        <f>2.766*100000000</f>
        <v>276600000</v>
      </c>
      <c r="AE663" s="8">
        <f t="shared" si="332"/>
        <v>1.4521276595744683</v>
      </c>
      <c r="AF663" s="6" t="s">
        <v>6245</v>
      </c>
      <c r="AG663" s="6" t="str">
        <f t="shared" si="316"/>
        <v>=1.128*100000000</v>
      </c>
      <c r="AH663" s="1">
        <f>1.128*100000000</f>
        <v>112799999.99999999</v>
      </c>
      <c r="AI663" s="8">
        <f t="shared" si="333"/>
        <v>-0.79153576048789498</v>
      </c>
      <c r="AJ663" s="6" t="s">
        <v>6684</v>
      </c>
      <c r="AK663" s="6" t="str">
        <f t="shared" si="317"/>
        <v>=5.411*100000000</v>
      </c>
      <c r="AL663" s="1">
        <f>5.411*100000000</f>
        <v>541100000</v>
      </c>
      <c r="AM663" s="8">
        <f t="shared" si="334"/>
        <v>0.46998098342841621</v>
      </c>
      <c r="AN663" s="6" t="s">
        <v>5719</v>
      </c>
      <c r="AO663" s="6" t="str">
        <f t="shared" si="318"/>
        <v>=3.681*100000000</v>
      </c>
      <c r="AP663" s="1">
        <f>3.681*100000000</f>
        <v>368100000</v>
      </c>
      <c r="AQ663" s="8">
        <f t="shared" si="335"/>
        <v>0.45494071146245074</v>
      </c>
      <c r="AR663" s="6" t="s">
        <v>4412</v>
      </c>
      <c r="AS663" s="6" t="str">
        <f t="shared" si="319"/>
        <v>=2.530*100000000</v>
      </c>
      <c r="AT663" s="1">
        <f>2.53*100000000</f>
        <v>252999999.99999997</v>
      </c>
      <c r="AU663" s="8">
        <f t="shared" si="336"/>
        <v>1.1332209106239457</v>
      </c>
      <c r="AV663" s="6" t="s">
        <v>7772</v>
      </c>
      <c r="AW663" s="6" t="str">
        <f t="shared" si="320"/>
        <v>=1.186*100000000</v>
      </c>
      <c r="AX663" s="1">
        <f>1.186*100000000</f>
        <v>118600000</v>
      </c>
      <c r="AY663" s="10">
        <f t="shared" si="337"/>
        <v>-0.77601510859301226</v>
      </c>
      <c r="AZ663" s="6" t="s">
        <v>7773</v>
      </c>
      <c r="BA663" s="6" t="str">
        <f t="shared" si="321"/>
        <v>=5.295*100000000</v>
      </c>
      <c r="BB663" s="1">
        <f>5.295*100000000</f>
        <v>529500000</v>
      </c>
      <c r="BC663" s="8">
        <f t="shared" si="338"/>
        <v>0.36118251928020567</v>
      </c>
      <c r="BD663" s="6" t="s">
        <v>7774</v>
      </c>
      <c r="BE663" s="6" t="str">
        <f t="shared" si="322"/>
        <v>=3.890*100000000</v>
      </c>
      <c r="BF663" s="1">
        <f>3.89*100000000</f>
        <v>389000000</v>
      </c>
      <c r="BG663" s="8">
        <f t="shared" si="339"/>
        <v>0.51479750778816202</v>
      </c>
      <c r="BH663" s="6" t="s">
        <v>1654</v>
      </c>
      <c r="BI663" s="6" t="str">
        <f t="shared" si="323"/>
        <v>=2.568*100000000</v>
      </c>
      <c r="BJ663" s="1">
        <f>2.568*100000000</f>
        <v>256800000</v>
      </c>
      <c r="BK663" s="6" t="s">
        <v>1982</v>
      </c>
      <c r="BL663" s="1" t="str">
        <f t="shared" si="325"/>
        <v>=1.145*100000000</v>
      </c>
      <c r="BM663" s="16">
        <f t="shared" si="340"/>
        <v>1.2427947598253275</v>
      </c>
      <c r="BN663" s="1">
        <f>1.145*100000000</f>
        <v>114500000</v>
      </c>
    </row>
    <row r="664" spans="1:66">
      <c r="A664" s="18"/>
      <c r="B664">
        <v>600563</v>
      </c>
      <c r="C664" t="s">
        <v>58</v>
      </c>
      <c r="D664" s="6" t="s">
        <v>1963</v>
      </c>
      <c r="E664" s="7" t="str">
        <f t="shared" si="324"/>
        <v>=9.776*100000000</v>
      </c>
      <c r="F664" s="1">
        <f>9.776*100000000</f>
        <v>977600000</v>
      </c>
      <c r="G664" s="8">
        <f t="shared" si="326"/>
        <v>0.48345978755690439</v>
      </c>
      <c r="H664" s="6" t="s">
        <v>7775</v>
      </c>
      <c r="I664" s="6" t="str">
        <f t="shared" si="310"/>
        <v>=6.590*100000000</v>
      </c>
      <c r="J664" s="1">
        <f>6.59*100000000</f>
        <v>659000000</v>
      </c>
      <c r="K664" s="10">
        <f t="shared" si="327"/>
        <v>0.51878312975339924</v>
      </c>
      <c r="L664" s="6" t="s">
        <v>7776</v>
      </c>
      <c r="M664" s="6" t="str">
        <f t="shared" si="311"/>
        <v>=4.339*100000000</v>
      </c>
      <c r="N664" s="1">
        <f>4.339*100000000</f>
        <v>433900000.00000006</v>
      </c>
      <c r="O664" s="8">
        <f t="shared" si="328"/>
        <v>1.1980749746707196</v>
      </c>
      <c r="P664" s="6" t="s">
        <v>2889</v>
      </c>
      <c r="Q664" s="6" t="str">
        <f t="shared" si="312"/>
        <v>=1.974*100000000</v>
      </c>
      <c r="R664" s="11">
        <f>1.974*100000000</f>
        <v>197400000</v>
      </c>
      <c r="S664" s="8">
        <f t="shared" si="329"/>
        <v>-0.69931454683929928</v>
      </c>
      <c r="T664" s="6" t="s">
        <v>4664</v>
      </c>
      <c r="U664" s="6" t="str">
        <f t="shared" si="313"/>
        <v>=6.565*100000000</v>
      </c>
      <c r="V664" s="1">
        <f>6.565*100000000</f>
        <v>656500000</v>
      </c>
      <c r="W664" s="8">
        <f t="shared" si="330"/>
        <v>0.49306345235387766</v>
      </c>
      <c r="X664" s="6" t="s">
        <v>7777</v>
      </c>
      <c r="Y664" s="6" t="str">
        <f t="shared" si="314"/>
        <v>=4.397*100000000</v>
      </c>
      <c r="Z664" s="1">
        <f>4.397*100000000</f>
        <v>439700000</v>
      </c>
      <c r="AA664" s="8">
        <f t="shared" si="331"/>
        <v>0.5902350813743219</v>
      </c>
      <c r="AB664" s="6" t="s">
        <v>7778</v>
      </c>
      <c r="AC664" s="6" t="str">
        <f t="shared" si="315"/>
        <v>=2.765*100000000</v>
      </c>
      <c r="AD664" s="1">
        <f>2.765*100000000</f>
        <v>276500000</v>
      </c>
      <c r="AE664" s="8">
        <f t="shared" si="332"/>
        <v>1.4577777777777778</v>
      </c>
      <c r="AF664" s="6" t="s">
        <v>4588</v>
      </c>
      <c r="AG664" s="6" t="str">
        <f t="shared" si="316"/>
        <v>=1.125*100000000</v>
      </c>
      <c r="AH664" s="1">
        <f>1.125*100000000</f>
        <v>112500000</v>
      </c>
      <c r="AI664" s="8">
        <f t="shared" si="333"/>
        <v>-0.79247371333702266</v>
      </c>
      <c r="AJ664" s="6" t="s">
        <v>7779</v>
      </c>
      <c r="AK664" s="6" t="str">
        <f t="shared" si="317"/>
        <v>=5.421*100000000</v>
      </c>
      <c r="AL664" s="1">
        <f>5.421*100000000</f>
        <v>542100000</v>
      </c>
      <c r="AM664" s="8">
        <f t="shared" si="334"/>
        <v>0.4667207792207792</v>
      </c>
      <c r="AN664" s="6" t="s">
        <v>5702</v>
      </c>
      <c r="AO664" s="6" t="str">
        <f t="shared" si="318"/>
        <v>=3.696*100000000</v>
      </c>
      <c r="AP664" s="1">
        <f>3.696*100000000</f>
        <v>369600000</v>
      </c>
      <c r="AQ664" s="8">
        <f t="shared" si="335"/>
        <v>0.45683878596767835</v>
      </c>
      <c r="AR664" s="6" t="s">
        <v>3374</v>
      </c>
      <c r="AS664" s="6" t="str">
        <f t="shared" si="319"/>
        <v>=2.537*100000000</v>
      </c>
      <c r="AT664" s="1">
        <f>2.537*100000000</f>
        <v>253700000</v>
      </c>
      <c r="AU664" s="8">
        <f t="shared" si="336"/>
        <v>1.139123102866779</v>
      </c>
      <c r="AV664" s="6" t="s">
        <v>7772</v>
      </c>
      <c r="AW664" s="6" t="str">
        <f t="shared" si="320"/>
        <v>=1.186*100000000</v>
      </c>
      <c r="AX664" s="1">
        <f>1.186*100000000</f>
        <v>118600000</v>
      </c>
      <c r="AY664" s="10">
        <f t="shared" si="337"/>
        <v>-0.77614194035485085</v>
      </c>
      <c r="AZ664" s="6" t="s">
        <v>7780</v>
      </c>
      <c r="BA664" s="6" t="str">
        <f t="shared" si="321"/>
        <v>=5.298*100000000</v>
      </c>
      <c r="BB664" s="1">
        <f>5.298*100000000</f>
        <v>529800000</v>
      </c>
      <c r="BC664" s="8">
        <f t="shared" si="338"/>
        <v>0.36055469953775038</v>
      </c>
      <c r="BD664" s="6" t="s">
        <v>7781</v>
      </c>
      <c r="BE664" s="6" t="str">
        <f t="shared" si="322"/>
        <v>=3.894*100000000</v>
      </c>
      <c r="BF664" s="1">
        <f>3.894*100000000</f>
        <v>389400000</v>
      </c>
      <c r="BG664" s="8">
        <f t="shared" si="339"/>
        <v>0.51458576429404879</v>
      </c>
      <c r="BH664" s="6" t="s">
        <v>4739</v>
      </c>
      <c r="BI664" s="6" t="str">
        <f t="shared" si="323"/>
        <v>=2.571*100000000</v>
      </c>
      <c r="BJ664" s="1">
        <f>2.571*100000000</f>
        <v>257100000.00000003</v>
      </c>
      <c r="BK664" s="6" t="s">
        <v>7782</v>
      </c>
      <c r="BL664" s="1" t="str">
        <f t="shared" si="325"/>
        <v>=1.149*100000000</v>
      </c>
      <c r="BM664" s="16">
        <f t="shared" si="340"/>
        <v>1.2375979112271542</v>
      </c>
      <c r="BN664" s="1">
        <f>1.149*100000000</f>
        <v>114900000</v>
      </c>
    </row>
    <row r="665" spans="1:66">
      <c r="A665" s="19"/>
      <c r="B665">
        <v>600563</v>
      </c>
      <c r="C665" t="s">
        <v>68</v>
      </c>
      <c r="D665" s="6" t="s">
        <v>7783</v>
      </c>
      <c r="E665" s="7" t="str">
        <f t="shared" si="324"/>
        <v>=8.444*100000000</v>
      </c>
      <c r="F665" s="1">
        <f>8.444*100000000</f>
        <v>844400000.00000012</v>
      </c>
      <c r="G665" s="8">
        <f t="shared" si="326"/>
        <v>0.50920464700625578</v>
      </c>
      <c r="H665" s="6" t="s">
        <v>7784</v>
      </c>
      <c r="I665" s="6" t="str">
        <f t="shared" si="310"/>
        <v>=5.595*100000000</v>
      </c>
      <c r="J665" s="1">
        <f>5.595*100000000</f>
        <v>559500000</v>
      </c>
      <c r="K665" s="10">
        <f t="shared" si="327"/>
        <v>0.51872964169381108</v>
      </c>
      <c r="L665" s="6" t="s">
        <v>6397</v>
      </c>
      <c r="M665" s="6" t="str">
        <f t="shared" si="311"/>
        <v>=3.684*100000000</v>
      </c>
      <c r="N665" s="1">
        <f>3.684*100000000</f>
        <v>368400000</v>
      </c>
      <c r="O665" s="8">
        <f t="shared" si="328"/>
        <v>1.1902497027348395</v>
      </c>
      <c r="P665" s="6" t="s">
        <v>2173</v>
      </c>
      <c r="Q665" s="6" t="str">
        <f t="shared" si="312"/>
        <v>=1.682*100000000</v>
      </c>
      <c r="R665" s="11">
        <f>1.682*100000000</f>
        <v>168200000</v>
      </c>
      <c r="S665" s="8">
        <f t="shared" si="329"/>
        <v>-0.70193159666843874</v>
      </c>
      <c r="T665" s="6" t="s">
        <v>3148</v>
      </c>
      <c r="U665" s="6" t="str">
        <f t="shared" si="313"/>
        <v>=5.643*100000000</v>
      </c>
      <c r="V665" s="1">
        <f>5.643*100000000</f>
        <v>564300000</v>
      </c>
      <c r="W665" s="8">
        <f t="shared" si="330"/>
        <v>0.50842020850040093</v>
      </c>
      <c r="X665" s="6" t="s">
        <v>7785</v>
      </c>
      <c r="Y665" s="6" t="str">
        <f t="shared" si="314"/>
        <v>=3.741*100000000</v>
      </c>
      <c r="Z665" s="1">
        <f>3.741*100000000</f>
        <v>374100000</v>
      </c>
      <c r="AA665" s="8">
        <f t="shared" si="331"/>
        <v>0.58853503184713374</v>
      </c>
      <c r="AB665" s="6" t="s">
        <v>4006</v>
      </c>
      <c r="AC665" s="6" t="str">
        <f t="shared" si="315"/>
        <v>=2.355*100000000</v>
      </c>
      <c r="AD665" s="1">
        <f>2.355*100000000</f>
        <v>235500000</v>
      </c>
      <c r="AE665" s="8">
        <f t="shared" si="332"/>
        <v>1.4670018856065368</v>
      </c>
      <c r="AF665" s="7" t="s">
        <v>7786</v>
      </c>
      <c r="AG665" s="6" t="str">
        <f t="shared" si="316"/>
        <v>=9546*10000</v>
      </c>
      <c r="AH665" s="1">
        <f>9546*10000</f>
        <v>95460000</v>
      </c>
      <c r="AI665" s="8">
        <f t="shared" si="333"/>
        <v>-0.79536977491961414</v>
      </c>
      <c r="AJ665" s="6" t="s">
        <v>7787</v>
      </c>
      <c r="AK665" s="6" t="str">
        <f t="shared" si="317"/>
        <v>=4.665*100000000</v>
      </c>
      <c r="AL665" s="1">
        <f>4.665*100000000</f>
        <v>466500000</v>
      </c>
      <c r="AM665" s="8">
        <f t="shared" si="334"/>
        <v>0.48661567877629064</v>
      </c>
      <c r="AN665" s="6" t="s">
        <v>6321</v>
      </c>
      <c r="AO665" s="6" t="str">
        <f t="shared" si="318"/>
        <v>=3.138*100000000</v>
      </c>
      <c r="AP665" s="1">
        <f>3.138*100000000</f>
        <v>313800000</v>
      </c>
      <c r="AQ665" s="8">
        <f t="shared" si="335"/>
        <v>0.45614849187935053</v>
      </c>
      <c r="AR665" s="6" t="s">
        <v>2155</v>
      </c>
      <c r="AS665" s="6" t="str">
        <f t="shared" si="319"/>
        <v>=2.155*100000000</v>
      </c>
      <c r="AT665" s="1">
        <f>2.155*100000000</f>
        <v>215499999.99999997</v>
      </c>
      <c r="AU665" s="8">
        <f t="shared" si="336"/>
        <v>1.1336633663366333</v>
      </c>
      <c r="AV665" s="6" t="s">
        <v>908</v>
      </c>
      <c r="AW665" s="6" t="str">
        <f t="shared" si="320"/>
        <v>=1.010*100000000</v>
      </c>
      <c r="AX665" s="1">
        <f>1.01*100000000</f>
        <v>101000000</v>
      </c>
      <c r="AY665" s="10">
        <f t="shared" si="337"/>
        <v>-0.78048250380352102</v>
      </c>
      <c r="AZ665" s="6" t="s">
        <v>2354</v>
      </c>
      <c r="BA665" s="6" t="str">
        <f t="shared" si="321"/>
        <v>=4.601*100000000</v>
      </c>
      <c r="BB665" s="1">
        <f>4.601*100000000</f>
        <v>460100000</v>
      </c>
      <c r="BC665" s="8">
        <f t="shared" si="338"/>
        <v>0.38375939849624058</v>
      </c>
      <c r="BD665" s="6" t="s">
        <v>1416</v>
      </c>
      <c r="BE665" s="6" t="str">
        <f t="shared" si="322"/>
        <v>=3.325*100000000</v>
      </c>
      <c r="BF665" s="1">
        <f>3.325*100000000</f>
        <v>332500000</v>
      </c>
      <c r="BG665" s="8">
        <f t="shared" si="339"/>
        <v>0.51136363636363613</v>
      </c>
      <c r="BH665" s="6" t="s">
        <v>7788</v>
      </c>
      <c r="BI665" s="6" t="str">
        <f t="shared" si="323"/>
        <v>=2.200*100000000</v>
      </c>
      <c r="BJ665" s="1">
        <f>2.2*100000000</f>
        <v>220000000.00000003</v>
      </c>
      <c r="BK665" s="7" t="s">
        <v>7789</v>
      </c>
      <c r="BL665" s="1" t="str">
        <f t="shared" si="325"/>
        <v>=9778*10000</v>
      </c>
      <c r="BM665" s="16">
        <f t="shared" si="340"/>
        <v>1.2499488647985275</v>
      </c>
      <c r="BN665" s="1">
        <f>9778*10000</f>
        <v>97780000</v>
      </c>
    </row>
    <row r="666" spans="1:66">
      <c r="A666" s="17">
        <v>168</v>
      </c>
      <c r="B666">
        <v>600570</v>
      </c>
      <c r="C666" t="s">
        <v>31</v>
      </c>
      <c r="D666" s="6" t="s">
        <v>7790</v>
      </c>
      <c r="E666" s="7" t="str">
        <f t="shared" si="324"/>
        <v>=54.97*100000000</v>
      </c>
      <c r="F666" s="1">
        <f>54.97*100000000</f>
        <v>5497000000</v>
      </c>
      <c r="G666" s="8">
        <f t="shared" si="326"/>
        <v>0.76129445690483821</v>
      </c>
      <c r="H666" s="6" t="s">
        <v>7791</v>
      </c>
      <c r="I666" s="6" t="str">
        <f t="shared" si="310"/>
        <v>=31.21*100000000</v>
      </c>
      <c r="J666" s="1">
        <f>31.21*100000000</f>
        <v>3121000000</v>
      </c>
      <c r="K666" s="10">
        <f t="shared" si="327"/>
        <v>0.52095516569200784</v>
      </c>
      <c r="L666" s="6" t="s">
        <v>5095</v>
      </c>
      <c r="M666" s="6" t="str">
        <f t="shared" si="311"/>
        <v>=20.52*100000000</v>
      </c>
      <c r="N666" s="1">
        <f>20.52*100000000</f>
        <v>2052000000</v>
      </c>
      <c r="O666" s="8">
        <f t="shared" si="328"/>
        <v>1.7316293929712461</v>
      </c>
      <c r="P666" s="6" t="s">
        <v>7792</v>
      </c>
      <c r="Q666" s="6" t="str">
        <f t="shared" si="312"/>
        <v>=7.512*100000000</v>
      </c>
      <c r="R666" s="11">
        <f>7.512*100000000</f>
        <v>751200000</v>
      </c>
      <c r="S666" s="8">
        <f t="shared" si="329"/>
        <v>-0.81998562185478074</v>
      </c>
      <c r="T666" s="6" t="s">
        <v>6669</v>
      </c>
      <c r="U666" s="6" t="str">
        <f t="shared" si="313"/>
        <v>=41.73*100000000</v>
      </c>
      <c r="V666" s="1">
        <f>41.73*100000000</f>
        <v>4172999999.9999995</v>
      </c>
      <c r="W666" s="8">
        <f t="shared" si="330"/>
        <v>0.78485885372112896</v>
      </c>
      <c r="X666" s="6" t="s">
        <v>7793</v>
      </c>
      <c r="Y666" s="6" t="str">
        <f t="shared" si="314"/>
        <v>=23.38*100000000</v>
      </c>
      <c r="Z666" s="1">
        <f>23.38*100000000</f>
        <v>2338000000</v>
      </c>
      <c r="AA666" s="8">
        <f t="shared" si="331"/>
        <v>0.44410129709697321</v>
      </c>
      <c r="AB666" s="6" t="s">
        <v>1334</v>
      </c>
      <c r="AC666" s="6" t="str">
        <f t="shared" si="315"/>
        <v>=16.19*100000000</v>
      </c>
      <c r="AD666" s="1">
        <f>16.19*100000000</f>
        <v>1619000000.0000002</v>
      </c>
      <c r="AE666" s="8">
        <f t="shared" si="332"/>
        <v>2.1522585669781935</v>
      </c>
      <c r="AF666" s="6" t="s">
        <v>2935</v>
      </c>
      <c r="AG666" s="6" t="str">
        <f t="shared" si="316"/>
        <v>=5.136*100000000</v>
      </c>
      <c r="AH666" s="1">
        <f>5.136*100000000</f>
        <v>513600000</v>
      </c>
      <c r="AI666" s="8">
        <f t="shared" si="333"/>
        <v>-0.86735537190082646</v>
      </c>
      <c r="AJ666" s="6" t="s">
        <v>521</v>
      </c>
      <c r="AK666" s="6" t="str">
        <f t="shared" si="317"/>
        <v>=38.72*100000000</v>
      </c>
      <c r="AL666" s="1">
        <f>38.72*100000000</f>
        <v>3872000000</v>
      </c>
      <c r="AM666" s="8">
        <f t="shared" si="334"/>
        <v>0.68567696996081851</v>
      </c>
      <c r="AN666" s="6" t="s">
        <v>7498</v>
      </c>
      <c r="AO666" s="6" t="str">
        <f t="shared" si="318"/>
        <v>=22.97*100000000</v>
      </c>
      <c r="AP666" s="1">
        <f>22.97*100000000</f>
        <v>2297000000</v>
      </c>
      <c r="AQ666" s="8">
        <f t="shared" si="335"/>
        <v>0.5072178477690289</v>
      </c>
      <c r="AR666" s="6" t="s">
        <v>7794</v>
      </c>
      <c r="AS666" s="6" t="str">
        <f t="shared" si="319"/>
        <v>=15.24*100000000</v>
      </c>
      <c r="AT666" s="1">
        <f>15.24*100000000</f>
        <v>1524000000</v>
      </c>
      <c r="AU666" s="8">
        <f t="shared" si="336"/>
        <v>1.5734549138804459</v>
      </c>
      <c r="AV666" s="6" t="s">
        <v>3667</v>
      </c>
      <c r="AW666" s="6" t="str">
        <f t="shared" si="320"/>
        <v>=5.922*100000000</v>
      </c>
      <c r="AX666" s="1">
        <f>5.922*100000000</f>
        <v>592200000</v>
      </c>
      <c r="AY666" s="10">
        <f t="shared" si="337"/>
        <v>-0.8185105730922464</v>
      </c>
      <c r="AZ666" s="6" t="s">
        <v>7795</v>
      </c>
      <c r="BA666" s="6" t="str">
        <f t="shared" si="321"/>
        <v>=32.63*100000000</v>
      </c>
      <c r="BB666" s="1">
        <f>32.63*100000000</f>
        <v>3263000000.0000005</v>
      </c>
      <c r="BC666" s="8">
        <f t="shared" si="338"/>
        <v>0.66225165562913935</v>
      </c>
      <c r="BD666" s="6" t="s">
        <v>7796</v>
      </c>
      <c r="BE666" s="6" t="str">
        <f t="shared" si="322"/>
        <v>=19.63*100000000</v>
      </c>
      <c r="BF666" s="1">
        <f>19.63*100000000</f>
        <v>1963000000</v>
      </c>
      <c r="BG666" s="8">
        <f t="shared" si="339"/>
        <v>0.4423218221895665</v>
      </c>
      <c r="BH666" s="6" t="s">
        <v>2074</v>
      </c>
      <c r="BI666" s="6" t="str">
        <f t="shared" si="323"/>
        <v>=13.61*100000000</v>
      </c>
      <c r="BJ666" s="1">
        <f>13.61*100000000</f>
        <v>1361000000</v>
      </c>
      <c r="BK666" s="6" t="s">
        <v>7124</v>
      </c>
      <c r="BL666" s="1" t="str">
        <f t="shared" si="325"/>
        <v>=5.327*100000000</v>
      </c>
      <c r="BM666" s="16">
        <f t="shared" si="340"/>
        <v>1.5549089543833301</v>
      </c>
      <c r="BN666" s="1">
        <f>5.327*100000000</f>
        <v>532700000</v>
      </c>
    </row>
    <row r="667" spans="1:66">
      <c r="A667" s="18"/>
      <c r="B667">
        <v>600570</v>
      </c>
      <c r="C667" t="s">
        <v>48</v>
      </c>
      <c r="D667" s="6" t="s">
        <v>6999</v>
      </c>
      <c r="E667" s="7" t="str">
        <f t="shared" si="324"/>
        <v>=15.11*100000000</v>
      </c>
      <c r="F667" s="1">
        <f>15.11*100000000</f>
        <v>1511000000</v>
      </c>
      <c r="G667" s="8">
        <f t="shared" si="326"/>
        <v>0.99735624586913418</v>
      </c>
      <c r="H667" s="6" t="s">
        <v>7797</v>
      </c>
      <c r="I667" s="6" t="str">
        <f t="shared" si="310"/>
        <v>=7.565*100000000</v>
      </c>
      <c r="J667" s="1">
        <f>7.565*100000000</f>
        <v>756500000</v>
      </c>
      <c r="K667" s="10">
        <f t="shared" si="327"/>
        <v>5.1820356098857294E-3</v>
      </c>
      <c r="L667" s="6" t="s">
        <v>7798</v>
      </c>
      <c r="M667" s="6" t="str">
        <f t="shared" si="311"/>
        <v>=7.526*100000000</v>
      </c>
      <c r="N667" s="1">
        <f>7.526*100000000</f>
        <v>752600000</v>
      </c>
      <c r="O667" s="8">
        <f t="shared" si="328"/>
        <v>3.1374381528312258</v>
      </c>
      <c r="P667" s="6" t="s">
        <v>2041</v>
      </c>
      <c r="Q667" s="6" t="str">
        <f t="shared" si="312"/>
        <v>=1.819*100000000</v>
      </c>
      <c r="R667" s="11">
        <f>1.819*100000000</f>
        <v>181900000</v>
      </c>
      <c r="S667" s="8">
        <f t="shared" si="329"/>
        <v>-0.87376821651630809</v>
      </c>
      <c r="T667" s="6" t="s">
        <v>4244</v>
      </c>
      <c r="U667" s="6" t="str">
        <f t="shared" si="313"/>
        <v>=14.41*100000000</v>
      </c>
      <c r="V667" s="1">
        <f>14.41*100000000</f>
        <v>1441000000</v>
      </c>
      <c r="W667" s="8">
        <f t="shared" si="330"/>
        <v>1.8056853582554517</v>
      </c>
      <c r="X667" s="6" t="s">
        <v>2935</v>
      </c>
      <c r="Y667" s="6" t="str">
        <f t="shared" si="314"/>
        <v>=5.136*100000000</v>
      </c>
      <c r="Z667" s="1">
        <f>5.136*100000000</f>
        <v>513600000</v>
      </c>
      <c r="AA667" s="8">
        <f t="shared" si="331"/>
        <v>0.40944017563117452</v>
      </c>
      <c r="AB667" s="6" t="s">
        <v>7799</v>
      </c>
      <c r="AC667" s="6" t="str">
        <f t="shared" si="315"/>
        <v>=3.644*100000000</v>
      </c>
      <c r="AD667" s="1">
        <f>3.644*100000000</f>
        <v>364400000</v>
      </c>
      <c r="AE667" s="8">
        <f t="shared" si="332"/>
        <v>-8.004998077662437</v>
      </c>
      <c r="AF667" s="7">
        <f>-5202*10000</f>
        <v>-52020000</v>
      </c>
      <c r="AG667" s="6" t="str">
        <f t="shared" si="316"/>
        <v>=-52020000</v>
      </c>
      <c r="AH667" s="1">
        <f>-52020000</f>
        <v>-52020000</v>
      </c>
      <c r="AI667" s="8">
        <f t="shared" si="333"/>
        <v>-1.0340445026178011</v>
      </c>
      <c r="AJ667" s="6" t="s">
        <v>54</v>
      </c>
      <c r="AK667" s="6" t="str">
        <f t="shared" si="317"/>
        <v>=15.28*100000000</v>
      </c>
      <c r="AL667" s="1">
        <f>15.28*100000000</f>
        <v>1528000000</v>
      </c>
      <c r="AM667" s="8">
        <f t="shared" si="334"/>
        <v>0.73242630385487528</v>
      </c>
      <c r="AN667" s="6" t="s">
        <v>7800</v>
      </c>
      <c r="AO667" s="6" t="str">
        <f t="shared" si="318"/>
        <v>=8.820*100000000</v>
      </c>
      <c r="AP667" s="1">
        <f>8.82*100000000</f>
        <v>882000000</v>
      </c>
      <c r="AQ667" s="8">
        <f t="shared" si="335"/>
        <v>0.20098039215686275</v>
      </c>
      <c r="AR667" s="6" t="s">
        <v>7801</v>
      </c>
      <c r="AS667" s="6" t="str">
        <f t="shared" si="319"/>
        <v>=7.344*100000000</v>
      </c>
      <c r="AT667" s="1">
        <f>7.344*100000000</f>
        <v>734400000</v>
      </c>
      <c r="AU667" s="8">
        <f t="shared" si="336"/>
        <v>0.66342015855039638</v>
      </c>
      <c r="AV667" s="6" t="s">
        <v>5326</v>
      </c>
      <c r="AW667" s="6" t="str">
        <f t="shared" si="320"/>
        <v>=4.415*100000000</v>
      </c>
      <c r="AX667" s="1">
        <f>4.415*100000000</f>
        <v>441500000</v>
      </c>
      <c r="AY667" s="10">
        <f t="shared" si="337"/>
        <v>-0.37027528170018542</v>
      </c>
      <c r="AZ667" s="6" t="s">
        <v>7802</v>
      </c>
      <c r="BA667" s="6" t="str">
        <f t="shared" si="321"/>
        <v>=7.011*100000000</v>
      </c>
      <c r="BB667" s="1">
        <f>7.011*100000000</f>
        <v>701100000</v>
      </c>
      <c r="BC667" s="8">
        <f t="shared" si="338"/>
        <v>0.60618556701030923</v>
      </c>
      <c r="BD667" s="6" t="s">
        <v>7803</v>
      </c>
      <c r="BE667" s="6" t="str">
        <f t="shared" si="322"/>
        <v>=4.365*100000000</v>
      </c>
      <c r="BF667" s="1">
        <f>4.365*100000000</f>
        <v>436500000</v>
      </c>
      <c r="BG667" s="8">
        <f t="shared" si="339"/>
        <v>0.26778971826895148</v>
      </c>
      <c r="BH667" s="6" t="s">
        <v>4558</v>
      </c>
      <c r="BI667" s="6" t="str">
        <f t="shared" si="323"/>
        <v>=3.443*100000000</v>
      </c>
      <c r="BJ667" s="1">
        <f>3.443*100000000</f>
        <v>344300000</v>
      </c>
      <c r="BK667" s="7" t="s">
        <v>4461</v>
      </c>
      <c r="BL667" s="1" t="str">
        <f t="shared" si="325"/>
        <v>=5711*10000</v>
      </c>
      <c r="BM667" s="16">
        <f t="shared" si="340"/>
        <v>5.0287165119943964</v>
      </c>
      <c r="BN667" s="1">
        <f>5711*10000</f>
        <v>57110000</v>
      </c>
    </row>
    <row r="668" spans="1:66">
      <c r="A668" s="18"/>
      <c r="B668">
        <v>600570</v>
      </c>
      <c r="C668" t="s">
        <v>58</v>
      </c>
      <c r="D668" s="6" t="s">
        <v>1966</v>
      </c>
      <c r="E668" s="7" t="str">
        <f t="shared" si="324"/>
        <v>=15.10*100000000</v>
      </c>
      <c r="F668" s="1">
        <f>15.1*100000000</f>
        <v>1510000000</v>
      </c>
      <c r="G668" s="8">
        <f t="shared" si="326"/>
        <v>0.99497952173338622</v>
      </c>
      <c r="H668" s="6" t="s">
        <v>7804</v>
      </c>
      <c r="I668" s="6" t="str">
        <f t="shared" si="310"/>
        <v>=7.569*100000000</v>
      </c>
      <c r="J668" s="1">
        <f>7.569*100000000</f>
        <v>756900000</v>
      </c>
      <c r="K668" s="10">
        <f t="shared" si="327"/>
        <v>4.9123738714816779E-3</v>
      </c>
      <c r="L668" s="6" t="s">
        <v>7805</v>
      </c>
      <c r="M668" s="6" t="str">
        <f t="shared" si="311"/>
        <v>=7.532*100000000</v>
      </c>
      <c r="N668" s="1">
        <f>7.532*100000000</f>
        <v>753200000</v>
      </c>
      <c r="O668" s="8">
        <f t="shared" si="328"/>
        <v>3.1158469945355192</v>
      </c>
      <c r="P668" s="6" t="s">
        <v>6963</v>
      </c>
      <c r="Q668" s="6" t="str">
        <f t="shared" si="312"/>
        <v>=1.830*100000000</v>
      </c>
      <c r="R668" s="11">
        <f>1.83*100000000</f>
        <v>183000000</v>
      </c>
      <c r="S668" s="8">
        <f t="shared" si="329"/>
        <v>-0.87273991655076499</v>
      </c>
      <c r="T668" s="6" t="s">
        <v>1431</v>
      </c>
      <c r="U668" s="6" t="str">
        <f t="shared" si="313"/>
        <v>=14.38*100000000</v>
      </c>
      <c r="V668" s="1">
        <f>14.38*100000000</f>
        <v>1438000000</v>
      </c>
      <c r="W668" s="8">
        <f t="shared" si="330"/>
        <v>1.8179502253576327</v>
      </c>
      <c r="X668" s="6" t="s">
        <v>1064</v>
      </c>
      <c r="Y668" s="6" t="str">
        <f t="shared" si="314"/>
        <v>=5.103*100000000</v>
      </c>
      <c r="Z668" s="1">
        <f>5.103*100000000</f>
        <v>510300000</v>
      </c>
      <c r="AA668" s="8">
        <f t="shared" si="331"/>
        <v>0.40307946109430848</v>
      </c>
      <c r="AB668" s="6" t="s">
        <v>1471</v>
      </c>
      <c r="AC668" s="6" t="str">
        <f t="shared" si="315"/>
        <v>=3.637*100000000</v>
      </c>
      <c r="AD668" s="1">
        <f>3.637*100000000</f>
        <v>363700000</v>
      </c>
      <c r="AE668" s="8">
        <f t="shared" si="332"/>
        <v>-7.9861698040722242</v>
      </c>
      <c r="AF668" s="7">
        <f>-5206*10000</f>
        <v>-52060000</v>
      </c>
      <c r="AG668" s="6" t="str">
        <f t="shared" si="316"/>
        <v>=-52060000</v>
      </c>
      <c r="AH668" s="1">
        <f>-52060000</f>
        <v>-52060000</v>
      </c>
      <c r="AI668" s="8">
        <f t="shared" si="333"/>
        <v>-1.0340929927963327</v>
      </c>
      <c r="AJ668" s="6" t="s">
        <v>4136</v>
      </c>
      <c r="AK668" s="6" t="str">
        <f t="shared" si="317"/>
        <v>=15.27*100000000</v>
      </c>
      <c r="AL668" s="1">
        <f>15.27*100000000</f>
        <v>1527000000</v>
      </c>
      <c r="AM668" s="8">
        <f t="shared" si="334"/>
        <v>0.72991956497111132</v>
      </c>
      <c r="AN668" s="6" t="s">
        <v>7806</v>
      </c>
      <c r="AO668" s="6" t="str">
        <f t="shared" si="318"/>
        <v>=8.827*100000000</v>
      </c>
      <c r="AP668" s="1">
        <f>8.827*100000000</f>
        <v>882700000</v>
      </c>
      <c r="AQ668" s="8">
        <f t="shared" si="335"/>
        <v>0.20193355119825709</v>
      </c>
      <c r="AR668" s="6" t="s">
        <v>7801</v>
      </c>
      <c r="AS668" s="6" t="str">
        <f t="shared" si="319"/>
        <v>=7.344*100000000</v>
      </c>
      <c r="AT668" s="1">
        <f>7.344*100000000</f>
        <v>734400000</v>
      </c>
      <c r="AU668" s="8">
        <f t="shared" si="336"/>
        <v>0.66229062924400184</v>
      </c>
      <c r="AV668" s="6" t="s">
        <v>653</v>
      </c>
      <c r="AW668" s="6" t="str">
        <f t="shared" si="320"/>
        <v>=4.418*100000000</v>
      </c>
      <c r="AX668" s="1">
        <f>4.418*100000000</f>
        <v>441800000</v>
      </c>
      <c r="AY668" s="10">
        <f t="shared" si="337"/>
        <v>-0.3684962835906232</v>
      </c>
      <c r="AZ668" s="6" t="s">
        <v>7807</v>
      </c>
      <c r="BA668" s="6" t="str">
        <f t="shared" si="321"/>
        <v>=6.996*100000000</v>
      </c>
      <c r="BB668" s="1">
        <f>6.996*100000000</f>
        <v>699600000</v>
      </c>
      <c r="BC668" s="8">
        <f t="shared" si="338"/>
        <v>0.61086806355054113</v>
      </c>
      <c r="BD668" s="6" t="s">
        <v>7808</v>
      </c>
      <c r="BE668" s="6" t="str">
        <f t="shared" si="322"/>
        <v>=4.343*100000000</v>
      </c>
      <c r="BF668" s="1">
        <f>4.343*100000000</f>
        <v>434300000</v>
      </c>
      <c r="BG668" s="8">
        <f t="shared" si="339"/>
        <v>0.262867112532713</v>
      </c>
      <c r="BH668" s="6" t="s">
        <v>6781</v>
      </c>
      <c r="BI668" s="6" t="str">
        <f t="shared" si="323"/>
        <v>=3.439*100000000</v>
      </c>
      <c r="BJ668" s="1">
        <f>3.439*100000000</f>
        <v>343900000</v>
      </c>
      <c r="BK668" s="7" t="s">
        <v>922</v>
      </c>
      <c r="BL668" s="1" t="str">
        <f t="shared" si="325"/>
        <v>=5657*10000</v>
      </c>
      <c r="BM668" s="16">
        <f t="shared" si="340"/>
        <v>5.0791939190383593</v>
      </c>
      <c r="BN668" s="1">
        <f>5657*10000</f>
        <v>56570000</v>
      </c>
    </row>
    <row r="669" spans="1:66">
      <c r="A669" s="19"/>
      <c r="B669">
        <v>600570</v>
      </c>
      <c r="C669" t="s">
        <v>68</v>
      </c>
      <c r="D669" s="6" t="s">
        <v>4428</v>
      </c>
      <c r="E669" s="7" t="str">
        <f t="shared" si="324"/>
        <v>=14.90*100000000</v>
      </c>
      <c r="F669" s="1">
        <f>14.9*100000000</f>
        <v>1490000000</v>
      </c>
      <c r="G669" s="8">
        <f t="shared" si="326"/>
        <v>1.1158761715421754</v>
      </c>
      <c r="H669" s="6" t="s">
        <v>7809</v>
      </c>
      <c r="I669" s="6" t="str">
        <f t="shared" si="310"/>
        <v>=7.042*100000000</v>
      </c>
      <c r="J669" s="1">
        <f>7.042*100000000</f>
        <v>704200000</v>
      </c>
      <c r="K669" s="10">
        <f t="shared" si="327"/>
        <v>-3.7188952693464589E-2</v>
      </c>
      <c r="L669" s="6" t="s">
        <v>5819</v>
      </c>
      <c r="M669" s="6" t="str">
        <f t="shared" si="311"/>
        <v>=7.314*100000000</v>
      </c>
      <c r="N669" s="1">
        <f>7.314*100000000</f>
        <v>731400000</v>
      </c>
      <c r="O669" s="8">
        <f t="shared" si="328"/>
        <v>3.1252115059221657</v>
      </c>
      <c r="P669" s="6" t="s">
        <v>7810</v>
      </c>
      <c r="Q669" s="6" t="str">
        <f t="shared" si="312"/>
        <v>=1.773*100000000</v>
      </c>
      <c r="R669" s="11">
        <f>1.773*100000000</f>
        <v>177300000</v>
      </c>
      <c r="S669" s="8">
        <f t="shared" si="329"/>
        <v>-0.86991929567131332</v>
      </c>
      <c r="T669" s="6" t="s">
        <v>7811</v>
      </c>
      <c r="U669" s="6" t="str">
        <f t="shared" si="313"/>
        <v>=13.63*100000000</v>
      </c>
      <c r="V669" s="1">
        <f>13.63*100000000</f>
        <v>1363000000</v>
      </c>
      <c r="W669" s="8">
        <f t="shared" si="330"/>
        <v>2.0295621249166484</v>
      </c>
      <c r="X669" s="6" t="s">
        <v>1804</v>
      </c>
      <c r="Y669" s="6" t="str">
        <f t="shared" si="314"/>
        <v>=4.499*100000000</v>
      </c>
      <c r="Z669" s="1">
        <f>4.499*100000000</f>
        <v>449899999.99999994</v>
      </c>
      <c r="AA669" s="8">
        <f t="shared" si="331"/>
        <v>0.31242707117852958</v>
      </c>
      <c r="AB669" s="6" t="s">
        <v>2635</v>
      </c>
      <c r="AC669" s="6" t="str">
        <f t="shared" si="315"/>
        <v>=3.428*100000000</v>
      </c>
      <c r="AD669" s="1">
        <f>3.428*100000000</f>
        <v>342800000</v>
      </c>
      <c r="AE669" s="8">
        <f t="shared" si="332"/>
        <v>-8.3341891313649974</v>
      </c>
      <c r="AF669" s="7">
        <f>-4674*10000</f>
        <v>-46740000</v>
      </c>
      <c r="AG669" s="6" t="str">
        <f t="shared" si="316"/>
        <v>=-46740000</v>
      </c>
      <c r="AH669" s="1">
        <f>-46740000</f>
        <v>-46740000</v>
      </c>
      <c r="AI669" s="8">
        <f t="shared" si="333"/>
        <v>-1.0330318021201415</v>
      </c>
      <c r="AJ669" s="6" t="s">
        <v>6138</v>
      </c>
      <c r="AK669" s="6" t="str">
        <f t="shared" si="317"/>
        <v>=14.15*100000000</v>
      </c>
      <c r="AL669" s="1">
        <f>14.15*100000000</f>
        <v>1415000000</v>
      </c>
      <c r="AM669" s="8">
        <f t="shared" si="334"/>
        <v>0.77052052052052056</v>
      </c>
      <c r="AN669" s="6" t="s">
        <v>7812</v>
      </c>
      <c r="AO669" s="6" t="str">
        <f t="shared" si="318"/>
        <v>=7.992*100000000</v>
      </c>
      <c r="AP669" s="1">
        <f>7.992*100000000</f>
        <v>799200000</v>
      </c>
      <c r="AQ669" s="8">
        <f t="shared" si="335"/>
        <v>0.18242343541944075</v>
      </c>
      <c r="AR669" s="6" t="s">
        <v>7813</v>
      </c>
      <c r="AS669" s="6" t="str">
        <f t="shared" si="319"/>
        <v>=6.759*100000000</v>
      </c>
      <c r="AT669" s="1">
        <f>6.759*100000000</f>
        <v>675900000</v>
      </c>
      <c r="AU669" s="8">
        <f t="shared" si="336"/>
        <v>0.73797891488814604</v>
      </c>
      <c r="AV669" s="6" t="s">
        <v>7814</v>
      </c>
      <c r="AW669" s="6" t="str">
        <f t="shared" si="320"/>
        <v>=3.889*100000000</v>
      </c>
      <c r="AX669" s="1">
        <f>3.889*100000000</f>
        <v>388900000</v>
      </c>
      <c r="AY669" s="10">
        <f t="shared" si="337"/>
        <v>-0.42673938679245282</v>
      </c>
      <c r="AZ669" s="6" t="s">
        <v>7815</v>
      </c>
      <c r="BA669" s="6" t="str">
        <f t="shared" si="321"/>
        <v>=6.784*100000000</v>
      </c>
      <c r="BB669" s="1">
        <f>6.784*100000000</f>
        <v>678400000</v>
      </c>
      <c r="BC669" s="8">
        <f t="shared" si="338"/>
        <v>0.81244990649211857</v>
      </c>
      <c r="BD669" s="6" t="s">
        <v>7816</v>
      </c>
      <c r="BE669" s="6" t="str">
        <f t="shared" si="322"/>
        <v>=3.743*100000000</v>
      </c>
      <c r="BF669" s="1">
        <f>3.743*100000000</f>
        <v>374300000</v>
      </c>
      <c r="BG669" s="8">
        <f t="shared" si="339"/>
        <v>0.21132686084142394</v>
      </c>
      <c r="BH669" s="6" t="s">
        <v>7817</v>
      </c>
      <c r="BI669" s="6" t="str">
        <f t="shared" si="323"/>
        <v>=3.090*100000000</v>
      </c>
      <c r="BJ669" s="1">
        <f>3.09*100000000</f>
        <v>309000000</v>
      </c>
      <c r="BK669" s="7" t="s">
        <v>5003</v>
      </c>
      <c r="BL669" s="1" t="str">
        <f t="shared" si="325"/>
        <v>=5483*10000</v>
      </c>
      <c r="BM669" s="16">
        <f t="shared" si="340"/>
        <v>4.6356009483859202</v>
      </c>
      <c r="BN669" s="1">
        <f>5483*10000</f>
        <v>54830000</v>
      </c>
    </row>
    <row r="670" spans="1:66">
      <c r="A670" s="17">
        <v>169</v>
      </c>
      <c r="B670">
        <v>600571</v>
      </c>
      <c r="C670" t="s">
        <v>31</v>
      </c>
      <c r="D670" s="6" t="s">
        <v>5421</v>
      </c>
      <c r="E670" s="7" t="str">
        <f t="shared" si="324"/>
        <v>=15.37*100000000</v>
      </c>
      <c r="F670" s="1">
        <f>15.37*100000000</f>
        <v>1537000000</v>
      </c>
      <c r="G670" s="8">
        <f t="shared" si="326"/>
        <v>0.586171310629515</v>
      </c>
      <c r="H670" s="6" t="s">
        <v>7818</v>
      </c>
      <c r="I670" s="6" t="str">
        <f t="shared" si="310"/>
        <v>=9.690*100000000</v>
      </c>
      <c r="J670" s="1">
        <f>9.69*100000000</f>
        <v>969000000</v>
      </c>
      <c r="K670" s="10">
        <f t="shared" si="327"/>
        <v>0.50606154802611125</v>
      </c>
      <c r="L670" s="6" t="s">
        <v>7819</v>
      </c>
      <c r="M670" s="6" t="str">
        <f t="shared" si="311"/>
        <v>=6.434*100000000</v>
      </c>
      <c r="N670" s="1">
        <f>6.434*100000000</f>
        <v>643400000</v>
      </c>
      <c r="O670" s="8">
        <f t="shared" si="328"/>
        <v>1.4736639753940792</v>
      </c>
      <c r="P670" s="6" t="s">
        <v>7820</v>
      </c>
      <c r="Q670" s="6" t="str">
        <f t="shared" si="312"/>
        <v>=2.601*100000000</v>
      </c>
      <c r="R670" s="11">
        <f>2.601*100000000</f>
        <v>260100000</v>
      </c>
      <c r="S670" s="8">
        <f t="shared" si="329"/>
        <v>-0.79454976303317537</v>
      </c>
      <c r="T670" s="6" t="s">
        <v>3023</v>
      </c>
      <c r="U670" s="6" t="str">
        <f t="shared" si="313"/>
        <v>=12.66*100000000</v>
      </c>
      <c r="V670" s="1">
        <f>12.66*100000000</f>
        <v>1266000000</v>
      </c>
      <c r="W670" s="8">
        <f t="shared" si="330"/>
        <v>0.54352596927578645</v>
      </c>
      <c r="X670" s="6" t="s">
        <v>7821</v>
      </c>
      <c r="Y670" s="6" t="str">
        <f t="shared" si="314"/>
        <v>=8.202*100000000</v>
      </c>
      <c r="Z670" s="1">
        <f>8.202*100000000</f>
        <v>820200000</v>
      </c>
      <c r="AA670" s="8">
        <f t="shared" si="331"/>
        <v>0.59758472925594064</v>
      </c>
      <c r="AB670" s="6" t="s">
        <v>7822</v>
      </c>
      <c r="AC670" s="6" t="str">
        <f t="shared" si="315"/>
        <v>=5.134*100000000</v>
      </c>
      <c r="AD670" s="1">
        <f>5.134*100000000</f>
        <v>513400000.00000006</v>
      </c>
      <c r="AE670" s="8">
        <f t="shared" si="332"/>
        <v>1.4046838407494153</v>
      </c>
      <c r="AF670" s="6" t="s">
        <v>7823</v>
      </c>
      <c r="AG670" s="6" t="str">
        <f t="shared" si="316"/>
        <v>=2.135*100000000</v>
      </c>
      <c r="AH670" s="1">
        <f>2.135*100000000</f>
        <v>213499999.99999997</v>
      </c>
      <c r="AI670" s="8">
        <f t="shared" si="333"/>
        <v>-0.82208333333333339</v>
      </c>
      <c r="AJ670" s="6" t="s">
        <v>7239</v>
      </c>
      <c r="AK670" s="6" t="str">
        <f t="shared" si="317"/>
        <v>=12.00*100000000</v>
      </c>
      <c r="AL670" s="1">
        <f>12*100000000</f>
        <v>1200000000</v>
      </c>
      <c r="AM670" s="8">
        <f t="shared" si="334"/>
        <v>0.33630289532293989</v>
      </c>
      <c r="AN670" s="6" t="s">
        <v>7824</v>
      </c>
      <c r="AO670" s="6" t="str">
        <f t="shared" si="318"/>
        <v>=8.980*100000000</v>
      </c>
      <c r="AP670" s="1">
        <f>8.98*100000000</f>
        <v>898000000</v>
      </c>
      <c r="AQ670" s="8">
        <f t="shared" si="335"/>
        <v>0.57157857892894648</v>
      </c>
      <c r="AR670" s="6" t="s">
        <v>7825</v>
      </c>
      <c r="AS670" s="6" t="str">
        <f t="shared" si="319"/>
        <v>=5.714*100000000</v>
      </c>
      <c r="AT670" s="1">
        <f>5.714*100000000</f>
        <v>571400000</v>
      </c>
      <c r="AU670" s="8">
        <f t="shared" si="336"/>
        <v>1.2250778816199377</v>
      </c>
      <c r="AV670" s="6" t="s">
        <v>1654</v>
      </c>
      <c r="AW670" s="6" t="str">
        <f t="shared" si="320"/>
        <v>=2.568*100000000</v>
      </c>
      <c r="AX670" s="1">
        <f>2.568*100000000</f>
        <v>256800000</v>
      </c>
      <c r="AY670" s="10">
        <f t="shared" si="337"/>
        <v>-0.79002452984464433</v>
      </c>
      <c r="AZ670" s="6" t="s">
        <v>2742</v>
      </c>
      <c r="BA670" s="6" t="str">
        <f t="shared" si="321"/>
        <v>=12.23*100000000</v>
      </c>
      <c r="BB670" s="1">
        <f>12.23*100000000</f>
        <v>1223000000</v>
      </c>
      <c r="BC670" s="8">
        <f t="shared" si="338"/>
        <v>0.48422330097087379</v>
      </c>
      <c r="BD670" s="6" t="s">
        <v>2075</v>
      </c>
      <c r="BE670" s="6" t="str">
        <f t="shared" si="322"/>
        <v>=8.240*100000000</v>
      </c>
      <c r="BF670" s="1">
        <f>8.24*100000000</f>
        <v>824000000</v>
      </c>
      <c r="BG670" s="8">
        <f t="shared" si="339"/>
        <v>0.34728580771746237</v>
      </c>
      <c r="BH670" s="6" t="s">
        <v>7826</v>
      </c>
      <c r="BI670" s="6" t="str">
        <f t="shared" si="323"/>
        <v>=6.116*100000000</v>
      </c>
      <c r="BJ670" s="1">
        <f>6.116*100000000</f>
        <v>611600000</v>
      </c>
      <c r="BK670" s="6" t="s">
        <v>2927</v>
      </c>
      <c r="BL670" s="1" t="str">
        <f t="shared" si="325"/>
        <v>=2.931*100000000</v>
      </c>
      <c r="BM670" s="16">
        <f t="shared" si="340"/>
        <v>1.0866598430569772</v>
      </c>
      <c r="BN670" s="1">
        <f>2.931*100000000</f>
        <v>293100000</v>
      </c>
    </row>
    <row r="671" spans="1:66">
      <c r="A671" s="18"/>
      <c r="B671">
        <v>600571</v>
      </c>
      <c r="C671" t="s">
        <v>48</v>
      </c>
      <c r="D671" s="6" t="s">
        <v>7827</v>
      </c>
      <c r="E671" s="7" t="str">
        <f t="shared" si="324"/>
        <v>=1.436*100000000</v>
      </c>
      <c r="F671" s="1">
        <f>1.436*100000000</f>
        <v>143600000</v>
      </c>
      <c r="G671" s="8">
        <f t="shared" si="326"/>
        <v>-0.59742080179422485</v>
      </c>
      <c r="H671" s="6" t="s">
        <v>7828</v>
      </c>
      <c r="I671" s="6" t="str">
        <f t="shared" si="310"/>
        <v>=3.567*100000000</v>
      </c>
      <c r="J671" s="1">
        <f>3.567*100000000</f>
        <v>356700000</v>
      </c>
      <c r="K671" s="10">
        <f t="shared" si="327"/>
        <v>0.13925263494091344</v>
      </c>
      <c r="L671" s="6" t="s">
        <v>3071</v>
      </c>
      <c r="M671" s="6" t="str">
        <f t="shared" si="311"/>
        <v>=3.131*100000000</v>
      </c>
      <c r="N671" s="1">
        <f>3.131*100000000</f>
        <v>313100000</v>
      </c>
      <c r="O671" s="8">
        <f t="shared" si="328"/>
        <v>-14.630822812363952</v>
      </c>
      <c r="P671" s="7">
        <f>-2297*10000</f>
        <v>-22970000</v>
      </c>
      <c r="Q671" s="6" t="str">
        <f t="shared" si="312"/>
        <v>=-22970000</v>
      </c>
      <c r="R671" s="11">
        <f>-22970000</f>
        <v>-22970000</v>
      </c>
      <c r="S671" s="8">
        <f t="shared" si="329"/>
        <v>-1.3231115487410325</v>
      </c>
      <c r="T671" s="7" t="s">
        <v>7829</v>
      </c>
      <c r="U671" s="6" t="str">
        <f t="shared" si="313"/>
        <v>=7109*10000</v>
      </c>
      <c r="V671" s="1">
        <f>7109*10000</f>
        <v>71090000</v>
      </c>
      <c r="W671" s="8">
        <f t="shared" si="330"/>
        <v>2.1084390030607785</v>
      </c>
      <c r="X671" s="7" t="s">
        <v>7830</v>
      </c>
      <c r="Y671" s="6" t="str">
        <f t="shared" si="314"/>
        <v>=2287*10000</v>
      </c>
      <c r="Z671" s="1">
        <f>2287*10000</f>
        <v>22870000</v>
      </c>
      <c r="AA671" s="8">
        <f t="shared" si="331"/>
        <v>-2.7484709480122325</v>
      </c>
      <c r="AB671" s="7">
        <f>-1308*10000</f>
        <v>-13080000</v>
      </c>
      <c r="AC671" s="6" t="str">
        <f t="shared" si="315"/>
        <v>=-13080000</v>
      </c>
      <c r="AD671" s="1">
        <f>-13080000</f>
        <v>-13080000</v>
      </c>
      <c r="AE671" s="8">
        <f t="shared" si="332"/>
        <v>-0.73306122448979594</v>
      </c>
      <c r="AF671" s="7">
        <f>-4900*10000</f>
        <v>-49000000</v>
      </c>
      <c r="AG671" s="6" t="str">
        <f t="shared" si="316"/>
        <v>=-49000000</v>
      </c>
      <c r="AH671" s="1">
        <f>-49000000</f>
        <v>-49000000</v>
      </c>
      <c r="AI671" s="8">
        <f t="shared" si="333"/>
        <v>-1.9801960392078415</v>
      </c>
      <c r="AJ671" s="7" t="s">
        <v>7831</v>
      </c>
      <c r="AK671" s="6" t="str">
        <f t="shared" si="317"/>
        <v>=4999*10000</v>
      </c>
      <c r="AL671" s="1">
        <f>4999*10000</f>
        <v>49990000</v>
      </c>
      <c r="AM671" s="8">
        <f t="shared" si="334"/>
        <v>-13.726578411405296</v>
      </c>
      <c r="AN671" s="7">
        <f>-392.8*10000</f>
        <v>-3928000</v>
      </c>
      <c r="AO671" s="6" t="str">
        <f t="shared" si="318"/>
        <v>=-3928000</v>
      </c>
      <c r="AP671" s="1">
        <f>-3928000</f>
        <v>-3928000</v>
      </c>
      <c r="AQ671" s="8">
        <f t="shared" si="335"/>
        <v>0.79935868071461291</v>
      </c>
      <c r="AR671" s="7">
        <f>-218.3*10000</f>
        <v>-2183000</v>
      </c>
      <c r="AS671" s="6" t="str">
        <f t="shared" si="319"/>
        <v>=-2183000</v>
      </c>
      <c r="AT671" s="1">
        <f>-2183000</f>
        <v>-2183000</v>
      </c>
      <c r="AU671" s="8">
        <f t="shared" si="336"/>
        <v>-0.30389030612244899</v>
      </c>
      <c r="AV671" s="7">
        <f>-313.6*10000</f>
        <v>-3136000</v>
      </c>
      <c r="AW671" s="6" t="str">
        <f t="shared" si="320"/>
        <v>=-3136000</v>
      </c>
      <c r="AX671" s="1">
        <f>-3136000</f>
        <v>-3136000</v>
      </c>
      <c r="AY671" s="10">
        <f t="shared" si="337"/>
        <v>-1.3317114448910514</v>
      </c>
      <c r="AZ671" s="7" t="s">
        <v>7832</v>
      </c>
      <c r="BA671" s="6" t="str">
        <f t="shared" si="321"/>
        <v>=945.4*10000</v>
      </c>
      <c r="BB671" s="1">
        <f>945.4*10000</f>
        <v>9454000</v>
      </c>
      <c r="BC671" s="8">
        <f t="shared" si="338"/>
        <v>-1.5007415254237289</v>
      </c>
      <c r="BD671" s="7">
        <f>-1888*10000</f>
        <v>-18880000</v>
      </c>
      <c r="BE671" s="6" t="str">
        <f t="shared" si="322"/>
        <v>=-18880000</v>
      </c>
      <c r="BF671" s="1">
        <f>-18880000</f>
        <v>-18880000</v>
      </c>
      <c r="BG671" s="8">
        <f t="shared" si="339"/>
        <v>0.20485003190810466</v>
      </c>
      <c r="BH671" s="7">
        <f>-1567*10000</f>
        <v>-15670000</v>
      </c>
      <c r="BI671" s="6" t="str">
        <f t="shared" si="323"/>
        <v>=-15670000</v>
      </c>
      <c r="BJ671" s="1">
        <f>-15670000</f>
        <v>-15670000</v>
      </c>
      <c r="BK671" s="7">
        <f>-811.1*10000</f>
        <v>-8111000</v>
      </c>
      <c r="BL671" s="1" t="str">
        <f t="shared" si="325"/>
        <v>=-8111000</v>
      </c>
      <c r="BM671" s="16">
        <f t="shared" si="340"/>
        <v>0.93194427320922202</v>
      </c>
      <c r="BN671" s="1">
        <f>-8111000</f>
        <v>-8111000</v>
      </c>
    </row>
    <row r="672" spans="1:66">
      <c r="A672" s="18"/>
      <c r="B672">
        <v>600571</v>
      </c>
      <c r="C672" t="s">
        <v>58</v>
      </c>
      <c r="D672" s="6" t="s">
        <v>2084</v>
      </c>
      <c r="E672" s="7" t="str">
        <f t="shared" si="324"/>
        <v>=4.019*100000000</v>
      </c>
      <c r="F672" s="1">
        <f>4.019*100000000</f>
        <v>401900000</v>
      </c>
      <c r="G672" s="8">
        <f t="shared" si="326"/>
        <v>0.12703309029725182</v>
      </c>
      <c r="H672" s="6" t="s">
        <v>5479</v>
      </c>
      <c r="I672" s="6" t="str">
        <f t="shared" si="310"/>
        <v>=3.566*100000000</v>
      </c>
      <c r="J672" s="1">
        <f>3.566*100000000</f>
        <v>356600000</v>
      </c>
      <c r="K672" s="10">
        <f t="shared" si="327"/>
        <v>0.14221652786675207</v>
      </c>
      <c r="L672" s="6" t="s">
        <v>7833</v>
      </c>
      <c r="M672" s="6" t="str">
        <f t="shared" si="311"/>
        <v>=3.122*100000000</v>
      </c>
      <c r="N672" s="1">
        <f>3.122*100000000</f>
        <v>312200000</v>
      </c>
      <c r="O672" s="8">
        <f t="shared" si="328"/>
        <v>-14.765432098765432</v>
      </c>
      <c r="P672" s="7">
        <f>-2268*10000</f>
        <v>-22680000</v>
      </c>
      <c r="Q672" s="6" t="str">
        <f t="shared" si="312"/>
        <v>=-22680000</v>
      </c>
      <c r="R672" s="11">
        <f>-22680000</f>
        <v>-22680000</v>
      </c>
      <c r="S672" s="8">
        <f t="shared" si="329"/>
        <v>-1.2433476394849785</v>
      </c>
      <c r="T672" s="7" t="s">
        <v>7834</v>
      </c>
      <c r="U672" s="6" t="str">
        <f t="shared" si="313"/>
        <v>=9320*10000</v>
      </c>
      <c r="V672" s="1">
        <f>9320*10000</f>
        <v>93200000</v>
      </c>
      <c r="W672" s="8">
        <f t="shared" si="330"/>
        <v>2.5423793234511591</v>
      </c>
      <c r="X672" s="7" t="s">
        <v>7835</v>
      </c>
      <c r="Y672" s="6" t="str">
        <f t="shared" si="314"/>
        <v>=2631*10000</v>
      </c>
      <c r="Z672" s="1">
        <f>2631*10000</f>
        <v>26310000</v>
      </c>
      <c r="AA672" s="8">
        <f t="shared" si="331"/>
        <v>-2.7610441767068274</v>
      </c>
      <c r="AB672" s="7">
        <f>-1494*10000</f>
        <v>-14940000</v>
      </c>
      <c r="AC672" s="6" t="str">
        <f t="shared" si="315"/>
        <v>=-14940000</v>
      </c>
      <c r="AD672" s="1">
        <f>-14940000</f>
        <v>-14940000</v>
      </c>
      <c r="AE672" s="8">
        <f t="shared" si="332"/>
        <v>-0.70404120443740092</v>
      </c>
      <c r="AF672" s="7">
        <f>-5048*10000</f>
        <v>-50480000</v>
      </c>
      <c r="AG672" s="6" t="str">
        <f t="shared" si="316"/>
        <v>=-50480000</v>
      </c>
      <c r="AH672" s="1">
        <f>-50480000</f>
        <v>-50480000</v>
      </c>
      <c r="AI672" s="8">
        <f t="shared" si="333"/>
        <v>-2.0518858095436547</v>
      </c>
      <c r="AJ672" s="7" t="s">
        <v>2131</v>
      </c>
      <c r="AK672" s="6" t="str">
        <f t="shared" si="317"/>
        <v>=4799*10000</v>
      </c>
      <c r="AL672" s="1">
        <f>4799*10000</f>
        <v>47990000</v>
      </c>
      <c r="AM672" s="8">
        <f t="shared" si="334"/>
        <v>-15.106407995296884</v>
      </c>
      <c r="AN672" s="7">
        <f>-340.2*10000</f>
        <v>-3402000</v>
      </c>
      <c r="AO672" s="6" t="str">
        <f t="shared" si="318"/>
        <v>=-3402000</v>
      </c>
      <c r="AP672" s="1">
        <f>-3402000</f>
        <v>-3402000</v>
      </c>
      <c r="AQ672" s="8">
        <f t="shared" si="335"/>
        <v>0.25073529411764706</v>
      </c>
      <c r="AR672" s="7">
        <f>-272*10000</f>
        <v>-2720000</v>
      </c>
      <c r="AS672" s="6" t="str">
        <f t="shared" si="319"/>
        <v>=-2720000</v>
      </c>
      <c r="AT672" s="1">
        <f>-2720000</f>
        <v>-2720000</v>
      </c>
      <c r="AU672" s="8">
        <f t="shared" si="336"/>
        <v>0.98106336489439183</v>
      </c>
      <c r="AV672" s="7">
        <f>-137.3*10000</f>
        <v>-1373000</v>
      </c>
      <c r="AW672" s="6" t="str">
        <f t="shared" si="320"/>
        <v>=-1373000</v>
      </c>
      <c r="AX672" s="1">
        <f>-1373000</f>
        <v>-1373000</v>
      </c>
      <c r="AY672" s="10">
        <f t="shared" si="337"/>
        <v>-1.0731096911608093</v>
      </c>
      <c r="AZ672" s="7" t="s">
        <v>7836</v>
      </c>
      <c r="BA672" s="6" t="str">
        <f t="shared" si="321"/>
        <v>=1878*10000</v>
      </c>
      <c r="BB672" s="1">
        <f>1878*10000</f>
        <v>18780000</v>
      </c>
      <c r="BC672" s="8">
        <f t="shared" si="338"/>
        <v>-2.881574992485723</v>
      </c>
      <c r="BD672" s="7">
        <f>-998.1*10000</f>
        <v>-9981000</v>
      </c>
      <c r="BE672" s="6" t="str">
        <f t="shared" si="322"/>
        <v>=-9981000</v>
      </c>
      <c r="BF672" s="1">
        <f>-9981000</f>
        <v>-9981000</v>
      </c>
      <c r="BG672" s="8">
        <f t="shared" si="339"/>
        <v>0.56884627475636595</v>
      </c>
      <c r="BH672" s="7">
        <f>-636.2*10000</f>
        <v>-6362000</v>
      </c>
      <c r="BI672" s="6" t="str">
        <f t="shared" si="323"/>
        <v>=-6362000</v>
      </c>
      <c r="BJ672" s="1">
        <f>-6362000</f>
        <v>-6362000</v>
      </c>
      <c r="BK672" s="7">
        <f>-316.4*10000</f>
        <v>-3164000</v>
      </c>
      <c r="BL672" s="1" t="str">
        <f t="shared" si="325"/>
        <v>=-3164000</v>
      </c>
      <c r="BM672" s="16">
        <f t="shared" si="340"/>
        <v>1.0107458912768648</v>
      </c>
      <c r="BN672" s="1">
        <f>-3164000</f>
        <v>-3164000</v>
      </c>
    </row>
    <row r="673" spans="1:66">
      <c r="A673" s="19"/>
      <c r="B673">
        <v>600571</v>
      </c>
      <c r="C673" t="s">
        <v>68</v>
      </c>
      <c r="D673" s="6" t="s">
        <v>6388</v>
      </c>
      <c r="E673" s="7" t="str">
        <f t="shared" si="324"/>
        <v>=3.354*100000000</v>
      </c>
      <c r="F673" s="1">
        <f>3.354*100000000</f>
        <v>335400000</v>
      </c>
      <c r="G673" s="8">
        <f t="shared" si="326"/>
        <v>6.7812798471824254E-2</v>
      </c>
      <c r="H673" s="6" t="s">
        <v>6554</v>
      </c>
      <c r="I673" s="6" t="str">
        <f t="shared" si="310"/>
        <v>=3.141*100000000</v>
      </c>
      <c r="J673" s="1">
        <f>3.141*100000000</f>
        <v>314100000</v>
      </c>
      <c r="K673" s="10">
        <f t="shared" si="327"/>
        <v>4.8397863818424564E-2</v>
      </c>
      <c r="L673" s="6" t="s">
        <v>7837</v>
      </c>
      <c r="M673" s="6" t="str">
        <f t="shared" si="311"/>
        <v>=2.996*100000000</v>
      </c>
      <c r="N673" s="1">
        <f>2.996*100000000</f>
        <v>299600000</v>
      </c>
      <c r="O673" s="8">
        <f t="shared" si="328"/>
        <v>-14.35711101203745</v>
      </c>
      <c r="P673" s="7">
        <f>-2243*10000</f>
        <v>-22430000</v>
      </c>
      <c r="Q673" s="6" t="str">
        <f t="shared" si="312"/>
        <v>=-22430000</v>
      </c>
      <c r="R673" s="11">
        <f>-22430000</f>
        <v>-22430000</v>
      </c>
      <c r="S673" s="8">
        <f t="shared" si="329"/>
        <v>-1.209626168224299</v>
      </c>
      <c r="T673" s="6" t="s">
        <v>6564</v>
      </c>
      <c r="U673" s="6" t="str">
        <f t="shared" si="313"/>
        <v>=1.070*100000000</v>
      </c>
      <c r="V673" s="1">
        <f>1.07*100000000</f>
        <v>107000000</v>
      </c>
      <c r="W673" s="8">
        <f t="shared" si="330"/>
        <v>1.6251226692836114</v>
      </c>
      <c r="X673" s="7" t="s">
        <v>7838</v>
      </c>
      <c r="Y673" s="6" t="str">
        <f t="shared" si="314"/>
        <v>=4076*10000</v>
      </c>
      <c r="Z673" s="1">
        <f>4076*10000</f>
        <v>40760000</v>
      </c>
      <c r="AA673" s="8">
        <f t="shared" si="331"/>
        <v>-10.876423552217107</v>
      </c>
      <c r="AB673" s="7">
        <f>-412.7*10000</f>
        <v>-4127000</v>
      </c>
      <c r="AC673" s="6" t="str">
        <f t="shared" si="315"/>
        <v>=-4127000</v>
      </c>
      <c r="AD673" s="1">
        <f>-4127000</f>
        <v>-4127000</v>
      </c>
      <c r="AE673" s="8">
        <f t="shared" si="332"/>
        <v>-0.8781877213695396</v>
      </c>
      <c r="AF673" s="7">
        <f>-3388*10000</f>
        <v>-33880000</v>
      </c>
      <c r="AG673" s="6" t="str">
        <f t="shared" si="316"/>
        <v>=-33880000</v>
      </c>
      <c r="AH673" s="1">
        <f>-33880000</f>
        <v>-33880000</v>
      </c>
      <c r="AI673" s="8">
        <f t="shared" si="333"/>
        <v>-1.8336614173228347</v>
      </c>
      <c r="AJ673" s="7" t="s">
        <v>4460</v>
      </c>
      <c r="AK673" s="6" t="str">
        <f t="shared" si="317"/>
        <v>=4064*10000</v>
      </c>
      <c r="AL673" s="1">
        <f>4064*10000</f>
        <v>40640000</v>
      </c>
      <c r="AM673" s="8">
        <f t="shared" si="334"/>
        <v>-8.1086234038831559</v>
      </c>
      <c r="AN673" s="7">
        <f>-571.7*10000</f>
        <v>-5717000</v>
      </c>
      <c r="AO673" s="6" t="str">
        <f t="shared" si="318"/>
        <v>=-5717000</v>
      </c>
      <c r="AP673" s="1">
        <f>-5717000</f>
        <v>-5717000</v>
      </c>
      <c r="AQ673" s="8">
        <f t="shared" si="335"/>
        <v>0.42889277680579857</v>
      </c>
      <c r="AR673" s="7">
        <f>-400.1*10000</f>
        <v>-4001000</v>
      </c>
      <c r="AS673" s="6" t="str">
        <f t="shared" si="319"/>
        <v>=-4001000</v>
      </c>
      <c r="AT673" s="1">
        <f>-4001000</f>
        <v>-4001000</v>
      </c>
      <c r="AU673" s="8">
        <f t="shared" si="336"/>
        <v>-0.35027606365703151</v>
      </c>
      <c r="AV673" s="7">
        <f>-615.8*10000</f>
        <v>-6158000</v>
      </c>
      <c r="AW673" s="6" t="str">
        <f t="shared" si="320"/>
        <v>=-6158000</v>
      </c>
      <c r="AX673" s="1">
        <f>-6158000</f>
        <v>-6158000</v>
      </c>
      <c r="AY673" s="10">
        <f t="shared" si="337"/>
        <v>0.3389867362470102</v>
      </c>
      <c r="AZ673" s="7">
        <f>-459.9*10000</f>
        <v>-4599000</v>
      </c>
      <c r="BA673" s="6" t="str">
        <f t="shared" si="321"/>
        <v>=-4599000</v>
      </c>
      <c r="BB673" s="1">
        <f>-4599000</f>
        <v>-4599000</v>
      </c>
      <c r="BC673" s="8">
        <f t="shared" si="338"/>
        <v>-0.52332089552238803</v>
      </c>
      <c r="BD673" s="7">
        <f>-964.8*10000</f>
        <v>-9648000</v>
      </c>
      <c r="BE673" s="6" t="str">
        <f t="shared" si="322"/>
        <v>=-9648000</v>
      </c>
      <c r="BF673" s="1">
        <f>-9648000</f>
        <v>-9648000</v>
      </c>
      <c r="BG673" s="8">
        <f t="shared" si="339"/>
        <v>0.62615877296477329</v>
      </c>
      <c r="BH673" s="7">
        <f>-593.3*10000</f>
        <v>-5933000</v>
      </c>
      <c r="BI673" s="6" t="str">
        <f t="shared" si="323"/>
        <v>=-5933000</v>
      </c>
      <c r="BJ673" s="1">
        <f>-5933000</f>
        <v>-5933000</v>
      </c>
      <c r="BK673" s="7">
        <f>-385.3*10000</f>
        <v>-3853000</v>
      </c>
      <c r="BL673" s="1" t="str">
        <f t="shared" si="325"/>
        <v>=-3853000</v>
      </c>
      <c r="BM673" s="16">
        <f t="shared" si="340"/>
        <v>0.53983908642616141</v>
      </c>
      <c r="BN673" s="1">
        <f>-3853000</f>
        <v>-3853000</v>
      </c>
    </row>
    <row r="674" spans="1:66">
      <c r="A674" s="17">
        <v>170</v>
      </c>
      <c r="B674">
        <v>600575</v>
      </c>
      <c r="C674" t="s">
        <v>31</v>
      </c>
      <c r="D674" s="6" t="s">
        <v>7839</v>
      </c>
      <c r="E674" s="7" t="str">
        <f t="shared" si="324"/>
        <v>=227.8*100000000</v>
      </c>
      <c r="F674" s="1">
        <f>227.8*100000000</f>
        <v>22780000000</v>
      </c>
      <c r="G674" s="8">
        <f t="shared" si="326"/>
        <v>0.36162582187686776</v>
      </c>
      <c r="H674" s="6" t="s">
        <v>7840</v>
      </c>
      <c r="I674" s="6" t="str">
        <f t="shared" si="310"/>
        <v>=167.3*100000000</v>
      </c>
      <c r="J674" s="1">
        <f>167.3*100000000</f>
        <v>16730000000.000002</v>
      </c>
      <c r="K674" s="10">
        <f t="shared" si="327"/>
        <v>0.66799601196410785</v>
      </c>
      <c r="L674" s="6" t="s">
        <v>3011</v>
      </c>
      <c r="M674" s="6" t="str">
        <f t="shared" si="311"/>
        <v>=100.3*100000000</v>
      </c>
      <c r="N674" s="1">
        <f>100.3*100000000</f>
        <v>10030000000</v>
      </c>
      <c r="O674" s="8">
        <f t="shared" si="328"/>
        <v>1.2448522829006268</v>
      </c>
      <c r="P674" s="6" t="s">
        <v>7841</v>
      </c>
      <c r="Q674" s="6" t="str">
        <f t="shared" si="312"/>
        <v>=44.68*100000000</v>
      </c>
      <c r="R674" s="11">
        <f>44.68*100000000</f>
        <v>4468000000</v>
      </c>
      <c r="S674" s="8">
        <f t="shared" si="329"/>
        <v>-0.65417956656346743</v>
      </c>
      <c r="T674" s="6" t="s">
        <v>7842</v>
      </c>
      <c r="U674" s="6" t="str">
        <f t="shared" si="313"/>
        <v>=129.2*100000000</v>
      </c>
      <c r="V674" s="1">
        <f>129.2*100000000</f>
        <v>12919999999.999998</v>
      </c>
      <c r="W674" s="8">
        <f t="shared" si="330"/>
        <v>0.54600933349288017</v>
      </c>
      <c r="X674" s="6" t="s">
        <v>7843</v>
      </c>
      <c r="Y674" s="6" t="str">
        <f t="shared" si="314"/>
        <v>=83.57*100000000</v>
      </c>
      <c r="Z674" s="1">
        <f>83.57*100000000</f>
        <v>8356999999.999999</v>
      </c>
      <c r="AA674" s="8">
        <f t="shared" si="331"/>
        <v>0.71074718526100289</v>
      </c>
      <c r="AB674" s="6" t="s">
        <v>7844</v>
      </c>
      <c r="AC674" s="6" t="str">
        <f t="shared" si="315"/>
        <v>=48.85*100000000</v>
      </c>
      <c r="AD674" s="1">
        <f>48.85*100000000</f>
        <v>4885000000</v>
      </c>
      <c r="AE674" s="8">
        <f t="shared" si="332"/>
        <v>1.4364089775561097</v>
      </c>
      <c r="AF674" s="6" t="s">
        <v>1802</v>
      </c>
      <c r="AG674" s="6" t="str">
        <f t="shared" si="316"/>
        <v>=20.05*100000000</v>
      </c>
      <c r="AH674" s="1">
        <f>20.05*100000000</f>
        <v>2005000000</v>
      </c>
      <c r="AI674" s="8">
        <f t="shared" si="333"/>
        <v>-0.82550043516100957</v>
      </c>
      <c r="AJ674" s="6" t="s">
        <v>7845</v>
      </c>
      <c r="AK674" s="6" t="str">
        <f t="shared" si="317"/>
        <v>=114.9*100000000</v>
      </c>
      <c r="AL674" s="1">
        <f>114.9*100000000</f>
        <v>11490000000</v>
      </c>
      <c r="AM674" s="8">
        <f t="shared" si="334"/>
        <v>0.28050819124038784</v>
      </c>
      <c r="AN674" s="6" t="s">
        <v>7846</v>
      </c>
      <c r="AO674" s="6" t="str">
        <f t="shared" si="318"/>
        <v>=89.73*100000000</v>
      </c>
      <c r="AP674" s="1">
        <f>89.73*100000000</f>
        <v>8973000000</v>
      </c>
      <c r="AQ674" s="8">
        <f t="shared" si="335"/>
        <v>0.52265399626675713</v>
      </c>
      <c r="AR674" s="6" t="s">
        <v>4037</v>
      </c>
      <c r="AS674" s="6" t="str">
        <f t="shared" si="319"/>
        <v>=58.93*100000000</v>
      </c>
      <c r="AT674" s="1">
        <f>58.93*100000000</f>
        <v>5893000000</v>
      </c>
      <c r="AU674" s="8">
        <f t="shared" si="336"/>
        <v>1.038395019024559</v>
      </c>
      <c r="AV674" s="6" t="s">
        <v>7847</v>
      </c>
      <c r="AW674" s="6" t="str">
        <f t="shared" si="320"/>
        <v>=28.91*100000000</v>
      </c>
      <c r="AX674" s="1">
        <f>28.91*100000000</f>
        <v>2891000000</v>
      </c>
      <c r="AY674" s="10">
        <f t="shared" si="337"/>
        <v>-0.73931469792605953</v>
      </c>
      <c r="AZ674" s="6" t="s">
        <v>7068</v>
      </c>
      <c r="BA674" s="6" t="str">
        <f t="shared" si="321"/>
        <v>=110.9*100000000</v>
      </c>
      <c r="BB674" s="1">
        <f>110.9*100000000</f>
        <v>11090000000</v>
      </c>
      <c r="BC674" s="8">
        <f t="shared" si="338"/>
        <v>0.39866313532601827</v>
      </c>
      <c r="BD674" s="6" t="s">
        <v>7848</v>
      </c>
      <c r="BE674" s="6" t="str">
        <f t="shared" si="322"/>
        <v>=79.29*100000000</v>
      </c>
      <c r="BF674" s="1">
        <f>79.29*100000000</f>
        <v>7929000000.000001</v>
      </c>
      <c r="BG674" s="8">
        <f t="shared" si="339"/>
        <v>0.60506072874493944</v>
      </c>
      <c r="BH674" s="6" t="s">
        <v>7849</v>
      </c>
      <c r="BI674" s="6" t="str">
        <f t="shared" si="323"/>
        <v>=49.40*100000000</v>
      </c>
      <c r="BJ674" s="1">
        <f>49.4*100000000</f>
        <v>4940000000</v>
      </c>
      <c r="BK674" s="6" t="s">
        <v>533</v>
      </c>
      <c r="BL674" s="1" t="str">
        <f t="shared" si="325"/>
        <v>=23.61*100000000</v>
      </c>
      <c r="BM674" s="16">
        <f t="shared" si="340"/>
        <v>1.0923337568826768</v>
      </c>
      <c r="BN674" s="1">
        <f>23.61*100000000</f>
        <v>2361000000</v>
      </c>
    </row>
    <row r="675" spans="1:66">
      <c r="A675" s="18"/>
      <c r="B675">
        <v>600575</v>
      </c>
      <c r="C675" t="s">
        <v>48</v>
      </c>
      <c r="D675" s="6" t="s">
        <v>7850</v>
      </c>
      <c r="E675" s="7" t="str">
        <f t="shared" si="324"/>
        <v>=6.347*100000000</v>
      </c>
      <c r="F675" s="1">
        <f>6.347*100000000</f>
        <v>634700000</v>
      </c>
      <c r="G675" s="8">
        <f t="shared" si="326"/>
        <v>0.34612937433722163</v>
      </c>
      <c r="H675" s="6" t="s">
        <v>7851</v>
      </c>
      <c r="I675" s="6" t="str">
        <f t="shared" si="310"/>
        <v>=4.715*100000000</v>
      </c>
      <c r="J675" s="1">
        <f>4.715*100000000</f>
        <v>471500000</v>
      </c>
      <c r="K675" s="10">
        <f t="shared" si="327"/>
        <v>0.43837705918242831</v>
      </c>
      <c r="L675" s="6" t="s">
        <v>4096</v>
      </c>
      <c r="M675" s="6" t="str">
        <f t="shared" si="311"/>
        <v>=3.278*100000000</v>
      </c>
      <c r="N675" s="1">
        <f>3.278*100000000</f>
        <v>327800000</v>
      </c>
      <c r="O675" s="8">
        <f t="shared" si="328"/>
        <v>0.5721822541966427</v>
      </c>
      <c r="P675" s="6" t="s">
        <v>7852</v>
      </c>
      <c r="Q675" s="6" t="str">
        <f t="shared" si="312"/>
        <v>=2.085*100000000</v>
      </c>
      <c r="R675" s="11">
        <f>2.085*100000000</f>
        <v>208500000</v>
      </c>
      <c r="S675" s="8">
        <f t="shared" si="329"/>
        <v>-0.62466246624662469</v>
      </c>
      <c r="T675" s="6" t="s">
        <v>1453</v>
      </c>
      <c r="U675" s="6" t="str">
        <f t="shared" si="313"/>
        <v>=5.555*100000000</v>
      </c>
      <c r="V675" s="1">
        <f>5.555*100000000</f>
        <v>555500000</v>
      </c>
      <c r="W675" s="8">
        <f t="shared" si="330"/>
        <v>7.0121363899056058E-2</v>
      </c>
      <c r="X675" s="6" t="s">
        <v>7245</v>
      </c>
      <c r="Y675" s="6" t="str">
        <f t="shared" si="314"/>
        <v>=5.191*100000000</v>
      </c>
      <c r="Z675" s="1">
        <f>5.191*100000000</f>
        <v>519100000</v>
      </c>
      <c r="AA675" s="8">
        <f t="shared" si="331"/>
        <v>0.74781144781144782</v>
      </c>
      <c r="AB675" s="6" t="s">
        <v>7853</v>
      </c>
      <c r="AC675" s="6" t="str">
        <f t="shared" si="315"/>
        <v>=2.970*100000000</v>
      </c>
      <c r="AD675" s="1">
        <f>2.97*100000000</f>
        <v>297000000</v>
      </c>
      <c r="AE675" s="8">
        <f t="shared" si="332"/>
        <v>19.989399293286219</v>
      </c>
      <c r="AF675" s="7" t="s">
        <v>7854</v>
      </c>
      <c r="AG675" s="6" t="str">
        <f t="shared" si="316"/>
        <v>=1415*10000</v>
      </c>
      <c r="AH675" s="1">
        <f>1415*10000</f>
        <v>14150000</v>
      </c>
      <c r="AI675" s="8">
        <f t="shared" si="333"/>
        <v>-0.98122346072186839</v>
      </c>
      <c r="AJ675" s="6" t="s">
        <v>6166</v>
      </c>
      <c r="AK675" s="6" t="str">
        <f t="shared" si="317"/>
        <v>=7.536*100000000</v>
      </c>
      <c r="AL675" s="1">
        <f>7.536*100000000</f>
        <v>753600000</v>
      </c>
      <c r="AM675" s="8">
        <f t="shared" si="334"/>
        <v>0.6315219744533449</v>
      </c>
      <c r="AN675" s="6" t="s">
        <v>7855</v>
      </c>
      <c r="AO675" s="6" t="str">
        <f t="shared" si="318"/>
        <v>=4.619*100000000</v>
      </c>
      <c r="AP675" s="1">
        <f>4.619*100000000</f>
        <v>461900000</v>
      </c>
      <c r="AQ675" s="8">
        <f t="shared" si="335"/>
        <v>0.33767738198667824</v>
      </c>
      <c r="AR675" s="6" t="s">
        <v>7856</v>
      </c>
      <c r="AS675" s="6" t="str">
        <f t="shared" si="319"/>
        <v>=3.453*100000000</v>
      </c>
      <c r="AT675" s="1">
        <f>3.453*100000000</f>
        <v>345300000</v>
      </c>
      <c r="AU675" s="8">
        <f t="shared" si="336"/>
        <v>1.4062717770034843</v>
      </c>
      <c r="AV675" s="6" t="s">
        <v>7857</v>
      </c>
      <c r="AW675" s="6" t="str">
        <f t="shared" si="320"/>
        <v>=1.435*100000000</v>
      </c>
      <c r="AX675" s="1">
        <f>1.435*100000000</f>
        <v>143500000</v>
      </c>
      <c r="AY675" s="10">
        <f t="shared" si="337"/>
        <v>-0.79242007811369886</v>
      </c>
      <c r="AZ675" s="6" t="s">
        <v>7858</v>
      </c>
      <c r="BA675" s="6" t="str">
        <f t="shared" si="321"/>
        <v>=6.913*100000000</v>
      </c>
      <c r="BB675" s="1">
        <f>6.913*100000000</f>
        <v>691300000</v>
      </c>
      <c r="BC675" s="8">
        <f t="shared" si="338"/>
        <v>0.40336987413723102</v>
      </c>
      <c r="BD675" s="6" t="s">
        <v>7859</v>
      </c>
      <c r="BE675" s="6" t="str">
        <f t="shared" si="322"/>
        <v>=4.926*100000000</v>
      </c>
      <c r="BF675" s="1">
        <f>4.926*100000000</f>
        <v>492600000</v>
      </c>
      <c r="BG675" s="8">
        <f t="shared" si="339"/>
        <v>0.71220020855057353</v>
      </c>
      <c r="BH675" s="6" t="s">
        <v>4754</v>
      </c>
      <c r="BI675" s="6" t="str">
        <f t="shared" si="323"/>
        <v>=2.877*100000000</v>
      </c>
      <c r="BJ675" s="1">
        <f>2.877*100000000</f>
        <v>287700000</v>
      </c>
      <c r="BK675" s="6" t="s">
        <v>2225</v>
      </c>
      <c r="BL675" s="1" t="str">
        <f t="shared" si="325"/>
        <v>=1.406*100000000</v>
      </c>
      <c r="BM675" s="16">
        <f t="shared" si="340"/>
        <v>1.0462304409672831</v>
      </c>
      <c r="BN675" s="1">
        <f>1.406*100000000</f>
        <v>140600000</v>
      </c>
    </row>
    <row r="676" spans="1:66">
      <c r="A676" s="18"/>
      <c r="B676">
        <v>600575</v>
      </c>
      <c r="C676" t="s">
        <v>58</v>
      </c>
      <c r="D676" s="6" t="s">
        <v>7860</v>
      </c>
      <c r="E676" s="7" t="str">
        <f t="shared" si="324"/>
        <v>=6.364*100000000</v>
      </c>
      <c r="F676" s="1">
        <f>6.364*100000000</f>
        <v>636400000</v>
      </c>
      <c r="G676" s="8">
        <f t="shared" si="326"/>
        <v>0.32776966409346964</v>
      </c>
      <c r="H676" s="6" t="s">
        <v>7861</v>
      </c>
      <c r="I676" s="6" t="str">
        <f t="shared" si="310"/>
        <v>=4.793*100000000</v>
      </c>
      <c r="J676" s="1">
        <f>4.793*100000000</f>
        <v>479300000</v>
      </c>
      <c r="K676" s="10">
        <f t="shared" si="327"/>
        <v>0.47024539877300614</v>
      </c>
      <c r="L676" s="6" t="s">
        <v>7862</v>
      </c>
      <c r="M676" s="6" t="str">
        <f t="shared" si="311"/>
        <v>=3.260*100000000</v>
      </c>
      <c r="N676" s="1">
        <f>3.26*100000000</f>
        <v>326000000</v>
      </c>
      <c r="O676" s="8">
        <f t="shared" si="328"/>
        <v>0.54283009938476101</v>
      </c>
      <c r="P676" s="6" t="s">
        <v>7863</v>
      </c>
      <c r="Q676" s="6" t="str">
        <f t="shared" si="312"/>
        <v>=2.113*100000000</v>
      </c>
      <c r="R676" s="11">
        <f>2.113*100000000</f>
        <v>211300000</v>
      </c>
      <c r="S676" s="8">
        <f t="shared" si="329"/>
        <v>-0.61307452847463839</v>
      </c>
      <c r="T676" s="6" t="s">
        <v>7864</v>
      </c>
      <c r="U676" s="6" t="str">
        <f t="shared" si="313"/>
        <v>=5.461*100000000</v>
      </c>
      <c r="V676" s="1">
        <f>5.461*100000000</f>
        <v>546100000</v>
      </c>
      <c r="W676" s="8">
        <f t="shared" si="330"/>
        <v>6.3485881207400188E-2</v>
      </c>
      <c r="X676" s="6" t="s">
        <v>7865</v>
      </c>
      <c r="Y676" s="6" t="str">
        <f t="shared" si="314"/>
        <v>=5.135*100000000</v>
      </c>
      <c r="Z676" s="1">
        <f>5.135*100000000</f>
        <v>513500000</v>
      </c>
      <c r="AA676" s="8">
        <f t="shared" si="331"/>
        <v>0.74481821270812099</v>
      </c>
      <c r="AB676" s="6" t="s">
        <v>7866</v>
      </c>
      <c r="AC676" s="6" t="str">
        <f t="shared" si="315"/>
        <v>=2.943*100000000</v>
      </c>
      <c r="AD676" s="1">
        <f>2.943*100000000</f>
        <v>294300000</v>
      </c>
      <c r="AE676" s="8">
        <f t="shared" si="332"/>
        <v>20.466083150984684</v>
      </c>
      <c r="AF676" s="7" t="s">
        <v>7867</v>
      </c>
      <c r="AG676" s="6" t="str">
        <f t="shared" si="316"/>
        <v>=1371*10000</v>
      </c>
      <c r="AH676" s="1">
        <f>1371*10000</f>
        <v>13710000</v>
      </c>
      <c r="AI676" s="8">
        <f t="shared" si="333"/>
        <v>-0.98588634959851762</v>
      </c>
      <c r="AJ676" s="6" t="s">
        <v>7868</v>
      </c>
      <c r="AK676" s="6" t="str">
        <f t="shared" si="317"/>
        <v>=9.714*100000000</v>
      </c>
      <c r="AL676" s="1">
        <f>9.714*100000000</f>
        <v>971400000</v>
      </c>
      <c r="AM676" s="8">
        <f t="shared" si="334"/>
        <v>0.56601644365629533</v>
      </c>
      <c r="AN676" s="6" t="s">
        <v>7869</v>
      </c>
      <c r="AO676" s="6" t="str">
        <f t="shared" si="318"/>
        <v>=6.203*100000000</v>
      </c>
      <c r="AP676" s="1">
        <f>6.203*100000000</f>
        <v>620300000</v>
      </c>
      <c r="AQ676" s="8">
        <f t="shared" si="335"/>
        <v>0.245832496485238</v>
      </c>
      <c r="AR676" s="6" t="s">
        <v>6579</v>
      </c>
      <c r="AS676" s="6" t="str">
        <f t="shared" si="319"/>
        <v>=4.979*100000000</v>
      </c>
      <c r="AT676" s="1">
        <f>4.979*100000000</f>
        <v>497900000</v>
      </c>
      <c r="AU676" s="8">
        <f t="shared" si="336"/>
        <v>2.5615164520743918</v>
      </c>
      <c r="AV676" s="6" t="s">
        <v>108</v>
      </c>
      <c r="AW676" s="6" t="str">
        <f t="shared" si="320"/>
        <v>=1.398*100000000</v>
      </c>
      <c r="AX676" s="1">
        <f>1.398*100000000</f>
        <v>139800000</v>
      </c>
      <c r="AY676" s="10">
        <f t="shared" si="337"/>
        <v>-0.79456282145481261</v>
      </c>
      <c r="AZ676" s="6" t="s">
        <v>7870</v>
      </c>
      <c r="BA676" s="6" t="str">
        <f t="shared" si="321"/>
        <v>=6.805*100000000</v>
      </c>
      <c r="BB676" s="1">
        <f>6.805*100000000</f>
        <v>680500000</v>
      </c>
      <c r="BC676" s="8">
        <f t="shared" si="338"/>
        <v>0.38453713123092575</v>
      </c>
      <c r="BD676" s="6" t="s">
        <v>7871</v>
      </c>
      <c r="BE676" s="6" t="str">
        <f t="shared" si="322"/>
        <v>=4.915*100000000</v>
      </c>
      <c r="BF676" s="1">
        <f>4.915*100000000</f>
        <v>491500000</v>
      </c>
      <c r="BG676" s="8">
        <f t="shared" si="339"/>
        <v>0.72395650648895127</v>
      </c>
      <c r="BH676" s="6" t="s">
        <v>3837</v>
      </c>
      <c r="BI676" s="6" t="str">
        <f t="shared" si="323"/>
        <v>=2.851*100000000</v>
      </c>
      <c r="BJ676" s="1">
        <f>2.851*100000000</f>
        <v>285100000</v>
      </c>
      <c r="BK676" s="6" t="s">
        <v>4981</v>
      </c>
      <c r="BL676" s="1" t="str">
        <f t="shared" si="325"/>
        <v>=1.375*100000000</v>
      </c>
      <c r="BM676" s="16">
        <f t="shared" si="340"/>
        <v>1.0734545454545454</v>
      </c>
      <c r="BN676" s="1">
        <f>1.375*100000000</f>
        <v>137500000</v>
      </c>
    </row>
    <row r="677" spans="1:66">
      <c r="A677" s="19"/>
      <c r="B677">
        <v>600575</v>
      </c>
      <c r="C677" t="s">
        <v>68</v>
      </c>
      <c r="D677" s="6" t="s">
        <v>7872</v>
      </c>
      <c r="E677" s="7" t="str">
        <f t="shared" si="324"/>
        <v>=5.385*100000000</v>
      </c>
      <c r="F677" s="1">
        <f>5.385*100000000</f>
        <v>538500000</v>
      </c>
      <c r="G677" s="8">
        <f t="shared" si="326"/>
        <v>0.27064653138272754</v>
      </c>
      <c r="H677" s="6" t="s">
        <v>3263</v>
      </c>
      <c r="I677" s="6" t="str">
        <f t="shared" si="310"/>
        <v>=4.238*100000000</v>
      </c>
      <c r="J677" s="1">
        <f>4.238*100000000</f>
        <v>423800000.00000006</v>
      </c>
      <c r="K677" s="10">
        <f t="shared" si="327"/>
        <v>0.41739130434782629</v>
      </c>
      <c r="L677" s="6" t="s">
        <v>7873</v>
      </c>
      <c r="M677" s="6" t="str">
        <f t="shared" si="311"/>
        <v>=2.990*100000000</v>
      </c>
      <c r="N677" s="1">
        <f>2.99*100000000</f>
        <v>299000000</v>
      </c>
      <c r="O677" s="8">
        <f t="shared" si="328"/>
        <v>0.53019447287615151</v>
      </c>
      <c r="P677" s="6" t="s">
        <v>4634</v>
      </c>
      <c r="Q677" s="6" t="str">
        <f t="shared" si="312"/>
        <v>=1.954*100000000</v>
      </c>
      <c r="R677" s="11">
        <f>1.954*100000000</f>
        <v>195400000</v>
      </c>
      <c r="S677" s="8">
        <f t="shared" si="329"/>
        <v>-0.62058252427184468</v>
      </c>
      <c r="T677" s="6" t="s">
        <v>7874</v>
      </c>
      <c r="U677" s="6" t="str">
        <f t="shared" si="313"/>
        <v>=5.150*100000000</v>
      </c>
      <c r="V677" s="1">
        <f>5.15*100000000</f>
        <v>515000000.00000006</v>
      </c>
      <c r="W677" s="8">
        <f t="shared" si="330"/>
        <v>5.230894973436874E-2</v>
      </c>
      <c r="X677" s="6" t="s">
        <v>7875</v>
      </c>
      <c r="Y677" s="6" t="str">
        <f t="shared" si="314"/>
        <v>=4.894*100000000</v>
      </c>
      <c r="Z677" s="1">
        <f>4.894*100000000</f>
        <v>489400000</v>
      </c>
      <c r="AA677" s="8">
        <f t="shared" si="331"/>
        <v>0.68352253181974543</v>
      </c>
      <c r="AB677" s="6" t="s">
        <v>7876</v>
      </c>
      <c r="AC677" s="6" t="str">
        <f t="shared" si="315"/>
        <v>=2.907*100000000</v>
      </c>
      <c r="AD677" s="1">
        <f>2.907*100000000</f>
        <v>290700000</v>
      </c>
      <c r="AE677" s="8">
        <f t="shared" si="332"/>
        <v>22.200319233838787</v>
      </c>
      <c r="AF677" s="7" t="s">
        <v>4292</v>
      </c>
      <c r="AG677" s="6" t="str">
        <f t="shared" si="316"/>
        <v>=1253*10000</v>
      </c>
      <c r="AH677" s="1">
        <f>1253*10000</f>
        <v>12530000</v>
      </c>
      <c r="AI677" s="8">
        <f t="shared" si="333"/>
        <v>-0.98656012013300443</v>
      </c>
      <c r="AJ677" s="6" t="s">
        <v>7877</v>
      </c>
      <c r="AK677" s="6" t="str">
        <f t="shared" si="317"/>
        <v>=9.323*100000000</v>
      </c>
      <c r="AL677" s="1">
        <f>9.323*100000000</f>
        <v>932300000</v>
      </c>
      <c r="AM677" s="8">
        <f t="shared" si="334"/>
        <v>0.64717314487632505</v>
      </c>
      <c r="AN677" s="6" t="s">
        <v>7878</v>
      </c>
      <c r="AO677" s="6" t="str">
        <f t="shared" si="318"/>
        <v>=5.660*100000000</v>
      </c>
      <c r="AP677" s="1">
        <f>5.66*100000000</f>
        <v>566000000</v>
      </c>
      <c r="AQ677" s="8">
        <f t="shared" si="335"/>
        <v>0.20220900594732372</v>
      </c>
      <c r="AR677" s="6" t="s">
        <v>7879</v>
      </c>
      <c r="AS677" s="6" t="str">
        <f t="shared" si="319"/>
        <v>=4.708*100000000</v>
      </c>
      <c r="AT677" s="1">
        <f>4.708*100000000</f>
        <v>470800000</v>
      </c>
      <c r="AU677" s="8">
        <f t="shared" si="336"/>
        <v>2.7937147461724412</v>
      </c>
      <c r="AV677" s="6" t="s">
        <v>2117</v>
      </c>
      <c r="AW677" s="6" t="str">
        <f t="shared" si="320"/>
        <v>=1.241*100000000</v>
      </c>
      <c r="AX677" s="1">
        <f>1.241*100000000</f>
        <v>124100000.00000001</v>
      </c>
      <c r="AY677" s="10">
        <f t="shared" si="337"/>
        <v>-0.78220428220428218</v>
      </c>
      <c r="AZ677" s="6" t="s">
        <v>7880</v>
      </c>
      <c r="BA677" s="6" t="str">
        <f t="shared" si="321"/>
        <v>=5.698*100000000</v>
      </c>
      <c r="BB677" s="1">
        <f>5.698*100000000</f>
        <v>569800000</v>
      </c>
      <c r="BC677" s="8">
        <f t="shared" si="338"/>
        <v>0.3511975337917953</v>
      </c>
      <c r="BD677" s="6" t="s">
        <v>229</v>
      </c>
      <c r="BE677" s="6" t="str">
        <f t="shared" si="322"/>
        <v>=4.217*100000000</v>
      </c>
      <c r="BF677" s="1">
        <f>4.217*100000000</f>
        <v>421699999.99999994</v>
      </c>
      <c r="BG677" s="8">
        <f t="shared" si="339"/>
        <v>0.68141945773524693</v>
      </c>
      <c r="BH677" s="6" t="s">
        <v>7881</v>
      </c>
      <c r="BI677" s="6" t="str">
        <f t="shared" si="323"/>
        <v>=2.508*100000000</v>
      </c>
      <c r="BJ677" s="1">
        <f>2.508*100000000</f>
        <v>250800000</v>
      </c>
      <c r="BK677" s="6" t="s">
        <v>2113</v>
      </c>
      <c r="BL677" s="1" t="str">
        <f t="shared" si="325"/>
        <v>=1.183*100000000</v>
      </c>
      <c r="BM677" s="16">
        <f t="shared" si="340"/>
        <v>1.1200338123415046</v>
      </c>
      <c r="BN677" s="1">
        <f>1.183*100000000</f>
        <v>118300000</v>
      </c>
    </row>
    <row r="678" spans="1:66">
      <c r="A678" s="17">
        <v>171</v>
      </c>
      <c r="B678">
        <v>600581</v>
      </c>
      <c r="C678" t="s">
        <v>31</v>
      </c>
      <c r="D678" s="6" t="s">
        <v>7882</v>
      </c>
      <c r="E678" s="7" t="str">
        <f t="shared" si="324"/>
        <v>=308.8*100000000</v>
      </c>
      <c r="F678" s="1">
        <f>308.8*100000000</f>
        <v>30880000000</v>
      </c>
      <c r="G678" s="8">
        <f t="shared" si="326"/>
        <v>0.29693406131877365</v>
      </c>
      <c r="H678" s="6" t="s">
        <v>7883</v>
      </c>
      <c r="I678" s="6" t="str">
        <f t="shared" si="310"/>
        <v>=238.1*100000000</v>
      </c>
      <c r="J678" s="1">
        <f>238.1*100000000</f>
        <v>23810000000</v>
      </c>
      <c r="K678" s="10">
        <f t="shared" si="327"/>
        <v>0.62414733969986358</v>
      </c>
      <c r="L678" s="6" t="s">
        <v>7884</v>
      </c>
      <c r="M678" s="6" t="str">
        <f t="shared" si="311"/>
        <v>=146.6*100000000</v>
      </c>
      <c r="N678" s="1">
        <f>146.6*100000000</f>
        <v>14660000000</v>
      </c>
      <c r="O678" s="8">
        <f t="shared" si="328"/>
        <v>1.3546418246064889</v>
      </c>
      <c r="P678" s="6" t="s">
        <v>7885</v>
      </c>
      <c r="Q678" s="6" t="str">
        <f t="shared" si="312"/>
        <v>=62.26*100000000</v>
      </c>
      <c r="R678" s="11">
        <f>62.26*100000000</f>
        <v>6226000000</v>
      </c>
      <c r="S678" s="8">
        <f t="shared" si="329"/>
        <v>-0.73059281696235401</v>
      </c>
      <c r="T678" s="6" t="s">
        <v>4119</v>
      </c>
      <c r="U678" s="6" t="str">
        <f t="shared" si="313"/>
        <v>=231.1*100000000</v>
      </c>
      <c r="V678" s="1">
        <f>231.1*100000000</f>
        <v>23110000000</v>
      </c>
      <c r="W678" s="8">
        <f t="shared" si="330"/>
        <v>0.4747925973197194</v>
      </c>
      <c r="X678" s="6" t="s">
        <v>7886</v>
      </c>
      <c r="Y678" s="6" t="str">
        <f t="shared" si="314"/>
        <v>=156.7*100000000</v>
      </c>
      <c r="Z678" s="1">
        <f>156.7*100000000</f>
        <v>15669999999.999998</v>
      </c>
      <c r="AA678" s="8">
        <f t="shared" si="331"/>
        <v>0.59832721338229278</v>
      </c>
      <c r="AB678" s="6" t="s">
        <v>7887</v>
      </c>
      <c r="AC678" s="6" t="str">
        <f t="shared" si="315"/>
        <v>=98.04*100000000</v>
      </c>
      <c r="AD678" s="1">
        <f>98.04*100000000</f>
        <v>9804000000</v>
      </c>
      <c r="AE678" s="8">
        <f t="shared" si="332"/>
        <v>2.0878740157480316</v>
      </c>
      <c r="AF678" s="6" t="s">
        <v>5087</v>
      </c>
      <c r="AG678" s="6" t="str">
        <f t="shared" si="316"/>
        <v>=31.75*100000000</v>
      </c>
      <c r="AH678" s="1">
        <f>31.75*100000000</f>
        <v>3175000000</v>
      </c>
      <c r="AI678" s="8">
        <f t="shared" si="333"/>
        <v>-0.84594856865599222</v>
      </c>
      <c r="AJ678" s="6" t="s">
        <v>7888</v>
      </c>
      <c r="AK678" s="6" t="str">
        <f t="shared" si="317"/>
        <v>=206.1*100000000</v>
      </c>
      <c r="AL678" s="1">
        <f>206.1*100000000</f>
        <v>20610000000</v>
      </c>
      <c r="AM678" s="8">
        <f t="shared" si="334"/>
        <v>0.33053582956746286</v>
      </c>
      <c r="AN678" s="6" t="s">
        <v>7889</v>
      </c>
      <c r="AO678" s="6" t="str">
        <f t="shared" si="318"/>
        <v>=154.9*100000000</v>
      </c>
      <c r="AP678" s="1">
        <f>154.9*100000000</f>
        <v>15490000000</v>
      </c>
      <c r="AQ678" s="8">
        <f t="shared" si="335"/>
        <v>0.62334940264095573</v>
      </c>
      <c r="AR678" s="6" t="s">
        <v>7890</v>
      </c>
      <c r="AS678" s="6" t="str">
        <f t="shared" si="319"/>
        <v>=95.42*100000000</v>
      </c>
      <c r="AT678" s="1">
        <f>95.42*100000000</f>
        <v>9542000000</v>
      </c>
      <c r="AU678" s="8">
        <f t="shared" si="336"/>
        <v>1.4323222023961255</v>
      </c>
      <c r="AV678" s="6" t="s">
        <v>4797</v>
      </c>
      <c r="AW678" s="6" t="str">
        <f t="shared" si="320"/>
        <v>=39.23*100000000</v>
      </c>
      <c r="AX678" s="1">
        <f>39.23*100000000</f>
        <v>3922999999.9999995</v>
      </c>
      <c r="AY678" s="10">
        <f t="shared" si="337"/>
        <v>-0.80492292391844855</v>
      </c>
      <c r="AZ678" s="6" t="s">
        <v>400</v>
      </c>
      <c r="BA678" s="6" t="str">
        <f t="shared" si="321"/>
        <v>=201.1*100000000</v>
      </c>
      <c r="BB678" s="1">
        <f>201.1*100000000</f>
        <v>20110000000</v>
      </c>
      <c r="BC678" s="8">
        <f t="shared" si="338"/>
        <v>0.30754226267880347</v>
      </c>
      <c r="BD678" s="6" t="s">
        <v>3102</v>
      </c>
      <c r="BE678" s="6" t="str">
        <f t="shared" si="322"/>
        <v>=153.8*100000000</v>
      </c>
      <c r="BF678" s="1">
        <f>153.8*100000000</f>
        <v>15380000000.000002</v>
      </c>
      <c r="BG678" s="8">
        <f t="shared" si="339"/>
        <v>0.8724129534940348</v>
      </c>
      <c r="BH678" s="6" t="s">
        <v>7891</v>
      </c>
      <c r="BI678" s="6" t="str">
        <f t="shared" si="323"/>
        <v>=82.14*100000000</v>
      </c>
      <c r="BJ678" s="1">
        <f>82.14*100000000</f>
        <v>8214000000</v>
      </c>
      <c r="BK678" s="6" t="s">
        <v>7892</v>
      </c>
      <c r="BL678" s="1" t="str">
        <f t="shared" si="325"/>
        <v>=34.09*100000000</v>
      </c>
      <c r="BM678" s="16">
        <f t="shared" si="340"/>
        <v>1.4095042534467583</v>
      </c>
      <c r="BN678" s="1">
        <f>34.09*100000000</f>
        <v>3409000000.0000005</v>
      </c>
    </row>
    <row r="679" spans="1:66">
      <c r="A679" s="18"/>
      <c r="B679">
        <v>600581</v>
      </c>
      <c r="C679" t="s">
        <v>48</v>
      </c>
      <c r="D679" s="6" t="s">
        <v>7893</v>
      </c>
      <c r="E679" s="7" t="str">
        <f t="shared" si="324"/>
        <v>=14.76*100000000</v>
      </c>
      <c r="F679" s="1">
        <f>14.76*100000000</f>
        <v>1476000000</v>
      </c>
      <c r="G679" s="8">
        <f t="shared" si="326"/>
        <v>-0.43491577335375192</v>
      </c>
      <c r="H679" s="6" t="s">
        <v>4269</v>
      </c>
      <c r="I679" s="6" t="str">
        <f t="shared" si="310"/>
        <v>=26.12*100000000</v>
      </c>
      <c r="J679" s="1">
        <f>26.12*100000000</f>
        <v>2612000000</v>
      </c>
      <c r="K679" s="10">
        <f t="shared" si="327"/>
        <v>0.73901464713715048</v>
      </c>
      <c r="L679" s="6" t="s">
        <v>2841</v>
      </c>
      <c r="M679" s="6" t="str">
        <f t="shared" si="311"/>
        <v>=15.02*100000000</v>
      </c>
      <c r="N679" s="1">
        <f>15.02*100000000</f>
        <v>1502000000</v>
      </c>
      <c r="O679" s="8">
        <f t="shared" si="328"/>
        <v>5.4713485566566131</v>
      </c>
      <c r="P679" s="6" t="s">
        <v>7894</v>
      </c>
      <c r="Q679" s="6" t="str">
        <f t="shared" si="312"/>
        <v>=2.321*100000000</v>
      </c>
      <c r="R679" s="11">
        <f>2.321*100000000</f>
        <v>232100000.00000003</v>
      </c>
      <c r="S679" s="8">
        <f t="shared" si="329"/>
        <v>-0.45490840770314694</v>
      </c>
      <c r="T679" s="6" t="s">
        <v>7895</v>
      </c>
      <c r="U679" s="6" t="str">
        <f t="shared" si="313"/>
        <v>=4.258*100000000</v>
      </c>
      <c r="V679" s="1">
        <f>4.258*100000000</f>
        <v>425800000</v>
      </c>
      <c r="W679" s="8">
        <f t="shared" si="330"/>
        <v>0.22215843857634904</v>
      </c>
      <c r="X679" s="6" t="s">
        <v>7896</v>
      </c>
      <c r="Y679" s="6" t="str">
        <f t="shared" si="314"/>
        <v>=3.484*100000000</v>
      </c>
      <c r="Z679" s="1">
        <f>3.484*100000000</f>
        <v>348400000</v>
      </c>
      <c r="AA679" s="8">
        <f t="shared" si="331"/>
        <v>3.0554068210918404</v>
      </c>
      <c r="AB679" s="7" t="s">
        <v>7897</v>
      </c>
      <c r="AC679" s="6" t="str">
        <f t="shared" si="315"/>
        <v>=8591*10000</v>
      </c>
      <c r="AD679" s="1">
        <f>8591*10000</f>
        <v>85910000</v>
      </c>
      <c r="AE679" s="8">
        <f t="shared" si="332"/>
        <v>-1.4467498699947998</v>
      </c>
      <c r="AF679" s="6">
        <f>-1.923*100000000</f>
        <v>-192300000</v>
      </c>
      <c r="AG679" s="6" t="str">
        <f t="shared" si="316"/>
        <v>=-192300000</v>
      </c>
      <c r="AH679" s="1">
        <f>-192300000</f>
        <v>-192300000</v>
      </c>
      <c r="AI679" s="8">
        <f t="shared" si="333"/>
        <v>-2.6393861892583121</v>
      </c>
      <c r="AJ679" s="6" t="s">
        <v>7898</v>
      </c>
      <c r="AK679" s="6" t="str">
        <f t="shared" si="317"/>
        <v>=1.173*100000000</v>
      </c>
      <c r="AL679" s="1">
        <f>1.173*100000000</f>
        <v>117300000</v>
      </c>
      <c r="AM679" s="8">
        <f t="shared" si="334"/>
        <v>-0.54762822984959503</v>
      </c>
      <c r="AN679" s="6" t="s">
        <v>7899</v>
      </c>
      <c r="AO679" s="6" t="str">
        <f t="shared" si="318"/>
        <v>=2.593*100000000</v>
      </c>
      <c r="AP679" s="1">
        <f>2.593*100000000</f>
        <v>259300000</v>
      </c>
      <c r="AQ679" s="8">
        <f t="shared" si="335"/>
        <v>0.99002302379125096</v>
      </c>
      <c r="AR679" s="6" t="s">
        <v>7900</v>
      </c>
      <c r="AS679" s="6" t="str">
        <f t="shared" si="319"/>
        <v>=1.303*100000000</v>
      </c>
      <c r="AT679" s="1">
        <f>1.303*100000000</f>
        <v>130300000</v>
      </c>
      <c r="AU679" s="8">
        <f t="shared" si="336"/>
        <v>-1.6897829539438856</v>
      </c>
      <c r="AV679" s="6">
        <f>-1.889*100000000</f>
        <v>-188900000</v>
      </c>
      <c r="AW679" s="6" t="str">
        <f t="shared" si="320"/>
        <v>=-188900000</v>
      </c>
      <c r="AX679" s="1">
        <f>-188900000</f>
        <v>-188900000</v>
      </c>
      <c r="AY679" s="10">
        <f t="shared" si="337"/>
        <v>-1.2227857058615403</v>
      </c>
      <c r="AZ679" s="6" t="s">
        <v>7901</v>
      </c>
      <c r="BA679" s="6" t="str">
        <f t="shared" si="321"/>
        <v>=8.479*100000000</v>
      </c>
      <c r="BB679" s="1">
        <f>8.479*100000000</f>
        <v>847899999.99999988</v>
      </c>
      <c r="BC679" s="8">
        <f t="shared" si="338"/>
        <v>0.21929824561403491</v>
      </c>
      <c r="BD679" s="6" t="s">
        <v>7902</v>
      </c>
      <c r="BE679" s="6" t="str">
        <f t="shared" si="322"/>
        <v>=6.954*100000000</v>
      </c>
      <c r="BF679" s="1">
        <f>6.954*100000000</f>
        <v>695400000</v>
      </c>
      <c r="BG679" s="8">
        <f t="shared" si="339"/>
        <v>2.2329149232914927</v>
      </c>
      <c r="BH679" s="6" t="s">
        <v>7903</v>
      </c>
      <c r="BI679" s="6" t="str">
        <f t="shared" si="323"/>
        <v>=2.151*100000000</v>
      </c>
      <c r="BJ679" s="1">
        <f>2.151*100000000</f>
        <v>215099999.99999997</v>
      </c>
      <c r="BK679" s="6" t="s">
        <v>7904</v>
      </c>
      <c r="BL679" s="1" t="str">
        <f t="shared" si="325"/>
        <v>=1.437*100000000</v>
      </c>
      <c r="BM679" s="16">
        <f t="shared" si="340"/>
        <v>0.49686847599164907</v>
      </c>
      <c r="BN679" s="1">
        <f>1.437*100000000</f>
        <v>143700000</v>
      </c>
    </row>
    <row r="680" spans="1:66">
      <c r="A680" s="18"/>
      <c r="B680">
        <v>600581</v>
      </c>
      <c r="C680" t="s">
        <v>58</v>
      </c>
      <c r="D680" s="6" t="s">
        <v>4340</v>
      </c>
      <c r="E680" s="7" t="str">
        <f t="shared" si="324"/>
        <v>=14.32*100000000</v>
      </c>
      <c r="F680" s="1">
        <f>14.32*100000000</f>
        <v>1432000000</v>
      </c>
      <c r="G680" s="8">
        <f t="shared" si="326"/>
        <v>-0.45197091465748185</v>
      </c>
      <c r="H680" s="6" t="s">
        <v>6010</v>
      </c>
      <c r="I680" s="6" t="str">
        <f t="shared" si="310"/>
        <v>=26.13*100000000</v>
      </c>
      <c r="J680" s="1">
        <f>26.13*100000000</f>
        <v>2613000000</v>
      </c>
      <c r="K680" s="10">
        <f t="shared" si="327"/>
        <v>0.73968042609853524</v>
      </c>
      <c r="L680" s="6" t="s">
        <v>2841</v>
      </c>
      <c r="M680" s="6" t="str">
        <f t="shared" si="311"/>
        <v>=15.02*100000000</v>
      </c>
      <c r="N680" s="1">
        <f>15.02*100000000</f>
        <v>1502000000</v>
      </c>
      <c r="O680" s="8">
        <f t="shared" si="328"/>
        <v>5.4657770124838567</v>
      </c>
      <c r="P680" s="6" t="s">
        <v>7905</v>
      </c>
      <c r="Q680" s="6" t="str">
        <f t="shared" si="312"/>
        <v>=2.323*100000000</v>
      </c>
      <c r="R680" s="11">
        <f>2.323*100000000</f>
        <v>232300000</v>
      </c>
      <c r="S680" s="8">
        <f t="shared" si="329"/>
        <v>-0.44729954794194621</v>
      </c>
      <c r="T680" s="6" t="s">
        <v>7670</v>
      </c>
      <c r="U680" s="6" t="str">
        <f t="shared" si="313"/>
        <v>=4.203*100000000</v>
      </c>
      <c r="V680" s="1">
        <f>4.203*100000000</f>
        <v>420300000</v>
      </c>
      <c r="W680" s="8">
        <f t="shared" si="330"/>
        <v>0.21509106678230702</v>
      </c>
      <c r="X680" s="6" t="s">
        <v>6782</v>
      </c>
      <c r="Y680" s="6" t="str">
        <f t="shared" si="314"/>
        <v>=3.459*100000000</v>
      </c>
      <c r="Z680" s="1">
        <f>3.459*100000000</f>
        <v>345900000</v>
      </c>
      <c r="AA680" s="8">
        <f t="shared" si="331"/>
        <v>3.1906954204022293</v>
      </c>
      <c r="AB680" s="7" t="s">
        <v>7906</v>
      </c>
      <c r="AC680" s="6" t="str">
        <f t="shared" si="315"/>
        <v>=8254*10000</v>
      </c>
      <c r="AD680" s="1">
        <f>8254*10000</f>
        <v>82540000</v>
      </c>
      <c r="AE680" s="8">
        <f t="shared" si="332"/>
        <v>-1.4296720458094743</v>
      </c>
      <c r="AF680" s="6">
        <f>-1.921*100000000</f>
        <v>-192100000</v>
      </c>
      <c r="AG680" s="6" t="str">
        <f t="shared" si="316"/>
        <v>=-192100000</v>
      </c>
      <c r="AH680" s="1">
        <f>-192100000</f>
        <v>-192100000</v>
      </c>
      <c r="AI680" s="8">
        <f t="shared" si="333"/>
        <v>-2.6689834926151175</v>
      </c>
      <c r="AJ680" s="6" t="s">
        <v>7907</v>
      </c>
      <c r="AK680" s="6" t="str">
        <f t="shared" si="317"/>
        <v>=1.151*100000000</v>
      </c>
      <c r="AL680" s="1">
        <f>1.151*100000000</f>
        <v>115100000</v>
      </c>
      <c r="AM680" s="8">
        <f t="shared" si="334"/>
        <v>-0.56001529051987764</v>
      </c>
      <c r="AN680" s="6" t="s">
        <v>7908</v>
      </c>
      <c r="AO680" s="6" t="str">
        <f t="shared" si="318"/>
        <v>=2.616*100000000</v>
      </c>
      <c r="AP680" s="1">
        <f>2.616*100000000</f>
        <v>261600000</v>
      </c>
      <c r="AQ680" s="8">
        <f t="shared" si="335"/>
        <v>0.9773242630385488</v>
      </c>
      <c r="AR680" s="6" t="s">
        <v>4431</v>
      </c>
      <c r="AS680" s="6" t="str">
        <f t="shared" si="319"/>
        <v>=1.323*100000000</v>
      </c>
      <c r="AT680" s="1">
        <f>1.323*100000000</f>
        <v>132300000</v>
      </c>
      <c r="AU680" s="8">
        <f t="shared" si="336"/>
        <v>-1.7011128775834659</v>
      </c>
      <c r="AV680" s="6">
        <f>-1.887*100000000</f>
        <v>-188700000</v>
      </c>
      <c r="AW680" s="6" t="str">
        <f t="shared" si="320"/>
        <v>=-188700000</v>
      </c>
      <c r="AX680" s="1">
        <f>-188700000</f>
        <v>-188700000</v>
      </c>
      <c r="AY680" s="10">
        <f t="shared" si="337"/>
        <v>-1.2237903225806452</v>
      </c>
      <c r="AZ680" s="6" t="s">
        <v>7909</v>
      </c>
      <c r="BA680" s="6" t="str">
        <f t="shared" si="321"/>
        <v>=8.432*100000000</v>
      </c>
      <c r="BB680" s="1">
        <f>8.432*100000000</f>
        <v>843200000</v>
      </c>
      <c r="BC680" s="8">
        <f t="shared" si="338"/>
        <v>0.21062455132806893</v>
      </c>
      <c r="BD680" s="6" t="s">
        <v>7910</v>
      </c>
      <c r="BE680" s="6" t="str">
        <f t="shared" si="322"/>
        <v>=6.965*100000000</v>
      </c>
      <c r="BF680" s="1">
        <f>6.965*100000000</f>
        <v>696500000</v>
      </c>
      <c r="BG680" s="8">
        <f t="shared" si="339"/>
        <v>2.2305194805194803</v>
      </c>
      <c r="BH680" s="6" t="s">
        <v>7911</v>
      </c>
      <c r="BI680" s="6" t="str">
        <f t="shared" si="323"/>
        <v>=2.156*100000000</v>
      </c>
      <c r="BJ680" s="1">
        <f>2.156*100000000</f>
        <v>215600000</v>
      </c>
      <c r="BK680" s="6" t="s">
        <v>2943</v>
      </c>
      <c r="BL680" s="1" t="str">
        <f t="shared" si="325"/>
        <v>=1.442*100000000</v>
      </c>
      <c r="BM680" s="16">
        <f t="shared" si="340"/>
        <v>0.49514563106796117</v>
      </c>
      <c r="BN680" s="1">
        <f>1.442*100000000</f>
        <v>144200000</v>
      </c>
    </row>
    <row r="681" spans="1:66">
      <c r="A681" s="19"/>
      <c r="B681">
        <v>600581</v>
      </c>
      <c r="C681" t="s">
        <v>68</v>
      </c>
      <c r="D681" s="6" t="s">
        <v>7912</v>
      </c>
      <c r="E681" s="7" t="str">
        <f t="shared" si="324"/>
        <v>=12.21*100000000</v>
      </c>
      <c r="F681" s="1">
        <f>12.21*100000000</f>
        <v>1221000000</v>
      </c>
      <c r="G681" s="8">
        <f t="shared" si="326"/>
        <v>-0.45222072678331088</v>
      </c>
      <c r="H681" s="6" t="s">
        <v>7913</v>
      </c>
      <c r="I681" s="6" t="str">
        <f t="shared" si="310"/>
        <v>=22.29*100000000</v>
      </c>
      <c r="J681" s="1">
        <f>22.29*100000000</f>
        <v>2229000000</v>
      </c>
      <c r="K681" s="10">
        <f t="shared" si="327"/>
        <v>0.74960753532182101</v>
      </c>
      <c r="L681" s="6" t="s">
        <v>1106</v>
      </c>
      <c r="M681" s="6" t="str">
        <f t="shared" si="311"/>
        <v>=12.74*100000000</v>
      </c>
      <c r="N681" s="1">
        <f>12.74*100000000</f>
        <v>1274000000</v>
      </c>
      <c r="O681" s="8">
        <f t="shared" si="328"/>
        <v>5.580578512396694</v>
      </c>
      <c r="P681" s="6" t="s">
        <v>7914</v>
      </c>
      <c r="Q681" s="6" t="str">
        <f t="shared" si="312"/>
        <v>=1.936*100000000</v>
      </c>
      <c r="R681" s="11">
        <f>1.936*100000000</f>
        <v>193600000</v>
      </c>
      <c r="S681" s="8">
        <f t="shared" si="329"/>
        <v>-0.44078567302137495</v>
      </c>
      <c r="T681" s="6" t="s">
        <v>1091</v>
      </c>
      <c r="U681" s="6" t="str">
        <f t="shared" si="313"/>
        <v>=3.462*100000000</v>
      </c>
      <c r="V681" s="1">
        <f>3.462*100000000</f>
        <v>346200000</v>
      </c>
      <c r="W681" s="8">
        <f t="shared" si="330"/>
        <v>0.14446280991735538</v>
      </c>
      <c r="X681" s="6" t="s">
        <v>4092</v>
      </c>
      <c r="Y681" s="6" t="str">
        <f t="shared" si="314"/>
        <v>=3.025*100000000</v>
      </c>
      <c r="Z681" s="1">
        <f>3.025*100000000</f>
        <v>302500000</v>
      </c>
      <c r="AA681" s="8">
        <f t="shared" si="331"/>
        <v>3.3713872832369942</v>
      </c>
      <c r="AB681" s="7" t="s">
        <v>7915</v>
      </c>
      <c r="AC681" s="6" t="str">
        <f t="shared" si="315"/>
        <v>=6920*10000</v>
      </c>
      <c r="AD681" s="1">
        <f>6920*10000</f>
        <v>69200000</v>
      </c>
      <c r="AE681" s="8">
        <f t="shared" si="332"/>
        <v>-1.3624934520691461</v>
      </c>
      <c r="AF681" s="6">
        <f>-1.909*100000000</f>
        <v>-190900000</v>
      </c>
      <c r="AG681" s="6" t="str">
        <f t="shared" si="316"/>
        <v>=-190900000</v>
      </c>
      <c r="AH681" s="1">
        <f>-190900000</f>
        <v>-190900000</v>
      </c>
      <c r="AI681" s="8">
        <f t="shared" si="333"/>
        <v>-2.7182718271827184</v>
      </c>
      <c r="AJ681" s="6" t="s">
        <v>7916</v>
      </c>
      <c r="AK681" s="6" t="str">
        <f t="shared" si="317"/>
        <v>=1.111*100000000</v>
      </c>
      <c r="AL681" s="1">
        <f>1.111*100000000</f>
        <v>111100000</v>
      </c>
      <c r="AM681" s="8">
        <f t="shared" si="334"/>
        <v>-0.53746877601998333</v>
      </c>
      <c r="AN681" s="6" t="s">
        <v>2570</v>
      </c>
      <c r="AO681" s="6" t="str">
        <f t="shared" si="318"/>
        <v>=2.402*100000000</v>
      </c>
      <c r="AP681" s="1">
        <f>2.402*100000000</f>
        <v>240200000</v>
      </c>
      <c r="AQ681" s="8">
        <f t="shared" si="335"/>
        <v>0.94336569579288021</v>
      </c>
      <c r="AR681" s="6" t="s">
        <v>7917</v>
      </c>
      <c r="AS681" s="6" t="str">
        <f t="shared" si="319"/>
        <v>=1.236*100000000</v>
      </c>
      <c r="AT681" s="1">
        <f>1.236*100000000</f>
        <v>123600000</v>
      </c>
      <c r="AU681" s="8">
        <f t="shared" si="336"/>
        <v>-1.6367851622874807</v>
      </c>
      <c r="AV681" s="6">
        <f>-1.941*100000000</f>
        <v>-194100000</v>
      </c>
      <c r="AW681" s="6" t="str">
        <f t="shared" si="320"/>
        <v>=-194100000</v>
      </c>
      <c r="AX681" s="1">
        <f>-194100000</f>
        <v>-194100000</v>
      </c>
      <c r="AY681" s="10">
        <f t="shared" si="337"/>
        <v>-1.2770877944325483</v>
      </c>
      <c r="AZ681" s="6" t="s">
        <v>651</v>
      </c>
      <c r="BA681" s="6" t="str">
        <f t="shared" si="321"/>
        <v>=7.005*100000000</v>
      </c>
      <c r="BB681" s="1">
        <f>7.005*100000000</f>
        <v>700500000</v>
      </c>
      <c r="BC681" s="8">
        <f t="shared" si="338"/>
        <v>0.21298701298701297</v>
      </c>
      <c r="BD681" s="6" t="s">
        <v>7918</v>
      </c>
      <c r="BE681" s="6" t="str">
        <f t="shared" si="322"/>
        <v>=5.775*100000000</v>
      </c>
      <c r="BF681" s="1">
        <f>5.775*100000000</f>
        <v>577500000</v>
      </c>
      <c r="BG681" s="8">
        <f t="shared" si="339"/>
        <v>1.6785714285714286</v>
      </c>
      <c r="BH681" s="6" t="s">
        <v>7911</v>
      </c>
      <c r="BI681" s="6" t="str">
        <f t="shared" si="323"/>
        <v>=2.156*100000000</v>
      </c>
      <c r="BJ681" s="1">
        <f>2.156*100000000</f>
        <v>215600000</v>
      </c>
      <c r="BK681" s="6" t="s">
        <v>2943</v>
      </c>
      <c r="BL681" s="1" t="str">
        <f t="shared" si="325"/>
        <v>=1.442*100000000</v>
      </c>
      <c r="BM681" s="16">
        <f t="shared" si="340"/>
        <v>0.49514563106796117</v>
      </c>
      <c r="BN681" s="1">
        <f>1.442*100000000</f>
        <v>144200000</v>
      </c>
    </row>
    <row r="682" spans="1:66">
      <c r="A682" s="17">
        <v>172</v>
      </c>
      <c r="B682">
        <v>600583</v>
      </c>
      <c r="C682" t="s">
        <v>31</v>
      </c>
      <c r="D682" s="6" t="s">
        <v>7919</v>
      </c>
      <c r="E682" s="7" t="str">
        <f t="shared" si="324"/>
        <v>=198.0*100000000</v>
      </c>
      <c r="F682" s="1">
        <f>198*100000000</f>
        <v>19800000000</v>
      </c>
      <c r="G682" s="8">
        <f t="shared" si="326"/>
        <v>0.65690376569037656</v>
      </c>
      <c r="H682" s="6" t="s">
        <v>7920</v>
      </c>
      <c r="I682" s="6" t="str">
        <f t="shared" si="310"/>
        <v>=119.5*100000000</v>
      </c>
      <c r="J682" s="1">
        <f>119.5*100000000</f>
        <v>11950000000</v>
      </c>
      <c r="K682" s="10">
        <f t="shared" si="327"/>
        <v>0.59951813679560995</v>
      </c>
      <c r="L682" s="6" t="s">
        <v>7921</v>
      </c>
      <c r="M682" s="6" t="str">
        <f t="shared" si="311"/>
        <v>=74.71*100000000</v>
      </c>
      <c r="N682" s="1">
        <f>74.71*100000000</f>
        <v>7470999999.999999</v>
      </c>
      <c r="O682" s="8">
        <f t="shared" si="328"/>
        <v>1.4170171465545127</v>
      </c>
      <c r="P682" s="6" t="s">
        <v>7922</v>
      </c>
      <c r="Q682" s="6" t="str">
        <f t="shared" si="312"/>
        <v>=30.91*100000000</v>
      </c>
      <c r="R682" s="11">
        <f>30.91*100000000</f>
        <v>3091000000</v>
      </c>
      <c r="S682" s="8">
        <f t="shared" si="329"/>
        <v>-0.82693169092945129</v>
      </c>
      <c r="T682" s="6" t="s">
        <v>518</v>
      </c>
      <c r="U682" s="6" t="str">
        <f t="shared" si="313"/>
        <v>=178.6*100000000</v>
      </c>
      <c r="V682" s="1">
        <f>178.6*100000000</f>
        <v>17860000000</v>
      </c>
      <c r="W682" s="8">
        <f t="shared" si="330"/>
        <v>0.50463352990732935</v>
      </c>
      <c r="X682" s="6" t="s">
        <v>526</v>
      </c>
      <c r="Y682" s="6" t="str">
        <f t="shared" si="314"/>
        <v>=118.7*100000000</v>
      </c>
      <c r="Z682" s="1">
        <f>118.7*100000000</f>
        <v>11870000000</v>
      </c>
      <c r="AA682" s="8">
        <f t="shared" si="331"/>
        <v>0.82981347310004627</v>
      </c>
      <c r="AB682" s="6" t="s">
        <v>7923</v>
      </c>
      <c r="AC682" s="6" t="str">
        <f t="shared" si="315"/>
        <v>=64.87*100000000</v>
      </c>
      <c r="AD682" s="1">
        <f>64.87*100000000</f>
        <v>6487000000</v>
      </c>
      <c r="AE682" s="8">
        <f t="shared" si="332"/>
        <v>1.8179843614248479</v>
      </c>
      <c r="AF682" s="6" t="s">
        <v>3025</v>
      </c>
      <c r="AG682" s="6" t="str">
        <f t="shared" si="316"/>
        <v>=23.02*100000000</v>
      </c>
      <c r="AH682" s="1">
        <f>23.02*100000000</f>
        <v>2302000000</v>
      </c>
      <c r="AI682" s="8">
        <f t="shared" si="333"/>
        <v>-0.84350781781101292</v>
      </c>
      <c r="AJ682" s="6" t="s">
        <v>7924</v>
      </c>
      <c r="AK682" s="6" t="str">
        <f t="shared" si="317"/>
        <v>=147.1*100000000</v>
      </c>
      <c r="AL682" s="1">
        <f>147.1*100000000</f>
        <v>14710000000</v>
      </c>
      <c r="AM682" s="8">
        <f t="shared" si="334"/>
        <v>0.82393056416614985</v>
      </c>
      <c r="AN682" s="6" t="s">
        <v>7925</v>
      </c>
      <c r="AO682" s="6" t="str">
        <f t="shared" si="318"/>
        <v>=80.65*100000000</v>
      </c>
      <c r="AP682" s="1">
        <f>80.65*100000000</f>
        <v>8065000000.000001</v>
      </c>
      <c r="AQ682" s="8">
        <f t="shared" si="335"/>
        <v>0.76902829567887721</v>
      </c>
      <c r="AR682" s="6" t="s">
        <v>7926</v>
      </c>
      <c r="AS682" s="6" t="str">
        <f t="shared" si="319"/>
        <v>=45.59*100000000</v>
      </c>
      <c r="AT682" s="1">
        <f>45.59*100000000</f>
        <v>4559000000</v>
      </c>
      <c r="AU682" s="8">
        <f t="shared" si="336"/>
        <v>1.5412486064659976</v>
      </c>
      <c r="AV682" s="6" t="s">
        <v>7927</v>
      </c>
      <c r="AW682" s="6" t="str">
        <f t="shared" si="320"/>
        <v>=17.94*100000000</v>
      </c>
      <c r="AX682" s="1">
        <f>17.94*100000000</f>
        <v>1794000000.0000002</v>
      </c>
      <c r="AY682" s="10">
        <f t="shared" si="337"/>
        <v>-0.83764705882352941</v>
      </c>
      <c r="AZ682" s="6" t="s">
        <v>7928</v>
      </c>
      <c r="BA682" s="6" t="str">
        <f t="shared" si="321"/>
        <v>=110.5*100000000</v>
      </c>
      <c r="BB682" s="1">
        <f>110.5*100000000</f>
        <v>11050000000</v>
      </c>
      <c r="BC682" s="8">
        <f t="shared" si="338"/>
        <v>0.66115453998797358</v>
      </c>
      <c r="BD682" s="6" t="s">
        <v>7929</v>
      </c>
      <c r="BE682" s="6" t="str">
        <f t="shared" si="322"/>
        <v>=66.52*100000000</v>
      </c>
      <c r="BF682" s="1">
        <f>66.52*100000000</f>
        <v>6652000000</v>
      </c>
      <c r="BG682" s="8">
        <f t="shared" si="339"/>
        <v>0.86017897091722595</v>
      </c>
      <c r="BH682" s="6" t="s">
        <v>3954</v>
      </c>
      <c r="BI682" s="6" t="str">
        <f t="shared" si="323"/>
        <v>=35.76*100000000</v>
      </c>
      <c r="BJ682" s="1">
        <f>35.76*100000000</f>
        <v>3576000000</v>
      </c>
      <c r="BK682" s="6" t="s">
        <v>2956</v>
      </c>
      <c r="BL682" s="1" t="str">
        <f t="shared" si="325"/>
        <v>=12.56*100000000</v>
      </c>
      <c r="BM682" s="16">
        <f t="shared" si="340"/>
        <v>1.8471337579617835</v>
      </c>
      <c r="BN682" s="1">
        <f>12.56*100000000</f>
        <v>1256000000</v>
      </c>
    </row>
    <row r="683" spans="1:66">
      <c r="A683" s="18"/>
      <c r="B683">
        <v>600583</v>
      </c>
      <c r="C683" t="s">
        <v>48</v>
      </c>
      <c r="D683" s="6" t="s">
        <v>7930</v>
      </c>
      <c r="E683" s="7" t="str">
        <f t="shared" si="324"/>
        <v>=5.602*100000000</v>
      </c>
      <c r="F683" s="1">
        <f>5.602*100000000</f>
        <v>560200000</v>
      </c>
      <c r="G683" s="8">
        <f t="shared" si="326"/>
        <v>-0.18003512880562061</v>
      </c>
      <c r="H683" s="6" t="s">
        <v>7931</v>
      </c>
      <c r="I683" s="6" t="str">
        <f t="shared" si="310"/>
        <v>=6.832*100000000</v>
      </c>
      <c r="J683" s="1">
        <f>6.832*100000000</f>
        <v>683200000</v>
      </c>
      <c r="K683" s="10">
        <f t="shared" si="327"/>
        <v>0.39942646456370356</v>
      </c>
      <c r="L683" s="6" t="s">
        <v>6529</v>
      </c>
      <c r="M683" s="6" t="str">
        <f t="shared" si="311"/>
        <v>=4.882*100000000</v>
      </c>
      <c r="N683" s="1">
        <f>4.882*100000000</f>
        <v>488199999.99999994</v>
      </c>
      <c r="O683" s="8">
        <f t="shared" si="328"/>
        <v>2.6324404761904758</v>
      </c>
      <c r="P683" s="6" t="s">
        <v>7272</v>
      </c>
      <c r="Q683" s="6" t="str">
        <f t="shared" si="312"/>
        <v>=1.344*100000000</v>
      </c>
      <c r="R683" s="11">
        <f>1.344*100000000</f>
        <v>134400000</v>
      </c>
      <c r="S683" s="8">
        <f t="shared" si="329"/>
        <v>-0.7401894451962111</v>
      </c>
      <c r="T683" s="6" t="s">
        <v>7932</v>
      </c>
      <c r="U683" s="6" t="str">
        <f t="shared" si="313"/>
        <v>=5.173*100000000</v>
      </c>
      <c r="V683" s="1">
        <f>5.173*100000000</f>
        <v>517300000</v>
      </c>
      <c r="W683" s="8">
        <f t="shared" si="330"/>
        <v>2.7002861230329041</v>
      </c>
      <c r="X683" s="6" t="s">
        <v>108</v>
      </c>
      <c r="Y683" s="6" t="str">
        <f t="shared" si="314"/>
        <v>=1.398*100000000</v>
      </c>
      <c r="Z683" s="1">
        <f>1.398*100000000</f>
        <v>139800000</v>
      </c>
      <c r="AA683" s="8">
        <f t="shared" si="331"/>
        <v>-1.5772089182493807</v>
      </c>
      <c r="AB683" s="6">
        <f>-2.422*100000000</f>
        <v>-242200000.00000003</v>
      </c>
      <c r="AC683" s="6" t="str">
        <f t="shared" si="315"/>
        <v>=-242200000</v>
      </c>
      <c r="AD683" s="1">
        <f>-242200000</f>
        <v>-242200000</v>
      </c>
      <c r="AE683" s="8">
        <f t="shared" si="332"/>
        <v>-0.304222924446998</v>
      </c>
      <c r="AF683" s="6">
        <f>-3.481*100000000</f>
        <v>-348100000</v>
      </c>
      <c r="AG683" s="6" t="str">
        <f t="shared" si="316"/>
        <v>=-348100000</v>
      </c>
      <c r="AH683" s="1">
        <f>-348100000</f>
        <v>-348100000</v>
      </c>
      <c r="AI683" s="8">
        <f t="shared" si="333"/>
        <v>-2.9446927374301675</v>
      </c>
      <c r="AJ683" s="6" t="s">
        <v>1745</v>
      </c>
      <c r="AK683" s="6" t="str">
        <f t="shared" si="317"/>
        <v>=1.790*100000000</v>
      </c>
      <c r="AL683" s="1">
        <f>1.79*100000000</f>
        <v>179000000</v>
      </c>
      <c r="AM683" s="8">
        <f t="shared" si="334"/>
        <v>-1.2672838584440795</v>
      </c>
      <c r="AN683" s="6">
        <f>-6.697*100000000</f>
        <v>-669700000</v>
      </c>
      <c r="AO683" s="6" t="str">
        <f t="shared" si="318"/>
        <v>=-669700000</v>
      </c>
      <c r="AP683" s="1">
        <f>-669700000</f>
        <v>-669700000</v>
      </c>
      <c r="AQ683" s="8">
        <f t="shared" si="335"/>
        <v>-0.1067093504068294</v>
      </c>
      <c r="AR683" s="6">
        <f>-7.497*100000000</f>
        <v>-749700000</v>
      </c>
      <c r="AS683" s="6" t="str">
        <f t="shared" si="319"/>
        <v>=-749700000</v>
      </c>
      <c r="AT683" s="1">
        <f>-749700000</f>
        <v>-749700000</v>
      </c>
      <c r="AU683" s="8">
        <f t="shared" si="336"/>
        <v>1.5115577889447236</v>
      </c>
      <c r="AV683" s="6">
        <f>-2.985*100000000</f>
        <v>-298500000</v>
      </c>
      <c r="AW683" s="6" t="str">
        <f t="shared" si="320"/>
        <v>=-298500000</v>
      </c>
      <c r="AX683" s="1">
        <f>-298500000</f>
        <v>-298500000</v>
      </c>
      <c r="AY683" s="10">
        <f t="shared" si="337"/>
        <v>-3.86468330134357</v>
      </c>
      <c r="AZ683" s="6" t="s">
        <v>1464</v>
      </c>
      <c r="BA683" s="6" t="str">
        <f t="shared" si="321"/>
        <v>=1.042*100000000</v>
      </c>
      <c r="BB683" s="1">
        <f>1.042*100000000</f>
        <v>104200000</v>
      </c>
      <c r="BC683" s="8">
        <f t="shared" si="338"/>
        <v>-1.6311326468806784</v>
      </c>
      <c r="BD683" s="6">
        <f>-1.651*100000000</f>
        <v>-165100000</v>
      </c>
      <c r="BE683" s="6" t="str">
        <f t="shared" si="322"/>
        <v>=-165100000</v>
      </c>
      <c r="BF683" s="1">
        <f>-165100000</f>
        <v>-165100000</v>
      </c>
      <c r="BG683" s="8">
        <f t="shared" si="339"/>
        <v>-0.1476510067114094</v>
      </c>
      <c r="BH683" s="6">
        <f>-1.937*100000000</f>
        <v>-193700000</v>
      </c>
      <c r="BI683" s="6" t="str">
        <f t="shared" si="323"/>
        <v>=-193700000</v>
      </c>
      <c r="BJ683" s="1">
        <f>-193700000</f>
        <v>-193700000</v>
      </c>
      <c r="BK683" s="6">
        <f>-4.239*100000000</f>
        <v>-423900000</v>
      </c>
      <c r="BL683" s="1" t="str">
        <f t="shared" si="325"/>
        <v>=-423900000</v>
      </c>
      <c r="BM683" s="16">
        <f t="shared" si="340"/>
        <v>-0.54305260674687428</v>
      </c>
      <c r="BN683" s="1">
        <f>-423900000</f>
        <v>-423900000</v>
      </c>
    </row>
    <row r="684" spans="1:66">
      <c r="A684" s="18"/>
      <c r="B684">
        <v>600583</v>
      </c>
      <c r="C684" t="s">
        <v>58</v>
      </c>
      <c r="D684" s="6" t="s">
        <v>1128</v>
      </c>
      <c r="E684" s="7" t="str">
        <f t="shared" si="324"/>
        <v>=5.725*100000000</v>
      </c>
      <c r="F684" s="1">
        <f>5.725*100000000</f>
        <v>572500000</v>
      </c>
      <c r="G684" s="8">
        <f t="shared" si="326"/>
        <v>-0.17065044183688252</v>
      </c>
      <c r="H684" s="6" t="s">
        <v>893</v>
      </c>
      <c r="I684" s="6" t="str">
        <f t="shared" si="310"/>
        <v>=6.903*100000000</v>
      </c>
      <c r="J684" s="1">
        <f>6.903*100000000</f>
        <v>690300000</v>
      </c>
      <c r="K684" s="10">
        <f t="shared" si="327"/>
        <v>0.40077110389610388</v>
      </c>
      <c r="L684" s="6" t="s">
        <v>7933</v>
      </c>
      <c r="M684" s="6" t="str">
        <f t="shared" si="311"/>
        <v>=4.928*100000000</v>
      </c>
      <c r="N684" s="1">
        <f>4.928*100000000</f>
        <v>492800000</v>
      </c>
      <c r="O684" s="8">
        <f t="shared" si="328"/>
        <v>2.5250357653791129</v>
      </c>
      <c r="P684" s="6" t="s">
        <v>108</v>
      </c>
      <c r="Q684" s="6" t="str">
        <f t="shared" si="312"/>
        <v>=1.398*100000000</v>
      </c>
      <c r="R684" s="11">
        <f>1.398*100000000</f>
        <v>139800000</v>
      </c>
      <c r="S684" s="8">
        <f t="shared" si="329"/>
        <v>-0.74082313681868739</v>
      </c>
      <c r="T684" s="6" t="s">
        <v>7934</v>
      </c>
      <c r="U684" s="6" t="str">
        <f t="shared" si="313"/>
        <v>=5.394*100000000</v>
      </c>
      <c r="V684" s="1">
        <f>5.394*100000000</f>
        <v>539400000</v>
      </c>
      <c r="W684" s="8">
        <f t="shared" si="330"/>
        <v>2.5651024454725713</v>
      </c>
      <c r="X684" s="6" t="s">
        <v>1955</v>
      </c>
      <c r="Y684" s="6" t="str">
        <f t="shared" si="314"/>
        <v>=1.513*100000000</v>
      </c>
      <c r="Z684" s="1">
        <f>1.513*100000000</f>
        <v>151300000</v>
      </c>
      <c r="AA684" s="8">
        <f t="shared" si="331"/>
        <v>-1.6367845117845117</v>
      </c>
      <c r="AB684" s="6">
        <f>-2.376*100000000</f>
        <v>-237600000</v>
      </c>
      <c r="AC684" s="6" t="str">
        <f t="shared" si="315"/>
        <v>=-237600000</v>
      </c>
      <c r="AD684" s="1">
        <f>-237600000</f>
        <v>-237600000</v>
      </c>
      <c r="AE684" s="8">
        <f t="shared" si="332"/>
        <v>-0.31428571428571428</v>
      </c>
      <c r="AF684" s="6">
        <f>-3.465*100000000</f>
        <v>-346500000</v>
      </c>
      <c r="AG684" s="6" t="str">
        <f t="shared" si="316"/>
        <v>=-346500000</v>
      </c>
      <c r="AH684" s="1">
        <f>-346500000</f>
        <v>-346500000</v>
      </c>
      <c r="AI684" s="8">
        <f t="shared" si="333"/>
        <v>-2.6602779108768564</v>
      </c>
      <c r="AJ684" s="6" t="s">
        <v>7935</v>
      </c>
      <c r="AK684" s="6" t="str">
        <f t="shared" si="317"/>
        <v>=2.087*100000000</v>
      </c>
      <c r="AL684" s="1">
        <f>2.087*100000000</f>
        <v>208700000.00000003</v>
      </c>
      <c r="AM684" s="8">
        <f t="shared" si="334"/>
        <v>-1.3259409651725753</v>
      </c>
      <c r="AN684" s="6">
        <f>-6.403*100000000</f>
        <v>-640300000</v>
      </c>
      <c r="AO684" s="6" t="str">
        <f t="shared" si="318"/>
        <v>=-640300000</v>
      </c>
      <c r="AP684" s="1">
        <f>-640300000</f>
        <v>-640300000</v>
      </c>
      <c r="AQ684" s="8">
        <f t="shared" si="335"/>
        <v>-0.13984416980118217</v>
      </c>
      <c r="AR684" s="6">
        <f>-7.444*100000000</f>
        <v>-744400000</v>
      </c>
      <c r="AS684" s="6" t="str">
        <f t="shared" si="319"/>
        <v>=-744400000</v>
      </c>
      <c r="AT684" s="1">
        <f>-744400000</f>
        <v>-744400000</v>
      </c>
      <c r="AU684" s="8">
        <f t="shared" si="336"/>
        <v>1.5157147685028727</v>
      </c>
      <c r="AV684" s="6">
        <f>-2.959*100000000</f>
        <v>-295900000</v>
      </c>
      <c r="AW684" s="6" t="str">
        <f t="shared" si="320"/>
        <v>=-295900000</v>
      </c>
      <c r="AX684" s="1">
        <f>-295900000</f>
        <v>-295900000</v>
      </c>
      <c r="AY684" s="10">
        <f t="shared" si="337"/>
        <v>-3.2973602484472049</v>
      </c>
      <c r="AZ684" s="6" t="s">
        <v>4302</v>
      </c>
      <c r="BA684" s="6" t="str">
        <f t="shared" si="321"/>
        <v>=1.288*100000000</v>
      </c>
      <c r="BB684" s="1">
        <f>1.288*100000000</f>
        <v>128800000</v>
      </c>
      <c r="BC684" s="8">
        <f t="shared" si="338"/>
        <v>-1.9435897435897436</v>
      </c>
      <c r="BD684" s="6">
        <f>-1.365*100000000</f>
        <v>-136500000</v>
      </c>
      <c r="BE684" s="6" t="str">
        <f t="shared" si="322"/>
        <v>=-136500000</v>
      </c>
      <c r="BF684" s="1">
        <f>-136500000</f>
        <v>-136500000</v>
      </c>
      <c r="BG684" s="8">
        <f t="shared" si="339"/>
        <v>-0.25531914893617019</v>
      </c>
      <c r="BH684" s="6">
        <f>-1.833*100000000</f>
        <v>-183300000</v>
      </c>
      <c r="BI684" s="6" t="str">
        <f t="shared" si="323"/>
        <v>=-183300000</v>
      </c>
      <c r="BJ684" s="1">
        <f>-183300000</f>
        <v>-183300000</v>
      </c>
      <c r="BK684" s="6">
        <f>-3.997*100000000</f>
        <v>-399700000</v>
      </c>
      <c r="BL684" s="1" t="str">
        <f t="shared" si="325"/>
        <v>=-399700000</v>
      </c>
      <c r="BM684" s="16">
        <f t="shared" si="340"/>
        <v>-0.54140605454090573</v>
      </c>
      <c r="BN684" s="1">
        <f>-399700000</f>
        <v>-399700000</v>
      </c>
    </row>
    <row r="685" spans="1:66">
      <c r="A685" s="19"/>
      <c r="B685">
        <v>600583</v>
      </c>
      <c r="C685" t="s">
        <v>68</v>
      </c>
      <c r="D685" s="6" t="s">
        <v>7936</v>
      </c>
      <c r="E685" s="7" t="str">
        <f t="shared" si="324"/>
        <v>=3.720*100000000</v>
      </c>
      <c r="F685" s="1">
        <f>3.72*100000000</f>
        <v>372000000</v>
      </c>
      <c r="G685" s="8">
        <f t="shared" si="326"/>
        <v>-0.32876217971851318</v>
      </c>
      <c r="H685" s="6" t="s">
        <v>7937</v>
      </c>
      <c r="I685" s="6" t="str">
        <f t="shared" si="310"/>
        <v>=5.542*100000000</v>
      </c>
      <c r="J685" s="1">
        <f>5.542*100000000</f>
        <v>554200000</v>
      </c>
      <c r="K685" s="10">
        <f t="shared" si="327"/>
        <v>0.38480759620189903</v>
      </c>
      <c r="L685" s="6" t="s">
        <v>7502</v>
      </c>
      <c r="M685" s="6" t="str">
        <f t="shared" si="311"/>
        <v>=4.002*100000000</v>
      </c>
      <c r="N685" s="1">
        <f>4.002*100000000</f>
        <v>400200000</v>
      </c>
      <c r="O685" s="8">
        <f t="shared" si="328"/>
        <v>2.3377814845704754</v>
      </c>
      <c r="P685" s="6" t="s">
        <v>7938</v>
      </c>
      <c r="Q685" s="6" t="str">
        <f t="shared" si="312"/>
        <v>=1.199*100000000</v>
      </c>
      <c r="R685" s="11">
        <f>1.199*100000000</f>
        <v>119900000</v>
      </c>
      <c r="S685" s="8">
        <f t="shared" si="329"/>
        <v>-0.67195622435020519</v>
      </c>
      <c r="T685" s="6" t="s">
        <v>2365</v>
      </c>
      <c r="U685" s="6" t="str">
        <f t="shared" si="313"/>
        <v>=3.655*100000000</v>
      </c>
      <c r="V685" s="1">
        <f>3.655*100000000</f>
        <v>365500000</v>
      </c>
      <c r="W685" s="8">
        <f t="shared" si="330"/>
        <v>3.4912754976652742</v>
      </c>
      <c r="X685" s="7" t="s">
        <v>7939</v>
      </c>
      <c r="Y685" s="6" t="str">
        <f t="shared" si="314"/>
        <v>=8138*10000</v>
      </c>
      <c r="Z685" s="1">
        <f>8138*10000</f>
        <v>81380000</v>
      </c>
      <c r="AA685" s="8">
        <f t="shared" si="331"/>
        <v>-1.3348971193415637</v>
      </c>
      <c r="AB685" s="6">
        <f>-2.43*100000000</f>
        <v>-243000000.00000003</v>
      </c>
      <c r="AC685" s="6" t="str">
        <f t="shared" si="315"/>
        <v>=-243000000</v>
      </c>
      <c r="AD685" s="1">
        <f>-243000000</f>
        <v>-243000000</v>
      </c>
      <c r="AE685" s="8">
        <f t="shared" si="332"/>
        <v>-0.20013166556945358</v>
      </c>
      <c r="AF685" s="6">
        <f>-3.038*100000000</f>
        <v>-303800000</v>
      </c>
      <c r="AG685" s="6" t="str">
        <f t="shared" si="316"/>
        <v>=-303800000</v>
      </c>
      <c r="AH685" s="1">
        <f>-303800000</f>
        <v>-303800000</v>
      </c>
      <c r="AI685" s="8">
        <f t="shared" si="333"/>
        <v>-11.603839441535776</v>
      </c>
      <c r="AJ685" s="7" t="s">
        <v>7940</v>
      </c>
      <c r="AK685" s="6" t="str">
        <f t="shared" si="317"/>
        <v>=2865*10000</v>
      </c>
      <c r="AL685" s="1">
        <f>2865*10000</f>
        <v>28650000</v>
      </c>
      <c r="AM685" s="8">
        <f t="shared" si="334"/>
        <v>-1.0449623352165724</v>
      </c>
      <c r="AN685" s="6">
        <f>-6.372*100000000</f>
        <v>-637200000</v>
      </c>
      <c r="AO685" s="6" t="str">
        <f t="shared" si="318"/>
        <v>=-637200000</v>
      </c>
      <c r="AP685" s="1">
        <f>-637200000</f>
        <v>-637200000</v>
      </c>
      <c r="AQ685" s="8">
        <f t="shared" si="335"/>
        <v>-0.1100558659217877</v>
      </c>
      <c r="AR685" s="6">
        <f>-7.16*100000000</f>
        <v>-716000000</v>
      </c>
      <c r="AS685" s="6" t="str">
        <f t="shared" si="319"/>
        <v>=-716000000</v>
      </c>
      <c r="AT685" s="1">
        <f>-716000000</f>
        <v>-716000000</v>
      </c>
      <c r="AU685" s="8">
        <f t="shared" si="336"/>
        <v>1.7307398932112892</v>
      </c>
      <c r="AV685" s="6">
        <f>-2.622*100000000</f>
        <v>-262200000</v>
      </c>
      <c r="AW685" s="6" t="str">
        <f t="shared" si="320"/>
        <v>=-262200000</v>
      </c>
      <c r="AX685" s="1">
        <f>-262200000</f>
        <v>-262200000</v>
      </c>
      <c r="AY685" s="10">
        <f t="shared" si="337"/>
        <v>-4.2840681362725448</v>
      </c>
      <c r="AZ685" s="7" t="s">
        <v>7941</v>
      </c>
      <c r="BA685" s="6" t="str">
        <f t="shared" si="321"/>
        <v>=7984*10000</v>
      </c>
      <c r="BB685" s="1">
        <f>7984*10000</f>
        <v>79840000</v>
      </c>
      <c r="BC685" s="8">
        <f t="shared" si="338"/>
        <v>-1.5614627285513361</v>
      </c>
      <c r="BD685" s="6">
        <f>-1.422*100000000</f>
        <v>-142200000</v>
      </c>
      <c r="BE685" s="6" t="str">
        <f t="shared" si="322"/>
        <v>=-142200000</v>
      </c>
      <c r="BF685" s="1">
        <f>-142200000</f>
        <v>-142200000</v>
      </c>
      <c r="BG685" s="8">
        <f t="shared" si="339"/>
        <v>-0.22843190450352685</v>
      </c>
      <c r="BH685" s="6">
        <f>-1.843*100000000</f>
        <v>-184300000</v>
      </c>
      <c r="BI685" s="6" t="str">
        <f t="shared" si="323"/>
        <v>=-184300000</v>
      </c>
      <c r="BJ685" s="1">
        <f>-184300000</f>
        <v>-184300000</v>
      </c>
      <c r="BK685" s="6">
        <f>-3.617*100000000</f>
        <v>-361700000</v>
      </c>
      <c r="BL685" s="1" t="str">
        <f t="shared" si="325"/>
        <v>=-361700000</v>
      </c>
      <c r="BM685" s="16">
        <f t="shared" si="340"/>
        <v>-0.49046170859828586</v>
      </c>
      <c r="BN685" s="1">
        <f>-361700000</f>
        <v>-361700000</v>
      </c>
    </row>
    <row r="686" spans="1:66">
      <c r="A686" s="17">
        <v>173</v>
      </c>
      <c r="B686">
        <v>600584</v>
      </c>
      <c r="C686" t="s">
        <v>31</v>
      </c>
      <c r="D686" s="6" t="s">
        <v>7942</v>
      </c>
      <c r="E686" s="7" t="str">
        <f t="shared" si="324"/>
        <v>=305.0*100000000</v>
      </c>
      <c r="F686" s="1">
        <f>305*100000000</f>
        <v>30500000000</v>
      </c>
      <c r="G686" s="8">
        <f t="shared" si="326"/>
        <v>0.39142335766423358</v>
      </c>
      <c r="H686" s="6" t="s">
        <v>7943</v>
      </c>
      <c r="I686" s="6" t="str">
        <f t="shared" si="310"/>
        <v>=219.2*100000000</v>
      </c>
      <c r="J686" s="1">
        <f>219.2*100000000</f>
        <v>21920000000</v>
      </c>
      <c r="K686" s="10">
        <f t="shared" si="327"/>
        <v>0.58610709117221438</v>
      </c>
      <c r="L686" s="6" t="s">
        <v>2340</v>
      </c>
      <c r="M686" s="6" t="str">
        <f t="shared" si="311"/>
        <v>=138.2*100000000</v>
      </c>
      <c r="N686" s="1">
        <f>138.2*100000000</f>
        <v>13819999999.999998</v>
      </c>
      <c r="O686" s="8">
        <f t="shared" si="328"/>
        <v>1.0589988081048864</v>
      </c>
      <c r="P686" s="6" t="s">
        <v>7944</v>
      </c>
      <c r="Q686" s="6" t="str">
        <f t="shared" si="312"/>
        <v>=67.12*100000000</v>
      </c>
      <c r="R686" s="11">
        <f>67.12*100000000</f>
        <v>6712000000</v>
      </c>
      <c r="S686" s="8">
        <f t="shared" si="329"/>
        <v>-0.74633408919123212</v>
      </c>
      <c r="T686" s="6" t="s">
        <v>4729</v>
      </c>
      <c r="U686" s="6" t="str">
        <f t="shared" si="313"/>
        <v>=264.6*100000000</v>
      </c>
      <c r="V686" s="1">
        <f>264.6*100000000</f>
        <v>26460000000.000004</v>
      </c>
      <c r="W686" s="8">
        <f t="shared" si="330"/>
        <v>0.41044776119403004</v>
      </c>
      <c r="X686" s="6" t="s">
        <v>7945</v>
      </c>
      <c r="Y686" s="6" t="str">
        <f t="shared" si="314"/>
        <v>=187.6*100000000</v>
      </c>
      <c r="Z686" s="1">
        <f>187.6*100000000</f>
        <v>18760000000</v>
      </c>
      <c r="AA686" s="8">
        <f t="shared" si="331"/>
        <v>0.56594323873121866</v>
      </c>
      <c r="AB686" s="6" t="s">
        <v>3111</v>
      </c>
      <c r="AC686" s="6" t="str">
        <f t="shared" si="315"/>
        <v>=119.8*100000000</v>
      </c>
      <c r="AD686" s="1">
        <f>119.8*100000000</f>
        <v>11980000000</v>
      </c>
      <c r="AE686" s="8">
        <f t="shared" si="332"/>
        <v>1.0988086895585143</v>
      </c>
      <c r="AF686" s="6" t="s">
        <v>7946</v>
      </c>
      <c r="AG686" s="6" t="str">
        <f t="shared" si="316"/>
        <v>=57.08*100000000</v>
      </c>
      <c r="AH686" s="1">
        <f>57.08*100000000</f>
        <v>5708000000</v>
      </c>
      <c r="AI686" s="8">
        <f t="shared" si="333"/>
        <v>-0.75741606459838506</v>
      </c>
      <c r="AJ686" s="6" t="s">
        <v>687</v>
      </c>
      <c r="AK686" s="6" t="str">
        <f t="shared" si="317"/>
        <v>=235.3*100000000</v>
      </c>
      <c r="AL686" s="1">
        <f>235.3*100000000</f>
        <v>23530000000</v>
      </c>
      <c r="AM686" s="8">
        <f t="shared" si="334"/>
        <v>0.45246913580246911</v>
      </c>
      <c r="AN686" s="6" t="s">
        <v>5381</v>
      </c>
      <c r="AO686" s="6" t="str">
        <f t="shared" si="318"/>
        <v>=162.0*100000000</v>
      </c>
      <c r="AP686" s="1">
        <f>162*100000000</f>
        <v>16200000000</v>
      </c>
      <c r="AQ686" s="8">
        <f t="shared" si="335"/>
        <v>0.77087888062964582</v>
      </c>
      <c r="AR686" s="6" t="s">
        <v>7947</v>
      </c>
      <c r="AS686" s="6" t="str">
        <f t="shared" si="319"/>
        <v>=91.48*100000000</v>
      </c>
      <c r="AT686" s="1">
        <f>91.48*100000000</f>
        <v>9148000000</v>
      </c>
      <c r="AU686" s="8">
        <f t="shared" si="336"/>
        <v>1.0261351052048726</v>
      </c>
      <c r="AV686" s="6" t="s">
        <v>7948</v>
      </c>
      <c r="AW686" s="6" t="str">
        <f t="shared" si="320"/>
        <v>=45.15*100000000</v>
      </c>
      <c r="AX686" s="1">
        <f>45.15*100000000</f>
        <v>4515000000</v>
      </c>
      <c r="AY686" s="10">
        <f t="shared" si="337"/>
        <v>-0.81077116512992453</v>
      </c>
      <c r="AZ686" s="6" t="s">
        <v>7949</v>
      </c>
      <c r="BA686" s="6" t="str">
        <f t="shared" si="321"/>
        <v>=238.6*100000000</v>
      </c>
      <c r="BB686" s="1">
        <f>238.6*100000000</f>
        <v>23860000000</v>
      </c>
      <c r="BC686" s="8">
        <f t="shared" si="338"/>
        <v>0.31896075179657268</v>
      </c>
      <c r="BD686" s="6" t="s">
        <v>7950</v>
      </c>
      <c r="BE686" s="6" t="str">
        <f t="shared" si="322"/>
        <v>=180.9*100000000</v>
      </c>
      <c r="BF686" s="1">
        <f>180.9*100000000</f>
        <v>18090000000</v>
      </c>
      <c r="BG686" s="8">
        <f t="shared" si="339"/>
        <v>0.60088495575221235</v>
      </c>
      <c r="BH686" s="6" t="s">
        <v>7951</v>
      </c>
      <c r="BI686" s="6" t="str">
        <f t="shared" si="323"/>
        <v>=113.0*100000000</v>
      </c>
      <c r="BJ686" s="1">
        <f>113*100000000</f>
        <v>11300000000</v>
      </c>
      <c r="BK686" s="6" t="s">
        <v>7952</v>
      </c>
      <c r="BL686" s="1" t="str">
        <f t="shared" si="325"/>
        <v>=54.90*100000000</v>
      </c>
      <c r="BM686" s="16">
        <f t="shared" si="340"/>
        <v>1.0582877959927139</v>
      </c>
      <c r="BN686" s="1">
        <f>54.9*100000000</f>
        <v>5490000000</v>
      </c>
    </row>
    <row r="687" spans="1:66">
      <c r="A687" s="18"/>
      <c r="B687">
        <v>600584</v>
      </c>
      <c r="C687" t="s">
        <v>48</v>
      </c>
      <c r="D687" s="6" t="s">
        <v>7953</v>
      </c>
      <c r="E687" s="7" t="str">
        <f t="shared" si="324"/>
        <v>=31.70*100000000</v>
      </c>
      <c r="F687" s="1">
        <f>31.7*100000000</f>
        <v>3170000000</v>
      </c>
      <c r="G687" s="8">
        <f t="shared" si="326"/>
        <v>0.35238907849829354</v>
      </c>
      <c r="H687" s="6" t="s">
        <v>7088</v>
      </c>
      <c r="I687" s="6" t="str">
        <f t="shared" si="310"/>
        <v>=23.44*100000000</v>
      </c>
      <c r="J687" s="1">
        <f>23.44*100000000</f>
        <v>2344000000</v>
      </c>
      <c r="K687" s="10">
        <f t="shared" si="327"/>
        <v>0.6132140399174123</v>
      </c>
      <c r="L687" s="6" t="s">
        <v>7428</v>
      </c>
      <c r="M687" s="6" t="str">
        <f t="shared" si="311"/>
        <v>=14.53*100000000</v>
      </c>
      <c r="N687" s="1">
        <f>14.53*100000000</f>
        <v>1453000000</v>
      </c>
      <c r="O687" s="8">
        <f t="shared" si="328"/>
        <v>2.2903079710144922</v>
      </c>
      <c r="P687" s="6" t="s">
        <v>7954</v>
      </c>
      <c r="Q687" s="6" t="str">
        <f t="shared" si="312"/>
        <v>=4.416*100000000</v>
      </c>
      <c r="R687" s="11">
        <f>4.416*100000000</f>
        <v>441600000.00000006</v>
      </c>
      <c r="S687" s="8">
        <f t="shared" si="329"/>
        <v>-0.69460580912863068</v>
      </c>
      <c r="T687" s="6" t="s">
        <v>7955</v>
      </c>
      <c r="U687" s="6" t="str">
        <f t="shared" si="313"/>
        <v>=14.46*100000000</v>
      </c>
      <c r="V687" s="1">
        <f>14.46*100000000</f>
        <v>1446000000</v>
      </c>
      <c r="W687" s="8">
        <f t="shared" si="330"/>
        <v>0.62782843633907481</v>
      </c>
      <c r="X687" s="6" t="s">
        <v>7956</v>
      </c>
      <c r="Y687" s="6" t="str">
        <f t="shared" si="314"/>
        <v>=8.883*100000000</v>
      </c>
      <c r="Z687" s="1">
        <f>8.883*100000000</f>
        <v>888299999.99999988</v>
      </c>
      <c r="AA687" s="8">
        <f t="shared" si="331"/>
        <v>1.0759523253096515</v>
      </c>
      <c r="AB687" s="6" t="s">
        <v>6340</v>
      </c>
      <c r="AC687" s="6" t="str">
        <f t="shared" si="315"/>
        <v>=4.279*100000000</v>
      </c>
      <c r="AD687" s="1">
        <f>4.279*100000000</f>
        <v>427900000</v>
      </c>
      <c r="AE687" s="8">
        <f t="shared" si="332"/>
        <v>1.7553122987765615</v>
      </c>
      <c r="AF687" s="6" t="s">
        <v>1639</v>
      </c>
      <c r="AG687" s="6" t="str">
        <f t="shared" si="316"/>
        <v>=1.553*100000000</v>
      </c>
      <c r="AH687" s="1">
        <f>1.553*100000000</f>
        <v>155300000</v>
      </c>
      <c r="AI687" s="8">
        <f t="shared" si="333"/>
        <v>0.2424</v>
      </c>
      <c r="AJ687" s="6" t="s">
        <v>2838</v>
      </c>
      <c r="AK687" s="6" t="str">
        <f t="shared" si="317"/>
        <v>=1.250*100000000</v>
      </c>
      <c r="AL687" s="1">
        <f>1.25*100000000</f>
        <v>125000000</v>
      </c>
      <c r="AM687" s="8">
        <f t="shared" si="334"/>
        <v>-1.3366549959601401</v>
      </c>
      <c r="AN687" s="6">
        <f>-3.713*100000000</f>
        <v>-371300000</v>
      </c>
      <c r="AO687" s="6" t="str">
        <f t="shared" si="318"/>
        <v>=-371300000</v>
      </c>
      <c r="AP687" s="1">
        <f>-371300000</f>
        <v>-371300000</v>
      </c>
      <c r="AQ687" s="8">
        <f t="shared" si="335"/>
        <v>-0.19089126171279147</v>
      </c>
      <c r="AR687" s="6">
        <f>-4.589*100000000</f>
        <v>-458900000.00000006</v>
      </c>
      <c r="AS687" s="6" t="str">
        <f t="shared" si="319"/>
        <v>=-458900000</v>
      </c>
      <c r="AT687" s="1">
        <f>-458900000</f>
        <v>-458900000</v>
      </c>
      <c r="AU687" s="8">
        <f t="shared" si="336"/>
        <v>1.0180299032541777</v>
      </c>
      <c r="AV687" s="6">
        <f>-2.274*100000000</f>
        <v>-227400000</v>
      </c>
      <c r="AW687" s="6" t="str">
        <f t="shared" si="320"/>
        <v>=-227400000</v>
      </c>
      <c r="AX687" s="1">
        <f>-227400000</f>
        <v>-227400000</v>
      </c>
      <c r="AY687" s="10">
        <f t="shared" si="337"/>
        <v>-0.71709380442896242</v>
      </c>
      <c r="AZ687" s="6">
        <f>-8.038*100000000</f>
        <v>-803800000</v>
      </c>
      <c r="BA687" s="6" t="str">
        <f t="shared" si="321"/>
        <v>=-803800000</v>
      </c>
      <c r="BB687" s="1">
        <f>-803800000</f>
        <v>-803800000</v>
      </c>
      <c r="BC687" s="8">
        <f t="shared" si="338"/>
        <v>-8.8114674441205061</v>
      </c>
      <c r="BD687" s="6" t="s">
        <v>2867</v>
      </c>
      <c r="BE687" s="6" t="str">
        <f t="shared" si="322"/>
        <v>=1.029*100000000</v>
      </c>
      <c r="BF687" s="1">
        <f>1.029*100000000</f>
        <v>102899999.99999999</v>
      </c>
      <c r="BG687" s="8">
        <f t="shared" si="339"/>
        <v>0.72651006711409372</v>
      </c>
      <c r="BH687" s="7" t="s">
        <v>7957</v>
      </c>
      <c r="BI687" s="6" t="str">
        <f t="shared" si="323"/>
        <v>=5960*10000</v>
      </c>
      <c r="BJ687" s="1">
        <f>5960*10000</f>
        <v>59600000</v>
      </c>
      <c r="BK687" s="7" t="s">
        <v>6829</v>
      </c>
      <c r="BL687" s="1" t="str">
        <f t="shared" si="325"/>
        <v>=1100*10000</v>
      </c>
      <c r="BM687" s="16">
        <f t="shared" si="340"/>
        <v>4.418181818181818</v>
      </c>
      <c r="BN687" s="1">
        <f>1100*10000</f>
        <v>11000000</v>
      </c>
    </row>
    <row r="688" spans="1:66">
      <c r="A688" s="18"/>
      <c r="B688">
        <v>600584</v>
      </c>
      <c r="C688" t="s">
        <v>58</v>
      </c>
      <c r="D688" s="6" t="s">
        <v>151</v>
      </c>
      <c r="E688" s="7" t="str">
        <f t="shared" si="324"/>
        <v>=31.71*100000000</v>
      </c>
      <c r="F688" s="1">
        <f>31.71*100000000</f>
        <v>3171000000</v>
      </c>
      <c r="G688" s="8">
        <f t="shared" si="326"/>
        <v>0.35570756733646858</v>
      </c>
      <c r="H688" s="6" t="s">
        <v>622</v>
      </c>
      <c r="I688" s="6" t="str">
        <f t="shared" si="310"/>
        <v>=23.39*100000000</v>
      </c>
      <c r="J688" s="1">
        <f>23.39*100000000</f>
        <v>2339000000</v>
      </c>
      <c r="K688" s="10">
        <f t="shared" si="327"/>
        <v>0.60645604395604391</v>
      </c>
      <c r="L688" s="6" t="s">
        <v>236</v>
      </c>
      <c r="M688" s="6" t="str">
        <f t="shared" si="311"/>
        <v>=14.56*100000000</v>
      </c>
      <c r="N688" s="1">
        <f>14.56*100000000</f>
        <v>1456000000</v>
      </c>
      <c r="O688" s="8">
        <f t="shared" si="328"/>
        <v>2.3121019108280256</v>
      </c>
      <c r="P688" s="6" t="s">
        <v>7958</v>
      </c>
      <c r="Q688" s="6" t="str">
        <f t="shared" si="312"/>
        <v>=4.396*100000000</v>
      </c>
      <c r="R688" s="11">
        <f>4.396*100000000</f>
        <v>439600000</v>
      </c>
      <c r="S688" s="8">
        <f t="shared" si="329"/>
        <v>-0.6928022361984626</v>
      </c>
      <c r="T688" s="6" t="s">
        <v>4352</v>
      </c>
      <c r="U688" s="6" t="str">
        <f t="shared" si="313"/>
        <v>=14.31*100000000</v>
      </c>
      <c r="V688" s="1">
        <f>14.31*100000000</f>
        <v>1431000000</v>
      </c>
      <c r="W688" s="8">
        <f t="shared" si="330"/>
        <v>0.63861216076949501</v>
      </c>
      <c r="X688" s="6" t="s">
        <v>7959</v>
      </c>
      <c r="Y688" s="6" t="str">
        <f t="shared" si="314"/>
        <v>=8.733*100000000</v>
      </c>
      <c r="Z688" s="1">
        <f>8.733*100000000</f>
        <v>873300000</v>
      </c>
      <c r="AA688" s="8">
        <f t="shared" si="331"/>
        <v>1.0758260042785832</v>
      </c>
      <c r="AB688" s="6" t="s">
        <v>3496</v>
      </c>
      <c r="AC688" s="6" t="str">
        <f t="shared" si="315"/>
        <v>=4.207*100000000</v>
      </c>
      <c r="AD688" s="1">
        <f>4.207*100000000</f>
        <v>420700000</v>
      </c>
      <c r="AE688" s="8">
        <f t="shared" si="332"/>
        <v>1.8140468227424749</v>
      </c>
      <c r="AF688" s="6" t="s">
        <v>6976</v>
      </c>
      <c r="AG688" s="6" t="str">
        <f t="shared" si="316"/>
        <v>=1.495*100000000</v>
      </c>
      <c r="AH688" s="1">
        <f>1.495*100000000</f>
        <v>149500000</v>
      </c>
      <c r="AI688" s="8">
        <f t="shared" si="333"/>
        <v>0.86014682095309192</v>
      </c>
      <c r="AJ688" s="7" t="s">
        <v>7960</v>
      </c>
      <c r="AK688" s="6" t="str">
        <f t="shared" si="317"/>
        <v>=8037*10000</v>
      </c>
      <c r="AL688" s="1">
        <f>8037*10000</f>
        <v>80370000</v>
      </c>
      <c r="AM688" s="8">
        <f t="shared" si="334"/>
        <v>-1.2144343649946638</v>
      </c>
      <c r="AN688" s="6">
        <f>-3.748*100000000</f>
        <v>-374800000</v>
      </c>
      <c r="AO688" s="6" t="str">
        <f t="shared" si="318"/>
        <v>=-374800000</v>
      </c>
      <c r="AP688" s="1">
        <f>-374800000</f>
        <v>-374800000</v>
      </c>
      <c r="AQ688" s="8">
        <f t="shared" si="335"/>
        <v>-0.18909562959757681</v>
      </c>
      <c r="AR688" s="6">
        <f>-4.622*100000000</f>
        <v>-462200000</v>
      </c>
      <c r="AS688" s="6" t="str">
        <f t="shared" si="319"/>
        <v>=-462200000</v>
      </c>
      <c r="AT688" s="1">
        <f>-462200000</f>
        <v>-462200000</v>
      </c>
      <c r="AU688" s="8">
        <f t="shared" si="336"/>
        <v>1.0060763888888888</v>
      </c>
      <c r="AV688" s="6">
        <f>-2.304*100000000</f>
        <v>-230399999.99999997</v>
      </c>
      <c r="AW688" s="6" t="str">
        <f t="shared" si="320"/>
        <v>=-230400000</v>
      </c>
      <c r="AX688" s="1">
        <f>-230400000</f>
        <v>-230400000</v>
      </c>
      <c r="AY688" s="10">
        <f t="shared" si="337"/>
        <v>-0.71660516605166047</v>
      </c>
      <c r="AZ688" s="6">
        <f>-8.13*100000000</f>
        <v>-813000000.00000012</v>
      </c>
      <c r="BA688" s="6" t="str">
        <f t="shared" si="321"/>
        <v>=-813000000</v>
      </c>
      <c r="BB688" s="1">
        <f>-813000000</f>
        <v>-813000000</v>
      </c>
      <c r="BC688" s="8">
        <f t="shared" si="338"/>
        <v>-9.1430288461538467</v>
      </c>
      <c r="BD688" s="7" t="s">
        <v>7961</v>
      </c>
      <c r="BE688" s="6" t="str">
        <f t="shared" si="322"/>
        <v>=9984*10000</v>
      </c>
      <c r="BF688" s="1">
        <f>9984*10000</f>
        <v>99840000</v>
      </c>
      <c r="BG688" s="8">
        <f t="shared" si="339"/>
        <v>0.7931034482758621</v>
      </c>
      <c r="BH688" s="7" t="s">
        <v>7962</v>
      </c>
      <c r="BI688" s="6" t="str">
        <f t="shared" si="323"/>
        <v>=5568*10000</v>
      </c>
      <c r="BJ688" s="1">
        <f>5568*10000</f>
        <v>55680000</v>
      </c>
      <c r="BK688" s="7" t="s">
        <v>7963</v>
      </c>
      <c r="BL688" s="1" t="str">
        <f t="shared" si="325"/>
        <v>=1001*10000</v>
      </c>
      <c r="BM688" s="16">
        <f t="shared" si="340"/>
        <v>4.5624375624375624</v>
      </c>
      <c r="BN688" s="1">
        <f>1001*10000</f>
        <v>10010000</v>
      </c>
    </row>
    <row r="689" spans="1:66">
      <c r="A689" s="19"/>
      <c r="B689">
        <v>600584</v>
      </c>
      <c r="C689" t="s">
        <v>68</v>
      </c>
      <c r="D689" s="6" t="s">
        <v>7964</v>
      </c>
      <c r="E689" s="7" t="str">
        <f t="shared" si="324"/>
        <v>=29.60*100000000</v>
      </c>
      <c r="F689" s="1">
        <f>29.6*100000000</f>
        <v>2960000000</v>
      </c>
      <c r="G689" s="8">
        <f t="shared" si="326"/>
        <v>0.39820500708549816</v>
      </c>
      <c r="H689" s="6" t="s">
        <v>214</v>
      </c>
      <c r="I689" s="6" t="str">
        <f t="shared" si="310"/>
        <v>=21.17*100000000</v>
      </c>
      <c r="J689" s="1">
        <f>21.17*100000000</f>
        <v>2117000000.0000002</v>
      </c>
      <c r="K689" s="10">
        <f t="shared" si="327"/>
        <v>0.60015117157974318</v>
      </c>
      <c r="L689" s="6" t="s">
        <v>7965</v>
      </c>
      <c r="M689" s="6" t="str">
        <f t="shared" si="311"/>
        <v>=13.23*100000000</v>
      </c>
      <c r="N689" s="1">
        <f>13.23*100000000</f>
        <v>1323000000</v>
      </c>
      <c r="O689" s="8">
        <f t="shared" si="328"/>
        <v>2.4221417485773409</v>
      </c>
      <c r="P689" s="6" t="s">
        <v>1222</v>
      </c>
      <c r="Q689" s="6" t="str">
        <f t="shared" si="312"/>
        <v>=3.866*100000000</v>
      </c>
      <c r="R689" s="11">
        <f>3.866*100000000</f>
        <v>386600000</v>
      </c>
      <c r="S689" s="8">
        <f t="shared" si="329"/>
        <v>-0.70398162327718228</v>
      </c>
      <c r="T689" s="6" t="s">
        <v>1359</v>
      </c>
      <c r="U689" s="6" t="str">
        <f t="shared" si="313"/>
        <v>=13.06*100000000</v>
      </c>
      <c r="V689" s="1">
        <f>13.06*100000000</f>
        <v>1306000000</v>
      </c>
      <c r="W689" s="8">
        <f t="shared" si="330"/>
        <v>0.70674333507579723</v>
      </c>
      <c r="X689" s="6" t="s">
        <v>7966</v>
      </c>
      <c r="Y689" s="6" t="str">
        <f t="shared" si="314"/>
        <v>=7.652*100000000</v>
      </c>
      <c r="Z689" s="1">
        <f>7.652*100000000</f>
        <v>765200000</v>
      </c>
      <c r="AA689" s="8">
        <f t="shared" si="331"/>
        <v>1.0855819024257292</v>
      </c>
      <c r="AB689" s="6" t="s">
        <v>7967</v>
      </c>
      <c r="AC689" s="6" t="str">
        <f t="shared" si="315"/>
        <v>=3.669*100000000</v>
      </c>
      <c r="AD689" s="1">
        <f>3.669*100000000</f>
        <v>366900000</v>
      </c>
      <c r="AE689" s="8">
        <f t="shared" si="332"/>
        <v>1.7360178970917226</v>
      </c>
      <c r="AF689" s="6" t="s">
        <v>7968</v>
      </c>
      <c r="AG689" s="6" t="str">
        <f t="shared" si="316"/>
        <v>=1.341*100000000</v>
      </c>
      <c r="AH689" s="1">
        <f>1.341*100000000</f>
        <v>134100000</v>
      </c>
      <c r="AI689" s="8">
        <f t="shared" si="333"/>
        <v>0.38748060010346613</v>
      </c>
      <c r="AJ689" s="7" t="s">
        <v>7969</v>
      </c>
      <c r="AK689" s="6" t="str">
        <f t="shared" si="317"/>
        <v>=9665*10000</v>
      </c>
      <c r="AL689" s="1">
        <f>9665*10000</f>
        <v>96650000</v>
      </c>
      <c r="AM689" s="8">
        <f t="shared" si="334"/>
        <v>-1.5348644161593803</v>
      </c>
      <c r="AN689" s="6">
        <f>-1.807*100000000</f>
        <v>-180700000</v>
      </c>
      <c r="AO689" s="6" t="str">
        <f t="shared" si="318"/>
        <v>=-180700000</v>
      </c>
      <c r="AP689" s="1">
        <f>-180700000</f>
        <v>-180700000</v>
      </c>
      <c r="AQ689" s="8">
        <f t="shared" si="335"/>
        <v>-0.29961240310077519</v>
      </c>
      <c r="AR689" s="6">
        <f>-2.58*100000000</f>
        <v>-258000000</v>
      </c>
      <c r="AS689" s="6" t="str">
        <f t="shared" si="319"/>
        <v>=-258000000</v>
      </c>
      <c r="AT689" s="1">
        <f>-258000000</f>
        <v>-258000000</v>
      </c>
      <c r="AU689" s="8">
        <f t="shared" si="336"/>
        <v>4.6013894919669998</v>
      </c>
      <c r="AV689" s="7">
        <f>-4606*10000</f>
        <v>-46060000</v>
      </c>
      <c r="AW689" s="6" t="str">
        <f t="shared" si="320"/>
        <v>=-46060000</v>
      </c>
      <c r="AX689" s="1">
        <f>-46060000</f>
        <v>-46060000</v>
      </c>
      <c r="AY689" s="10">
        <f t="shared" si="337"/>
        <v>-0.95029138786963085</v>
      </c>
      <c r="AZ689" s="6">
        <f>-9.266*100000000</f>
        <v>-926600000</v>
      </c>
      <c r="BA689" s="6" t="str">
        <f t="shared" si="321"/>
        <v>=-926600000</v>
      </c>
      <c r="BB689" s="1">
        <f>-926600000</f>
        <v>-926600000</v>
      </c>
      <c r="BC689" s="8">
        <f t="shared" si="338"/>
        <v>-30.083490269930948</v>
      </c>
      <c r="BD689" s="7" t="s">
        <v>7970</v>
      </c>
      <c r="BE689" s="6" t="str">
        <f t="shared" si="322"/>
        <v>=3186*10000</v>
      </c>
      <c r="BF689" s="1">
        <f>3186*10000</f>
        <v>31860000</v>
      </c>
      <c r="BG689" s="8">
        <f t="shared" si="339"/>
        <v>0.5369030390738061</v>
      </c>
      <c r="BH689" s="7" t="s">
        <v>7971</v>
      </c>
      <c r="BI689" s="6" t="str">
        <f t="shared" si="323"/>
        <v>=2073*10000</v>
      </c>
      <c r="BJ689" s="1">
        <f>2073*10000</f>
        <v>20730000</v>
      </c>
      <c r="BK689" s="7" t="s">
        <v>7972</v>
      </c>
      <c r="BL689" s="1" t="str">
        <f t="shared" si="325"/>
        <v>=957.5*10000</v>
      </c>
      <c r="BM689" s="16">
        <f t="shared" si="340"/>
        <v>1.1650130548302873</v>
      </c>
      <c r="BN689" s="1">
        <f>957.5*10000</f>
        <v>9575000</v>
      </c>
    </row>
    <row r="690" spans="1:66">
      <c r="A690" s="17">
        <v>174</v>
      </c>
      <c r="B690">
        <v>600585</v>
      </c>
      <c r="C690" t="s">
        <v>31</v>
      </c>
      <c r="D690" s="6" t="s">
        <v>7973</v>
      </c>
      <c r="E690" s="7" t="str">
        <f t="shared" si="324"/>
        <v>=1680*100000000</v>
      </c>
      <c r="F690" s="1">
        <f>1680*100000000</f>
        <v>168000000000</v>
      </c>
      <c r="G690" s="8">
        <f t="shared" si="326"/>
        <v>0.38044371405094496</v>
      </c>
      <c r="H690" s="6" t="s">
        <v>7974</v>
      </c>
      <c r="I690" s="6" t="str">
        <f t="shared" si="310"/>
        <v>=1217*100000000</v>
      </c>
      <c r="J690" s="1">
        <f>1217*100000000</f>
        <v>121700000000</v>
      </c>
      <c r="K690" s="10">
        <f t="shared" si="327"/>
        <v>0.51311699614571682</v>
      </c>
      <c r="L690" s="6" t="s">
        <v>7975</v>
      </c>
      <c r="M690" s="6" t="str">
        <f t="shared" si="311"/>
        <v>=804.3*100000000</v>
      </c>
      <c r="N690" s="1">
        <f>804.3*100000000</f>
        <v>80430000000</v>
      </c>
      <c r="O690" s="8">
        <f t="shared" si="328"/>
        <v>1.3353658536585367</v>
      </c>
      <c r="P690" s="6" t="s">
        <v>7976</v>
      </c>
      <c r="Q690" s="6" t="str">
        <f t="shared" si="312"/>
        <v>=344.4*100000000</v>
      </c>
      <c r="R690" s="11">
        <f>344.4*100000000</f>
        <v>34440000000</v>
      </c>
      <c r="S690" s="8">
        <f t="shared" si="329"/>
        <v>-0.8046511627906977</v>
      </c>
      <c r="T690" s="6" t="s">
        <v>7977</v>
      </c>
      <c r="U690" s="6" t="str">
        <f t="shared" si="313"/>
        <v>=1763*100000000</v>
      </c>
      <c r="V690" s="1">
        <f>1763*100000000</f>
        <v>176300000000</v>
      </c>
      <c r="W690" s="8">
        <f t="shared" si="330"/>
        <v>0.42062852538275586</v>
      </c>
      <c r="X690" s="6" t="s">
        <v>7978</v>
      </c>
      <c r="Y690" s="6" t="str">
        <f t="shared" si="314"/>
        <v>=1241*100000000</v>
      </c>
      <c r="Z690" s="1">
        <f>1241*100000000</f>
        <v>124100000000</v>
      </c>
      <c r="AA690" s="8">
        <f t="shared" si="331"/>
        <v>0.67680043237400356</v>
      </c>
      <c r="AB690" s="6" t="s">
        <v>7979</v>
      </c>
      <c r="AC690" s="6" t="str">
        <f t="shared" si="315"/>
        <v>=740.1*100000000</v>
      </c>
      <c r="AD690" s="1">
        <f>740.1*100000000</f>
        <v>74010000000</v>
      </c>
      <c r="AE690" s="8">
        <f t="shared" si="332"/>
        <v>2.188711762171478</v>
      </c>
      <c r="AF690" s="6" t="s">
        <v>7980</v>
      </c>
      <c r="AG690" s="6" t="str">
        <f t="shared" si="316"/>
        <v>=232.1*100000000</v>
      </c>
      <c r="AH690" s="1">
        <f>232.1*100000000</f>
        <v>23210000000</v>
      </c>
      <c r="AI690" s="8">
        <f t="shared" si="333"/>
        <v>-0.8521656050955414</v>
      </c>
      <c r="AJ690" s="6" t="s">
        <v>7981</v>
      </c>
      <c r="AK690" s="6" t="str">
        <f t="shared" si="317"/>
        <v>=1570*100000000</v>
      </c>
      <c r="AL690" s="1">
        <f>1570*100000000</f>
        <v>157000000000</v>
      </c>
      <c r="AM690" s="8">
        <f t="shared" si="334"/>
        <v>0.41696750902527074</v>
      </c>
      <c r="AN690" s="6" t="s">
        <v>7982</v>
      </c>
      <c r="AO690" s="6" t="str">
        <f t="shared" si="318"/>
        <v>=1108*100000000</v>
      </c>
      <c r="AP690" s="1">
        <f>1108*100000000</f>
        <v>110800000000</v>
      </c>
      <c r="AQ690" s="8">
        <f t="shared" si="335"/>
        <v>0.54662199888330543</v>
      </c>
      <c r="AR690" s="6" t="s">
        <v>7983</v>
      </c>
      <c r="AS690" s="6" t="str">
        <f t="shared" si="319"/>
        <v>=716.4*100000000</v>
      </c>
      <c r="AT690" s="1">
        <f>716.4*100000000</f>
        <v>71640000000</v>
      </c>
      <c r="AU690" s="8">
        <f t="shared" si="336"/>
        <v>1.3488524590163935</v>
      </c>
      <c r="AV690" s="6" t="s">
        <v>7942</v>
      </c>
      <c r="AW690" s="6" t="str">
        <f t="shared" si="320"/>
        <v>=305.0*100000000</v>
      </c>
      <c r="AX690" s="1">
        <f>305*100000000</f>
        <v>30500000000</v>
      </c>
      <c r="AY690" s="10">
        <f t="shared" si="337"/>
        <v>-0.76246105919003115</v>
      </c>
      <c r="AZ690" s="6" t="s">
        <v>7984</v>
      </c>
      <c r="BA690" s="6" t="str">
        <f t="shared" si="321"/>
        <v>=1284*100000000</v>
      </c>
      <c r="BB690" s="1">
        <f>1284*100000000</f>
        <v>128400000000</v>
      </c>
      <c r="BC690" s="8">
        <f t="shared" si="338"/>
        <v>0.6505977632086386</v>
      </c>
      <c r="BD690" s="6" t="s">
        <v>7985</v>
      </c>
      <c r="BE690" s="6" t="str">
        <f t="shared" si="322"/>
        <v>=777.9*100000000</v>
      </c>
      <c r="BF690" s="1">
        <f>777.9*100000000</f>
        <v>77790000000</v>
      </c>
      <c r="BG690" s="8">
        <f t="shared" si="339"/>
        <v>0.70069960647135987</v>
      </c>
      <c r="BH690" s="6" t="s">
        <v>7986</v>
      </c>
      <c r="BI690" s="6" t="str">
        <f t="shared" si="323"/>
        <v>=457.4*100000000</v>
      </c>
      <c r="BJ690" s="1">
        <f>457.4*100000000</f>
        <v>45740000000</v>
      </c>
      <c r="BK690" s="6" t="s">
        <v>7158</v>
      </c>
      <c r="BL690" s="1" t="str">
        <f t="shared" si="325"/>
        <v>=187.7*100000000</v>
      </c>
      <c r="BM690" s="16">
        <f t="shared" si="340"/>
        <v>1.4368673415023974</v>
      </c>
      <c r="BN690" s="1">
        <f>187.7*100000000</f>
        <v>18770000000</v>
      </c>
    </row>
    <row r="691" spans="1:66">
      <c r="A691" s="18"/>
      <c r="B691">
        <v>600585</v>
      </c>
      <c r="C691" t="s">
        <v>48</v>
      </c>
      <c r="D691" s="6" t="s">
        <v>7987</v>
      </c>
      <c r="E691" s="7" t="str">
        <f t="shared" si="324"/>
        <v>=431.1*100000000</v>
      </c>
      <c r="F691" s="1">
        <f>431.1*100000000</f>
        <v>43110000000</v>
      </c>
      <c r="G691" s="8">
        <f t="shared" si="326"/>
        <v>0.48860497237569039</v>
      </c>
      <c r="H691" s="6" t="s">
        <v>7988</v>
      </c>
      <c r="I691" s="6" t="str">
        <f t="shared" si="310"/>
        <v>=289.6*100000000</v>
      </c>
      <c r="J691" s="1">
        <f>289.6*100000000</f>
        <v>28960000000.000004</v>
      </c>
      <c r="K691" s="10">
        <f t="shared" si="327"/>
        <v>0.50207468879668071</v>
      </c>
      <c r="L691" s="6" t="s">
        <v>7989</v>
      </c>
      <c r="M691" s="6" t="str">
        <f t="shared" si="311"/>
        <v>=192.8*100000000</v>
      </c>
      <c r="N691" s="1">
        <f>192.8*100000000</f>
        <v>19280000000</v>
      </c>
      <c r="O691" s="8">
        <f t="shared" si="328"/>
        <v>1.5291879837334383</v>
      </c>
      <c r="P691" s="6" t="s">
        <v>7108</v>
      </c>
      <c r="Q691" s="6" t="str">
        <f t="shared" si="312"/>
        <v>=76.23*100000000</v>
      </c>
      <c r="R691" s="11">
        <f>76.23*100000000</f>
        <v>7623000000</v>
      </c>
      <c r="S691" s="8">
        <f t="shared" si="329"/>
        <v>-0.83535637149028075</v>
      </c>
      <c r="T691" s="6" t="s">
        <v>7990</v>
      </c>
      <c r="U691" s="6" t="str">
        <f t="shared" si="313"/>
        <v>=463.0*100000000</v>
      </c>
      <c r="V691" s="1">
        <f>463*100000000</f>
        <v>46300000000</v>
      </c>
      <c r="W691" s="8">
        <f t="shared" si="330"/>
        <v>0.42068119054924841</v>
      </c>
      <c r="X691" s="6" t="s">
        <v>7991</v>
      </c>
      <c r="Y691" s="6" t="str">
        <f t="shared" si="314"/>
        <v>=325.9*100000000</v>
      </c>
      <c r="Z691" s="1">
        <f>325.9*100000000</f>
        <v>32589999999.999996</v>
      </c>
      <c r="AA691" s="8">
        <f t="shared" si="331"/>
        <v>0.54089834515366408</v>
      </c>
      <c r="AB691" s="6" t="s">
        <v>7992</v>
      </c>
      <c r="AC691" s="6" t="str">
        <f t="shared" si="315"/>
        <v>=211.5*100000000</v>
      </c>
      <c r="AD691" s="1">
        <f>211.5*100000000</f>
        <v>21150000000</v>
      </c>
      <c r="AE691" s="8">
        <f t="shared" si="332"/>
        <v>2.2633852800493752</v>
      </c>
      <c r="AF691" s="6" t="s">
        <v>7993</v>
      </c>
      <c r="AG691" s="6" t="str">
        <f t="shared" si="316"/>
        <v>=64.81*100000000</v>
      </c>
      <c r="AH691" s="1">
        <f>64.81*100000000</f>
        <v>6481000000</v>
      </c>
      <c r="AI691" s="8">
        <f t="shared" si="333"/>
        <v>-0.85290512936904217</v>
      </c>
      <c r="AJ691" s="6" t="s">
        <v>7994</v>
      </c>
      <c r="AK691" s="6" t="str">
        <f t="shared" si="317"/>
        <v>=440.6*100000000</v>
      </c>
      <c r="AL691" s="1">
        <f>440.6*100000000</f>
        <v>44060000000</v>
      </c>
      <c r="AM691" s="8">
        <f t="shared" si="334"/>
        <v>0.41626486660237849</v>
      </c>
      <c r="AN691" s="6" t="s">
        <v>7995</v>
      </c>
      <c r="AO691" s="6" t="str">
        <f t="shared" si="318"/>
        <v>=311.1*100000000</v>
      </c>
      <c r="AP691" s="1">
        <f>311.1*100000000</f>
        <v>31110000000.000004</v>
      </c>
      <c r="AQ691" s="8">
        <f t="shared" si="335"/>
        <v>0.54468718967229413</v>
      </c>
      <c r="AR691" s="6" t="s">
        <v>7996</v>
      </c>
      <c r="AS691" s="6" t="str">
        <f t="shared" si="319"/>
        <v>=201.4*100000000</v>
      </c>
      <c r="AT691" s="1">
        <f>201.4*100000000</f>
        <v>20140000000</v>
      </c>
      <c r="AU691" s="8">
        <f t="shared" si="336"/>
        <v>1.5397225725094577</v>
      </c>
      <c r="AV691" s="6" t="s">
        <v>7997</v>
      </c>
      <c r="AW691" s="6" t="str">
        <f t="shared" si="320"/>
        <v>=79.30*100000000</v>
      </c>
      <c r="AX691" s="1">
        <f>79.3*100000000</f>
        <v>7930000000</v>
      </c>
      <c r="AY691" s="10">
        <f t="shared" si="337"/>
        <v>-0.80115346038114343</v>
      </c>
      <c r="AZ691" s="6" t="s">
        <v>7998</v>
      </c>
      <c r="BA691" s="6" t="str">
        <f t="shared" si="321"/>
        <v>=398.8*100000000</v>
      </c>
      <c r="BB691" s="1">
        <f>398.8*100000000</f>
        <v>39880000000</v>
      </c>
      <c r="BC691" s="8">
        <f t="shared" si="338"/>
        <v>0.47649018881895572</v>
      </c>
      <c r="BD691" s="6" t="s">
        <v>7999</v>
      </c>
      <c r="BE691" s="6" t="str">
        <f t="shared" si="322"/>
        <v>=270.1*100000000</v>
      </c>
      <c r="BF691" s="1">
        <f>270.1*100000000</f>
        <v>27010000000.000004</v>
      </c>
      <c r="BG691" s="8">
        <f t="shared" si="339"/>
        <v>0.58788947677836589</v>
      </c>
      <c r="BH691" s="6" t="s">
        <v>855</v>
      </c>
      <c r="BI691" s="6" t="str">
        <f t="shared" si="323"/>
        <v>=170.1*100000000</v>
      </c>
      <c r="BJ691" s="1">
        <f>170.1*100000000</f>
        <v>17010000000</v>
      </c>
      <c r="BK691" s="6" t="s">
        <v>8000</v>
      </c>
      <c r="BL691" s="1" t="str">
        <f t="shared" si="325"/>
        <v>=61.92*100000000</v>
      </c>
      <c r="BM691" s="16">
        <f t="shared" si="340"/>
        <v>1.7470930232558139</v>
      </c>
      <c r="BN691" s="1">
        <f>61.92*100000000</f>
        <v>6192000000</v>
      </c>
    </row>
    <row r="692" spans="1:66">
      <c r="A692" s="18"/>
      <c r="B692">
        <v>600585</v>
      </c>
      <c r="C692" t="s">
        <v>58</v>
      </c>
      <c r="D692" s="6" t="s">
        <v>8001</v>
      </c>
      <c r="E692" s="7" t="str">
        <f t="shared" si="324"/>
        <v>=441.2*100000000</v>
      </c>
      <c r="F692" s="1">
        <f>441.2*100000000</f>
        <v>44120000000</v>
      </c>
      <c r="G692" s="8">
        <f t="shared" si="326"/>
        <v>0.48452220726783313</v>
      </c>
      <c r="H692" s="6" t="s">
        <v>8002</v>
      </c>
      <c r="I692" s="6" t="str">
        <f t="shared" si="310"/>
        <v>=297.2*100000000</v>
      </c>
      <c r="J692" s="1">
        <f>297.2*100000000</f>
        <v>29720000000</v>
      </c>
      <c r="K692" s="10">
        <f t="shared" si="327"/>
        <v>0.49572219426270758</v>
      </c>
      <c r="L692" s="6" t="s">
        <v>8003</v>
      </c>
      <c r="M692" s="6" t="str">
        <f t="shared" si="311"/>
        <v>=198.7*100000000</v>
      </c>
      <c r="N692" s="1">
        <f>198.7*100000000</f>
        <v>19870000000</v>
      </c>
      <c r="O692" s="8">
        <f t="shared" si="328"/>
        <v>1.5454778375608507</v>
      </c>
      <c r="P692" s="6" t="s">
        <v>8004</v>
      </c>
      <c r="Q692" s="6" t="str">
        <f t="shared" si="312"/>
        <v>=78.06*100000000</v>
      </c>
      <c r="R692" s="11">
        <f>78.06*100000000</f>
        <v>7806000000</v>
      </c>
      <c r="S692" s="8">
        <f t="shared" si="329"/>
        <v>-0.83440814594823931</v>
      </c>
      <c r="T692" s="6" t="s">
        <v>8005</v>
      </c>
      <c r="U692" s="6" t="str">
        <f t="shared" si="313"/>
        <v>=471.4*100000000</v>
      </c>
      <c r="V692" s="1">
        <f>471.4*100000000</f>
        <v>47140000000</v>
      </c>
      <c r="W692" s="8">
        <f t="shared" si="330"/>
        <v>0.41987951807228918</v>
      </c>
      <c r="X692" s="6" t="s">
        <v>399</v>
      </c>
      <c r="Y692" s="6" t="str">
        <f t="shared" si="314"/>
        <v>=332.0*100000000</v>
      </c>
      <c r="Z692" s="1">
        <f>332*100000000</f>
        <v>33200000000</v>
      </c>
      <c r="AA692" s="8">
        <f t="shared" si="331"/>
        <v>0.54418604651162794</v>
      </c>
      <c r="AB692" s="6" t="s">
        <v>8006</v>
      </c>
      <c r="AC692" s="6" t="str">
        <f t="shared" si="315"/>
        <v>=215.0*100000000</v>
      </c>
      <c r="AD692" s="1">
        <f>215*100000000</f>
        <v>21500000000</v>
      </c>
      <c r="AE692" s="8">
        <f t="shared" si="332"/>
        <v>2.2243551289742047</v>
      </c>
      <c r="AF692" s="6" t="s">
        <v>8007</v>
      </c>
      <c r="AG692" s="6" t="str">
        <f t="shared" si="316"/>
        <v>=66.68*100000000</v>
      </c>
      <c r="AH692" s="1">
        <f>66.68*100000000</f>
        <v>6668000000.000001</v>
      </c>
      <c r="AI692" s="8">
        <f t="shared" si="333"/>
        <v>-0.85035906642728909</v>
      </c>
      <c r="AJ692" s="6" t="s">
        <v>8008</v>
      </c>
      <c r="AK692" s="6" t="str">
        <f t="shared" si="317"/>
        <v>=445.6*100000000</v>
      </c>
      <c r="AL692" s="1">
        <f>445.6*100000000</f>
        <v>44560000000</v>
      </c>
      <c r="AM692" s="8">
        <f t="shared" si="334"/>
        <v>0.41505239758653556</v>
      </c>
      <c r="AN692" s="6" t="s">
        <v>764</v>
      </c>
      <c r="AO692" s="6" t="str">
        <f t="shared" si="318"/>
        <v>=314.9*100000000</v>
      </c>
      <c r="AP692" s="1">
        <f>314.9*100000000</f>
        <v>31489999999.999996</v>
      </c>
      <c r="AQ692" s="8">
        <f t="shared" si="335"/>
        <v>0.54818092428711884</v>
      </c>
      <c r="AR692" s="6" t="s">
        <v>8009</v>
      </c>
      <c r="AS692" s="6" t="str">
        <f t="shared" si="319"/>
        <v>=203.4*100000000</v>
      </c>
      <c r="AT692" s="1">
        <f>203.4*100000000</f>
        <v>20340000000</v>
      </c>
      <c r="AU692" s="8">
        <f t="shared" si="336"/>
        <v>1.5339479257505917</v>
      </c>
      <c r="AV692" s="6" t="s">
        <v>8010</v>
      </c>
      <c r="AW692" s="6" t="str">
        <f t="shared" si="320"/>
        <v>=80.27*100000000</v>
      </c>
      <c r="AX692" s="1">
        <f>80.27*100000000</f>
        <v>8027000000</v>
      </c>
      <c r="AY692" s="10">
        <f t="shared" si="337"/>
        <v>-0.7974514256876104</v>
      </c>
      <c r="AZ692" s="6" t="s">
        <v>8011</v>
      </c>
      <c r="BA692" s="6" t="str">
        <f t="shared" si="321"/>
        <v>=396.3*100000000</v>
      </c>
      <c r="BB692" s="1">
        <f>396.3*100000000</f>
        <v>39630000000</v>
      </c>
      <c r="BC692" s="8">
        <f t="shared" si="338"/>
        <v>0.44266472515471422</v>
      </c>
      <c r="BD692" s="6" t="s">
        <v>8012</v>
      </c>
      <c r="BE692" s="6" t="str">
        <f t="shared" si="322"/>
        <v>=274.7*100000000</v>
      </c>
      <c r="BF692" s="1">
        <f>274.7*100000000</f>
        <v>27470000000</v>
      </c>
      <c r="BG692" s="8">
        <f t="shared" si="339"/>
        <v>0.59802210587550897</v>
      </c>
      <c r="BH692" s="6" t="s">
        <v>8013</v>
      </c>
      <c r="BI692" s="6" t="str">
        <f t="shared" si="323"/>
        <v>=171.9*100000000</v>
      </c>
      <c r="BJ692" s="1">
        <f>171.9*100000000</f>
        <v>17190000000</v>
      </c>
      <c r="BK692" s="6" t="s">
        <v>8014</v>
      </c>
      <c r="BL692" s="1" t="str">
        <f t="shared" si="325"/>
        <v>=63.12*100000000</v>
      </c>
      <c r="BM692" s="16">
        <f t="shared" si="340"/>
        <v>1.7233840304182511</v>
      </c>
      <c r="BN692" s="1">
        <f>63.12*100000000</f>
        <v>6312000000</v>
      </c>
    </row>
    <row r="693" spans="1:66">
      <c r="A693" s="19"/>
      <c r="B693">
        <v>600585</v>
      </c>
      <c r="C693" t="s">
        <v>68</v>
      </c>
      <c r="D693" s="6" t="s">
        <v>8015</v>
      </c>
      <c r="E693" s="7" t="str">
        <f t="shared" si="324"/>
        <v>=341.7*100000000</v>
      </c>
      <c r="F693" s="1">
        <f>341.7*100000000</f>
        <v>34170000000</v>
      </c>
      <c r="G693" s="8">
        <f t="shared" si="326"/>
        <v>0.48759251197213754</v>
      </c>
      <c r="H693" s="6" t="s">
        <v>8016</v>
      </c>
      <c r="I693" s="6" t="str">
        <f t="shared" si="310"/>
        <v>=229.7*100000000</v>
      </c>
      <c r="J693" s="1">
        <f>229.7*100000000</f>
        <v>22970000000</v>
      </c>
      <c r="K693" s="10">
        <f t="shared" si="327"/>
        <v>0.49446974625894619</v>
      </c>
      <c r="L693" s="6" t="s">
        <v>3231</v>
      </c>
      <c r="M693" s="6" t="str">
        <f t="shared" si="311"/>
        <v>=153.7*100000000</v>
      </c>
      <c r="N693" s="1">
        <f>153.7*100000000</f>
        <v>15369999999.999998</v>
      </c>
      <c r="O693" s="8">
        <f t="shared" si="328"/>
        <v>1.5844963847317972</v>
      </c>
      <c r="P693" s="6" t="s">
        <v>8017</v>
      </c>
      <c r="Q693" s="6" t="str">
        <f t="shared" si="312"/>
        <v>=59.47*100000000</v>
      </c>
      <c r="R693" s="11">
        <f>59.47*100000000</f>
        <v>5947000000</v>
      </c>
      <c r="S693" s="8">
        <f t="shared" si="329"/>
        <v>-0.83662087912087912</v>
      </c>
      <c r="T693" s="6" t="s">
        <v>8018</v>
      </c>
      <c r="U693" s="6" t="str">
        <f t="shared" si="313"/>
        <v>=364.0*100000000</v>
      </c>
      <c r="V693" s="1">
        <f>364*100000000</f>
        <v>36400000000</v>
      </c>
      <c r="W693" s="8">
        <f t="shared" si="330"/>
        <v>0.4202106905969567</v>
      </c>
      <c r="X693" s="6" t="s">
        <v>8019</v>
      </c>
      <c r="Y693" s="6" t="str">
        <f t="shared" si="314"/>
        <v>=256.3*100000000</v>
      </c>
      <c r="Z693" s="1">
        <f>256.3*100000000</f>
        <v>25630000000</v>
      </c>
      <c r="AA693" s="8">
        <f t="shared" si="331"/>
        <v>0.542117930204573</v>
      </c>
      <c r="AB693" s="6" t="s">
        <v>8020</v>
      </c>
      <c r="AC693" s="6" t="str">
        <f t="shared" si="315"/>
        <v>=166.2*100000000</v>
      </c>
      <c r="AD693" s="1">
        <f>166.2*100000000</f>
        <v>16619999999.999998</v>
      </c>
      <c r="AE693" s="8">
        <f t="shared" si="332"/>
        <v>2.3596118859915096</v>
      </c>
      <c r="AF693" s="6" t="s">
        <v>4043</v>
      </c>
      <c r="AG693" s="6" t="str">
        <f t="shared" si="316"/>
        <v>=49.47*100000000</v>
      </c>
      <c r="AH693" s="1">
        <f>49.47*100000000</f>
        <v>4947000000</v>
      </c>
      <c r="AI693" s="8">
        <f t="shared" si="333"/>
        <v>-0.85598253275109171</v>
      </c>
      <c r="AJ693" s="6" t="s">
        <v>8021</v>
      </c>
      <c r="AK693" s="6" t="str">
        <f t="shared" si="317"/>
        <v>=343.5*100000000</v>
      </c>
      <c r="AL693" s="1">
        <f>343.5*100000000</f>
        <v>34350000000</v>
      </c>
      <c r="AM693" s="8">
        <f t="shared" si="334"/>
        <v>0.40836408364083643</v>
      </c>
      <c r="AN693" s="6" t="s">
        <v>8022</v>
      </c>
      <c r="AO693" s="6" t="str">
        <f t="shared" si="318"/>
        <v>=243.9*100000000</v>
      </c>
      <c r="AP693" s="1">
        <f>243.9*100000000</f>
        <v>24390000000</v>
      </c>
      <c r="AQ693" s="8">
        <f t="shared" si="335"/>
        <v>0.56145966709347006</v>
      </c>
      <c r="AR693" s="6" t="s">
        <v>8023</v>
      </c>
      <c r="AS693" s="6" t="str">
        <f t="shared" si="319"/>
        <v>=156.2*100000000</v>
      </c>
      <c r="AT693" s="1">
        <f>156.2*100000000</f>
        <v>15619999999.999998</v>
      </c>
      <c r="AU693" s="8">
        <f t="shared" si="336"/>
        <v>1.5177304964539005</v>
      </c>
      <c r="AV693" s="6" t="s">
        <v>8024</v>
      </c>
      <c r="AW693" s="6" t="str">
        <f t="shared" si="320"/>
        <v>=62.04*100000000</v>
      </c>
      <c r="AX693" s="1">
        <f>62.04*100000000</f>
        <v>6204000000</v>
      </c>
      <c r="AY693" s="10">
        <f t="shared" si="337"/>
        <v>-0.79751958224543074</v>
      </c>
      <c r="AZ693" s="6" t="s">
        <v>8025</v>
      </c>
      <c r="BA693" s="6" t="str">
        <f t="shared" si="321"/>
        <v>=306.4*100000000</v>
      </c>
      <c r="BB693" s="1">
        <f>306.4*100000000</f>
        <v>30639999999.999996</v>
      </c>
      <c r="BC693" s="8">
        <f t="shared" si="338"/>
        <v>0.43849765258215945</v>
      </c>
      <c r="BD693" s="6" t="s">
        <v>8026</v>
      </c>
      <c r="BE693" s="6" t="str">
        <f t="shared" si="322"/>
        <v>=213.0*100000000</v>
      </c>
      <c r="BF693" s="1">
        <f>213*100000000</f>
        <v>21300000000</v>
      </c>
      <c r="BG693" s="8">
        <f t="shared" si="339"/>
        <v>0.60030052592036065</v>
      </c>
      <c r="BH693" s="6" t="s">
        <v>8027</v>
      </c>
      <c r="BI693" s="6" t="str">
        <f t="shared" si="323"/>
        <v>=133.1*100000000</v>
      </c>
      <c r="BJ693" s="1">
        <f>133.1*100000000</f>
        <v>13310000000</v>
      </c>
      <c r="BK693" s="6" t="s">
        <v>8028</v>
      </c>
      <c r="BL693" s="1" t="str">
        <f t="shared" si="325"/>
        <v>=49.02*100000000</v>
      </c>
      <c r="BM693" s="16">
        <f t="shared" si="340"/>
        <v>1.7152182782537739</v>
      </c>
      <c r="BN693" s="1">
        <f>49.02*100000000</f>
        <v>4902000000</v>
      </c>
    </row>
    <row r="694" spans="1:66">
      <c r="A694" s="17">
        <v>175</v>
      </c>
      <c r="B694">
        <v>600586</v>
      </c>
      <c r="C694" t="s">
        <v>31</v>
      </c>
      <c r="D694" s="6" t="s">
        <v>8029</v>
      </c>
      <c r="E694" s="7" t="str">
        <f t="shared" si="324"/>
        <v>=69.22*100000000</v>
      </c>
      <c r="F694" s="1">
        <f>69.22*100000000</f>
        <v>6922000000</v>
      </c>
      <c r="G694" s="8">
        <f t="shared" si="326"/>
        <v>0.35965429188764486</v>
      </c>
      <c r="H694" s="6" t="s">
        <v>8030</v>
      </c>
      <c r="I694" s="6" t="str">
        <f t="shared" si="310"/>
        <v>=50.91*100000000</v>
      </c>
      <c r="J694" s="1">
        <f>50.91*100000000</f>
        <v>5091000000</v>
      </c>
      <c r="K694" s="10">
        <f t="shared" si="327"/>
        <v>0.52242822966507174</v>
      </c>
      <c r="L694" s="6" t="s">
        <v>8031</v>
      </c>
      <c r="M694" s="6" t="str">
        <f t="shared" si="311"/>
        <v>=33.44*100000000</v>
      </c>
      <c r="N694" s="1">
        <f>33.44*100000000</f>
        <v>3344000000</v>
      </c>
      <c r="O694" s="8">
        <f t="shared" si="328"/>
        <v>1.2748299319727892</v>
      </c>
      <c r="P694" s="6" t="s">
        <v>1096</v>
      </c>
      <c r="Q694" s="6" t="str">
        <f t="shared" si="312"/>
        <v>=14.70*100000000</v>
      </c>
      <c r="R694" s="11">
        <f>14.7*100000000</f>
        <v>1470000000</v>
      </c>
      <c r="S694" s="8">
        <f t="shared" si="329"/>
        <v>-0.69901719901719905</v>
      </c>
      <c r="T694" s="6" t="s">
        <v>8032</v>
      </c>
      <c r="U694" s="6" t="str">
        <f t="shared" si="313"/>
        <v>=48.84*100000000</v>
      </c>
      <c r="V694" s="1">
        <f>48.84*100000000</f>
        <v>4884000000</v>
      </c>
      <c r="W694" s="8">
        <f t="shared" si="330"/>
        <v>0.42765273311897106</v>
      </c>
      <c r="X694" s="6" t="s">
        <v>8033</v>
      </c>
      <c r="Y694" s="6" t="str">
        <f t="shared" si="314"/>
        <v>=34.21*100000000</v>
      </c>
      <c r="Z694" s="1">
        <f>34.21*100000000</f>
        <v>3421000000</v>
      </c>
      <c r="AA694" s="8">
        <f t="shared" si="331"/>
        <v>0.57070707070707072</v>
      </c>
      <c r="AB694" s="6" t="s">
        <v>5657</v>
      </c>
      <c r="AC694" s="6" t="str">
        <f t="shared" si="315"/>
        <v>=21.78*100000000</v>
      </c>
      <c r="AD694" s="1">
        <f>21.78*100000000</f>
        <v>2178000000</v>
      </c>
      <c r="AE694" s="8">
        <f t="shared" si="332"/>
        <v>1.1758241758241759</v>
      </c>
      <c r="AF694" s="6" t="s">
        <v>2063</v>
      </c>
      <c r="AG694" s="6" t="str">
        <f t="shared" si="316"/>
        <v>=10.01*100000000</v>
      </c>
      <c r="AH694" s="1">
        <f>10.01*100000000</f>
        <v>1001000000</v>
      </c>
      <c r="AI694" s="8">
        <f t="shared" si="333"/>
        <v>-0.80984042553191493</v>
      </c>
      <c r="AJ694" s="6" t="s">
        <v>1543</v>
      </c>
      <c r="AK694" s="6" t="str">
        <f t="shared" si="317"/>
        <v>=52.64*100000000</v>
      </c>
      <c r="AL694" s="1">
        <f>52.64*100000000</f>
        <v>5264000000</v>
      </c>
      <c r="AM694" s="8">
        <f t="shared" si="334"/>
        <v>0.41012590409858024</v>
      </c>
      <c r="AN694" s="6" t="s">
        <v>8034</v>
      </c>
      <c r="AO694" s="6" t="str">
        <f t="shared" si="318"/>
        <v>=37.33*100000000</v>
      </c>
      <c r="AP694" s="1">
        <f>37.33*100000000</f>
        <v>3733000000</v>
      </c>
      <c r="AQ694" s="8">
        <f t="shared" si="335"/>
        <v>0.51624695369618201</v>
      </c>
      <c r="AR694" s="6" t="s">
        <v>8035</v>
      </c>
      <c r="AS694" s="6" t="str">
        <f t="shared" si="319"/>
        <v>=24.62*100000000</v>
      </c>
      <c r="AT694" s="1">
        <f>24.62*100000000</f>
        <v>2462000000</v>
      </c>
      <c r="AU694" s="8">
        <f t="shared" si="336"/>
        <v>1.0380794701986755</v>
      </c>
      <c r="AV694" s="6" t="s">
        <v>4251</v>
      </c>
      <c r="AW694" s="6" t="str">
        <f t="shared" si="320"/>
        <v>=12.08*100000000</v>
      </c>
      <c r="AX694" s="1">
        <f>12.08*100000000</f>
        <v>1208000000</v>
      </c>
      <c r="AY694" s="10">
        <f t="shared" si="337"/>
        <v>-0.76429268292682928</v>
      </c>
      <c r="AZ694" s="6" t="s">
        <v>6707</v>
      </c>
      <c r="BA694" s="6" t="str">
        <f t="shared" si="321"/>
        <v>=51.25*100000000</v>
      </c>
      <c r="BB694" s="1">
        <f>51.25*100000000</f>
        <v>5125000000</v>
      </c>
      <c r="BC694" s="8">
        <f t="shared" si="338"/>
        <v>0.39836289222373805</v>
      </c>
      <c r="BD694" s="6" t="s">
        <v>4800</v>
      </c>
      <c r="BE694" s="6" t="str">
        <f t="shared" si="322"/>
        <v>=36.65*100000000</v>
      </c>
      <c r="BF694" s="1">
        <f>36.65*100000000</f>
        <v>3665000000</v>
      </c>
      <c r="BG694" s="8">
        <f t="shared" si="339"/>
        <v>0.53926921461570765</v>
      </c>
      <c r="BH694" s="6" t="s">
        <v>8036</v>
      </c>
      <c r="BI694" s="6" t="str">
        <f t="shared" si="323"/>
        <v>=23.81*100000000</v>
      </c>
      <c r="BJ694" s="1">
        <f>23.81*100000000</f>
        <v>2381000000</v>
      </c>
      <c r="BK694" s="6" t="s">
        <v>3976</v>
      </c>
      <c r="BL694" s="1" t="str">
        <f t="shared" si="325"/>
        <v>=11.56*100000000</v>
      </c>
      <c r="BM694" s="16">
        <f t="shared" si="340"/>
        <v>1.0596885813148789</v>
      </c>
      <c r="BN694" s="1">
        <f>11.56*100000000</f>
        <v>1156000000</v>
      </c>
    </row>
    <row r="695" spans="1:66">
      <c r="A695" s="18"/>
      <c r="B695">
        <v>600586</v>
      </c>
      <c r="C695" t="s">
        <v>48</v>
      </c>
      <c r="D695" s="6" t="s">
        <v>3618</v>
      </c>
      <c r="E695" s="7" t="str">
        <f t="shared" si="324"/>
        <v>=16.61*100000000</v>
      </c>
      <c r="F695" s="1">
        <f>16.61*100000000</f>
        <v>1661000000</v>
      </c>
      <c r="G695" s="8">
        <f t="shared" si="326"/>
        <v>8.8466579292267367E-2</v>
      </c>
      <c r="H695" s="6" t="s">
        <v>3018</v>
      </c>
      <c r="I695" s="6" t="str">
        <f t="shared" si="310"/>
        <v>=15.26*100000000</v>
      </c>
      <c r="J695" s="1">
        <f>15.26*100000000</f>
        <v>1526000000</v>
      </c>
      <c r="K695" s="10">
        <f t="shared" si="327"/>
        <v>0.58528984001662165</v>
      </c>
      <c r="L695" s="6" t="s">
        <v>8037</v>
      </c>
      <c r="M695" s="6" t="str">
        <f t="shared" si="311"/>
        <v>=9.626*100000000</v>
      </c>
      <c r="N695" s="1">
        <f>9.626*100000000</f>
        <v>962600000</v>
      </c>
      <c r="O695" s="8">
        <f t="shared" si="328"/>
        <v>1.2649411764705882</v>
      </c>
      <c r="P695" s="6" t="s">
        <v>8038</v>
      </c>
      <c r="Q695" s="6" t="str">
        <f t="shared" si="312"/>
        <v>=4.250*100000000</v>
      </c>
      <c r="R695" s="11">
        <f>4.25*100000000</f>
        <v>425000000</v>
      </c>
      <c r="S695" s="8">
        <f t="shared" si="329"/>
        <v>2.0653218059558262E-2</v>
      </c>
      <c r="T695" s="6" t="s">
        <v>8039</v>
      </c>
      <c r="U695" s="6" t="str">
        <f t="shared" si="313"/>
        <v>=4.164*100000000</v>
      </c>
      <c r="V695" s="1">
        <f>4.164*100000000</f>
        <v>416399999.99999994</v>
      </c>
      <c r="W695" s="8">
        <f t="shared" si="330"/>
        <v>0.77040816326530592</v>
      </c>
      <c r="X695" s="6" t="s">
        <v>8040</v>
      </c>
      <c r="Y695" s="6" t="str">
        <f t="shared" si="314"/>
        <v>=2.352*100000000</v>
      </c>
      <c r="Z695" s="1">
        <f>2.352*100000000</f>
        <v>235200000</v>
      </c>
      <c r="AA695" s="8">
        <f t="shared" si="331"/>
        <v>1.3817721518987343</v>
      </c>
      <c r="AB695" s="7" t="s">
        <v>6146</v>
      </c>
      <c r="AC695" s="6" t="str">
        <f t="shared" si="315"/>
        <v>=9875*10000</v>
      </c>
      <c r="AD695" s="1">
        <f>9875*10000</f>
        <v>98750000</v>
      </c>
      <c r="AE695" s="8">
        <f t="shared" si="332"/>
        <v>1.8714742657749346</v>
      </c>
      <c r="AF695" s="7" t="s">
        <v>7750</v>
      </c>
      <c r="AG695" s="6" t="str">
        <f t="shared" si="316"/>
        <v>=3439*10000</v>
      </c>
      <c r="AH695" s="1">
        <f>3439*10000</f>
        <v>34390000</v>
      </c>
      <c r="AI695" s="8">
        <f t="shared" si="333"/>
        <v>-0.85452622673434853</v>
      </c>
      <c r="AJ695" s="6" t="s">
        <v>5756</v>
      </c>
      <c r="AK695" s="6" t="str">
        <f t="shared" si="317"/>
        <v>=2.364*100000000</v>
      </c>
      <c r="AL695" s="1">
        <f>2.364*100000000</f>
        <v>236400000</v>
      </c>
      <c r="AM695" s="8">
        <f t="shared" si="334"/>
        <v>0.38651026392961879</v>
      </c>
      <c r="AN695" s="6" t="s">
        <v>5771</v>
      </c>
      <c r="AO695" s="6" t="str">
        <f t="shared" si="318"/>
        <v>=1.705*100000000</v>
      </c>
      <c r="AP695" s="1">
        <f>1.705*100000000</f>
        <v>170500000</v>
      </c>
      <c r="AQ695" s="8">
        <f t="shared" si="335"/>
        <v>0.20921985815602837</v>
      </c>
      <c r="AR695" s="6" t="s">
        <v>8041</v>
      </c>
      <c r="AS695" s="6" t="str">
        <f t="shared" si="319"/>
        <v>=1.410*100000000</v>
      </c>
      <c r="AT695" s="1">
        <f>1.41*100000000</f>
        <v>141000000</v>
      </c>
      <c r="AU695" s="8">
        <f t="shared" si="336"/>
        <v>0.82998053212199874</v>
      </c>
      <c r="AV695" s="7" t="s">
        <v>8042</v>
      </c>
      <c r="AW695" s="6" t="str">
        <f t="shared" si="320"/>
        <v>=7705*10000</v>
      </c>
      <c r="AX695" s="1">
        <f>7705*10000</f>
        <v>77050000</v>
      </c>
      <c r="AY695" s="10">
        <f t="shared" si="337"/>
        <v>-0.55307424593967514</v>
      </c>
      <c r="AZ695" s="6" t="s">
        <v>5030</v>
      </c>
      <c r="BA695" s="6" t="str">
        <f t="shared" si="321"/>
        <v>=1.724*100000000</v>
      </c>
      <c r="BB695" s="1">
        <f>1.724*100000000</f>
        <v>172400000</v>
      </c>
      <c r="BC695" s="8">
        <f t="shared" si="338"/>
        <v>-0.5060171919770774</v>
      </c>
      <c r="BD695" s="6" t="s">
        <v>8043</v>
      </c>
      <c r="BE695" s="6" t="str">
        <f t="shared" si="322"/>
        <v>=3.490*100000000</v>
      </c>
      <c r="BF695" s="1">
        <f>3.49*100000000</f>
        <v>349000000</v>
      </c>
      <c r="BG695" s="8">
        <f t="shared" si="339"/>
        <v>0.26174981923355023</v>
      </c>
      <c r="BH695" s="6" t="s">
        <v>1239</v>
      </c>
      <c r="BI695" s="6" t="str">
        <f t="shared" si="323"/>
        <v>=2.766*100000000</v>
      </c>
      <c r="BJ695" s="1">
        <f>2.766*100000000</f>
        <v>276600000</v>
      </c>
      <c r="BK695" s="7" t="s">
        <v>4904</v>
      </c>
      <c r="BL695" s="1" t="str">
        <f t="shared" si="325"/>
        <v>=8230*10000</v>
      </c>
      <c r="BM695" s="16">
        <f t="shared" si="340"/>
        <v>2.3608748481166466</v>
      </c>
      <c r="BN695" s="1">
        <f>8230*10000</f>
        <v>82300000</v>
      </c>
    </row>
    <row r="696" spans="1:66">
      <c r="A696" s="18"/>
      <c r="B696">
        <v>600586</v>
      </c>
      <c r="C696" t="s">
        <v>58</v>
      </c>
      <c r="D696" s="6" t="s">
        <v>2453</v>
      </c>
      <c r="E696" s="7" t="str">
        <f t="shared" si="324"/>
        <v>=16.20*100000000</v>
      </c>
      <c r="F696" s="1">
        <f>16.2*100000000</f>
        <v>1620000000</v>
      </c>
      <c r="G696" s="8">
        <f t="shared" si="326"/>
        <v>6.5088757396449703E-2</v>
      </c>
      <c r="H696" s="6" t="s">
        <v>8044</v>
      </c>
      <c r="I696" s="6" t="str">
        <f t="shared" si="310"/>
        <v>=15.21*100000000</v>
      </c>
      <c r="J696" s="1">
        <f>15.21*100000000</f>
        <v>1521000000</v>
      </c>
      <c r="K696" s="10">
        <f t="shared" si="327"/>
        <v>0.5871856412396953</v>
      </c>
      <c r="L696" s="6" t="s">
        <v>8045</v>
      </c>
      <c r="M696" s="6" t="str">
        <f t="shared" si="311"/>
        <v>=9.583*100000000</v>
      </c>
      <c r="N696" s="1">
        <f>9.583*100000000</f>
        <v>958300000</v>
      </c>
      <c r="O696" s="8">
        <f t="shared" si="328"/>
        <v>1.2574793875147232</v>
      </c>
      <c r="P696" s="6" t="s">
        <v>8046</v>
      </c>
      <c r="Q696" s="6" t="str">
        <f t="shared" si="312"/>
        <v>=4.245*100000000</v>
      </c>
      <c r="R696" s="11">
        <f>4.245*100000000</f>
        <v>424500000</v>
      </c>
      <c r="S696" s="8">
        <f t="shared" si="329"/>
        <v>3.0840213695968767E-2</v>
      </c>
      <c r="T696" s="6" t="s">
        <v>8047</v>
      </c>
      <c r="U696" s="6" t="str">
        <f t="shared" si="313"/>
        <v>=4.118*100000000</v>
      </c>
      <c r="V696" s="1">
        <f>4.118*100000000</f>
        <v>411800000.00000006</v>
      </c>
      <c r="W696" s="8">
        <f t="shared" si="330"/>
        <v>0.7658662092624362</v>
      </c>
      <c r="X696" s="6" t="s">
        <v>4018</v>
      </c>
      <c r="Y696" s="6" t="str">
        <f t="shared" si="314"/>
        <v>=2.332*100000000</v>
      </c>
      <c r="Z696" s="1">
        <f>2.332*100000000</f>
        <v>233199999.99999997</v>
      </c>
      <c r="AA696" s="8">
        <f t="shared" si="331"/>
        <v>1.4001646768217371</v>
      </c>
      <c r="AB696" s="7" t="s">
        <v>8048</v>
      </c>
      <c r="AC696" s="6" t="str">
        <f t="shared" si="315"/>
        <v>=9716*10000</v>
      </c>
      <c r="AD696" s="1">
        <f>9716*10000</f>
        <v>97160000</v>
      </c>
      <c r="AE696" s="8">
        <f t="shared" si="332"/>
        <v>1.894250819183795</v>
      </c>
      <c r="AF696" s="7" t="s">
        <v>8049</v>
      </c>
      <c r="AG696" s="6" t="str">
        <f t="shared" si="316"/>
        <v>=3357*10000</v>
      </c>
      <c r="AH696" s="1">
        <f>3357*10000</f>
        <v>33570000</v>
      </c>
      <c r="AI696" s="8">
        <f t="shared" si="333"/>
        <v>-0.78116036505867015</v>
      </c>
      <c r="AJ696" s="6" t="s">
        <v>2085</v>
      </c>
      <c r="AK696" s="6" t="str">
        <f t="shared" si="317"/>
        <v>=1.534*100000000</v>
      </c>
      <c r="AL696" s="1">
        <f>1.534*100000000</f>
        <v>153400000</v>
      </c>
      <c r="AM696" s="8">
        <f t="shared" si="334"/>
        <v>-8.0886758538046735E-2</v>
      </c>
      <c r="AN696" s="6" t="s">
        <v>2431</v>
      </c>
      <c r="AO696" s="6" t="str">
        <f t="shared" si="318"/>
        <v>=1.669*100000000</v>
      </c>
      <c r="AP696" s="1">
        <f>1.669*100000000</f>
        <v>166900000</v>
      </c>
      <c r="AQ696" s="8">
        <f t="shared" si="335"/>
        <v>0.20592485549132947</v>
      </c>
      <c r="AR696" s="6" t="s">
        <v>4880</v>
      </c>
      <c r="AS696" s="6" t="str">
        <f t="shared" si="319"/>
        <v>=1.384*100000000</v>
      </c>
      <c r="AT696" s="1">
        <f>1.384*100000000</f>
        <v>138400000</v>
      </c>
      <c r="AU696" s="8">
        <f t="shared" si="336"/>
        <v>0.83384126142838211</v>
      </c>
      <c r="AV696" s="7" t="s">
        <v>8050</v>
      </c>
      <c r="AW696" s="6" t="str">
        <f t="shared" si="320"/>
        <v>=7547*10000</v>
      </c>
      <c r="AX696" s="1">
        <f>7547*10000</f>
        <v>75470000</v>
      </c>
      <c r="AY696" s="10">
        <f t="shared" si="337"/>
        <v>-0.52444864524259605</v>
      </c>
      <c r="AZ696" s="6" t="s">
        <v>1449</v>
      </c>
      <c r="BA696" s="6" t="str">
        <f t="shared" si="321"/>
        <v>=1.587*100000000</v>
      </c>
      <c r="BB696" s="1">
        <f>1.587*100000000</f>
        <v>158700000</v>
      </c>
      <c r="BC696" s="8">
        <f t="shared" si="338"/>
        <v>-0.5485064011379801</v>
      </c>
      <c r="BD696" s="6" t="s">
        <v>6806</v>
      </c>
      <c r="BE696" s="6" t="str">
        <f t="shared" si="322"/>
        <v>=3.515*100000000</v>
      </c>
      <c r="BF696" s="1">
        <f>3.515*100000000</f>
        <v>351500000</v>
      </c>
      <c r="BG696" s="8">
        <f t="shared" si="339"/>
        <v>0.25580564487316898</v>
      </c>
      <c r="BH696" s="6" t="s">
        <v>8051</v>
      </c>
      <c r="BI696" s="6" t="str">
        <f t="shared" si="323"/>
        <v>=2.799*100000000</v>
      </c>
      <c r="BJ696" s="1">
        <f>2.799*100000000</f>
        <v>279900000</v>
      </c>
      <c r="BK696" s="7" t="s">
        <v>8052</v>
      </c>
      <c r="BL696" s="1" t="str">
        <f t="shared" si="325"/>
        <v>=8312*10000</v>
      </c>
      <c r="BM696" s="16">
        <f t="shared" si="340"/>
        <v>2.3674205967276225</v>
      </c>
      <c r="BN696" s="1">
        <f>8312*10000</f>
        <v>83120000</v>
      </c>
    </row>
    <row r="697" spans="1:66">
      <c r="A697" s="19"/>
      <c r="B697">
        <v>600586</v>
      </c>
      <c r="C697" t="s">
        <v>68</v>
      </c>
      <c r="D697" s="6" t="s">
        <v>227</v>
      </c>
      <c r="E697" s="7" t="str">
        <f t="shared" si="324"/>
        <v>=13.35*100000000</v>
      </c>
      <c r="F697" s="1">
        <f>13.35*100000000</f>
        <v>1335000000</v>
      </c>
      <c r="G697" s="8">
        <f t="shared" si="326"/>
        <v>4.7880690737833596E-2</v>
      </c>
      <c r="H697" s="6" t="s">
        <v>1106</v>
      </c>
      <c r="I697" s="6" t="str">
        <f t="shared" si="310"/>
        <v>=12.74*100000000</v>
      </c>
      <c r="J697" s="1">
        <f>12.74*100000000</f>
        <v>1274000000</v>
      </c>
      <c r="K697" s="10">
        <f t="shared" si="327"/>
        <v>0.59889558232931728</v>
      </c>
      <c r="L697" s="6" t="s">
        <v>7134</v>
      </c>
      <c r="M697" s="6" t="str">
        <f t="shared" si="311"/>
        <v>=7.968*100000000</v>
      </c>
      <c r="N697" s="1">
        <f>7.968*100000000</f>
        <v>796800000</v>
      </c>
      <c r="O697" s="8">
        <f t="shared" si="328"/>
        <v>1.1687534022863364</v>
      </c>
      <c r="P697" s="6" t="s">
        <v>8053</v>
      </c>
      <c r="Q697" s="6" t="str">
        <f t="shared" si="312"/>
        <v>=3.674*100000000</v>
      </c>
      <c r="R697" s="11">
        <f>3.674*100000000</f>
        <v>367400000</v>
      </c>
      <c r="S697" s="8">
        <f t="shared" si="329"/>
        <v>4.7320410490307871E-2</v>
      </c>
      <c r="T697" s="6" t="s">
        <v>6527</v>
      </c>
      <c r="U697" s="6" t="str">
        <f t="shared" si="313"/>
        <v>=3.508*100000000</v>
      </c>
      <c r="V697" s="1">
        <f>3.508*100000000</f>
        <v>350800000</v>
      </c>
      <c r="W697" s="8">
        <f t="shared" si="330"/>
        <v>0.79897435897435898</v>
      </c>
      <c r="X697" s="6" t="s">
        <v>8054</v>
      </c>
      <c r="Y697" s="6" t="str">
        <f t="shared" si="314"/>
        <v>=1.950*100000000</v>
      </c>
      <c r="Z697" s="1">
        <f>1.95*100000000</f>
        <v>195000000</v>
      </c>
      <c r="AA697" s="8">
        <f t="shared" si="331"/>
        <v>1.4429967426710097</v>
      </c>
      <c r="AB697" s="7" t="s">
        <v>8055</v>
      </c>
      <c r="AC697" s="6" t="str">
        <f t="shared" si="315"/>
        <v>=7982*10000</v>
      </c>
      <c r="AD697" s="1">
        <f>7982*10000</f>
        <v>79820000</v>
      </c>
      <c r="AE697" s="8">
        <f t="shared" si="332"/>
        <v>1.6421714664018536</v>
      </c>
      <c r="AF697" s="7" t="s">
        <v>3797</v>
      </c>
      <c r="AG697" s="6" t="str">
        <f t="shared" si="316"/>
        <v>=3021*10000</v>
      </c>
      <c r="AH697" s="1">
        <f>3021*10000</f>
        <v>30210000</v>
      </c>
      <c r="AI697" s="8">
        <f t="shared" si="333"/>
        <v>-0.7069835111542192</v>
      </c>
      <c r="AJ697" s="6" t="s">
        <v>8056</v>
      </c>
      <c r="AK697" s="6" t="str">
        <f t="shared" si="317"/>
        <v>=1.031*100000000</v>
      </c>
      <c r="AL697" s="1">
        <f>1.031*100000000</f>
        <v>103099999.99999999</v>
      </c>
      <c r="AM697" s="8">
        <f t="shared" si="334"/>
        <v>-0.25827338129496413</v>
      </c>
      <c r="AN697" s="6" t="s">
        <v>8057</v>
      </c>
      <c r="AO697" s="6" t="str">
        <f t="shared" si="318"/>
        <v>=1.390*100000000</v>
      </c>
      <c r="AP697" s="1">
        <f>1.39*100000000</f>
        <v>139000000</v>
      </c>
      <c r="AQ697" s="8">
        <f t="shared" si="335"/>
        <v>0.22359154929577482</v>
      </c>
      <c r="AR697" s="6" t="s">
        <v>257</v>
      </c>
      <c r="AS697" s="6" t="str">
        <f t="shared" si="319"/>
        <v>=1.136*100000000</v>
      </c>
      <c r="AT697" s="1">
        <f>1.136*100000000</f>
        <v>113599999.99999999</v>
      </c>
      <c r="AU697" s="8">
        <f t="shared" si="336"/>
        <v>0.87489684766463083</v>
      </c>
      <c r="AV697" s="7" t="s">
        <v>5469</v>
      </c>
      <c r="AW697" s="6" t="str">
        <f t="shared" si="320"/>
        <v>=6059*10000</v>
      </c>
      <c r="AX697" s="1">
        <f>6059*10000</f>
        <v>60590000</v>
      </c>
      <c r="AY697" s="10">
        <f t="shared" si="337"/>
        <v>-0.27954815695600477</v>
      </c>
      <c r="AZ697" s="7" t="s">
        <v>8058</v>
      </c>
      <c r="BA697" s="6" t="str">
        <f t="shared" si="321"/>
        <v>=8410*10000</v>
      </c>
      <c r="BB697" s="1">
        <f>8410*10000</f>
        <v>84100000</v>
      </c>
      <c r="BC697" s="8">
        <f t="shared" si="338"/>
        <v>-0.67250778816199375</v>
      </c>
      <c r="BD697" s="6" t="s">
        <v>1654</v>
      </c>
      <c r="BE697" s="6" t="str">
        <f t="shared" si="322"/>
        <v>=2.568*100000000</v>
      </c>
      <c r="BF697" s="1">
        <f>2.568*100000000</f>
        <v>256800000</v>
      </c>
      <c r="BG697" s="8">
        <f t="shared" si="339"/>
        <v>0.23759036144578297</v>
      </c>
      <c r="BH697" s="6" t="s">
        <v>8059</v>
      </c>
      <c r="BI697" s="6" t="str">
        <f t="shared" si="323"/>
        <v>=2.075*100000000</v>
      </c>
      <c r="BJ697" s="1">
        <f>2.075*100000000</f>
        <v>207500000.00000003</v>
      </c>
      <c r="BK697" s="7" t="s">
        <v>3167</v>
      </c>
      <c r="BL697" s="1" t="str">
        <f t="shared" si="325"/>
        <v>=6155*10000</v>
      </c>
      <c r="BM697" s="16">
        <f t="shared" si="340"/>
        <v>2.3712428919577584</v>
      </c>
      <c r="BN697" s="1">
        <f>6155*10000</f>
        <v>61550000</v>
      </c>
    </row>
    <row r="698" spans="1:66">
      <c r="A698" s="17">
        <v>176</v>
      </c>
      <c r="B698">
        <v>600588</v>
      </c>
      <c r="C698" t="s">
        <v>31</v>
      </c>
      <c r="D698" s="6" t="s">
        <v>868</v>
      </c>
      <c r="E698" s="7" t="str">
        <f t="shared" si="324"/>
        <v>=89.32*100000000</v>
      </c>
      <c r="F698" s="1">
        <f>89.32*100000000</f>
        <v>8932000000</v>
      </c>
      <c r="G698" s="8">
        <f t="shared" si="326"/>
        <v>0.81066288262720454</v>
      </c>
      <c r="H698" s="6" t="s">
        <v>8060</v>
      </c>
      <c r="I698" s="6" t="str">
        <f t="shared" si="310"/>
        <v>=49.33*100000000</v>
      </c>
      <c r="J698" s="1">
        <f>49.33*100000000</f>
        <v>4933000000</v>
      </c>
      <c r="K698" s="10">
        <f t="shared" si="327"/>
        <v>0.55272269436575383</v>
      </c>
      <c r="L698" s="6" t="s">
        <v>5238</v>
      </c>
      <c r="M698" s="6" t="str">
        <f t="shared" si="311"/>
        <v>=31.77*100000000</v>
      </c>
      <c r="N698" s="1">
        <f>31.77*100000000</f>
        <v>3177000000</v>
      </c>
      <c r="O698" s="8">
        <f t="shared" si="328"/>
        <v>1.6169686985172982</v>
      </c>
      <c r="P698" s="6" t="s">
        <v>2082</v>
      </c>
      <c r="Q698" s="6" t="str">
        <f t="shared" si="312"/>
        <v>=12.14*100000000</v>
      </c>
      <c r="R698" s="11">
        <f>12.14*100000000</f>
        <v>1214000000</v>
      </c>
      <c r="S698" s="8">
        <f t="shared" si="329"/>
        <v>-0.8576454033771107</v>
      </c>
      <c r="T698" s="6" t="s">
        <v>8061</v>
      </c>
      <c r="U698" s="6" t="str">
        <f t="shared" si="313"/>
        <v>=85.28*100000000</v>
      </c>
      <c r="V698" s="1">
        <f>85.28*100000000</f>
        <v>8528000000</v>
      </c>
      <c r="W698" s="8">
        <f t="shared" si="330"/>
        <v>0.84628707512448587</v>
      </c>
      <c r="X698" s="6" t="s">
        <v>8062</v>
      </c>
      <c r="Y698" s="6" t="str">
        <f t="shared" si="314"/>
        <v>=46.19*100000000</v>
      </c>
      <c r="Z698" s="1">
        <f>46.19*100000000</f>
        <v>4619000000</v>
      </c>
      <c r="AA698" s="8">
        <f t="shared" si="331"/>
        <v>0.56576271186440674</v>
      </c>
      <c r="AB698" s="6" t="s">
        <v>6004</v>
      </c>
      <c r="AC698" s="6" t="str">
        <f t="shared" si="315"/>
        <v>=29.50*100000000</v>
      </c>
      <c r="AD698" s="1">
        <f>29.5*100000000</f>
        <v>2950000000</v>
      </c>
      <c r="AE698" s="8">
        <f t="shared" si="332"/>
        <v>1.7089072543617998</v>
      </c>
      <c r="AF698" s="6" t="s">
        <v>587</v>
      </c>
      <c r="AG698" s="6" t="str">
        <f t="shared" si="316"/>
        <v>=10.89*100000000</v>
      </c>
      <c r="AH698" s="1">
        <f>10.89*100000000</f>
        <v>1089000000</v>
      </c>
      <c r="AI698" s="8">
        <f t="shared" si="333"/>
        <v>-0.87203290246768506</v>
      </c>
      <c r="AJ698" s="6" t="s">
        <v>8063</v>
      </c>
      <c r="AK698" s="6" t="str">
        <f t="shared" si="317"/>
        <v>=85.10*100000000</v>
      </c>
      <c r="AL698" s="1">
        <f>85.1*100000000</f>
        <v>8509999999.999999</v>
      </c>
      <c r="AM698" s="8">
        <f t="shared" si="334"/>
        <v>0.69894190457177063</v>
      </c>
      <c r="AN698" s="6" t="s">
        <v>8064</v>
      </c>
      <c r="AO698" s="6" t="str">
        <f t="shared" si="318"/>
        <v>=50.09*100000000</v>
      </c>
      <c r="AP698" s="1">
        <f>50.09*100000000</f>
        <v>5009000000</v>
      </c>
      <c r="AQ698" s="8">
        <f t="shared" si="335"/>
        <v>0.51192272864473265</v>
      </c>
      <c r="AR698" s="6" t="s">
        <v>8065</v>
      </c>
      <c r="AS698" s="6" t="str">
        <f t="shared" si="319"/>
        <v>=33.13*100000000</v>
      </c>
      <c r="AT698" s="1">
        <f>33.13*100000000</f>
        <v>3313000000.0000005</v>
      </c>
      <c r="AU698" s="8">
        <f t="shared" si="336"/>
        <v>1.646166134185304</v>
      </c>
      <c r="AV698" s="6" t="s">
        <v>8066</v>
      </c>
      <c r="AW698" s="6" t="str">
        <f t="shared" si="320"/>
        <v>=12.52*100000000</v>
      </c>
      <c r="AX698" s="1">
        <f>12.52*100000000</f>
        <v>1252000000</v>
      </c>
      <c r="AY698" s="10">
        <f t="shared" si="337"/>
        <v>-0.83746592236790862</v>
      </c>
      <c r="AZ698" s="6" t="s">
        <v>8067</v>
      </c>
      <c r="BA698" s="6" t="str">
        <f t="shared" si="321"/>
        <v>=77.03*100000000</v>
      </c>
      <c r="BB698" s="1">
        <f>77.03*100000000</f>
        <v>7703000000</v>
      </c>
      <c r="BC698" s="8">
        <f t="shared" si="338"/>
        <v>0.69371152154793314</v>
      </c>
      <c r="BD698" s="6" t="s">
        <v>8068</v>
      </c>
      <c r="BE698" s="6" t="str">
        <f t="shared" si="322"/>
        <v>=45.48*100000000</v>
      </c>
      <c r="BF698" s="1">
        <f>45.48*100000000</f>
        <v>4548000000</v>
      </c>
      <c r="BG698" s="8">
        <f t="shared" si="339"/>
        <v>0.51297405189620759</v>
      </c>
      <c r="BH698" s="6" t="s">
        <v>6571</v>
      </c>
      <c r="BI698" s="6" t="str">
        <f t="shared" si="323"/>
        <v>=30.06*100000000</v>
      </c>
      <c r="BJ698" s="1">
        <f>30.06*100000000</f>
        <v>3006000000</v>
      </c>
      <c r="BK698" s="6" t="s">
        <v>4564</v>
      </c>
      <c r="BL698" s="1" t="str">
        <f t="shared" si="325"/>
        <v>=10.74*100000000</v>
      </c>
      <c r="BM698" s="16">
        <f t="shared" si="340"/>
        <v>1.7988826815642458</v>
      </c>
      <c r="BN698" s="1">
        <f>10.74*100000000</f>
        <v>1074000000</v>
      </c>
    </row>
    <row r="699" spans="1:66">
      <c r="A699" s="18"/>
      <c r="B699">
        <v>600588</v>
      </c>
      <c r="C699" t="s">
        <v>48</v>
      </c>
      <c r="D699" s="6" t="s">
        <v>8069</v>
      </c>
      <c r="E699" s="7" t="str">
        <f t="shared" si="324"/>
        <v>=7.787*100000000</v>
      </c>
      <c r="F699" s="1">
        <f>7.787*100000000</f>
        <v>778700000</v>
      </c>
      <c r="G699" s="8">
        <f t="shared" si="326"/>
        <v>23.704949238578681</v>
      </c>
      <c r="H699" s="7" t="s">
        <v>8070</v>
      </c>
      <c r="I699" s="6" t="str">
        <f t="shared" si="310"/>
        <v>=3152*10000</v>
      </c>
      <c r="J699" s="1">
        <f>3152*10000</f>
        <v>31520000</v>
      </c>
      <c r="K699" s="10">
        <f t="shared" si="327"/>
        <v>-0.78396161754626459</v>
      </c>
      <c r="L699" s="6" t="s">
        <v>5539</v>
      </c>
      <c r="M699" s="6" t="str">
        <f t="shared" si="311"/>
        <v>=1.459*100000000</v>
      </c>
      <c r="N699" s="1">
        <f>1.459*100000000</f>
        <v>145900000</v>
      </c>
      <c r="O699" s="8">
        <f t="shared" si="328"/>
        <v>-4.1786492374727668</v>
      </c>
      <c r="P699" s="7">
        <f>-4590*10000</f>
        <v>-45900000</v>
      </c>
      <c r="Q699" s="6" t="str">
        <f t="shared" si="312"/>
        <v>=-45900000</v>
      </c>
      <c r="R699" s="11">
        <f>-45900000</f>
        <v>-45900000</v>
      </c>
      <c r="S699" s="8">
        <f t="shared" si="329"/>
        <v>-1.0410922112802148</v>
      </c>
      <c r="T699" s="6" t="s">
        <v>1597</v>
      </c>
      <c r="U699" s="6" t="str">
        <f t="shared" si="313"/>
        <v>=11.17*100000000</v>
      </c>
      <c r="V699" s="1">
        <f>11.17*100000000</f>
        <v>1117000000</v>
      </c>
      <c r="W699" s="8">
        <f t="shared" si="330"/>
        <v>-113.58945670799315</v>
      </c>
      <c r="X699" s="7">
        <f>-992.1*10000</f>
        <v>-9921000</v>
      </c>
      <c r="Y699" s="6" t="str">
        <f t="shared" si="314"/>
        <v>=-9921000</v>
      </c>
      <c r="Z699" s="1">
        <f>-9921000</f>
        <v>-9921000</v>
      </c>
      <c r="AA699" s="8">
        <f t="shared" si="331"/>
        <v>-1.344359597362027</v>
      </c>
      <c r="AB699" s="7" t="s">
        <v>8071</v>
      </c>
      <c r="AC699" s="6" t="str">
        <f t="shared" si="315"/>
        <v>=2881*10000</v>
      </c>
      <c r="AD699" s="1">
        <f>2881*10000</f>
        <v>28810000</v>
      </c>
      <c r="AE699" s="8">
        <f t="shared" si="332"/>
        <v>-1.1128918495297806</v>
      </c>
      <c r="AF699" s="6">
        <f>-2.552*100000000</f>
        <v>-255200000</v>
      </c>
      <c r="AG699" s="6" t="str">
        <f t="shared" si="316"/>
        <v>=-255200000</v>
      </c>
      <c r="AH699" s="1">
        <f>-255200000</f>
        <v>-255200000</v>
      </c>
      <c r="AI699" s="8">
        <f t="shared" si="333"/>
        <v>-1.1816370106761567</v>
      </c>
      <c r="AJ699" s="6" t="s">
        <v>1803</v>
      </c>
      <c r="AK699" s="6" t="str">
        <f t="shared" si="317"/>
        <v>=14.05*100000000</v>
      </c>
      <c r="AL699" s="1">
        <f>14.05*100000000</f>
        <v>1405000000</v>
      </c>
      <c r="AM699" s="8">
        <f t="shared" si="334"/>
        <v>1.4379663369772688</v>
      </c>
      <c r="AN699" s="6" t="s">
        <v>4504</v>
      </c>
      <c r="AO699" s="6" t="str">
        <f t="shared" si="318"/>
        <v>=5.763*100000000</v>
      </c>
      <c r="AP699" s="1">
        <f>5.763*100000000</f>
        <v>576300000</v>
      </c>
      <c r="AQ699" s="8">
        <f t="shared" si="335"/>
        <v>-3.0450874831763123E-2</v>
      </c>
      <c r="AR699" s="6" t="s">
        <v>8072</v>
      </c>
      <c r="AS699" s="6" t="str">
        <f t="shared" si="319"/>
        <v>=5.944*100000000</v>
      </c>
      <c r="AT699" s="1">
        <f>5.944*100000000</f>
        <v>594400000</v>
      </c>
      <c r="AU699" s="8">
        <f t="shared" si="336"/>
        <v>3.7590072057646111</v>
      </c>
      <c r="AV699" s="6" t="s">
        <v>8073</v>
      </c>
      <c r="AW699" s="6" t="str">
        <f t="shared" si="320"/>
        <v>=1.249*100000000</v>
      </c>
      <c r="AX699" s="1">
        <f>1.249*100000000</f>
        <v>124900000.00000001</v>
      </c>
      <c r="AY699" s="10">
        <f t="shared" si="337"/>
        <v>-0.86756441522638106</v>
      </c>
      <c r="AZ699" s="6" t="s">
        <v>8074</v>
      </c>
      <c r="BA699" s="6" t="str">
        <f t="shared" si="321"/>
        <v>=9.431*100000000</v>
      </c>
      <c r="BB699" s="1">
        <f>9.431*100000000</f>
        <v>943099999.99999988</v>
      </c>
      <c r="BC699" s="8">
        <f t="shared" si="338"/>
        <v>1.4656209150326793</v>
      </c>
      <c r="BD699" s="6" t="s">
        <v>8075</v>
      </c>
      <c r="BE699" s="6" t="str">
        <f t="shared" si="322"/>
        <v>=3.825*100000000</v>
      </c>
      <c r="BF699" s="1">
        <f>3.825*100000000</f>
        <v>382500000</v>
      </c>
      <c r="BG699" s="8">
        <f t="shared" si="339"/>
        <v>0.30102040816326531</v>
      </c>
      <c r="BH699" s="6" t="s">
        <v>1580</v>
      </c>
      <c r="BI699" s="6" t="str">
        <f t="shared" si="323"/>
        <v>=2.940*100000000</v>
      </c>
      <c r="BJ699" s="1">
        <f>2.94*100000000</f>
        <v>294000000</v>
      </c>
      <c r="BK699" s="7">
        <f>-5365*10000</f>
        <v>-53650000</v>
      </c>
      <c r="BL699" s="1" t="str">
        <f t="shared" si="325"/>
        <v>=-53650000</v>
      </c>
      <c r="BM699" s="16">
        <f t="shared" si="340"/>
        <v>-6.4799627213420319</v>
      </c>
      <c r="BN699" s="1">
        <f>-53650000</f>
        <v>-53650000</v>
      </c>
    </row>
    <row r="700" spans="1:66">
      <c r="A700" s="18"/>
      <c r="B700">
        <v>600588</v>
      </c>
      <c r="C700" t="s">
        <v>58</v>
      </c>
      <c r="D700" s="6" t="s">
        <v>8076</v>
      </c>
      <c r="E700" s="7" t="str">
        <f t="shared" si="324"/>
        <v>=7.740*100000000</v>
      </c>
      <c r="F700" s="1">
        <f>7.74*100000000</f>
        <v>774000000</v>
      </c>
      <c r="G700" s="8">
        <f t="shared" si="326"/>
        <v>19.981295744104091</v>
      </c>
      <c r="H700" s="7" t="s">
        <v>8077</v>
      </c>
      <c r="I700" s="6" t="str">
        <f t="shared" si="310"/>
        <v>=3689*10000</v>
      </c>
      <c r="J700" s="1">
        <f>3689*10000</f>
        <v>36890000</v>
      </c>
      <c r="K700" s="10">
        <f t="shared" si="327"/>
        <v>-0.75258215962441311</v>
      </c>
      <c r="L700" s="6" t="s">
        <v>6889</v>
      </c>
      <c r="M700" s="6" t="str">
        <f t="shared" si="311"/>
        <v>=1.491*100000000</v>
      </c>
      <c r="N700" s="1">
        <f>1.491*100000000</f>
        <v>149100000</v>
      </c>
      <c r="O700" s="8">
        <f t="shared" si="328"/>
        <v>-4.435483870967742</v>
      </c>
      <c r="P700" s="7">
        <f>-4340*10000</f>
        <v>-43400000</v>
      </c>
      <c r="Q700" s="6" t="str">
        <f t="shared" si="312"/>
        <v>=-43400000</v>
      </c>
      <c r="R700" s="11">
        <f>-43400000</f>
        <v>-43400000</v>
      </c>
      <c r="S700" s="8">
        <f t="shared" si="329"/>
        <v>-1.0386464826357971</v>
      </c>
      <c r="T700" s="6" t="s">
        <v>363</v>
      </c>
      <c r="U700" s="6" t="str">
        <f t="shared" si="313"/>
        <v>=11.23*100000000</v>
      </c>
      <c r="V700" s="1">
        <f>11.23*100000000</f>
        <v>1123000000</v>
      </c>
      <c r="W700" s="8">
        <f t="shared" si="330"/>
        <v>-357.39479530307841</v>
      </c>
      <c r="X700" s="7">
        <f>-315.1*10000</f>
        <v>-3151000</v>
      </c>
      <c r="Y700" s="6" t="str">
        <f t="shared" si="314"/>
        <v>=-3151000</v>
      </c>
      <c r="Z700" s="1">
        <f>-3151000</f>
        <v>-3151000</v>
      </c>
      <c r="AA700" s="8">
        <f t="shared" si="331"/>
        <v>-1.0986537257357545</v>
      </c>
      <c r="AB700" s="7" t="s">
        <v>8078</v>
      </c>
      <c r="AC700" s="6" t="str">
        <f t="shared" si="315"/>
        <v>=3194*10000</v>
      </c>
      <c r="AD700" s="1">
        <f>3194*10000</f>
        <v>31940000</v>
      </c>
      <c r="AE700" s="8">
        <f t="shared" si="332"/>
        <v>-1.1259960552268244</v>
      </c>
      <c r="AF700" s="6">
        <f>-2.535*100000000</f>
        <v>-253500000</v>
      </c>
      <c r="AG700" s="6" t="str">
        <f t="shared" si="316"/>
        <v>=-253500000</v>
      </c>
      <c r="AH700" s="1">
        <f>-253500000</f>
        <v>-253500000</v>
      </c>
      <c r="AI700" s="8">
        <f t="shared" si="333"/>
        <v>-1.1805555555555556</v>
      </c>
      <c r="AJ700" s="6" t="s">
        <v>1826</v>
      </c>
      <c r="AK700" s="6" t="str">
        <f t="shared" si="317"/>
        <v>=14.04*100000000</v>
      </c>
      <c r="AL700" s="1">
        <f>14.04*100000000</f>
        <v>1404000000</v>
      </c>
      <c r="AM700" s="8">
        <f t="shared" si="334"/>
        <v>1.4362311296199897</v>
      </c>
      <c r="AN700" s="6" t="s">
        <v>4504</v>
      </c>
      <c r="AO700" s="6" t="str">
        <f t="shared" si="318"/>
        <v>=5.763*100000000</v>
      </c>
      <c r="AP700" s="1">
        <f>5.763*100000000</f>
        <v>576300000</v>
      </c>
      <c r="AQ700" s="8">
        <f t="shared" si="335"/>
        <v>-3.2241813602015112E-2</v>
      </c>
      <c r="AR700" s="6" t="s">
        <v>2064</v>
      </c>
      <c r="AS700" s="6" t="str">
        <f t="shared" si="319"/>
        <v>=5.955*100000000</v>
      </c>
      <c r="AT700" s="1">
        <f>5.955*100000000</f>
        <v>595500000</v>
      </c>
      <c r="AU700" s="8">
        <f t="shared" si="336"/>
        <v>3.7601918465227824</v>
      </c>
      <c r="AV700" s="6" t="s">
        <v>4464</v>
      </c>
      <c r="AW700" s="6" t="str">
        <f t="shared" si="320"/>
        <v>=1.251*100000000</v>
      </c>
      <c r="AX700" s="1">
        <f>1.251*100000000</f>
        <v>125099999.99999999</v>
      </c>
      <c r="AY700" s="10">
        <f t="shared" si="337"/>
        <v>-0.86835736083342108</v>
      </c>
      <c r="AZ700" s="6" t="s">
        <v>8079</v>
      </c>
      <c r="BA700" s="6" t="str">
        <f t="shared" si="321"/>
        <v>=9.503*100000000</v>
      </c>
      <c r="BB700" s="1">
        <f>9.503*100000000</f>
        <v>950300000</v>
      </c>
      <c r="BC700" s="8">
        <f t="shared" si="338"/>
        <v>1.4492268041237113</v>
      </c>
      <c r="BD700" s="6" t="s">
        <v>8080</v>
      </c>
      <c r="BE700" s="6" t="str">
        <f t="shared" si="322"/>
        <v>=3.880*100000000</v>
      </c>
      <c r="BF700" s="1">
        <f>3.88*100000000</f>
        <v>388000000</v>
      </c>
      <c r="BG700" s="8">
        <f t="shared" si="339"/>
        <v>0.30639730639730639</v>
      </c>
      <c r="BH700" s="6" t="s">
        <v>7853</v>
      </c>
      <c r="BI700" s="6" t="str">
        <f t="shared" si="323"/>
        <v>=2.970*100000000</v>
      </c>
      <c r="BJ700" s="1">
        <f>2.97*100000000</f>
        <v>297000000</v>
      </c>
      <c r="BK700" s="7">
        <f>-5125*10000</f>
        <v>-51250000</v>
      </c>
      <c r="BL700" s="1" t="str">
        <f t="shared" si="325"/>
        <v>=-51250000</v>
      </c>
      <c r="BM700" s="16">
        <f t="shared" si="340"/>
        <v>-6.795121951219512</v>
      </c>
      <c r="BN700" s="1">
        <f>-51250000</f>
        <v>-51250000</v>
      </c>
    </row>
    <row r="701" spans="1:66">
      <c r="A701" s="19"/>
      <c r="B701">
        <v>600588</v>
      </c>
      <c r="C701" t="s">
        <v>68</v>
      </c>
      <c r="D701" s="6" t="s">
        <v>2439</v>
      </c>
      <c r="E701" s="7" t="str">
        <f t="shared" si="324"/>
        <v>=6.824*100000000</v>
      </c>
      <c r="F701" s="1">
        <f>6.824*100000000</f>
        <v>682400000</v>
      </c>
      <c r="G701" s="8">
        <f t="shared" si="326"/>
        <v>19.88766452402816</v>
      </c>
      <c r="H701" s="7" t="s">
        <v>8081</v>
      </c>
      <c r="I701" s="6" t="str">
        <f t="shared" si="310"/>
        <v>=3267*10000</v>
      </c>
      <c r="J701" s="1">
        <f>3267*10000</f>
        <v>32670000</v>
      </c>
      <c r="K701" s="10">
        <f t="shared" si="327"/>
        <v>-0.77500000000000002</v>
      </c>
      <c r="L701" s="6" t="s">
        <v>1523</v>
      </c>
      <c r="M701" s="6" t="str">
        <f t="shared" si="311"/>
        <v>=1.452*100000000</v>
      </c>
      <c r="N701" s="1">
        <f>1.452*100000000</f>
        <v>145200000</v>
      </c>
      <c r="O701" s="8">
        <f t="shared" si="328"/>
        <v>-4.1898066783831283</v>
      </c>
      <c r="P701" s="7">
        <f>-4552*10000</f>
        <v>-45520000</v>
      </c>
      <c r="Q701" s="6" t="str">
        <f t="shared" si="312"/>
        <v>=-45520000</v>
      </c>
      <c r="R701" s="11">
        <f>-45520000</f>
        <v>-45520000</v>
      </c>
      <c r="S701" s="8">
        <f t="shared" si="329"/>
        <v>-1.0434351145038168</v>
      </c>
      <c r="T701" s="6" t="s">
        <v>2750</v>
      </c>
      <c r="U701" s="6" t="str">
        <f t="shared" si="313"/>
        <v>=10.48*100000000</v>
      </c>
      <c r="V701" s="1">
        <f>10.48*100000000</f>
        <v>1048000000</v>
      </c>
      <c r="W701" s="8">
        <f t="shared" si="330"/>
        <v>-39.685861941675896</v>
      </c>
      <c r="X701" s="7">
        <f>-2709*10000</f>
        <v>-27090000</v>
      </c>
      <c r="Y701" s="6" t="str">
        <f t="shared" si="314"/>
        <v>=-27090000</v>
      </c>
      <c r="Z701" s="1">
        <f>-27090000</f>
        <v>-27090000</v>
      </c>
      <c r="AA701" s="8">
        <f t="shared" si="331"/>
        <v>-2.2330450614474282</v>
      </c>
      <c r="AB701" s="7" t="s">
        <v>8082</v>
      </c>
      <c r="AC701" s="6" t="str">
        <f t="shared" si="315"/>
        <v>=2197*10000</v>
      </c>
      <c r="AD701" s="1">
        <f>2197*10000</f>
        <v>21970000</v>
      </c>
      <c r="AE701" s="8">
        <f t="shared" si="332"/>
        <v>-1.0856530214424951</v>
      </c>
      <c r="AF701" s="6">
        <f>-2.565*100000000</f>
        <v>-256500000</v>
      </c>
      <c r="AG701" s="6" t="str">
        <f t="shared" si="316"/>
        <v>=-256500000</v>
      </c>
      <c r="AH701" s="1">
        <f>-256500000</f>
        <v>-256500000</v>
      </c>
      <c r="AI701" s="8">
        <f t="shared" si="333"/>
        <v>-1.1941710825132474</v>
      </c>
      <c r="AJ701" s="6" t="s">
        <v>4506</v>
      </c>
      <c r="AK701" s="6" t="str">
        <f t="shared" si="317"/>
        <v>=13.21*100000000</v>
      </c>
      <c r="AL701" s="1">
        <f>13.21*100000000</f>
        <v>1321000000</v>
      </c>
      <c r="AM701" s="8">
        <f t="shared" si="334"/>
        <v>1.4595047477192329</v>
      </c>
      <c r="AN701" s="6" t="s">
        <v>4966</v>
      </c>
      <c r="AO701" s="6" t="str">
        <f t="shared" si="318"/>
        <v>=5.371*100000000</v>
      </c>
      <c r="AP701" s="1">
        <f>5.371*100000000</f>
        <v>537100000</v>
      </c>
      <c r="AQ701" s="8">
        <f t="shared" si="335"/>
        <v>-4.0550196498749552E-2</v>
      </c>
      <c r="AR701" s="6" t="s">
        <v>6953</v>
      </c>
      <c r="AS701" s="6" t="str">
        <f t="shared" si="319"/>
        <v>=5.598*100000000</v>
      </c>
      <c r="AT701" s="1">
        <f>5.598*100000000</f>
        <v>559800000</v>
      </c>
      <c r="AU701" s="8">
        <f t="shared" si="336"/>
        <v>4.5098425196850398</v>
      </c>
      <c r="AV701" s="6" t="s">
        <v>7392</v>
      </c>
      <c r="AW701" s="6" t="str">
        <f t="shared" si="320"/>
        <v>=1.016*100000000</v>
      </c>
      <c r="AX701" s="1">
        <f>1.016*100000000</f>
        <v>101600000</v>
      </c>
      <c r="AY701" s="10">
        <f t="shared" si="337"/>
        <v>-0.87459886447790669</v>
      </c>
      <c r="AZ701" s="6" t="s">
        <v>8083</v>
      </c>
      <c r="BA701" s="6" t="str">
        <f t="shared" si="321"/>
        <v>=8.102*100000000</v>
      </c>
      <c r="BB701" s="1">
        <f>8.102*100000000</f>
        <v>810200000</v>
      </c>
      <c r="BC701" s="8">
        <f t="shared" si="338"/>
        <v>1.8987477638640429</v>
      </c>
      <c r="BD701" s="6" t="s">
        <v>8084</v>
      </c>
      <c r="BE701" s="6" t="str">
        <f t="shared" si="322"/>
        <v>=2.795*100000000</v>
      </c>
      <c r="BF701" s="1">
        <f>2.795*100000000</f>
        <v>279500000</v>
      </c>
      <c r="BG701" s="8">
        <f t="shared" si="339"/>
        <v>0.24388072986203826</v>
      </c>
      <c r="BH701" s="6" t="s">
        <v>8085</v>
      </c>
      <c r="BI701" s="6" t="str">
        <f t="shared" si="323"/>
        <v>=2.247*100000000</v>
      </c>
      <c r="BJ701" s="1">
        <f>2.247*100000000</f>
        <v>224700000</v>
      </c>
      <c r="BK701" s="7">
        <f>-8395*10000</f>
        <v>-83950000</v>
      </c>
      <c r="BL701" s="1" t="str">
        <f t="shared" si="325"/>
        <v>=-83950000</v>
      </c>
      <c r="BM701" s="16">
        <f t="shared" si="340"/>
        <v>-3.6765932102441932</v>
      </c>
      <c r="BN701" s="1">
        <f>-83950000</f>
        <v>-83950000</v>
      </c>
    </row>
    <row r="702" spans="1:66">
      <c r="A702" s="17">
        <v>177</v>
      </c>
      <c r="B702">
        <v>600596</v>
      </c>
      <c r="C702" t="s">
        <v>31</v>
      </c>
      <c r="D702" s="6" t="s">
        <v>8086</v>
      </c>
      <c r="E702" s="7" t="str">
        <f t="shared" si="324"/>
        <v>=189.8*100000000</v>
      </c>
      <c r="F702" s="1">
        <f>189.8*100000000</f>
        <v>18980000000</v>
      </c>
      <c r="G702" s="8">
        <f t="shared" si="326"/>
        <v>0.42492492492492512</v>
      </c>
      <c r="H702" s="6" t="s">
        <v>8087</v>
      </c>
      <c r="I702" s="6" t="str">
        <f t="shared" si="310"/>
        <v>=133.2*100000000</v>
      </c>
      <c r="J702" s="1">
        <f>133.2*100000000</f>
        <v>13319999999.999998</v>
      </c>
      <c r="K702" s="10">
        <f t="shared" si="327"/>
        <v>0.57353809805079703</v>
      </c>
      <c r="L702" s="6" t="s">
        <v>8088</v>
      </c>
      <c r="M702" s="6" t="str">
        <f t="shared" si="311"/>
        <v>=84.65*100000000</v>
      </c>
      <c r="N702" s="1">
        <f>84.65*100000000</f>
        <v>8465000000.000001</v>
      </c>
      <c r="O702" s="8">
        <f t="shared" si="328"/>
        <v>1.2417902542372883</v>
      </c>
      <c r="P702" s="6" t="s">
        <v>8089</v>
      </c>
      <c r="Q702" s="6" t="str">
        <f t="shared" si="312"/>
        <v>=37.76*100000000</v>
      </c>
      <c r="R702" s="11">
        <f>37.76*100000000</f>
        <v>3776000000</v>
      </c>
      <c r="S702" s="8">
        <f t="shared" si="329"/>
        <v>-0.69864325618515566</v>
      </c>
      <c r="T702" s="6" t="s">
        <v>8090</v>
      </c>
      <c r="U702" s="6" t="str">
        <f t="shared" si="313"/>
        <v>=125.3*100000000</v>
      </c>
      <c r="V702" s="1">
        <f>125.3*100000000</f>
        <v>12530000000</v>
      </c>
      <c r="W702" s="8">
        <f t="shared" si="330"/>
        <v>0.32775246370668643</v>
      </c>
      <c r="X702" s="6" t="s">
        <v>8091</v>
      </c>
      <c r="Y702" s="6" t="str">
        <f t="shared" si="314"/>
        <v>=94.37*100000000</v>
      </c>
      <c r="Z702" s="1">
        <f>94.37*100000000</f>
        <v>9437000000</v>
      </c>
      <c r="AA702" s="8">
        <f t="shared" si="331"/>
        <v>0.49817431338307666</v>
      </c>
      <c r="AB702" s="6" t="s">
        <v>8092</v>
      </c>
      <c r="AC702" s="6" t="str">
        <f t="shared" si="315"/>
        <v>=62.99*100000000</v>
      </c>
      <c r="AD702" s="1">
        <f>62.99*100000000</f>
        <v>6299000000</v>
      </c>
      <c r="AE702" s="8">
        <f t="shared" si="332"/>
        <v>1.2360667376641818</v>
      </c>
      <c r="AF702" s="6" t="s">
        <v>5645</v>
      </c>
      <c r="AG702" s="6" t="str">
        <f t="shared" si="316"/>
        <v>=28.17*100000000</v>
      </c>
      <c r="AH702" s="1">
        <f>28.17*100000000</f>
        <v>2817000000</v>
      </c>
      <c r="AI702" s="8">
        <f t="shared" si="333"/>
        <v>-0.76544546211490427</v>
      </c>
      <c r="AJ702" s="6" t="s">
        <v>8093</v>
      </c>
      <c r="AK702" s="6" t="str">
        <f t="shared" si="317"/>
        <v>=120.1*100000000</v>
      </c>
      <c r="AL702" s="1">
        <f>120.1*100000000</f>
        <v>12010000000</v>
      </c>
      <c r="AM702" s="8">
        <f t="shared" si="334"/>
        <v>0.38956380886266345</v>
      </c>
      <c r="AN702" s="6" t="s">
        <v>8094</v>
      </c>
      <c r="AO702" s="6" t="str">
        <f t="shared" si="318"/>
        <v>=86.43*100000000</v>
      </c>
      <c r="AP702" s="1">
        <f>86.43*100000000</f>
        <v>8643000000</v>
      </c>
      <c r="AQ702" s="8">
        <f t="shared" si="335"/>
        <v>0.48454139470972174</v>
      </c>
      <c r="AR702" s="6" t="s">
        <v>8095</v>
      </c>
      <c r="AS702" s="6" t="str">
        <f t="shared" si="319"/>
        <v>=58.22*100000000</v>
      </c>
      <c r="AT702" s="1">
        <f>58.22*100000000</f>
        <v>5822000000</v>
      </c>
      <c r="AU702" s="8">
        <f t="shared" si="336"/>
        <v>1.0335312609151239</v>
      </c>
      <c r="AV702" s="6" t="s">
        <v>8096</v>
      </c>
      <c r="AW702" s="6" t="str">
        <f t="shared" si="320"/>
        <v>=28.63*100000000</v>
      </c>
      <c r="AX702" s="1">
        <f>28.63*100000000</f>
        <v>2863000000</v>
      </c>
      <c r="AY702" s="10">
        <f t="shared" si="337"/>
        <v>-0.73972727272727268</v>
      </c>
      <c r="AZ702" s="6" t="s">
        <v>8097</v>
      </c>
      <c r="BA702" s="6" t="str">
        <f t="shared" si="321"/>
        <v>=110.0*100000000</v>
      </c>
      <c r="BB702" s="1">
        <f>110*100000000</f>
        <v>11000000000</v>
      </c>
      <c r="BC702" s="8">
        <f t="shared" si="338"/>
        <v>0.26045605591841414</v>
      </c>
      <c r="BD702" s="6" t="s">
        <v>8098</v>
      </c>
      <c r="BE702" s="6" t="str">
        <f t="shared" si="322"/>
        <v>=87.27*100000000</v>
      </c>
      <c r="BF702" s="1">
        <f>87.27*100000000</f>
        <v>8727000000</v>
      </c>
      <c r="BG702" s="8">
        <f t="shared" si="339"/>
        <v>0.46180904522613064</v>
      </c>
      <c r="BH702" s="6" t="s">
        <v>8099</v>
      </c>
      <c r="BI702" s="6" t="str">
        <f t="shared" si="323"/>
        <v>=59.70*100000000</v>
      </c>
      <c r="BJ702" s="1">
        <f>59.7*100000000</f>
        <v>5970000000</v>
      </c>
      <c r="BK702" s="6" t="s">
        <v>140</v>
      </c>
      <c r="BL702" s="1" t="str">
        <f t="shared" si="325"/>
        <v>=26.64*100000000</v>
      </c>
      <c r="BM702" s="16">
        <f t="shared" si="340"/>
        <v>1.2409909909909911</v>
      </c>
      <c r="BN702" s="1">
        <f>26.64*100000000</f>
        <v>2664000000</v>
      </c>
    </row>
    <row r="703" spans="1:66">
      <c r="A703" s="18"/>
      <c r="B703">
        <v>600596</v>
      </c>
      <c r="C703" t="s">
        <v>48</v>
      </c>
      <c r="D703" s="6" t="s">
        <v>1737</v>
      </c>
      <c r="E703" s="7" t="str">
        <f t="shared" si="324"/>
        <v>=32.17*100000000</v>
      </c>
      <c r="F703" s="1">
        <f>32.17*100000000</f>
        <v>3217000000</v>
      </c>
      <c r="G703" s="8">
        <f t="shared" si="326"/>
        <v>0.69404949973670371</v>
      </c>
      <c r="H703" s="6" t="s">
        <v>4133</v>
      </c>
      <c r="I703" s="6" t="str">
        <f t="shared" ref="I703:I766" si="341">"="&amp;H703</f>
        <v>=18.99*100000000</v>
      </c>
      <c r="J703" s="1">
        <f>18.99*100000000</f>
        <v>1898999999.9999998</v>
      </c>
      <c r="K703" s="10">
        <f t="shared" si="327"/>
        <v>0.92031550207301038</v>
      </c>
      <c r="L703" s="6" t="s">
        <v>8100</v>
      </c>
      <c r="M703" s="6" t="str">
        <f t="shared" ref="M703:M766" si="342">"="&amp;L703</f>
        <v>=9.889*100000000</v>
      </c>
      <c r="N703" s="1">
        <f>9.889*100000000</f>
        <v>988899999.99999988</v>
      </c>
      <c r="O703" s="8">
        <f t="shared" si="328"/>
        <v>2.0673076923076921</v>
      </c>
      <c r="P703" s="6" t="s">
        <v>8101</v>
      </c>
      <c r="Q703" s="6" t="str">
        <f t="shared" ref="Q703:Q766" si="343">"="&amp;P703</f>
        <v>=3.224*100000000</v>
      </c>
      <c r="R703" s="11">
        <f>3.224*100000000</f>
        <v>322400000</v>
      </c>
      <c r="S703" s="8">
        <f t="shared" si="329"/>
        <v>-0.60251510294661581</v>
      </c>
      <c r="T703" s="6" t="s">
        <v>8102</v>
      </c>
      <c r="U703" s="6" t="str">
        <f t="shared" ref="U703:U766" si="344">"="&amp;T703</f>
        <v>=8.111*100000000</v>
      </c>
      <c r="V703" s="1">
        <f>8.111*100000000</f>
        <v>811100000.00000012</v>
      </c>
      <c r="W703" s="8">
        <f t="shared" si="330"/>
        <v>1.1986988343724589</v>
      </c>
      <c r="X703" s="6" t="s">
        <v>6678</v>
      </c>
      <c r="Y703" s="6" t="str">
        <f t="shared" ref="Y703:Y766" si="345">"="&amp;X703</f>
        <v>=3.689*100000000</v>
      </c>
      <c r="Z703" s="1">
        <f>3.689*100000000</f>
        <v>368900000</v>
      </c>
      <c r="AA703" s="8">
        <f t="shared" si="331"/>
        <v>0.82623762376237619</v>
      </c>
      <c r="AB703" s="6" t="s">
        <v>5930</v>
      </c>
      <c r="AC703" s="6" t="str">
        <f t="shared" ref="AC703:AC766" si="346">"="&amp;AB703</f>
        <v>=2.020*100000000</v>
      </c>
      <c r="AD703" s="1">
        <f>2.02*100000000</f>
        <v>202000000</v>
      </c>
      <c r="AE703" s="8">
        <f t="shared" si="332"/>
        <v>1.8188668713368685</v>
      </c>
      <c r="AF703" s="7" t="s">
        <v>8103</v>
      </c>
      <c r="AG703" s="6" t="str">
        <f t="shared" ref="AG703:AG766" si="347">"="&amp;AF703</f>
        <v>=7166*10000</v>
      </c>
      <c r="AH703" s="1">
        <f>7166*10000</f>
        <v>71660000</v>
      </c>
      <c r="AI703" s="8">
        <f t="shared" si="333"/>
        <v>-0.89004143010587689</v>
      </c>
      <c r="AJ703" s="6" t="s">
        <v>8104</v>
      </c>
      <c r="AK703" s="6" t="str">
        <f t="shared" ref="AK703:AK766" si="348">"="&amp;AJ703</f>
        <v>=6.517*100000000</v>
      </c>
      <c r="AL703" s="1">
        <f>6.517*100000000</f>
        <v>651700000</v>
      </c>
      <c r="AM703" s="8">
        <f t="shared" si="334"/>
        <v>0.13181660298714831</v>
      </c>
      <c r="AN703" s="6" t="s">
        <v>8105</v>
      </c>
      <c r="AO703" s="6" t="str">
        <f t="shared" ref="AO703:AO766" si="349">"="&amp;AN703</f>
        <v>=5.758*100000000</v>
      </c>
      <c r="AP703" s="1">
        <f>5.758*100000000</f>
        <v>575800000</v>
      </c>
      <c r="AQ703" s="8">
        <f t="shared" si="335"/>
        <v>0.58099945085118065</v>
      </c>
      <c r="AR703" s="6" t="s">
        <v>8106</v>
      </c>
      <c r="AS703" s="6" t="str">
        <f t="shared" ref="AS703:AS766" si="350">"="&amp;AR703</f>
        <v>=3.642*100000000</v>
      </c>
      <c r="AT703" s="1">
        <f>3.642*100000000</f>
        <v>364200000</v>
      </c>
      <c r="AU703" s="8">
        <f t="shared" si="336"/>
        <v>1.1248541423570595</v>
      </c>
      <c r="AV703" s="6" t="s">
        <v>8107</v>
      </c>
      <c r="AW703" s="6" t="str">
        <f t="shared" ref="AW703:AW766" si="351">"="&amp;AV703</f>
        <v>=1.714*100000000</v>
      </c>
      <c r="AX703" s="1">
        <f>1.714*100000000</f>
        <v>171400000</v>
      </c>
      <c r="AY703" s="10">
        <f t="shared" si="337"/>
        <v>-0.87971929824561401</v>
      </c>
      <c r="AZ703" s="6" t="s">
        <v>8108</v>
      </c>
      <c r="BA703" s="6" t="str">
        <f t="shared" ref="BA703:BA766" si="352">"="&amp;AZ703</f>
        <v>=14.25*100000000</v>
      </c>
      <c r="BB703" s="1">
        <f>14.25*100000000</f>
        <v>1425000000</v>
      </c>
      <c r="BC703" s="8">
        <f t="shared" si="338"/>
        <v>5.6457304163726185E-3</v>
      </c>
      <c r="BD703" s="6" t="s">
        <v>8109</v>
      </c>
      <c r="BE703" s="6" t="str">
        <f t="shared" ref="BE703:BE766" si="353">"="&amp;BD703</f>
        <v>=14.17*100000000</v>
      </c>
      <c r="BF703" s="1">
        <f>14.17*100000000</f>
        <v>1417000000</v>
      </c>
      <c r="BG703" s="8">
        <f t="shared" si="339"/>
        <v>0.66607877718988806</v>
      </c>
      <c r="BH703" s="6" t="s">
        <v>8110</v>
      </c>
      <c r="BI703" s="6" t="str">
        <f t="shared" ref="BI703:BI766" si="354">"="&amp;BH703</f>
        <v>=8.505*100000000</v>
      </c>
      <c r="BJ703" s="1">
        <f>8.505*100000000</f>
        <v>850500000.00000012</v>
      </c>
      <c r="BK703" s="6" t="s">
        <v>6221</v>
      </c>
      <c r="BL703" s="1" t="str">
        <f t="shared" si="325"/>
        <v>=2.837*100000000</v>
      </c>
      <c r="BM703" s="16">
        <f t="shared" si="340"/>
        <v>1.9978850898836804</v>
      </c>
      <c r="BN703" s="1">
        <f>2.837*100000000</f>
        <v>283700000</v>
      </c>
    </row>
    <row r="704" spans="1:66">
      <c r="A704" s="18"/>
      <c r="B704">
        <v>600596</v>
      </c>
      <c r="C704" t="s">
        <v>58</v>
      </c>
      <c r="D704" s="6" t="s">
        <v>8111</v>
      </c>
      <c r="E704" s="7" t="str">
        <f t="shared" si="324"/>
        <v>=31.43*100000000</v>
      </c>
      <c r="F704" s="1">
        <f>31.43*100000000</f>
        <v>3143000000</v>
      </c>
      <c r="G704" s="8">
        <f t="shared" si="326"/>
        <v>0.67895299145299148</v>
      </c>
      <c r="H704" s="6" t="s">
        <v>8112</v>
      </c>
      <c r="I704" s="6" t="str">
        <f t="shared" si="341"/>
        <v>=18.72*100000000</v>
      </c>
      <c r="J704" s="1">
        <f>18.72*100000000</f>
        <v>1872000000</v>
      </c>
      <c r="K704" s="10">
        <f t="shared" si="327"/>
        <v>0.9111791730474732</v>
      </c>
      <c r="L704" s="6" t="s">
        <v>8113</v>
      </c>
      <c r="M704" s="6" t="str">
        <f t="shared" si="342"/>
        <v>=9.795*100000000</v>
      </c>
      <c r="N704" s="1">
        <f>9.795*100000000</f>
        <v>979500000</v>
      </c>
      <c r="O704" s="8">
        <f t="shared" si="328"/>
        <v>2.0957648546144121</v>
      </c>
      <c r="P704" s="6" t="s">
        <v>8114</v>
      </c>
      <c r="Q704" s="6" t="str">
        <f t="shared" si="343"/>
        <v>=3.164*100000000</v>
      </c>
      <c r="R704" s="11">
        <f>3.164*100000000</f>
        <v>316400000</v>
      </c>
      <c r="S704" s="8">
        <f t="shared" si="329"/>
        <v>-0.58962386511024645</v>
      </c>
      <c r="T704" s="6" t="s">
        <v>8115</v>
      </c>
      <c r="U704" s="6" t="str">
        <f t="shared" si="344"/>
        <v>=7.710*100000000</v>
      </c>
      <c r="V704" s="1">
        <f>7.71*100000000</f>
        <v>771000000</v>
      </c>
      <c r="W704" s="8">
        <f t="shared" si="330"/>
        <v>1.1748942172073342</v>
      </c>
      <c r="X704" s="6" t="s">
        <v>63</v>
      </c>
      <c r="Y704" s="6" t="str">
        <f t="shared" si="345"/>
        <v>=3.545*100000000</v>
      </c>
      <c r="Z704" s="1">
        <f>3.545*100000000</f>
        <v>354500000</v>
      </c>
      <c r="AA704" s="8">
        <f t="shared" si="331"/>
        <v>0.85311029796131732</v>
      </c>
      <c r="AB704" s="6" t="s">
        <v>8116</v>
      </c>
      <c r="AC704" s="6" t="str">
        <f t="shared" si="346"/>
        <v>=1.913*100000000</v>
      </c>
      <c r="AD704" s="1">
        <f>1.913*100000000</f>
        <v>191300000</v>
      </c>
      <c r="AE704" s="8">
        <f t="shared" si="332"/>
        <v>2.1751037344398338</v>
      </c>
      <c r="AF704" s="7" t="s">
        <v>8117</v>
      </c>
      <c r="AG704" s="6" t="str">
        <f t="shared" si="347"/>
        <v>=6025*10000</v>
      </c>
      <c r="AH704" s="1">
        <f>6025*10000</f>
        <v>60250000</v>
      </c>
      <c r="AI704" s="8">
        <f t="shared" si="333"/>
        <v>-0.90610877357020414</v>
      </c>
      <c r="AJ704" s="6" t="s">
        <v>8118</v>
      </c>
      <c r="AK704" s="6" t="str">
        <f t="shared" si="348"/>
        <v>=6.417*100000000</v>
      </c>
      <c r="AL704" s="1">
        <f>6.417*100000000</f>
        <v>641700000</v>
      </c>
      <c r="AM704" s="8">
        <f t="shared" si="334"/>
        <v>0.12106918238993711</v>
      </c>
      <c r="AN704" s="6" t="s">
        <v>8119</v>
      </c>
      <c r="AO704" s="6" t="str">
        <f t="shared" si="349"/>
        <v>=5.724*100000000</v>
      </c>
      <c r="AP704" s="1">
        <f>5.724*100000000</f>
        <v>572400000</v>
      </c>
      <c r="AQ704" s="8">
        <f t="shared" si="335"/>
        <v>0.57990615512006627</v>
      </c>
      <c r="AR704" s="6" t="s">
        <v>5671</v>
      </c>
      <c r="AS704" s="6" t="str">
        <f t="shared" si="350"/>
        <v>=3.623*100000000</v>
      </c>
      <c r="AT704" s="1">
        <f>3.623*100000000</f>
        <v>362300000</v>
      </c>
      <c r="AU704" s="8">
        <f t="shared" si="336"/>
        <v>1.1694610778443113</v>
      </c>
      <c r="AV704" s="6" t="s">
        <v>3435</v>
      </c>
      <c r="AW704" s="6" t="str">
        <f t="shared" si="351"/>
        <v>=1.670*100000000</v>
      </c>
      <c r="AX704" s="1">
        <f>1.67*100000000</f>
        <v>167000000</v>
      </c>
      <c r="AY704" s="10">
        <f t="shared" si="337"/>
        <v>-0.87950937950937946</v>
      </c>
      <c r="AZ704" s="6" t="s">
        <v>4240</v>
      </c>
      <c r="BA704" s="6" t="str">
        <f t="shared" si="352"/>
        <v>=13.86*100000000</v>
      </c>
      <c r="BB704" s="1">
        <f>13.86*100000000</f>
        <v>1386000000</v>
      </c>
      <c r="BC704" s="8">
        <f t="shared" si="338"/>
        <v>-5.0251256281407036E-3</v>
      </c>
      <c r="BD704" s="6" t="s">
        <v>1345</v>
      </c>
      <c r="BE704" s="6" t="str">
        <f t="shared" si="353"/>
        <v>=13.93*100000000</v>
      </c>
      <c r="BF704" s="1">
        <f>13.93*100000000</f>
        <v>1393000000</v>
      </c>
      <c r="BG704" s="8">
        <f t="shared" si="339"/>
        <v>0.67770685294471855</v>
      </c>
      <c r="BH704" s="6" t="s">
        <v>8120</v>
      </c>
      <c r="BI704" s="6" t="str">
        <f t="shared" si="354"/>
        <v>=8.303*100000000</v>
      </c>
      <c r="BJ704" s="1">
        <f>8.303*100000000</f>
        <v>830300000.00000012</v>
      </c>
      <c r="BK704" s="6" t="s">
        <v>8121</v>
      </c>
      <c r="BL704" s="1" t="str">
        <f t="shared" si="325"/>
        <v>=2.798*100000000</v>
      </c>
      <c r="BM704" s="16">
        <f t="shared" si="340"/>
        <v>1.9674767691208011</v>
      </c>
      <c r="BN704" s="1">
        <f>2.798*100000000</f>
        <v>279800000</v>
      </c>
    </row>
    <row r="705" spans="1:66">
      <c r="A705" s="19"/>
      <c r="B705">
        <v>600596</v>
      </c>
      <c r="C705" t="s">
        <v>68</v>
      </c>
      <c r="D705" s="6" t="s">
        <v>8122</v>
      </c>
      <c r="E705" s="7" t="str">
        <f t="shared" si="324"/>
        <v>=27.13*100000000</v>
      </c>
      <c r="F705" s="1">
        <f>27.13*100000000</f>
        <v>2713000000</v>
      </c>
      <c r="G705" s="8">
        <f t="shared" si="326"/>
        <v>0.64723740133576202</v>
      </c>
      <c r="H705" s="6" t="s">
        <v>8123</v>
      </c>
      <c r="I705" s="6" t="str">
        <f t="shared" si="341"/>
        <v>=16.47*100000000</v>
      </c>
      <c r="J705" s="1">
        <f>16.47*100000000</f>
        <v>1647000000</v>
      </c>
      <c r="K705" s="10">
        <f t="shared" si="327"/>
        <v>0.8931034482758623</v>
      </c>
      <c r="L705" s="6" t="s">
        <v>8124</v>
      </c>
      <c r="M705" s="6" t="str">
        <f t="shared" si="342"/>
        <v>=8.700*100000000</v>
      </c>
      <c r="N705" s="1">
        <f>8.7*100000000</f>
        <v>869999999.99999988</v>
      </c>
      <c r="O705" s="8">
        <f t="shared" si="328"/>
        <v>2.0894886363636358</v>
      </c>
      <c r="P705" s="6" t="s">
        <v>8125</v>
      </c>
      <c r="Q705" s="6" t="str">
        <f t="shared" si="343"/>
        <v>=2.816*100000000</v>
      </c>
      <c r="R705" s="11">
        <f>2.816*100000000</f>
        <v>281600000</v>
      </c>
      <c r="S705" s="8">
        <f t="shared" si="329"/>
        <v>-0.56401919801826905</v>
      </c>
      <c r="T705" s="6" t="s">
        <v>8126</v>
      </c>
      <c r="U705" s="6" t="str">
        <f t="shared" si="344"/>
        <v>=6.459*100000000</v>
      </c>
      <c r="V705" s="1">
        <f>6.459*100000000</f>
        <v>645900000</v>
      </c>
      <c r="W705" s="8">
        <f t="shared" si="330"/>
        <v>1.4728177641653906</v>
      </c>
      <c r="X705" s="6" t="s">
        <v>3512</v>
      </c>
      <c r="Y705" s="6" t="str">
        <f t="shared" si="345"/>
        <v>=2.612*100000000</v>
      </c>
      <c r="Z705" s="1">
        <f>2.612*100000000</f>
        <v>261200000</v>
      </c>
      <c r="AA705" s="8">
        <f t="shared" si="331"/>
        <v>1.0912730184147317</v>
      </c>
      <c r="AB705" s="6" t="s">
        <v>8073</v>
      </c>
      <c r="AC705" s="6" t="str">
        <f t="shared" si="346"/>
        <v>=1.249*100000000</v>
      </c>
      <c r="AD705" s="1">
        <f>1.249*100000000</f>
        <v>124900000.00000001</v>
      </c>
      <c r="AE705" s="8">
        <f t="shared" si="332"/>
        <v>2.9006870705808874</v>
      </c>
      <c r="AF705" s="7" t="s">
        <v>8127</v>
      </c>
      <c r="AG705" s="6" t="str">
        <f t="shared" si="347"/>
        <v>=3202*10000</v>
      </c>
      <c r="AH705" s="1">
        <f>3202*10000</f>
        <v>32020000</v>
      </c>
      <c r="AI705" s="8">
        <f t="shared" si="333"/>
        <v>-0.93889312977099237</v>
      </c>
      <c r="AJ705" s="6" t="s">
        <v>8128</v>
      </c>
      <c r="AK705" s="6" t="str">
        <f t="shared" si="348"/>
        <v>=5.240*100000000</v>
      </c>
      <c r="AL705" s="1">
        <f>5.24*100000000</f>
        <v>524000000</v>
      </c>
      <c r="AM705" s="8">
        <f t="shared" si="334"/>
        <v>0.10922946655376799</v>
      </c>
      <c r="AN705" s="6" t="s">
        <v>8129</v>
      </c>
      <c r="AO705" s="6" t="str">
        <f t="shared" si="349"/>
        <v>=4.724*100000000</v>
      </c>
      <c r="AP705" s="1">
        <f>4.724*100000000</f>
        <v>472400000</v>
      </c>
      <c r="AQ705" s="8">
        <f t="shared" si="335"/>
        <v>0.58629952988582945</v>
      </c>
      <c r="AR705" s="6" t="s">
        <v>1223</v>
      </c>
      <c r="AS705" s="6" t="str">
        <f t="shared" si="350"/>
        <v>=2.978*100000000</v>
      </c>
      <c r="AT705" s="1">
        <f>2.978*100000000</f>
        <v>297800000</v>
      </c>
      <c r="AU705" s="8">
        <f t="shared" si="336"/>
        <v>1.1769005847953216</v>
      </c>
      <c r="AV705" s="6" t="s">
        <v>8130</v>
      </c>
      <c r="AW705" s="6" t="str">
        <f t="shared" si="351"/>
        <v>=1.368*100000000</v>
      </c>
      <c r="AX705" s="1">
        <f>1.368*100000000</f>
        <v>136800000</v>
      </c>
      <c r="AY705" s="10">
        <f t="shared" si="337"/>
        <v>-0.89064748201438848</v>
      </c>
      <c r="AZ705" s="6" t="s">
        <v>8131</v>
      </c>
      <c r="BA705" s="6" t="str">
        <f t="shared" si="352"/>
        <v>=12.51*100000000</v>
      </c>
      <c r="BB705" s="1">
        <f>12.51*100000000</f>
        <v>1251000000</v>
      </c>
      <c r="BC705" s="8">
        <f t="shared" si="338"/>
        <v>5.9271803556308213E-2</v>
      </c>
      <c r="BD705" s="6" t="s">
        <v>5171</v>
      </c>
      <c r="BE705" s="6" t="str">
        <f t="shared" si="353"/>
        <v>=11.81*100000000</v>
      </c>
      <c r="BF705" s="1">
        <f>11.81*100000000</f>
        <v>1181000000</v>
      </c>
      <c r="BG705" s="8">
        <f t="shared" si="339"/>
        <v>0.64484679665738165</v>
      </c>
      <c r="BH705" s="6" t="s">
        <v>8132</v>
      </c>
      <c r="BI705" s="6" t="str">
        <f t="shared" si="354"/>
        <v>=7.180*100000000</v>
      </c>
      <c r="BJ705" s="1">
        <f>7.18*100000000</f>
        <v>718000000</v>
      </c>
      <c r="BK705" s="6" t="s">
        <v>8133</v>
      </c>
      <c r="BL705" s="1" t="str">
        <f t="shared" si="325"/>
        <v>=2.618*100000000</v>
      </c>
      <c r="BM705" s="16">
        <f t="shared" si="340"/>
        <v>1.7425515660809778</v>
      </c>
      <c r="BN705" s="1">
        <f>2.618*100000000</f>
        <v>261800000</v>
      </c>
    </row>
    <row r="706" spans="1:66">
      <c r="A706" s="17">
        <v>178</v>
      </c>
      <c r="B706">
        <v>600597</v>
      </c>
      <c r="C706" t="s">
        <v>31</v>
      </c>
      <c r="D706" s="6" t="s">
        <v>8134</v>
      </c>
      <c r="E706" s="7" t="str">
        <f t="shared" ref="E706:E769" si="355">"="&amp;D706</f>
        <v>=292.1*100000000</v>
      </c>
      <c r="F706" s="1">
        <f>292.1*100000000</f>
        <v>29210000000.000004</v>
      </c>
      <c r="G706" s="8">
        <f t="shared" si="326"/>
        <v>0.32411604714415249</v>
      </c>
      <c r="H706" s="6" t="s">
        <v>8135</v>
      </c>
      <c r="I706" s="6" t="str">
        <f t="shared" si="341"/>
        <v>=220.6*100000000</v>
      </c>
      <c r="J706" s="1">
        <f>220.6*100000000</f>
        <v>22060000000</v>
      </c>
      <c r="K706" s="10">
        <f t="shared" si="327"/>
        <v>0.54698457223001407</v>
      </c>
      <c r="L706" s="6" t="s">
        <v>530</v>
      </c>
      <c r="M706" s="6" t="str">
        <f t="shared" si="342"/>
        <v>=142.6*100000000</v>
      </c>
      <c r="N706" s="1">
        <f>142.6*100000000</f>
        <v>14260000000</v>
      </c>
      <c r="O706" s="8">
        <f t="shared" si="328"/>
        <v>1.041225307758374</v>
      </c>
      <c r="P706" s="6" t="s">
        <v>6844</v>
      </c>
      <c r="Q706" s="6" t="str">
        <f t="shared" si="343"/>
        <v>=69.86*100000000</v>
      </c>
      <c r="R706" s="11">
        <f>69.86*100000000</f>
        <v>6986000000</v>
      </c>
      <c r="S706" s="8">
        <f t="shared" si="329"/>
        <v>-0.72354570637119109</v>
      </c>
      <c r="T706" s="6" t="s">
        <v>8136</v>
      </c>
      <c r="U706" s="6" t="str">
        <f t="shared" si="344"/>
        <v>=252.7*100000000</v>
      </c>
      <c r="V706" s="1">
        <f>252.7*100000000</f>
        <v>25270000000</v>
      </c>
      <c r="W706" s="8">
        <f t="shared" si="330"/>
        <v>0.34845250800426897</v>
      </c>
      <c r="X706" s="6" t="s">
        <v>8137</v>
      </c>
      <c r="Y706" s="6" t="str">
        <f t="shared" si="345"/>
        <v>=187.4*100000000</v>
      </c>
      <c r="Z706" s="1">
        <f>187.4*100000000</f>
        <v>18740000000</v>
      </c>
      <c r="AA706" s="8">
        <f t="shared" si="331"/>
        <v>0.54238683127572018</v>
      </c>
      <c r="AB706" s="6" t="s">
        <v>2507</v>
      </c>
      <c r="AC706" s="6" t="str">
        <f t="shared" si="346"/>
        <v>=121.5*100000000</v>
      </c>
      <c r="AD706" s="1">
        <f>121.5*100000000</f>
        <v>12150000000</v>
      </c>
      <c r="AE706" s="8">
        <f t="shared" si="332"/>
        <v>1.3665757693806</v>
      </c>
      <c r="AF706" s="6" t="s">
        <v>8138</v>
      </c>
      <c r="AG706" s="6" t="str">
        <f t="shared" si="347"/>
        <v>=51.34*100000000</v>
      </c>
      <c r="AH706" s="1">
        <f>51.34*100000000</f>
        <v>5134000000</v>
      </c>
      <c r="AI706" s="8">
        <f t="shared" si="333"/>
        <v>-0.77242907801418437</v>
      </c>
      <c r="AJ706" s="6" t="s">
        <v>8139</v>
      </c>
      <c r="AK706" s="6" t="str">
        <f t="shared" si="348"/>
        <v>=225.6*100000000</v>
      </c>
      <c r="AL706" s="1">
        <f>225.6*100000000</f>
        <v>22560000000</v>
      </c>
      <c r="AM706" s="8">
        <f t="shared" si="334"/>
        <v>0.3162193698949825</v>
      </c>
      <c r="AN706" s="6" t="s">
        <v>8140</v>
      </c>
      <c r="AO706" s="6" t="str">
        <f t="shared" si="349"/>
        <v>=171.4*100000000</v>
      </c>
      <c r="AP706" s="1">
        <f>171.4*100000000</f>
        <v>17140000000</v>
      </c>
      <c r="AQ706" s="8">
        <f t="shared" si="335"/>
        <v>0.54553651938683501</v>
      </c>
      <c r="AR706" s="6" t="s">
        <v>7068</v>
      </c>
      <c r="AS706" s="6" t="str">
        <f t="shared" si="350"/>
        <v>=110.9*100000000</v>
      </c>
      <c r="AT706" s="1">
        <f>110.9*100000000</f>
        <v>11090000000</v>
      </c>
      <c r="AU706" s="8">
        <f t="shared" si="336"/>
        <v>1.0341159207630228</v>
      </c>
      <c r="AV706" s="6" t="s">
        <v>8141</v>
      </c>
      <c r="AW706" s="6" t="str">
        <f t="shared" si="351"/>
        <v>=54.52*100000000</v>
      </c>
      <c r="AX706" s="1">
        <f>54.52*100000000</f>
        <v>5452000000</v>
      </c>
      <c r="AY706" s="10">
        <f t="shared" si="337"/>
        <v>-0.74025726536445924</v>
      </c>
      <c r="AZ706" s="6" t="s">
        <v>8142</v>
      </c>
      <c r="BA706" s="6" t="str">
        <f t="shared" si="352"/>
        <v>=209.9*100000000</v>
      </c>
      <c r="BB706" s="1">
        <f>209.9*100000000</f>
        <v>20990000000</v>
      </c>
      <c r="BC706" s="8">
        <f t="shared" si="338"/>
        <v>0.32596336070751719</v>
      </c>
      <c r="BD706" s="6" t="s">
        <v>8143</v>
      </c>
      <c r="BE706" s="6" t="str">
        <f t="shared" si="353"/>
        <v>=158.3*100000000</v>
      </c>
      <c r="BF706" s="1">
        <f>158.3*100000000</f>
        <v>15830000000.000002</v>
      </c>
      <c r="BG706" s="8">
        <f t="shared" si="339"/>
        <v>0.4739292364990691</v>
      </c>
      <c r="BH706" s="6" t="s">
        <v>8144</v>
      </c>
      <c r="BI706" s="6" t="str">
        <f t="shared" si="354"/>
        <v>=107.4*100000000</v>
      </c>
      <c r="BJ706" s="1">
        <f>107.4*100000000</f>
        <v>10740000000</v>
      </c>
      <c r="BK706" s="6" t="s">
        <v>8145</v>
      </c>
      <c r="BL706" s="1" t="str">
        <f t="shared" ref="BL706:BL769" si="356">"="&amp;BK706</f>
        <v>=51.68*100000000</v>
      </c>
      <c r="BM706" s="16">
        <f t="shared" si="340"/>
        <v>1.0781733746130031</v>
      </c>
      <c r="BN706" s="1">
        <f>51.68*100000000</f>
        <v>5168000000</v>
      </c>
    </row>
    <row r="707" spans="1:66">
      <c r="A707" s="18"/>
      <c r="B707">
        <v>600597</v>
      </c>
      <c r="C707" t="s">
        <v>48</v>
      </c>
      <c r="D707" s="6" t="s">
        <v>8146</v>
      </c>
      <c r="E707" s="7" t="str">
        <f t="shared" si="355"/>
        <v>=6.569*100000000</v>
      </c>
      <c r="F707" s="1">
        <f>6.569*100000000</f>
        <v>656900000</v>
      </c>
      <c r="G707" s="8">
        <f t="shared" ref="G707:G770" si="357">(F707-J707)/J707</f>
        <v>0.80268935236004391</v>
      </c>
      <c r="H707" s="6" t="s">
        <v>7799</v>
      </c>
      <c r="I707" s="6" t="str">
        <f t="shared" si="341"/>
        <v>=3.644*100000000</v>
      </c>
      <c r="J707" s="1">
        <f>3.644*100000000</f>
        <v>364400000</v>
      </c>
      <c r="K707" s="10">
        <f t="shared" ref="K707:K770" si="358">(J707-N707)/N707</f>
        <v>0.39777522056003051</v>
      </c>
      <c r="L707" s="6" t="s">
        <v>3149</v>
      </c>
      <c r="M707" s="6" t="str">
        <f t="shared" si="342"/>
        <v>=2.607*100000000</v>
      </c>
      <c r="N707" s="1">
        <f>2.607*100000000</f>
        <v>260700000.00000003</v>
      </c>
      <c r="O707" s="8">
        <f t="shared" ref="O707:O770" si="359">(N707-R707)/R707</f>
        <v>1.5164092664092668</v>
      </c>
      <c r="P707" s="6" t="s">
        <v>344</v>
      </c>
      <c r="Q707" s="6" t="str">
        <f t="shared" si="343"/>
        <v>=1.036*100000000</v>
      </c>
      <c r="R707" s="11">
        <f>1.036*100000000</f>
        <v>103600000</v>
      </c>
      <c r="S707" s="8">
        <f t="shared" ref="S707:S770" si="360">(R707-V707)/V707</f>
        <v>-0.91345029239766085</v>
      </c>
      <c r="T707" s="6" t="s">
        <v>1118</v>
      </c>
      <c r="U707" s="6" t="str">
        <f t="shared" si="344"/>
        <v>=11.97*100000000</v>
      </c>
      <c r="V707" s="1">
        <f>11.97*100000000</f>
        <v>1197000000</v>
      </c>
      <c r="W707" s="8">
        <f t="shared" ref="W707:W770" si="361">(V707-Z707)/Z707</f>
        <v>0.58921933085501854</v>
      </c>
      <c r="X707" s="6" t="s">
        <v>7805</v>
      </c>
      <c r="Y707" s="6" t="str">
        <f t="shared" si="345"/>
        <v>=7.532*100000000</v>
      </c>
      <c r="Z707" s="1">
        <f>7.532*100000000</f>
        <v>753200000</v>
      </c>
      <c r="AA707" s="8">
        <f t="shared" ref="AA707:AA770" si="362">(Z707-AD707)/AD707</f>
        <v>0.17156634002177631</v>
      </c>
      <c r="AB707" s="6" t="s">
        <v>8147</v>
      </c>
      <c r="AC707" s="6" t="str">
        <f t="shared" si="346"/>
        <v>=6.429*100000000</v>
      </c>
      <c r="AD707" s="1">
        <f>6.429*100000000</f>
        <v>642900000</v>
      </c>
      <c r="AE707" s="8">
        <f t="shared" ref="AE707:AE770" si="363">(AD707-AH707)/AH707</f>
        <v>2.2371601208459215</v>
      </c>
      <c r="AF707" s="6" t="s">
        <v>8148</v>
      </c>
      <c r="AG707" s="6" t="str">
        <f t="shared" si="347"/>
        <v>=1.986*100000000</v>
      </c>
      <c r="AH707" s="1">
        <f>1.986*100000000</f>
        <v>198600000</v>
      </c>
      <c r="AI707" s="8">
        <f t="shared" ref="AI707:AI770" si="364">(AH707-AL707)/AL707</f>
        <v>-0.82502202643171807</v>
      </c>
      <c r="AJ707" s="6" t="s">
        <v>1587</v>
      </c>
      <c r="AK707" s="6" t="str">
        <f t="shared" si="348"/>
        <v>=11.35*100000000</v>
      </c>
      <c r="AL707" s="1">
        <f>11.35*100000000</f>
        <v>1135000000</v>
      </c>
      <c r="AM707" s="8">
        <f t="shared" ref="AM707:AM770" si="365">(AL707-AP707)/AP707</f>
        <v>0.23800174520069825</v>
      </c>
      <c r="AN707" s="6" t="s">
        <v>8149</v>
      </c>
      <c r="AO707" s="6" t="str">
        <f t="shared" si="349"/>
        <v>=9.168*100000000</v>
      </c>
      <c r="AP707" s="1">
        <f>9.168*100000000</f>
        <v>916799999.99999988</v>
      </c>
      <c r="AQ707" s="8">
        <f t="shared" ref="AQ707:AQ770" si="366">(AP707-AT707)/AT707</f>
        <v>0.22517706802084708</v>
      </c>
      <c r="AR707" s="6" t="s">
        <v>8150</v>
      </c>
      <c r="AS707" s="6" t="str">
        <f t="shared" si="350"/>
        <v>=7.483*100000000</v>
      </c>
      <c r="AT707" s="1">
        <f>7.483*100000000</f>
        <v>748300000</v>
      </c>
      <c r="AU707" s="8">
        <f t="shared" ref="AU707:AU770" si="367">(AT707-AX707)/AX707</f>
        <v>1.0925615212527964</v>
      </c>
      <c r="AV707" s="6" t="s">
        <v>8151</v>
      </c>
      <c r="AW707" s="6" t="str">
        <f t="shared" si="351"/>
        <v>=3.576*100000000</v>
      </c>
      <c r="AX707" s="1">
        <f>3.576*100000000</f>
        <v>357600000</v>
      </c>
      <c r="AY707" s="10">
        <f t="shared" ref="AY707:AY770" si="368">(AX707-BB707)/BB707</f>
        <v>-0.59294251565167899</v>
      </c>
      <c r="AZ707" s="6" t="s">
        <v>8152</v>
      </c>
      <c r="BA707" s="6" t="str">
        <f t="shared" si="352"/>
        <v>=8.785*100000000</v>
      </c>
      <c r="BB707" s="1">
        <f>8.785*100000000</f>
        <v>878500000</v>
      </c>
      <c r="BC707" s="8">
        <f t="shared" ref="BC707:BC770" si="369">(BB707-BF707)/BF707</f>
        <v>0.20822445330766057</v>
      </c>
      <c r="BD707" s="6" t="s">
        <v>8153</v>
      </c>
      <c r="BE707" s="6" t="str">
        <f t="shared" si="353"/>
        <v>=7.271*100000000</v>
      </c>
      <c r="BF707" s="1">
        <f>7.271*100000000</f>
        <v>727100000</v>
      </c>
      <c r="BG707" s="8">
        <f t="shared" ref="BG707:BG770" si="370">(BF707-BJ707)/BJ707</f>
        <v>0.17009977470228516</v>
      </c>
      <c r="BH707" s="6" t="s">
        <v>3788</v>
      </c>
      <c r="BI707" s="6" t="str">
        <f t="shared" si="354"/>
        <v>=6.214*100000000</v>
      </c>
      <c r="BJ707" s="1">
        <f>6.214*100000000</f>
        <v>621400000</v>
      </c>
      <c r="BK707" s="6" t="s">
        <v>8154</v>
      </c>
      <c r="BL707" s="1" t="str">
        <f t="shared" si="356"/>
        <v>=3.119*100000000</v>
      </c>
      <c r="BM707" s="16">
        <f t="shared" ref="BM707:BM770" si="371">(BJ707-BN707)/BN707</f>
        <v>0.9923052260339853</v>
      </c>
      <c r="BN707" s="1">
        <f>3.119*100000000</f>
        <v>311900000</v>
      </c>
    </row>
    <row r="708" spans="1:66">
      <c r="A708" s="18"/>
      <c r="B708">
        <v>600597</v>
      </c>
      <c r="C708" t="s">
        <v>58</v>
      </c>
      <c r="D708" s="6" t="s">
        <v>8155</v>
      </c>
      <c r="E708" s="7" t="str">
        <f t="shared" si="355"/>
        <v>=6.999*100000000</v>
      </c>
      <c r="F708" s="1">
        <f>6.999*100000000</f>
        <v>699900000</v>
      </c>
      <c r="G708" s="8">
        <f t="shared" si="357"/>
        <v>0.74364723467862481</v>
      </c>
      <c r="H708" s="6" t="s">
        <v>4242</v>
      </c>
      <c r="I708" s="6" t="str">
        <f t="shared" si="341"/>
        <v>=4.014*100000000</v>
      </c>
      <c r="J708" s="1">
        <f>4.014*100000000</f>
        <v>401400000</v>
      </c>
      <c r="K708" s="10">
        <f t="shared" si="358"/>
        <v>0.41537376586741892</v>
      </c>
      <c r="L708" s="6" t="s">
        <v>4516</v>
      </c>
      <c r="M708" s="6" t="str">
        <f t="shared" si="342"/>
        <v>=2.836*100000000</v>
      </c>
      <c r="N708" s="1">
        <f>2.836*100000000</f>
        <v>283600000</v>
      </c>
      <c r="O708" s="8">
        <f t="shared" si="359"/>
        <v>1.4811898512685915</v>
      </c>
      <c r="P708" s="6" t="s">
        <v>2211</v>
      </c>
      <c r="Q708" s="6" t="str">
        <f t="shared" si="343"/>
        <v>=1.143*100000000</v>
      </c>
      <c r="R708" s="11">
        <f>1.143*100000000</f>
        <v>114300000</v>
      </c>
      <c r="S708" s="8">
        <f t="shared" si="360"/>
        <v>-0.90121002592912702</v>
      </c>
      <c r="T708" s="6" t="s">
        <v>3152</v>
      </c>
      <c r="U708" s="6" t="str">
        <f t="shared" si="344"/>
        <v>=11.57*100000000</v>
      </c>
      <c r="V708" s="1">
        <f>11.57*100000000</f>
        <v>1157000000</v>
      </c>
      <c r="W708" s="8">
        <f t="shared" si="361"/>
        <v>0.62226584408300611</v>
      </c>
      <c r="X708" s="6" t="s">
        <v>8156</v>
      </c>
      <c r="Y708" s="6" t="str">
        <f t="shared" si="345"/>
        <v>=7.132*100000000</v>
      </c>
      <c r="Z708" s="1">
        <f>7.132*100000000</f>
        <v>713200000</v>
      </c>
      <c r="AA708" s="8">
        <f t="shared" si="362"/>
        <v>0.15835634237453305</v>
      </c>
      <c r="AB708" s="6" t="s">
        <v>8157</v>
      </c>
      <c r="AC708" s="6" t="str">
        <f t="shared" si="346"/>
        <v>=6.157*100000000</v>
      </c>
      <c r="AD708" s="1">
        <f>6.157*100000000</f>
        <v>615700000</v>
      </c>
      <c r="AE708" s="8">
        <f t="shared" si="363"/>
        <v>2.1158906882591095</v>
      </c>
      <c r="AF708" s="6" t="s">
        <v>8158</v>
      </c>
      <c r="AG708" s="6" t="str">
        <f t="shared" si="347"/>
        <v>=1.976*100000000</v>
      </c>
      <c r="AH708" s="1">
        <f>1.976*100000000</f>
        <v>197600000</v>
      </c>
      <c r="AI708" s="8">
        <f t="shared" si="364"/>
        <v>-0.81601489757914336</v>
      </c>
      <c r="AJ708" s="6" t="s">
        <v>4564</v>
      </c>
      <c r="AK708" s="6" t="str">
        <f t="shared" si="348"/>
        <v>=10.74*100000000</v>
      </c>
      <c r="AL708" s="1">
        <f>10.74*100000000</f>
        <v>1074000000</v>
      </c>
      <c r="AM708" s="8">
        <f t="shared" si="365"/>
        <v>0.29898403483309127</v>
      </c>
      <c r="AN708" s="6" t="s">
        <v>8159</v>
      </c>
      <c r="AO708" s="6" t="str">
        <f t="shared" si="349"/>
        <v>=8.268*100000000</v>
      </c>
      <c r="AP708" s="1">
        <f>8.268*100000000</f>
        <v>826800000.00000012</v>
      </c>
      <c r="AQ708" s="8">
        <f t="shared" si="366"/>
        <v>0.22307692307692326</v>
      </c>
      <c r="AR708" s="6" t="s">
        <v>8160</v>
      </c>
      <c r="AS708" s="6" t="str">
        <f t="shared" si="350"/>
        <v>=6.760*100000000</v>
      </c>
      <c r="AT708" s="1">
        <f>6.76*100000000</f>
        <v>676000000</v>
      </c>
      <c r="AU708" s="8">
        <f t="shared" si="367"/>
        <v>1.1072319201995013</v>
      </c>
      <c r="AV708" s="6" t="s">
        <v>8161</v>
      </c>
      <c r="AW708" s="6" t="str">
        <f t="shared" si="351"/>
        <v>=3.208*100000000</v>
      </c>
      <c r="AX708" s="1">
        <f>3.208*100000000</f>
        <v>320800000</v>
      </c>
      <c r="AY708" s="10">
        <f t="shared" si="368"/>
        <v>-0.59510286507636001</v>
      </c>
      <c r="AZ708" s="6" t="s">
        <v>8162</v>
      </c>
      <c r="BA708" s="6" t="str">
        <f t="shared" si="352"/>
        <v>=7.923*100000000</v>
      </c>
      <c r="BB708" s="1">
        <f>7.923*100000000</f>
        <v>792300000</v>
      </c>
      <c r="BC708" s="8">
        <f t="shared" si="369"/>
        <v>0.16548984995586938</v>
      </c>
      <c r="BD708" s="6" t="s">
        <v>8163</v>
      </c>
      <c r="BE708" s="6" t="str">
        <f t="shared" si="353"/>
        <v>=6.798*100000000</v>
      </c>
      <c r="BF708" s="1">
        <f>6.798*100000000</f>
        <v>679800000</v>
      </c>
      <c r="BG708" s="8">
        <f t="shared" si="370"/>
        <v>0.14908722109533468</v>
      </c>
      <c r="BH708" s="6" t="s">
        <v>8164</v>
      </c>
      <c r="BI708" s="6" t="str">
        <f t="shared" si="354"/>
        <v>=5.916*100000000</v>
      </c>
      <c r="BJ708" s="1">
        <f>5.916*100000000</f>
        <v>591600000</v>
      </c>
      <c r="BK708" s="6" t="s">
        <v>8165</v>
      </c>
      <c r="BL708" s="1" t="str">
        <f t="shared" si="356"/>
        <v>=3.016*100000000</v>
      </c>
      <c r="BM708" s="16">
        <f t="shared" si="371"/>
        <v>0.96153846153846156</v>
      </c>
      <c r="BN708" s="1">
        <f>3.016*100000000</f>
        <v>301600000</v>
      </c>
    </row>
    <row r="709" spans="1:66">
      <c r="A709" s="19"/>
      <c r="B709">
        <v>600597</v>
      </c>
      <c r="C709" t="s">
        <v>68</v>
      </c>
      <c r="D709" s="6" t="s">
        <v>8166</v>
      </c>
      <c r="E709" s="7" t="str">
        <f t="shared" si="355"/>
        <v>=5.669*100000000</v>
      </c>
      <c r="F709" s="1">
        <f>5.669*100000000</f>
        <v>566900000</v>
      </c>
      <c r="G709" s="8">
        <f t="shared" si="357"/>
        <v>0.61925164238788921</v>
      </c>
      <c r="H709" s="6" t="s">
        <v>8167</v>
      </c>
      <c r="I709" s="6" t="str">
        <f t="shared" si="341"/>
        <v>=3.501*100000000</v>
      </c>
      <c r="J709" s="1">
        <f>3.501*100000000</f>
        <v>350100000</v>
      </c>
      <c r="K709" s="10">
        <f t="shared" si="358"/>
        <v>0.593536640873919</v>
      </c>
      <c r="L709" s="6" t="s">
        <v>8168</v>
      </c>
      <c r="M709" s="6" t="str">
        <f t="shared" si="342"/>
        <v>=2.197*100000000</v>
      </c>
      <c r="N709" s="1">
        <f>2.197*100000000</f>
        <v>219700000</v>
      </c>
      <c r="O709" s="8">
        <f t="shared" si="359"/>
        <v>1.5594128611369991</v>
      </c>
      <c r="P709" s="7" t="s">
        <v>6565</v>
      </c>
      <c r="Q709" s="6" t="str">
        <f t="shared" si="343"/>
        <v>=8584*10000</v>
      </c>
      <c r="R709" s="11">
        <f>8584*10000</f>
        <v>85840000</v>
      </c>
      <c r="S709" s="8">
        <f t="shared" si="360"/>
        <v>-0.89070537305831421</v>
      </c>
      <c r="T709" s="6" t="s">
        <v>8169</v>
      </c>
      <c r="U709" s="6" t="str">
        <f t="shared" si="344"/>
        <v>=7.854*100000000</v>
      </c>
      <c r="V709" s="1">
        <f>7.854*100000000</f>
        <v>785400000</v>
      </c>
      <c r="W709" s="8">
        <f t="shared" si="361"/>
        <v>0.3125</v>
      </c>
      <c r="X709" s="6" t="s">
        <v>1113</v>
      </c>
      <c r="Y709" s="6" t="str">
        <f t="shared" si="345"/>
        <v>=5.984*100000000</v>
      </c>
      <c r="Z709" s="1">
        <f>5.984*100000000</f>
        <v>598400000</v>
      </c>
      <c r="AA709" s="8">
        <f t="shared" si="362"/>
        <v>0.2179930795847751</v>
      </c>
      <c r="AB709" s="6" t="s">
        <v>4640</v>
      </c>
      <c r="AC709" s="6" t="str">
        <f t="shared" si="346"/>
        <v>=4.913*100000000</v>
      </c>
      <c r="AD709" s="1">
        <f>4.913*100000000</f>
        <v>491300000</v>
      </c>
      <c r="AE709" s="8">
        <f t="shared" si="363"/>
        <v>2.2601194426011944</v>
      </c>
      <c r="AF709" s="6" t="s">
        <v>4834</v>
      </c>
      <c r="AG709" s="6" t="str">
        <f t="shared" si="347"/>
        <v>=1.507*100000000</v>
      </c>
      <c r="AH709" s="1">
        <f>1.507*100000000</f>
        <v>150700000</v>
      </c>
      <c r="AI709" s="8">
        <f t="shared" si="364"/>
        <v>-0.77919413919413916</v>
      </c>
      <c r="AJ709" s="6" t="s">
        <v>8170</v>
      </c>
      <c r="AK709" s="6" t="str">
        <f t="shared" si="348"/>
        <v>=6.825*100000000</v>
      </c>
      <c r="AL709" s="1">
        <f>6.825*100000000</f>
        <v>682500000</v>
      </c>
      <c r="AM709" s="8">
        <f t="shared" si="365"/>
        <v>0.11156351791530944</v>
      </c>
      <c r="AN709" s="6" t="s">
        <v>8171</v>
      </c>
      <c r="AO709" s="6" t="str">
        <f t="shared" si="349"/>
        <v>=6.140*100000000</v>
      </c>
      <c r="AP709" s="1">
        <f>6.14*100000000</f>
        <v>614000000</v>
      </c>
      <c r="AQ709" s="8">
        <f t="shared" si="366"/>
        <v>0.20250685468076773</v>
      </c>
      <c r="AR709" s="6" t="s">
        <v>2993</v>
      </c>
      <c r="AS709" s="6" t="str">
        <f t="shared" si="350"/>
        <v>=5.106*100000000</v>
      </c>
      <c r="AT709" s="1">
        <f>5.106*100000000</f>
        <v>510600000</v>
      </c>
      <c r="AU709" s="8">
        <f t="shared" si="367"/>
        <v>1.2277486910994766</v>
      </c>
      <c r="AV709" s="6" t="s">
        <v>8172</v>
      </c>
      <c r="AW709" s="6" t="str">
        <f t="shared" si="351"/>
        <v>=2.292*100000000</v>
      </c>
      <c r="AX709" s="1">
        <f>2.292*100000000</f>
        <v>229199999.99999997</v>
      </c>
      <c r="AY709" s="10">
        <f t="shared" si="368"/>
        <v>-0.5647550322825674</v>
      </c>
      <c r="AZ709" s="6" t="s">
        <v>8173</v>
      </c>
      <c r="BA709" s="6" t="str">
        <f t="shared" si="352"/>
        <v>=5.266*100000000</v>
      </c>
      <c r="BB709" s="1">
        <f>5.266*100000000</f>
        <v>526600000</v>
      </c>
      <c r="BC709" s="8">
        <f t="shared" si="369"/>
        <v>-1.7061611374408711E-3</v>
      </c>
      <c r="BD709" s="6" t="s">
        <v>8174</v>
      </c>
      <c r="BE709" s="6" t="str">
        <f t="shared" si="353"/>
        <v>=5.275*100000000</v>
      </c>
      <c r="BF709" s="1">
        <f>5.275*100000000</f>
        <v>527500000.00000006</v>
      </c>
      <c r="BG709" s="8">
        <f t="shared" si="370"/>
        <v>0.14723792953458037</v>
      </c>
      <c r="BH709" s="6" t="s">
        <v>3450</v>
      </c>
      <c r="BI709" s="6" t="str">
        <f t="shared" si="354"/>
        <v>=4.598*100000000</v>
      </c>
      <c r="BJ709" s="1">
        <f>4.598*100000000</f>
        <v>459800000</v>
      </c>
      <c r="BK709" s="6" t="s">
        <v>8175</v>
      </c>
      <c r="BL709" s="1" t="str">
        <f t="shared" si="356"/>
        <v>=2.180*100000000</v>
      </c>
      <c r="BM709" s="16">
        <f t="shared" si="371"/>
        <v>1.1091743119266053</v>
      </c>
      <c r="BN709" s="1">
        <f>2.18*100000000</f>
        <v>218000000.00000003</v>
      </c>
    </row>
    <row r="710" spans="1:66">
      <c r="A710" s="17">
        <v>179</v>
      </c>
      <c r="B710">
        <v>600598</v>
      </c>
      <c r="C710" t="s">
        <v>31</v>
      </c>
      <c r="D710" s="6" t="s">
        <v>33</v>
      </c>
      <c r="E710" s="7" t="str">
        <f t="shared" si="355"/>
        <v>=36.29*100000000</v>
      </c>
      <c r="F710" s="1">
        <f>36.29*100000000</f>
        <v>3629000000</v>
      </c>
      <c r="G710" s="8">
        <f t="shared" si="357"/>
        <v>0.26357938718662954</v>
      </c>
      <c r="H710" s="6" t="s">
        <v>8176</v>
      </c>
      <c r="I710" s="6" t="str">
        <f t="shared" si="341"/>
        <v>=28.72*100000000</v>
      </c>
      <c r="J710" s="1">
        <f>28.72*100000000</f>
        <v>2872000000</v>
      </c>
      <c r="K710" s="10">
        <f t="shared" si="358"/>
        <v>0.46009150991357378</v>
      </c>
      <c r="L710" s="6" t="s">
        <v>1818</v>
      </c>
      <c r="M710" s="6" t="str">
        <f t="shared" si="342"/>
        <v>=19.67*100000000</v>
      </c>
      <c r="N710" s="1">
        <f>19.67*100000000</f>
        <v>1967000000.0000002</v>
      </c>
      <c r="O710" s="8">
        <f t="shared" si="359"/>
        <v>2.0864584967833051</v>
      </c>
      <c r="P710" s="6" t="s">
        <v>1641</v>
      </c>
      <c r="Q710" s="6" t="str">
        <f t="shared" si="343"/>
        <v>=6.373*100000000</v>
      </c>
      <c r="R710" s="11">
        <f>6.373*100000000</f>
        <v>637300000</v>
      </c>
      <c r="S710" s="8">
        <f t="shared" si="360"/>
        <v>-0.8033631595186671</v>
      </c>
      <c r="T710" s="6" t="s">
        <v>8177</v>
      </c>
      <c r="U710" s="6" t="str">
        <f t="shared" si="344"/>
        <v>=32.41*100000000</v>
      </c>
      <c r="V710" s="1">
        <f>32.41*100000000</f>
        <v>3240999999.9999995</v>
      </c>
      <c r="W710" s="8">
        <f t="shared" si="361"/>
        <v>0.28560095200317315</v>
      </c>
      <c r="X710" s="6" t="s">
        <v>5101</v>
      </c>
      <c r="Y710" s="6" t="str">
        <f t="shared" si="345"/>
        <v>=25.21*100000000</v>
      </c>
      <c r="Z710" s="1">
        <f>25.21*100000000</f>
        <v>2521000000</v>
      </c>
      <c r="AA710" s="8">
        <f t="shared" si="362"/>
        <v>0.43810610382201942</v>
      </c>
      <c r="AB710" s="6" t="s">
        <v>5119</v>
      </c>
      <c r="AC710" s="6" t="str">
        <f t="shared" si="346"/>
        <v>=17.53*100000000</v>
      </c>
      <c r="AD710" s="1">
        <f>17.53*100000000</f>
        <v>1753000000</v>
      </c>
      <c r="AE710" s="8">
        <f t="shared" si="363"/>
        <v>1.8338182993857097</v>
      </c>
      <c r="AF710" s="6" t="s">
        <v>2925</v>
      </c>
      <c r="AG710" s="6" t="str">
        <f t="shared" si="347"/>
        <v>=6.186*100000000</v>
      </c>
      <c r="AH710" s="1">
        <f>6.186*100000000</f>
        <v>618600000</v>
      </c>
      <c r="AI710" s="8">
        <f t="shared" si="364"/>
        <v>-0.80115718418514947</v>
      </c>
      <c r="AJ710" s="6" t="s">
        <v>6744</v>
      </c>
      <c r="AK710" s="6" t="str">
        <f t="shared" si="348"/>
        <v>=31.11*100000000</v>
      </c>
      <c r="AL710" s="1">
        <f>31.11*100000000</f>
        <v>3111000000</v>
      </c>
      <c r="AM710" s="8">
        <f t="shared" si="365"/>
        <v>0.28024691358024689</v>
      </c>
      <c r="AN710" s="6" t="s">
        <v>8178</v>
      </c>
      <c r="AO710" s="6" t="str">
        <f t="shared" si="349"/>
        <v>=24.30*100000000</v>
      </c>
      <c r="AP710" s="1">
        <f>24.3*100000000</f>
        <v>2430000000</v>
      </c>
      <c r="AQ710" s="8">
        <f t="shared" si="366"/>
        <v>0.43786982248520728</v>
      </c>
      <c r="AR710" s="6" t="s">
        <v>2459</v>
      </c>
      <c r="AS710" s="6" t="str">
        <f t="shared" si="350"/>
        <v>=16.90*100000000</v>
      </c>
      <c r="AT710" s="1">
        <f>16.9*100000000</f>
        <v>1689999999.9999998</v>
      </c>
      <c r="AU710" s="8">
        <f t="shared" si="367"/>
        <v>1.9545454545454541</v>
      </c>
      <c r="AV710" s="6" t="s">
        <v>2031</v>
      </c>
      <c r="AW710" s="6" t="str">
        <f t="shared" si="351"/>
        <v>=5.720*100000000</v>
      </c>
      <c r="AX710" s="1">
        <f>5.72*100000000</f>
        <v>572000000</v>
      </c>
      <c r="AY710" s="10">
        <f t="shared" si="368"/>
        <v>-0.82480857580398159</v>
      </c>
      <c r="AZ710" s="6" t="s">
        <v>8179</v>
      </c>
      <c r="BA710" s="6" t="str">
        <f t="shared" si="352"/>
        <v>=32.65*100000000</v>
      </c>
      <c r="BB710" s="1">
        <f>32.65*100000000</f>
        <v>3265000000</v>
      </c>
      <c r="BC710" s="8">
        <f t="shared" si="369"/>
        <v>0.27290448343079921</v>
      </c>
      <c r="BD710" s="6" t="s">
        <v>8180</v>
      </c>
      <c r="BE710" s="6" t="str">
        <f t="shared" si="353"/>
        <v>=25.65*100000000</v>
      </c>
      <c r="BF710" s="1">
        <f>25.65*100000000</f>
        <v>2565000000</v>
      </c>
      <c r="BG710" s="8">
        <f t="shared" si="370"/>
        <v>0.45573212258796819</v>
      </c>
      <c r="BH710" s="6" t="s">
        <v>8181</v>
      </c>
      <c r="BI710" s="6" t="str">
        <f t="shared" si="354"/>
        <v>=17.62*100000000</v>
      </c>
      <c r="BJ710" s="1">
        <f>17.62*100000000</f>
        <v>1762000000</v>
      </c>
      <c r="BK710" s="6" t="s">
        <v>8182</v>
      </c>
      <c r="BL710" s="1" t="str">
        <f t="shared" si="356"/>
        <v>=6.882*100000000</v>
      </c>
      <c r="BM710" s="16">
        <f t="shared" si="371"/>
        <v>1.5603022377215925</v>
      </c>
      <c r="BN710" s="1">
        <f>6.882*100000000</f>
        <v>688200000</v>
      </c>
    </row>
    <row r="711" spans="1:66">
      <c r="A711" s="18"/>
      <c r="B711">
        <v>600598</v>
      </c>
      <c r="C711" t="s">
        <v>48</v>
      </c>
      <c r="D711" s="6" t="s">
        <v>8183</v>
      </c>
      <c r="E711" s="7" t="str">
        <f t="shared" si="355"/>
        <v>=10.35*100000000</v>
      </c>
      <c r="F711" s="1">
        <f>10.35*100000000</f>
        <v>1035000000</v>
      </c>
      <c r="G711" s="8">
        <f t="shared" si="357"/>
        <v>0</v>
      </c>
      <c r="H711" s="6" t="s">
        <v>8183</v>
      </c>
      <c r="I711" s="6" t="str">
        <f t="shared" si="341"/>
        <v>=10.35*100000000</v>
      </c>
      <c r="J711" s="1">
        <f>10.35*100000000</f>
        <v>1035000000</v>
      </c>
      <c r="K711" s="10">
        <f t="shared" si="358"/>
        <v>0.3420643153526971</v>
      </c>
      <c r="L711" s="6" t="s">
        <v>8184</v>
      </c>
      <c r="M711" s="6" t="str">
        <f t="shared" si="342"/>
        <v>=7.712*100000000</v>
      </c>
      <c r="N711" s="1">
        <f>7.712*100000000</f>
        <v>771200000</v>
      </c>
      <c r="O711" s="8">
        <f t="shared" si="359"/>
        <v>1.0753498385360603</v>
      </c>
      <c r="P711" s="6" t="s">
        <v>8185</v>
      </c>
      <c r="Q711" s="6" t="str">
        <f t="shared" si="343"/>
        <v>=3.716*100000000</v>
      </c>
      <c r="R711" s="11">
        <f>3.716*100000000</f>
        <v>371600000</v>
      </c>
      <c r="S711" s="8">
        <f t="shared" si="360"/>
        <v>-0.6655265526552655</v>
      </c>
      <c r="T711" s="6" t="s">
        <v>4104</v>
      </c>
      <c r="U711" s="6" t="str">
        <f t="shared" si="344"/>
        <v>=11.11*100000000</v>
      </c>
      <c r="V711" s="1">
        <f>11.11*100000000</f>
        <v>1111000000</v>
      </c>
      <c r="W711" s="8">
        <f t="shared" si="361"/>
        <v>3.3488372093023258E-2</v>
      </c>
      <c r="X711" s="6" t="s">
        <v>4101</v>
      </c>
      <c r="Y711" s="6" t="str">
        <f t="shared" si="345"/>
        <v>=10.75*100000000</v>
      </c>
      <c r="Z711" s="1">
        <f>10.75*100000000</f>
        <v>1075000000</v>
      </c>
      <c r="AA711" s="8">
        <f t="shared" si="362"/>
        <v>0.352371367467606</v>
      </c>
      <c r="AB711" s="6" t="s">
        <v>8186</v>
      </c>
      <c r="AC711" s="6" t="str">
        <f t="shared" si="346"/>
        <v>=7.949*100000000</v>
      </c>
      <c r="AD711" s="1">
        <f>7.949*100000000</f>
        <v>794900000</v>
      </c>
      <c r="AE711" s="8">
        <f t="shared" si="363"/>
        <v>1.1339597315436241</v>
      </c>
      <c r="AF711" s="6" t="s">
        <v>8187</v>
      </c>
      <c r="AG711" s="6" t="str">
        <f t="shared" si="347"/>
        <v>=3.725*100000000</v>
      </c>
      <c r="AH711" s="1">
        <f>3.725*100000000</f>
        <v>372500000</v>
      </c>
      <c r="AI711" s="8">
        <f t="shared" si="364"/>
        <v>-0.62708979877865656</v>
      </c>
      <c r="AJ711" s="6" t="s">
        <v>8188</v>
      </c>
      <c r="AK711" s="6" t="str">
        <f t="shared" si="348"/>
        <v>=9.989*100000000</v>
      </c>
      <c r="AL711" s="1">
        <f>9.989*100000000</f>
        <v>998900000.00000012</v>
      </c>
      <c r="AM711" s="8">
        <f t="shared" si="365"/>
        <v>-3.093812375249382E-3</v>
      </c>
      <c r="AN711" s="6" t="s">
        <v>5088</v>
      </c>
      <c r="AO711" s="6" t="str">
        <f t="shared" si="349"/>
        <v>=10.02*100000000</v>
      </c>
      <c r="AP711" s="1">
        <f>10.02*100000000</f>
        <v>1002000000</v>
      </c>
      <c r="AQ711" s="8">
        <f t="shared" si="366"/>
        <v>0.44693140794223829</v>
      </c>
      <c r="AR711" s="6" t="s">
        <v>2379</v>
      </c>
      <c r="AS711" s="6" t="str">
        <f t="shared" si="350"/>
        <v>=6.925*100000000</v>
      </c>
      <c r="AT711" s="1">
        <f>6.925*100000000</f>
        <v>692500000</v>
      </c>
      <c r="AU711" s="8">
        <f t="shared" si="367"/>
        <v>1.5810659709280657</v>
      </c>
      <c r="AV711" s="6" t="s">
        <v>7096</v>
      </c>
      <c r="AW711" s="6" t="str">
        <f t="shared" si="351"/>
        <v>=2.683*100000000</v>
      </c>
      <c r="AX711" s="1">
        <f>2.683*100000000</f>
        <v>268299999.99999997</v>
      </c>
      <c r="AY711" s="10">
        <f t="shared" si="368"/>
        <v>-0.74300766283524899</v>
      </c>
      <c r="AZ711" s="6" t="s">
        <v>1397</v>
      </c>
      <c r="BA711" s="6" t="str">
        <f t="shared" si="352"/>
        <v>=10.44*100000000</v>
      </c>
      <c r="BB711" s="1">
        <f>10.44*100000000</f>
        <v>1044000000</v>
      </c>
      <c r="BC711" s="8">
        <f t="shared" si="369"/>
        <v>5.8930926057409475E-2</v>
      </c>
      <c r="BD711" s="6" t="s">
        <v>8189</v>
      </c>
      <c r="BE711" s="6" t="str">
        <f t="shared" si="353"/>
        <v>=9.859*100000000</v>
      </c>
      <c r="BF711" s="1">
        <f>9.859*100000000</f>
        <v>985900000</v>
      </c>
      <c r="BG711" s="8">
        <f t="shared" si="370"/>
        <v>0.36930555555555555</v>
      </c>
      <c r="BH711" s="6" t="s">
        <v>6226</v>
      </c>
      <c r="BI711" s="6" t="str">
        <f t="shared" si="354"/>
        <v>=7.200*100000000</v>
      </c>
      <c r="BJ711" s="1">
        <f>7.2*100000000</f>
        <v>720000000</v>
      </c>
      <c r="BK711" s="6" t="s">
        <v>4826</v>
      </c>
      <c r="BL711" s="1" t="str">
        <f t="shared" si="356"/>
        <v>=2.858*100000000</v>
      </c>
      <c r="BM711" s="16">
        <f t="shared" si="371"/>
        <v>1.5192442267319803</v>
      </c>
      <c r="BN711" s="1">
        <f>2.858*100000000</f>
        <v>285800000</v>
      </c>
    </row>
    <row r="712" spans="1:66">
      <c r="A712" s="18"/>
      <c r="B712">
        <v>600598</v>
      </c>
      <c r="C712" t="s">
        <v>58</v>
      </c>
      <c r="D712" s="6" t="s">
        <v>7086</v>
      </c>
      <c r="E712" s="7" t="str">
        <f t="shared" si="355"/>
        <v>=7.318*100000000</v>
      </c>
      <c r="F712" s="1">
        <f>7.318*100000000</f>
        <v>731800000</v>
      </c>
      <c r="G712" s="8">
        <f t="shared" si="357"/>
        <v>-5.8415976090205133E-3</v>
      </c>
      <c r="H712" s="6" t="s">
        <v>8190</v>
      </c>
      <c r="I712" s="6" t="str">
        <f t="shared" si="341"/>
        <v>=7.361*100000000</v>
      </c>
      <c r="J712" s="1">
        <f>7.361*100000000</f>
        <v>736100000</v>
      </c>
      <c r="K712" s="10">
        <f t="shared" si="358"/>
        <v>-4.7366377636857769E-2</v>
      </c>
      <c r="L712" s="6" t="s">
        <v>3418</v>
      </c>
      <c r="M712" s="6" t="str">
        <f t="shared" si="342"/>
        <v>=7.727*100000000</v>
      </c>
      <c r="N712" s="1">
        <f>7.727*100000000</f>
        <v>772700000</v>
      </c>
      <c r="O712" s="8">
        <f t="shared" si="359"/>
        <v>1.068254817987152</v>
      </c>
      <c r="P712" s="6" t="s">
        <v>3743</v>
      </c>
      <c r="Q712" s="6" t="str">
        <f t="shared" si="343"/>
        <v>=3.736*100000000</v>
      </c>
      <c r="R712" s="11">
        <f>3.736*100000000</f>
        <v>373600000</v>
      </c>
      <c r="S712" s="8">
        <f t="shared" si="360"/>
        <v>-0.62132576525440908</v>
      </c>
      <c r="T712" s="6" t="s">
        <v>2442</v>
      </c>
      <c r="U712" s="6" t="str">
        <f t="shared" si="344"/>
        <v>=9.866*100000000</v>
      </c>
      <c r="V712" s="1">
        <f>9.866*100000000</f>
        <v>986600000</v>
      </c>
      <c r="W712" s="8">
        <f t="shared" si="361"/>
        <v>-5.0433108758421559E-2</v>
      </c>
      <c r="X712" s="6" t="s">
        <v>2056</v>
      </c>
      <c r="Y712" s="6" t="str">
        <f t="shared" si="345"/>
        <v>=10.39*100000000</v>
      </c>
      <c r="Z712" s="1">
        <f>10.39*100000000</f>
        <v>1039000000</v>
      </c>
      <c r="AA712" s="8">
        <f t="shared" si="362"/>
        <v>0.30412953432910755</v>
      </c>
      <c r="AB712" s="6" t="s">
        <v>8191</v>
      </c>
      <c r="AC712" s="6" t="str">
        <f t="shared" si="346"/>
        <v>=7.967*100000000</v>
      </c>
      <c r="AD712" s="1">
        <f>7.967*100000000</f>
        <v>796700000</v>
      </c>
      <c r="AE712" s="8">
        <f t="shared" si="363"/>
        <v>1.1205749268033005</v>
      </c>
      <c r="AF712" s="6" t="s">
        <v>4995</v>
      </c>
      <c r="AG712" s="6" t="str">
        <f t="shared" si="347"/>
        <v>=3.757*100000000</v>
      </c>
      <c r="AH712" s="1">
        <f>3.757*100000000</f>
        <v>375700000</v>
      </c>
      <c r="AI712" s="8">
        <f t="shared" si="364"/>
        <v>-0.54311078681746328</v>
      </c>
      <c r="AJ712" s="6" t="s">
        <v>8192</v>
      </c>
      <c r="AK712" s="6" t="str">
        <f t="shared" si="348"/>
        <v>=8.223*100000000</v>
      </c>
      <c r="AL712" s="1">
        <f>8.223*100000000</f>
        <v>822300000.00000012</v>
      </c>
      <c r="AM712" s="8">
        <f t="shared" si="365"/>
        <v>-0.14200751252086799</v>
      </c>
      <c r="AN712" s="6" t="s">
        <v>8193</v>
      </c>
      <c r="AO712" s="6" t="str">
        <f t="shared" si="349"/>
        <v>=9.584*100000000</v>
      </c>
      <c r="AP712" s="1">
        <f>9.584*100000000</f>
        <v>958400000</v>
      </c>
      <c r="AQ712" s="8">
        <f t="shared" si="366"/>
        <v>0.38437093745486062</v>
      </c>
      <c r="AR712" s="6" t="s">
        <v>8194</v>
      </c>
      <c r="AS712" s="6" t="str">
        <f t="shared" si="350"/>
        <v>=6.923*100000000</v>
      </c>
      <c r="AT712" s="1">
        <f>6.923*100000000</f>
        <v>692300000</v>
      </c>
      <c r="AU712" s="8">
        <f t="shared" si="367"/>
        <v>1.579359165424739</v>
      </c>
      <c r="AV712" s="6" t="s">
        <v>8195</v>
      </c>
      <c r="AW712" s="6" t="str">
        <f t="shared" si="351"/>
        <v>=2.684*100000000</v>
      </c>
      <c r="AX712" s="1">
        <f>2.684*100000000</f>
        <v>268400000.00000003</v>
      </c>
      <c r="AY712" s="10">
        <f t="shared" si="368"/>
        <v>-0.71238748392627527</v>
      </c>
      <c r="AZ712" s="6" t="s">
        <v>8196</v>
      </c>
      <c r="BA712" s="6" t="str">
        <f t="shared" si="352"/>
        <v>=9.332*100000000</v>
      </c>
      <c r="BB712" s="1">
        <f>9.332*100000000</f>
        <v>933200000.00000012</v>
      </c>
      <c r="BC712" s="8">
        <f t="shared" si="369"/>
        <v>-4.4733340157641396E-2</v>
      </c>
      <c r="BD712" s="6" t="s">
        <v>2415</v>
      </c>
      <c r="BE712" s="6" t="str">
        <f t="shared" si="353"/>
        <v>=9.769*100000000</v>
      </c>
      <c r="BF712" s="1">
        <f>9.769*100000000</f>
        <v>976900000</v>
      </c>
      <c r="BG712" s="8">
        <f t="shared" si="370"/>
        <v>0.35042853193254075</v>
      </c>
      <c r="BH712" s="6" t="s">
        <v>6763</v>
      </c>
      <c r="BI712" s="6" t="str">
        <f t="shared" si="354"/>
        <v>=7.234*100000000</v>
      </c>
      <c r="BJ712" s="1">
        <f>7.234*100000000</f>
        <v>723400000</v>
      </c>
      <c r="BK712" s="6" t="s">
        <v>8197</v>
      </c>
      <c r="BL712" s="1" t="str">
        <f t="shared" si="356"/>
        <v>=2.874*100000000</v>
      </c>
      <c r="BM712" s="16">
        <f t="shared" si="371"/>
        <v>1.5170494084899095</v>
      </c>
      <c r="BN712" s="1">
        <f>2.874*100000000</f>
        <v>287400000</v>
      </c>
    </row>
    <row r="713" spans="1:66">
      <c r="A713" s="19"/>
      <c r="B713">
        <v>600598</v>
      </c>
      <c r="C713" t="s">
        <v>68</v>
      </c>
      <c r="D713" s="6" t="s">
        <v>8198</v>
      </c>
      <c r="E713" s="7" t="str">
        <f t="shared" si="355"/>
        <v>=6.991*100000000</v>
      </c>
      <c r="F713" s="1">
        <f>6.991*100000000</f>
        <v>699100000</v>
      </c>
      <c r="G713" s="8">
        <f t="shared" si="357"/>
        <v>-3.2253599114064231E-2</v>
      </c>
      <c r="H713" s="6" t="s">
        <v>8199</v>
      </c>
      <c r="I713" s="6" t="str">
        <f t="shared" si="341"/>
        <v>=7.224*100000000</v>
      </c>
      <c r="J713" s="1">
        <f>7.224*100000000</f>
        <v>722400000</v>
      </c>
      <c r="K713" s="10">
        <f t="shared" si="358"/>
        <v>-5.2590163934426226E-2</v>
      </c>
      <c r="L713" s="6" t="s">
        <v>8200</v>
      </c>
      <c r="M713" s="6" t="str">
        <f t="shared" si="342"/>
        <v>=7.625*100000000</v>
      </c>
      <c r="N713" s="1">
        <f>7.625*100000000</f>
        <v>762500000</v>
      </c>
      <c r="O713" s="8">
        <f t="shared" si="359"/>
        <v>1.0508337816030124</v>
      </c>
      <c r="P713" s="6" t="s">
        <v>8201</v>
      </c>
      <c r="Q713" s="6" t="str">
        <f t="shared" si="343"/>
        <v>=3.718*100000000</v>
      </c>
      <c r="R713" s="11">
        <f>3.718*100000000</f>
        <v>371800000</v>
      </c>
      <c r="S713" s="8">
        <f t="shared" si="360"/>
        <v>-0.61733223548785499</v>
      </c>
      <c r="T713" s="6" t="s">
        <v>8202</v>
      </c>
      <c r="U713" s="6" t="str">
        <f t="shared" si="344"/>
        <v>=9.716*100000000</v>
      </c>
      <c r="V713" s="1">
        <f>9.716*100000000</f>
        <v>971599999.99999988</v>
      </c>
      <c r="W713" s="8">
        <f t="shared" si="361"/>
        <v>-5.4863813229571991E-2</v>
      </c>
      <c r="X713" s="6" t="s">
        <v>3466</v>
      </c>
      <c r="Y713" s="6" t="str">
        <f t="shared" si="345"/>
        <v>=10.28*100000000</v>
      </c>
      <c r="Z713" s="1">
        <f>10.28*100000000</f>
        <v>1027999999.9999999</v>
      </c>
      <c r="AA713" s="8">
        <f t="shared" si="362"/>
        <v>0.30208993033565534</v>
      </c>
      <c r="AB713" s="6" t="s">
        <v>8203</v>
      </c>
      <c r="AC713" s="6" t="str">
        <f t="shared" si="346"/>
        <v>=7.895*100000000</v>
      </c>
      <c r="AD713" s="1">
        <f>7.895*100000000</f>
        <v>789500000</v>
      </c>
      <c r="AE713" s="8">
        <f t="shared" si="363"/>
        <v>1.1081441922563418</v>
      </c>
      <c r="AF713" s="6" t="s">
        <v>6621</v>
      </c>
      <c r="AG713" s="6" t="str">
        <f t="shared" si="347"/>
        <v>=3.745*100000000</v>
      </c>
      <c r="AH713" s="1">
        <f>3.745*100000000</f>
        <v>374500000</v>
      </c>
      <c r="AI713" s="8">
        <f t="shared" si="364"/>
        <v>-0.55074376199616126</v>
      </c>
      <c r="AJ713" s="6" t="s">
        <v>8204</v>
      </c>
      <c r="AK713" s="6" t="str">
        <f t="shared" si="348"/>
        <v>=8.336*100000000</v>
      </c>
      <c r="AL713" s="1">
        <f>8.336*100000000</f>
        <v>833600000</v>
      </c>
      <c r="AM713" s="8">
        <f t="shared" si="365"/>
        <v>-0.1350902676903922</v>
      </c>
      <c r="AN713" s="6" t="s">
        <v>8205</v>
      </c>
      <c r="AO713" s="6" t="str">
        <f t="shared" si="349"/>
        <v>=9.638*100000000</v>
      </c>
      <c r="AP713" s="1">
        <f>9.638*100000000</f>
        <v>963800000</v>
      </c>
      <c r="AQ713" s="8">
        <f t="shared" si="366"/>
        <v>0.3811980510174835</v>
      </c>
      <c r="AR713" s="6" t="s">
        <v>8206</v>
      </c>
      <c r="AS713" s="6" t="str">
        <f t="shared" si="350"/>
        <v>=6.978*100000000</v>
      </c>
      <c r="AT713" s="1">
        <f>6.978*100000000</f>
        <v>697800000</v>
      </c>
      <c r="AU713" s="8">
        <f t="shared" si="367"/>
        <v>1.5998509687034275</v>
      </c>
      <c r="AV713" s="6" t="s">
        <v>8195</v>
      </c>
      <c r="AW713" s="6" t="str">
        <f t="shared" si="351"/>
        <v>=2.684*100000000</v>
      </c>
      <c r="AX713" s="1">
        <f>2.684*100000000</f>
        <v>268400000.00000003</v>
      </c>
      <c r="AY713" s="10">
        <f t="shared" si="368"/>
        <v>-0.70676281000764773</v>
      </c>
      <c r="AZ713" s="6" t="s">
        <v>6169</v>
      </c>
      <c r="BA713" s="6" t="str">
        <f t="shared" si="352"/>
        <v>=9.153*100000000</v>
      </c>
      <c r="BB713" s="1">
        <f>9.153*100000000</f>
        <v>915300000</v>
      </c>
      <c r="BC713" s="8">
        <f t="shared" si="369"/>
        <v>-5.8623881518050099E-2</v>
      </c>
      <c r="BD713" s="6" t="s">
        <v>8207</v>
      </c>
      <c r="BE713" s="6" t="str">
        <f t="shared" si="353"/>
        <v>=9.723*100000000</v>
      </c>
      <c r="BF713" s="1">
        <f>9.723*100000000</f>
        <v>972300000.00000012</v>
      </c>
      <c r="BG713" s="8">
        <f t="shared" si="370"/>
        <v>0.35041666666666682</v>
      </c>
      <c r="BH713" s="6" t="s">
        <v>6226</v>
      </c>
      <c r="BI713" s="6" t="str">
        <f t="shared" si="354"/>
        <v>=7.200*100000000</v>
      </c>
      <c r="BJ713" s="1">
        <f>7.2*100000000</f>
        <v>720000000</v>
      </c>
      <c r="BK713" s="6" t="s">
        <v>8197</v>
      </c>
      <c r="BL713" s="1" t="str">
        <f t="shared" si="356"/>
        <v>=2.874*100000000</v>
      </c>
      <c r="BM713" s="16">
        <f t="shared" si="371"/>
        <v>1.5052192066805845</v>
      </c>
      <c r="BN713" s="1">
        <f>2.874*100000000</f>
        <v>287400000</v>
      </c>
    </row>
    <row r="714" spans="1:66">
      <c r="A714" s="17">
        <v>180</v>
      </c>
      <c r="B714">
        <v>600600</v>
      </c>
      <c r="C714" t="s">
        <v>31</v>
      </c>
      <c r="D714" s="6" t="s">
        <v>8208</v>
      </c>
      <c r="E714" s="7" t="str">
        <f t="shared" si="355"/>
        <v>=301.7*100000000</v>
      </c>
      <c r="F714" s="1">
        <f>301.7*100000000</f>
        <v>30170000000</v>
      </c>
      <c r="G714" s="8">
        <f t="shared" si="357"/>
        <v>0.1270078446021666</v>
      </c>
      <c r="H714" s="6" t="s">
        <v>8209</v>
      </c>
      <c r="I714" s="6" t="str">
        <f t="shared" si="341"/>
        <v>=267.7*100000000</v>
      </c>
      <c r="J714" s="1">
        <f>267.7*100000000</f>
        <v>26770000000</v>
      </c>
      <c r="K714" s="10">
        <f t="shared" si="358"/>
        <v>0.46364133406232916</v>
      </c>
      <c r="L714" s="6" t="s">
        <v>5276</v>
      </c>
      <c r="M714" s="6" t="str">
        <f t="shared" si="342"/>
        <v>=182.9*100000000</v>
      </c>
      <c r="N714" s="1">
        <f>182.9*100000000</f>
        <v>18290000000</v>
      </c>
      <c r="O714" s="8">
        <f t="shared" si="359"/>
        <v>1.0486111111111112</v>
      </c>
      <c r="P714" s="6" t="s">
        <v>8210</v>
      </c>
      <c r="Q714" s="6" t="str">
        <f t="shared" si="343"/>
        <v>=89.28*100000000</v>
      </c>
      <c r="R714" s="11">
        <f>89.28*100000000</f>
        <v>8928000000</v>
      </c>
      <c r="S714" s="8">
        <f t="shared" si="360"/>
        <v>-0.67838616714697408</v>
      </c>
      <c r="T714" s="6" t="s">
        <v>8211</v>
      </c>
      <c r="U714" s="6" t="str">
        <f t="shared" si="344"/>
        <v>=277.6*100000000</v>
      </c>
      <c r="V714" s="1">
        <f>277.6*100000000</f>
        <v>27760000000.000004</v>
      </c>
      <c r="W714" s="8">
        <f t="shared" si="361"/>
        <v>0.13677313677313693</v>
      </c>
      <c r="X714" s="6" t="s">
        <v>8212</v>
      </c>
      <c r="Y714" s="6" t="str">
        <f t="shared" si="345"/>
        <v>=244.2*100000000</v>
      </c>
      <c r="Z714" s="1">
        <f>244.2*100000000</f>
        <v>24420000000</v>
      </c>
      <c r="AA714" s="8">
        <f t="shared" si="362"/>
        <v>0.5573979591836733</v>
      </c>
      <c r="AB714" s="6" t="s">
        <v>8213</v>
      </c>
      <c r="AC714" s="6" t="str">
        <f t="shared" si="346"/>
        <v>=156.8*100000000</v>
      </c>
      <c r="AD714" s="1">
        <f>156.8*100000000</f>
        <v>15680000000.000002</v>
      </c>
      <c r="AE714" s="8">
        <f t="shared" si="363"/>
        <v>1.4916573971078979</v>
      </c>
      <c r="AF714" s="6" t="s">
        <v>2818</v>
      </c>
      <c r="AG714" s="6" t="str">
        <f t="shared" si="347"/>
        <v>=62.93*100000000</v>
      </c>
      <c r="AH714" s="1">
        <f>62.93*100000000</f>
        <v>6293000000</v>
      </c>
      <c r="AI714" s="8">
        <f t="shared" si="364"/>
        <v>-0.77508934953538244</v>
      </c>
      <c r="AJ714" s="6" t="s">
        <v>8214</v>
      </c>
      <c r="AK714" s="6" t="str">
        <f t="shared" si="348"/>
        <v>=279.8*100000000</v>
      </c>
      <c r="AL714" s="1">
        <f>279.8*100000000</f>
        <v>27980000000</v>
      </c>
      <c r="AM714" s="8">
        <f t="shared" si="365"/>
        <v>0.12369477911646587</v>
      </c>
      <c r="AN714" s="6" t="s">
        <v>8215</v>
      </c>
      <c r="AO714" s="6" t="str">
        <f t="shared" si="349"/>
        <v>=249.0*100000000</v>
      </c>
      <c r="AP714" s="1">
        <f>249*100000000</f>
        <v>24900000000</v>
      </c>
      <c r="AQ714" s="8">
        <f t="shared" si="366"/>
        <v>0.50453172205438068</v>
      </c>
      <c r="AR714" s="6" t="s">
        <v>8216</v>
      </c>
      <c r="AS714" s="6" t="str">
        <f t="shared" si="350"/>
        <v>=165.5*100000000</v>
      </c>
      <c r="AT714" s="1">
        <f>165.5*100000000</f>
        <v>16550000000</v>
      </c>
      <c r="AU714" s="8">
        <f t="shared" si="367"/>
        <v>1.081499182492768</v>
      </c>
      <c r="AV714" s="6" t="s">
        <v>8217</v>
      </c>
      <c r="AW714" s="6" t="str">
        <f t="shared" si="351"/>
        <v>=79.51*100000000</v>
      </c>
      <c r="AX714" s="1">
        <f>79.51*100000000</f>
        <v>7951000000.000001</v>
      </c>
      <c r="AY714" s="10">
        <f t="shared" si="368"/>
        <v>-0.70086531226486082</v>
      </c>
      <c r="AZ714" s="6" t="s">
        <v>8218</v>
      </c>
      <c r="BA714" s="6" t="str">
        <f t="shared" si="352"/>
        <v>=265.8*100000000</v>
      </c>
      <c r="BB714" s="1">
        <f>265.8*100000000</f>
        <v>26580000000</v>
      </c>
      <c r="BC714" s="8">
        <f t="shared" si="369"/>
        <v>0.12436548223350254</v>
      </c>
      <c r="BD714" s="6" t="s">
        <v>8219</v>
      </c>
      <c r="BE714" s="6" t="str">
        <f t="shared" si="353"/>
        <v>=236.4*100000000</v>
      </c>
      <c r="BF714" s="1">
        <f>236.4*100000000</f>
        <v>23640000000</v>
      </c>
      <c r="BG714" s="8">
        <f t="shared" si="370"/>
        <v>0.56039603960396045</v>
      </c>
      <c r="BH714" s="6" t="s">
        <v>8220</v>
      </c>
      <c r="BI714" s="6" t="str">
        <f t="shared" si="354"/>
        <v>=151.5*100000000</v>
      </c>
      <c r="BJ714" s="1">
        <f>151.5*100000000</f>
        <v>15150000000</v>
      </c>
      <c r="BK714" s="6" t="s">
        <v>2614</v>
      </c>
      <c r="BL714" s="1" t="str">
        <f t="shared" si="356"/>
        <v>=71.39*100000000</v>
      </c>
      <c r="BM714" s="16">
        <f t="shared" si="371"/>
        <v>1.1221459588177616</v>
      </c>
      <c r="BN714" s="1">
        <f>71.39*100000000</f>
        <v>7139000000</v>
      </c>
    </row>
    <row r="715" spans="1:66">
      <c r="A715" s="18"/>
      <c r="B715">
        <v>600600</v>
      </c>
      <c r="C715" t="s">
        <v>48</v>
      </c>
      <c r="D715" s="6" t="s">
        <v>5366</v>
      </c>
      <c r="E715" s="7" t="str">
        <f t="shared" si="355"/>
        <v>=44.55*100000000</v>
      </c>
      <c r="F715" s="1">
        <f>44.55*100000000</f>
        <v>4455000000</v>
      </c>
      <c r="G715" s="8">
        <f t="shared" si="357"/>
        <v>-9.3222063912070025E-2</v>
      </c>
      <c r="H715" s="6" t="s">
        <v>8221</v>
      </c>
      <c r="I715" s="6" t="str">
        <f t="shared" si="341"/>
        <v>=49.13*100000000</v>
      </c>
      <c r="J715" s="1">
        <f>49.13*100000000</f>
        <v>4913000000</v>
      </c>
      <c r="K715" s="10">
        <f t="shared" si="358"/>
        <v>0.49740932642487046</v>
      </c>
      <c r="L715" s="6" t="s">
        <v>5076</v>
      </c>
      <c r="M715" s="6" t="str">
        <f t="shared" si="342"/>
        <v>=32.81*100000000</v>
      </c>
      <c r="N715" s="1">
        <f>32.81*100000000</f>
        <v>3281000000</v>
      </c>
      <c r="O715" s="8">
        <f t="shared" si="359"/>
        <v>1.3469241773962803</v>
      </c>
      <c r="P715" s="6" t="s">
        <v>702</v>
      </c>
      <c r="Q715" s="6" t="str">
        <f t="shared" si="343"/>
        <v>=13.98*100000000</v>
      </c>
      <c r="R715" s="11">
        <f>13.98*100000000</f>
        <v>1398000000</v>
      </c>
      <c r="S715" s="8">
        <f t="shared" si="360"/>
        <v>-0.56984615384615389</v>
      </c>
      <c r="T715" s="6" t="s">
        <v>8222</v>
      </c>
      <c r="U715" s="6" t="str">
        <f t="shared" si="344"/>
        <v>=32.50*100000000</v>
      </c>
      <c r="V715" s="1">
        <f>32.5*100000000</f>
        <v>3250000000</v>
      </c>
      <c r="W715" s="8">
        <f t="shared" si="361"/>
        <v>-0.21421663442940039</v>
      </c>
      <c r="X715" s="6" t="s">
        <v>8223</v>
      </c>
      <c r="Y715" s="6" t="str">
        <f t="shared" si="345"/>
        <v>=41.36*100000000</v>
      </c>
      <c r="Z715" s="1">
        <f>41.36*100000000</f>
        <v>4136000000</v>
      </c>
      <c r="AA715" s="8">
        <f t="shared" si="362"/>
        <v>0.60621359223300975</v>
      </c>
      <c r="AB715" s="6" t="s">
        <v>8224</v>
      </c>
      <c r="AC715" s="6" t="str">
        <f t="shared" si="346"/>
        <v>=25.75*100000000</v>
      </c>
      <c r="AD715" s="1">
        <f>25.75*100000000</f>
        <v>2575000000</v>
      </c>
      <c r="AE715" s="8">
        <f t="shared" si="363"/>
        <v>2.3624967354400628</v>
      </c>
      <c r="AF715" s="6" t="s">
        <v>8225</v>
      </c>
      <c r="AG715" s="6" t="str">
        <f t="shared" si="347"/>
        <v>=7.658*100000000</v>
      </c>
      <c r="AH715" s="1">
        <f>7.658*100000000</f>
        <v>765800000</v>
      </c>
      <c r="AI715" s="8">
        <f t="shared" si="364"/>
        <v>-0.71616011860637507</v>
      </c>
      <c r="AJ715" s="6" t="s">
        <v>3534</v>
      </c>
      <c r="AK715" s="6" t="str">
        <f t="shared" si="348"/>
        <v>=26.98*100000000</v>
      </c>
      <c r="AL715" s="1">
        <f>26.98*100000000</f>
        <v>2698000000</v>
      </c>
      <c r="AM715" s="8">
        <f t="shared" si="365"/>
        <v>-0.25777166437414029</v>
      </c>
      <c r="AN715" s="6" t="s">
        <v>7106</v>
      </c>
      <c r="AO715" s="6" t="str">
        <f t="shared" si="349"/>
        <v>=36.35*100000000</v>
      </c>
      <c r="AP715" s="1">
        <f>36.35*100000000</f>
        <v>3635000000</v>
      </c>
      <c r="AQ715" s="8">
        <f t="shared" si="366"/>
        <v>0.57427457773928103</v>
      </c>
      <c r="AR715" s="6" t="s">
        <v>8226</v>
      </c>
      <c r="AS715" s="6" t="str">
        <f t="shared" si="350"/>
        <v>=23.09*100000000</v>
      </c>
      <c r="AT715" s="1">
        <f>23.09*100000000</f>
        <v>2309000000</v>
      </c>
      <c r="AU715" s="8">
        <f t="shared" si="367"/>
        <v>1.056099732858415</v>
      </c>
      <c r="AV715" s="6" t="s">
        <v>363</v>
      </c>
      <c r="AW715" s="6" t="str">
        <f t="shared" si="351"/>
        <v>=11.23*100000000</v>
      </c>
      <c r="AX715" s="1">
        <f>11.23*100000000</f>
        <v>1123000000</v>
      </c>
      <c r="AY715" s="10">
        <f t="shared" si="368"/>
        <v>-0.5277544154751892</v>
      </c>
      <c r="AZ715" s="6" t="s">
        <v>8227</v>
      </c>
      <c r="BA715" s="6" t="str">
        <f t="shared" si="352"/>
        <v>=23.78*100000000</v>
      </c>
      <c r="BB715" s="1">
        <f>23.78*100000000</f>
        <v>2378000000</v>
      </c>
      <c r="BC715" s="8">
        <f t="shared" si="369"/>
        <v>-0.23512383403023479</v>
      </c>
      <c r="BD715" s="6" t="s">
        <v>4418</v>
      </c>
      <c r="BE715" s="6" t="str">
        <f t="shared" si="353"/>
        <v>=31.09*100000000</v>
      </c>
      <c r="BF715" s="1">
        <f>31.09*100000000</f>
        <v>3109000000</v>
      </c>
      <c r="BG715" s="8">
        <f t="shared" si="370"/>
        <v>0.64410364886303539</v>
      </c>
      <c r="BH715" s="6" t="s">
        <v>1825</v>
      </c>
      <c r="BI715" s="6" t="str">
        <f t="shared" si="354"/>
        <v>=18.91*100000000</v>
      </c>
      <c r="BJ715" s="1">
        <f>18.91*100000000</f>
        <v>1891000000</v>
      </c>
      <c r="BK715" s="6" t="s">
        <v>8228</v>
      </c>
      <c r="BL715" s="1" t="str">
        <f t="shared" si="356"/>
        <v>=9.668*100000000</v>
      </c>
      <c r="BM715" s="16">
        <f t="shared" si="371"/>
        <v>0.95593711212246613</v>
      </c>
      <c r="BN715" s="1">
        <f>9.668*100000000</f>
        <v>966799999.99999988</v>
      </c>
    </row>
    <row r="716" spans="1:66">
      <c r="A716" s="18"/>
      <c r="B716">
        <v>600600</v>
      </c>
      <c r="C716" t="s">
        <v>58</v>
      </c>
      <c r="D716" s="6" t="s">
        <v>5415</v>
      </c>
      <c r="E716" s="7" t="str">
        <f t="shared" si="355"/>
        <v>=44.79*100000000</v>
      </c>
      <c r="F716" s="1">
        <f>44.79*100000000</f>
        <v>4479000000</v>
      </c>
      <c r="G716" s="8">
        <f t="shared" si="357"/>
        <v>-9.2401215805471129E-2</v>
      </c>
      <c r="H716" s="6" t="s">
        <v>8229</v>
      </c>
      <c r="I716" s="6" t="str">
        <f t="shared" si="341"/>
        <v>=49.35*100000000</v>
      </c>
      <c r="J716" s="1">
        <f>49.35*100000000</f>
        <v>4935000000</v>
      </c>
      <c r="K716" s="10">
        <f t="shared" si="358"/>
        <v>0.49954421148587075</v>
      </c>
      <c r="L716" s="6" t="s">
        <v>8230</v>
      </c>
      <c r="M716" s="6" t="str">
        <f t="shared" si="342"/>
        <v>=32.91*100000000</v>
      </c>
      <c r="N716" s="1">
        <f>32.91*100000000</f>
        <v>3290999999.9999995</v>
      </c>
      <c r="O716" s="8">
        <f t="shared" si="359"/>
        <v>1.3540772532188838</v>
      </c>
      <c r="P716" s="6" t="s">
        <v>702</v>
      </c>
      <c r="Q716" s="6" t="str">
        <f t="shared" si="343"/>
        <v>=13.98*100000000</v>
      </c>
      <c r="R716" s="11">
        <f>13.98*100000000</f>
        <v>1398000000</v>
      </c>
      <c r="S716" s="8">
        <f t="shared" si="360"/>
        <v>-0.56851851851851853</v>
      </c>
      <c r="T716" s="6" t="s">
        <v>6949</v>
      </c>
      <c r="U716" s="6" t="str">
        <f t="shared" si="344"/>
        <v>=32.40*100000000</v>
      </c>
      <c r="V716" s="1">
        <f>32.4*100000000</f>
        <v>3240000000</v>
      </c>
      <c r="W716" s="8">
        <f t="shared" si="361"/>
        <v>-0.21435499515033948</v>
      </c>
      <c r="X716" s="6" t="s">
        <v>8231</v>
      </c>
      <c r="Y716" s="6" t="str">
        <f t="shared" si="345"/>
        <v>=41.24*100000000</v>
      </c>
      <c r="Z716" s="1">
        <f>41.24*100000000</f>
        <v>4124000000</v>
      </c>
      <c r="AA716" s="8">
        <f t="shared" si="362"/>
        <v>0.61219702892885064</v>
      </c>
      <c r="AB716" s="6" t="s">
        <v>8232</v>
      </c>
      <c r="AC716" s="6" t="str">
        <f t="shared" si="346"/>
        <v>=25.58*100000000</v>
      </c>
      <c r="AD716" s="1">
        <f>25.58*100000000</f>
        <v>2558000000</v>
      </c>
      <c r="AE716" s="8">
        <f t="shared" si="363"/>
        <v>2.438634225030246</v>
      </c>
      <c r="AF716" s="6" t="s">
        <v>8233</v>
      </c>
      <c r="AG716" s="6" t="str">
        <f t="shared" si="347"/>
        <v>=7.439*100000000</v>
      </c>
      <c r="AH716" s="1">
        <f>7.439*100000000</f>
        <v>743900000</v>
      </c>
      <c r="AI716" s="8">
        <f t="shared" si="364"/>
        <v>-0.72720938760542719</v>
      </c>
      <c r="AJ716" s="6" t="s">
        <v>8234</v>
      </c>
      <c r="AK716" s="6" t="str">
        <f t="shared" si="348"/>
        <v>=27.27*100000000</v>
      </c>
      <c r="AL716" s="1">
        <f>27.27*100000000</f>
        <v>2727000000</v>
      </c>
      <c r="AM716" s="8">
        <f t="shared" si="365"/>
        <v>-0.25410284463894967</v>
      </c>
      <c r="AN716" s="6" t="s">
        <v>8235</v>
      </c>
      <c r="AO716" s="6" t="str">
        <f t="shared" si="349"/>
        <v>=36.56*100000000</v>
      </c>
      <c r="AP716" s="1">
        <f>36.56*100000000</f>
        <v>3656000000</v>
      </c>
      <c r="AQ716" s="8">
        <f t="shared" si="366"/>
        <v>0.57450473729543494</v>
      </c>
      <c r="AR716" s="6" t="s">
        <v>3327</v>
      </c>
      <c r="AS716" s="6" t="str">
        <f t="shared" si="350"/>
        <v>=23.22*100000000</v>
      </c>
      <c r="AT716" s="1">
        <f>23.22*100000000</f>
        <v>2322000000</v>
      </c>
      <c r="AU716" s="8">
        <f t="shared" si="367"/>
        <v>1.0676758682101515</v>
      </c>
      <c r="AV716" s="6" t="s">
        <v>363</v>
      </c>
      <c r="AW716" s="6" t="str">
        <f t="shared" si="351"/>
        <v>=11.23*100000000</v>
      </c>
      <c r="AX716" s="1">
        <f>11.23*100000000</f>
        <v>1123000000</v>
      </c>
      <c r="AY716" s="10">
        <f t="shared" si="368"/>
        <v>-0.52815126050420169</v>
      </c>
      <c r="AZ716" s="6" t="s">
        <v>8236</v>
      </c>
      <c r="BA716" s="6" t="str">
        <f t="shared" si="352"/>
        <v>=23.80*100000000</v>
      </c>
      <c r="BB716" s="1">
        <f>23.8*100000000</f>
        <v>2380000000</v>
      </c>
      <c r="BC716" s="8">
        <f t="shared" si="369"/>
        <v>-0.2347266881028939</v>
      </c>
      <c r="BD716" s="6" t="s">
        <v>8237</v>
      </c>
      <c r="BE716" s="6" t="str">
        <f t="shared" si="353"/>
        <v>=31.10*100000000</v>
      </c>
      <c r="BF716" s="1">
        <f>31.1*100000000</f>
        <v>3110000000</v>
      </c>
      <c r="BG716" s="8">
        <f t="shared" si="370"/>
        <v>0.64029535864978904</v>
      </c>
      <c r="BH716" s="6" t="s">
        <v>562</v>
      </c>
      <c r="BI716" s="6" t="str">
        <f t="shared" si="354"/>
        <v>=18.96*100000000</v>
      </c>
      <c r="BJ716" s="1">
        <f>18.96*100000000</f>
        <v>1896000000</v>
      </c>
      <c r="BK716" s="6" t="s">
        <v>8238</v>
      </c>
      <c r="BL716" s="1" t="str">
        <f t="shared" si="356"/>
        <v>=9.706*100000000</v>
      </c>
      <c r="BM716" s="16">
        <f t="shared" si="371"/>
        <v>0.95343086750463635</v>
      </c>
      <c r="BN716" s="1">
        <f>9.706*100000000</f>
        <v>970600000</v>
      </c>
    </row>
    <row r="717" spans="1:66">
      <c r="A717" s="19"/>
      <c r="B717">
        <v>600600</v>
      </c>
      <c r="C717" t="s">
        <v>68</v>
      </c>
      <c r="D717" s="6" t="s">
        <v>8239</v>
      </c>
      <c r="E717" s="7" t="str">
        <f t="shared" si="355"/>
        <v>=32.56*100000000</v>
      </c>
      <c r="F717" s="1">
        <f>32.56*100000000</f>
        <v>3256000000</v>
      </c>
      <c r="G717" s="8">
        <f t="shared" si="357"/>
        <v>-0.12402475114339521</v>
      </c>
      <c r="H717" s="6" t="s">
        <v>1544</v>
      </c>
      <c r="I717" s="6" t="str">
        <f t="shared" si="341"/>
        <v>=37.17*100000000</v>
      </c>
      <c r="J717" s="1">
        <f>37.17*100000000</f>
        <v>3717000000</v>
      </c>
      <c r="K717" s="10">
        <f t="shared" si="358"/>
        <v>0.49457177322074791</v>
      </c>
      <c r="L717" s="6" t="s">
        <v>8240</v>
      </c>
      <c r="M717" s="6" t="str">
        <f t="shared" si="342"/>
        <v>=24.87*100000000</v>
      </c>
      <c r="N717" s="1">
        <f>24.87*100000000</f>
        <v>2487000000</v>
      </c>
      <c r="O717" s="8">
        <f t="shared" si="359"/>
        <v>1.3573459715639808</v>
      </c>
      <c r="P717" s="6" t="s">
        <v>3050</v>
      </c>
      <c r="Q717" s="6" t="str">
        <f t="shared" si="343"/>
        <v>=10.55*100000000</v>
      </c>
      <c r="R717" s="11">
        <f>10.55*100000000</f>
        <v>1055000000.0000001</v>
      </c>
      <c r="S717" s="8">
        <f t="shared" si="360"/>
        <v>-0.54662655779974212</v>
      </c>
      <c r="T717" s="6" t="s">
        <v>1812</v>
      </c>
      <c r="U717" s="6" t="str">
        <f t="shared" si="344"/>
        <v>=23.27*100000000</v>
      </c>
      <c r="V717" s="1">
        <f>23.27*100000000</f>
        <v>2327000000</v>
      </c>
      <c r="W717" s="8">
        <f t="shared" si="361"/>
        <v>-0.25200900032144002</v>
      </c>
      <c r="X717" s="6" t="s">
        <v>6744</v>
      </c>
      <c r="Y717" s="6" t="str">
        <f t="shared" si="345"/>
        <v>=31.11*100000000</v>
      </c>
      <c r="Z717" s="1">
        <f>31.11*100000000</f>
        <v>3111000000</v>
      </c>
      <c r="AA717" s="8">
        <f t="shared" si="362"/>
        <v>0.60443527591542034</v>
      </c>
      <c r="AB717" s="6" t="s">
        <v>3064</v>
      </c>
      <c r="AC717" s="6" t="str">
        <f t="shared" si="346"/>
        <v>=19.39*100000000</v>
      </c>
      <c r="AD717" s="1">
        <f>19.39*100000000</f>
        <v>1939000000</v>
      </c>
      <c r="AE717" s="8">
        <f t="shared" si="363"/>
        <v>2.499368345064068</v>
      </c>
      <c r="AF717" s="6" t="s">
        <v>8241</v>
      </c>
      <c r="AG717" s="6" t="str">
        <f t="shared" si="347"/>
        <v>=5.541*100000000</v>
      </c>
      <c r="AH717" s="1">
        <f>5.541*100000000</f>
        <v>554100000</v>
      </c>
      <c r="AI717" s="8">
        <f t="shared" si="364"/>
        <v>-0.71275272161741832</v>
      </c>
      <c r="AJ717" s="6" t="s">
        <v>7174</v>
      </c>
      <c r="AK717" s="6" t="str">
        <f t="shared" si="348"/>
        <v>=19.29*100000000</v>
      </c>
      <c r="AL717" s="1">
        <f>19.29*100000000</f>
        <v>1929000000</v>
      </c>
      <c r="AM717" s="8">
        <f t="shared" si="365"/>
        <v>-0.29262926292629265</v>
      </c>
      <c r="AN717" s="6" t="s">
        <v>8234</v>
      </c>
      <c r="AO717" s="6" t="str">
        <f t="shared" si="349"/>
        <v>=27.27*100000000</v>
      </c>
      <c r="AP717" s="1">
        <f>27.27*100000000</f>
        <v>2727000000</v>
      </c>
      <c r="AQ717" s="8">
        <f t="shared" si="366"/>
        <v>0.5799536500579372</v>
      </c>
      <c r="AR717" s="6" t="s">
        <v>7000</v>
      </c>
      <c r="AS717" s="6" t="str">
        <f t="shared" si="350"/>
        <v>=17.26*100000000</v>
      </c>
      <c r="AT717" s="1">
        <f>17.26*100000000</f>
        <v>1726000000.0000002</v>
      </c>
      <c r="AU717" s="8">
        <f t="shared" si="367"/>
        <v>1.0457508593101819</v>
      </c>
      <c r="AV717" s="6" t="s">
        <v>8242</v>
      </c>
      <c r="AW717" s="6" t="str">
        <f t="shared" si="351"/>
        <v>=8.437*100000000</v>
      </c>
      <c r="AX717" s="1">
        <f>8.437*100000000</f>
        <v>843699999.99999988</v>
      </c>
      <c r="AY717" s="10">
        <f t="shared" si="368"/>
        <v>-0.45951313260730309</v>
      </c>
      <c r="AZ717" s="6" t="s">
        <v>353</v>
      </c>
      <c r="BA717" s="6" t="str">
        <f t="shared" si="352"/>
        <v>=15.61*100000000</v>
      </c>
      <c r="BB717" s="1">
        <f>15.61*100000000</f>
        <v>1561000000</v>
      </c>
      <c r="BC717" s="8">
        <f t="shared" si="369"/>
        <v>-0.30653043091959131</v>
      </c>
      <c r="BD717" s="6" t="s">
        <v>6459</v>
      </c>
      <c r="BE717" s="6" t="str">
        <f t="shared" si="353"/>
        <v>=22.51*100000000</v>
      </c>
      <c r="BF717" s="1">
        <f>22.51*100000000</f>
        <v>2251000000</v>
      </c>
      <c r="BG717" s="8">
        <f t="shared" si="370"/>
        <v>0.61246418338108888</v>
      </c>
      <c r="BH717" s="6" t="s">
        <v>4228</v>
      </c>
      <c r="BI717" s="6" t="str">
        <f t="shared" si="354"/>
        <v>=13.96*100000000</v>
      </c>
      <c r="BJ717" s="1">
        <f>13.96*100000000</f>
        <v>1396000000</v>
      </c>
      <c r="BK717" s="6" t="s">
        <v>8243</v>
      </c>
      <c r="BL717" s="1" t="str">
        <f t="shared" si="356"/>
        <v>=7.039*100000000</v>
      </c>
      <c r="BM717" s="16">
        <f t="shared" si="371"/>
        <v>0.98323625514987922</v>
      </c>
      <c r="BN717" s="1">
        <f>7.039*100000000</f>
        <v>703900000</v>
      </c>
    </row>
    <row r="718" spans="1:66">
      <c r="A718" s="17">
        <v>181</v>
      </c>
      <c r="B718">
        <v>600602</v>
      </c>
      <c r="C718" t="s">
        <v>31</v>
      </c>
      <c r="D718" s="6" t="s">
        <v>8244</v>
      </c>
      <c r="E718" s="7" t="str">
        <f t="shared" si="355"/>
        <v>=49.93*100000000</v>
      </c>
      <c r="F718" s="1">
        <f>49.93*100000000</f>
        <v>4993000000</v>
      </c>
      <c r="G718" s="8">
        <f t="shared" si="357"/>
        <v>0.41124929338609367</v>
      </c>
      <c r="H718" s="6" t="s">
        <v>8245</v>
      </c>
      <c r="I718" s="6" t="str">
        <f t="shared" si="341"/>
        <v>=35.38*100000000</v>
      </c>
      <c r="J718" s="1">
        <f>35.38*100000000</f>
        <v>3538000000.0000005</v>
      </c>
      <c r="K718" s="10">
        <f t="shared" si="358"/>
        <v>0.51845493562231781</v>
      </c>
      <c r="L718" s="6" t="s">
        <v>8246</v>
      </c>
      <c r="M718" s="6" t="str">
        <f t="shared" si="342"/>
        <v>=23.30*100000000</v>
      </c>
      <c r="N718" s="1">
        <f>23.3*100000000</f>
        <v>2330000000</v>
      </c>
      <c r="O718" s="8">
        <f t="shared" si="359"/>
        <v>0.97123519458544838</v>
      </c>
      <c r="P718" s="6" t="s">
        <v>4221</v>
      </c>
      <c r="Q718" s="6" t="str">
        <f t="shared" si="343"/>
        <v>=11.82*100000000</v>
      </c>
      <c r="R718" s="11">
        <f>11.82*100000000</f>
        <v>1182000000</v>
      </c>
      <c r="S718" s="8">
        <f t="shared" si="360"/>
        <v>-0.74248366013071898</v>
      </c>
      <c r="T718" s="6" t="s">
        <v>8247</v>
      </c>
      <c r="U718" s="6" t="str">
        <f t="shared" si="344"/>
        <v>=45.90*100000000</v>
      </c>
      <c r="V718" s="1">
        <f>45.9*100000000</f>
        <v>4590000000</v>
      </c>
      <c r="W718" s="8">
        <f t="shared" si="361"/>
        <v>0.49316851008458035</v>
      </c>
      <c r="X718" s="6" t="s">
        <v>8248</v>
      </c>
      <c r="Y718" s="6" t="str">
        <f t="shared" si="345"/>
        <v>=30.74*100000000</v>
      </c>
      <c r="Z718" s="1">
        <f>30.74*100000000</f>
        <v>3074000000</v>
      </c>
      <c r="AA718" s="8">
        <f t="shared" si="362"/>
        <v>0.5731832139201638</v>
      </c>
      <c r="AB718" s="6" t="s">
        <v>4798</v>
      </c>
      <c r="AC718" s="6" t="str">
        <f t="shared" si="346"/>
        <v>=19.54*100000000</v>
      </c>
      <c r="AD718" s="1">
        <f>19.54*100000000</f>
        <v>1954000000</v>
      </c>
      <c r="AE718" s="8">
        <f t="shared" si="363"/>
        <v>1.0488623256789344</v>
      </c>
      <c r="AF718" s="6" t="s">
        <v>5636</v>
      </c>
      <c r="AG718" s="6" t="str">
        <f t="shared" si="347"/>
        <v>=9.537*100000000</v>
      </c>
      <c r="AH718" s="1">
        <f>9.537*100000000</f>
        <v>953700000.00000012</v>
      </c>
      <c r="AI718" s="8">
        <f t="shared" si="364"/>
        <v>-0.80492943342196765</v>
      </c>
      <c r="AJ718" s="6" t="s">
        <v>8249</v>
      </c>
      <c r="AK718" s="6" t="str">
        <f t="shared" si="348"/>
        <v>=48.89*100000000</v>
      </c>
      <c r="AL718" s="1">
        <f>48.89*100000000</f>
        <v>4889000000</v>
      </c>
      <c r="AM718" s="8">
        <f t="shared" si="365"/>
        <v>0.42039511911679256</v>
      </c>
      <c r="AN718" s="6" t="s">
        <v>8250</v>
      </c>
      <c r="AO718" s="6" t="str">
        <f t="shared" si="349"/>
        <v>=34.42*100000000</v>
      </c>
      <c r="AP718" s="1">
        <f>34.42*100000000</f>
        <v>3442000000</v>
      </c>
      <c r="AQ718" s="8">
        <f t="shared" si="366"/>
        <v>0.58910433979686061</v>
      </c>
      <c r="AR718" s="6" t="s">
        <v>5374</v>
      </c>
      <c r="AS718" s="6" t="str">
        <f t="shared" si="350"/>
        <v>=21.66*100000000</v>
      </c>
      <c r="AT718" s="1">
        <f>21.66*100000000</f>
        <v>2166000000</v>
      </c>
      <c r="AU718" s="8">
        <f t="shared" si="367"/>
        <v>1.0280898876404494</v>
      </c>
      <c r="AV718" s="6" t="s">
        <v>8251</v>
      </c>
      <c r="AW718" s="6" t="str">
        <f t="shared" si="351"/>
        <v>=10.68*100000000</v>
      </c>
      <c r="AX718" s="1">
        <f>10.68*100000000</f>
        <v>1068000000</v>
      </c>
      <c r="AY718" s="10">
        <f t="shared" si="368"/>
        <v>-0.76085982982534706</v>
      </c>
      <c r="AZ718" s="6" t="s">
        <v>8252</v>
      </c>
      <c r="BA718" s="6" t="str">
        <f t="shared" si="352"/>
        <v>=44.66*100000000</v>
      </c>
      <c r="BB718" s="1">
        <f>44.66*100000000</f>
        <v>4466000000</v>
      </c>
      <c r="BC718" s="8">
        <f t="shared" si="369"/>
        <v>0.43324775353016687</v>
      </c>
      <c r="BD718" s="6" t="s">
        <v>8253</v>
      </c>
      <c r="BE718" s="6" t="str">
        <f t="shared" si="353"/>
        <v>=31.16*100000000</v>
      </c>
      <c r="BF718" s="1">
        <f>31.16*100000000</f>
        <v>3116000000</v>
      </c>
      <c r="BG718" s="8">
        <f t="shared" si="370"/>
        <v>0.52520802741067063</v>
      </c>
      <c r="BH718" s="6" t="s">
        <v>698</v>
      </c>
      <c r="BI718" s="6" t="str">
        <f t="shared" si="354"/>
        <v>=20.43*100000000</v>
      </c>
      <c r="BJ718" s="1">
        <f>20.43*100000000</f>
        <v>2043000000</v>
      </c>
      <c r="BK718" s="6" t="s">
        <v>8254</v>
      </c>
      <c r="BL718" s="1" t="str">
        <f t="shared" si="356"/>
        <v>=9.141*100000000</v>
      </c>
      <c r="BM718" s="16">
        <f t="shared" si="371"/>
        <v>1.2349852313751231</v>
      </c>
      <c r="BN718" s="1">
        <f>9.141*100000000</f>
        <v>914100000</v>
      </c>
    </row>
    <row r="719" spans="1:66">
      <c r="A719" s="18"/>
      <c r="B719">
        <v>600602</v>
      </c>
      <c r="C719" t="s">
        <v>48</v>
      </c>
      <c r="D719" s="6" t="s">
        <v>8255</v>
      </c>
      <c r="E719" s="7" t="str">
        <f t="shared" si="355"/>
        <v>=2.847*100000000</v>
      </c>
      <c r="F719" s="1">
        <f>2.847*100000000</f>
        <v>284700000</v>
      </c>
      <c r="G719" s="8">
        <f t="shared" si="357"/>
        <v>0.56342668863261947</v>
      </c>
      <c r="H719" s="6" t="s">
        <v>8256</v>
      </c>
      <c r="I719" s="6" t="str">
        <f t="shared" si="341"/>
        <v>=1.821*100000000</v>
      </c>
      <c r="J719" s="1">
        <f>1.821*100000000</f>
        <v>182100000</v>
      </c>
      <c r="K719" s="10">
        <f t="shared" si="358"/>
        <v>0.43611987381703471</v>
      </c>
      <c r="L719" s="6" t="s">
        <v>8257</v>
      </c>
      <c r="M719" s="6" t="str">
        <f t="shared" si="342"/>
        <v>=1.268*100000000</v>
      </c>
      <c r="N719" s="1">
        <f>1.268*100000000</f>
        <v>126800000</v>
      </c>
      <c r="O719" s="8">
        <f t="shared" si="359"/>
        <v>2.0075901328273247</v>
      </c>
      <c r="P719" s="7" t="s">
        <v>8258</v>
      </c>
      <c r="Q719" s="6" t="str">
        <f t="shared" si="343"/>
        <v>=4216*10000</v>
      </c>
      <c r="R719" s="11">
        <f>4216*10000</f>
        <v>42160000</v>
      </c>
      <c r="S719" s="8">
        <f t="shared" si="360"/>
        <v>-0.85937291527685122</v>
      </c>
      <c r="T719" s="6" t="s">
        <v>8259</v>
      </c>
      <c r="U719" s="6" t="str">
        <f t="shared" si="344"/>
        <v>=2.998*100000000</v>
      </c>
      <c r="V719" s="1">
        <f>2.998*100000000</f>
        <v>299800000</v>
      </c>
      <c r="W719" s="8">
        <f t="shared" si="361"/>
        <v>0.61269499731038191</v>
      </c>
      <c r="X719" s="6" t="s">
        <v>4758</v>
      </c>
      <c r="Y719" s="6" t="str">
        <f t="shared" si="345"/>
        <v>=1.859*100000000</v>
      </c>
      <c r="Z719" s="1">
        <f>1.859*100000000</f>
        <v>185900000</v>
      </c>
      <c r="AA719" s="8">
        <f t="shared" si="362"/>
        <v>0.67477477477477454</v>
      </c>
      <c r="AB719" s="6" t="s">
        <v>3656</v>
      </c>
      <c r="AC719" s="6" t="str">
        <f t="shared" si="346"/>
        <v>=1.110*100000000</v>
      </c>
      <c r="AD719" s="1">
        <f>1.11*100000000</f>
        <v>111000000.00000001</v>
      </c>
      <c r="AE719" s="8">
        <f t="shared" si="363"/>
        <v>2.6975349766822125</v>
      </c>
      <c r="AF719" s="7" t="s">
        <v>8260</v>
      </c>
      <c r="AG719" s="6" t="str">
        <f t="shared" si="347"/>
        <v>=3002*10000</v>
      </c>
      <c r="AH719" s="1">
        <f>3002*10000</f>
        <v>30020000</v>
      </c>
      <c r="AI719" s="8">
        <f t="shared" si="364"/>
        <v>-0.90118499012508224</v>
      </c>
      <c r="AJ719" s="6" t="s">
        <v>1310</v>
      </c>
      <c r="AK719" s="6" t="str">
        <f t="shared" si="348"/>
        <v>=3.038*100000000</v>
      </c>
      <c r="AL719" s="1">
        <f>3.038*100000000</f>
        <v>303800000</v>
      </c>
      <c r="AM719" s="8">
        <f t="shared" si="365"/>
        <v>0.39357798165137597</v>
      </c>
      <c r="AN719" s="6" t="s">
        <v>8175</v>
      </c>
      <c r="AO719" s="6" t="str">
        <f t="shared" si="349"/>
        <v>=2.180*100000000</v>
      </c>
      <c r="AP719" s="1">
        <f>2.18*100000000</f>
        <v>218000000.00000003</v>
      </c>
      <c r="AQ719" s="8">
        <f t="shared" si="366"/>
        <v>0.44370860927152339</v>
      </c>
      <c r="AR719" s="6" t="s">
        <v>8261</v>
      </c>
      <c r="AS719" s="6" t="str">
        <f t="shared" si="350"/>
        <v>=1.510*100000000</v>
      </c>
      <c r="AT719" s="1">
        <f>1.51*100000000</f>
        <v>151000000</v>
      </c>
      <c r="AU719" s="8">
        <f t="shared" si="367"/>
        <v>1.8145386766076421</v>
      </c>
      <c r="AV719" s="7" t="s">
        <v>4780</v>
      </c>
      <c r="AW719" s="6" t="str">
        <f t="shared" si="351"/>
        <v>=5365*10000</v>
      </c>
      <c r="AX719" s="1">
        <f>5365*10000</f>
        <v>53650000</v>
      </c>
      <c r="AY719" s="10">
        <f t="shared" si="368"/>
        <v>-0.83208137715179964</v>
      </c>
      <c r="AZ719" s="6" t="s">
        <v>8262</v>
      </c>
      <c r="BA719" s="6" t="str">
        <f t="shared" si="352"/>
        <v>=3.195*100000000</v>
      </c>
      <c r="BB719" s="1">
        <f>3.195*100000000</f>
        <v>319500000</v>
      </c>
      <c r="BC719" s="8">
        <f t="shared" si="369"/>
        <v>0.55474452554744502</v>
      </c>
      <c r="BD719" s="6" t="s">
        <v>8263</v>
      </c>
      <c r="BE719" s="6" t="str">
        <f t="shared" si="353"/>
        <v>=2.055*100000000</v>
      </c>
      <c r="BF719" s="1">
        <f>2.055*100000000</f>
        <v>205500000.00000003</v>
      </c>
      <c r="BG719" s="8">
        <f t="shared" si="370"/>
        <v>0.29981024667931705</v>
      </c>
      <c r="BH719" s="6" t="s">
        <v>8264</v>
      </c>
      <c r="BI719" s="6" t="str">
        <f t="shared" si="354"/>
        <v>=1.581*100000000</v>
      </c>
      <c r="BJ719" s="1">
        <f>1.581*100000000</f>
        <v>158100000</v>
      </c>
      <c r="BK719" s="7" t="s">
        <v>8265</v>
      </c>
      <c r="BL719" s="1" t="str">
        <f t="shared" si="356"/>
        <v>=6174*10000</v>
      </c>
      <c r="BM719" s="16">
        <f t="shared" si="371"/>
        <v>1.5607385811467445</v>
      </c>
      <c r="BN719" s="1">
        <f>6174*10000</f>
        <v>61740000</v>
      </c>
    </row>
    <row r="720" spans="1:66">
      <c r="A720" s="18"/>
      <c r="B720">
        <v>600602</v>
      </c>
      <c r="C720" t="s">
        <v>58</v>
      </c>
      <c r="D720" s="6" t="s">
        <v>8154</v>
      </c>
      <c r="E720" s="7" t="str">
        <f t="shared" si="355"/>
        <v>=3.119*100000000</v>
      </c>
      <c r="F720" s="1">
        <f>3.119*100000000</f>
        <v>311900000</v>
      </c>
      <c r="G720" s="8">
        <f t="shared" si="357"/>
        <v>0.61188630490956075</v>
      </c>
      <c r="H720" s="6" t="s">
        <v>2182</v>
      </c>
      <c r="I720" s="6" t="str">
        <f t="shared" si="341"/>
        <v>=1.935*100000000</v>
      </c>
      <c r="J720" s="1">
        <f>1.935*100000000</f>
        <v>193500000</v>
      </c>
      <c r="K720" s="10">
        <f t="shared" si="358"/>
        <v>0.5</v>
      </c>
      <c r="L720" s="6" t="s">
        <v>1469</v>
      </c>
      <c r="M720" s="6" t="str">
        <f t="shared" si="342"/>
        <v>=1.290*100000000</v>
      </c>
      <c r="N720" s="1">
        <f>1.29*100000000</f>
        <v>129000000</v>
      </c>
      <c r="O720" s="8">
        <f t="shared" si="359"/>
        <v>2.0154277699859748</v>
      </c>
      <c r="P720" s="7" t="s">
        <v>8266</v>
      </c>
      <c r="Q720" s="6" t="str">
        <f t="shared" si="343"/>
        <v>=4278*10000</v>
      </c>
      <c r="R720" s="11">
        <f>4278*10000</f>
        <v>42780000</v>
      </c>
      <c r="S720" s="8">
        <f t="shared" si="360"/>
        <v>-0.86551398931153722</v>
      </c>
      <c r="T720" s="6" t="s">
        <v>8267</v>
      </c>
      <c r="U720" s="6" t="str">
        <f t="shared" si="344"/>
        <v>=3.181*100000000</v>
      </c>
      <c r="V720" s="1">
        <f>3.181*100000000</f>
        <v>318100000</v>
      </c>
      <c r="W720" s="8">
        <f t="shared" si="361"/>
        <v>0.66544502617801049</v>
      </c>
      <c r="X720" s="6" t="s">
        <v>8268</v>
      </c>
      <c r="Y720" s="6" t="str">
        <f t="shared" si="345"/>
        <v>=1.910*100000000</v>
      </c>
      <c r="Z720" s="1">
        <f>1.91*100000000</f>
        <v>191000000</v>
      </c>
      <c r="AA720" s="8">
        <f t="shared" si="362"/>
        <v>0.66521360069747171</v>
      </c>
      <c r="AB720" s="6" t="s">
        <v>7620</v>
      </c>
      <c r="AC720" s="6" t="str">
        <f t="shared" si="346"/>
        <v>=1.147*100000000</v>
      </c>
      <c r="AD720" s="1">
        <f>1.147*100000000</f>
        <v>114700000</v>
      </c>
      <c r="AE720" s="8">
        <f t="shared" si="363"/>
        <v>2.6586921850079746</v>
      </c>
      <c r="AF720" s="7" t="s">
        <v>8269</v>
      </c>
      <c r="AG720" s="6" t="str">
        <f t="shared" si="347"/>
        <v>=3135*10000</v>
      </c>
      <c r="AH720" s="1">
        <f>3135*10000</f>
        <v>31350000</v>
      </c>
      <c r="AI720" s="8">
        <f t="shared" si="364"/>
        <v>-0.90031796502384742</v>
      </c>
      <c r="AJ720" s="6" t="s">
        <v>4026</v>
      </c>
      <c r="AK720" s="6" t="str">
        <f t="shared" si="348"/>
        <v>=3.145*100000000</v>
      </c>
      <c r="AL720" s="1">
        <f>3.145*100000000</f>
        <v>314500000</v>
      </c>
      <c r="AM720" s="8">
        <f t="shared" si="365"/>
        <v>0.36798608090474116</v>
      </c>
      <c r="AN720" s="6" t="s">
        <v>8270</v>
      </c>
      <c r="AO720" s="6" t="str">
        <f t="shared" si="349"/>
        <v>=2.299*100000000</v>
      </c>
      <c r="AP720" s="1">
        <f>2.299*100000000</f>
        <v>229900000</v>
      </c>
      <c r="AQ720" s="8">
        <f t="shared" si="366"/>
        <v>0.45230574857864814</v>
      </c>
      <c r="AR720" s="6" t="s">
        <v>6280</v>
      </c>
      <c r="AS720" s="6" t="str">
        <f t="shared" si="350"/>
        <v>=1.583*100000000</v>
      </c>
      <c r="AT720" s="1">
        <f>1.583*100000000</f>
        <v>158300000</v>
      </c>
      <c r="AU720" s="8">
        <f t="shared" si="367"/>
        <v>1.4933060324460545</v>
      </c>
      <c r="AV720" s="7" t="s">
        <v>5447</v>
      </c>
      <c r="AW720" s="6" t="str">
        <f t="shared" si="351"/>
        <v>=6349*10000</v>
      </c>
      <c r="AX720" s="1">
        <f>6349*10000</f>
        <v>63490000</v>
      </c>
      <c r="AY720" s="10">
        <f t="shared" si="368"/>
        <v>-0.81276909466234148</v>
      </c>
      <c r="AZ720" s="6" t="s">
        <v>3427</v>
      </c>
      <c r="BA720" s="6" t="str">
        <f t="shared" si="352"/>
        <v>=3.391*100000000</v>
      </c>
      <c r="BB720" s="1">
        <f>3.391*100000000</f>
        <v>339100000</v>
      </c>
      <c r="BC720" s="8">
        <f t="shared" si="369"/>
        <v>0.5713623725671918</v>
      </c>
      <c r="BD720" s="6" t="s">
        <v>8271</v>
      </c>
      <c r="BE720" s="6" t="str">
        <f t="shared" si="353"/>
        <v>=2.158*100000000</v>
      </c>
      <c r="BF720" s="1">
        <f>2.158*100000000</f>
        <v>215800000</v>
      </c>
      <c r="BG720" s="8">
        <f t="shared" si="370"/>
        <v>0.30550514216575925</v>
      </c>
      <c r="BH720" s="6" t="s">
        <v>2817</v>
      </c>
      <c r="BI720" s="6" t="str">
        <f t="shared" si="354"/>
        <v>=1.653*100000000</v>
      </c>
      <c r="BJ720" s="1">
        <f>1.653*100000000</f>
        <v>165300000</v>
      </c>
      <c r="BK720" s="7" t="s">
        <v>8272</v>
      </c>
      <c r="BL720" s="1" t="str">
        <f t="shared" si="356"/>
        <v>=6879*10000</v>
      </c>
      <c r="BM720" s="16">
        <f t="shared" si="371"/>
        <v>1.4029655473179241</v>
      </c>
      <c r="BN720" s="1">
        <f>6879*10000</f>
        <v>68790000</v>
      </c>
    </row>
    <row r="721" spans="1:66">
      <c r="A721" s="19"/>
      <c r="B721">
        <v>600602</v>
      </c>
      <c r="C721" t="s">
        <v>68</v>
      </c>
      <c r="D721" s="6" t="s">
        <v>8273</v>
      </c>
      <c r="E721" s="7" t="str">
        <f t="shared" si="355"/>
        <v>=2.922*100000000</v>
      </c>
      <c r="F721" s="1">
        <f>2.922*100000000</f>
        <v>292200000</v>
      </c>
      <c r="G721" s="8">
        <f t="shared" si="357"/>
        <v>0.63514269725797423</v>
      </c>
      <c r="H721" s="6" t="s">
        <v>6036</v>
      </c>
      <c r="I721" s="6" t="str">
        <f t="shared" si="341"/>
        <v>=1.787*100000000</v>
      </c>
      <c r="J721" s="1">
        <f>1.787*100000000</f>
        <v>178700000</v>
      </c>
      <c r="K721" s="10">
        <f t="shared" si="358"/>
        <v>0.49414715719063546</v>
      </c>
      <c r="L721" s="6" t="s">
        <v>8274</v>
      </c>
      <c r="M721" s="6" t="str">
        <f t="shared" si="342"/>
        <v>=1.196*100000000</v>
      </c>
      <c r="N721" s="1">
        <f>1.196*100000000</f>
        <v>119600000</v>
      </c>
      <c r="O721" s="8">
        <f t="shared" si="359"/>
        <v>2.3680653337088144</v>
      </c>
      <c r="P721" s="7" t="s">
        <v>8275</v>
      </c>
      <c r="Q721" s="6" t="str">
        <f t="shared" si="343"/>
        <v>=3551*10000</v>
      </c>
      <c r="R721" s="11">
        <f>3551*10000</f>
        <v>35510000</v>
      </c>
      <c r="S721" s="8">
        <f t="shared" si="360"/>
        <v>-0.87746721877156664</v>
      </c>
      <c r="T721" s="6" t="s">
        <v>8276</v>
      </c>
      <c r="U721" s="6" t="str">
        <f t="shared" si="344"/>
        <v>=2.898*100000000</v>
      </c>
      <c r="V721" s="1">
        <f>2.898*100000000</f>
        <v>289800000</v>
      </c>
      <c r="W721" s="8">
        <f t="shared" si="361"/>
        <v>0.68488372093023253</v>
      </c>
      <c r="X721" s="6" t="s">
        <v>6133</v>
      </c>
      <c r="Y721" s="6" t="str">
        <f t="shared" si="345"/>
        <v>=1.720*100000000</v>
      </c>
      <c r="Z721" s="1">
        <f>1.72*100000000</f>
        <v>172000000</v>
      </c>
      <c r="AA721" s="8">
        <f t="shared" si="362"/>
        <v>0.73142742097845781</v>
      </c>
      <c r="AB721" s="7" t="s">
        <v>8277</v>
      </c>
      <c r="AC721" s="6" t="str">
        <f t="shared" si="346"/>
        <v>=9934*10000</v>
      </c>
      <c r="AD721" s="1">
        <f>9934*10000</f>
        <v>99340000</v>
      </c>
      <c r="AE721" s="8">
        <f t="shared" si="363"/>
        <v>3.3512921594393341</v>
      </c>
      <c r="AF721" s="7" t="s">
        <v>7331</v>
      </c>
      <c r="AG721" s="6" t="str">
        <f t="shared" si="347"/>
        <v>=2283*10000</v>
      </c>
      <c r="AH721" s="1">
        <f>2283*10000</f>
        <v>22830000</v>
      </c>
      <c r="AI721" s="8">
        <f t="shared" si="364"/>
        <v>-0.91808396124865443</v>
      </c>
      <c r="AJ721" s="6" t="s">
        <v>8278</v>
      </c>
      <c r="AK721" s="6" t="str">
        <f t="shared" si="348"/>
        <v>=2.787*100000000</v>
      </c>
      <c r="AL721" s="1">
        <f>2.787*100000000</f>
        <v>278700000</v>
      </c>
      <c r="AM721" s="8">
        <f t="shared" si="365"/>
        <v>0.36417033773861945</v>
      </c>
      <c r="AN721" s="6" t="s">
        <v>8279</v>
      </c>
      <c r="AO721" s="6" t="str">
        <f t="shared" si="349"/>
        <v>=2.043*100000000</v>
      </c>
      <c r="AP721" s="1">
        <f>2.043*100000000</f>
        <v>204300000.00000003</v>
      </c>
      <c r="AQ721" s="8">
        <f t="shared" si="366"/>
        <v>0.49560761346998555</v>
      </c>
      <c r="AR721" s="6" t="s">
        <v>8280</v>
      </c>
      <c r="AS721" s="6" t="str">
        <f t="shared" si="350"/>
        <v>=1.366*100000000</v>
      </c>
      <c r="AT721" s="1">
        <f>1.366*100000000</f>
        <v>136600000</v>
      </c>
      <c r="AU721" s="8">
        <f t="shared" si="367"/>
        <v>1.8049281314168377</v>
      </c>
      <c r="AV721" s="7" t="s">
        <v>8281</v>
      </c>
      <c r="AW721" s="6" t="str">
        <f t="shared" si="351"/>
        <v>=4870*10000</v>
      </c>
      <c r="AX721" s="1">
        <f>4870*10000</f>
        <v>48700000</v>
      </c>
      <c r="AY721" s="10">
        <f t="shared" si="368"/>
        <v>-0.83717820127047815</v>
      </c>
      <c r="AZ721" s="6" t="s">
        <v>8282</v>
      </c>
      <c r="BA721" s="6" t="str">
        <f t="shared" si="352"/>
        <v>=2.991*100000000</v>
      </c>
      <c r="BB721" s="1">
        <f>2.991*100000000</f>
        <v>299100000</v>
      </c>
      <c r="BC721" s="8">
        <f t="shared" si="369"/>
        <v>0.54254770500257865</v>
      </c>
      <c r="BD721" s="6" t="s">
        <v>5300</v>
      </c>
      <c r="BE721" s="6" t="str">
        <f t="shared" si="353"/>
        <v>=1.939*100000000</v>
      </c>
      <c r="BF721" s="1">
        <f>1.939*100000000</f>
        <v>193900000</v>
      </c>
      <c r="BG721" s="8">
        <f t="shared" si="370"/>
        <v>0.28837209302325584</v>
      </c>
      <c r="BH721" s="6" t="s">
        <v>8283</v>
      </c>
      <c r="BI721" s="6" t="str">
        <f t="shared" si="354"/>
        <v>=1.505*100000000</v>
      </c>
      <c r="BJ721" s="1">
        <f>1.505*100000000</f>
        <v>150500000</v>
      </c>
      <c r="BK721" s="7" t="s">
        <v>8284</v>
      </c>
      <c r="BL721" s="1" t="str">
        <f t="shared" si="356"/>
        <v>=6142*10000</v>
      </c>
      <c r="BM721" s="16">
        <f t="shared" si="371"/>
        <v>1.4503419081732334</v>
      </c>
      <c r="BN721" s="1">
        <f>6142*10000</f>
        <v>61420000</v>
      </c>
    </row>
    <row r="722" spans="1:66">
      <c r="A722" s="17">
        <v>182</v>
      </c>
      <c r="B722">
        <v>600603</v>
      </c>
      <c r="C722" t="s">
        <v>31</v>
      </c>
      <c r="D722" s="6" t="s">
        <v>8285</v>
      </c>
      <c r="E722" s="7" t="str">
        <f t="shared" si="355"/>
        <v>=33.17*100000000</v>
      </c>
      <c r="F722" s="1">
        <f>33.17*100000000</f>
        <v>3317000000</v>
      </c>
      <c r="G722" s="8">
        <f t="shared" si="357"/>
        <v>0.47422222222222221</v>
      </c>
      <c r="H722" s="6" t="s">
        <v>2521</v>
      </c>
      <c r="I722" s="6" t="str">
        <f t="shared" si="341"/>
        <v>=22.50*100000000</v>
      </c>
      <c r="J722" s="1">
        <f>22.5*100000000</f>
        <v>2250000000</v>
      </c>
      <c r="K722" s="10">
        <f t="shared" si="358"/>
        <v>0.42045454545454547</v>
      </c>
      <c r="L722" s="6" t="s">
        <v>8286</v>
      </c>
      <c r="M722" s="6" t="str">
        <f t="shared" si="342"/>
        <v>=15.84*100000000</v>
      </c>
      <c r="N722" s="1">
        <f>15.84*100000000</f>
        <v>1584000000</v>
      </c>
      <c r="O722" s="8">
        <f t="shared" si="359"/>
        <v>1.2407695572216721</v>
      </c>
      <c r="P722" s="6" t="s">
        <v>8287</v>
      </c>
      <c r="Q722" s="6" t="str">
        <f t="shared" si="343"/>
        <v>=7.069*100000000</v>
      </c>
      <c r="R722" s="11">
        <f>7.069*100000000</f>
        <v>706900000</v>
      </c>
      <c r="S722" s="8">
        <f t="shared" si="360"/>
        <v>-0.83912152935821571</v>
      </c>
      <c r="T722" s="6" t="s">
        <v>5091</v>
      </c>
      <c r="U722" s="6" t="str">
        <f t="shared" si="344"/>
        <v>=43.94*100000000</v>
      </c>
      <c r="V722" s="1">
        <f>43.94*100000000</f>
        <v>4394000000</v>
      </c>
      <c r="W722" s="8">
        <f t="shared" si="361"/>
        <v>1.704</v>
      </c>
      <c r="X722" s="6" t="s">
        <v>6193</v>
      </c>
      <c r="Y722" s="6" t="str">
        <f t="shared" si="345"/>
        <v>=16.25*100000000</v>
      </c>
      <c r="Z722" s="1">
        <f>16.25*100000000</f>
        <v>1625000000</v>
      </c>
      <c r="AA722" s="8">
        <f t="shared" si="362"/>
        <v>0.27450980392156865</v>
      </c>
      <c r="AB722" s="6" t="s">
        <v>901</v>
      </c>
      <c r="AC722" s="6" t="str">
        <f t="shared" si="346"/>
        <v>=12.75*100000000</v>
      </c>
      <c r="AD722" s="1">
        <f>12.75*100000000</f>
        <v>1275000000</v>
      </c>
      <c r="AE722" s="8">
        <f t="shared" si="363"/>
        <v>2.0321046373365044</v>
      </c>
      <c r="AF722" s="6" t="s">
        <v>4825</v>
      </c>
      <c r="AG722" s="6" t="str">
        <f t="shared" si="347"/>
        <v>=4.205*100000000</v>
      </c>
      <c r="AH722" s="1">
        <f>4.205*100000000</f>
        <v>420500000</v>
      </c>
      <c r="AI722" s="8">
        <f t="shared" si="364"/>
        <v>-0.85343325200418263</v>
      </c>
      <c r="AJ722" s="6" t="s">
        <v>8288</v>
      </c>
      <c r="AK722" s="6" t="str">
        <f t="shared" si="348"/>
        <v>=28.69*100000000</v>
      </c>
      <c r="AL722" s="1">
        <f>28.69*100000000</f>
        <v>2869000000</v>
      </c>
      <c r="AM722" s="8">
        <f t="shared" si="365"/>
        <v>1.4313559322033897</v>
      </c>
      <c r="AN722" s="6" t="s">
        <v>358</v>
      </c>
      <c r="AO722" s="6" t="str">
        <f t="shared" si="349"/>
        <v>=11.80*100000000</v>
      </c>
      <c r="AP722" s="1">
        <f>11.8*100000000</f>
        <v>1180000000</v>
      </c>
      <c r="AQ722" s="8">
        <f t="shared" si="366"/>
        <v>0.5338619524242818</v>
      </c>
      <c r="AR722" s="6" t="s">
        <v>8289</v>
      </c>
      <c r="AS722" s="6" t="str">
        <f t="shared" si="350"/>
        <v>=7.693*100000000</v>
      </c>
      <c r="AT722" s="1">
        <f>7.693*100000000</f>
        <v>769300000</v>
      </c>
      <c r="AU722" s="8">
        <f t="shared" si="367"/>
        <v>1.4268138801261829</v>
      </c>
      <c r="AV722" s="6" t="s">
        <v>1268</v>
      </c>
      <c r="AW722" s="6" t="str">
        <f t="shared" si="351"/>
        <v>=3.170*100000000</v>
      </c>
      <c r="AX722" s="1">
        <f>3.17*100000000</f>
        <v>317000000</v>
      </c>
      <c r="AY722" s="10">
        <f t="shared" si="368"/>
        <v>-0.84766938971648242</v>
      </c>
      <c r="AZ722" s="6" t="s">
        <v>8290</v>
      </c>
      <c r="BA722" s="6" t="str">
        <f t="shared" si="352"/>
        <v>=20.81*100000000</v>
      </c>
      <c r="BB722" s="1">
        <f>20.81*100000000</f>
        <v>2080999999.9999998</v>
      </c>
      <c r="BC722" s="8">
        <f t="shared" si="369"/>
        <v>1.0603960396039602</v>
      </c>
      <c r="BD722" s="6" t="s">
        <v>3659</v>
      </c>
      <c r="BE722" s="6" t="str">
        <f t="shared" si="353"/>
        <v>=10.10*100000000</v>
      </c>
      <c r="BF722" s="1">
        <f>10.1*100000000</f>
        <v>1010000000</v>
      </c>
      <c r="BG722" s="8">
        <f t="shared" si="370"/>
        <v>0.31510416666666669</v>
      </c>
      <c r="BH722" s="6" t="s">
        <v>8291</v>
      </c>
      <c r="BI722" s="6" t="str">
        <f t="shared" si="354"/>
        <v>=7.680*100000000</v>
      </c>
      <c r="BJ722" s="1">
        <f>7.68*100000000</f>
        <v>768000000</v>
      </c>
      <c r="BK722" s="6" t="s">
        <v>6319</v>
      </c>
      <c r="BL722" s="1" t="str">
        <f t="shared" si="356"/>
        <v>=2.974*100000000</v>
      </c>
      <c r="BM722" s="16">
        <f t="shared" si="371"/>
        <v>1.5823806321452589</v>
      </c>
      <c r="BN722" s="1">
        <f>2.974*100000000</f>
        <v>297400000</v>
      </c>
    </row>
    <row r="723" spans="1:66">
      <c r="A723" s="18"/>
      <c r="B723">
        <v>600603</v>
      </c>
      <c r="C723" t="s">
        <v>48</v>
      </c>
      <c r="D723" s="6" t="s">
        <v>2083</v>
      </c>
      <c r="E723" s="7" t="str">
        <f t="shared" si="355"/>
        <v>=7.645*100000000</v>
      </c>
      <c r="F723" s="1">
        <f>7.645*100000000</f>
        <v>764500000</v>
      </c>
      <c r="G723" s="8">
        <f t="shared" si="357"/>
        <v>0.44218072061875119</v>
      </c>
      <c r="H723" s="6" t="s">
        <v>8292</v>
      </c>
      <c r="I723" s="6" t="str">
        <f t="shared" si="341"/>
        <v>=5.301*100000000</v>
      </c>
      <c r="J723" s="1">
        <f>5.301*100000000</f>
        <v>530100000</v>
      </c>
      <c r="K723" s="10">
        <f t="shared" si="358"/>
        <v>0.22509822047608041</v>
      </c>
      <c r="L723" s="6" t="s">
        <v>8293</v>
      </c>
      <c r="M723" s="6" t="str">
        <f t="shared" si="342"/>
        <v>=4.327*100000000</v>
      </c>
      <c r="N723" s="1">
        <f>4.327*100000000</f>
        <v>432700000</v>
      </c>
      <c r="O723" s="8">
        <f t="shared" si="359"/>
        <v>1.1025267249757049</v>
      </c>
      <c r="P723" s="6" t="s">
        <v>8294</v>
      </c>
      <c r="Q723" s="6" t="str">
        <f t="shared" si="343"/>
        <v>=2.058*100000000</v>
      </c>
      <c r="R723" s="11">
        <f>2.058*100000000</f>
        <v>205799999.99999997</v>
      </c>
      <c r="S723" s="8">
        <f t="shared" si="360"/>
        <v>-0.81931518876207199</v>
      </c>
      <c r="T723" s="6" t="s">
        <v>8295</v>
      </c>
      <c r="U723" s="6" t="str">
        <f t="shared" si="344"/>
        <v>=11.39*100000000</v>
      </c>
      <c r="V723" s="1">
        <f>11.39*100000000</f>
        <v>1139000000</v>
      </c>
      <c r="W723" s="8">
        <f t="shared" si="361"/>
        <v>1.4151823579304494</v>
      </c>
      <c r="X723" s="6" t="s">
        <v>8296</v>
      </c>
      <c r="Y723" s="6" t="str">
        <f t="shared" si="345"/>
        <v>=4.716*100000000</v>
      </c>
      <c r="Z723" s="1">
        <f>4.716*100000000</f>
        <v>471600000</v>
      </c>
      <c r="AA723" s="8">
        <f t="shared" si="362"/>
        <v>0.1966505962953565</v>
      </c>
      <c r="AB723" s="6" t="s">
        <v>8297</v>
      </c>
      <c r="AC723" s="6" t="str">
        <f t="shared" si="346"/>
        <v>=3.941*100000000</v>
      </c>
      <c r="AD723" s="1">
        <f>3.941*100000000</f>
        <v>394100000</v>
      </c>
      <c r="AE723" s="8">
        <f t="shared" si="363"/>
        <v>1.1406844106463878</v>
      </c>
      <c r="AF723" s="6" t="s">
        <v>8298</v>
      </c>
      <c r="AG723" s="6" t="str">
        <f t="shared" si="347"/>
        <v>=1.841*100000000</v>
      </c>
      <c r="AH723" s="1">
        <f>1.841*100000000</f>
        <v>184100000</v>
      </c>
      <c r="AI723" s="8">
        <f t="shared" si="364"/>
        <v>-0.82632075471698119</v>
      </c>
      <c r="AJ723" s="6" t="s">
        <v>927</v>
      </c>
      <c r="AK723" s="6" t="str">
        <f t="shared" si="348"/>
        <v>=10.60*100000000</v>
      </c>
      <c r="AL723" s="1">
        <f>10.6*100000000</f>
        <v>1060000000</v>
      </c>
      <c r="AM723" s="8">
        <f t="shared" si="365"/>
        <v>1.9892836999435983</v>
      </c>
      <c r="AN723" s="6" t="s">
        <v>3902</v>
      </c>
      <c r="AO723" s="6" t="str">
        <f t="shared" si="349"/>
        <v>=3.546*100000000</v>
      </c>
      <c r="AP723" s="1">
        <f>3.546*100000000</f>
        <v>354600000</v>
      </c>
      <c r="AQ723" s="8">
        <f t="shared" si="366"/>
        <v>0.37869362363919129</v>
      </c>
      <c r="AR723" s="6" t="s">
        <v>5012</v>
      </c>
      <c r="AS723" s="6" t="str">
        <f t="shared" si="350"/>
        <v>=2.572*100000000</v>
      </c>
      <c r="AT723" s="1">
        <f>2.572*100000000</f>
        <v>257200000</v>
      </c>
      <c r="AU723" s="8">
        <f t="shared" si="367"/>
        <v>0.7354925775978407</v>
      </c>
      <c r="AV723" s="6" t="s">
        <v>2204</v>
      </c>
      <c r="AW723" s="6" t="str">
        <f t="shared" si="351"/>
        <v>=1.482*100000000</v>
      </c>
      <c r="AX723" s="1">
        <f>1.482*100000000</f>
        <v>148200000</v>
      </c>
      <c r="AY723" s="10">
        <f t="shared" si="368"/>
        <v>-0.80051150895140666</v>
      </c>
      <c r="AZ723" s="6" t="s">
        <v>6180</v>
      </c>
      <c r="BA723" s="6" t="str">
        <f t="shared" si="352"/>
        <v>=7.429*100000000</v>
      </c>
      <c r="BB723" s="1">
        <f>7.429*100000000</f>
        <v>742900000</v>
      </c>
      <c r="BC723" s="8">
        <f t="shared" si="369"/>
        <v>0.93011171732917641</v>
      </c>
      <c r="BD723" s="6" t="s">
        <v>8299</v>
      </c>
      <c r="BE723" s="6" t="str">
        <f t="shared" si="353"/>
        <v>=3.849*100000000</v>
      </c>
      <c r="BF723" s="1">
        <f>3.849*100000000</f>
        <v>384900000</v>
      </c>
      <c r="BG723" s="8">
        <f t="shared" si="370"/>
        <v>0.38702702702702702</v>
      </c>
      <c r="BH723" s="6" t="s">
        <v>4057</v>
      </c>
      <c r="BI723" s="6" t="str">
        <f t="shared" si="354"/>
        <v>=2.775*100000000</v>
      </c>
      <c r="BJ723" s="1">
        <f>2.775*100000000</f>
        <v>277500000</v>
      </c>
      <c r="BK723" s="6" t="s">
        <v>2160</v>
      </c>
      <c r="BL723" s="1" t="str">
        <f t="shared" si="356"/>
        <v>=1.387*100000000</v>
      </c>
      <c r="BM723" s="16">
        <f t="shared" si="371"/>
        <v>1.0007209805335255</v>
      </c>
      <c r="BN723" s="1">
        <f>1.387*100000000</f>
        <v>138700000</v>
      </c>
    </row>
    <row r="724" spans="1:66">
      <c r="A724" s="18"/>
      <c r="B724">
        <v>600603</v>
      </c>
      <c r="C724" t="s">
        <v>58</v>
      </c>
      <c r="D724" s="6" t="s">
        <v>659</v>
      </c>
      <c r="E724" s="7" t="str">
        <f t="shared" si="355"/>
        <v>=7.627*100000000</v>
      </c>
      <c r="F724" s="1">
        <f>7.627*100000000</f>
        <v>762700000</v>
      </c>
      <c r="G724" s="8">
        <f t="shared" si="357"/>
        <v>0.43472535741158769</v>
      </c>
      <c r="H724" s="6" t="s">
        <v>2361</v>
      </c>
      <c r="I724" s="6" t="str">
        <f t="shared" si="341"/>
        <v>=5.316*100000000</v>
      </c>
      <c r="J724" s="1">
        <f>5.316*100000000</f>
        <v>531600000</v>
      </c>
      <c r="K724" s="10">
        <f t="shared" si="358"/>
        <v>0.2260147601476013</v>
      </c>
      <c r="L724" s="6" t="s">
        <v>8300</v>
      </c>
      <c r="M724" s="6" t="str">
        <f t="shared" si="342"/>
        <v>=4.336*100000000</v>
      </c>
      <c r="N724" s="1">
        <f>4.336*100000000</f>
        <v>433600000.00000006</v>
      </c>
      <c r="O724" s="8">
        <f t="shared" si="359"/>
        <v>1.0946859903381649</v>
      </c>
      <c r="P724" s="6" t="s">
        <v>7597</v>
      </c>
      <c r="Q724" s="6" t="str">
        <f t="shared" si="343"/>
        <v>=2.070*100000000</v>
      </c>
      <c r="R724" s="11">
        <f>2.07*100000000</f>
        <v>206999999.99999997</v>
      </c>
      <c r="S724" s="8">
        <f t="shared" si="360"/>
        <v>-0.81681415929203538</v>
      </c>
      <c r="T724" s="6" t="s">
        <v>5296</v>
      </c>
      <c r="U724" s="6" t="str">
        <f t="shared" si="344"/>
        <v>=11.30*100000000</v>
      </c>
      <c r="V724" s="1">
        <f>11.3*100000000</f>
        <v>1130000000</v>
      </c>
      <c r="W724" s="8">
        <f t="shared" si="361"/>
        <v>1.4517248860924279</v>
      </c>
      <c r="X724" s="6" t="s">
        <v>2794</v>
      </c>
      <c r="Y724" s="6" t="str">
        <f t="shared" si="345"/>
        <v>=4.609*100000000</v>
      </c>
      <c r="Z724" s="1">
        <f>4.609*100000000</f>
        <v>460900000</v>
      </c>
      <c r="AA724" s="8">
        <f t="shared" si="362"/>
        <v>0.20151199165797706</v>
      </c>
      <c r="AB724" s="6" t="s">
        <v>8301</v>
      </c>
      <c r="AC724" s="6" t="str">
        <f t="shared" si="346"/>
        <v>=3.836*100000000</v>
      </c>
      <c r="AD724" s="1">
        <f>3.836*100000000</f>
        <v>383600000</v>
      </c>
      <c r="AE724" s="8">
        <f t="shared" si="363"/>
        <v>1.1982808022922635</v>
      </c>
      <c r="AF724" s="6" t="s">
        <v>8302</v>
      </c>
      <c r="AG724" s="6" t="str">
        <f t="shared" si="347"/>
        <v>=1.745*100000000</v>
      </c>
      <c r="AH724" s="1">
        <f>1.745*100000000</f>
        <v>174500000</v>
      </c>
      <c r="AI724" s="8">
        <f t="shared" si="364"/>
        <v>-0.8356873822975518</v>
      </c>
      <c r="AJ724" s="6" t="s">
        <v>4923</v>
      </c>
      <c r="AK724" s="6" t="str">
        <f t="shared" si="348"/>
        <v>=10.62*100000000</v>
      </c>
      <c r="AL724" s="1">
        <f>10.62*100000000</f>
        <v>1061999999.9999999</v>
      </c>
      <c r="AM724" s="8">
        <f t="shared" si="365"/>
        <v>1.9923922231614537</v>
      </c>
      <c r="AN724" s="6" t="s">
        <v>8303</v>
      </c>
      <c r="AO724" s="6" t="str">
        <f t="shared" si="349"/>
        <v>=3.549*100000000</v>
      </c>
      <c r="AP724" s="1">
        <f>3.549*100000000</f>
        <v>354900000</v>
      </c>
      <c r="AQ724" s="8">
        <f t="shared" si="366"/>
        <v>0.37398373983739819</v>
      </c>
      <c r="AR724" s="6" t="s">
        <v>2389</v>
      </c>
      <c r="AS724" s="6" t="str">
        <f t="shared" si="350"/>
        <v>=2.583*100000000</v>
      </c>
      <c r="AT724" s="1">
        <f>2.583*100000000</f>
        <v>258300000.00000003</v>
      </c>
      <c r="AU724" s="8">
        <f t="shared" si="367"/>
        <v>0.74056603773584928</v>
      </c>
      <c r="AV724" s="6" t="s">
        <v>8304</v>
      </c>
      <c r="AW724" s="6" t="str">
        <f t="shared" si="351"/>
        <v>=1.484*100000000</v>
      </c>
      <c r="AX724" s="1">
        <f>1.484*100000000</f>
        <v>148400000</v>
      </c>
      <c r="AY724" s="10">
        <f t="shared" si="368"/>
        <v>-0.7992424242424242</v>
      </c>
      <c r="AZ724" s="6" t="s">
        <v>8305</v>
      </c>
      <c r="BA724" s="6" t="str">
        <f t="shared" si="352"/>
        <v>=7.392*100000000</v>
      </c>
      <c r="BB724" s="1">
        <f>7.392*100000000</f>
        <v>739200000</v>
      </c>
      <c r="BC724" s="8">
        <f t="shared" si="369"/>
        <v>0.93964838625032798</v>
      </c>
      <c r="BD724" s="6" t="s">
        <v>6420</v>
      </c>
      <c r="BE724" s="6" t="str">
        <f t="shared" si="353"/>
        <v>=3.811*100000000</v>
      </c>
      <c r="BF724" s="1">
        <f>3.811*100000000</f>
        <v>381100000</v>
      </c>
      <c r="BG724" s="8">
        <f t="shared" si="370"/>
        <v>0.39392831016825164</v>
      </c>
      <c r="BH724" s="6" t="s">
        <v>8306</v>
      </c>
      <c r="BI724" s="6" t="str">
        <f t="shared" si="354"/>
        <v>=2.734*100000000</v>
      </c>
      <c r="BJ724" s="1">
        <f>2.734*100000000</f>
        <v>273400000</v>
      </c>
      <c r="BK724" s="6" t="s">
        <v>8280</v>
      </c>
      <c r="BL724" s="1" t="str">
        <f t="shared" si="356"/>
        <v>=1.366*100000000</v>
      </c>
      <c r="BM724" s="16">
        <f t="shared" si="371"/>
        <v>1.0014641288433381</v>
      </c>
      <c r="BN724" s="1">
        <f>1.366*100000000</f>
        <v>136600000</v>
      </c>
    </row>
    <row r="725" spans="1:66">
      <c r="A725" s="19"/>
      <c r="B725">
        <v>600603</v>
      </c>
      <c r="C725" t="s">
        <v>68</v>
      </c>
      <c r="D725" s="6" t="s">
        <v>1881</v>
      </c>
      <c r="E725" s="7" t="str">
        <f t="shared" si="355"/>
        <v>=5.872*100000000</v>
      </c>
      <c r="F725" s="1">
        <f>5.872*100000000</f>
        <v>587200000</v>
      </c>
      <c r="G725" s="8">
        <f t="shared" si="357"/>
        <v>0.40950552088334113</v>
      </c>
      <c r="H725" s="6" t="s">
        <v>2562</v>
      </c>
      <c r="I725" s="6" t="str">
        <f t="shared" si="341"/>
        <v>=4.166*100000000</v>
      </c>
      <c r="J725" s="1">
        <f>4.166*100000000</f>
        <v>416600000.00000006</v>
      </c>
      <c r="K725" s="10">
        <f t="shared" si="358"/>
        <v>0.22062701435687096</v>
      </c>
      <c r="L725" s="6" t="s">
        <v>8307</v>
      </c>
      <c r="M725" s="6" t="str">
        <f t="shared" si="342"/>
        <v>=3.413*100000000</v>
      </c>
      <c r="N725" s="1">
        <f>3.413*100000000</f>
        <v>341300000</v>
      </c>
      <c r="O725" s="8">
        <f t="shared" si="359"/>
        <v>1.15059861373661</v>
      </c>
      <c r="P725" s="6" t="s">
        <v>1449</v>
      </c>
      <c r="Q725" s="6" t="str">
        <f t="shared" si="343"/>
        <v>=1.587*100000000</v>
      </c>
      <c r="R725" s="11">
        <f>1.587*100000000</f>
        <v>158700000</v>
      </c>
      <c r="S725" s="8">
        <f t="shared" si="360"/>
        <v>-0.81230041395623886</v>
      </c>
      <c r="T725" s="6" t="s">
        <v>5732</v>
      </c>
      <c r="U725" s="6" t="str">
        <f t="shared" si="344"/>
        <v>=8.455*100000000</v>
      </c>
      <c r="V725" s="1">
        <f>8.455*100000000</f>
        <v>845500000</v>
      </c>
      <c r="W725" s="8">
        <f t="shared" si="361"/>
        <v>1.3408084163898117</v>
      </c>
      <c r="X725" s="6" t="s">
        <v>8308</v>
      </c>
      <c r="Y725" s="6" t="str">
        <f t="shared" si="345"/>
        <v>=3.612*100000000</v>
      </c>
      <c r="Z725" s="1">
        <f>3.612*100000000</f>
        <v>361200000</v>
      </c>
      <c r="AA725" s="8">
        <f t="shared" si="362"/>
        <v>0.2</v>
      </c>
      <c r="AB725" s="6" t="s">
        <v>6961</v>
      </c>
      <c r="AC725" s="6" t="str">
        <f t="shared" si="346"/>
        <v>=3.010*100000000</v>
      </c>
      <c r="AD725" s="1">
        <f>3.01*100000000</f>
        <v>301000000</v>
      </c>
      <c r="AE725" s="8">
        <f t="shared" si="363"/>
        <v>1.1701514059120404</v>
      </c>
      <c r="AF725" s="6" t="s">
        <v>2160</v>
      </c>
      <c r="AG725" s="6" t="str">
        <f t="shared" si="347"/>
        <v>=1.387*100000000</v>
      </c>
      <c r="AH725" s="1">
        <f>1.387*100000000</f>
        <v>138700000</v>
      </c>
      <c r="AI725" s="8">
        <f t="shared" si="364"/>
        <v>-0.82969056974459721</v>
      </c>
      <c r="AJ725" s="6" t="s">
        <v>8309</v>
      </c>
      <c r="AK725" s="6" t="str">
        <f t="shared" si="348"/>
        <v>=8.144*100000000</v>
      </c>
      <c r="AL725" s="1">
        <f>8.144*100000000</f>
        <v>814400000</v>
      </c>
      <c r="AM725" s="8">
        <f t="shared" si="365"/>
        <v>1.8920454545454546</v>
      </c>
      <c r="AN725" s="6" t="s">
        <v>8125</v>
      </c>
      <c r="AO725" s="6" t="str">
        <f t="shared" si="349"/>
        <v>=2.816*100000000</v>
      </c>
      <c r="AP725" s="1">
        <f>2.816*100000000</f>
        <v>281600000</v>
      </c>
      <c r="AQ725" s="8">
        <f t="shared" si="366"/>
        <v>0.40659340659340681</v>
      </c>
      <c r="AR725" s="6" t="s">
        <v>2147</v>
      </c>
      <c r="AS725" s="6" t="str">
        <f t="shared" si="350"/>
        <v>=2.002*100000000</v>
      </c>
      <c r="AT725" s="1">
        <f>2.002*100000000</f>
        <v>200199999.99999997</v>
      </c>
      <c r="AU725" s="8">
        <f t="shared" si="367"/>
        <v>0.75460122699386478</v>
      </c>
      <c r="AV725" s="6" t="s">
        <v>8310</v>
      </c>
      <c r="AW725" s="6" t="str">
        <f t="shared" si="351"/>
        <v>=1.141*100000000</v>
      </c>
      <c r="AX725" s="1">
        <f>1.141*100000000</f>
        <v>114100000</v>
      </c>
      <c r="AY725" s="10">
        <f t="shared" si="368"/>
        <v>-0.79344677769732075</v>
      </c>
      <c r="AZ725" s="6" t="s">
        <v>8311</v>
      </c>
      <c r="BA725" s="6" t="str">
        <f t="shared" si="352"/>
        <v>=5.524*100000000</v>
      </c>
      <c r="BB725" s="1">
        <f>5.524*100000000</f>
        <v>552400000</v>
      </c>
      <c r="BC725" s="8">
        <f t="shared" si="369"/>
        <v>0.99710773680404918</v>
      </c>
      <c r="BD725" s="6" t="s">
        <v>1239</v>
      </c>
      <c r="BE725" s="6" t="str">
        <f t="shared" si="353"/>
        <v>=2.766*100000000</v>
      </c>
      <c r="BF725" s="1">
        <f>2.766*100000000</f>
        <v>276600000</v>
      </c>
      <c r="BG725" s="8">
        <f t="shared" si="370"/>
        <v>0.38023952095808383</v>
      </c>
      <c r="BH725" s="6" t="s">
        <v>8312</v>
      </c>
      <c r="BI725" s="6" t="str">
        <f t="shared" si="354"/>
        <v>=2.004*100000000</v>
      </c>
      <c r="BJ725" s="1">
        <f>2.004*100000000</f>
        <v>200400000</v>
      </c>
      <c r="BK725" s="6" t="s">
        <v>2065</v>
      </c>
      <c r="BL725" s="1" t="str">
        <f t="shared" si="356"/>
        <v>=1.033*100000000</v>
      </c>
      <c r="BM725" s="16">
        <f t="shared" si="371"/>
        <v>0.93998063891577954</v>
      </c>
      <c r="BN725" s="1">
        <f>1.033*100000000</f>
        <v>103299999.99999999</v>
      </c>
    </row>
    <row r="726" spans="1:66">
      <c r="A726" s="17">
        <v>183</v>
      </c>
      <c r="B726">
        <v>600605</v>
      </c>
      <c r="C726" t="s">
        <v>31</v>
      </c>
      <c r="D726" s="6" t="s">
        <v>6383</v>
      </c>
      <c r="E726" s="7" t="str">
        <f t="shared" si="355"/>
        <v>=1.129*100000000</v>
      </c>
      <c r="F726" s="1">
        <f>1.129*100000000</f>
        <v>112900000</v>
      </c>
      <c r="G726" s="8">
        <f t="shared" si="357"/>
        <v>0.34085510688836107</v>
      </c>
      <c r="H726" s="7" t="s">
        <v>8313</v>
      </c>
      <c r="I726" s="6" t="str">
        <f t="shared" si="341"/>
        <v>=8420*10000</v>
      </c>
      <c r="J726" s="1">
        <f>8420*10000</f>
        <v>84200000</v>
      </c>
      <c r="K726" s="10">
        <f t="shared" si="358"/>
        <v>0.40123148610417708</v>
      </c>
      <c r="L726" s="7" t="s">
        <v>8314</v>
      </c>
      <c r="M726" s="6" t="str">
        <f t="shared" si="342"/>
        <v>=6009*10000</v>
      </c>
      <c r="N726" s="1">
        <f>6009*10000</f>
        <v>60090000</v>
      </c>
      <c r="O726" s="8">
        <f t="shared" si="359"/>
        <v>0.97145669291338588</v>
      </c>
      <c r="P726" s="7" t="s">
        <v>8315</v>
      </c>
      <c r="Q726" s="6" t="str">
        <f t="shared" si="343"/>
        <v>=3048*10000</v>
      </c>
      <c r="R726" s="11">
        <f>3048*10000</f>
        <v>30480000</v>
      </c>
      <c r="S726" s="8">
        <f t="shared" si="360"/>
        <v>-0.67080678258991255</v>
      </c>
      <c r="T726" s="7" t="s">
        <v>8316</v>
      </c>
      <c r="U726" s="6" t="str">
        <f t="shared" si="344"/>
        <v>=9259*10000</v>
      </c>
      <c r="V726" s="1">
        <f>9259*10000</f>
        <v>92590000</v>
      </c>
      <c r="W726" s="8">
        <f t="shared" si="361"/>
        <v>0.40096837645634742</v>
      </c>
      <c r="X726" s="7" t="s">
        <v>2212</v>
      </c>
      <c r="Y726" s="6" t="str">
        <f t="shared" si="345"/>
        <v>=6609*10000</v>
      </c>
      <c r="Z726" s="1">
        <f>6609*10000</f>
        <v>66090000</v>
      </c>
      <c r="AA726" s="8">
        <f t="shared" si="362"/>
        <v>0.57020669992872419</v>
      </c>
      <c r="AB726" s="7" t="s">
        <v>8317</v>
      </c>
      <c r="AC726" s="6" t="str">
        <f t="shared" si="346"/>
        <v>=4209*10000</v>
      </c>
      <c r="AD726" s="1">
        <f>4209*10000</f>
        <v>42090000</v>
      </c>
      <c r="AE726" s="8">
        <f t="shared" si="363"/>
        <v>1.1408952187182095</v>
      </c>
      <c r="AF726" s="7" t="s">
        <v>8318</v>
      </c>
      <c r="AG726" s="6" t="str">
        <f t="shared" si="347"/>
        <v>=1966*10000</v>
      </c>
      <c r="AH726" s="1">
        <f>1966*10000</f>
        <v>19660000</v>
      </c>
      <c r="AI726" s="8">
        <f t="shared" si="364"/>
        <v>-0.83657522859517874</v>
      </c>
      <c r="AJ726" s="6" t="s">
        <v>2532</v>
      </c>
      <c r="AK726" s="6" t="str">
        <f t="shared" si="348"/>
        <v>=1.203*100000000</v>
      </c>
      <c r="AL726" s="1">
        <f>1.203*100000000</f>
        <v>120300000</v>
      </c>
      <c r="AM726" s="8">
        <f t="shared" si="365"/>
        <v>0.26325737687703454</v>
      </c>
      <c r="AN726" s="7" t="s">
        <v>8319</v>
      </c>
      <c r="AO726" s="6" t="str">
        <f t="shared" si="349"/>
        <v>=9523*10000</v>
      </c>
      <c r="AP726" s="1">
        <f>9523*10000</f>
        <v>95230000</v>
      </c>
      <c r="AQ726" s="8">
        <f t="shared" si="366"/>
        <v>0.329656520524993</v>
      </c>
      <c r="AR726" s="7" t="s">
        <v>8320</v>
      </c>
      <c r="AS726" s="6" t="str">
        <f t="shared" si="350"/>
        <v>=7162*10000</v>
      </c>
      <c r="AT726" s="1">
        <f>7162*10000</f>
        <v>71620000</v>
      </c>
      <c r="AU726" s="8">
        <f t="shared" si="367"/>
        <v>0.99944165270798435</v>
      </c>
      <c r="AV726" s="7" t="s">
        <v>8321</v>
      </c>
      <c r="AW726" s="6" t="str">
        <f t="shared" si="351"/>
        <v>=3582*10000</v>
      </c>
      <c r="AX726" s="1">
        <f>3582*10000</f>
        <v>35820000</v>
      </c>
      <c r="AY726" s="10">
        <f t="shared" si="368"/>
        <v>-0.98263693650024242</v>
      </c>
      <c r="AZ726" s="6" t="s">
        <v>8322</v>
      </c>
      <c r="BA726" s="6" t="str">
        <f t="shared" si="352"/>
        <v>=20.63*100000000</v>
      </c>
      <c r="BB726" s="1">
        <f>20.63*100000000</f>
        <v>2063000000</v>
      </c>
      <c r="BC726" s="8">
        <f t="shared" si="369"/>
        <v>0.18223495702005732</v>
      </c>
      <c r="BD726" s="6" t="s">
        <v>328</v>
      </c>
      <c r="BE726" s="6" t="str">
        <f t="shared" si="353"/>
        <v>=17.45*100000000</v>
      </c>
      <c r="BF726" s="1">
        <f>17.45*100000000</f>
        <v>1745000000</v>
      </c>
      <c r="BG726" s="8">
        <f t="shared" si="370"/>
        <v>0.44334160463192723</v>
      </c>
      <c r="BH726" s="6" t="s">
        <v>1435</v>
      </c>
      <c r="BI726" s="6" t="str">
        <f t="shared" si="354"/>
        <v>=12.09*100000000</v>
      </c>
      <c r="BJ726" s="1">
        <f>12.09*100000000</f>
        <v>1209000000</v>
      </c>
      <c r="BK726" s="6" t="s">
        <v>8323</v>
      </c>
      <c r="BL726" s="1" t="str">
        <f t="shared" si="356"/>
        <v>=3.949*100000000</v>
      </c>
      <c r="BM726" s="16">
        <f t="shared" si="371"/>
        <v>2.0615345657128388</v>
      </c>
      <c r="BN726" s="1">
        <f>3.949*100000000</f>
        <v>394900000</v>
      </c>
    </row>
    <row r="727" spans="1:66">
      <c r="A727" s="18"/>
      <c r="B727">
        <v>600605</v>
      </c>
      <c r="C727" t="s">
        <v>48</v>
      </c>
      <c r="D727" s="7" t="s">
        <v>8324</v>
      </c>
      <c r="E727" s="7" t="str">
        <f t="shared" si="355"/>
        <v>=1276*10000</v>
      </c>
      <c r="F727" s="1">
        <f>1276*10000</f>
        <v>12760000</v>
      </c>
      <c r="G727" s="8">
        <f t="shared" si="357"/>
        <v>-0.36072144288577157</v>
      </c>
      <c r="H727" s="7" t="s">
        <v>8325</v>
      </c>
      <c r="I727" s="6" t="str">
        <f t="shared" si="341"/>
        <v>=1996*10000</v>
      </c>
      <c r="J727" s="1">
        <f>1996*10000</f>
        <v>19960000</v>
      </c>
      <c r="K727" s="10">
        <f t="shared" si="358"/>
        <v>0.66889632107023411</v>
      </c>
      <c r="L727" s="7" t="s">
        <v>8326</v>
      </c>
      <c r="M727" s="6" t="str">
        <f t="shared" si="342"/>
        <v>=1196*10000</v>
      </c>
      <c r="N727" s="1">
        <f>1196*10000</f>
        <v>11960000</v>
      </c>
      <c r="O727" s="8">
        <f t="shared" si="359"/>
        <v>0.12617702448210924</v>
      </c>
      <c r="P727" s="7" t="s">
        <v>8327</v>
      </c>
      <c r="Q727" s="6" t="str">
        <f t="shared" si="343"/>
        <v>=1062*10000</v>
      </c>
      <c r="R727" s="11">
        <f>1062*10000</f>
        <v>10620000</v>
      </c>
      <c r="S727" s="8">
        <f t="shared" si="360"/>
        <v>-0.78558449424591159</v>
      </c>
      <c r="T727" s="7" t="s">
        <v>8328</v>
      </c>
      <c r="U727" s="6" t="str">
        <f t="shared" si="344"/>
        <v>=4953*10000</v>
      </c>
      <c r="V727" s="1">
        <f>4953*10000</f>
        <v>49530000</v>
      </c>
      <c r="W727" s="8">
        <f t="shared" si="361"/>
        <v>0.63519313304721026</v>
      </c>
      <c r="X727" s="7" t="s">
        <v>8329</v>
      </c>
      <c r="Y727" s="6" t="str">
        <f t="shared" si="345"/>
        <v>=3029*10000</v>
      </c>
      <c r="Z727" s="1">
        <f>3029*10000</f>
        <v>30290000</v>
      </c>
      <c r="AA727" s="8">
        <f t="shared" si="362"/>
        <v>0.71517553793884481</v>
      </c>
      <c r="AB727" s="7" t="s">
        <v>8330</v>
      </c>
      <c r="AC727" s="6" t="str">
        <f t="shared" si="346"/>
        <v>=1766*10000</v>
      </c>
      <c r="AD727" s="1">
        <f>1766*10000</f>
        <v>17660000</v>
      </c>
      <c r="AE727" s="8">
        <f t="shared" si="363"/>
        <v>0.4173354735152488</v>
      </c>
      <c r="AF727" s="7" t="s">
        <v>8331</v>
      </c>
      <c r="AG727" s="6" t="str">
        <f t="shared" si="347"/>
        <v>=1246*10000</v>
      </c>
      <c r="AH727" s="1">
        <f>1246*10000</f>
        <v>12460000</v>
      </c>
      <c r="AI727" s="8">
        <f t="shared" si="364"/>
        <v>-0.48405797101449277</v>
      </c>
      <c r="AJ727" s="7" t="s">
        <v>8332</v>
      </c>
      <c r="AK727" s="6" t="str">
        <f t="shared" si="348"/>
        <v>=2415*10000</v>
      </c>
      <c r="AL727" s="1">
        <f>2415*10000</f>
        <v>24150000</v>
      </c>
      <c r="AM727" s="8">
        <f t="shared" si="365"/>
        <v>0.88967136150234738</v>
      </c>
      <c r="AN727" s="7" t="s">
        <v>8333</v>
      </c>
      <c r="AO727" s="6" t="str">
        <f t="shared" si="349"/>
        <v>=1278*10000</v>
      </c>
      <c r="AP727" s="1">
        <f>1278*10000</f>
        <v>12780000</v>
      </c>
      <c r="AQ727" s="8">
        <f t="shared" si="366"/>
        <v>2.6441402908468778</v>
      </c>
      <c r="AR727" s="7" t="s">
        <v>8334</v>
      </c>
      <c r="AS727" s="6" t="str">
        <f t="shared" si="350"/>
        <v>=350.7*10000</v>
      </c>
      <c r="AT727" s="1">
        <f>350.7*10000</f>
        <v>3507000</v>
      </c>
      <c r="AU727" s="8">
        <f t="shared" si="367"/>
        <v>-1.6630743051616563</v>
      </c>
      <c r="AV727" s="7">
        <f>-528.9*10000</f>
        <v>-5289000</v>
      </c>
      <c r="AW727" s="6" t="str">
        <f t="shared" si="351"/>
        <v>=-5289000</v>
      </c>
      <c r="AX727" s="1">
        <f>-5289000</f>
        <v>-5289000</v>
      </c>
      <c r="AY727" s="10">
        <f t="shared" si="368"/>
        <v>-1.2001892505677516</v>
      </c>
      <c r="AZ727" s="7" t="s">
        <v>8335</v>
      </c>
      <c r="BA727" s="6" t="str">
        <f t="shared" si="352"/>
        <v>=2642*10000</v>
      </c>
      <c r="BB727" s="1">
        <f>2642*10000</f>
        <v>26420000</v>
      </c>
      <c r="BC727" s="8">
        <f t="shared" si="369"/>
        <v>7.1370640713706412E-2</v>
      </c>
      <c r="BD727" s="7" t="s">
        <v>8336</v>
      </c>
      <c r="BE727" s="6" t="str">
        <f t="shared" si="353"/>
        <v>=2466*10000</v>
      </c>
      <c r="BF727" s="1">
        <f>2466*10000</f>
        <v>24660000</v>
      </c>
      <c r="BG727" s="8">
        <f t="shared" si="370"/>
        <v>-1.4782261286456252E-2</v>
      </c>
      <c r="BH727" s="7" t="s">
        <v>5958</v>
      </c>
      <c r="BI727" s="6" t="str">
        <f t="shared" si="354"/>
        <v>=2503*10000</v>
      </c>
      <c r="BJ727" s="1">
        <f>2503*10000</f>
        <v>25030000</v>
      </c>
      <c r="BK727" s="7" t="s">
        <v>8337</v>
      </c>
      <c r="BL727" s="1" t="str">
        <f t="shared" si="356"/>
        <v>=1120*10000</v>
      </c>
      <c r="BM727" s="16">
        <f t="shared" si="371"/>
        <v>1.2348214285714285</v>
      </c>
      <c r="BN727" s="1">
        <f>1120*10000</f>
        <v>11200000</v>
      </c>
    </row>
    <row r="728" spans="1:66">
      <c r="A728" s="18"/>
      <c r="B728">
        <v>600605</v>
      </c>
      <c r="C728" t="s">
        <v>58</v>
      </c>
      <c r="D728" s="7" t="s">
        <v>4432</v>
      </c>
      <c r="E728" s="7" t="str">
        <f t="shared" si="355"/>
        <v>=7564*10000</v>
      </c>
      <c r="F728" s="1">
        <f>7564*10000</f>
        <v>75640000</v>
      </c>
      <c r="G728" s="8">
        <f t="shared" si="357"/>
        <v>0.10037823683444864</v>
      </c>
      <c r="H728" s="7" t="s">
        <v>8338</v>
      </c>
      <c r="I728" s="6" t="str">
        <f t="shared" si="341"/>
        <v>=6874*10000</v>
      </c>
      <c r="J728" s="1">
        <f>6874*10000</f>
        <v>68740000</v>
      </c>
      <c r="K728" s="10">
        <f t="shared" si="358"/>
        <v>1.1808375634517767</v>
      </c>
      <c r="L728" s="7" t="s">
        <v>8070</v>
      </c>
      <c r="M728" s="6" t="str">
        <f t="shared" si="342"/>
        <v>=3152*10000</v>
      </c>
      <c r="N728" s="1">
        <f>3152*10000</f>
        <v>31520000</v>
      </c>
      <c r="O728" s="8">
        <f t="shared" si="359"/>
        <v>2.1177052423343223</v>
      </c>
      <c r="P728" s="7" t="s">
        <v>3979</v>
      </c>
      <c r="Q728" s="6" t="str">
        <f t="shared" si="343"/>
        <v>=1011*10000</v>
      </c>
      <c r="R728" s="11">
        <f>1011*10000</f>
        <v>10110000</v>
      </c>
      <c r="S728" s="8">
        <f t="shared" si="360"/>
        <v>-0.84751131221719456</v>
      </c>
      <c r="T728" s="7" t="s">
        <v>8339</v>
      </c>
      <c r="U728" s="6" t="str">
        <f t="shared" si="344"/>
        <v>=6630*10000</v>
      </c>
      <c r="V728" s="1">
        <f>6630*10000</f>
        <v>66300000</v>
      </c>
      <c r="W728" s="8">
        <f t="shared" si="361"/>
        <v>0.46746347941567062</v>
      </c>
      <c r="X728" s="7" t="s">
        <v>8340</v>
      </c>
      <c r="Y728" s="6" t="str">
        <f t="shared" si="345"/>
        <v>=4518*10000</v>
      </c>
      <c r="Z728" s="1">
        <f>4518*10000</f>
        <v>45180000</v>
      </c>
      <c r="AA728" s="8">
        <f t="shared" si="362"/>
        <v>0.38674033149171272</v>
      </c>
      <c r="AB728" s="7" t="s">
        <v>8341</v>
      </c>
      <c r="AC728" s="6" t="str">
        <f t="shared" si="346"/>
        <v>=3258*10000</v>
      </c>
      <c r="AD728" s="1">
        <f>3258*10000</f>
        <v>32580000</v>
      </c>
      <c r="AE728" s="8">
        <f t="shared" si="363"/>
        <v>1.0764818355640535</v>
      </c>
      <c r="AF728" s="7" t="s">
        <v>8342</v>
      </c>
      <c r="AG728" s="6" t="str">
        <f t="shared" si="347"/>
        <v>=1569*10000</v>
      </c>
      <c r="AH728" s="1">
        <f>1569*10000</f>
        <v>15690000</v>
      </c>
      <c r="AI728" s="8">
        <f t="shared" si="364"/>
        <v>-0.49025341130604289</v>
      </c>
      <c r="AJ728" s="7" t="s">
        <v>8343</v>
      </c>
      <c r="AK728" s="6" t="str">
        <f t="shared" si="348"/>
        <v>=3078*10000</v>
      </c>
      <c r="AL728" s="1">
        <f>3078*10000</f>
        <v>30780000</v>
      </c>
      <c r="AM728" s="8">
        <f t="shared" si="365"/>
        <v>1.3823529411764706</v>
      </c>
      <c r="AN728" s="7" t="s">
        <v>8344</v>
      </c>
      <c r="AO728" s="6" t="str">
        <f t="shared" si="349"/>
        <v>=1292*10000</v>
      </c>
      <c r="AP728" s="1">
        <f>1292*10000</f>
        <v>12920000</v>
      </c>
      <c r="AQ728" s="8">
        <f t="shared" si="366"/>
        <v>2.5504259411926355</v>
      </c>
      <c r="AR728" s="7" t="s">
        <v>8345</v>
      </c>
      <c r="AS728" s="6" t="str">
        <f t="shared" si="350"/>
        <v>=363.9*10000</v>
      </c>
      <c r="AT728" s="1">
        <f>363.9*10000</f>
        <v>3639000</v>
      </c>
      <c r="AU728" s="8">
        <f t="shared" si="367"/>
        <v>-1.6674614820249449</v>
      </c>
      <c r="AV728" s="7">
        <f>-545.2*10000</f>
        <v>-5452000</v>
      </c>
      <c r="AW728" s="6" t="str">
        <f t="shared" si="351"/>
        <v>=-5452000</v>
      </c>
      <c r="AX728" s="1">
        <f>-5452000</f>
        <v>-5452000</v>
      </c>
      <c r="AY728" s="10">
        <f t="shared" si="368"/>
        <v>-1.1972503617945007</v>
      </c>
      <c r="AZ728" s="7" t="s">
        <v>1614</v>
      </c>
      <c r="BA728" s="6" t="str">
        <f t="shared" si="352"/>
        <v>=2764*10000</v>
      </c>
      <c r="BB728" s="1">
        <f>2764*10000</f>
        <v>27640000</v>
      </c>
      <c r="BC728" s="8">
        <f t="shared" si="369"/>
        <v>8.6051080550098233E-2</v>
      </c>
      <c r="BD728" s="7" t="s">
        <v>8346</v>
      </c>
      <c r="BE728" s="6" t="str">
        <f t="shared" si="353"/>
        <v>=2545*10000</v>
      </c>
      <c r="BF728" s="1">
        <f>2545*10000</f>
        <v>25450000</v>
      </c>
      <c r="BG728" s="8">
        <f t="shared" si="370"/>
        <v>1.0722795869737888E-2</v>
      </c>
      <c r="BH728" s="7" t="s">
        <v>8347</v>
      </c>
      <c r="BI728" s="6" t="str">
        <f t="shared" si="354"/>
        <v>=2518*10000</v>
      </c>
      <c r="BJ728" s="1">
        <f>2518*10000</f>
        <v>25180000</v>
      </c>
      <c r="BK728" s="7" t="s">
        <v>8348</v>
      </c>
      <c r="BL728" s="1" t="str">
        <f t="shared" si="356"/>
        <v>=1125*10000</v>
      </c>
      <c r="BM728" s="16">
        <f t="shared" si="371"/>
        <v>1.2382222222222221</v>
      </c>
      <c r="BN728" s="1">
        <f>1125*10000</f>
        <v>11250000</v>
      </c>
    </row>
    <row r="729" spans="1:66">
      <c r="A729" s="19"/>
      <c r="B729">
        <v>600605</v>
      </c>
      <c r="C729" t="s">
        <v>68</v>
      </c>
      <c r="D729" s="7" t="s">
        <v>8349</v>
      </c>
      <c r="E729" s="7" t="str">
        <f t="shared" si="355"/>
        <v>=5696*10000</v>
      </c>
      <c r="F729" s="1">
        <f>5696*10000</f>
        <v>56960000</v>
      </c>
      <c r="G729" s="8">
        <f t="shared" si="357"/>
        <v>0.10644910644910645</v>
      </c>
      <c r="H729" s="7" t="s">
        <v>8350</v>
      </c>
      <c r="I729" s="6" t="str">
        <f t="shared" si="341"/>
        <v>=5148*10000</v>
      </c>
      <c r="J729" s="1">
        <f>5148*10000</f>
        <v>51480000</v>
      </c>
      <c r="K729" s="10">
        <f t="shared" si="358"/>
        <v>0.97014925373134331</v>
      </c>
      <c r="L729" s="7" t="s">
        <v>6532</v>
      </c>
      <c r="M729" s="6" t="str">
        <f t="shared" si="342"/>
        <v>=2613*10000</v>
      </c>
      <c r="N729" s="1">
        <f>2613*10000</f>
        <v>26130000</v>
      </c>
      <c r="O729" s="8">
        <f t="shared" si="359"/>
        <v>2.4798242109468638</v>
      </c>
      <c r="P729" s="7" t="s">
        <v>8351</v>
      </c>
      <c r="Q729" s="6" t="str">
        <f t="shared" si="343"/>
        <v>=750.9*10000</v>
      </c>
      <c r="R729" s="11">
        <f>750.9*10000</f>
        <v>7509000</v>
      </c>
      <c r="S729" s="8">
        <f t="shared" si="360"/>
        <v>-0.84857834240774355</v>
      </c>
      <c r="T729" s="7" t="s">
        <v>8352</v>
      </c>
      <c r="U729" s="6" t="str">
        <f t="shared" si="344"/>
        <v>=4959*10000</v>
      </c>
      <c r="V729" s="1">
        <f>4959*10000</f>
        <v>49590000</v>
      </c>
      <c r="W729" s="8">
        <f t="shared" si="361"/>
        <v>0.31538461538461537</v>
      </c>
      <c r="X729" s="7" t="s">
        <v>8353</v>
      </c>
      <c r="Y729" s="6" t="str">
        <f t="shared" si="345"/>
        <v>=3770*10000</v>
      </c>
      <c r="Z729" s="1">
        <f>3770*10000</f>
        <v>37700000</v>
      </c>
      <c r="AA729" s="8">
        <f t="shared" si="362"/>
        <v>0.35806916426512969</v>
      </c>
      <c r="AB729" s="7" t="s">
        <v>8354</v>
      </c>
      <c r="AC729" s="6" t="str">
        <f t="shared" si="346"/>
        <v>=2776*10000</v>
      </c>
      <c r="AD729" s="1">
        <f>2776*10000</f>
        <v>27760000</v>
      </c>
      <c r="AE729" s="8">
        <f t="shared" si="363"/>
        <v>1.2791461412151068</v>
      </c>
      <c r="AF729" s="7" t="s">
        <v>8355</v>
      </c>
      <c r="AG729" s="6" t="str">
        <f t="shared" si="347"/>
        <v>=1218*10000</v>
      </c>
      <c r="AH729" s="1">
        <f>1218*10000</f>
        <v>12180000</v>
      </c>
      <c r="AI729" s="8">
        <f t="shared" si="364"/>
        <v>-0.4720416124837451</v>
      </c>
      <c r="AJ729" s="7" t="s">
        <v>8356</v>
      </c>
      <c r="AK729" s="6" t="str">
        <f t="shared" si="348"/>
        <v>=2307*10000</v>
      </c>
      <c r="AL729" s="1">
        <f>2307*10000</f>
        <v>23070000</v>
      </c>
      <c r="AM729" s="8">
        <f t="shared" si="365"/>
        <v>3.2136986301369861</v>
      </c>
      <c r="AN729" s="7" t="s">
        <v>8357</v>
      </c>
      <c r="AO729" s="6" t="str">
        <f t="shared" si="349"/>
        <v>=547.5*10000</v>
      </c>
      <c r="AP729" s="1">
        <f>547.5*10000</f>
        <v>5475000</v>
      </c>
      <c r="AQ729" s="8">
        <f t="shared" si="366"/>
        <v>-5.7774869109947646</v>
      </c>
      <c r="AR729" s="7">
        <f>-114.6*10000</f>
        <v>-1146000</v>
      </c>
      <c r="AS729" s="6" t="str">
        <f t="shared" si="350"/>
        <v>=-1146000</v>
      </c>
      <c r="AT729" s="1">
        <f>-1146000</f>
        <v>-1146000</v>
      </c>
      <c r="AU729" s="8">
        <f t="shared" si="367"/>
        <v>-0.77320403720562048</v>
      </c>
      <c r="AV729" s="7">
        <f>-505.3*10000</f>
        <v>-5053000</v>
      </c>
      <c r="AW729" s="6" t="str">
        <f t="shared" si="351"/>
        <v>=-5053000</v>
      </c>
      <c r="AX729" s="1">
        <f>-5053000</f>
        <v>-5053000</v>
      </c>
      <c r="AY729" s="10">
        <f t="shared" si="368"/>
        <v>-1.224079822616408</v>
      </c>
      <c r="AZ729" s="7" t="s">
        <v>8358</v>
      </c>
      <c r="BA729" s="6" t="str">
        <f t="shared" si="352"/>
        <v>=2255*10000</v>
      </c>
      <c r="BB729" s="1">
        <f>2255*10000</f>
        <v>22550000</v>
      </c>
      <c r="BC729" s="8">
        <f t="shared" si="369"/>
        <v>5.7196436943272387E-2</v>
      </c>
      <c r="BD729" s="7" t="s">
        <v>8359</v>
      </c>
      <c r="BE729" s="6" t="str">
        <f t="shared" si="353"/>
        <v>=2133*10000</v>
      </c>
      <c r="BF729" s="1">
        <f>2133*10000</f>
        <v>21330000</v>
      </c>
      <c r="BG729" s="8">
        <f t="shared" si="370"/>
        <v>-3.2214156079854811E-2</v>
      </c>
      <c r="BH729" s="7" t="s">
        <v>8360</v>
      </c>
      <c r="BI729" s="6" t="str">
        <f t="shared" si="354"/>
        <v>=2204*10000</v>
      </c>
      <c r="BJ729" s="1">
        <f>2204*10000</f>
        <v>22040000</v>
      </c>
      <c r="BK729" s="7" t="s">
        <v>8361</v>
      </c>
      <c r="BL729" s="1" t="str">
        <f t="shared" si="356"/>
        <v>=1044*10000</v>
      </c>
      <c r="BM729" s="16">
        <f t="shared" si="371"/>
        <v>1.1111111111111112</v>
      </c>
      <c r="BN729" s="1">
        <f>1044*10000</f>
        <v>10440000</v>
      </c>
    </row>
    <row r="730" spans="1:66">
      <c r="A730" s="17">
        <v>184</v>
      </c>
      <c r="B730">
        <v>600611</v>
      </c>
      <c r="C730" t="s">
        <v>31</v>
      </c>
      <c r="D730" s="6" t="s">
        <v>8362</v>
      </c>
      <c r="E730" s="7" t="str">
        <f t="shared" si="355"/>
        <v>=21.51*100000000</v>
      </c>
      <c r="F730" s="1">
        <f>21.51*100000000</f>
        <v>2151000000</v>
      </c>
      <c r="G730" s="8">
        <f t="shared" si="357"/>
        <v>0.35283018867924526</v>
      </c>
      <c r="H730" s="6" t="s">
        <v>8363</v>
      </c>
      <c r="I730" s="6" t="str">
        <f t="shared" si="341"/>
        <v>=15.90*100000000</v>
      </c>
      <c r="J730" s="1">
        <f>15.9*100000000</f>
        <v>1590000000</v>
      </c>
      <c r="K730" s="10">
        <f t="shared" si="358"/>
        <v>0.55425219941348969</v>
      </c>
      <c r="L730" s="6" t="s">
        <v>1403</v>
      </c>
      <c r="M730" s="6" t="str">
        <f t="shared" si="342"/>
        <v>=10.23*100000000</v>
      </c>
      <c r="N730" s="1">
        <f>10.23*100000000</f>
        <v>1023000000</v>
      </c>
      <c r="O730" s="8">
        <f t="shared" si="359"/>
        <v>0.93164652567975825</v>
      </c>
      <c r="P730" s="6" t="s">
        <v>8364</v>
      </c>
      <c r="Q730" s="6" t="str">
        <f t="shared" si="343"/>
        <v>=5.296*100000000</v>
      </c>
      <c r="R730" s="11">
        <f>5.296*100000000</f>
        <v>529600000</v>
      </c>
      <c r="S730" s="8">
        <f t="shared" si="360"/>
        <v>-0.78576051779935274</v>
      </c>
      <c r="T730" s="6" t="s">
        <v>8365</v>
      </c>
      <c r="U730" s="6" t="str">
        <f t="shared" si="344"/>
        <v>=24.72*100000000</v>
      </c>
      <c r="V730" s="1">
        <f>24.72*100000000</f>
        <v>2472000000</v>
      </c>
      <c r="W730" s="8">
        <f t="shared" si="361"/>
        <v>0.35377875136911263</v>
      </c>
      <c r="X730" s="6" t="s">
        <v>8366</v>
      </c>
      <c r="Y730" s="6" t="str">
        <f t="shared" si="345"/>
        <v>=18.26*100000000</v>
      </c>
      <c r="Z730" s="1">
        <f>18.26*100000000</f>
        <v>1826000000.0000002</v>
      </c>
      <c r="AA730" s="8">
        <f t="shared" si="362"/>
        <v>0.43553459119496873</v>
      </c>
      <c r="AB730" s="6" t="s">
        <v>3054</v>
      </c>
      <c r="AC730" s="6" t="str">
        <f t="shared" si="346"/>
        <v>=12.72*100000000</v>
      </c>
      <c r="AD730" s="1">
        <f>12.72*100000000</f>
        <v>1272000000</v>
      </c>
      <c r="AE730" s="8">
        <f t="shared" si="363"/>
        <v>1.4159544159544162</v>
      </c>
      <c r="AF730" s="6" t="s">
        <v>8367</v>
      </c>
      <c r="AG730" s="6" t="str">
        <f t="shared" si="347"/>
        <v>=5.265*100000000</v>
      </c>
      <c r="AH730" s="1">
        <f>5.265*100000000</f>
        <v>526499999.99999994</v>
      </c>
      <c r="AI730" s="8">
        <f t="shared" si="364"/>
        <v>-0.8552378333791586</v>
      </c>
      <c r="AJ730" s="6" t="s">
        <v>8368</v>
      </c>
      <c r="AK730" s="6" t="str">
        <f t="shared" si="348"/>
        <v>=36.37*100000000</v>
      </c>
      <c r="AL730" s="1">
        <f>36.37*100000000</f>
        <v>3636999999.9999995</v>
      </c>
      <c r="AM730" s="8">
        <f t="shared" si="365"/>
        <v>0.62802148612354503</v>
      </c>
      <c r="AN730" s="6" t="s">
        <v>6173</v>
      </c>
      <c r="AO730" s="6" t="str">
        <f t="shared" si="349"/>
        <v>=22.34*100000000</v>
      </c>
      <c r="AP730" s="1">
        <f>22.34*100000000</f>
        <v>2234000000</v>
      </c>
      <c r="AQ730" s="8">
        <f t="shared" si="366"/>
        <v>0.45442708333333331</v>
      </c>
      <c r="AR730" s="6" t="s">
        <v>4548</v>
      </c>
      <c r="AS730" s="6" t="str">
        <f t="shared" si="350"/>
        <v>=15.36*100000000</v>
      </c>
      <c r="AT730" s="1">
        <f>15.36*100000000</f>
        <v>1536000000</v>
      </c>
      <c r="AU730" s="8">
        <f t="shared" si="367"/>
        <v>1.2021505376344086</v>
      </c>
      <c r="AV730" s="6" t="s">
        <v>8369</v>
      </c>
      <c r="AW730" s="6" t="str">
        <f t="shared" si="351"/>
        <v>=6.975*100000000</v>
      </c>
      <c r="AX730" s="1">
        <f>6.975*100000000</f>
        <v>697500000</v>
      </c>
      <c r="AY730" s="10">
        <f t="shared" si="368"/>
        <v>-0.79515418502202639</v>
      </c>
      <c r="AZ730" s="6" t="s">
        <v>8370</v>
      </c>
      <c r="BA730" s="6" t="str">
        <f t="shared" si="352"/>
        <v>=34.05*100000000</v>
      </c>
      <c r="BB730" s="1">
        <f>34.05*100000000</f>
        <v>3404999999.9999995</v>
      </c>
      <c r="BC730" s="8">
        <f t="shared" si="369"/>
        <v>0.45388556789069151</v>
      </c>
      <c r="BD730" s="6" t="s">
        <v>8371</v>
      </c>
      <c r="BE730" s="6" t="str">
        <f t="shared" si="353"/>
        <v>=23.42*100000000</v>
      </c>
      <c r="BF730" s="1">
        <f>23.42*100000000</f>
        <v>2342000000</v>
      </c>
      <c r="BG730" s="8">
        <f t="shared" si="370"/>
        <v>0.58779661016949147</v>
      </c>
      <c r="BH730" s="6" t="s">
        <v>6742</v>
      </c>
      <c r="BI730" s="6" t="str">
        <f t="shared" si="354"/>
        <v>=14.75*100000000</v>
      </c>
      <c r="BJ730" s="1">
        <f>14.75*100000000</f>
        <v>1475000000</v>
      </c>
      <c r="BK730" s="6" t="s">
        <v>8372</v>
      </c>
      <c r="BL730" s="1" t="str">
        <f t="shared" si="356"/>
        <v>=7.842*100000000</v>
      </c>
      <c r="BM730" s="16">
        <f t="shared" si="371"/>
        <v>0.8808977301708748</v>
      </c>
      <c r="BN730" s="1">
        <f>7.842*100000000</f>
        <v>784200000</v>
      </c>
    </row>
    <row r="731" spans="1:66">
      <c r="A731" s="18"/>
      <c r="B731">
        <v>600611</v>
      </c>
      <c r="C731" t="s">
        <v>48</v>
      </c>
      <c r="D731" s="6" t="s">
        <v>5149</v>
      </c>
      <c r="E731" s="7" t="str">
        <f t="shared" si="355"/>
        <v>=4.645*100000000</v>
      </c>
      <c r="F731" s="1">
        <f>4.645*100000000</f>
        <v>464499999.99999994</v>
      </c>
      <c r="G731" s="8">
        <f t="shared" si="357"/>
        <v>0.2506731287022077</v>
      </c>
      <c r="H731" s="6" t="s">
        <v>8373</v>
      </c>
      <c r="I731" s="6" t="str">
        <f t="shared" si="341"/>
        <v>=3.714*100000000</v>
      </c>
      <c r="J731" s="1">
        <f>3.714*100000000</f>
        <v>371400000</v>
      </c>
      <c r="K731" s="10">
        <f t="shared" si="358"/>
        <v>7.4341914955163443E-2</v>
      </c>
      <c r="L731" s="6" t="s">
        <v>7761</v>
      </c>
      <c r="M731" s="6" t="str">
        <f t="shared" si="342"/>
        <v>=3.457*100000000</v>
      </c>
      <c r="N731" s="1">
        <f>3.457*100000000</f>
        <v>345700000</v>
      </c>
      <c r="O731" s="8">
        <f t="shared" si="359"/>
        <v>2.6760952786048491</v>
      </c>
      <c r="P731" s="7" t="s">
        <v>8374</v>
      </c>
      <c r="Q731" s="6" t="str">
        <f t="shared" si="343"/>
        <v>=9404*10000</v>
      </c>
      <c r="R731" s="11">
        <f>9404*10000</f>
        <v>94040000</v>
      </c>
      <c r="S731" s="8">
        <f t="shared" si="360"/>
        <v>-0.88172556911080369</v>
      </c>
      <c r="T731" s="6" t="s">
        <v>734</v>
      </c>
      <c r="U731" s="6" t="str">
        <f t="shared" si="344"/>
        <v>=7.951*100000000</v>
      </c>
      <c r="V731" s="1">
        <f>7.951*100000000</f>
        <v>795100000</v>
      </c>
      <c r="W731" s="8">
        <f t="shared" si="361"/>
        <v>0.61441624365482228</v>
      </c>
      <c r="X731" s="6" t="s">
        <v>8375</v>
      </c>
      <c r="Y731" s="6" t="str">
        <f t="shared" si="345"/>
        <v>=4.925*100000000</v>
      </c>
      <c r="Z731" s="1">
        <f>4.925*100000000</f>
        <v>492500000</v>
      </c>
      <c r="AA731" s="8">
        <f t="shared" si="362"/>
        <v>1.2478320401643086</v>
      </c>
      <c r="AB731" s="6" t="s">
        <v>8376</v>
      </c>
      <c r="AC731" s="6" t="str">
        <f t="shared" si="346"/>
        <v>=2.191*100000000</v>
      </c>
      <c r="AD731" s="1">
        <f>2.191*100000000</f>
        <v>219099999.99999997</v>
      </c>
      <c r="AE731" s="8">
        <f t="shared" si="363"/>
        <v>-22.958308278212062</v>
      </c>
      <c r="AF731" s="7">
        <f>-997.8*10000</f>
        <v>-9978000</v>
      </c>
      <c r="AG731" s="6" t="str">
        <f t="shared" si="347"/>
        <v>=-9978000</v>
      </c>
      <c r="AH731" s="1">
        <f>-9978000</f>
        <v>-9978000</v>
      </c>
      <c r="AI731" s="8">
        <f t="shared" si="364"/>
        <v>-1.0069195561719833</v>
      </c>
      <c r="AJ731" s="6" t="s">
        <v>8377</v>
      </c>
      <c r="AK731" s="6" t="str">
        <f t="shared" si="348"/>
        <v>=14.42*100000000</v>
      </c>
      <c r="AL731" s="1">
        <f>14.42*100000000</f>
        <v>1442000000</v>
      </c>
      <c r="AM731" s="8">
        <f t="shared" si="365"/>
        <v>0.48890036138358284</v>
      </c>
      <c r="AN731" s="6" t="s">
        <v>8378</v>
      </c>
      <c r="AO731" s="6" t="str">
        <f t="shared" si="349"/>
        <v>=9.685*100000000</v>
      </c>
      <c r="AP731" s="1">
        <f>9.685*100000000</f>
        <v>968500000</v>
      </c>
      <c r="AQ731" s="8">
        <f t="shared" si="366"/>
        <v>0.27686222808174027</v>
      </c>
      <c r="AR731" s="6" t="s">
        <v>8379</v>
      </c>
      <c r="AS731" s="6" t="str">
        <f t="shared" si="350"/>
        <v>=7.585*100000000</v>
      </c>
      <c r="AT731" s="1">
        <f>7.585*100000000</f>
        <v>758500000</v>
      </c>
      <c r="AU731" s="8">
        <f t="shared" si="367"/>
        <v>0.20091830272324257</v>
      </c>
      <c r="AV731" s="6" t="s">
        <v>8380</v>
      </c>
      <c r="AW731" s="6" t="str">
        <f t="shared" si="351"/>
        <v>=6.316*100000000</v>
      </c>
      <c r="AX731" s="1">
        <f>6.316*100000000</f>
        <v>631600000</v>
      </c>
      <c r="AY731" s="10">
        <f t="shared" si="368"/>
        <v>-0.49552715654952079</v>
      </c>
      <c r="AZ731" s="6" t="s">
        <v>8066</v>
      </c>
      <c r="BA731" s="6" t="str">
        <f t="shared" si="352"/>
        <v>=12.52*100000000</v>
      </c>
      <c r="BB731" s="1">
        <f>12.52*100000000</f>
        <v>1252000000</v>
      </c>
      <c r="BC731" s="8">
        <f t="shared" si="369"/>
        <v>0.53638483249478486</v>
      </c>
      <c r="BD731" s="6" t="s">
        <v>4486</v>
      </c>
      <c r="BE731" s="6" t="str">
        <f t="shared" si="353"/>
        <v>=8.149*100000000</v>
      </c>
      <c r="BF731" s="1">
        <f>8.149*100000000</f>
        <v>814899999.99999988</v>
      </c>
      <c r="BG731" s="8">
        <f t="shared" si="370"/>
        <v>0.96740704973442726</v>
      </c>
      <c r="BH731" s="6" t="s">
        <v>8381</v>
      </c>
      <c r="BI731" s="6" t="str">
        <f t="shared" si="354"/>
        <v>=4.142*100000000</v>
      </c>
      <c r="BJ731" s="1">
        <f>4.142*100000000</f>
        <v>414200000.00000006</v>
      </c>
      <c r="BK731" s="6" t="s">
        <v>7894</v>
      </c>
      <c r="BL731" s="1" t="str">
        <f t="shared" si="356"/>
        <v>=2.321*100000000</v>
      </c>
      <c r="BM731" s="16">
        <f t="shared" si="371"/>
        <v>0.78457561395950026</v>
      </c>
      <c r="BN731" s="1">
        <f>2.321*100000000</f>
        <v>232100000.00000003</v>
      </c>
    </row>
    <row r="732" spans="1:66">
      <c r="A732" s="18"/>
      <c r="B732">
        <v>600611</v>
      </c>
      <c r="C732" t="s">
        <v>58</v>
      </c>
      <c r="D732" s="6" t="s">
        <v>8296</v>
      </c>
      <c r="E732" s="7" t="str">
        <f t="shared" si="355"/>
        <v>=4.716*100000000</v>
      </c>
      <c r="F732" s="1">
        <f>4.716*100000000</f>
        <v>471600000</v>
      </c>
      <c r="G732" s="8">
        <f t="shared" si="357"/>
        <v>0.26265060240963856</v>
      </c>
      <c r="H732" s="6" t="s">
        <v>1669</v>
      </c>
      <c r="I732" s="6" t="str">
        <f t="shared" si="341"/>
        <v>=3.735*100000000</v>
      </c>
      <c r="J732" s="1">
        <f>3.735*100000000</f>
        <v>373500000</v>
      </c>
      <c r="K732" s="10">
        <f t="shared" si="358"/>
        <v>7.792207792207792E-2</v>
      </c>
      <c r="L732" s="6" t="s">
        <v>8382</v>
      </c>
      <c r="M732" s="6" t="str">
        <f t="shared" si="342"/>
        <v>=3.465*100000000</v>
      </c>
      <c r="N732" s="1">
        <f>3.465*100000000</f>
        <v>346500000</v>
      </c>
      <c r="O732" s="8">
        <f t="shared" si="359"/>
        <v>2.6489048020219039</v>
      </c>
      <c r="P732" s="7" t="s">
        <v>8383</v>
      </c>
      <c r="Q732" s="6" t="str">
        <f t="shared" si="343"/>
        <v>=9496*10000</v>
      </c>
      <c r="R732" s="11">
        <f>9496*10000</f>
        <v>94960000</v>
      </c>
      <c r="S732" s="8">
        <f t="shared" si="360"/>
        <v>-0.88095775354143158</v>
      </c>
      <c r="T732" s="6" t="s">
        <v>8384</v>
      </c>
      <c r="U732" s="6" t="str">
        <f t="shared" si="344"/>
        <v>=7.977*100000000</v>
      </c>
      <c r="V732" s="1">
        <f>7.977*100000000</f>
        <v>797700000</v>
      </c>
      <c r="W732" s="8">
        <f t="shared" si="361"/>
        <v>0.61118965865481745</v>
      </c>
      <c r="X732" s="6" t="s">
        <v>8385</v>
      </c>
      <c r="Y732" s="6" t="str">
        <f t="shared" si="345"/>
        <v>=4.951*100000000</v>
      </c>
      <c r="Z732" s="1">
        <f>4.951*100000000</f>
        <v>495099999.99999994</v>
      </c>
      <c r="AA732" s="8">
        <f t="shared" si="362"/>
        <v>1.2372345232715767</v>
      </c>
      <c r="AB732" s="6" t="s">
        <v>5319</v>
      </c>
      <c r="AC732" s="6" t="str">
        <f t="shared" si="346"/>
        <v>=2.213*100000000</v>
      </c>
      <c r="AD732" s="1">
        <f>2.213*100000000</f>
        <v>221300000</v>
      </c>
      <c r="AE732" s="8">
        <f t="shared" si="363"/>
        <v>-27.531590936338567</v>
      </c>
      <c r="AF732" s="7">
        <f>-834.1*10000</f>
        <v>-8341000</v>
      </c>
      <c r="AG732" s="6" t="str">
        <f t="shared" si="347"/>
        <v>=-8341000</v>
      </c>
      <c r="AH732" s="1">
        <f>-8341000</f>
        <v>-8341000</v>
      </c>
      <c r="AI732" s="8">
        <f t="shared" si="364"/>
        <v>-1.0057963863794301</v>
      </c>
      <c r="AJ732" s="6" t="s">
        <v>8386</v>
      </c>
      <c r="AK732" s="6" t="str">
        <f t="shared" si="348"/>
        <v>=14.39*100000000</v>
      </c>
      <c r="AL732" s="1">
        <f>14.39*100000000</f>
        <v>1439000000</v>
      </c>
      <c r="AM732" s="8">
        <f t="shared" si="365"/>
        <v>0.48779983457402792</v>
      </c>
      <c r="AN732" s="6" t="s">
        <v>8387</v>
      </c>
      <c r="AO732" s="6" t="str">
        <f t="shared" si="349"/>
        <v>=9.672*100000000</v>
      </c>
      <c r="AP732" s="1">
        <f>9.672*100000000</f>
        <v>967200000.00000012</v>
      </c>
      <c r="AQ732" s="8">
        <f t="shared" si="366"/>
        <v>0.27767503302509922</v>
      </c>
      <c r="AR732" s="6" t="s">
        <v>8388</v>
      </c>
      <c r="AS732" s="6" t="str">
        <f t="shared" si="350"/>
        <v>=7.570*100000000</v>
      </c>
      <c r="AT732" s="1">
        <f>7.57*100000000</f>
        <v>757000000</v>
      </c>
      <c r="AU732" s="8">
        <f t="shared" si="367"/>
        <v>0.19778481012658228</v>
      </c>
      <c r="AV732" s="6" t="s">
        <v>8389</v>
      </c>
      <c r="AW732" s="6" t="str">
        <f t="shared" si="351"/>
        <v>=6.320*100000000</v>
      </c>
      <c r="AX732" s="1">
        <f>6.32*100000000</f>
        <v>632000000</v>
      </c>
      <c r="AY732" s="10">
        <f t="shared" si="368"/>
        <v>-0.49480415667466027</v>
      </c>
      <c r="AZ732" s="6" t="s">
        <v>8131</v>
      </c>
      <c r="BA732" s="6" t="str">
        <f t="shared" si="352"/>
        <v>=12.51*100000000</v>
      </c>
      <c r="BB732" s="1">
        <f>12.51*100000000</f>
        <v>1251000000</v>
      </c>
      <c r="BC732" s="8">
        <f t="shared" si="369"/>
        <v>0.53177421329741648</v>
      </c>
      <c r="BD732" s="6" t="s">
        <v>366</v>
      </c>
      <c r="BE732" s="6" t="str">
        <f t="shared" si="353"/>
        <v>=8.167*100000000</v>
      </c>
      <c r="BF732" s="1">
        <f>8.167*100000000</f>
        <v>816700000</v>
      </c>
      <c r="BG732" s="8">
        <f t="shared" si="370"/>
        <v>0.97556845670053194</v>
      </c>
      <c r="BH732" s="6" t="s">
        <v>8390</v>
      </c>
      <c r="BI732" s="6" t="str">
        <f t="shared" si="354"/>
        <v>=4.134*100000000</v>
      </c>
      <c r="BJ732" s="1">
        <f>4.134*100000000</f>
        <v>413400000.00000006</v>
      </c>
      <c r="BK732" s="6" t="s">
        <v>8391</v>
      </c>
      <c r="BL732" s="1" t="str">
        <f t="shared" si="356"/>
        <v>=2.307*100000000</v>
      </c>
      <c r="BM732" s="16">
        <f t="shared" si="371"/>
        <v>0.79193758127438252</v>
      </c>
      <c r="BN732" s="1">
        <f>2.307*100000000</f>
        <v>230700000</v>
      </c>
    </row>
    <row r="733" spans="1:66">
      <c r="A733" s="19"/>
      <c r="B733">
        <v>600611</v>
      </c>
      <c r="C733" t="s">
        <v>68</v>
      </c>
      <c r="D733" s="6" t="s">
        <v>8392</v>
      </c>
      <c r="E733" s="7" t="str">
        <f t="shared" si="355"/>
        <v>=3.778*100000000</v>
      </c>
      <c r="F733" s="1">
        <f>3.778*100000000</f>
        <v>377800000</v>
      </c>
      <c r="G733" s="8">
        <f t="shared" si="357"/>
        <v>0.28897987035141592</v>
      </c>
      <c r="H733" s="6" t="s">
        <v>2927</v>
      </c>
      <c r="I733" s="6" t="str">
        <f t="shared" si="341"/>
        <v>=2.931*100000000</v>
      </c>
      <c r="J733" s="1">
        <f>2.931*100000000</f>
        <v>293100000</v>
      </c>
      <c r="K733" s="10">
        <f t="shared" si="358"/>
        <v>0.10980689132904203</v>
      </c>
      <c r="L733" s="6" t="s">
        <v>8393</v>
      </c>
      <c r="M733" s="6" t="str">
        <f t="shared" si="342"/>
        <v>=2.641*100000000</v>
      </c>
      <c r="N733" s="1">
        <f>2.641*100000000</f>
        <v>264100000</v>
      </c>
      <c r="O733" s="8">
        <f t="shared" si="359"/>
        <v>2.5703663647424633</v>
      </c>
      <c r="P733" s="7" t="s">
        <v>8394</v>
      </c>
      <c r="Q733" s="6" t="str">
        <f t="shared" si="343"/>
        <v>=7397*10000</v>
      </c>
      <c r="R733" s="11">
        <f>7397*10000</f>
        <v>73970000</v>
      </c>
      <c r="S733" s="8">
        <f t="shared" si="360"/>
        <v>-0.87031907433380085</v>
      </c>
      <c r="T733" s="6" t="s">
        <v>8395</v>
      </c>
      <c r="U733" s="6" t="str">
        <f t="shared" si="344"/>
        <v>=5.704*100000000</v>
      </c>
      <c r="V733" s="1">
        <f>5.704*100000000</f>
        <v>570400000</v>
      </c>
      <c r="W733" s="8">
        <f t="shared" si="361"/>
        <v>0.61723844627161895</v>
      </c>
      <c r="X733" s="6" t="s">
        <v>3489</v>
      </c>
      <c r="Y733" s="6" t="str">
        <f t="shared" si="345"/>
        <v>=3.527*100000000</v>
      </c>
      <c r="Z733" s="1">
        <f>3.527*100000000</f>
        <v>352700000</v>
      </c>
      <c r="AA733" s="8">
        <f t="shared" si="362"/>
        <v>1.4527121001390821</v>
      </c>
      <c r="AB733" s="6" t="s">
        <v>8396</v>
      </c>
      <c r="AC733" s="6" t="str">
        <f t="shared" si="346"/>
        <v>=1.438*100000000</v>
      </c>
      <c r="AD733" s="1">
        <f>1.438*100000000</f>
        <v>143800000</v>
      </c>
      <c r="AE733" s="8">
        <f t="shared" si="363"/>
        <v>-9.8985148514851478</v>
      </c>
      <c r="AF733" s="7">
        <f>-1616*10000</f>
        <v>-16160000</v>
      </c>
      <c r="AG733" s="6" t="str">
        <f t="shared" si="347"/>
        <v>=-16160000</v>
      </c>
      <c r="AH733" s="1">
        <f>-16160000</f>
        <v>-16160000</v>
      </c>
      <c r="AI733" s="8">
        <f t="shared" si="364"/>
        <v>-1.0156589147286821</v>
      </c>
      <c r="AJ733" s="6" t="s">
        <v>456</v>
      </c>
      <c r="AK733" s="6" t="str">
        <f t="shared" si="348"/>
        <v>=10.32*100000000</v>
      </c>
      <c r="AL733" s="1">
        <f>10.32*100000000</f>
        <v>1032000000</v>
      </c>
      <c r="AM733" s="8">
        <f t="shared" si="365"/>
        <v>0.38097149739060621</v>
      </c>
      <c r="AN733" s="6" t="s">
        <v>8397</v>
      </c>
      <c r="AO733" s="6" t="str">
        <f t="shared" si="349"/>
        <v>=7.473*100000000</v>
      </c>
      <c r="AP733" s="1">
        <f>7.473*100000000</f>
        <v>747300000</v>
      </c>
      <c r="AQ733" s="8">
        <f t="shared" si="366"/>
        <v>0.27699931647300069</v>
      </c>
      <c r="AR733" s="6" t="s">
        <v>8398</v>
      </c>
      <c r="AS733" s="6" t="str">
        <f t="shared" si="350"/>
        <v>=5.852*100000000</v>
      </c>
      <c r="AT733" s="1">
        <f>5.852*100000000</f>
        <v>585200000</v>
      </c>
      <c r="AU733" s="8">
        <f t="shared" si="367"/>
        <v>0.22709163346613545</v>
      </c>
      <c r="AV733" s="6" t="s">
        <v>2798</v>
      </c>
      <c r="AW733" s="6" t="str">
        <f t="shared" si="351"/>
        <v>=4.769*100000000</v>
      </c>
      <c r="AX733" s="1">
        <f>4.769*100000000</f>
        <v>476900000</v>
      </c>
      <c r="AY733" s="10">
        <f t="shared" si="368"/>
        <v>-0.49201107797187899</v>
      </c>
      <c r="AZ733" s="6" t="s">
        <v>8399</v>
      </c>
      <c r="BA733" s="6" t="str">
        <f t="shared" si="352"/>
        <v>=9.388*100000000</v>
      </c>
      <c r="BB733" s="1">
        <f>9.388*100000000</f>
        <v>938800000</v>
      </c>
      <c r="BC733" s="8">
        <f t="shared" si="369"/>
        <v>0.52650406504065039</v>
      </c>
      <c r="BD733" s="6" t="s">
        <v>8400</v>
      </c>
      <c r="BE733" s="6" t="str">
        <f t="shared" si="353"/>
        <v>=6.150*100000000</v>
      </c>
      <c r="BF733" s="1">
        <f>6.15*100000000</f>
        <v>615000000</v>
      </c>
      <c r="BG733" s="8">
        <f t="shared" si="370"/>
        <v>1.0337301587301588</v>
      </c>
      <c r="BH733" s="6" t="s">
        <v>8401</v>
      </c>
      <c r="BI733" s="6" t="str">
        <f t="shared" si="354"/>
        <v>=3.024*100000000</v>
      </c>
      <c r="BJ733" s="1">
        <f>3.024*100000000</f>
        <v>302400000</v>
      </c>
      <c r="BK733" s="6" t="s">
        <v>1562</v>
      </c>
      <c r="BL733" s="1" t="str">
        <f t="shared" si="356"/>
        <v>=1.667*100000000</v>
      </c>
      <c r="BM733" s="16">
        <f t="shared" si="371"/>
        <v>0.81403719256148765</v>
      </c>
      <c r="BN733" s="1">
        <f>1.667*100000000</f>
        <v>166700000</v>
      </c>
    </row>
    <row r="734" spans="1:66">
      <c r="A734" s="17">
        <v>185</v>
      </c>
      <c r="B734">
        <v>600616</v>
      </c>
      <c r="C734" t="s">
        <v>31</v>
      </c>
      <c r="D734" s="6" t="s">
        <v>616</v>
      </c>
      <c r="E734" s="7" t="str">
        <f t="shared" si="355"/>
        <v>=6.494*100000000</v>
      </c>
      <c r="F734" s="1">
        <f>6.494*100000000</f>
        <v>649400000</v>
      </c>
      <c r="G734" s="8">
        <f t="shared" si="357"/>
        <v>0.5689780140130466</v>
      </c>
      <c r="H734" s="6" t="s">
        <v>8402</v>
      </c>
      <c r="I734" s="6" t="str">
        <f t="shared" si="341"/>
        <v>=4.139*100000000</v>
      </c>
      <c r="J734" s="1">
        <f>4.139*100000000</f>
        <v>413900000</v>
      </c>
      <c r="K734" s="10">
        <f t="shared" si="358"/>
        <v>0.6405073325406262</v>
      </c>
      <c r="L734" s="6" t="s">
        <v>8403</v>
      </c>
      <c r="M734" s="6" t="str">
        <f t="shared" si="342"/>
        <v>=2.523*100000000</v>
      </c>
      <c r="N734" s="1">
        <f>2.523*100000000</f>
        <v>252300000</v>
      </c>
      <c r="O734" s="8">
        <f t="shared" si="359"/>
        <v>0.58979206049149335</v>
      </c>
      <c r="P734" s="6" t="s">
        <v>1449</v>
      </c>
      <c r="Q734" s="6" t="str">
        <f t="shared" si="343"/>
        <v>=1.587*100000000</v>
      </c>
      <c r="R734" s="11">
        <f>1.587*100000000</f>
        <v>158700000</v>
      </c>
      <c r="S734" s="8">
        <f t="shared" si="360"/>
        <v>-0.73893732521796351</v>
      </c>
      <c r="T734" s="6" t="s">
        <v>8404</v>
      </c>
      <c r="U734" s="6" t="str">
        <f t="shared" si="344"/>
        <v>=6.079*100000000</v>
      </c>
      <c r="V734" s="1">
        <f>6.079*100000000</f>
        <v>607900000</v>
      </c>
      <c r="W734" s="8">
        <f t="shared" si="361"/>
        <v>0.4826829268292685</v>
      </c>
      <c r="X734" s="6" t="s">
        <v>4236</v>
      </c>
      <c r="Y734" s="6" t="str">
        <f t="shared" si="345"/>
        <v>=4.100*100000000</v>
      </c>
      <c r="Z734" s="1">
        <f>4.1*100000000</f>
        <v>409999999.99999994</v>
      </c>
      <c r="AA734" s="8">
        <f t="shared" si="362"/>
        <v>0.66734444896299283</v>
      </c>
      <c r="AB734" s="6" t="s">
        <v>4297</v>
      </c>
      <c r="AC734" s="6" t="str">
        <f t="shared" si="346"/>
        <v>=2.459*100000000</v>
      </c>
      <c r="AD734" s="1">
        <f>2.459*100000000</f>
        <v>245900000</v>
      </c>
      <c r="AE734" s="8">
        <f t="shared" si="363"/>
        <v>0.6784982935153584</v>
      </c>
      <c r="AF734" s="6" t="s">
        <v>6511</v>
      </c>
      <c r="AG734" s="6" t="str">
        <f t="shared" si="347"/>
        <v>=1.465*100000000</v>
      </c>
      <c r="AH734" s="1">
        <f>1.465*100000000</f>
        <v>146500000</v>
      </c>
      <c r="AI734" s="8">
        <f t="shared" si="364"/>
        <v>-0.84482575998305265</v>
      </c>
      <c r="AJ734" s="6" t="s">
        <v>8405</v>
      </c>
      <c r="AK734" s="6" t="str">
        <f t="shared" si="348"/>
        <v>=9.441*100000000</v>
      </c>
      <c r="AL734" s="1">
        <f>9.441*100000000</f>
        <v>944100000.00000012</v>
      </c>
      <c r="AM734" s="8">
        <f t="shared" si="365"/>
        <v>0.65486415425065758</v>
      </c>
      <c r="AN734" s="6" t="s">
        <v>1361</v>
      </c>
      <c r="AO734" s="6" t="str">
        <f t="shared" si="349"/>
        <v>=5.705*100000000</v>
      </c>
      <c r="AP734" s="1">
        <f>5.705*100000000</f>
        <v>570500000</v>
      </c>
      <c r="AQ734" s="8">
        <f t="shared" si="366"/>
        <v>0.63420223431681466</v>
      </c>
      <c r="AR734" s="6" t="s">
        <v>8406</v>
      </c>
      <c r="AS734" s="6" t="str">
        <f t="shared" si="350"/>
        <v>=3.491*100000000</v>
      </c>
      <c r="AT734" s="1">
        <f>3.491*100000000</f>
        <v>349100000</v>
      </c>
      <c r="AU734" s="8">
        <f t="shared" si="367"/>
        <v>0.53788546255506609</v>
      </c>
      <c r="AV734" s="6" t="s">
        <v>8407</v>
      </c>
      <c r="AW734" s="6" t="str">
        <f t="shared" si="351"/>
        <v>=2.270*100000000</v>
      </c>
      <c r="AX734" s="1">
        <f>2.27*100000000</f>
        <v>227000000</v>
      </c>
      <c r="AY734" s="10">
        <f t="shared" si="368"/>
        <v>-0.74735670562047862</v>
      </c>
      <c r="AZ734" s="6" t="s">
        <v>8408</v>
      </c>
      <c r="BA734" s="6" t="str">
        <f t="shared" si="352"/>
        <v>=8.985*100000000</v>
      </c>
      <c r="BB734" s="1">
        <f>8.985*100000000</f>
        <v>898500000</v>
      </c>
      <c r="BC734" s="8">
        <f t="shared" si="369"/>
        <v>0.54620547237996897</v>
      </c>
      <c r="BD734" s="6" t="s">
        <v>5127</v>
      </c>
      <c r="BE734" s="6" t="str">
        <f t="shared" si="353"/>
        <v>=5.811*100000000</v>
      </c>
      <c r="BF734" s="1">
        <f>5.811*100000000</f>
        <v>581100000</v>
      </c>
      <c r="BG734" s="8">
        <f t="shared" si="370"/>
        <v>0.46299093655589124</v>
      </c>
      <c r="BH734" s="6" t="s">
        <v>8409</v>
      </c>
      <c r="BI734" s="6" t="str">
        <f t="shared" si="354"/>
        <v>=3.972*100000000</v>
      </c>
      <c r="BJ734" s="1">
        <f>3.972*100000000</f>
        <v>397200000</v>
      </c>
      <c r="BK734" s="6" t="s">
        <v>8410</v>
      </c>
      <c r="BL734" s="1" t="str">
        <f t="shared" si="356"/>
        <v>=2.661*100000000</v>
      </c>
      <c r="BM734" s="16">
        <f t="shared" si="371"/>
        <v>0.49267192784667418</v>
      </c>
      <c r="BN734" s="1">
        <f>2.661*100000000</f>
        <v>266100000</v>
      </c>
    </row>
    <row r="735" spans="1:66">
      <c r="A735" s="18"/>
      <c r="B735">
        <v>600616</v>
      </c>
      <c r="C735" t="s">
        <v>48</v>
      </c>
      <c r="D735" s="7">
        <f>-1814*10000</f>
        <v>-18140000</v>
      </c>
      <c r="E735" s="7" t="str">
        <f t="shared" si="355"/>
        <v>=-18140000</v>
      </c>
      <c r="F735" s="1">
        <f>-18140000</f>
        <v>-18140000</v>
      </c>
      <c r="G735" s="8">
        <f t="shared" si="357"/>
        <v>-0.36149243224216826</v>
      </c>
      <c r="H735" s="7">
        <f>-2841*10000</f>
        <v>-28410000</v>
      </c>
      <c r="I735" s="6" t="str">
        <f t="shared" si="341"/>
        <v>=-28410000</v>
      </c>
      <c r="J735" s="1">
        <f>-28410000</f>
        <v>-28410000</v>
      </c>
      <c r="K735" s="10">
        <f t="shared" si="358"/>
        <v>-9.4068877551020405E-2</v>
      </c>
      <c r="L735" s="7">
        <f>-3136*10000</f>
        <v>-31360000</v>
      </c>
      <c r="M735" s="6" t="str">
        <f t="shared" si="342"/>
        <v>=-31360000</v>
      </c>
      <c r="N735" s="1">
        <f>-31360000</f>
        <v>-31360000</v>
      </c>
      <c r="O735" s="8">
        <f t="shared" si="359"/>
        <v>-8.8068210107045051</v>
      </c>
      <c r="P735" s="7" t="s">
        <v>8411</v>
      </c>
      <c r="Q735" s="6" t="str">
        <f t="shared" si="343"/>
        <v>=401.7*10000</v>
      </c>
      <c r="R735" s="11">
        <f>401.7*10000</f>
        <v>4017000</v>
      </c>
      <c r="S735" s="8">
        <f t="shared" si="360"/>
        <v>-0.50553914327917282</v>
      </c>
      <c r="T735" s="7" t="s">
        <v>8412</v>
      </c>
      <c r="U735" s="6" t="str">
        <f t="shared" si="344"/>
        <v>=812.4*10000</v>
      </c>
      <c r="V735" s="1">
        <f>812.4*10000</f>
        <v>8124000</v>
      </c>
      <c r="W735" s="8">
        <f t="shared" si="361"/>
        <v>-1.5587345254470426</v>
      </c>
      <c r="X735" s="7">
        <f>-1454*10000</f>
        <v>-14540000</v>
      </c>
      <c r="Y735" s="6" t="str">
        <f t="shared" si="345"/>
        <v>=-14540000</v>
      </c>
      <c r="Z735" s="1">
        <f>-14540000</f>
        <v>-14540000</v>
      </c>
      <c r="AA735" s="8">
        <f t="shared" si="362"/>
        <v>-0.2310946589106293</v>
      </c>
      <c r="AB735" s="7">
        <f>-1891*10000</f>
        <v>-18910000</v>
      </c>
      <c r="AC735" s="6" t="str">
        <f t="shared" si="346"/>
        <v>=-18910000</v>
      </c>
      <c r="AD735" s="1">
        <f>-18910000</f>
        <v>-18910000</v>
      </c>
      <c r="AE735" s="8">
        <f t="shared" si="363"/>
        <v>8.6875</v>
      </c>
      <c r="AF735" s="7">
        <f>-195.2*10000</f>
        <v>-1952000</v>
      </c>
      <c r="AG735" s="6" t="str">
        <f t="shared" si="347"/>
        <v>=-1952000</v>
      </c>
      <c r="AH735" s="1">
        <f>-1952000</f>
        <v>-1952000</v>
      </c>
      <c r="AI735" s="8">
        <f t="shared" si="364"/>
        <v>-1.0456928838951312</v>
      </c>
      <c r="AJ735" s="7" t="s">
        <v>8413</v>
      </c>
      <c r="AK735" s="6" t="str">
        <f t="shared" si="348"/>
        <v>=4272*10000</v>
      </c>
      <c r="AL735" s="1">
        <f>4272*10000</f>
        <v>42720000</v>
      </c>
      <c r="AM735" s="8">
        <f t="shared" si="365"/>
        <v>0.76310359059017752</v>
      </c>
      <c r="AN735" s="7" t="s">
        <v>8414</v>
      </c>
      <c r="AO735" s="6" t="str">
        <f t="shared" si="349"/>
        <v>=2423*10000</v>
      </c>
      <c r="AP735" s="1">
        <f>2423*10000</f>
        <v>24230000</v>
      </c>
      <c r="AQ735" s="8">
        <f t="shared" si="366"/>
        <v>9.7373188405797104E-2</v>
      </c>
      <c r="AR735" s="7" t="s">
        <v>8415</v>
      </c>
      <c r="AS735" s="6" t="str">
        <f t="shared" si="350"/>
        <v>=2208*10000</v>
      </c>
      <c r="AT735" s="1">
        <f>2208*10000</f>
        <v>22080000</v>
      </c>
      <c r="AU735" s="8">
        <f t="shared" si="367"/>
        <v>-0.58142180094786733</v>
      </c>
      <c r="AV735" s="7" t="s">
        <v>8416</v>
      </c>
      <c r="AW735" s="6" t="str">
        <f t="shared" si="351"/>
        <v>=5275*10000</v>
      </c>
      <c r="AX735" s="1">
        <f>5275*10000</f>
        <v>52750000</v>
      </c>
      <c r="AY735" s="10">
        <f t="shared" si="368"/>
        <v>-1.9377777777777778</v>
      </c>
      <c r="AZ735" s="7">
        <f>-5625*10000</f>
        <v>-56250000</v>
      </c>
      <c r="BA735" s="6" t="str">
        <f t="shared" si="352"/>
        <v>=-56250000</v>
      </c>
      <c r="BB735" s="1">
        <f>-56250000</f>
        <v>-56250000</v>
      </c>
      <c r="BC735" s="8">
        <f t="shared" si="369"/>
        <v>-2.5398302764850809</v>
      </c>
      <c r="BD735" s="7" t="s">
        <v>8417</v>
      </c>
      <c r="BE735" s="6" t="str">
        <f t="shared" si="353"/>
        <v>=3653*10000</v>
      </c>
      <c r="BF735" s="1">
        <f>3653*10000</f>
        <v>36530000</v>
      </c>
      <c r="BG735" s="8">
        <f t="shared" si="370"/>
        <v>9.3948604586902452E-3</v>
      </c>
      <c r="BH735" s="7" t="s">
        <v>8418</v>
      </c>
      <c r="BI735" s="6" t="str">
        <f t="shared" si="354"/>
        <v>=3619*10000</v>
      </c>
      <c r="BJ735" s="1">
        <f>3619*10000</f>
        <v>36190000</v>
      </c>
      <c r="BK735" s="7" t="s">
        <v>8419</v>
      </c>
      <c r="BL735" s="1" t="str">
        <f t="shared" si="356"/>
        <v>=6192*10000</v>
      </c>
      <c r="BM735" s="16">
        <f t="shared" si="371"/>
        <v>-0.41553617571059431</v>
      </c>
      <c r="BN735" s="1">
        <f>6192*10000</f>
        <v>61920000</v>
      </c>
    </row>
    <row r="736" spans="1:66">
      <c r="A736" s="18"/>
      <c r="B736">
        <v>600616</v>
      </c>
      <c r="C736" t="s">
        <v>58</v>
      </c>
      <c r="D736" s="7">
        <f>-1874*10000</f>
        <v>-18740000</v>
      </c>
      <c r="E736" s="7" t="str">
        <f t="shared" si="355"/>
        <v>=-18740000</v>
      </c>
      <c r="F736" s="1">
        <f>-18740000</f>
        <v>-18740000</v>
      </c>
      <c r="G736" s="8">
        <f t="shared" si="357"/>
        <v>-0.35446090251464002</v>
      </c>
      <c r="H736" s="7">
        <f>-2903*10000</f>
        <v>-29030000</v>
      </c>
      <c r="I736" s="6" t="str">
        <f t="shared" si="341"/>
        <v>=-29030000</v>
      </c>
      <c r="J736" s="1">
        <f>-29030000</f>
        <v>-29030000</v>
      </c>
      <c r="K736" s="10">
        <f t="shared" si="358"/>
        <v>-9.3662191695285668E-2</v>
      </c>
      <c r="L736" s="7">
        <f>-3203*10000</f>
        <v>-32030000</v>
      </c>
      <c r="M736" s="6" t="str">
        <f t="shared" si="342"/>
        <v>=-32030000</v>
      </c>
      <c r="N736" s="1">
        <f>-32030000</f>
        <v>-32030000</v>
      </c>
      <c r="O736" s="8">
        <f t="shared" si="359"/>
        <v>-9.5005307855626331</v>
      </c>
      <c r="P736" s="7" t="s">
        <v>8420</v>
      </c>
      <c r="Q736" s="6" t="str">
        <f t="shared" si="343"/>
        <v>=376.8*10000</v>
      </c>
      <c r="R736" s="11">
        <f>376.8*10000</f>
        <v>3768000</v>
      </c>
      <c r="S736" s="8">
        <f t="shared" si="360"/>
        <v>-0.8025157232704403</v>
      </c>
      <c r="T736" s="7" t="s">
        <v>8421</v>
      </c>
      <c r="U736" s="6" t="str">
        <f t="shared" si="344"/>
        <v>=1908*10000</v>
      </c>
      <c r="V736" s="1">
        <f>1908*10000</f>
        <v>19080000</v>
      </c>
      <c r="W736" s="8">
        <f t="shared" si="361"/>
        <v>5.1055999999999999</v>
      </c>
      <c r="X736" s="7" t="s">
        <v>8422</v>
      </c>
      <c r="Y736" s="6" t="str">
        <f t="shared" si="345"/>
        <v>=312.5*10000</v>
      </c>
      <c r="Z736" s="1">
        <f>312.5*10000</f>
        <v>3125000</v>
      </c>
      <c r="AA736" s="8">
        <f t="shared" si="362"/>
        <v>-1.159683188553909</v>
      </c>
      <c r="AB736" s="7">
        <f>-1957*10000</f>
        <v>-19570000</v>
      </c>
      <c r="AC736" s="6" t="str">
        <f t="shared" si="346"/>
        <v>=-19570000</v>
      </c>
      <c r="AD736" s="1">
        <f>-19570000</f>
        <v>-19570000</v>
      </c>
      <c r="AE736" s="8">
        <f t="shared" si="363"/>
        <v>6.3543780533633969</v>
      </c>
      <c r="AF736" s="7">
        <f>-266.1*10000</f>
        <v>-2661000</v>
      </c>
      <c r="AG736" s="6" t="str">
        <f t="shared" si="347"/>
        <v>=-2661000</v>
      </c>
      <c r="AH736" s="1">
        <f>-2661000</f>
        <v>-2661000</v>
      </c>
      <c r="AI736" s="8">
        <f t="shared" si="364"/>
        <v>-1.0634931997136721</v>
      </c>
      <c r="AJ736" s="7" t="s">
        <v>8423</v>
      </c>
      <c r="AK736" s="6" t="str">
        <f t="shared" si="348"/>
        <v>=4191*10000</v>
      </c>
      <c r="AL736" s="1">
        <f>4191*10000</f>
        <v>41910000</v>
      </c>
      <c r="AM736" s="8">
        <f t="shared" si="365"/>
        <v>0.73972602739726023</v>
      </c>
      <c r="AN736" s="7" t="s">
        <v>2684</v>
      </c>
      <c r="AO736" s="6" t="str">
        <f t="shared" si="349"/>
        <v>=2409*10000</v>
      </c>
      <c r="AP736" s="1">
        <f>2409*10000</f>
        <v>24090000</v>
      </c>
      <c r="AQ736" s="8">
        <f t="shared" si="366"/>
        <v>0.1010054844606947</v>
      </c>
      <c r="AR736" s="7" t="s">
        <v>8424</v>
      </c>
      <c r="AS736" s="6" t="str">
        <f t="shared" si="350"/>
        <v>=2188*10000</v>
      </c>
      <c r="AT736" s="1">
        <f>2188*10000</f>
        <v>21880000</v>
      </c>
      <c r="AU736" s="8">
        <f t="shared" si="367"/>
        <v>-0.58481973434535106</v>
      </c>
      <c r="AV736" s="7" t="s">
        <v>8425</v>
      </c>
      <c r="AW736" s="6" t="str">
        <f t="shared" si="351"/>
        <v>=5270*10000</v>
      </c>
      <c r="AX736" s="1">
        <f>5270*10000</f>
        <v>52700000</v>
      </c>
      <c r="AY736" s="10">
        <f t="shared" si="368"/>
        <v>-1.9325783047248275</v>
      </c>
      <c r="AZ736" s="7">
        <f>-5651*10000</f>
        <v>-56510000</v>
      </c>
      <c r="BA736" s="6" t="str">
        <f t="shared" si="352"/>
        <v>=-56510000</v>
      </c>
      <c r="BB736" s="1">
        <f>-56510000</f>
        <v>-56510000</v>
      </c>
      <c r="BC736" s="8">
        <f t="shared" si="369"/>
        <v>-2.57629009762901</v>
      </c>
      <c r="BD736" s="7" t="s">
        <v>8426</v>
      </c>
      <c r="BE736" s="6" t="str">
        <f t="shared" si="353"/>
        <v>=3585*10000</v>
      </c>
      <c r="BF736" s="1">
        <f>3585*10000</f>
        <v>35850000</v>
      </c>
      <c r="BG736" s="8">
        <f t="shared" si="370"/>
        <v>-6.6500415627597674E-3</v>
      </c>
      <c r="BH736" s="7" t="s">
        <v>5493</v>
      </c>
      <c r="BI736" s="6" t="str">
        <f t="shared" si="354"/>
        <v>=3609*10000</v>
      </c>
      <c r="BJ736" s="1">
        <f>3609*10000</f>
        <v>36090000</v>
      </c>
      <c r="BK736" s="7" t="s">
        <v>8427</v>
      </c>
      <c r="BL736" s="1" t="str">
        <f t="shared" si="356"/>
        <v>=6189*10000</v>
      </c>
      <c r="BM736" s="16">
        <f t="shared" si="371"/>
        <v>-0.41686863790596218</v>
      </c>
      <c r="BN736" s="1">
        <f>6189*10000</f>
        <v>61890000</v>
      </c>
    </row>
    <row r="737" spans="1:66">
      <c r="A737" s="19"/>
      <c r="B737">
        <v>600616</v>
      </c>
      <c r="C737" t="s">
        <v>68</v>
      </c>
      <c r="D737" s="7">
        <f>-1706*10000</f>
        <v>-17060000</v>
      </c>
      <c r="E737" s="7" t="str">
        <f t="shared" si="355"/>
        <v>=-17060000</v>
      </c>
      <c r="F737" s="1">
        <f>-17060000</f>
        <v>-17060000</v>
      </c>
      <c r="G737" s="8">
        <f t="shared" si="357"/>
        <v>-0.34510556621881</v>
      </c>
      <c r="H737" s="7">
        <f>-2605*10000</f>
        <v>-26050000</v>
      </c>
      <c r="I737" s="6" t="str">
        <f t="shared" si="341"/>
        <v>=-26050000</v>
      </c>
      <c r="J737" s="1">
        <f>-26050000</f>
        <v>-26050000</v>
      </c>
      <c r="K737" s="10">
        <f t="shared" si="358"/>
        <v>2.720820189274448E-2</v>
      </c>
      <c r="L737" s="7">
        <f>-2536*10000</f>
        <v>-25360000</v>
      </c>
      <c r="M737" s="6" t="str">
        <f t="shared" si="342"/>
        <v>=-25360000</v>
      </c>
      <c r="N737" s="1">
        <f>-25360000</f>
        <v>-25360000</v>
      </c>
      <c r="O737" s="8">
        <f t="shared" si="359"/>
        <v>-11.527189705271898</v>
      </c>
      <c r="P737" s="7" t="s">
        <v>8428</v>
      </c>
      <c r="Q737" s="6" t="str">
        <f t="shared" si="343"/>
        <v>=240.9*10000</v>
      </c>
      <c r="R737" s="11">
        <f>240.9*10000</f>
        <v>2409000</v>
      </c>
      <c r="S737" s="8">
        <f t="shared" si="360"/>
        <v>-0.8613126079447323</v>
      </c>
      <c r="T737" s="7" t="s">
        <v>8429</v>
      </c>
      <c r="U737" s="6" t="str">
        <f t="shared" si="344"/>
        <v>=1737*10000</v>
      </c>
      <c r="V737" s="1">
        <f>1737*10000</f>
        <v>17370000</v>
      </c>
      <c r="W737" s="8">
        <f t="shared" si="361"/>
        <v>1.5383603682595353</v>
      </c>
      <c r="X737" s="7" t="s">
        <v>8430</v>
      </c>
      <c r="Y737" s="6" t="str">
        <f t="shared" si="345"/>
        <v>=684.3*10000</v>
      </c>
      <c r="Z737" s="1">
        <f>684.3*10000</f>
        <v>6843000</v>
      </c>
      <c r="AA737" s="8">
        <f t="shared" si="362"/>
        <v>-1.4601882985877606</v>
      </c>
      <c r="AB737" s="7">
        <f>-1487*10000</f>
        <v>-14870000</v>
      </c>
      <c r="AC737" s="6" t="str">
        <f t="shared" si="346"/>
        <v>=-14870000</v>
      </c>
      <c r="AD737" s="1">
        <f>-14870000</f>
        <v>-14870000</v>
      </c>
      <c r="AE737" s="8">
        <f t="shared" si="363"/>
        <v>5.3737676810972994</v>
      </c>
      <c r="AF737" s="7">
        <f>-233.3*10000</f>
        <v>-2333000</v>
      </c>
      <c r="AG737" s="6" t="str">
        <f t="shared" si="347"/>
        <v>=-2333000</v>
      </c>
      <c r="AH737" s="1">
        <f>-2333000</f>
        <v>-2333000</v>
      </c>
      <c r="AI737" s="8">
        <f t="shared" si="364"/>
        <v>-1.0865035224323323</v>
      </c>
      <c r="AJ737" s="7" t="s">
        <v>8431</v>
      </c>
      <c r="AK737" s="6" t="str">
        <f t="shared" si="348"/>
        <v>=2697*10000</v>
      </c>
      <c r="AL737" s="1">
        <f>2697*10000</f>
        <v>26970000</v>
      </c>
      <c r="AM737" s="8">
        <f t="shared" si="365"/>
        <v>0.53587699316628701</v>
      </c>
      <c r="AN737" s="7" t="s">
        <v>8432</v>
      </c>
      <c r="AO737" s="6" t="str">
        <f t="shared" si="349"/>
        <v>=1756*10000</v>
      </c>
      <c r="AP737" s="1">
        <f>1756*10000</f>
        <v>17560000</v>
      </c>
      <c r="AQ737" s="8">
        <f t="shared" si="366"/>
        <v>0.13363460296965785</v>
      </c>
      <c r="AR737" s="7" t="s">
        <v>8433</v>
      </c>
      <c r="AS737" s="6" t="str">
        <f t="shared" si="350"/>
        <v>=1549*10000</v>
      </c>
      <c r="AT737" s="1">
        <f>1549*10000</f>
        <v>15490000</v>
      </c>
      <c r="AU737" s="8">
        <f t="shared" si="367"/>
        <v>-0.60524974515800201</v>
      </c>
      <c r="AV737" s="7" t="s">
        <v>8434</v>
      </c>
      <c r="AW737" s="6" t="str">
        <f t="shared" si="351"/>
        <v>=3924*10000</v>
      </c>
      <c r="AX737" s="1">
        <f>3924*10000</f>
        <v>39240000</v>
      </c>
      <c r="AY737" s="10">
        <f t="shared" si="368"/>
        <v>-1.5416149068322982</v>
      </c>
      <c r="AZ737" s="7">
        <f>-7245*10000</f>
        <v>-72450000</v>
      </c>
      <c r="BA737" s="6" t="str">
        <f t="shared" si="352"/>
        <v>=-72450000</v>
      </c>
      <c r="BB737" s="1">
        <f>-72450000</f>
        <v>-72450000</v>
      </c>
      <c r="BC737" s="8">
        <f t="shared" si="369"/>
        <v>-4.0049771878888425</v>
      </c>
      <c r="BD737" s="7" t="s">
        <v>8435</v>
      </c>
      <c r="BE737" s="6" t="str">
        <f t="shared" si="353"/>
        <v>=2411*10000</v>
      </c>
      <c r="BF737" s="1">
        <f>2411*10000</f>
        <v>24110000</v>
      </c>
      <c r="BG737" s="8">
        <f t="shared" si="370"/>
        <v>-7.589114603296282E-2</v>
      </c>
      <c r="BH737" s="7" t="s">
        <v>8436</v>
      </c>
      <c r="BI737" s="6" t="str">
        <f t="shared" si="354"/>
        <v>=2609*10000</v>
      </c>
      <c r="BJ737" s="1">
        <f>2609*10000</f>
        <v>26090000</v>
      </c>
      <c r="BK737" s="7" t="s">
        <v>8437</v>
      </c>
      <c r="BL737" s="1" t="str">
        <f t="shared" si="356"/>
        <v>=4606*10000</v>
      </c>
      <c r="BM737" s="16">
        <f t="shared" si="371"/>
        <v>-0.43356491532783326</v>
      </c>
      <c r="BN737" s="1">
        <f>4606*10000</f>
        <v>46060000</v>
      </c>
    </row>
    <row r="738" spans="1:66">
      <c r="A738" s="17">
        <v>186</v>
      </c>
      <c r="B738">
        <v>600618</v>
      </c>
      <c r="C738" t="s">
        <v>31</v>
      </c>
      <c r="D738" s="6" t="s">
        <v>882</v>
      </c>
      <c r="E738" s="7" t="str">
        <f t="shared" si="355"/>
        <v>=66.64*100000000</v>
      </c>
      <c r="F738" s="1">
        <f>66.64*100000000</f>
        <v>6664000000</v>
      </c>
      <c r="G738" s="8">
        <f t="shared" si="357"/>
        <v>0.42820402914702099</v>
      </c>
      <c r="H738" s="6" t="s">
        <v>3336</v>
      </c>
      <c r="I738" s="6" t="str">
        <f t="shared" si="341"/>
        <v>=46.66*100000000</v>
      </c>
      <c r="J738" s="1">
        <f>46.66*100000000</f>
        <v>4666000000</v>
      </c>
      <c r="K738" s="10">
        <f t="shared" si="358"/>
        <v>0.5574098798397864</v>
      </c>
      <c r="L738" s="6" t="s">
        <v>8438</v>
      </c>
      <c r="M738" s="6" t="str">
        <f t="shared" si="342"/>
        <v>=29.96*100000000</v>
      </c>
      <c r="N738" s="1">
        <f>29.96*100000000</f>
        <v>2996000000</v>
      </c>
      <c r="O738" s="8">
        <f t="shared" si="359"/>
        <v>0.93665158371040724</v>
      </c>
      <c r="P738" s="6" t="s">
        <v>349</v>
      </c>
      <c r="Q738" s="6" t="str">
        <f t="shared" si="343"/>
        <v>=15.47*100000000</v>
      </c>
      <c r="R738" s="11">
        <f>15.47*100000000</f>
        <v>1547000000</v>
      </c>
      <c r="S738" s="8">
        <f t="shared" si="360"/>
        <v>-0.68357537328697071</v>
      </c>
      <c r="T738" s="6" t="s">
        <v>8249</v>
      </c>
      <c r="U738" s="6" t="str">
        <f t="shared" si="344"/>
        <v>=48.89*100000000</v>
      </c>
      <c r="V738" s="1">
        <f>48.89*100000000</f>
        <v>4889000000</v>
      </c>
      <c r="W738" s="8">
        <f t="shared" si="361"/>
        <v>0.42039511911679256</v>
      </c>
      <c r="X738" s="6" t="s">
        <v>8250</v>
      </c>
      <c r="Y738" s="6" t="str">
        <f t="shared" si="345"/>
        <v>=34.42*100000000</v>
      </c>
      <c r="Z738" s="1">
        <f>34.42*100000000</f>
        <v>3442000000</v>
      </c>
      <c r="AA738" s="8">
        <f t="shared" si="362"/>
        <v>0.60167519776640299</v>
      </c>
      <c r="AB738" s="6" t="s">
        <v>1200</v>
      </c>
      <c r="AC738" s="6" t="str">
        <f t="shared" si="346"/>
        <v>=21.49*100000000</v>
      </c>
      <c r="AD738" s="1">
        <f>21.49*100000000</f>
        <v>2149000000</v>
      </c>
      <c r="AE738" s="8">
        <f t="shared" si="363"/>
        <v>0.8703220191470844</v>
      </c>
      <c r="AF738" s="6" t="s">
        <v>5631</v>
      </c>
      <c r="AG738" s="6" t="str">
        <f t="shared" si="347"/>
        <v>=11.49*100000000</v>
      </c>
      <c r="AH738" s="1">
        <f>11.49*100000000</f>
        <v>1149000000</v>
      </c>
      <c r="AI738" s="8">
        <f t="shared" si="364"/>
        <v>-0.82224628712871284</v>
      </c>
      <c r="AJ738" s="6" t="s">
        <v>8439</v>
      </c>
      <c r="AK738" s="6" t="str">
        <f t="shared" si="348"/>
        <v>=64.64*100000000</v>
      </c>
      <c r="AL738" s="1">
        <f>64.64*100000000</f>
        <v>6464000000</v>
      </c>
      <c r="AM738" s="8">
        <f t="shared" si="365"/>
        <v>0.26176068709740385</v>
      </c>
      <c r="AN738" s="6" t="s">
        <v>8440</v>
      </c>
      <c r="AO738" s="6" t="str">
        <f t="shared" si="349"/>
        <v>=51.23*100000000</v>
      </c>
      <c r="AP738" s="1">
        <f>51.23*100000000</f>
        <v>5123000000</v>
      </c>
      <c r="AQ738" s="8">
        <f t="shared" si="366"/>
        <v>0.83095067905646891</v>
      </c>
      <c r="AR738" s="6" t="s">
        <v>887</v>
      </c>
      <c r="AS738" s="6" t="str">
        <f t="shared" si="350"/>
        <v>=27.98*100000000</v>
      </c>
      <c r="AT738" s="1">
        <f>27.98*100000000</f>
        <v>2798000000</v>
      </c>
      <c r="AU738" s="8">
        <f t="shared" si="367"/>
        <v>0.93098688750862668</v>
      </c>
      <c r="AV738" s="6" t="s">
        <v>1838</v>
      </c>
      <c r="AW738" s="6" t="str">
        <f t="shared" si="351"/>
        <v>=14.49*100000000</v>
      </c>
      <c r="AX738" s="1">
        <f>14.49*100000000</f>
        <v>1449000000</v>
      </c>
      <c r="AY738" s="10">
        <f t="shared" si="368"/>
        <v>-0.79793613164133315</v>
      </c>
      <c r="AZ738" s="6" t="s">
        <v>8441</v>
      </c>
      <c r="BA738" s="6" t="str">
        <f t="shared" si="352"/>
        <v>=71.71*100000000</v>
      </c>
      <c r="BB738" s="1">
        <f>71.71*100000000</f>
        <v>7170999999.999999</v>
      </c>
      <c r="BC738" s="8">
        <f t="shared" si="369"/>
        <v>0.37533563482930554</v>
      </c>
      <c r="BD738" s="6" t="s">
        <v>8442</v>
      </c>
      <c r="BE738" s="6" t="str">
        <f t="shared" si="353"/>
        <v>=52.14*100000000</v>
      </c>
      <c r="BF738" s="1">
        <f>52.14*100000000</f>
        <v>5214000000</v>
      </c>
      <c r="BG738" s="8">
        <f t="shared" si="370"/>
        <v>0.55178571428571432</v>
      </c>
      <c r="BH738" s="6" t="s">
        <v>3340</v>
      </c>
      <c r="BI738" s="6" t="str">
        <f t="shared" si="354"/>
        <v>=33.60*100000000</v>
      </c>
      <c r="BJ738" s="1">
        <f>33.6*100000000</f>
        <v>3360000000</v>
      </c>
      <c r="BK738" s="6" t="s">
        <v>2079</v>
      </c>
      <c r="BL738" s="1" t="str">
        <f t="shared" si="356"/>
        <v>=16.08*100000000</v>
      </c>
      <c r="BM738" s="16">
        <f t="shared" si="371"/>
        <v>1.0895522388059704</v>
      </c>
      <c r="BN738" s="1">
        <f>16.08*100000000</f>
        <v>1607999999.9999998</v>
      </c>
    </row>
    <row r="739" spans="1:66">
      <c r="A739" s="18"/>
      <c r="B739">
        <v>600618</v>
      </c>
      <c r="C739" t="s">
        <v>48</v>
      </c>
      <c r="D739" s="6" t="s">
        <v>8443</v>
      </c>
      <c r="E739" s="7" t="str">
        <f t="shared" si="355"/>
        <v>=20.06*100000000</v>
      </c>
      <c r="F739" s="1">
        <f>20.06*100000000</f>
        <v>2005999999.9999998</v>
      </c>
      <c r="G739" s="8">
        <f t="shared" si="357"/>
        <v>0.55503875968992233</v>
      </c>
      <c r="H739" s="6" t="s">
        <v>8444</v>
      </c>
      <c r="I739" s="6" t="str">
        <f t="shared" si="341"/>
        <v>=12.90*100000000</v>
      </c>
      <c r="J739" s="1">
        <f>12.9*100000000</f>
        <v>1290000000</v>
      </c>
      <c r="K739" s="10">
        <f t="shared" si="358"/>
        <v>0.70544685351665781</v>
      </c>
      <c r="L739" s="6" t="s">
        <v>2445</v>
      </c>
      <c r="M739" s="6" t="str">
        <f t="shared" si="342"/>
        <v>=7.564*100000000</v>
      </c>
      <c r="N739" s="1">
        <f>7.564*100000000</f>
        <v>756400000</v>
      </c>
      <c r="O739" s="8">
        <f t="shared" si="359"/>
        <v>0.92959183673469392</v>
      </c>
      <c r="P739" s="6" t="s">
        <v>8445</v>
      </c>
      <c r="Q739" s="6" t="str">
        <f t="shared" si="343"/>
        <v>=3.920*100000000</v>
      </c>
      <c r="R739" s="11">
        <f>3.92*100000000</f>
        <v>392000000</v>
      </c>
      <c r="S739" s="8">
        <f t="shared" si="360"/>
        <v>-0.412558069833658</v>
      </c>
      <c r="T739" s="6" t="s">
        <v>8446</v>
      </c>
      <c r="U739" s="6" t="str">
        <f t="shared" si="344"/>
        <v>=6.673*100000000</v>
      </c>
      <c r="V739" s="1">
        <f>6.673*100000000</f>
        <v>667300000</v>
      </c>
      <c r="W739" s="8">
        <f t="shared" si="361"/>
        <v>0.78709159078735935</v>
      </c>
      <c r="X739" s="6" t="s">
        <v>2673</v>
      </c>
      <c r="Y739" s="6" t="str">
        <f t="shared" si="345"/>
        <v>=3.734*100000000</v>
      </c>
      <c r="Z739" s="1">
        <f>3.734*100000000</f>
        <v>373400000</v>
      </c>
      <c r="AA739" s="8">
        <f t="shared" si="362"/>
        <v>1.2345900658288449</v>
      </c>
      <c r="AB739" s="6" t="s">
        <v>1525</v>
      </c>
      <c r="AC739" s="6" t="str">
        <f t="shared" si="346"/>
        <v>=1.671*100000000</v>
      </c>
      <c r="AD739" s="1">
        <f>1.671*100000000</f>
        <v>167100000</v>
      </c>
      <c r="AE739" s="8">
        <f t="shared" si="363"/>
        <v>0.64145383104125742</v>
      </c>
      <c r="AF739" s="6" t="s">
        <v>2234</v>
      </c>
      <c r="AG739" s="6" t="str">
        <f t="shared" si="347"/>
        <v>=1.018*100000000</v>
      </c>
      <c r="AH739" s="1">
        <f>1.018*100000000</f>
        <v>101800000</v>
      </c>
      <c r="AI739" s="8">
        <f t="shared" si="364"/>
        <v>-0.880866003510825</v>
      </c>
      <c r="AJ739" s="6" t="s">
        <v>8447</v>
      </c>
      <c r="AK739" s="6" t="str">
        <f t="shared" si="348"/>
        <v>=8.545*100000000</v>
      </c>
      <c r="AL739" s="1">
        <f>8.545*100000000</f>
        <v>854500000</v>
      </c>
      <c r="AM739" s="8">
        <f t="shared" si="365"/>
        <v>0.28091740368760304</v>
      </c>
      <c r="AN739" s="6" t="s">
        <v>8448</v>
      </c>
      <c r="AO739" s="6" t="str">
        <f t="shared" si="349"/>
        <v>=6.671*100000000</v>
      </c>
      <c r="AP739" s="1">
        <f>6.671*100000000</f>
        <v>667100000</v>
      </c>
      <c r="AQ739" s="8">
        <f t="shared" si="366"/>
        <v>0.41065764432226687</v>
      </c>
      <c r="AR739" s="6" t="s">
        <v>8449</v>
      </c>
      <c r="AS739" s="6" t="str">
        <f t="shared" si="350"/>
        <v>=4.729*100000000</v>
      </c>
      <c r="AT739" s="1">
        <f>4.729*100000000</f>
        <v>472900000</v>
      </c>
      <c r="AU739" s="8">
        <f t="shared" si="367"/>
        <v>0.82586872586872584</v>
      </c>
      <c r="AV739" s="6" t="s">
        <v>96</v>
      </c>
      <c r="AW739" s="6" t="str">
        <f t="shared" si="351"/>
        <v>=2.590*100000000</v>
      </c>
      <c r="AX739" s="1">
        <f>2.59*100000000</f>
        <v>259000000</v>
      </c>
      <c r="AY739" s="10">
        <f t="shared" si="368"/>
        <v>-0.7724077328646749</v>
      </c>
      <c r="AZ739" s="6" t="s">
        <v>8450</v>
      </c>
      <c r="BA739" s="6" t="str">
        <f t="shared" si="352"/>
        <v>=11.38*100000000</v>
      </c>
      <c r="BB739" s="1">
        <f>11.38*100000000</f>
        <v>1138000000</v>
      </c>
      <c r="BC739" s="8">
        <f t="shared" si="369"/>
        <v>0.49973642593568796</v>
      </c>
      <c r="BD739" s="6" t="s">
        <v>8451</v>
      </c>
      <c r="BE739" s="6" t="str">
        <f t="shared" si="353"/>
        <v>=7.588*100000000</v>
      </c>
      <c r="BF739" s="1">
        <f>7.588*100000000</f>
        <v>758800000</v>
      </c>
      <c r="BG739" s="8">
        <f t="shared" si="370"/>
        <v>0.6546009594417791</v>
      </c>
      <c r="BH739" s="6" t="s">
        <v>8452</v>
      </c>
      <c r="BI739" s="6" t="str">
        <f t="shared" si="354"/>
        <v>=4.586*100000000</v>
      </c>
      <c r="BJ739" s="1">
        <f>4.586*100000000</f>
        <v>458600000.00000006</v>
      </c>
      <c r="BK739" s="6" t="s">
        <v>3665</v>
      </c>
      <c r="BL739" s="1" t="str">
        <f t="shared" si="356"/>
        <v>=2.086*100000000</v>
      </c>
      <c r="BM739" s="16">
        <f t="shared" si="371"/>
        <v>1.198465963566635</v>
      </c>
      <c r="BN739" s="1">
        <f>2.086*100000000</f>
        <v>208600000</v>
      </c>
    </row>
    <row r="740" spans="1:66">
      <c r="A740" s="18"/>
      <c r="B740">
        <v>600618</v>
      </c>
      <c r="C740" t="s">
        <v>58</v>
      </c>
      <c r="D740" s="6" t="s">
        <v>7103</v>
      </c>
      <c r="E740" s="7" t="str">
        <f t="shared" si="355"/>
        <v>=20.07*100000000</v>
      </c>
      <c r="F740" s="1">
        <f>20.07*100000000</f>
        <v>2007000000</v>
      </c>
      <c r="G740" s="8">
        <f t="shared" si="357"/>
        <v>0.55581395348837215</v>
      </c>
      <c r="H740" s="6" t="s">
        <v>8444</v>
      </c>
      <c r="I740" s="6" t="str">
        <f t="shared" si="341"/>
        <v>=12.90*100000000</v>
      </c>
      <c r="J740" s="1">
        <f>12.9*100000000</f>
        <v>1290000000</v>
      </c>
      <c r="K740" s="10">
        <f t="shared" si="358"/>
        <v>0.70522141440845998</v>
      </c>
      <c r="L740" s="6" t="s">
        <v>7797</v>
      </c>
      <c r="M740" s="6" t="str">
        <f t="shared" si="342"/>
        <v>=7.565*100000000</v>
      </c>
      <c r="N740" s="1">
        <f>7.565*100000000</f>
        <v>756500000</v>
      </c>
      <c r="O740" s="8">
        <f t="shared" si="359"/>
        <v>0.92935475643968379</v>
      </c>
      <c r="P740" s="6" t="s">
        <v>8453</v>
      </c>
      <c r="Q740" s="6" t="str">
        <f t="shared" si="343"/>
        <v>=3.921*100000000</v>
      </c>
      <c r="R740" s="11">
        <f>3.921*100000000</f>
        <v>392100000</v>
      </c>
      <c r="S740" s="8">
        <f t="shared" si="360"/>
        <v>-0.41064181572223057</v>
      </c>
      <c r="T740" s="6" t="s">
        <v>8454</v>
      </c>
      <c r="U740" s="6" t="str">
        <f t="shared" si="344"/>
        <v>=6.653*100000000</v>
      </c>
      <c r="V740" s="1">
        <f>6.653*100000000</f>
        <v>665300000</v>
      </c>
      <c r="W740" s="8">
        <f t="shared" si="361"/>
        <v>0.78078158458244107</v>
      </c>
      <c r="X740" s="6" t="s">
        <v>3743</v>
      </c>
      <c r="Y740" s="6" t="str">
        <f t="shared" si="345"/>
        <v>=3.736*100000000</v>
      </c>
      <c r="Z740" s="1">
        <f>3.736*100000000</f>
        <v>373600000</v>
      </c>
      <c r="AA740" s="8">
        <f t="shared" si="362"/>
        <v>1.2384661473936489</v>
      </c>
      <c r="AB740" s="6" t="s">
        <v>2431</v>
      </c>
      <c r="AC740" s="6" t="str">
        <f t="shared" si="346"/>
        <v>=1.669*100000000</v>
      </c>
      <c r="AD740" s="1">
        <f>1.669*100000000</f>
        <v>166900000</v>
      </c>
      <c r="AE740" s="8">
        <f t="shared" si="363"/>
        <v>0.63788027477919551</v>
      </c>
      <c r="AF740" s="6" t="s">
        <v>2118</v>
      </c>
      <c r="AG740" s="6" t="str">
        <f t="shared" si="347"/>
        <v>=1.019*100000000</v>
      </c>
      <c r="AH740" s="1">
        <f>1.019*100000000</f>
        <v>101899999.99999999</v>
      </c>
      <c r="AI740" s="8">
        <f t="shared" si="364"/>
        <v>-0.88070709435729333</v>
      </c>
      <c r="AJ740" s="6" t="s">
        <v>8455</v>
      </c>
      <c r="AK740" s="6" t="str">
        <f t="shared" si="348"/>
        <v>=8.542*100000000</v>
      </c>
      <c r="AL740" s="1">
        <f>8.542*100000000</f>
        <v>854200000</v>
      </c>
      <c r="AM740" s="8">
        <f t="shared" si="365"/>
        <v>0.28085170190433351</v>
      </c>
      <c r="AN740" s="6" t="s">
        <v>8456</v>
      </c>
      <c r="AO740" s="6" t="str">
        <f t="shared" si="349"/>
        <v>=6.669*100000000</v>
      </c>
      <c r="AP740" s="1">
        <f>6.669*100000000</f>
        <v>666900000</v>
      </c>
      <c r="AQ740" s="8">
        <f t="shared" si="366"/>
        <v>0.4108313941188913</v>
      </c>
      <c r="AR740" s="6" t="s">
        <v>8457</v>
      </c>
      <c r="AS740" s="6" t="str">
        <f t="shared" si="350"/>
        <v>=4.727*100000000</v>
      </c>
      <c r="AT740" s="1">
        <f>4.727*100000000</f>
        <v>472700000.00000006</v>
      </c>
      <c r="AU740" s="8">
        <f t="shared" si="367"/>
        <v>0.82650695517774364</v>
      </c>
      <c r="AV740" s="6" t="s">
        <v>1667</v>
      </c>
      <c r="AW740" s="6" t="str">
        <f t="shared" si="351"/>
        <v>=2.588*100000000</v>
      </c>
      <c r="AX740" s="1">
        <f>2.588*100000000</f>
        <v>258800000</v>
      </c>
      <c r="AY740" s="10">
        <f t="shared" si="368"/>
        <v>-0.77278314310798946</v>
      </c>
      <c r="AZ740" s="6" t="s">
        <v>8295</v>
      </c>
      <c r="BA740" s="6" t="str">
        <f t="shared" si="352"/>
        <v>=11.39*100000000</v>
      </c>
      <c r="BB740" s="1">
        <f>11.39*100000000</f>
        <v>1139000000</v>
      </c>
      <c r="BC740" s="8">
        <f t="shared" si="369"/>
        <v>0.49967083607636603</v>
      </c>
      <c r="BD740" s="6" t="s">
        <v>8458</v>
      </c>
      <c r="BE740" s="6" t="str">
        <f t="shared" si="353"/>
        <v>=7.595*100000000</v>
      </c>
      <c r="BF740" s="1">
        <f>7.595*100000000</f>
        <v>759500000</v>
      </c>
      <c r="BG740" s="8">
        <f t="shared" si="370"/>
        <v>0.6532433609055287</v>
      </c>
      <c r="BH740" s="6" t="s">
        <v>8459</v>
      </c>
      <c r="BI740" s="6" t="str">
        <f t="shared" si="354"/>
        <v>=4.594*100000000</v>
      </c>
      <c r="BJ740" s="1">
        <f>4.594*100000000</f>
        <v>459400000.00000006</v>
      </c>
      <c r="BK740" s="6" t="s">
        <v>8460</v>
      </c>
      <c r="BL740" s="1" t="str">
        <f t="shared" si="356"/>
        <v>=2.083*100000000</v>
      </c>
      <c r="BM740" s="16">
        <f t="shared" si="371"/>
        <v>1.2054728756601056</v>
      </c>
      <c r="BN740" s="1">
        <f>2.083*100000000</f>
        <v>208300000.00000003</v>
      </c>
    </row>
    <row r="741" spans="1:66">
      <c r="A741" s="19"/>
      <c r="B741">
        <v>600618</v>
      </c>
      <c r="C741" t="s">
        <v>68</v>
      </c>
      <c r="D741" s="6" t="s">
        <v>8461</v>
      </c>
      <c r="E741" s="7" t="str">
        <f t="shared" si="355"/>
        <v>=17.56*100000000</v>
      </c>
      <c r="F741" s="1">
        <f>17.56*100000000</f>
        <v>1755999999.9999998</v>
      </c>
      <c r="G741" s="8">
        <f t="shared" si="357"/>
        <v>0.53900087642418915</v>
      </c>
      <c r="H741" s="6" t="s">
        <v>2444</v>
      </c>
      <c r="I741" s="6" t="str">
        <f t="shared" si="341"/>
        <v>=11.41*100000000</v>
      </c>
      <c r="J741" s="1">
        <f>11.41*100000000</f>
        <v>1141000000</v>
      </c>
      <c r="K741" s="10">
        <f t="shared" si="358"/>
        <v>0.71656386339702116</v>
      </c>
      <c r="L741" s="6" t="s">
        <v>8462</v>
      </c>
      <c r="M741" s="6" t="str">
        <f t="shared" si="342"/>
        <v>=6.647*100000000</v>
      </c>
      <c r="N741" s="1">
        <f>6.647*100000000</f>
        <v>664700000</v>
      </c>
      <c r="O741" s="8">
        <f t="shared" si="359"/>
        <v>0.92610837438423643</v>
      </c>
      <c r="P741" s="6" t="s">
        <v>4238</v>
      </c>
      <c r="Q741" s="6" t="str">
        <f t="shared" si="343"/>
        <v>=3.451*100000000</v>
      </c>
      <c r="R741" s="11">
        <f>3.451*100000000</f>
        <v>345100000</v>
      </c>
      <c r="S741" s="8">
        <f t="shared" si="360"/>
        <v>-0.42617226471566344</v>
      </c>
      <c r="T741" s="6" t="s">
        <v>8463</v>
      </c>
      <c r="U741" s="6" t="str">
        <f t="shared" si="344"/>
        <v>=6.014*100000000</v>
      </c>
      <c r="V741" s="1">
        <f>6.014*100000000</f>
        <v>601400000</v>
      </c>
      <c r="W741" s="8">
        <f t="shared" si="361"/>
        <v>0.78192592592592591</v>
      </c>
      <c r="X741" s="6" t="s">
        <v>467</v>
      </c>
      <c r="Y741" s="6" t="str">
        <f t="shared" si="345"/>
        <v>=3.375*100000000</v>
      </c>
      <c r="Z741" s="1">
        <f>3.375*100000000</f>
        <v>337500000</v>
      </c>
      <c r="AA741" s="8">
        <f t="shared" si="362"/>
        <v>1.313228238519534</v>
      </c>
      <c r="AB741" s="6" t="s">
        <v>5539</v>
      </c>
      <c r="AC741" s="6" t="str">
        <f t="shared" si="346"/>
        <v>=1.459*100000000</v>
      </c>
      <c r="AD741" s="1">
        <f>1.459*100000000</f>
        <v>145900000</v>
      </c>
      <c r="AE741" s="8">
        <f t="shared" si="363"/>
        <v>0.65757782322199498</v>
      </c>
      <c r="AF741" s="7" t="s">
        <v>8464</v>
      </c>
      <c r="AG741" s="6" t="str">
        <f t="shared" si="347"/>
        <v>=8802*10000</v>
      </c>
      <c r="AH741" s="1">
        <f>8802*10000</f>
        <v>88020000</v>
      </c>
      <c r="AI741" s="8">
        <f t="shared" si="364"/>
        <v>-0.89123934264178917</v>
      </c>
      <c r="AJ741" s="6" t="s">
        <v>8465</v>
      </c>
      <c r="AK741" s="6" t="str">
        <f t="shared" si="348"/>
        <v>=8.093*100000000</v>
      </c>
      <c r="AL741" s="1">
        <f>8.093*100000000</f>
        <v>809300000</v>
      </c>
      <c r="AM741" s="8">
        <f t="shared" si="365"/>
        <v>0.28685005565272698</v>
      </c>
      <c r="AN741" s="6" t="s">
        <v>8466</v>
      </c>
      <c r="AO741" s="6" t="str">
        <f t="shared" si="349"/>
        <v>=6.289*100000000</v>
      </c>
      <c r="AP741" s="1">
        <f>6.289*100000000</f>
        <v>628900000</v>
      </c>
      <c r="AQ741" s="8">
        <f t="shared" si="366"/>
        <v>0.37104861565293218</v>
      </c>
      <c r="AR741" s="6" t="s">
        <v>8467</v>
      </c>
      <c r="AS741" s="6" t="str">
        <f t="shared" si="350"/>
        <v>=4.587*100000000</v>
      </c>
      <c r="AT741" s="1">
        <f>4.587*100000000</f>
        <v>458700000</v>
      </c>
      <c r="AU741" s="8">
        <f t="shared" si="367"/>
        <v>1.0278514588859415</v>
      </c>
      <c r="AV741" s="6" t="s">
        <v>8468</v>
      </c>
      <c r="AW741" s="6" t="str">
        <f t="shared" si="351"/>
        <v>=2.262*100000000</v>
      </c>
      <c r="AX741" s="1">
        <f>2.262*100000000</f>
        <v>226200000</v>
      </c>
      <c r="AY741" s="10">
        <f t="shared" si="368"/>
        <v>-0.78518518518518521</v>
      </c>
      <c r="AZ741" s="6" t="s">
        <v>8469</v>
      </c>
      <c r="BA741" s="6" t="str">
        <f t="shared" si="352"/>
        <v>=10.53*100000000</v>
      </c>
      <c r="BB741" s="1">
        <f>10.53*100000000</f>
        <v>1052999999.9999999</v>
      </c>
      <c r="BC741" s="8">
        <f t="shared" si="369"/>
        <v>0.56673114119922607</v>
      </c>
      <c r="BD741" s="6" t="s">
        <v>8470</v>
      </c>
      <c r="BE741" s="6" t="str">
        <f t="shared" si="353"/>
        <v>=6.721*100000000</v>
      </c>
      <c r="BF741" s="1">
        <f>6.721*100000000</f>
        <v>672100000</v>
      </c>
      <c r="BG741" s="8">
        <f t="shared" si="370"/>
        <v>0.81550513236088595</v>
      </c>
      <c r="BH741" s="6" t="s">
        <v>8471</v>
      </c>
      <c r="BI741" s="6" t="str">
        <f t="shared" si="354"/>
        <v>=3.702*100000000</v>
      </c>
      <c r="BJ741" s="1">
        <f>3.702*100000000</f>
        <v>370200000</v>
      </c>
      <c r="BK741" s="6" t="s">
        <v>8472</v>
      </c>
      <c r="BL741" s="1" t="str">
        <f t="shared" si="356"/>
        <v>=1.696*100000000</v>
      </c>
      <c r="BM741" s="16">
        <f t="shared" si="371"/>
        <v>1.1827830188679245</v>
      </c>
      <c r="BN741" s="1">
        <f>1.696*100000000</f>
        <v>169600000</v>
      </c>
    </row>
    <row r="742" spans="1:66">
      <c r="A742" s="17">
        <v>187</v>
      </c>
      <c r="B742">
        <v>600620</v>
      </c>
      <c r="C742" t="s">
        <v>31</v>
      </c>
      <c r="D742" s="7" t="s">
        <v>8473</v>
      </c>
      <c r="E742" s="7" t="str">
        <f t="shared" si="355"/>
        <v>=4182*10000</v>
      </c>
      <c r="F742" s="1">
        <f>4182*10000</f>
        <v>41820000</v>
      </c>
      <c r="G742" s="8">
        <f t="shared" si="357"/>
        <v>0.30769230769230771</v>
      </c>
      <c r="H742" s="7" t="s">
        <v>8474</v>
      </c>
      <c r="I742" s="6" t="str">
        <f t="shared" si="341"/>
        <v>=3198*10000</v>
      </c>
      <c r="J742" s="1">
        <f>3198*10000</f>
        <v>31980000</v>
      </c>
      <c r="K742" s="10">
        <f t="shared" si="358"/>
        <v>0.5221323179438363</v>
      </c>
      <c r="L742" s="7" t="s">
        <v>8475</v>
      </c>
      <c r="M742" s="6" t="str">
        <f t="shared" si="342"/>
        <v>=2101*10000</v>
      </c>
      <c r="N742" s="1">
        <f>2101*10000</f>
        <v>21010000</v>
      </c>
      <c r="O742" s="8">
        <f t="shared" si="359"/>
        <v>0.98958333333333337</v>
      </c>
      <c r="P742" s="7" t="s">
        <v>8476</v>
      </c>
      <c r="Q742" s="6" t="str">
        <f t="shared" si="343"/>
        <v>=1056*10000</v>
      </c>
      <c r="R742" s="11">
        <f>1056*10000</f>
        <v>10560000</v>
      </c>
      <c r="S742" s="8">
        <f t="shared" si="360"/>
        <v>-0.71374356194090538</v>
      </c>
      <c r="T742" s="7" t="s">
        <v>8077</v>
      </c>
      <c r="U742" s="6" t="str">
        <f t="shared" si="344"/>
        <v>=3689*10000</v>
      </c>
      <c r="V742" s="1">
        <f>3689*10000</f>
        <v>36890000</v>
      </c>
      <c r="W742" s="8">
        <f t="shared" si="361"/>
        <v>0.18010236724248241</v>
      </c>
      <c r="X742" s="7" t="s">
        <v>2587</v>
      </c>
      <c r="Y742" s="6" t="str">
        <f t="shared" si="345"/>
        <v>=3126*10000</v>
      </c>
      <c r="Z742" s="1">
        <f>3126*10000</f>
        <v>31260000</v>
      </c>
      <c r="AA742" s="8">
        <f t="shared" si="362"/>
        <v>0.65572033898305082</v>
      </c>
      <c r="AB742" s="7" t="s">
        <v>2726</v>
      </c>
      <c r="AC742" s="6" t="str">
        <f t="shared" si="346"/>
        <v>=1888*10000</v>
      </c>
      <c r="AD742" s="1">
        <f>1888*10000</f>
        <v>18880000</v>
      </c>
      <c r="AE742" s="8">
        <f t="shared" si="363"/>
        <v>0.93939393939393945</v>
      </c>
      <c r="AF742" s="7" t="s">
        <v>8477</v>
      </c>
      <c r="AG742" s="6" t="str">
        <f t="shared" si="347"/>
        <v>=973.5*10000</v>
      </c>
      <c r="AH742" s="1">
        <f>973.5*10000</f>
        <v>9735000</v>
      </c>
      <c r="AI742" s="8">
        <f t="shared" si="364"/>
        <v>-0.80313447927199189</v>
      </c>
      <c r="AJ742" s="7" t="s">
        <v>8478</v>
      </c>
      <c r="AK742" s="6" t="str">
        <f t="shared" si="348"/>
        <v>=4945*10000</v>
      </c>
      <c r="AL742" s="1">
        <f>4945*10000</f>
        <v>49450000</v>
      </c>
      <c r="AM742" s="8">
        <f t="shared" si="365"/>
        <v>0.37897378694924705</v>
      </c>
      <c r="AN742" s="7" t="s">
        <v>8479</v>
      </c>
      <c r="AO742" s="6" t="str">
        <f t="shared" si="349"/>
        <v>=3586*10000</v>
      </c>
      <c r="AP742" s="1">
        <f>3586*10000</f>
        <v>35860000</v>
      </c>
      <c r="AQ742" s="8">
        <f t="shared" si="366"/>
        <v>0.53051643192488263</v>
      </c>
      <c r="AR742" s="7" t="s">
        <v>8480</v>
      </c>
      <c r="AS742" s="6" t="str">
        <f t="shared" si="350"/>
        <v>=2343*10000</v>
      </c>
      <c r="AT742" s="1">
        <f>2343*10000</f>
        <v>23430000</v>
      </c>
      <c r="AU742" s="8">
        <f t="shared" si="367"/>
        <v>0.98223350253807107</v>
      </c>
      <c r="AV742" s="7" t="s">
        <v>8481</v>
      </c>
      <c r="AW742" s="6" t="str">
        <f t="shared" si="351"/>
        <v>=1182*10000</v>
      </c>
      <c r="AX742" s="1">
        <f>1182*10000</f>
        <v>11820000</v>
      </c>
      <c r="AY742" s="10">
        <f t="shared" si="368"/>
        <v>-0.7578861122490782</v>
      </c>
      <c r="AZ742" s="7" t="s">
        <v>8482</v>
      </c>
      <c r="BA742" s="6" t="str">
        <f t="shared" si="352"/>
        <v>=4882*10000</v>
      </c>
      <c r="BB742" s="1">
        <f>4882*10000</f>
        <v>48820000</v>
      </c>
      <c r="BC742" s="8">
        <f t="shared" si="369"/>
        <v>0.30464991982896844</v>
      </c>
      <c r="BD742" s="7" t="s">
        <v>8483</v>
      </c>
      <c r="BE742" s="6" t="str">
        <f t="shared" si="353"/>
        <v>=3742*10000</v>
      </c>
      <c r="BF742" s="1">
        <f>3742*10000</f>
        <v>37420000</v>
      </c>
      <c r="BG742" s="8">
        <f t="shared" si="370"/>
        <v>0.49321628092577813</v>
      </c>
      <c r="BH742" s="7" t="s">
        <v>8484</v>
      </c>
      <c r="BI742" s="6" t="str">
        <f t="shared" si="354"/>
        <v>=2506*10000</v>
      </c>
      <c r="BJ742" s="1">
        <f>2506*10000</f>
        <v>25060000</v>
      </c>
      <c r="BK742" s="7" t="s">
        <v>8331</v>
      </c>
      <c r="BL742" s="1" t="str">
        <f t="shared" si="356"/>
        <v>=1246*10000</v>
      </c>
      <c r="BM742" s="16">
        <f t="shared" si="371"/>
        <v>1.0112359550561798</v>
      </c>
      <c r="BN742" s="1">
        <f>1246*10000</f>
        <v>12460000</v>
      </c>
    </row>
    <row r="743" spans="1:66">
      <c r="A743" s="18"/>
      <c r="B743">
        <v>600620</v>
      </c>
      <c r="C743" t="s">
        <v>48</v>
      </c>
      <c r="D743" s="6" t="s">
        <v>2210</v>
      </c>
      <c r="E743" s="7" t="str">
        <f t="shared" si="355"/>
        <v>=1.407*100000000</v>
      </c>
      <c r="F743" s="1">
        <f>1.407*100000000</f>
        <v>140700000</v>
      </c>
      <c r="G743" s="8">
        <f t="shared" si="357"/>
        <v>-0.30312035661218423</v>
      </c>
      <c r="H743" s="6" t="s">
        <v>8485</v>
      </c>
      <c r="I743" s="6" t="str">
        <f t="shared" si="341"/>
        <v>=2.019*100000000</v>
      </c>
      <c r="J743" s="1">
        <f>2.019*100000000</f>
        <v>201900000</v>
      </c>
      <c r="K743" s="10">
        <f t="shared" si="358"/>
        <v>-4.4034090909090912E-2</v>
      </c>
      <c r="L743" s="6" t="s">
        <v>8486</v>
      </c>
      <c r="M743" s="6" t="str">
        <f t="shared" si="342"/>
        <v>=2.112*100000000</v>
      </c>
      <c r="N743" s="1">
        <f>2.112*100000000</f>
        <v>211200000</v>
      </c>
      <c r="O743" s="8">
        <f t="shared" si="359"/>
        <v>-48.269471799462849</v>
      </c>
      <c r="P743" s="7">
        <f>-446.8*10000</f>
        <v>-4468000</v>
      </c>
      <c r="Q743" s="6" t="str">
        <f t="shared" si="343"/>
        <v>=-4468000</v>
      </c>
      <c r="R743" s="11">
        <f>-4468000</f>
        <v>-4468000</v>
      </c>
      <c r="S743" s="8">
        <f t="shared" si="360"/>
        <v>-1.0422306238185255</v>
      </c>
      <c r="T743" s="6" t="s">
        <v>119</v>
      </c>
      <c r="U743" s="6" t="str">
        <f t="shared" si="344"/>
        <v>=1.058*100000000</v>
      </c>
      <c r="V743" s="1">
        <f>1.058*100000000</f>
        <v>105800000</v>
      </c>
      <c r="W743" s="8">
        <f t="shared" si="361"/>
        <v>-6.5727699530516428E-3</v>
      </c>
      <c r="X743" s="6" t="s">
        <v>7680</v>
      </c>
      <c r="Y743" s="6" t="str">
        <f t="shared" si="345"/>
        <v>=1.065*100000000</v>
      </c>
      <c r="Z743" s="1">
        <f>1.065*100000000</f>
        <v>106500000</v>
      </c>
      <c r="AA743" s="8">
        <f t="shared" si="362"/>
        <v>3.8011695906432746E-2</v>
      </c>
      <c r="AB743" s="6" t="s">
        <v>2208</v>
      </c>
      <c r="AC743" s="6" t="str">
        <f t="shared" si="346"/>
        <v>=1.026*100000000</v>
      </c>
      <c r="AD743" s="1">
        <f>1.026*100000000</f>
        <v>102600000</v>
      </c>
      <c r="AE743" s="8">
        <f t="shared" si="363"/>
        <v>-19.888070692194404</v>
      </c>
      <c r="AF743" s="7">
        <f>-543.2*10000</f>
        <v>-5432000</v>
      </c>
      <c r="AG743" s="6" t="str">
        <f t="shared" si="347"/>
        <v>=-5432000</v>
      </c>
      <c r="AH743" s="1">
        <f>-5432000</f>
        <v>-5432000</v>
      </c>
      <c r="AI743" s="8">
        <f t="shared" si="364"/>
        <v>-1.0803193848883632</v>
      </c>
      <c r="AJ743" s="7" t="s">
        <v>8487</v>
      </c>
      <c r="AK743" s="6" t="str">
        <f t="shared" si="348"/>
        <v>=6763*10000</v>
      </c>
      <c r="AL743" s="1">
        <f>6763*10000</f>
        <v>67630000</v>
      </c>
      <c r="AM743" s="8">
        <f t="shared" si="365"/>
        <v>-0.1760477582846004</v>
      </c>
      <c r="AN743" s="7" t="s">
        <v>8488</v>
      </c>
      <c r="AO743" s="6" t="str">
        <f t="shared" si="349"/>
        <v>=8208*10000</v>
      </c>
      <c r="AP743" s="1">
        <f>8208*10000</f>
        <v>82080000</v>
      </c>
      <c r="AQ743" s="8">
        <f t="shared" si="366"/>
        <v>-7.9820627802690586E-2</v>
      </c>
      <c r="AR743" s="7" t="s">
        <v>7297</v>
      </c>
      <c r="AS743" s="6" t="str">
        <f t="shared" si="350"/>
        <v>=8920*10000</v>
      </c>
      <c r="AT743" s="1">
        <f>8920*10000</f>
        <v>89200000</v>
      </c>
      <c r="AU743" s="8">
        <f t="shared" si="367"/>
        <v>29.843706777316736</v>
      </c>
      <c r="AV743" s="7" t="s">
        <v>8489</v>
      </c>
      <c r="AW743" s="6" t="str">
        <f t="shared" si="351"/>
        <v>=289.2*10000</v>
      </c>
      <c r="AX743" s="1">
        <f>289.2*10000</f>
        <v>2892000</v>
      </c>
      <c r="AY743" s="10">
        <f t="shared" si="368"/>
        <v>-0.95918712955122776</v>
      </c>
      <c r="AZ743" s="7" t="s">
        <v>8490</v>
      </c>
      <c r="BA743" s="6" t="str">
        <f t="shared" si="352"/>
        <v>=7086*10000</v>
      </c>
      <c r="BB743" s="1">
        <f>7086*10000</f>
        <v>70860000</v>
      </c>
      <c r="BC743" s="8">
        <f t="shared" si="369"/>
        <v>0.18218218218218218</v>
      </c>
      <c r="BD743" s="7" t="s">
        <v>8491</v>
      </c>
      <c r="BE743" s="6" t="str">
        <f t="shared" si="353"/>
        <v>=5994*10000</v>
      </c>
      <c r="BF743" s="1">
        <f>5994*10000</f>
        <v>59940000</v>
      </c>
      <c r="BG743" s="8">
        <f t="shared" si="370"/>
        <v>1.3364517206815904E-3</v>
      </c>
      <c r="BH743" s="7" t="s">
        <v>8492</v>
      </c>
      <c r="BI743" s="6" t="str">
        <f t="shared" si="354"/>
        <v>=5986*10000</v>
      </c>
      <c r="BJ743" s="1">
        <f>5986*10000</f>
        <v>59860000</v>
      </c>
      <c r="BK743" s="7">
        <f>-465.1*10000</f>
        <v>-4651000</v>
      </c>
      <c r="BL743" s="1" t="str">
        <f t="shared" si="356"/>
        <v>=-4651000</v>
      </c>
      <c r="BM743" s="16">
        <f t="shared" si="371"/>
        <v>-13.870350462266179</v>
      </c>
      <c r="BN743" s="1">
        <f>-4651000</f>
        <v>-4651000</v>
      </c>
    </row>
    <row r="744" spans="1:66">
      <c r="A744" s="18"/>
      <c r="B744">
        <v>600620</v>
      </c>
      <c r="C744" t="s">
        <v>58</v>
      </c>
      <c r="D744" s="6" t="s">
        <v>8493</v>
      </c>
      <c r="E744" s="7" t="str">
        <f t="shared" si="355"/>
        <v>=1.421*100000000</v>
      </c>
      <c r="F744" s="1">
        <f>1.421*100000000</f>
        <v>142100000</v>
      </c>
      <c r="G744" s="8">
        <f t="shared" si="357"/>
        <v>-0.29688273132112813</v>
      </c>
      <c r="H744" s="6" t="s">
        <v>6547</v>
      </c>
      <c r="I744" s="6" t="str">
        <f t="shared" si="341"/>
        <v>=2.021*100000000</v>
      </c>
      <c r="J744" s="1">
        <f>2.021*100000000</f>
        <v>202100000</v>
      </c>
      <c r="K744" s="10">
        <f t="shared" si="358"/>
        <v>-4.3539990534784669E-2</v>
      </c>
      <c r="L744" s="6" t="s">
        <v>7863</v>
      </c>
      <c r="M744" s="6" t="str">
        <f t="shared" si="342"/>
        <v>=2.113*100000000</v>
      </c>
      <c r="N744" s="1">
        <f>2.113*100000000</f>
        <v>211300000</v>
      </c>
      <c r="O744" s="8">
        <f t="shared" si="359"/>
        <v>-49.441082072443834</v>
      </c>
      <c r="P744" s="7">
        <f>-436.2*10000</f>
        <v>-4362000</v>
      </c>
      <c r="Q744" s="6" t="str">
        <f t="shared" si="343"/>
        <v>=-4362000</v>
      </c>
      <c r="R744" s="11">
        <f>-4362000</f>
        <v>-4362000</v>
      </c>
      <c r="S744" s="8">
        <f t="shared" si="360"/>
        <v>-1.0412677388836329</v>
      </c>
      <c r="T744" s="6" t="s">
        <v>8494</v>
      </c>
      <c r="U744" s="6" t="str">
        <f t="shared" si="344"/>
        <v>=1.057*100000000</v>
      </c>
      <c r="V744" s="1">
        <f>1.057*100000000</f>
        <v>105700000</v>
      </c>
      <c r="W744" s="8">
        <f t="shared" si="361"/>
        <v>-6.5789473684210523E-3</v>
      </c>
      <c r="X744" s="6" t="s">
        <v>2871</v>
      </c>
      <c r="Y744" s="6" t="str">
        <f t="shared" si="345"/>
        <v>=1.064*100000000</v>
      </c>
      <c r="Z744" s="1">
        <f>1.064*100000000</f>
        <v>106400000</v>
      </c>
      <c r="AA744" s="8">
        <f t="shared" si="362"/>
        <v>4.5186640471512773E-2</v>
      </c>
      <c r="AB744" s="6" t="s">
        <v>2234</v>
      </c>
      <c r="AC744" s="6" t="str">
        <f t="shared" si="346"/>
        <v>=1.018*100000000</v>
      </c>
      <c r="AD744" s="1">
        <f>1.018*100000000</f>
        <v>101800000</v>
      </c>
      <c r="AE744" s="8">
        <f t="shared" si="363"/>
        <v>-17.398195876288661</v>
      </c>
      <c r="AF744" s="7">
        <f>-620.8*10000</f>
        <v>-6208000</v>
      </c>
      <c r="AG744" s="6" t="str">
        <f t="shared" si="347"/>
        <v>=-6208000</v>
      </c>
      <c r="AH744" s="1">
        <f>-6208000</f>
        <v>-6208000</v>
      </c>
      <c r="AI744" s="8">
        <f t="shared" si="364"/>
        <v>-1.0871665262566694</v>
      </c>
      <c r="AJ744" s="7" t="s">
        <v>8495</v>
      </c>
      <c r="AK744" s="6" t="str">
        <f t="shared" si="348"/>
        <v>=7122*10000</v>
      </c>
      <c r="AL744" s="1">
        <f>7122*10000</f>
        <v>71220000</v>
      </c>
      <c r="AM744" s="8">
        <f t="shared" si="365"/>
        <v>-0.15865327820437095</v>
      </c>
      <c r="AN744" s="7" t="s">
        <v>8496</v>
      </c>
      <c r="AO744" s="6" t="str">
        <f t="shared" si="349"/>
        <v>=8465*10000</v>
      </c>
      <c r="AP744" s="1">
        <f>8465*10000</f>
        <v>84650000</v>
      </c>
      <c r="AQ744" s="8">
        <f t="shared" si="366"/>
        <v>-7.6478289330133106E-2</v>
      </c>
      <c r="AR744" s="7" t="s">
        <v>6037</v>
      </c>
      <c r="AS744" s="6" t="str">
        <f t="shared" si="350"/>
        <v>=9166*10000</v>
      </c>
      <c r="AT744" s="1">
        <f>9166*10000</f>
        <v>91660000</v>
      </c>
      <c r="AU744" s="8">
        <f t="shared" si="367"/>
        <v>16.715500579822187</v>
      </c>
      <c r="AV744" s="7" t="s">
        <v>8497</v>
      </c>
      <c r="AW744" s="6" t="str">
        <f t="shared" si="351"/>
        <v>=517.4*10000</v>
      </c>
      <c r="AX744" s="1">
        <f>517.4*10000</f>
        <v>5174000</v>
      </c>
      <c r="AY744" s="10">
        <f t="shared" si="368"/>
        <v>-0.92681753889674678</v>
      </c>
      <c r="AZ744" s="7" t="s">
        <v>8498</v>
      </c>
      <c r="BA744" s="6" t="str">
        <f t="shared" si="352"/>
        <v>=7070*10000</v>
      </c>
      <c r="BB744" s="1">
        <f>7070*10000</f>
        <v>70700000</v>
      </c>
      <c r="BC744" s="8">
        <f t="shared" si="369"/>
        <v>0.17363877822045154</v>
      </c>
      <c r="BD744" s="7" t="s">
        <v>8499</v>
      </c>
      <c r="BE744" s="6" t="str">
        <f t="shared" si="353"/>
        <v>=6024*10000</v>
      </c>
      <c r="BF744" s="1">
        <f>6024*10000</f>
        <v>60240000</v>
      </c>
      <c r="BG744" s="8">
        <f t="shared" si="370"/>
        <v>3.8326945509081821E-3</v>
      </c>
      <c r="BH744" s="7" t="s">
        <v>3174</v>
      </c>
      <c r="BI744" s="6" t="str">
        <f t="shared" si="354"/>
        <v>=6001*10000</v>
      </c>
      <c r="BJ744" s="1">
        <f>6001*10000</f>
        <v>60010000</v>
      </c>
      <c r="BK744" s="7">
        <f>-465.1*10000</f>
        <v>-4651000</v>
      </c>
      <c r="BL744" s="1" t="str">
        <f t="shared" si="356"/>
        <v>=-4651000</v>
      </c>
      <c r="BM744" s="16">
        <f t="shared" si="371"/>
        <v>-13.902601591055687</v>
      </c>
      <c r="BN744" s="1">
        <f>-4651000</f>
        <v>-4651000</v>
      </c>
    </row>
    <row r="745" spans="1:66">
      <c r="A745" s="19"/>
      <c r="B745">
        <v>600620</v>
      </c>
      <c r="C745" t="s">
        <v>68</v>
      </c>
      <c r="D745" s="6" t="s">
        <v>3578</v>
      </c>
      <c r="E745" s="7" t="str">
        <f t="shared" si="355"/>
        <v>=1.200*100000000</v>
      </c>
      <c r="F745" s="1">
        <f>1.2*100000000</f>
        <v>120000000</v>
      </c>
      <c r="G745" s="8">
        <f t="shared" si="357"/>
        <v>-0.29078014184397161</v>
      </c>
      <c r="H745" s="6" t="s">
        <v>4827</v>
      </c>
      <c r="I745" s="6" t="str">
        <f t="shared" si="341"/>
        <v>=1.692*100000000</v>
      </c>
      <c r="J745" s="1">
        <f>1.692*100000000</f>
        <v>169200000</v>
      </c>
      <c r="K745" s="10">
        <f t="shared" si="358"/>
        <v>-4.4067796610169491E-2</v>
      </c>
      <c r="L745" s="6" t="s">
        <v>8500</v>
      </c>
      <c r="M745" s="6" t="str">
        <f t="shared" si="342"/>
        <v>=1.770*100000000</v>
      </c>
      <c r="N745" s="1">
        <f>1.77*100000000</f>
        <v>177000000</v>
      </c>
      <c r="O745" s="8">
        <f t="shared" si="359"/>
        <v>-54.169119855812554</v>
      </c>
      <c r="P745" s="7">
        <f>-332.9*10000</f>
        <v>-3329000</v>
      </c>
      <c r="Q745" s="6" t="str">
        <f t="shared" si="343"/>
        <v>=-3329000</v>
      </c>
      <c r="R745" s="11">
        <f>-3329000</f>
        <v>-3329000</v>
      </c>
      <c r="S745" s="8">
        <f t="shared" si="360"/>
        <v>-1.0324463937621833</v>
      </c>
      <c r="T745" s="6" t="s">
        <v>2208</v>
      </c>
      <c r="U745" s="6" t="str">
        <f t="shared" si="344"/>
        <v>=1.026*100000000</v>
      </c>
      <c r="V745" s="1">
        <f>1.026*100000000</f>
        <v>102600000</v>
      </c>
      <c r="W745" s="8">
        <f t="shared" si="361"/>
        <v>-2.7488151658767772E-2</v>
      </c>
      <c r="X745" s="6" t="s">
        <v>8501</v>
      </c>
      <c r="Y745" s="6" t="str">
        <f t="shared" si="345"/>
        <v>=1.055*100000000</v>
      </c>
      <c r="Z745" s="1">
        <f>1.055*100000000</f>
        <v>105500000</v>
      </c>
      <c r="AA745" s="8">
        <f t="shared" si="362"/>
        <v>2.3278370514064162E-2</v>
      </c>
      <c r="AB745" s="6" t="s">
        <v>8056</v>
      </c>
      <c r="AC745" s="6" t="str">
        <f t="shared" si="346"/>
        <v>=1.031*100000000</v>
      </c>
      <c r="AD745" s="1">
        <f>1.031*100000000</f>
        <v>103099999.99999999</v>
      </c>
      <c r="AE745" s="8">
        <f t="shared" si="363"/>
        <v>-16.861538461538458</v>
      </c>
      <c r="AF745" s="7">
        <f>-650*10000</f>
        <v>-6500000</v>
      </c>
      <c r="AG745" s="6" t="str">
        <f t="shared" si="347"/>
        <v>=-6500000</v>
      </c>
      <c r="AH745" s="1">
        <f>-6500000</f>
        <v>-6500000</v>
      </c>
      <c r="AI745" s="8">
        <f t="shared" si="364"/>
        <v>-1.1053826199740597</v>
      </c>
      <c r="AJ745" s="7" t="s">
        <v>8502</v>
      </c>
      <c r="AK745" s="6" t="str">
        <f t="shared" si="348"/>
        <v>=6168*10000</v>
      </c>
      <c r="AL745" s="1">
        <f>6168*10000</f>
        <v>61680000</v>
      </c>
      <c r="AM745" s="8">
        <f t="shared" si="365"/>
        <v>-0.2068921177832069</v>
      </c>
      <c r="AN745" s="7" t="s">
        <v>8503</v>
      </c>
      <c r="AO745" s="6" t="str">
        <f t="shared" si="349"/>
        <v>=7777*10000</v>
      </c>
      <c r="AP745" s="1">
        <f>7777*10000</f>
        <v>77770000</v>
      </c>
      <c r="AQ745" s="8">
        <f t="shared" si="366"/>
        <v>-9.0302959410457365E-2</v>
      </c>
      <c r="AR745" s="7" t="s">
        <v>8504</v>
      </c>
      <c r="AS745" s="6" t="str">
        <f t="shared" si="350"/>
        <v>=8549*10000</v>
      </c>
      <c r="AT745" s="1">
        <f>8549*10000</f>
        <v>85490000</v>
      </c>
      <c r="AU745" s="8">
        <f t="shared" si="367"/>
        <v>88.293921036139551</v>
      </c>
      <c r="AV745" s="7" t="s">
        <v>8505</v>
      </c>
      <c r="AW745" s="6" t="str">
        <f t="shared" si="351"/>
        <v>=95.74*10000</v>
      </c>
      <c r="AX745" s="1">
        <f>95.74*10000</f>
        <v>957400</v>
      </c>
      <c r="AY745" s="10">
        <f t="shared" si="368"/>
        <v>-0.98527982779827794</v>
      </c>
      <c r="AZ745" s="7" t="s">
        <v>8506</v>
      </c>
      <c r="BA745" s="6" t="str">
        <f t="shared" si="352"/>
        <v>=6504*10000</v>
      </c>
      <c r="BB745" s="1">
        <f>6504*10000</f>
        <v>65040000</v>
      </c>
      <c r="BC745" s="8">
        <f t="shared" si="369"/>
        <v>9.7906819716407828E-2</v>
      </c>
      <c r="BD745" s="7" t="s">
        <v>3424</v>
      </c>
      <c r="BE745" s="6" t="str">
        <f t="shared" si="353"/>
        <v>=5924*10000</v>
      </c>
      <c r="BF745" s="1">
        <f>5924*10000</f>
        <v>59240000</v>
      </c>
      <c r="BG745" s="8">
        <f t="shared" si="370"/>
        <v>-1.2831194800866523E-2</v>
      </c>
      <c r="BH745" s="7" t="s">
        <v>3174</v>
      </c>
      <c r="BI745" s="6" t="str">
        <f t="shared" si="354"/>
        <v>=6001*10000</v>
      </c>
      <c r="BJ745" s="1">
        <f>6001*10000</f>
        <v>60010000</v>
      </c>
      <c r="BK745" s="7">
        <f>-465.1*10000</f>
        <v>-4651000</v>
      </c>
      <c r="BL745" s="1" t="str">
        <f t="shared" si="356"/>
        <v>=-4651000</v>
      </c>
      <c r="BM745" s="16">
        <f t="shared" si="371"/>
        <v>-13.902601591055687</v>
      </c>
      <c r="BN745" s="1">
        <f>-4651000</f>
        <v>-4651000</v>
      </c>
    </row>
    <row r="746" spans="1:66">
      <c r="A746" s="17">
        <v>188</v>
      </c>
      <c r="B746">
        <v>600621</v>
      </c>
      <c r="C746" t="s">
        <v>31</v>
      </c>
      <c r="D746" s="6" t="s">
        <v>7900</v>
      </c>
      <c r="E746" s="7" t="str">
        <f t="shared" si="355"/>
        <v>=1.303*100000000</v>
      </c>
      <c r="F746" s="1">
        <f>1.303*100000000</f>
        <v>130300000</v>
      </c>
      <c r="G746" s="8">
        <f t="shared" si="357"/>
        <v>0.31789218165267524</v>
      </c>
      <c r="H746" s="7" t="s">
        <v>8507</v>
      </c>
      <c r="I746" s="6" t="str">
        <f t="shared" si="341"/>
        <v>=9887*10000</v>
      </c>
      <c r="J746" s="1">
        <f>9887*10000</f>
        <v>98870000</v>
      </c>
      <c r="K746" s="10">
        <f t="shared" si="358"/>
        <v>0.52389025893958074</v>
      </c>
      <c r="L746" s="7" t="s">
        <v>8508</v>
      </c>
      <c r="M746" s="6" t="str">
        <f t="shared" si="342"/>
        <v>=6488*10000</v>
      </c>
      <c r="N746" s="1">
        <f>6488*10000</f>
        <v>64880000</v>
      </c>
      <c r="O746" s="8">
        <f t="shared" si="359"/>
        <v>0.90263929618768324</v>
      </c>
      <c r="P746" s="7" t="s">
        <v>8509</v>
      </c>
      <c r="Q746" s="6" t="str">
        <f t="shared" si="343"/>
        <v>=3410*10000</v>
      </c>
      <c r="R746" s="11">
        <f>3410*10000</f>
        <v>34100000</v>
      </c>
      <c r="S746" s="8">
        <f t="shared" si="360"/>
        <v>-0.77813923227065718</v>
      </c>
      <c r="T746" s="6" t="s">
        <v>3972</v>
      </c>
      <c r="U746" s="6" t="str">
        <f t="shared" si="344"/>
        <v>=1.537*100000000</v>
      </c>
      <c r="V746" s="1">
        <f>1.537*100000000</f>
        <v>153700000</v>
      </c>
      <c r="W746" s="8">
        <f t="shared" si="361"/>
        <v>0.36017699115044266</v>
      </c>
      <c r="X746" s="6" t="s">
        <v>8510</v>
      </c>
      <c r="Y746" s="6" t="str">
        <f t="shared" si="345"/>
        <v>=1.130*100000000</v>
      </c>
      <c r="Z746" s="1">
        <f>1.13*100000000</f>
        <v>112999999.99999999</v>
      </c>
      <c r="AA746" s="8">
        <f t="shared" si="362"/>
        <v>0.57975674542150124</v>
      </c>
      <c r="AB746" s="7" t="s">
        <v>8511</v>
      </c>
      <c r="AC746" s="6" t="str">
        <f t="shared" si="346"/>
        <v>=7153*10000</v>
      </c>
      <c r="AD746" s="1">
        <f>7153*10000</f>
        <v>71530000</v>
      </c>
      <c r="AE746" s="8">
        <f t="shared" si="363"/>
        <v>1.1968673218673218</v>
      </c>
      <c r="AF746" s="7" t="s">
        <v>8512</v>
      </c>
      <c r="AG746" s="6" t="str">
        <f t="shared" si="347"/>
        <v>=3256*10000</v>
      </c>
      <c r="AH746" s="1">
        <f>3256*10000</f>
        <v>32560000</v>
      </c>
      <c r="AI746" s="8">
        <f t="shared" si="364"/>
        <v>-0.77835262083049694</v>
      </c>
      <c r="AJ746" s="6" t="s">
        <v>8513</v>
      </c>
      <c r="AK746" s="6" t="str">
        <f t="shared" si="348"/>
        <v>=1.469*100000000</v>
      </c>
      <c r="AL746" s="1">
        <f>1.469*100000000</f>
        <v>146900000</v>
      </c>
      <c r="AM746" s="8">
        <f t="shared" si="365"/>
        <v>0.33910665451230632</v>
      </c>
      <c r="AN746" s="6" t="s">
        <v>4961</v>
      </c>
      <c r="AO746" s="6" t="str">
        <f t="shared" si="349"/>
        <v>=1.097*100000000</v>
      </c>
      <c r="AP746" s="1">
        <f>1.097*100000000</f>
        <v>109700000</v>
      </c>
      <c r="AQ746" s="8">
        <f t="shared" si="366"/>
        <v>0.53062648248918654</v>
      </c>
      <c r="AR746" s="7" t="s">
        <v>8514</v>
      </c>
      <c r="AS746" s="6" t="str">
        <f t="shared" si="350"/>
        <v>=7167*10000</v>
      </c>
      <c r="AT746" s="1">
        <f>7167*10000</f>
        <v>71670000</v>
      </c>
      <c r="AU746" s="8">
        <f t="shared" si="367"/>
        <v>1.0177364864864864</v>
      </c>
      <c r="AV746" s="7" t="s">
        <v>5586</v>
      </c>
      <c r="AW746" s="6" t="str">
        <f t="shared" si="351"/>
        <v>=3552*10000</v>
      </c>
      <c r="AX746" s="1">
        <f>3552*10000</f>
        <v>35520000</v>
      </c>
      <c r="AY746" s="10">
        <f t="shared" si="368"/>
        <v>-0.69032258064516128</v>
      </c>
      <c r="AZ746" s="6" t="s">
        <v>7620</v>
      </c>
      <c r="BA746" s="6" t="str">
        <f t="shared" si="352"/>
        <v>=1.147*100000000</v>
      </c>
      <c r="BB746" s="1">
        <f>1.147*100000000</f>
        <v>114700000</v>
      </c>
      <c r="BC746" s="8">
        <f t="shared" si="369"/>
        <v>0.34293408266011005</v>
      </c>
      <c r="BD746" s="7" t="s">
        <v>7687</v>
      </c>
      <c r="BE746" s="6" t="str">
        <f t="shared" si="353"/>
        <v>=8541*10000</v>
      </c>
      <c r="BF746" s="1">
        <f>8541*10000</f>
        <v>85410000</v>
      </c>
      <c r="BG746" s="8">
        <f t="shared" si="370"/>
        <v>0.54336826888326706</v>
      </c>
      <c r="BH746" s="7" t="s">
        <v>8515</v>
      </c>
      <c r="BI746" s="6" t="str">
        <f t="shared" si="354"/>
        <v>=5534*10000</v>
      </c>
      <c r="BJ746" s="1">
        <f>5534*10000</f>
        <v>55340000</v>
      </c>
      <c r="BK746" s="7" t="s">
        <v>8516</v>
      </c>
      <c r="BL746" s="1" t="str">
        <f t="shared" si="356"/>
        <v>=2859*10000</v>
      </c>
      <c r="BM746" s="16">
        <f t="shared" si="371"/>
        <v>0.93564183280867441</v>
      </c>
      <c r="BN746" s="1">
        <f>2859*10000</f>
        <v>28590000</v>
      </c>
    </row>
    <row r="747" spans="1:66">
      <c r="A747" s="18"/>
      <c r="B747">
        <v>600621</v>
      </c>
      <c r="C747" t="s">
        <v>48</v>
      </c>
      <c r="D747" s="6" t="s">
        <v>8517</v>
      </c>
      <c r="E747" s="7" t="str">
        <f t="shared" si="355"/>
        <v>=6.461*100000000</v>
      </c>
      <c r="F747" s="1">
        <f>6.461*100000000</f>
        <v>646100000</v>
      </c>
      <c r="G747" s="8">
        <f t="shared" si="357"/>
        <v>2.409256617530512E-2</v>
      </c>
      <c r="H747" s="6" t="s">
        <v>8518</v>
      </c>
      <c r="I747" s="6" t="str">
        <f t="shared" si="341"/>
        <v>=6.309*100000000</v>
      </c>
      <c r="J747" s="1">
        <f>6.309*100000000</f>
        <v>630900000</v>
      </c>
      <c r="K747" s="10">
        <f t="shared" si="358"/>
        <v>1.6892583120204603</v>
      </c>
      <c r="L747" s="6" t="s">
        <v>1782</v>
      </c>
      <c r="M747" s="6" t="str">
        <f t="shared" si="342"/>
        <v>=2.346*100000000</v>
      </c>
      <c r="N747" s="1">
        <f>2.346*100000000</f>
        <v>234600000</v>
      </c>
      <c r="O747" s="8">
        <f t="shared" si="359"/>
        <v>1.8214070956103428</v>
      </c>
      <c r="P747" s="7" t="s">
        <v>8519</v>
      </c>
      <c r="Q747" s="6" t="str">
        <f t="shared" si="343"/>
        <v>=8315*10000</v>
      </c>
      <c r="R747" s="11">
        <f>8315*10000</f>
        <v>83150000</v>
      </c>
      <c r="S747" s="8">
        <f t="shared" si="360"/>
        <v>-0.91011782509998918</v>
      </c>
      <c r="T747" s="6" t="s">
        <v>8520</v>
      </c>
      <c r="U747" s="6" t="str">
        <f t="shared" si="344"/>
        <v>=9.251*100000000</v>
      </c>
      <c r="V747" s="1">
        <f>9.251*100000000</f>
        <v>925100000</v>
      </c>
      <c r="W747" s="8">
        <f t="shared" si="361"/>
        <v>7.3077369214708268E-2</v>
      </c>
      <c r="X747" s="6" t="s">
        <v>8521</v>
      </c>
      <c r="Y747" s="6" t="str">
        <f t="shared" si="345"/>
        <v>=8.621*100000000</v>
      </c>
      <c r="Z747" s="1">
        <f>8.621*100000000</f>
        <v>862100000</v>
      </c>
      <c r="AA747" s="8">
        <f t="shared" si="362"/>
        <v>0.26966126656848305</v>
      </c>
      <c r="AB747" s="6" t="s">
        <v>8522</v>
      </c>
      <c r="AC747" s="6" t="str">
        <f t="shared" si="346"/>
        <v>=6.790*100000000</v>
      </c>
      <c r="AD747" s="1">
        <f>6.79*100000000</f>
        <v>679000000</v>
      </c>
      <c r="AE747" s="8">
        <f t="shared" si="363"/>
        <v>5.351730589335828</v>
      </c>
      <c r="AF747" s="6" t="s">
        <v>4278</v>
      </c>
      <c r="AG747" s="6" t="str">
        <f t="shared" si="347"/>
        <v>=1.069*100000000</v>
      </c>
      <c r="AH747" s="1">
        <f>1.069*100000000</f>
        <v>106900000</v>
      </c>
      <c r="AI747" s="8">
        <f t="shared" si="364"/>
        <v>1.372392365734576</v>
      </c>
      <c r="AJ747" s="7" t="s">
        <v>3926</v>
      </c>
      <c r="AK747" s="6" t="str">
        <f t="shared" si="348"/>
        <v>=4506*10000</v>
      </c>
      <c r="AL747" s="1">
        <f>4506*10000</f>
        <v>45060000</v>
      </c>
      <c r="AM747" s="8">
        <f t="shared" si="365"/>
        <v>-0.30009319664492079</v>
      </c>
      <c r="AN747" s="7" t="s">
        <v>8523</v>
      </c>
      <c r="AO747" s="6" t="str">
        <f t="shared" si="349"/>
        <v>=6438*10000</v>
      </c>
      <c r="AP747" s="1">
        <f>6438*10000</f>
        <v>64380000</v>
      </c>
      <c r="AQ747" s="8">
        <f t="shared" si="366"/>
        <v>0.34376956793988728</v>
      </c>
      <c r="AR747" s="7" t="s">
        <v>8524</v>
      </c>
      <c r="AS747" s="6" t="str">
        <f t="shared" si="350"/>
        <v>=4791*10000</v>
      </c>
      <c r="AT747" s="1">
        <f>4791*10000</f>
        <v>47910000</v>
      </c>
      <c r="AU747" s="8">
        <f t="shared" si="367"/>
        <v>-0.24456007568590349</v>
      </c>
      <c r="AV747" s="7" t="s">
        <v>8525</v>
      </c>
      <c r="AW747" s="6" t="str">
        <f t="shared" si="351"/>
        <v>=6342*10000</v>
      </c>
      <c r="AX747" s="1">
        <f>6342*10000</f>
        <v>63420000</v>
      </c>
      <c r="AY747" s="10">
        <f t="shared" si="368"/>
        <v>-1.9486910994764397</v>
      </c>
      <c r="AZ747" s="7">
        <f>-6685*10000</f>
        <v>-66850000</v>
      </c>
      <c r="BA747" s="6" t="str">
        <f t="shared" si="352"/>
        <v>=-66850000</v>
      </c>
      <c r="BB747" s="1">
        <f>-66850000</f>
        <v>-66850000</v>
      </c>
      <c r="BC747" s="8">
        <f t="shared" si="369"/>
        <v>3.3465539661898571</v>
      </c>
      <c r="BD747" s="7">
        <f>-1538*10000</f>
        <v>-15380000</v>
      </c>
      <c r="BE747" s="6" t="str">
        <f t="shared" si="353"/>
        <v>=-15380000</v>
      </c>
      <c r="BF747" s="1">
        <f>-15380000</f>
        <v>-15380000</v>
      </c>
      <c r="BG747" s="8">
        <f t="shared" si="370"/>
        <v>9.6435986159169556</v>
      </c>
      <c r="BH747" s="7">
        <f>-144.5*10000</f>
        <v>-1445000</v>
      </c>
      <c r="BI747" s="6" t="str">
        <f t="shared" si="354"/>
        <v>=-1445000</v>
      </c>
      <c r="BJ747" s="1">
        <f>-1445000</f>
        <v>-1445000</v>
      </c>
      <c r="BK747" s="7">
        <f>-253.5*10000</f>
        <v>-2535000</v>
      </c>
      <c r="BL747" s="1" t="str">
        <f t="shared" si="356"/>
        <v>=-2535000</v>
      </c>
      <c r="BM747" s="16">
        <f t="shared" si="371"/>
        <v>-0.42998027613412226</v>
      </c>
      <c r="BN747" s="1">
        <f>-2535000</f>
        <v>-2535000</v>
      </c>
    </row>
    <row r="748" spans="1:66">
      <c r="A748" s="18"/>
      <c r="B748">
        <v>600621</v>
      </c>
      <c r="C748" t="s">
        <v>58</v>
      </c>
      <c r="D748" s="6" t="s">
        <v>8526</v>
      </c>
      <c r="E748" s="7" t="str">
        <f t="shared" si="355"/>
        <v>=6.557*100000000</v>
      </c>
      <c r="F748" s="1">
        <f>6.557*100000000</f>
        <v>655700000</v>
      </c>
      <c r="G748" s="8">
        <f t="shared" si="357"/>
        <v>1.3603339001391251E-2</v>
      </c>
      <c r="H748" s="6" t="s">
        <v>8527</v>
      </c>
      <c r="I748" s="6" t="str">
        <f t="shared" si="341"/>
        <v>=6.469*100000000</v>
      </c>
      <c r="J748" s="1">
        <f>6.469*100000000</f>
        <v>646900000</v>
      </c>
      <c r="K748" s="10">
        <f t="shared" si="358"/>
        <v>1.590708850620745</v>
      </c>
      <c r="L748" s="6" t="s">
        <v>8528</v>
      </c>
      <c r="M748" s="6" t="str">
        <f t="shared" si="342"/>
        <v>=2.497*100000000</v>
      </c>
      <c r="N748" s="1">
        <f>2.497*100000000</f>
        <v>249700000</v>
      </c>
      <c r="O748" s="8">
        <f t="shared" si="359"/>
        <v>1.3206319702602229</v>
      </c>
      <c r="P748" s="6" t="s">
        <v>8529</v>
      </c>
      <c r="Q748" s="6" t="str">
        <f t="shared" si="343"/>
        <v>=1.076*100000000</v>
      </c>
      <c r="R748" s="11">
        <f>1.076*100000000</f>
        <v>107600000</v>
      </c>
      <c r="S748" s="8">
        <f t="shared" si="360"/>
        <v>-0.88571428571428568</v>
      </c>
      <c r="T748" s="6" t="s">
        <v>8530</v>
      </c>
      <c r="U748" s="6" t="str">
        <f t="shared" si="344"/>
        <v>=9.415*100000000</v>
      </c>
      <c r="V748" s="1">
        <f>9.415*100000000</f>
        <v>941499999.99999988</v>
      </c>
      <c r="W748" s="8">
        <f t="shared" si="361"/>
        <v>8.0445260500344132E-2</v>
      </c>
      <c r="X748" s="6" t="s">
        <v>8531</v>
      </c>
      <c r="Y748" s="6" t="str">
        <f t="shared" si="345"/>
        <v>=8.714*100000000</v>
      </c>
      <c r="Z748" s="1">
        <f>8.714*100000000</f>
        <v>871400000</v>
      </c>
      <c r="AA748" s="8">
        <f t="shared" si="362"/>
        <v>0.27546838407494145</v>
      </c>
      <c r="AB748" s="6" t="s">
        <v>7931</v>
      </c>
      <c r="AC748" s="6" t="str">
        <f t="shared" si="346"/>
        <v>=6.832*100000000</v>
      </c>
      <c r="AD748" s="1">
        <f>6.832*100000000</f>
        <v>683200000</v>
      </c>
      <c r="AE748" s="8">
        <f t="shared" si="363"/>
        <v>5.3200740055504161</v>
      </c>
      <c r="AF748" s="6" t="s">
        <v>8532</v>
      </c>
      <c r="AG748" s="6" t="str">
        <f t="shared" si="347"/>
        <v>=1.081*100000000</v>
      </c>
      <c r="AH748" s="1">
        <f>1.081*100000000</f>
        <v>108100000</v>
      </c>
      <c r="AI748" s="8">
        <f t="shared" si="364"/>
        <v>2.5396201702685004</v>
      </c>
      <c r="AJ748" s="7" t="s">
        <v>8533</v>
      </c>
      <c r="AK748" s="6" t="str">
        <f t="shared" si="348"/>
        <v>=3054*10000</v>
      </c>
      <c r="AL748" s="1">
        <f>3054*10000</f>
        <v>30540000</v>
      </c>
      <c r="AM748" s="8">
        <f t="shared" si="365"/>
        <v>-0.55739130434782613</v>
      </c>
      <c r="AN748" s="7" t="s">
        <v>6713</v>
      </c>
      <c r="AO748" s="6" t="str">
        <f t="shared" si="349"/>
        <v>=6900*10000</v>
      </c>
      <c r="AP748" s="1">
        <f>6900*10000</f>
        <v>69000000</v>
      </c>
      <c r="AQ748" s="8">
        <f t="shared" si="366"/>
        <v>0.31303520456707895</v>
      </c>
      <c r="AR748" s="7" t="s">
        <v>8534</v>
      </c>
      <c r="AS748" s="6" t="str">
        <f t="shared" si="350"/>
        <v>=5255*10000</v>
      </c>
      <c r="AT748" s="1">
        <f>5255*10000</f>
        <v>52550000</v>
      </c>
      <c r="AU748" s="8">
        <f t="shared" si="367"/>
        <v>-0.20547323858482008</v>
      </c>
      <c r="AV748" s="7" t="s">
        <v>8535</v>
      </c>
      <c r="AW748" s="6" t="str">
        <f t="shared" si="351"/>
        <v>=6614*10000</v>
      </c>
      <c r="AX748" s="1">
        <f>6614*10000</f>
        <v>66140000</v>
      </c>
      <c r="AY748" s="10">
        <f t="shared" si="368"/>
        <v>-3.0572317262830482</v>
      </c>
      <c r="AZ748" s="7">
        <f>-3215*10000</f>
        <v>-32150000</v>
      </c>
      <c r="BA748" s="6" t="str">
        <f t="shared" si="352"/>
        <v>=-32150000</v>
      </c>
      <c r="BB748" s="1">
        <f>-32150000</f>
        <v>-32150000</v>
      </c>
      <c r="BC748" s="8">
        <f t="shared" si="369"/>
        <v>-3.3762010347376199</v>
      </c>
      <c r="BD748" s="7" t="s">
        <v>8536</v>
      </c>
      <c r="BE748" s="6" t="str">
        <f t="shared" si="353"/>
        <v>=1353*10000</v>
      </c>
      <c r="BF748" s="1">
        <f>1353*10000</f>
        <v>13530000</v>
      </c>
      <c r="BG748" s="8">
        <f t="shared" si="370"/>
        <v>-7.5819672131147542E-2</v>
      </c>
      <c r="BH748" s="7" t="s">
        <v>8537</v>
      </c>
      <c r="BI748" s="6" t="str">
        <f t="shared" si="354"/>
        <v>=1464*10000</v>
      </c>
      <c r="BJ748" s="1">
        <f>1464*10000</f>
        <v>14640000</v>
      </c>
      <c r="BK748" s="7" t="s">
        <v>8538</v>
      </c>
      <c r="BL748" s="1" t="str">
        <f t="shared" si="356"/>
        <v>=178.1*10000</v>
      </c>
      <c r="BM748" s="16">
        <f t="shared" si="371"/>
        <v>7.2201010668163956</v>
      </c>
      <c r="BN748" s="1">
        <f>178.1*10000</f>
        <v>1781000</v>
      </c>
    </row>
    <row r="749" spans="1:66">
      <c r="A749" s="19"/>
      <c r="B749">
        <v>600621</v>
      </c>
      <c r="C749" t="s">
        <v>68</v>
      </c>
      <c r="D749" s="6" t="s">
        <v>4652</v>
      </c>
      <c r="E749" s="7" t="str">
        <f t="shared" si="355"/>
        <v>=4.980*100000000</v>
      </c>
      <c r="F749" s="1">
        <f>4.98*100000000</f>
        <v>498000000.00000006</v>
      </c>
      <c r="G749" s="8">
        <f t="shared" si="357"/>
        <v>1.6119159355233746E-2</v>
      </c>
      <c r="H749" s="6" t="s">
        <v>8539</v>
      </c>
      <c r="I749" s="6" t="str">
        <f t="shared" si="341"/>
        <v>=4.901*100000000</v>
      </c>
      <c r="J749" s="1">
        <f>4.901*100000000</f>
        <v>490100000</v>
      </c>
      <c r="K749" s="10">
        <f t="shared" si="358"/>
        <v>1.7047461368653423</v>
      </c>
      <c r="L749" s="6" t="s">
        <v>8540</v>
      </c>
      <c r="M749" s="6" t="str">
        <f t="shared" si="342"/>
        <v>=1.812*100000000</v>
      </c>
      <c r="N749" s="1">
        <f>1.812*100000000</f>
        <v>181200000</v>
      </c>
      <c r="O749" s="8">
        <f t="shared" si="359"/>
        <v>1.2633025231076693</v>
      </c>
      <c r="P749" s="7" t="s">
        <v>8541</v>
      </c>
      <c r="Q749" s="6" t="str">
        <f t="shared" si="343"/>
        <v>=8006*10000</v>
      </c>
      <c r="R749" s="11">
        <f>8006*10000</f>
        <v>80060000</v>
      </c>
      <c r="S749" s="8">
        <f t="shared" si="360"/>
        <v>-0.88440658388680338</v>
      </c>
      <c r="T749" s="6" t="s">
        <v>8542</v>
      </c>
      <c r="U749" s="6" t="str">
        <f t="shared" si="344"/>
        <v>=6.926*100000000</v>
      </c>
      <c r="V749" s="1">
        <f>6.926*100000000</f>
        <v>692600000</v>
      </c>
      <c r="W749" s="8">
        <f t="shared" si="361"/>
        <v>5.2423643823127183E-2</v>
      </c>
      <c r="X749" s="6" t="s">
        <v>8543</v>
      </c>
      <c r="Y749" s="6" t="str">
        <f t="shared" si="345"/>
        <v>=6.581*100000000</v>
      </c>
      <c r="Z749" s="1">
        <f>6.581*100000000</f>
        <v>658100000</v>
      </c>
      <c r="AA749" s="8">
        <f t="shared" si="362"/>
        <v>0.20553214874519143</v>
      </c>
      <c r="AB749" s="6" t="s">
        <v>1202</v>
      </c>
      <c r="AC749" s="6" t="str">
        <f t="shared" si="346"/>
        <v>=5.459*100000000</v>
      </c>
      <c r="AD749" s="1">
        <f>5.459*100000000</f>
        <v>545900000</v>
      </c>
      <c r="AE749" s="8">
        <f t="shared" si="363"/>
        <v>5.7179424070883584</v>
      </c>
      <c r="AF749" s="7" t="s">
        <v>8544</v>
      </c>
      <c r="AG749" s="6" t="str">
        <f t="shared" si="347"/>
        <v>=8126*10000</v>
      </c>
      <c r="AH749" s="1">
        <f>8126*10000</f>
        <v>81260000</v>
      </c>
      <c r="AI749" s="8">
        <f t="shared" si="364"/>
        <v>4.2629533678756477</v>
      </c>
      <c r="AJ749" s="7" t="s">
        <v>8545</v>
      </c>
      <c r="AK749" s="6" t="str">
        <f t="shared" si="348"/>
        <v>=1544*10000</v>
      </c>
      <c r="AL749" s="1">
        <f>1544*10000</f>
        <v>15440000</v>
      </c>
      <c r="AM749" s="8">
        <f t="shared" si="365"/>
        <v>-0.62669245647969052</v>
      </c>
      <c r="AN749" s="7" t="s">
        <v>8546</v>
      </c>
      <c r="AO749" s="6" t="str">
        <f t="shared" si="349"/>
        <v>=4136*10000</v>
      </c>
      <c r="AP749" s="1">
        <f>4136*10000</f>
        <v>41360000</v>
      </c>
      <c r="AQ749" s="8">
        <f t="shared" si="366"/>
        <v>0.20023215322112595</v>
      </c>
      <c r="AR749" s="7" t="s">
        <v>2586</v>
      </c>
      <c r="AS749" s="6" t="str">
        <f t="shared" si="350"/>
        <v>=3446*10000</v>
      </c>
      <c r="AT749" s="1">
        <f>3446*10000</f>
        <v>34460000</v>
      </c>
      <c r="AU749" s="8">
        <f t="shared" si="367"/>
        <v>-0.27006990044482099</v>
      </c>
      <c r="AV749" s="7" t="s">
        <v>8547</v>
      </c>
      <c r="AW749" s="6" t="str">
        <f t="shared" si="351"/>
        <v>=4721*10000</v>
      </c>
      <c r="AX749" s="1">
        <f>4721*10000</f>
        <v>47210000</v>
      </c>
      <c r="AY749" s="10">
        <f t="shared" si="368"/>
        <v>-3.0166595472020505</v>
      </c>
      <c r="AZ749" s="7">
        <f>-2341*10000</f>
        <v>-23410000</v>
      </c>
      <c r="BA749" s="6" t="str">
        <f t="shared" si="352"/>
        <v>=-23410000</v>
      </c>
      <c r="BB749" s="1">
        <f>-23410000</f>
        <v>-23410000</v>
      </c>
      <c r="BC749" s="8">
        <f t="shared" si="369"/>
        <v>-9.5971355123026072</v>
      </c>
      <c r="BD749" s="7" t="s">
        <v>8548</v>
      </c>
      <c r="BE749" s="6" t="str">
        <f t="shared" si="353"/>
        <v>=272.3*10000</v>
      </c>
      <c r="BF749" s="1">
        <f>272.3*10000</f>
        <v>2723000</v>
      </c>
      <c r="BG749" s="8">
        <f t="shared" si="370"/>
        <v>-0.52994993958225445</v>
      </c>
      <c r="BH749" s="7" t="s">
        <v>8549</v>
      </c>
      <c r="BI749" s="6" t="str">
        <f t="shared" si="354"/>
        <v>=579.3*10000</v>
      </c>
      <c r="BJ749" s="1">
        <f>579.3*10000</f>
        <v>5793000</v>
      </c>
      <c r="BK749" s="7" t="s">
        <v>8550</v>
      </c>
      <c r="BL749" s="1" t="str">
        <f t="shared" si="356"/>
        <v>=391.6*10000</v>
      </c>
      <c r="BM749" s="16">
        <f t="shared" si="371"/>
        <v>0.47931562819203266</v>
      </c>
      <c r="BN749" s="1">
        <f>391.6*10000</f>
        <v>3916000</v>
      </c>
    </row>
    <row r="750" spans="1:66">
      <c r="A750" s="17">
        <v>189</v>
      </c>
      <c r="B750">
        <v>600623</v>
      </c>
      <c r="C750" t="s">
        <v>31</v>
      </c>
      <c r="D750" s="6" t="s">
        <v>8551</v>
      </c>
      <c r="E750" s="7" t="str">
        <f t="shared" si="355"/>
        <v>=396.9*100000000</v>
      </c>
      <c r="F750" s="1">
        <f>396.9*100000000</f>
        <v>39690000000</v>
      </c>
      <c r="G750" s="8">
        <f t="shared" si="357"/>
        <v>0.24459078080903118</v>
      </c>
      <c r="H750" s="6" t="s">
        <v>862</v>
      </c>
      <c r="I750" s="6" t="str">
        <f t="shared" si="341"/>
        <v>=318.9*100000000</v>
      </c>
      <c r="J750" s="1">
        <f>318.9*100000000</f>
        <v>31889999999.999996</v>
      </c>
      <c r="K750" s="10">
        <f t="shared" si="358"/>
        <v>0.58973080757726803</v>
      </c>
      <c r="L750" s="6" t="s">
        <v>8552</v>
      </c>
      <c r="M750" s="6" t="str">
        <f t="shared" si="342"/>
        <v>=200.6*100000000</v>
      </c>
      <c r="N750" s="1">
        <f>200.6*100000000</f>
        <v>20060000000</v>
      </c>
      <c r="O750" s="8">
        <f t="shared" si="359"/>
        <v>1.3185390661118817</v>
      </c>
      <c r="P750" s="6" t="s">
        <v>8553</v>
      </c>
      <c r="Q750" s="6" t="str">
        <f t="shared" si="343"/>
        <v>=86.52*100000000</v>
      </c>
      <c r="R750" s="11">
        <f>86.52*100000000</f>
        <v>8652000000</v>
      </c>
      <c r="S750" s="8">
        <f t="shared" si="360"/>
        <v>-0.69242801279772481</v>
      </c>
      <c r="T750" s="6" t="s">
        <v>8554</v>
      </c>
      <c r="U750" s="6" t="str">
        <f t="shared" si="344"/>
        <v>=281.3*100000000</v>
      </c>
      <c r="V750" s="1">
        <f>281.3*100000000</f>
        <v>28130000000</v>
      </c>
      <c r="W750" s="8">
        <f t="shared" si="361"/>
        <v>0.40019910403185666</v>
      </c>
      <c r="X750" s="6" t="s">
        <v>8555</v>
      </c>
      <c r="Y750" s="6" t="str">
        <f t="shared" si="345"/>
        <v>=200.9*100000000</v>
      </c>
      <c r="Z750" s="1">
        <f>200.9*100000000</f>
        <v>20090000000</v>
      </c>
      <c r="AA750" s="8">
        <f t="shared" si="362"/>
        <v>0.56342412451361867</v>
      </c>
      <c r="AB750" s="6" t="s">
        <v>838</v>
      </c>
      <c r="AC750" s="6" t="str">
        <f t="shared" si="346"/>
        <v>=128.5*100000000</v>
      </c>
      <c r="AD750" s="1">
        <f>128.5*100000000</f>
        <v>12850000000</v>
      </c>
      <c r="AE750" s="8">
        <f t="shared" si="363"/>
        <v>1.1509876129896217</v>
      </c>
      <c r="AF750" s="6" t="s">
        <v>8556</v>
      </c>
      <c r="AG750" s="6" t="str">
        <f t="shared" si="347"/>
        <v>=59.74*100000000</v>
      </c>
      <c r="AH750" s="1">
        <f>59.74*100000000</f>
        <v>5974000000</v>
      </c>
      <c r="AI750" s="8">
        <f t="shared" si="364"/>
        <v>-0.84082067679189987</v>
      </c>
      <c r="AJ750" s="6" t="s">
        <v>8557</v>
      </c>
      <c r="AK750" s="6" t="str">
        <f t="shared" si="348"/>
        <v>=375.3*100000000</v>
      </c>
      <c r="AL750" s="1">
        <f>375.3*100000000</f>
        <v>37530000000</v>
      </c>
      <c r="AM750" s="8">
        <f t="shared" si="365"/>
        <v>0.1967474489795917</v>
      </c>
      <c r="AN750" s="6" t="s">
        <v>8558</v>
      </c>
      <c r="AO750" s="6" t="str">
        <f t="shared" si="349"/>
        <v>=313.6*100000000</v>
      </c>
      <c r="AP750" s="1">
        <f>313.6*100000000</f>
        <v>31360000000.000004</v>
      </c>
      <c r="AQ750" s="8">
        <f t="shared" si="366"/>
        <v>0.50263536176329682</v>
      </c>
      <c r="AR750" s="6" t="s">
        <v>1490</v>
      </c>
      <c r="AS750" s="6" t="str">
        <f t="shared" si="350"/>
        <v>=208.7*100000000</v>
      </c>
      <c r="AT750" s="1">
        <f>208.7*100000000</f>
        <v>20870000000</v>
      </c>
      <c r="AU750" s="8">
        <f t="shared" si="367"/>
        <v>1.0262135922330098</v>
      </c>
      <c r="AV750" s="6" t="s">
        <v>8559</v>
      </c>
      <c r="AW750" s="6" t="str">
        <f t="shared" si="351"/>
        <v>=103.0*100000000</v>
      </c>
      <c r="AX750" s="1">
        <f>103*100000000</f>
        <v>10300000000</v>
      </c>
      <c r="AY750" s="10">
        <f t="shared" si="368"/>
        <v>-0.76717902350813738</v>
      </c>
      <c r="AZ750" s="6" t="s">
        <v>8560</v>
      </c>
      <c r="BA750" s="6" t="str">
        <f t="shared" si="352"/>
        <v>=442.4*100000000</v>
      </c>
      <c r="BB750" s="1">
        <f>442.4*100000000</f>
        <v>44240000000</v>
      </c>
      <c r="BC750" s="8">
        <f t="shared" si="369"/>
        <v>0.30926309559041149</v>
      </c>
      <c r="BD750" s="6" t="s">
        <v>8561</v>
      </c>
      <c r="BE750" s="6" t="str">
        <f t="shared" si="353"/>
        <v>=337.9*100000000</v>
      </c>
      <c r="BF750" s="1">
        <f>337.9*100000000</f>
        <v>33789999999.999996</v>
      </c>
      <c r="BG750" s="8">
        <f t="shared" si="370"/>
        <v>0.46213760276936372</v>
      </c>
      <c r="BH750" s="6" t="s">
        <v>4119</v>
      </c>
      <c r="BI750" s="6" t="str">
        <f t="shared" si="354"/>
        <v>=231.1*100000000</v>
      </c>
      <c r="BJ750" s="1">
        <f>231.1*100000000</f>
        <v>23110000000</v>
      </c>
      <c r="BK750" s="6" t="s">
        <v>8562</v>
      </c>
      <c r="BL750" s="1" t="str">
        <f t="shared" si="356"/>
        <v>=107.3*100000000</v>
      </c>
      <c r="BM750" s="16">
        <f t="shared" si="371"/>
        <v>1.1537744641192917</v>
      </c>
      <c r="BN750" s="1">
        <f>107.3*100000000</f>
        <v>10730000000</v>
      </c>
    </row>
    <row r="751" spans="1:66">
      <c r="A751" s="18"/>
      <c r="B751">
        <v>600623</v>
      </c>
      <c r="C751" t="s">
        <v>48</v>
      </c>
      <c r="D751" s="6" t="s">
        <v>4417</v>
      </c>
      <c r="E751" s="7" t="str">
        <f t="shared" si="355"/>
        <v>=44.38*100000000</v>
      </c>
      <c r="F751" s="1">
        <f>44.38*100000000</f>
        <v>4438000000</v>
      </c>
      <c r="G751" s="8">
        <f t="shared" si="357"/>
        <v>0.18157614483493079</v>
      </c>
      <c r="H751" s="6" t="s">
        <v>6357</v>
      </c>
      <c r="I751" s="6" t="str">
        <f t="shared" si="341"/>
        <v>=37.56*100000000</v>
      </c>
      <c r="J751" s="1">
        <f>37.56*100000000</f>
        <v>3756000000</v>
      </c>
      <c r="K751" s="10">
        <f t="shared" si="358"/>
        <v>0.48929421094369546</v>
      </c>
      <c r="L751" s="6" t="s">
        <v>8563</v>
      </c>
      <c r="M751" s="6" t="str">
        <f t="shared" si="342"/>
        <v>=25.22*100000000</v>
      </c>
      <c r="N751" s="1">
        <f>25.22*100000000</f>
        <v>2522000000</v>
      </c>
      <c r="O751" s="8">
        <f t="shared" si="359"/>
        <v>2.5436279331178868</v>
      </c>
      <c r="P751" s="6" t="s">
        <v>8564</v>
      </c>
      <c r="Q751" s="6" t="str">
        <f t="shared" si="343"/>
        <v>=7.117*100000000</v>
      </c>
      <c r="R751" s="11">
        <f>7.117*100000000</f>
        <v>711700000</v>
      </c>
      <c r="S751" s="8">
        <f t="shared" si="360"/>
        <v>5.9077380952380951E-2</v>
      </c>
      <c r="T751" s="6" t="s">
        <v>7246</v>
      </c>
      <c r="U751" s="6" t="str">
        <f t="shared" si="344"/>
        <v>=6.720*100000000</v>
      </c>
      <c r="V751" s="1">
        <f>6.72*100000000</f>
        <v>672000000</v>
      </c>
      <c r="W751" s="8">
        <f t="shared" si="361"/>
        <v>1.5215759849906192</v>
      </c>
      <c r="X751" s="6" t="s">
        <v>8565</v>
      </c>
      <c r="Y751" s="6" t="str">
        <f t="shared" si="345"/>
        <v>=2.665*100000000</v>
      </c>
      <c r="Z751" s="1">
        <f>2.665*100000000</f>
        <v>266500000</v>
      </c>
      <c r="AA751" s="8">
        <f t="shared" si="362"/>
        <v>2.5887422569350931</v>
      </c>
      <c r="AB751" s="7" t="s">
        <v>6766</v>
      </c>
      <c r="AC751" s="6" t="str">
        <f t="shared" si="346"/>
        <v>=7426*10000</v>
      </c>
      <c r="AD751" s="1">
        <f>7426*10000</f>
        <v>74260000</v>
      </c>
      <c r="AE751" s="8">
        <f t="shared" si="363"/>
        <v>-1.5266666666666666</v>
      </c>
      <c r="AF751" s="6">
        <f>-1.41*100000000</f>
        <v>-141000000</v>
      </c>
      <c r="AG751" s="6" t="str">
        <f t="shared" si="347"/>
        <v>=-141000000</v>
      </c>
      <c r="AH751" s="1">
        <f>-141000000</f>
        <v>-141000000</v>
      </c>
      <c r="AI751" s="8">
        <f t="shared" si="364"/>
        <v>-1.151417525773196</v>
      </c>
      <c r="AJ751" s="6" t="s">
        <v>8566</v>
      </c>
      <c r="AK751" s="6" t="str">
        <f t="shared" si="348"/>
        <v>=9.312*100000000</v>
      </c>
      <c r="AL751" s="1">
        <f>9.312*100000000</f>
        <v>931199999.99999988</v>
      </c>
      <c r="AM751" s="8">
        <f t="shared" si="365"/>
        <v>0.17992904206791674</v>
      </c>
      <c r="AN751" s="6" t="s">
        <v>8567</v>
      </c>
      <c r="AO751" s="6" t="str">
        <f t="shared" si="349"/>
        <v>=7.892*100000000</v>
      </c>
      <c r="AP751" s="1">
        <f>7.892*100000000</f>
        <v>789200000</v>
      </c>
      <c r="AQ751" s="8">
        <f t="shared" si="366"/>
        <v>0.11374541349139147</v>
      </c>
      <c r="AR751" s="6" t="s">
        <v>8568</v>
      </c>
      <c r="AS751" s="6" t="str">
        <f t="shared" si="350"/>
        <v>=7.086*100000000</v>
      </c>
      <c r="AT751" s="1">
        <f>7.086*100000000</f>
        <v>708600000</v>
      </c>
      <c r="AU751" s="8">
        <f t="shared" si="367"/>
        <v>0.70623645557428394</v>
      </c>
      <c r="AV751" s="6" t="s">
        <v>8569</v>
      </c>
      <c r="AW751" s="6" t="str">
        <f t="shared" si="351"/>
        <v>=4.153*100000000</v>
      </c>
      <c r="AX751" s="1">
        <f>4.153*100000000</f>
        <v>415299999.99999994</v>
      </c>
      <c r="AY751" s="10">
        <f t="shared" si="368"/>
        <v>-0.81385029134917075</v>
      </c>
      <c r="AZ751" s="6" t="s">
        <v>8570</v>
      </c>
      <c r="BA751" s="6" t="str">
        <f t="shared" si="352"/>
        <v>=22.31*100000000</v>
      </c>
      <c r="BB751" s="1">
        <f>22.31*100000000</f>
        <v>2231000000</v>
      </c>
      <c r="BC751" s="8">
        <f t="shared" si="369"/>
        <v>0.12279818822345244</v>
      </c>
      <c r="BD751" s="6" t="s">
        <v>6667</v>
      </c>
      <c r="BE751" s="6" t="str">
        <f t="shared" si="353"/>
        <v>=19.87*100000000</v>
      </c>
      <c r="BF751" s="1">
        <f>19.87*100000000</f>
        <v>1987000000</v>
      </c>
      <c r="BG751" s="8">
        <f t="shared" si="370"/>
        <v>0.58960000000000001</v>
      </c>
      <c r="BH751" s="6" t="s">
        <v>7678</v>
      </c>
      <c r="BI751" s="6" t="str">
        <f t="shared" si="354"/>
        <v>=12.50*100000000</v>
      </c>
      <c r="BJ751" s="1">
        <f>12.5*100000000</f>
        <v>1250000000</v>
      </c>
      <c r="BK751" s="6" t="s">
        <v>1579</v>
      </c>
      <c r="BL751" s="1" t="str">
        <f t="shared" si="356"/>
        <v>=5.351*100000000</v>
      </c>
      <c r="BM751" s="16">
        <f t="shared" si="371"/>
        <v>1.3360119603812373</v>
      </c>
      <c r="BN751" s="1">
        <f>5.351*100000000</f>
        <v>535100000</v>
      </c>
    </row>
    <row r="752" spans="1:66">
      <c r="A752" s="18"/>
      <c r="B752">
        <v>600623</v>
      </c>
      <c r="C752" t="s">
        <v>58</v>
      </c>
      <c r="D752" s="6" t="s">
        <v>8571</v>
      </c>
      <c r="E752" s="7" t="str">
        <f t="shared" si="355"/>
        <v>=44.50*100000000</v>
      </c>
      <c r="F752" s="1">
        <f>44.5*100000000</f>
        <v>4450000000</v>
      </c>
      <c r="G752" s="8">
        <f t="shared" si="357"/>
        <v>0.18037135278514574</v>
      </c>
      <c r="H752" s="6" t="s">
        <v>8572</v>
      </c>
      <c r="I752" s="6" t="str">
        <f t="shared" si="341"/>
        <v>=37.70*100000000</v>
      </c>
      <c r="J752" s="1">
        <f>37.7*100000000</f>
        <v>3770000000.0000005</v>
      </c>
      <c r="K752" s="10">
        <f t="shared" si="358"/>
        <v>0.49011857707509898</v>
      </c>
      <c r="L752" s="6" t="s">
        <v>8573</v>
      </c>
      <c r="M752" s="6" t="str">
        <f t="shared" si="342"/>
        <v>=25.30*100000000</v>
      </c>
      <c r="N752" s="1">
        <f>25.3*100000000</f>
        <v>2530000000</v>
      </c>
      <c r="O752" s="8">
        <f t="shared" si="359"/>
        <v>2.5404422054296112</v>
      </c>
      <c r="P752" s="6" t="s">
        <v>8574</v>
      </c>
      <c r="Q752" s="6" t="str">
        <f t="shared" si="343"/>
        <v>=7.146*100000000</v>
      </c>
      <c r="R752" s="11">
        <f>7.146*100000000</f>
        <v>714600000</v>
      </c>
      <c r="S752" s="8">
        <f t="shared" si="360"/>
        <v>0.28455869135358619</v>
      </c>
      <c r="T752" s="6" t="s">
        <v>8575</v>
      </c>
      <c r="U752" s="6" t="str">
        <f t="shared" si="344"/>
        <v>=5.563*100000000</v>
      </c>
      <c r="V752" s="1">
        <f>5.563*100000000</f>
        <v>556300000</v>
      </c>
      <c r="W752" s="8">
        <f t="shared" si="361"/>
        <v>2.8902097902097901</v>
      </c>
      <c r="X752" s="6" t="s">
        <v>8576</v>
      </c>
      <c r="Y752" s="6" t="str">
        <f t="shared" si="345"/>
        <v>=1.430*100000000</v>
      </c>
      <c r="Z752" s="1">
        <f>1.43*100000000</f>
        <v>143000000</v>
      </c>
      <c r="AA752" s="8">
        <f t="shared" si="362"/>
        <v>-3.6629422718808193</v>
      </c>
      <c r="AB752" s="7">
        <f>-5370*10000</f>
        <v>-53700000</v>
      </c>
      <c r="AC752" s="6" t="str">
        <f t="shared" si="346"/>
        <v>=-53700000</v>
      </c>
      <c r="AD752" s="1">
        <f>-53700000</f>
        <v>-53700000</v>
      </c>
      <c r="AE752" s="8">
        <f t="shared" si="363"/>
        <v>-0.79743493021501322</v>
      </c>
      <c r="AF752" s="6">
        <f>-2.651*100000000</f>
        <v>-265099999.99999997</v>
      </c>
      <c r="AG752" s="6" t="str">
        <f t="shared" si="347"/>
        <v>=-265100000</v>
      </c>
      <c r="AH752" s="1">
        <f>-265100000</f>
        <v>-265100000</v>
      </c>
      <c r="AI752" s="8">
        <f t="shared" si="364"/>
        <v>-1.2821413367390377</v>
      </c>
      <c r="AJ752" s="6" t="s">
        <v>74</v>
      </c>
      <c r="AK752" s="6" t="str">
        <f t="shared" si="348"/>
        <v>=9.396*100000000</v>
      </c>
      <c r="AL752" s="1">
        <f>9.396*100000000</f>
        <v>939600000.00000012</v>
      </c>
      <c r="AM752" s="8">
        <f t="shared" si="365"/>
        <v>0.18025373696771776</v>
      </c>
      <c r="AN752" s="6" t="s">
        <v>1595</v>
      </c>
      <c r="AO752" s="6" t="str">
        <f t="shared" si="349"/>
        <v>=7.961*100000000</v>
      </c>
      <c r="AP752" s="1">
        <f>7.961*100000000</f>
        <v>796100000</v>
      </c>
      <c r="AQ752" s="8">
        <f t="shared" si="366"/>
        <v>0.11342657342657343</v>
      </c>
      <c r="AR752" s="6" t="s">
        <v>2564</v>
      </c>
      <c r="AS752" s="6" t="str">
        <f t="shared" si="350"/>
        <v>=7.150*100000000</v>
      </c>
      <c r="AT752" s="1">
        <f>7.15*100000000</f>
        <v>715000000</v>
      </c>
      <c r="AU752" s="8">
        <f t="shared" si="367"/>
        <v>0.69833729216152018</v>
      </c>
      <c r="AV752" s="6" t="s">
        <v>8577</v>
      </c>
      <c r="AW752" s="6" t="str">
        <f t="shared" si="351"/>
        <v>=4.210*100000000</v>
      </c>
      <c r="AX752" s="1">
        <f>4.21*100000000</f>
        <v>421000000</v>
      </c>
      <c r="AY752" s="10">
        <f t="shared" si="368"/>
        <v>-0.81977739726027399</v>
      </c>
      <c r="AZ752" s="6" t="s">
        <v>8578</v>
      </c>
      <c r="BA752" s="6" t="str">
        <f t="shared" si="352"/>
        <v>=23.36*100000000</v>
      </c>
      <c r="BB752" s="1">
        <f>23.36*100000000</f>
        <v>2336000000</v>
      </c>
      <c r="BC752" s="8">
        <f t="shared" si="369"/>
        <v>0.1389566065333982</v>
      </c>
      <c r="BD752" s="6" t="s">
        <v>8579</v>
      </c>
      <c r="BE752" s="6" t="str">
        <f t="shared" si="353"/>
        <v>=20.51*100000000</v>
      </c>
      <c r="BF752" s="1">
        <f>20.51*100000000</f>
        <v>2051000000.0000002</v>
      </c>
      <c r="BG752" s="8">
        <f t="shared" si="370"/>
        <v>0.62777777777777799</v>
      </c>
      <c r="BH752" s="6" t="s">
        <v>4377</v>
      </c>
      <c r="BI752" s="6" t="str">
        <f t="shared" si="354"/>
        <v>=12.60*100000000</v>
      </c>
      <c r="BJ752" s="1">
        <f>12.6*100000000</f>
        <v>1260000000</v>
      </c>
      <c r="BK752" s="6" t="s">
        <v>8580</v>
      </c>
      <c r="BL752" s="1" t="str">
        <f t="shared" si="356"/>
        <v>=5.488*100000000</v>
      </c>
      <c r="BM752" s="16">
        <f t="shared" si="371"/>
        <v>1.2959183673469388</v>
      </c>
      <c r="BN752" s="1">
        <f>5.488*100000000</f>
        <v>548800000</v>
      </c>
    </row>
    <row r="753" spans="1:66">
      <c r="A753" s="19"/>
      <c r="B753">
        <v>600623</v>
      </c>
      <c r="C753" t="s">
        <v>68</v>
      </c>
      <c r="D753" s="6" t="s">
        <v>8581</v>
      </c>
      <c r="E753" s="7" t="str">
        <f t="shared" si="355"/>
        <v>=35.31*100000000</v>
      </c>
      <c r="F753" s="1">
        <f>35.31*100000000</f>
        <v>3531000000</v>
      </c>
      <c r="G753" s="8">
        <f t="shared" si="357"/>
        <v>0.1592252133946159</v>
      </c>
      <c r="H753" s="6" t="s">
        <v>8582</v>
      </c>
      <c r="I753" s="6" t="str">
        <f t="shared" si="341"/>
        <v>=30.46*100000000</v>
      </c>
      <c r="J753" s="1">
        <f>30.46*100000000</f>
        <v>3046000000</v>
      </c>
      <c r="K753" s="10">
        <f t="shared" si="358"/>
        <v>0.47149758454106278</v>
      </c>
      <c r="L753" s="6" t="s">
        <v>8583</v>
      </c>
      <c r="M753" s="6" t="str">
        <f t="shared" si="342"/>
        <v>=20.70*100000000</v>
      </c>
      <c r="N753" s="1">
        <f>20.7*100000000</f>
        <v>2070000000</v>
      </c>
      <c r="O753" s="8">
        <f t="shared" si="359"/>
        <v>2.3696890769982093</v>
      </c>
      <c r="P753" s="6" t="s">
        <v>8584</v>
      </c>
      <c r="Q753" s="6" t="str">
        <f t="shared" si="343"/>
        <v>=6.143*100000000</v>
      </c>
      <c r="R753" s="11">
        <f>6.143*100000000</f>
        <v>614300000</v>
      </c>
      <c r="S753" s="8">
        <f t="shared" si="360"/>
        <v>0.50896585605502331</v>
      </c>
      <c r="T753" s="6" t="s">
        <v>189</v>
      </c>
      <c r="U753" s="6" t="str">
        <f t="shared" si="344"/>
        <v>=4.071*100000000</v>
      </c>
      <c r="V753" s="1">
        <f>4.071*100000000</f>
        <v>407100000</v>
      </c>
      <c r="W753" s="8">
        <f t="shared" si="361"/>
        <v>11.834174022698614</v>
      </c>
      <c r="X753" s="7" t="s">
        <v>8585</v>
      </c>
      <c r="Y753" s="6" t="str">
        <f t="shared" si="345"/>
        <v>=3172*10000</v>
      </c>
      <c r="Z753" s="1">
        <f>3172*10000</f>
        <v>31720000</v>
      </c>
      <c r="AA753" s="8">
        <f t="shared" si="362"/>
        <v>-1.2511480601741884</v>
      </c>
      <c r="AB753" s="6">
        <f>-1.263*100000000</f>
        <v>-126299999.99999999</v>
      </c>
      <c r="AC753" s="6" t="str">
        <f t="shared" si="346"/>
        <v>=-126300000</v>
      </c>
      <c r="AD753" s="1">
        <f>-126300000</f>
        <v>-126300000</v>
      </c>
      <c r="AE753" s="8">
        <f t="shared" si="363"/>
        <v>-0.56357982031789911</v>
      </c>
      <c r="AF753" s="6">
        <f>-2.894*100000000</f>
        <v>-289400000</v>
      </c>
      <c r="AG753" s="6" t="str">
        <f t="shared" si="347"/>
        <v>=-289400000</v>
      </c>
      <c r="AH753" s="1">
        <f>-289400000</f>
        <v>-289400000</v>
      </c>
      <c r="AI753" s="8">
        <f t="shared" si="364"/>
        <v>-1.4546739984289081</v>
      </c>
      <c r="AJ753" s="6" t="s">
        <v>8586</v>
      </c>
      <c r="AK753" s="6" t="str">
        <f t="shared" si="348"/>
        <v>=6.365*100000000</v>
      </c>
      <c r="AL753" s="1">
        <f>6.365*100000000</f>
        <v>636500000</v>
      </c>
      <c r="AM753" s="8">
        <f t="shared" si="365"/>
        <v>0.16043755697356427</v>
      </c>
      <c r="AN753" s="6" t="s">
        <v>375</v>
      </c>
      <c r="AO753" s="6" t="str">
        <f t="shared" si="349"/>
        <v>=5.485*100000000</v>
      </c>
      <c r="AP753" s="1">
        <f>5.485*100000000</f>
        <v>548500000</v>
      </c>
      <c r="AQ753" s="8">
        <f t="shared" si="366"/>
        <v>5.4199500288295212E-2</v>
      </c>
      <c r="AR753" s="6" t="s">
        <v>8587</v>
      </c>
      <c r="AS753" s="6" t="str">
        <f t="shared" si="350"/>
        <v>=5.203*100000000</v>
      </c>
      <c r="AT753" s="1">
        <f>5.203*100000000</f>
        <v>520300000</v>
      </c>
      <c r="AU753" s="8">
        <f t="shared" si="367"/>
        <v>0.739551989301237</v>
      </c>
      <c r="AV753" s="6" t="s">
        <v>8282</v>
      </c>
      <c r="AW753" s="6" t="str">
        <f t="shared" si="351"/>
        <v>=2.991*100000000</v>
      </c>
      <c r="AX753" s="1">
        <f>2.991*100000000</f>
        <v>299100000</v>
      </c>
      <c r="AY753" s="10">
        <f t="shared" si="368"/>
        <v>-0.82670915411355739</v>
      </c>
      <c r="AZ753" s="6" t="s">
        <v>7000</v>
      </c>
      <c r="BA753" s="6" t="str">
        <f t="shared" si="352"/>
        <v>=17.26*100000000</v>
      </c>
      <c r="BB753" s="1">
        <f>17.26*100000000</f>
        <v>1726000000.0000002</v>
      </c>
      <c r="BC753" s="8">
        <f t="shared" si="369"/>
        <v>8.9646464646464794E-2</v>
      </c>
      <c r="BD753" s="6" t="s">
        <v>8286</v>
      </c>
      <c r="BE753" s="6" t="str">
        <f t="shared" si="353"/>
        <v>=15.84*100000000</v>
      </c>
      <c r="BF753" s="1">
        <f>15.84*100000000</f>
        <v>1584000000</v>
      </c>
      <c r="BG753" s="8">
        <f t="shared" si="370"/>
        <v>0.59709618874773163</v>
      </c>
      <c r="BH753" s="6" t="s">
        <v>8588</v>
      </c>
      <c r="BI753" s="6" t="str">
        <f t="shared" si="354"/>
        <v>=9.918*100000000</v>
      </c>
      <c r="BJ753" s="1">
        <f>9.918*100000000</f>
        <v>991799999.99999988</v>
      </c>
      <c r="BK753" s="6" t="s">
        <v>4062</v>
      </c>
      <c r="BL753" s="1" t="str">
        <f t="shared" si="356"/>
        <v>=4.376*100000000</v>
      </c>
      <c r="BM753" s="16">
        <f t="shared" si="371"/>
        <v>1.2664533820840944</v>
      </c>
      <c r="BN753" s="1">
        <f>4.376*100000000</f>
        <v>437600000.00000006</v>
      </c>
    </row>
    <row r="754" spans="1:66">
      <c r="A754" s="17">
        <v>190</v>
      </c>
      <c r="B754">
        <v>600635</v>
      </c>
      <c r="C754" t="s">
        <v>31</v>
      </c>
      <c r="D754" s="6" t="s">
        <v>809</v>
      </c>
      <c r="E754" s="7" t="str">
        <f t="shared" si="355"/>
        <v>=54.18*100000000</v>
      </c>
      <c r="F754" s="1">
        <f>54.18*100000000</f>
        <v>5418000000</v>
      </c>
      <c r="G754" s="8">
        <f t="shared" si="357"/>
        <v>0.32017543859649122</v>
      </c>
      <c r="H754" s="6" t="s">
        <v>8589</v>
      </c>
      <c r="I754" s="6" t="str">
        <f t="shared" si="341"/>
        <v>=41.04*100000000</v>
      </c>
      <c r="J754" s="1">
        <f>41.04*100000000</f>
        <v>4104000000</v>
      </c>
      <c r="K754" s="10">
        <f t="shared" si="358"/>
        <v>0.34073832081019273</v>
      </c>
      <c r="L754" s="6" t="s">
        <v>8590</v>
      </c>
      <c r="M754" s="6" t="str">
        <f t="shared" si="342"/>
        <v>=30.61*100000000</v>
      </c>
      <c r="N754" s="1">
        <f>30.61*100000000</f>
        <v>3061000000</v>
      </c>
      <c r="O754" s="8">
        <f t="shared" si="359"/>
        <v>0.6827927432655303</v>
      </c>
      <c r="P754" s="6" t="s">
        <v>1891</v>
      </c>
      <c r="Q754" s="6" t="str">
        <f t="shared" si="343"/>
        <v>=18.19*100000000</v>
      </c>
      <c r="R754" s="11">
        <f>18.19*100000000</f>
        <v>1819000000.0000002</v>
      </c>
      <c r="S754" s="8">
        <f t="shared" si="360"/>
        <v>-0.61969475224754333</v>
      </c>
      <c r="T754" s="6" t="s">
        <v>8591</v>
      </c>
      <c r="U754" s="6" t="str">
        <f t="shared" si="344"/>
        <v>=47.83*100000000</v>
      </c>
      <c r="V754" s="1">
        <f>47.83*100000000</f>
        <v>4783000000</v>
      </c>
      <c r="W754" s="8">
        <f t="shared" si="361"/>
        <v>0.32493074792243765</v>
      </c>
      <c r="X754" s="6" t="s">
        <v>8592</v>
      </c>
      <c r="Y754" s="6" t="str">
        <f t="shared" si="345"/>
        <v>=36.10*100000000</v>
      </c>
      <c r="Z754" s="1">
        <f>36.1*100000000</f>
        <v>3610000000</v>
      </c>
      <c r="AA754" s="8">
        <f t="shared" si="362"/>
        <v>0.40740740740740738</v>
      </c>
      <c r="AB754" s="6" t="s">
        <v>8180</v>
      </c>
      <c r="AC754" s="6" t="str">
        <f t="shared" si="346"/>
        <v>=25.65*100000000</v>
      </c>
      <c r="AD754" s="1">
        <f>25.65*100000000</f>
        <v>2565000000</v>
      </c>
      <c r="AE754" s="8">
        <f t="shared" si="363"/>
        <v>0.78621169916434541</v>
      </c>
      <c r="AF754" s="6" t="s">
        <v>220</v>
      </c>
      <c r="AG754" s="6" t="str">
        <f t="shared" si="347"/>
        <v>=14.36*100000000</v>
      </c>
      <c r="AH754" s="1">
        <f>14.36*100000000</f>
        <v>1436000000</v>
      </c>
      <c r="AI754" s="8">
        <f t="shared" si="364"/>
        <v>-0.73699633699633704</v>
      </c>
      <c r="AJ754" s="6" t="s">
        <v>8593</v>
      </c>
      <c r="AK754" s="6" t="str">
        <f t="shared" si="348"/>
        <v>=54.60*100000000</v>
      </c>
      <c r="AL754" s="1">
        <f>54.6*100000000</f>
        <v>5460000000</v>
      </c>
      <c r="AM754" s="8">
        <f t="shared" si="365"/>
        <v>0.27988748241912814</v>
      </c>
      <c r="AN754" s="6" t="s">
        <v>8594</v>
      </c>
      <c r="AO754" s="6" t="str">
        <f t="shared" si="349"/>
        <v>=42.66*100000000</v>
      </c>
      <c r="AP754" s="1">
        <f>42.66*100000000</f>
        <v>4265999999.9999995</v>
      </c>
      <c r="AQ754" s="8">
        <f t="shared" si="366"/>
        <v>0.46497252747252732</v>
      </c>
      <c r="AR754" s="6" t="s">
        <v>8595</v>
      </c>
      <c r="AS754" s="6" t="str">
        <f t="shared" si="350"/>
        <v>=29.12*100000000</v>
      </c>
      <c r="AT754" s="1">
        <f>29.12*100000000</f>
        <v>2912000000</v>
      </c>
      <c r="AU754" s="8">
        <f t="shared" si="367"/>
        <v>0.70491803278688547</v>
      </c>
      <c r="AV754" s="6" t="s">
        <v>8596</v>
      </c>
      <c r="AW754" s="6" t="str">
        <f t="shared" si="351"/>
        <v>=17.08*100000000</v>
      </c>
      <c r="AX754" s="1">
        <f>17.08*100000000</f>
        <v>1707999999.9999998</v>
      </c>
      <c r="AY754" s="10">
        <f t="shared" si="368"/>
        <v>-0.65439093484419264</v>
      </c>
      <c r="AZ754" s="6" t="s">
        <v>8597</v>
      </c>
      <c r="BA754" s="6" t="str">
        <f t="shared" si="352"/>
        <v>=49.42*100000000</v>
      </c>
      <c r="BB754" s="1">
        <f>49.42*100000000</f>
        <v>4942000000</v>
      </c>
      <c r="BC754" s="8">
        <f t="shared" si="369"/>
        <v>0.30775337390844137</v>
      </c>
      <c r="BD754" s="6" t="s">
        <v>6028</v>
      </c>
      <c r="BE754" s="6" t="str">
        <f t="shared" si="353"/>
        <v>=37.79*100000000</v>
      </c>
      <c r="BF754" s="1">
        <f>37.79*100000000</f>
        <v>3779000000</v>
      </c>
      <c r="BG754" s="8">
        <f t="shared" si="370"/>
        <v>0.42981460461596671</v>
      </c>
      <c r="BH754" s="6" t="s">
        <v>8598</v>
      </c>
      <c r="BI754" s="6" t="str">
        <f t="shared" si="354"/>
        <v>=26.43*100000000</v>
      </c>
      <c r="BJ754" s="1">
        <f>26.43*100000000</f>
        <v>2643000000</v>
      </c>
      <c r="BK754" s="6" t="s">
        <v>8599</v>
      </c>
      <c r="BL754" s="1" t="str">
        <f t="shared" si="356"/>
        <v>=15.30*100000000</v>
      </c>
      <c r="BM754" s="16">
        <f t="shared" si="371"/>
        <v>0.72745098039215683</v>
      </c>
      <c r="BN754" s="1">
        <f>15.3*100000000</f>
        <v>1530000000</v>
      </c>
    </row>
    <row r="755" spans="1:66">
      <c r="A755" s="18"/>
      <c r="B755">
        <v>600635</v>
      </c>
      <c r="C755" t="s">
        <v>48</v>
      </c>
      <c r="D755" s="6" t="s">
        <v>1828</v>
      </c>
      <c r="E755" s="7" t="str">
        <f t="shared" si="355"/>
        <v>=4.871*100000000</v>
      </c>
      <c r="F755" s="1">
        <f>4.871*100000000</f>
        <v>487100000.00000006</v>
      </c>
      <c r="G755" s="8">
        <f t="shared" si="357"/>
        <v>0.34968135217511792</v>
      </c>
      <c r="H755" s="6" t="s">
        <v>2443</v>
      </c>
      <c r="I755" s="6" t="str">
        <f t="shared" si="341"/>
        <v>=3.609*100000000</v>
      </c>
      <c r="J755" s="1">
        <f>3.609*100000000</f>
        <v>360900000</v>
      </c>
      <c r="K755" s="10">
        <f t="shared" si="358"/>
        <v>6.1470588235294117E-2</v>
      </c>
      <c r="L755" s="6" t="s">
        <v>2383</v>
      </c>
      <c r="M755" s="6" t="str">
        <f t="shared" si="342"/>
        <v>=3.400*100000000</v>
      </c>
      <c r="N755" s="1">
        <f>3.4*100000000</f>
        <v>340000000</v>
      </c>
      <c r="O755" s="8">
        <f t="shared" si="359"/>
        <v>3.2681395932714032</v>
      </c>
      <c r="P755" s="7" t="s">
        <v>6767</v>
      </c>
      <c r="Q755" s="6" t="str">
        <f t="shared" si="343"/>
        <v>=7966*10000</v>
      </c>
      <c r="R755" s="11">
        <f>7966*10000</f>
        <v>79660000</v>
      </c>
      <c r="S755" s="8">
        <f t="shared" si="360"/>
        <v>-0.89885728796343323</v>
      </c>
      <c r="T755" s="6" t="s">
        <v>8600</v>
      </c>
      <c r="U755" s="6" t="str">
        <f t="shared" si="344"/>
        <v>=7.876*100000000</v>
      </c>
      <c r="V755" s="1">
        <f>7.876*100000000</f>
        <v>787600000</v>
      </c>
      <c r="W755" s="8">
        <f t="shared" si="361"/>
        <v>1.2425968109339407</v>
      </c>
      <c r="X755" s="6" t="s">
        <v>3477</v>
      </c>
      <c r="Y755" s="6" t="str">
        <f t="shared" si="345"/>
        <v>=3.512*100000000</v>
      </c>
      <c r="Z755" s="1">
        <f>3.512*100000000</f>
        <v>351200000</v>
      </c>
      <c r="AA755" s="8">
        <f t="shared" si="362"/>
        <v>3.81318356488324E-2</v>
      </c>
      <c r="AB755" s="6" t="s">
        <v>8601</v>
      </c>
      <c r="AC755" s="6" t="str">
        <f t="shared" si="346"/>
        <v>=3.383*100000000</v>
      </c>
      <c r="AD755" s="1">
        <f>3.383*100000000</f>
        <v>338300000</v>
      </c>
      <c r="AE755" s="8">
        <f t="shared" si="363"/>
        <v>1.2920054200542006</v>
      </c>
      <c r="AF755" s="6" t="s">
        <v>4451</v>
      </c>
      <c r="AG755" s="6" t="str">
        <f t="shared" si="347"/>
        <v>=1.476*100000000</v>
      </c>
      <c r="AH755" s="1">
        <f>1.476*100000000</f>
        <v>147600000</v>
      </c>
      <c r="AI755" s="8">
        <f t="shared" si="364"/>
        <v>-0.78546511627906979</v>
      </c>
      <c r="AJ755" s="6" t="s">
        <v>8602</v>
      </c>
      <c r="AK755" s="6" t="str">
        <f t="shared" si="348"/>
        <v>=6.880*100000000</v>
      </c>
      <c r="AL755" s="1">
        <f>6.88*100000000</f>
        <v>688000000</v>
      </c>
      <c r="AM755" s="8">
        <f t="shared" si="365"/>
        <v>0.3983739837398374</v>
      </c>
      <c r="AN755" s="6" t="s">
        <v>120</v>
      </c>
      <c r="AO755" s="6" t="str">
        <f t="shared" si="349"/>
        <v>=4.920*100000000</v>
      </c>
      <c r="AP755" s="1">
        <f>4.92*100000000</f>
        <v>492000000</v>
      </c>
      <c r="AQ755" s="8">
        <f t="shared" si="366"/>
        <v>0.61735700197238663</v>
      </c>
      <c r="AR755" s="6" t="s">
        <v>8603</v>
      </c>
      <c r="AS755" s="6" t="str">
        <f t="shared" si="350"/>
        <v>=3.042*100000000</v>
      </c>
      <c r="AT755" s="1">
        <f>3.042*100000000</f>
        <v>304200000</v>
      </c>
      <c r="AU755" s="8">
        <f t="shared" si="367"/>
        <v>0.91441157960981745</v>
      </c>
      <c r="AV755" s="6" t="s">
        <v>2165</v>
      </c>
      <c r="AW755" s="6" t="str">
        <f t="shared" si="351"/>
        <v>=1.589*100000000</v>
      </c>
      <c r="AX755" s="1">
        <f>1.589*100000000</f>
        <v>158900000</v>
      </c>
      <c r="AY755" s="10">
        <f t="shared" si="368"/>
        <v>-0.67762223574761615</v>
      </c>
      <c r="AZ755" s="6" t="s">
        <v>4953</v>
      </c>
      <c r="BA755" s="6" t="str">
        <f t="shared" si="352"/>
        <v>=4.929*100000000</v>
      </c>
      <c r="BB755" s="1">
        <f>4.929*100000000</f>
        <v>492900000</v>
      </c>
      <c r="BC755" s="8">
        <f t="shared" si="369"/>
        <v>0.13440736478711163</v>
      </c>
      <c r="BD755" s="6" t="s">
        <v>8604</v>
      </c>
      <c r="BE755" s="6" t="str">
        <f t="shared" si="353"/>
        <v>=4.345*100000000</v>
      </c>
      <c r="BF755" s="1">
        <f>4.345*100000000</f>
        <v>434500000</v>
      </c>
      <c r="BG755" s="8">
        <f t="shared" si="370"/>
        <v>1.0670789724072312</v>
      </c>
      <c r="BH755" s="6" t="s">
        <v>8605</v>
      </c>
      <c r="BI755" s="6" t="str">
        <f t="shared" si="354"/>
        <v>=2.102*100000000</v>
      </c>
      <c r="BJ755" s="1">
        <f>2.102*100000000</f>
        <v>210200000</v>
      </c>
      <c r="BK755" s="7" t="s">
        <v>5588</v>
      </c>
      <c r="BL755" s="1" t="str">
        <f t="shared" si="356"/>
        <v>=5440*10000</v>
      </c>
      <c r="BM755" s="16">
        <f t="shared" si="371"/>
        <v>2.8639705882352939</v>
      </c>
      <c r="BN755" s="1">
        <f>5440*10000</f>
        <v>54400000</v>
      </c>
    </row>
    <row r="756" spans="1:66">
      <c r="A756" s="18"/>
      <c r="B756">
        <v>600635</v>
      </c>
      <c r="C756" t="s">
        <v>58</v>
      </c>
      <c r="D756" s="6" t="s">
        <v>8606</v>
      </c>
      <c r="E756" s="7" t="str">
        <f t="shared" si="355"/>
        <v>=4.939*100000000</v>
      </c>
      <c r="F756" s="1">
        <f>4.939*100000000</f>
        <v>493900000</v>
      </c>
      <c r="G756" s="8">
        <f t="shared" si="357"/>
        <v>0.33630952380952384</v>
      </c>
      <c r="H756" s="6" t="s">
        <v>5702</v>
      </c>
      <c r="I756" s="6" t="str">
        <f t="shared" si="341"/>
        <v>=3.696*100000000</v>
      </c>
      <c r="J756" s="1">
        <f>3.696*100000000</f>
        <v>369600000</v>
      </c>
      <c r="K756" s="10">
        <f t="shared" si="358"/>
        <v>8.0701754385964913E-2</v>
      </c>
      <c r="L756" s="6" t="s">
        <v>8607</v>
      </c>
      <c r="M756" s="6" t="str">
        <f t="shared" si="342"/>
        <v>=3.420*100000000</v>
      </c>
      <c r="N756" s="1">
        <f>3.42*100000000</f>
        <v>342000000</v>
      </c>
      <c r="O756" s="8">
        <f t="shared" si="359"/>
        <v>3.2857142857142856</v>
      </c>
      <c r="P756" s="7" t="s">
        <v>8608</v>
      </c>
      <c r="Q756" s="6" t="str">
        <f t="shared" si="343"/>
        <v>=7980*10000</v>
      </c>
      <c r="R756" s="11">
        <f>7980*10000</f>
        <v>79800000</v>
      </c>
      <c r="S756" s="8">
        <f t="shared" si="360"/>
        <v>-0.89748201438848918</v>
      </c>
      <c r="T756" s="6" t="s">
        <v>8609</v>
      </c>
      <c r="U756" s="6" t="str">
        <f t="shared" si="344"/>
        <v>=7.784*100000000</v>
      </c>
      <c r="V756" s="1">
        <f>7.784*100000000</f>
        <v>778400000</v>
      </c>
      <c r="W756" s="8">
        <f t="shared" si="361"/>
        <v>1.2948113207547169</v>
      </c>
      <c r="X756" s="6" t="s">
        <v>8610</v>
      </c>
      <c r="Y756" s="6" t="str">
        <f t="shared" si="345"/>
        <v>=3.392*100000000</v>
      </c>
      <c r="Z756" s="1">
        <f>3.392*100000000</f>
        <v>339200000</v>
      </c>
      <c r="AA756" s="8">
        <f t="shared" si="362"/>
        <v>1.4762326542663124E-3</v>
      </c>
      <c r="AB756" s="6" t="s">
        <v>8611</v>
      </c>
      <c r="AC756" s="6" t="str">
        <f t="shared" si="346"/>
        <v>=3.387*100000000</v>
      </c>
      <c r="AD756" s="1">
        <f>3.387*100000000</f>
        <v>338700000</v>
      </c>
      <c r="AE756" s="8">
        <f t="shared" si="363"/>
        <v>1.2900608519269776</v>
      </c>
      <c r="AF756" s="6" t="s">
        <v>1293</v>
      </c>
      <c r="AG756" s="6" t="str">
        <f t="shared" si="347"/>
        <v>=1.479*100000000</v>
      </c>
      <c r="AH756" s="1">
        <f>1.479*100000000</f>
        <v>147900000</v>
      </c>
      <c r="AI756" s="8">
        <f t="shared" si="364"/>
        <v>-0.78549673676577225</v>
      </c>
      <c r="AJ756" s="6" t="s">
        <v>4248</v>
      </c>
      <c r="AK756" s="6" t="str">
        <f t="shared" si="348"/>
        <v>=6.895*100000000</v>
      </c>
      <c r="AL756" s="1">
        <f>6.895*100000000</f>
        <v>689500000</v>
      </c>
      <c r="AM756" s="8">
        <f t="shared" si="365"/>
        <v>0.39124293785310715</v>
      </c>
      <c r="AN756" s="6" t="s">
        <v>8612</v>
      </c>
      <c r="AO756" s="6" t="str">
        <f t="shared" si="349"/>
        <v>=4.956*100000000</v>
      </c>
      <c r="AP756" s="1">
        <f>4.956*100000000</f>
        <v>495600000.00000006</v>
      </c>
      <c r="AQ756" s="8">
        <f t="shared" si="366"/>
        <v>0.60961351088015614</v>
      </c>
      <c r="AR756" s="6" t="s">
        <v>4767</v>
      </c>
      <c r="AS756" s="6" t="str">
        <f t="shared" si="350"/>
        <v>=3.079*100000000</v>
      </c>
      <c r="AT756" s="1">
        <f>3.079*100000000</f>
        <v>307900000</v>
      </c>
      <c r="AU756" s="8">
        <f t="shared" si="367"/>
        <v>0.93283113622096669</v>
      </c>
      <c r="AV756" s="6" t="s">
        <v>1213</v>
      </c>
      <c r="AW756" s="6" t="str">
        <f t="shared" si="351"/>
        <v>=1.593*100000000</v>
      </c>
      <c r="AX756" s="1">
        <f>1.593*100000000</f>
        <v>159300000</v>
      </c>
      <c r="AY756" s="10">
        <f t="shared" si="368"/>
        <v>-0.67416649621599511</v>
      </c>
      <c r="AZ756" s="6" t="s">
        <v>3830</v>
      </c>
      <c r="BA756" s="6" t="str">
        <f t="shared" si="352"/>
        <v>=4.889*100000000</v>
      </c>
      <c r="BB756" s="1">
        <f>4.889*100000000</f>
        <v>488900000</v>
      </c>
      <c r="BC756" s="8">
        <f t="shared" si="369"/>
        <v>0.10261614794767704</v>
      </c>
      <c r="BD756" s="6" t="s">
        <v>8613</v>
      </c>
      <c r="BE756" s="6" t="str">
        <f t="shared" si="353"/>
        <v>=4.434*100000000</v>
      </c>
      <c r="BF756" s="1">
        <f>4.434*100000000</f>
        <v>443400000</v>
      </c>
      <c r="BG756" s="8">
        <f t="shared" si="370"/>
        <v>1.0915094339622642</v>
      </c>
      <c r="BH756" s="6" t="s">
        <v>8614</v>
      </c>
      <c r="BI756" s="6" t="str">
        <f t="shared" si="354"/>
        <v>=2.120*100000000</v>
      </c>
      <c r="BJ756" s="1">
        <f>2.12*100000000</f>
        <v>212000000</v>
      </c>
      <c r="BK756" s="7" t="s">
        <v>8615</v>
      </c>
      <c r="BL756" s="1" t="str">
        <f t="shared" si="356"/>
        <v>=5428*10000</v>
      </c>
      <c r="BM756" s="16">
        <f t="shared" si="371"/>
        <v>2.9056742815033161</v>
      </c>
      <c r="BN756" s="1">
        <f>5428*10000</f>
        <v>54280000</v>
      </c>
    </row>
    <row r="757" spans="1:66">
      <c r="A757" s="19"/>
      <c r="B757">
        <v>600635</v>
      </c>
      <c r="C757" t="s">
        <v>68</v>
      </c>
      <c r="D757" s="6" t="s">
        <v>8616</v>
      </c>
      <c r="E757" s="7" t="str">
        <f t="shared" si="355"/>
        <v>=3.922*100000000</v>
      </c>
      <c r="F757" s="1">
        <f>3.922*100000000</f>
        <v>392200000</v>
      </c>
      <c r="G757" s="8">
        <f t="shared" si="357"/>
        <v>0.22485946283572766</v>
      </c>
      <c r="H757" s="6" t="s">
        <v>8617</v>
      </c>
      <c r="I757" s="6" t="str">
        <f t="shared" si="341"/>
        <v>=3.202*100000000</v>
      </c>
      <c r="J757" s="1">
        <f>3.202*100000000</f>
        <v>320200000</v>
      </c>
      <c r="K757" s="10">
        <f t="shared" si="358"/>
        <v>5.6765676567656763E-2</v>
      </c>
      <c r="L757" s="6" t="s">
        <v>8618</v>
      </c>
      <c r="M757" s="6" t="str">
        <f t="shared" si="342"/>
        <v>=3.030*100000000</v>
      </c>
      <c r="N757" s="1">
        <f>3.03*100000000</f>
        <v>303000000</v>
      </c>
      <c r="O757" s="8">
        <f t="shared" si="359"/>
        <v>2.3194566170026292</v>
      </c>
      <c r="P757" s="7" t="s">
        <v>8619</v>
      </c>
      <c r="Q757" s="6" t="str">
        <f t="shared" si="343"/>
        <v>=9128*10000</v>
      </c>
      <c r="R757" s="11">
        <f>9128*10000</f>
        <v>91280000</v>
      </c>
      <c r="S757" s="8">
        <f t="shared" si="360"/>
        <v>-0.84640753828032977</v>
      </c>
      <c r="T757" s="6" t="s">
        <v>8620</v>
      </c>
      <c r="U757" s="6" t="str">
        <f t="shared" si="344"/>
        <v>=5.943*100000000</v>
      </c>
      <c r="V757" s="1">
        <f>5.943*100000000</f>
        <v>594300000</v>
      </c>
      <c r="W757" s="8">
        <f t="shared" si="361"/>
        <v>0.96138613861386135</v>
      </c>
      <c r="X757" s="6" t="s">
        <v>8618</v>
      </c>
      <c r="Y757" s="6" t="str">
        <f t="shared" si="345"/>
        <v>=3.030*100000000</v>
      </c>
      <c r="Z757" s="1">
        <f>3.03*100000000</f>
        <v>303000000</v>
      </c>
      <c r="AA757" s="8">
        <f t="shared" si="362"/>
        <v>-7.2259644825474589E-2</v>
      </c>
      <c r="AB757" s="6" t="s">
        <v>8621</v>
      </c>
      <c r="AC757" s="6" t="str">
        <f t="shared" si="346"/>
        <v>=3.266*100000000</v>
      </c>
      <c r="AD757" s="1">
        <f>3.266*100000000</f>
        <v>326600000</v>
      </c>
      <c r="AE757" s="8">
        <f t="shared" si="363"/>
        <v>1.4336810730253351</v>
      </c>
      <c r="AF757" s="6" t="s">
        <v>4381</v>
      </c>
      <c r="AG757" s="6" t="str">
        <f t="shared" si="347"/>
        <v>=1.342*100000000</v>
      </c>
      <c r="AH757" s="1">
        <f>1.342*100000000</f>
        <v>134200000.00000001</v>
      </c>
      <c r="AI757" s="8">
        <f t="shared" si="364"/>
        <v>-0.78816101026045782</v>
      </c>
      <c r="AJ757" s="6" t="s">
        <v>8622</v>
      </c>
      <c r="AK757" s="6" t="str">
        <f t="shared" si="348"/>
        <v>=6.335*100000000</v>
      </c>
      <c r="AL757" s="1">
        <f>6.335*100000000</f>
        <v>633500000</v>
      </c>
      <c r="AM757" s="8">
        <f t="shared" si="365"/>
        <v>0.4242356115107912</v>
      </c>
      <c r="AN757" s="6" t="s">
        <v>8623</v>
      </c>
      <c r="AO757" s="6" t="str">
        <f t="shared" si="349"/>
        <v>=4.448*100000000</v>
      </c>
      <c r="AP757" s="1">
        <f>4.448*100000000</f>
        <v>444800000.00000006</v>
      </c>
      <c r="AQ757" s="8">
        <f t="shared" si="366"/>
        <v>0.62335766423357686</v>
      </c>
      <c r="AR757" s="6" t="s">
        <v>4810</v>
      </c>
      <c r="AS757" s="6" t="str">
        <f t="shared" si="350"/>
        <v>=2.740*100000000</v>
      </c>
      <c r="AT757" s="1">
        <f>2.74*100000000</f>
        <v>274000000</v>
      </c>
      <c r="AU757" s="8">
        <f t="shared" si="367"/>
        <v>1.0043891733723482</v>
      </c>
      <c r="AV757" s="6" t="s">
        <v>2200</v>
      </c>
      <c r="AW757" s="6" t="str">
        <f t="shared" si="351"/>
        <v>=1.367*100000000</v>
      </c>
      <c r="AX757" s="1">
        <f>1.367*100000000</f>
        <v>136700000</v>
      </c>
      <c r="AY757" s="10">
        <f t="shared" si="368"/>
        <v>-0.68157465641742376</v>
      </c>
      <c r="AZ757" s="6" t="s">
        <v>8624</v>
      </c>
      <c r="BA757" s="6" t="str">
        <f t="shared" si="352"/>
        <v>=4.293*100000000</v>
      </c>
      <c r="BB757" s="1">
        <f>4.293*100000000</f>
        <v>429300000</v>
      </c>
      <c r="BC757" s="8">
        <f t="shared" si="369"/>
        <v>9.2088527092342914E-2</v>
      </c>
      <c r="BD757" s="6" t="s">
        <v>2811</v>
      </c>
      <c r="BE757" s="6" t="str">
        <f t="shared" si="353"/>
        <v>=3.931*100000000</v>
      </c>
      <c r="BF757" s="1">
        <f>3.931*100000000</f>
        <v>393100000</v>
      </c>
      <c r="BG757" s="8">
        <f t="shared" si="370"/>
        <v>1.2683208309290248</v>
      </c>
      <c r="BH757" s="6" t="s">
        <v>8625</v>
      </c>
      <c r="BI757" s="6" t="str">
        <f t="shared" si="354"/>
        <v>=1.733*100000000</v>
      </c>
      <c r="BJ757" s="1">
        <f>1.733*100000000</f>
        <v>173300000</v>
      </c>
      <c r="BK757" s="7" t="s">
        <v>8626</v>
      </c>
      <c r="BL757" s="1" t="str">
        <f t="shared" si="356"/>
        <v>=3929*10000</v>
      </c>
      <c r="BM757" s="16">
        <f t="shared" si="371"/>
        <v>3.4107915500127257</v>
      </c>
      <c r="BN757" s="1">
        <f>3929*10000</f>
        <v>39290000</v>
      </c>
    </row>
    <row r="758" spans="1:66">
      <c r="A758" s="17">
        <v>191</v>
      </c>
      <c r="B758">
        <v>600642</v>
      </c>
      <c r="C758" t="s">
        <v>31</v>
      </c>
      <c r="D758" s="6" t="s">
        <v>8627</v>
      </c>
      <c r="E758" s="7" t="str">
        <f t="shared" si="355"/>
        <v>=253.1*100000000</v>
      </c>
      <c r="F758" s="1">
        <f>253.1*100000000</f>
        <v>25310000000</v>
      </c>
      <c r="G758" s="8">
        <f t="shared" si="357"/>
        <v>0.41396648044692735</v>
      </c>
      <c r="H758" s="6" t="s">
        <v>7344</v>
      </c>
      <c r="I758" s="6" t="str">
        <f t="shared" si="341"/>
        <v>=179.0*100000000</v>
      </c>
      <c r="J758" s="1">
        <f>179*100000000</f>
        <v>17900000000</v>
      </c>
      <c r="K758" s="10">
        <f t="shared" si="358"/>
        <v>0.5743183817062445</v>
      </c>
      <c r="L758" s="6" t="s">
        <v>8628</v>
      </c>
      <c r="M758" s="6" t="str">
        <f t="shared" si="342"/>
        <v>=113.7*100000000</v>
      </c>
      <c r="N758" s="1">
        <f>113.7*100000000</f>
        <v>11370000000</v>
      </c>
      <c r="O758" s="8">
        <f t="shared" si="359"/>
        <v>0.90165579528349227</v>
      </c>
      <c r="P758" s="6" t="s">
        <v>4518</v>
      </c>
      <c r="Q758" s="6" t="str">
        <f t="shared" si="343"/>
        <v>=59.79*100000000</v>
      </c>
      <c r="R758" s="11">
        <f>59.79*100000000</f>
        <v>5979000000</v>
      </c>
      <c r="S758" s="8">
        <f t="shared" si="360"/>
        <v>-0.6966514459665144</v>
      </c>
      <c r="T758" s="6" t="s">
        <v>3001</v>
      </c>
      <c r="U758" s="6" t="str">
        <f t="shared" si="344"/>
        <v>=197.1*100000000</v>
      </c>
      <c r="V758" s="1">
        <f>197.1*100000000</f>
        <v>19710000000</v>
      </c>
      <c r="W758" s="8">
        <f t="shared" si="361"/>
        <v>0.42516268980477206</v>
      </c>
      <c r="X758" s="6" t="s">
        <v>8629</v>
      </c>
      <c r="Y758" s="6" t="str">
        <f t="shared" si="345"/>
        <v>=138.3*100000000</v>
      </c>
      <c r="Z758" s="1">
        <f>138.3*100000000</f>
        <v>13830000000.000002</v>
      </c>
      <c r="AA758" s="8">
        <f t="shared" si="362"/>
        <v>0.50719267654751543</v>
      </c>
      <c r="AB758" s="6" t="s">
        <v>8630</v>
      </c>
      <c r="AC758" s="6" t="str">
        <f t="shared" si="346"/>
        <v>=91.76*100000000</v>
      </c>
      <c r="AD758" s="1">
        <f>91.76*100000000</f>
        <v>9176000000</v>
      </c>
      <c r="AE758" s="8">
        <f t="shared" si="363"/>
        <v>0.72319248826291083</v>
      </c>
      <c r="AF758" s="6" t="s">
        <v>8631</v>
      </c>
      <c r="AG758" s="6" t="str">
        <f t="shared" si="347"/>
        <v>=53.25*100000000</v>
      </c>
      <c r="AH758" s="1">
        <f>53.25*100000000</f>
        <v>5325000000</v>
      </c>
      <c r="AI758" s="8">
        <f t="shared" si="364"/>
        <v>-0.8628990731204943</v>
      </c>
      <c r="AJ758" s="6" t="s">
        <v>8632</v>
      </c>
      <c r="AK758" s="6" t="str">
        <f t="shared" si="348"/>
        <v>=388.4*100000000</v>
      </c>
      <c r="AL758" s="1">
        <f>388.4*100000000</f>
        <v>38840000000</v>
      </c>
      <c r="AM758" s="8">
        <f t="shared" si="365"/>
        <v>0.366643209007741</v>
      </c>
      <c r="AN758" s="6" t="s">
        <v>8633</v>
      </c>
      <c r="AO758" s="6" t="str">
        <f t="shared" si="349"/>
        <v>=284.2*100000000</v>
      </c>
      <c r="AP758" s="1">
        <f>284.2*100000000</f>
        <v>28420000000</v>
      </c>
      <c r="AQ758" s="8">
        <f t="shared" si="366"/>
        <v>0.45148110316649642</v>
      </c>
      <c r="AR758" s="6" t="s">
        <v>8634</v>
      </c>
      <c r="AS758" s="6" t="str">
        <f t="shared" si="350"/>
        <v>=195.8*100000000</v>
      </c>
      <c r="AT758" s="1">
        <f>195.8*100000000</f>
        <v>19580000000</v>
      </c>
      <c r="AU758" s="8">
        <f t="shared" si="367"/>
        <v>0.65932203389830513</v>
      </c>
      <c r="AV758" s="6" t="s">
        <v>578</v>
      </c>
      <c r="AW758" s="6" t="str">
        <f t="shared" si="351"/>
        <v>=118.0*100000000</v>
      </c>
      <c r="AX758" s="1">
        <f>118*100000000</f>
        <v>11800000000</v>
      </c>
      <c r="AY758" s="10">
        <f t="shared" si="368"/>
        <v>-0.67421314191054671</v>
      </c>
      <c r="AZ758" s="6" t="s">
        <v>8635</v>
      </c>
      <c r="BA758" s="6" t="str">
        <f t="shared" si="352"/>
        <v>=362.2*100000000</v>
      </c>
      <c r="BB758" s="1">
        <f>362.2*100000000</f>
        <v>36220000000</v>
      </c>
      <c r="BC758" s="8">
        <f t="shared" si="369"/>
        <v>0.33999260081391047</v>
      </c>
      <c r="BD758" s="6" t="s">
        <v>8636</v>
      </c>
      <c r="BE758" s="6" t="str">
        <f t="shared" si="353"/>
        <v>=270.3*100000000</v>
      </c>
      <c r="BF758" s="1">
        <f>270.3*100000000</f>
        <v>27030000000</v>
      </c>
      <c r="BG758" s="8">
        <f t="shared" si="370"/>
        <v>0.50250138966092273</v>
      </c>
      <c r="BH758" s="6" t="s">
        <v>7415</v>
      </c>
      <c r="BI758" s="6" t="str">
        <f t="shared" si="354"/>
        <v>=179.9*100000000</v>
      </c>
      <c r="BJ758" s="1">
        <f>179.9*100000000</f>
        <v>17990000000</v>
      </c>
      <c r="BK758" s="6" t="s">
        <v>8637</v>
      </c>
      <c r="BL758" s="1" t="str">
        <f t="shared" si="356"/>
        <v>=98.51*100000000</v>
      </c>
      <c r="BM758" s="16">
        <f t="shared" si="371"/>
        <v>0.82621053700131963</v>
      </c>
      <c r="BN758" s="1">
        <f>98.51*100000000</f>
        <v>9851000000</v>
      </c>
    </row>
    <row r="759" spans="1:66">
      <c r="A759" s="18"/>
      <c r="B759">
        <v>600642</v>
      </c>
      <c r="C759" t="s">
        <v>48</v>
      </c>
      <c r="D759" s="6" t="s">
        <v>4125</v>
      </c>
      <c r="E759" s="7" t="str">
        <f t="shared" si="355"/>
        <v>=24.14*100000000</v>
      </c>
      <c r="F759" s="1">
        <f>24.14*100000000</f>
        <v>2414000000</v>
      </c>
      <c r="G759" s="8">
        <f t="shared" si="357"/>
        <v>-0.20251073670300629</v>
      </c>
      <c r="H759" s="6" t="s">
        <v>4713</v>
      </c>
      <c r="I759" s="6" t="str">
        <f t="shared" si="341"/>
        <v>=30.27*100000000</v>
      </c>
      <c r="J759" s="1">
        <f>30.27*100000000</f>
        <v>3027000000</v>
      </c>
      <c r="K759" s="10">
        <f t="shared" si="358"/>
        <v>0.54360020397756248</v>
      </c>
      <c r="L759" s="6" t="s">
        <v>5804</v>
      </c>
      <c r="M759" s="6" t="str">
        <f t="shared" si="342"/>
        <v>=19.61*100000000</v>
      </c>
      <c r="N759" s="1">
        <f>19.61*100000000</f>
        <v>1961000000</v>
      </c>
      <c r="O759" s="8">
        <f t="shared" si="359"/>
        <v>0.64789915966386558</v>
      </c>
      <c r="P759" s="6" t="s">
        <v>6856</v>
      </c>
      <c r="Q759" s="6" t="str">
        <f t="shared" si="343"/>
        <v>=11.90*100000000</v>
      </c>
      <c r="R759" s="11">
        <f>11.9*100000000</f>
        <v>1190000000</v>
      </c>
      <c r="S759" s="8">
        <f t="shared" si="360"/>
        <v>-0.65577089962395141</v>
      </c>
      <c r="T759" s="6" t="s">
        <v>8638</v>
      </c>
      <c r="U759" s="6" t="str">
        <f t="shared" si="344"/>
        <v>=34.57*100000000</v>
      </c>
      <c r="V759" s="1">
        <f>34.57*100000000</f>
        <v>3457000000</v>
      </c>
      <c r="W759" s="8">
        <f t="shared" si="361"/>
        <v>0.32452107279693487</v>
      </c>
      <c r="X759" s="6" t="s">
        <v>5173</v>
      </c>
      <c r="Y759" s="6" t="str">
        <f t="shared" si="345"/>
        <v>=26.10*100000000</v>
      </c>
      <c r="Z759" s="1">
        <f>26.1*100000000</f>
        <v>2610000000</v>
      </c>
      <c r="AA759" s="8">
        <f t="shared" si="362"/>
        <v>0.72050098879367175</v>
      </c>
      <c r="AB759" s="6" t="s">
        <v>4493</v>
      </c>
      <c r="AC759" s="6" t="str">
        <f t="shared" si="346"/>
        <v>=15.17*100000000</v>
      </c>
      <c r="AD759" s="1">
        <f>15.17*100000000</f>
        <v>1517000000</v>
      </c>
      <c r="AE759" s="8">
        <f t="shared" si="363"/>
        <v>1.341410711529557</v>
      </c>
      <c r="AF759" s="6" t="s">
        <v>8639</v>
      </c>
      <c r="AG759" s="6" t="str">
        <f t="shared" si="347"/>
        <v>=6.479*100000000</v>
      </c>
      <c r="AH759" s="1">
        <f>6.479*100000000</f>
        <v>647900000</v>
      </c>
      <c r="AI759" s="8">
        <f t="shared" si="364"/>
        <v>-0.8005847953216374</v>
      </c>
      <c r="AJ759" s="6" t="s">
        <v>8640</v>
      </c>
      <c r="AK759" s="6" t="str">
        <f t="shared" si="348"/>
        <v>=32.49*100000000</v>
      </c>
      <c r="AL759" s="1">
        <f>32.49*100000000</f>
        <v>3249000000</v>
      </c>
      <c r="AM759" s="8">
        <f t="shared" si="365"/>
        <v>0.42499999999999999</v>
      </c>
      <c r="AN759" s="6" t="s">
        <v>8641</v>
      </c>
      <c r="AO759" s="6" t="str">
        <f t="shared" si="349"/>
        <v>=22.80*100000000</v>
      </c>
      <c r="AP759" s="1">
        <f>22.8*100000000</f>
        <v>2280000000</v>
      </c>
      <c r="AQ759" s="8">
        <f t="shared" si="366"/>
        <v>0.34513274336283184</v>
      </c>
      <c r="AR759" s="6" t="s">
        <v>7537</v>
      </c>
      <c r="AS759" s="6" t="str">
        <f t="shared" si="350"/>
        <v>=16.95*100000000</v>
      </c>
      <c r="AT759" s="1">
        <f>16.95*100000000</f>
        <v>1695000000</v>
      </c>
      <c r="AU759" s="8">
        <f t="shared" si="367"/>
        <v>1.1504694240040598</v>
      </c>
      <c r="AV759" s="6" t="s">
        <v>8642</v>
      </c>
      <c r="AW759" s="6" t="str">
        <f t="shared" si="351"/>
        <v>=7.882*100000000</v>
      </c>
      <c r="AX759" s="1">
        <f>7.882*100000000</f>
        <v>788200000</v>
      </c>
      <c r="AY759" s="10">
        <f t="shared" si="368"/>
        <v>-0.71011401250459727</v>
      </c>
      <c r="AZ759" s="6" t="s">
        <v>718</v>
      </c>
      <c r="BA759" s="6" t="str">
        <f t="shared" si="352"/>
        <v>=27.19*100000000</v>
      </c>
      <c r="BB759" s="1">
        <f>27.19*100000000</f>
        <v>2719000000</v>
      </c>
      <c r="BC759" s="8">
        <f t="shared" si="369"/>
        <v>0.52324929971988776</v>
      </c>
      <c r="BD759" s="6" t="s">
        <v>608</v>
      </c>
      <c r="BE759" s="6" t="str">
        <f t="shared" si="353"/>
        <v>=17.85*100000000</v>
      </c>
      <c r="BF759" s="1">
        <f>17.85*100000000</f>
        <v>1785000000.0000002</v>
      </c>
      <c r="BG759" s="8">
        <f t="shared" si="370"/>
        <v>0.40883977900552504</v>
      </c>
      <c r="BH759" s="6" t="s">
        <v>7554</v>
      </c>
      <c r="BI759" s="6" t="str">
        <f t="shared" si="354"/>
        <v>=12.67*100000000</v>
      </c>
      <c r="BJ759" s="1">
        <f>12.67*100000000</f>
        <v>1267000000</v>
      </c>
      <c r="BK759" s="6" t="s">
        <v>8643</v>
      </c>
      <c r="BL759" s="1" t="str">
        <f t="shared" si="356"/>
        <v>=5.429*100000000</v>
      </c>
      <c r="BM759" s="16">
        <f t="shared" si="371"/>
        <v>1.3337631239638976</v>
      </c>
      <c r="BN759" s="1">
        <f>5.429*100000000</f>
        <v>542900000</v>
      </c>
    </row>
    <row r="760" spans="1:66">
      <c r="A760" s="18"/>
      <c r="B760">
        <v>600642</v>
      </c>
      <c r="C760" t="s">
        <v>58</v>
      </c>
      <c r="D760" s="6" t="s">
        <v>8644</v>
      </c>
      <c r="E760" s="7" t="str">
        <f t="shared" si="355"/>
        <v>=25.09*100000000</v>
      </c>
      <c r="F760" s="1">
        <f>25.09*100000000</f>
        <v>2509000000</v>
      </c>
      <c r="G760" s="8">
        <f t="shared" si="357"/>
        <v>-0.18907563025210083</v>
      </c>
      <c r="H760" s="6" t="s">
        <v>7083</v>
      </c>
      <c r="I760" s="6" t="str">
        <f t="shared" si="341"/>
        <v>=30.94*100000000</v>
      </c>
      <c r="J760" s="1">
        <f>30.94*100000000</f>
        <v>3094000000</v>
      </c>
      <c r="K760" s="10">
        <f t="shared" si="358"/>
        <v>0.53244180287270904</v>
      </c>
      <c r="L760" s="6" t="s">
        <v>8645</v>
      </c>
      <c r="M760" s="6" t="str">
        <f t="shared" si="342"/>
        <v>=20.19*100000000</v>
      </c>
      <c r="N760" s="1">
        <f>20.19*100000000</f>
        <v>2019000000.0000002</v>
      </c>
      <c r="O760" s="8">
        <f t="shared" si="359"/>
        <v>0.69095477386934689</v>
      </c>
      <c r="P760" s="6" t="s">
        <v>8646</v>
      </c>
      <c r="Q760" s="6" t="str">
        <f t="shared" si="343"/>
        <v>=11.94*100000000</v>
      </c>
      <c r="R760" s="11">
        <f>11.94*100000000</f>
        <v>1194000000</v>
      </c>
      <c r="S760" s="8">
        <f t="shared" si="360"/>
        <v>-0.65768348623853212</v>
      </c>
      <c r="T760" s="6" t="s">
        <v>8647</v>
      </c>
      <c r="U760" s="6" t="str">
        <f t="shared" si="344"/>
        <v>=34.88*100000000</v>
      </c>
      <c r="V760" s="1">
        <f>34.88*100000000</f>
        <v>3488000000.0000005</v>
      </c>
      <c r="W760" s="8">
        <f t="shared" si="361"/>
        <v>0.31921331316187612</v>
      </c>
      <c r="X760" s="6" t="s">
        <v>8648</v>
      </c>
      <c r="Y760" s="6" t="str">
        <f t="shared" si="345"/>
        <v>=26.44*100000000</v>
      </c>
      <c r="Z760" s="1">
        <f>26.44*100000000</f>
        <v>2644000000</v>
      </c>
      <c r="AA760" s="8">
        <f t="shared" si="362"/>
        <v>0.73036649214659688</v>
      </c>
      <c r="AB760" s="6" t="s">
        <v>54</v>
      </c>
      <c r="AC760" s="6" t="str">
        <f t="shared" si="346"/>
        <v>=15.28*100000000</v>
      </c>
      <c r="AD760" s="1">
        <f>15.28*100000000</f>
        <v>1528000000</v>
      </c>
      <c r="AE760" s="8">
        <f t="shared" si="363"/>
        <v>1.3507692307692307</v>
      </c>
      <c r="AF760" s="6" t="s">
        <v>8649</v>
      </c>
      <c r="AG760" s="6" t="str">
        <f t="shared" si="347"/>
        <v>=6.500*100000000</v>
      </c>
      <c r="AH760" s="1">
        <f>6.5*100000000</f>
        <v>650000000</v>
      </c>
      <c r="AI760" s="8">
        <f t="shared" si="364"/>
        <v>-0.80231143552311435</v>
      </c>
      <c r="AJ760" s="6" t="s">
        <v>8650</v>
      </c>
      <c r="AK760" s="6" t="str">
        <f t="shared" si="348"/>
        <v>=32.88*100000000</v>
      </c>
      <c r="AL760" s="1">
        <f>32.88*100000000</f>
        <v>3288000000.0000005</v>
      </c>
      <c r="AM760" s="8">
        <f t="shared" si="365"/>
        <v>0.4395796847635729</v>
      </c>
      <c r="AN760" s="6" t="s">
        <v>4773</v>
      </c>
      <c r="AO760" s="6" t="str">
        <f t="shared" si="349"/>
        <v>=22.84*100000000</v>
      </c>
      <c r="AP760" s="1">
        <f>22.84*100000000</f>
        <v>2284000000</v>
      </c>
      <c r="AQ760" s="8">
        <f t="shared" si="366"/>
        <v>0.34352941176470586</v>
      </c>
      <c r="AR760" s="6" t="s">
        <v>1424</v>
      </c>
      <c r="AS760" s="6" t="str">
        <f t="shared" si="350"/>
        <v>=17.00*100000000</v>
      </c>
      <c r="AT760" s="1">
        <f>17*100000000</f>
        <v>1700000000</v>
      </c>
      <c r="AU760" s="8">
        <f t="shared" si="367"/>
        <v>1.1513540875727664</v>
      </c>
      <c r="AV760" s="6" t="s">
        <v>8651</v>
      </c>
      <c r="AW760" s="6" t="str">
        <f t="shared" si="351"/>
        <v>=7.902*100000000</v>
      </c>
      <c r="AX760" s="1">
        <f>7.902*100000000</f>
        <v>790200000</v>
      </c>
      <c r="AY760" s="10">
        <f t="shared" si="368"/>
        <v>-0.71657101865136297</v>
      </c>
      <c r="AZ760" s="6" t="s">
        <v>7674</v>
      </c>
      <c r="BA760" s="6" t="str">
        <f t="shared" si="352"/>
        <v>=27.88*100000000</v>
      </c>
      <c r="BB760" s="1">
        <f>27.88*100000000</f>
        <v>2788000000</v>
      </c>
      <c r="BC760" s="8">
        <f t="shared" si="369"/>
        <v>0.54118297401879489</v>
      </c>
      <c r="BD760" s="6" t="s">
        <v>8652</v>
      </c>
      <c r="BE760" s="6" t="str">
        <f t="shared" si="353"/>
        <v>=18.09*100000000</v>
      </c>
      <c r="BF760" s="1">
        <f>18.09*100000000</f>
        <v>1809000000</v>
      </c>
      <c r="BG760" s="8">
        <f t="shared" si="370"/>
        <v>0.41993720565149134</v>
      </c>
      <c r="BH760" s="6" t="s">
        <v>1106</v>
      </c>
      <c r="BI760" s="6" t="str">
        <f t="shared" si="354"/>
        <v>=12.74*100000000</v>
      </c>
      <c r="BJ760" s="1">
        <f>12.74*100000000</f>
        <v>1274000000</v>
      </c>
      <c r="BK760" s="6" t="s">
        <v>2188</v>
      </c>
      <c r="BL760" s="1" t="str">
        <f t="shared" si="356"/>
        <v>=5.440*100000000</v>
      </c>
      <c r="BM760" s="16">
        <f t="shared" si="371"/>
        <v>1.3419117647058822</v>
      </c>
      <c r="BN760" s="1">
        <f>5.44*100000000</f>
        <v>544000000</v>
      </c>
    </row>
    <row r="761" spans="1:66">
      <c r="A761" s="19"/>
      <c r="B761">
        <v>600642</v>
      </c>
      <c r="C761" t="s">
        <v>68</v>
      </c>
      <c r="D761" s="6" t="s">
        <v>1822</v>
      </c>
      <c r="E761" s="7" t="str">
        <f t="shared" si="355"/>
        <v>=17.76*100000000</v>
      </c>
      <c r="F761" s="1">
        <f>17.76*100000000</f>
        <v>1776000000.0000002</v>
      </c>
      <c r="G761" s="8">
        <f t="shared" si="357"/>
        <v>-0.30679156908665095</v>
      </c>
      <c r="H761" s="6" t="s">
        <v>8653</v>
      </c>
      <c r="I761" s="6" t="str">
        <f t="shared" si="341"/>
        <v>=25.62*100000000</v>
      </c>
      <c r="J761" s="1">
        <f>25.62*100000000</f>
        <v>2562000000</v>
      </c>
      <c r="K761" s="10">
        <f t="shared" si="358"/>
        <v>0.40846619021440334</v>
      </c>
      <c r="L761" s="6" t="s">
        <v>1891</v>
      </c>
      <c r="M761" s="6" t="str">
        <f t="shared" si="342"/>
        <v>=18.19*100000000</v>
      </c>
      <c r="N761" s="1">
        <f>18.19*100000000</f>
        <v>1819000000.0000002</v>
      </c>
      <c r="O761" s="8">
        <f t="shared" si="359"/>
        <v>0.76601941747572821</v>
      </c>
      <c r="P761" s="6" t="s">
        <v>3131</v>
      </c>
      <c r="Q761" s="6" t="str">
        <f t="shared" si="343"/>
        <v>=10.30*100000000</v>
      </c>
      <c r="R761" s="11">
        <f>10.3*100000000</f>
        <v>1030000000.0000001</v>
      </c>
      <c r="S761" s="8">
        <f t="shared" si="360"/>
        <v>-0.66118421052631582</v>
      </c>
      <c r="T761" s="6" t="s">
        <v>8654</v>
      </c>
      <c r="U761" s="6" t="str">
        <f t="shared" si="344"/>
        <v>=30.40*100000000</v>
      </c>
      <c r="V761" s="1">
        <f>30.4*100000000</f>
        <v>3040000000</v>
      </c>
      <c r="W761" s="8">
        <f t="shared" si="361"/>
        <v>0.29141886151231944</v>
      </c>
      <c r="X761" s="6" t="s">
        <v>38</v>
      </c>
      <c r="Y761" s="6" t="str">
        <f t="shared" si="345"/>
        <v>=23.54*100000000</v>
      </c>
      <c r="Z761" s="1">
        <f>23.54*100000000</f>
        <v>2354000000</v>
      </c>
      <c r="AA761" s="8">
        <f t="shared" si="362"/>
        <v>0.68142857142857138</v>
      </c>
      <c r="AB761" s="6" t="s">
        <v>8655</v>
      </c>
      <c r="AC761" s="6" t="str">
        <f t="shared" si="346"/>
        <v>=14.00*100000000</v>
      </c>
      <c r="AD761" s="1">
        <f>14*100000000</f>
        <v>1400000000</v>
      </c>
      <c r="AE761" s="8">
        <f t="shared" si="363"/>
        <v>1.4339360222531294</v>
      </c>
      <c r="AF761" s="6" t="s">
        <v>8656</v>
      </c>
      <c r="AG761" s="6" t="str">
        <f t="shared" si="347"/>
        <v>=5.752*100000000</v>
      </c>
      <c r="AH761" s="1">
        <f>5.752*100000000</f>
        <v>575200000</v>
      </c>
      <c r="AI761" s="8">
        <f t="shared" si="364"/>
        <v>-0.7964614295824487</v>
      </c>
      <c r="AJ761" s="6" t="s">
        <v>8657</v>
      </c>
      <c r="AK761" s="6" t="str">
        <f t="shared" si="348"/>
        <v>=28.26*100000000</v>
      </c>
      <c r="AL761" s="1">
        <f>28.26*100000000</f>
        <v>2826000000</v>
      </c>
      <c r="AM761" s="8">
        <f t="shared" si="365"/>
        <v>0.40039643211100101</v>
      </c>
      <c r="AN761" s="6" t="s">
        <v>8658</v>
      </c>
      <c r="AO761" s="6" t="str">
        <f t="shared" si="349"/>
        <v>=20.18*100000000</v>
      </c>
      <c r="AP761" s="1">
        <f>20.18*100000000</f>
        <v>2018000000</v>
      </c>
      <c r="AQ761" s="8">
        <f t="shared" si="366"/>
        <v>0.33908427339084274</v>
      </c>
      <c r="AR761" s="6" t="s">
        <v>8659</v>
      </c>
      <c r="AS761" s="6" t="str">
        <f t="shared" si="350"/>
        <v>=15.07*100000000</v>
      </c>
      <c r="AT761" s="1">
        <f>15.07*100000000</f>
        <v>1507000000</v>
      </c>
      <c r="AU761" s="8">
        <f t="shared" si="367"/>
        <v>1.236568714752152</v>
      </c>
      <c r="AV761" s="6" t="s">
        <v>8660</v>
      </c>
      <c r="AW761" s="6" t="str">
        <f t="shared" si="351"/>
        <v>=6.738*100000000</v>
      </c>
      <c r="AX761" s="1">
        <f>6.738*100000000</f>
        <v>673800000</v>
      </c>
      <c r="AY761" s="10">
        <f t="shared" si="368"/>
        <v>-0.71533586818757922</v>
      </c>
      <c r="AZ761" s="6" t="s">
        <v>3865</v>
      </c>
      <c r="BA761" s="6" t="str">
        <f t="shared" si="352"/>
        <v>=23.67*100000000</v>
      </c>
      <c r="BB761" s="1">
        <f>23.67*100000000</f>
        <v>2367000000</v>
      </c>
      <c r="BC761" s="8">
        <f t="shared" si="369"/>
        <v>0.4971537001897533</v>
      </c>
      <c r="BD761" s="6" t="s">
        <v>248</v>
      </c>
      <c r="BE761" s="6" t="str">
        <f t="shared" si="353"/>
        <v>=15.81*100000000</v>
      </c>
      <c r="BF761" s="1">
        <f>15.81*100000000</f>
        <v>1581000000</v>
      </c>
      <c r="BG761" s="8">
        <f t="shared" si="370"/>
        <v>0.40783615316117544</v>
      </c>
      <c r="BH761" s="6" t="s">
        <v>363</v>
      </c>
      <c r="BI761" s="6" t="str">
        <f t="shared" si="354"/>
        <v>=11.23*100000000</v>
      </c>
      <c r="BJ761" s="1">
        <f>11.23*100000000</f>
        <v>1123000000</v>
      </c>
      <c r="BK761" s="6" t="s">
        <v>2354</v>
      </c>
      <c r="BL761" s="1" t="str">
        <f t="shared" si="356"/>
        <v>=4.601*100000000</v>
      </c>
      <c r="BM761" s="16">
        <f t="shared" si="371"/>
        <v>1.4407737448380786</v>
      </c>
      <c r="BN761" s="1">
        <f>4.601*100000000</f>
        <v>460100000</v>
      </c>
    </row>
    <row r="762" spans="1:66">
      <c r="A762" s="17">
        <v>192</v>
      </c>
      <c r="B762">
        <v>600643</v>
      </c>
      <c r="C762" t="s">
        <v>31</v>
      </c>
      <c r="D762" s="6" t="s">
        <v>7162</v>
      </c>
      <c r="E762" s="7" t="str">
        <f t="shared" si="355"/>
        <v>=19.13*100000000</v>
      </c>
      <c r="F762" s="1">
        <f>19.13*100000000</f>
        <v>1913000000</v>
      </c>
      <c r="G762" s="8">
        <f t="shared" si="357"/>
        <v>0.18598884066955981</v>
      </c>
      <c r="H762" s="6" t="s">
        <v>8661</v>
      </c>
      <c r="I762" s="6" t="str">
        <f t="shared" si="341"/>
        <v>=16.13*100000000</v>
      </c>
      <c r="J762" s="1">
        <f>16.13*100000000</f>
        <v>1613000000</v>
      </c>
      <c r="K762" s="10">
        <f t="shared" si="358"/>
        <v>0.52457466918714557</v>
      </c>
      <c r="L762" s="6" t="s">
        <v>1383</v>
      </c>
      <c r="M762" s="6" t="str">
        <f t="shared" si="342"/>
        <v>=10.58*100000000</v>
      </c>
      <c r="N762" s="1">
        <f>10.58*100000000</f>
        <v>1058000000</v>
      </c>
      <c r="O762" s="8">
        <f t="shared" si="359"/>
        <v>0.93986065273193986</v>
      </c>
      <c r="P762" s="6" t="s">
        <v>8662</v>
      </c>
      <c r="Q762" s="6" t="str">
        <f t="shared" si="343"/>
        <v>=5.454*100000000</v>
      </c>
      <c r="R762" s="11">
        <f>5.454*100000000</f>
        <v>545400000</v>
      </c>
      <c r="S762" s="8">
        <f t="shared" si="360"/>
        <v>-0.69325084364454448</v>
      </c>
      <c r="T762" s="6" t="s">
        <v>721</v>
      </c>
      <c r="U762" s="6" t="str">
        <f t="shared" si="344"/>
        <v>=17.78*100000000</v>
      </c>
      <c r="V762" s="1">
        <f>17.78*100000000</f>
        <v>1778000000</v>
      </c>
      <c r="W762" s="8">
        <f t="shared" si="361"/>
        <v>0.42582197273456296</v>
      </c>
      <c r="X762" s="6" t="s">
        <v>55</v>
      </c>
      <c r="Y762" s="6" t="str">
        <f t="shared" si="345"/>
        <v>=12.47*100000000</v>
      </c>
      <c r="Z762" s="1">
        <f>12.47*100000000</f>
        <v>1247000000</v>
      </c>
      <c r="AA762" s="8">
        <f t="shared" si="362"/>
        <v>0.4759143093857261</v>
      </c>
      <c r="AB762" s="6" t="s">
        <v>8663</v>
      </c>
      <c r="AC762" s="6" t="str">
        <f t="shared" si="346"/>
        <v>=8.449*100000000</v>
      </c>
      <c r="AD762" s="1">
        <f>8.449*100000000</f>
        <v>844900000</v>
      </c>
      <c r="AE762" s="8">
        <f t="shared" si="363"/>
        <v>1.420916905444126</v>
      </c>
      <c r="AF762" s="6" t="s">
        <v>8043</v>
      </c>
      <c r="AG762" s="6" t="str">
        <f t="shared" si="347"/>
        <v>=3.490*100000000</v>
      </c>
      <c r="AH762" s="1">
        <f>3.49*100000000</f>
        <v>349000000</v>
      </c>
      <c r="AI762" s="8">
        <f t="shared" si="364"/>
        <v>-0.79446407538280328</v>
      </c>
      <c r="AJ762" s="6" t="s">
        <v>1123</v>
      </c>
      <c r="AK762" s="6" t="str">
        <f t="shared" si="348"/>
        <v>=16.98*100000000</v>
      </c>
      <c r="AL762" s="1">
        <f>16.98*100000000</f>
        <v>1698000000</v>
      </c>
      <c r="AM762" s="8">
        <f t="shared" si="365"/>
        <v>0.41264559068219636</v>
      </c>
      <c r="AN762" s="6" t="s">
        <v>8664</v>
      </c>
      <c r="AO762" s="6" t="str">
        <f t="shared" si="349"/>
        <v>=12.02*100000000</v>
      </c>
      <c r="AP762" s="1">
        <f>12.02*100000000</f>
        <v>1202000000</v>
      </c>
      <c r="AQ762" s="8">
        <f t="shared" si="366"/>
        <v>0.40683520599250939</v>
      </c>
      <c r="AR762" s="6" t="s">
        <v>3063</v>
      </c>
      <c r="AS762" s="6" t="str">
        <f t="shared" si="350"/>
        <v>=8.544*100000000</v>
      </c>
      <c r="AT762" s="1">
        <f>8.544*100000000</f>
        <v>854400000</v>
      </c>
      <c r="AU762" s="8">
        <f t="shared" si="367"/>
        <v>1.2354788069073783</v>
      </c>
      <c r="AV762" s="6" t="s">
        <v>124</v>
      </c>
      <c r="AW762" s="6" t="str">
        <f t="shared" si="351"/>
        <v>=3.822*100000000</v>
      </c>
      <c r="AX762" s="1">
        <f>3.822*100000000</f>
        <v>382200000</v>
      </c>
      <c r="AY762" s="10">
        <f t="shared" si="368"/>
        <v>-0.59700548291859978</v>
      </c>
      <c r="AZ762" s="6" t="s">
        <v>7021</v>
      </c>
      <c r="BA762" s="6" t="str">
        <f t="shared" si="352"/>
        <v>=9.484*100000000</v>
      </c>
      <c r="BB762" s="1">
        <f>9.484*100000000</f>
        <v>948400000</v>
      </c>
      <c r="BC762" s="8">
        <f t="shared" si="369"/>
        <v>1.2019967494775943</v>
      </c>
      <c r="BD762" s="6" t="s">
        <v>8665</v>
      </c>
      <c r="BE762" s="6" t="str">
        <f t="shared" si="353"/>
        <v>=4.307*100000000</v>
      </c>
      <c r="BF762" s="1">
        <f>4.307*100000000</f>
        <v>430700000.00000006</v>
      </c>
      <c r="BG762" s="8">
        <f t="shared" si="370"/>
        <v>0.59577621341237519</v>
      </c>
      <c r="BH762" s="6" t="s">
        <v>8666</v>
      </c>
      <c r="BI762" s="6" t="str">
        <f t="shared" si="354"/>
        <v>=2.699*100000000</v>
      </c>
      <c r="BJ762" s="1">
        <f>2.699*100000000</f>
        <v>269900000</v>
      </c>
      <c r="BK762" s="6" t="s">
        <v>8667</v>
      </c>
      <c r="BL762" s="1" t="str">
        <f t="shared" si="356"/>
        <v>=1.309*100000000</v>
      </c>
      <c r="BM762" s="16">
        <f t="shared" si="371"/>
        <v>1.0618792971734148</v>
      </c>
      <c r="BN762" s="1">
        <f>1.309*100000000</f>
        <v>130900000</v>
      </c>
    </row>
    <row r="763" spans="1:66">
      <c r="A763" s="18"/>
      <c r="B763">
        <v>600643</v>
      </c>
      <c r="C763" t="s">
        <v>48</v>
      </c>
      <c r="D763" s="6" t="s">
        <v>3049</v>
      </c>
      <c r="E763" s="7" t="str">
        <f t="shared" si="355"/>
        <v>=15.51*100000000</v>
      </c>
      <c r="F763" s="1">
        <f>15.51*100000000</f>
        <v>1551000000</v>
      </c>
      <c r="G763" s="8">
        <f t="shared" si="357"/>
        <v>-9.5785440613026813E-3</v>
      </c>
      <c r="H763" s="6" t="s">
        <v>8668</v>
      </c>
      <c r="I763" s="6" t="str">
        <f t="shared" si="341"/>
        <v>=15.66*100000000</v>
      </c>
      <c r="J763" s="1">
        <f>15.66*100000000</f>
        <v>1566000000</v>
      </c>
      <c r="K763" s="10">
        <f t="shared" si="358"/>
        <v>0.32151898734177214</v>
      </c>
      <c r="L763" s="6" t="s">
        <v>35</v>
      </c>
      <c r="M763" s="6" t="str">
        <f t="shared" si="342"/>
        <v>=11.85*100000000</v>
      </c>
      <c r="N763" s="1">
        <f>11.85*100000000</f>
        <v>1185000000</v>
      </c>
      <c r="O763" s="8">
        <f t="shared" si="359"/>
        <v>1.5879012884909369</v>
      </c>
      <c r="P763" s="6" t="s">
        <v>2792</v>
      </c>
      <c r="Q763" s="6" t="str">
        <f t="shared" si="343"/>
        <v>=4.579*100000000</v>
      </c>
      <c r="R763" s="11">
        <f>4.579*100000000</f>
        <v>457900000</v>
      </c>
      <c r="S763" s="8">
        <f t="shared" si="360"/>
        <v>-0.75746822033898309</v>
      </c>
      <c r="T763" s="6" t="s">
        <v>8669</v>
      </c>
      <c r="U763" s="6" t="str">
        <f t="shared" si="344"/>
        <v>=18.88*100000000</v>
      </c>
      <c r="V763" s="1">
        <f>18.88*100000000</f>
        <v>1888000000</v>
      </c>
      <c r="W763" s="8">
        <f t="shared" si="361"/>
        <v>0.36023054755043227</v>
      </c>
      <c r="X763" s="6" t="s">
        <v>1834</v>
      </c>
      <c r="Y763" s="6" t="str">
        <f t="shared" si="345"/>
        <v>=13.88*100000000</v>
      </c>
      <c r="Z763" s="1">
        <f>13.88*100000000</f>
        <v>1388000000</v>
      </c>
      <c r="AA763" s="8">
        <f t="shared" si="362"/>
        <v>0.54136590782898364</v>
      </c>
      <c r="AB763" s="6" t="s">
        <v>8670</v>
      </c>
      <c r="AC763" s="6" t="str">
        <f t="shared" si="346"/>
        <v>=9.005*100000000</v>
      </c>
      <c r="AD763" s="1">
        <f>9.005*100000000</f>
        <v>900500000.00000012</v>
      </c>
      <c r="AE763" s="8">
        <f t="shared" si="363"/>
        <v>1.246196058867548</v>
      </c>
      <c r="AF763" s="6" t="s">
        <v>1401</v>
      </c>
      <c r="AG763" s="6" t="str">
        <f t="shared" si="347"/>
        <v>=4.009*100000000</v>
      </c>
      <c r="AH763" s="1">
        <f>4.009*100000000</f>
        <v>400900000.00000006</v>
      </c>
      <c r="AI763" s="8">
        <f t="shared" si="364"/>
        <v>-0.79834004024144867</v>
      </c>
      <c r="AJ763" s="6" t="s">
        <v>8671</v>
      </c>
      <c r="AK763" s="6" t="str">
        <f t="shared" si="348"/>
        <v>=19.88*100000000</v>
      </c>
      <c r="AL763" s="1">
        <f>19.88*100000000</f>
        <v>1988000000</v>
      </c>
      <c r="AM763" s="8">
        <f t="shared" si="365"/>
        <v>0.2867313915857605</v>
      </c>
      <c r="AN763" s="6" t="s">
        <v>362</v>
      </c>
      <c r="AO763" s="6" t="str">
        <f t="shared" si="349"/>
        <v>=15.45*100000000</v>
      </c>
      <c r="AP763" s="1">
        <f>15.45*100000000</f>
        <v>1545000000</v>
      </c>
      <c r="AQ763" s="8">
        <f t="shared" si="366"/>
        <v>0.50731707317073171</v>
      </c>
      <c r="AR763" s="6" t="s">
        <v>183</v>
      </c>
      <c r="AS763" s="6" t="str">
        <f t="shared" si="350"/>
        <v>=10.25*100000000</v>
      </c>
      <c r="AT763" s="1">
        <f>10.25*100000000</f>
        <v>1025000000</v>
      </c>
      <c r="AU763" s="8">
        <f t="shared" si="367"/>
        <v>1.6194735497061079</v>
      </c>
      <c r="AV763" s="6" t="s">
        <v>8672</v>
      </c>
      <c r="AW763" s="6" t="str">
        <f t="shared" si="351"/>
        <v>=3.913*100000000</v>
      </c>
      <c r="AX763" s="1">
        <f>3.913*100000000</f>
        <v>391300000</v>
      </c>
      <c r="AY763" s="10">
        <f t="shared" si="368"/>
        <v>-0.75296717171717176</v>
      </c>
      <c r="AZ763" s="6" t="s">
        <v>8286</v>
      </c>
      <c r="BA763" s="6" t="str">
        <f t="shared" si="352"/>
        <v>=15.84*100000000</v>
      </c>
      <c r="BB763" s="1">
        <f>15.84*100000000</f>
        <v>1584000000</v>
      </c>
      <c r="BC763" s="8">
        <f t="shared" si="369"/>
        <v>0.38219895287958117</v>
      </c>
      <c r="BD763" s="6" t="s">
        <v>5628</v>
      </c>
      <c r="BE763" s="6" t="str">
        <f t="shared" si="353"/>
        <v>=11.46*100000000</v>
      </c>
      <c r="BF763" s="1">
        <f>11.46*100000000</f>
        <v>1146000000</v>
      </c>
      <c r="BG763" s="8">
        <f t="shared" si="370"/>
        <v>0.50334513970877603</v>
      </c>
      <c r="BH763" s="6" t="s">
        <v>911</v>
      </c>
      <c r="BI763" s="6" t="str">
        <f t="shared" si="354"/>
        <v>=7.623*100000000</v>
      </c>
      <c r="BJ763" s="1">
        <f>7.623*100000000</f>
        <v>762300000</v>
      </c>
      <c r="BK763" s="6" t="s">
        <v>3383</v>
      </c>
      <c r="BL763" s="1" t="str">
        <f t="shared" si="356"/>
        <v>=2.521*100000000</v>
      </c>
      <c r="BM763" s="16">
        <f t="shared" si="371"/>
        <v>2.023800079333598</v>
      </c>
      <c r="BN763" s="1">
        <f>2.521*100000000</f>
        <v>252100000</v>
      </c>
    </row>
    <row r="764" spans="1:66">
      <c r="A764" s="18"/>
      <c r="B764">
        <v>600643</v>
      </c>
      <c r="C764" t="s">
        <v>58</v>
      </c>
      <c r="D764" s="6" t="s">
        <v>8673</v>
      </c>
      <c r="E764" s="7" t="str">
        <f t="shared" si="355"/>
        <v>=15.40*100000000</v>
      </c>
      <c r="F764" s="1">
        <f>15.4*100000000</f>
        <v>1540000000</v>
      </c>
      <c r="G764" s="8">
        <f t="shared" si="357"/>
        <v>-1.1553273427471117E-2</v>
      </c>
      <c r="H764" s="6" t="s">
        <v>4157</v>
      </c>
      <c r="I764" s="6" t="str">
        <f t="shared" si="341"/>
        <v>=15.58*100000000</v>
      </c>
      <c r="J764" s="1">
        <f>15.58*100000000</f>
        <v>1558000000</v>
      </c>
      <c r="K764" s="10">
        <f t="shared" si="358"/>
        <v>0.32258064516129031</v>
      </c>
      <c r="L764" s="6" t="s">
        <v>2035</v>
      </c>
      <c r="M764" s="6" t="str">
        <f t="shared" si="342"/>
        <v>=11.78*100000000</v>
      </c>
      <c r="N764" s="1">
        <f>11.78*100000000</f>
        <v>1178000000</v>
      </c>
      <c r="O764" s="8">
        <f t="shared" si="359"/>
        <v>1.5782446924928868</v>
      </c>
      <c r="P764" s="6" t="s">
        <v>8674</v>
      </c>
      <c r="Q764" s="6" t="str">
        <f t="shared" si="343"/>
        <v>=4.569*100000000</v>
      </c>
      <c r="R764" s="11">
        <f>4.569*100000000</f>
        <v>456900000</v>
      </c>
      <c r="S764" s="8">
        <f t="shared" si="360"/>
        <v>-0.75722635494155155</v>
      </c>
      <c r="T764" s="6" t="s">
        <v>8675</v>
      </c>
      <c r="U764" s="6" t="str">
        <f t="shared" si="344"/>
        <v>=18.82*100000000</v>
      </c>
      <c r="V764" s="1">
        <f>18.82*100000000</f>
        <v>1882000000</v>
      </c>
      <c r="W764" s="8">
        <f t="shared" si="361"/>
        <v>0.36179450072358899</v>
      </c>
      <c r="X764" s="6" t="s">
        <v>8676</v>
      </c>
      <c r="Y764" s="6" t="str">
        <f t="shared" si="345"/>
        <v>=13.82*100000000</v>
      </c>
      <c r="Z764" s="1">
        <f>13.82*100000000</f>
        <v>1382000000</v>
      </c>
      <c r="AA764" s="8">
        <f t="shared" si="362"/>
        <v>0.54396156853982791</v>
      </c>
      <c r="AB764" s="6" t="s">
        <v>8677</v>
      </c>
      <c r="AC764" s="6" t="str">
        <f t="shared" si="346"/>
        <v>=8.951*100000000</v>
      </c>
      <c r="AD764" s="1">
        <f>8.951*100000000</f>
        <v>895100000</v>
      </c>
      <c r="AE764" s="8">
        <f t="shared" si="363"/>
        <v>1.2592125189298333</v>
      </c>
      <c r="AF764" s="6" t="s">
        <v>3984</v>
      </c>
      <c r="AG764" s="6" t="str">
        <f t="shared" si="347"/>
        <v>=3.962*100000000</v>
      </c>
      <c r="AH764" s="1">
        <f>3.962*100000000</f>
        <v>396200000</v>
      </c>
      <c r="AI764" s="8">
        <f t="shared" si="364"/>
        <v>-0.78583783783783778</v>
      </c>
      <c r="AJ764" s="6" t="s">
        <v>6015</v>
      </c>
      <c r="AK764" s="6" t="str">
        <f t="shared" si="348"/>
        <v>=18.50*100000000</v>
      </c>
      <c r="AL764" s="1">
        <f>18.5*100000000</f>
        <v>1850000000</v>
      </c>
      <c r="AM764" s="8">
        <f t="shared" si="365"/>
        <v>0.3204853675945753</v>
      </c>
      <c r="AN764" s="6" t="s">
        <v>8678</v>
      </c>
      <c r="AO764" s="6" t="str">
        <f t="shared" si="349"/>
        <v>=14.01*100000000</v>
      </c>
      <c r="AP764" s="1">
        <f>14.01*100000000</f>
        <v>1401000000</v>
      </c>
      <c r="AQ764" s="8">
        <f t="shared" si="366"/>
        <v>0.61984044398196347</v>
      </c>
      <c r="AR764" s="6" t="s">
        <v>8679</v>
      </c>
      <c r="AS764" s="6" t="str">
        <f t="shared" si="350"/>
        <v>=8.649*100000000</v>
      </c>
      <c r="AT764" s="1">
        <f>8.649*100000000</f>
        <v>864899999.99999988</v>
      </c>
      <c r="AU764" s="8">
        <f t="shared" si="367"/>
        <v>1.2103245591617682</v>
      </c>
      <c r="AV764" s="6" t="s">
        <v>8672</v>
      </c>
      <c r="AW764" s="6" t="str">
        <f t="shared" si="351"/>
        <v>=3.913*100000000</v>
      </c>
      <c r="AX764" s="1">
        <f>3.913*100000000</f>
        <v>391300000</v>
      </c>
      <c r="AY764" s="10">
        <f t="shared" si="368"/>
        <v>-0.75281111813013268</v>
      </c>
      <c r="AZ764" s="6" t="s">
        <v>8680</v>
      </c>
      <c r="BA764" s="6" t="str">
        <f t="shared" si="352"/>
        <v>=15.83*100000000</v>
      </c>
      <c r="BB764" s="1">
        <f>15.83*100000000</f>
        <v>1583000000</v>
      </c>
      <c r="BC764" s="8">
        <f t="shared" si="369"/>
        <v>0.38132635253054104</v>
      </c>
      <c r="BD764" s="6" t="s">
        <v>5628</v>
      </c>
      <c r="BE764" s="6" t="str">
        <f t="shared" si="353"/>
        <v>=11.46*100000000</v>
      </c>
      <c r="BF764" s="1">
        <f>11.46*100000000</f>
        <v>1146000000</v>
      </c>
      <c r="BG764" s="8">
        <f t="shared" si="370"/>
        <v>0.50314795383001054</v>
      </c>
      <c r="BH764" s="6" t="s">
        <v>8681</v>
      </c>
      <c r="BI764" s="6" t="str">
        <f t="shared" si="354"/>
        <v>=7.624*100000000</v>
      </c>
      <c r="BJ764" s="1">
        <f>7.624*100000000</f>
        <v>762400000</v>
      </c>
      <c r="BK764" s="6" t="s">
        <v>3383</v>
      </c>
      <c r="BL764" s="1" t="str">
        <f t="shared" si="356"/>
        <v>=2.521*100000000</v>
      </c>
      <c r="BM764" s="16">
        <f t="shared" si="371"/>
        <v>2.0241967473224909</v>
      </c>
      <c r="BN764" s="1">
        <f>2.521*100000000</f>
        <v>252100000</v>
      </c>
    </row>
    <row r="765" spans="1:66">
      <c r="A765" s="19"/>
      <c r="B765">
        <v>600643</v>
      </c>
      <c r="C765" t="s">
        <v>68</v>
      </c>
      <c r="D765" s="6" t="s">
        <v>8682</v>
      </c>
      <c r="E765" s="7" t="str">
        <f t="shared" si="355"/>
        <v>=11.52*100000000</v>
      </c>
      <c r="F765" s="1">
        <f>11.52*100000000</f>
        <v>1152000000</v>
      </c>
      <c r="G765" s="8">
        <f t="shared" si="357"/>
        <v>-3.4602076124567475E-3</v>
      </c>
      <c r="H765" s="6" t="s">
        <v>3976</v>
      </c>
      <c r="I765" s="6" t="str">
        <f t="shared" si="341"/>
        <v>=11.56*100000000</v>
      </c>
      <c r="J765" s="1">
        <f>11.56*100000000</f>
        <v>1156000000</v>
      </c>
      <c r="K765" s="10">
        <f t="shared" si="358"/>
        <v>0.31662870159453321</v>
      </c>
      <c r="L765" s="6" t="s">
        <v>8683</v>
      </c>
      <c r="M765" s="6" t="str">
        <f t="shared" si="342"/>
        <v>=8.780*100000000</v>
      </c>
      <c r="N765" s="1">
        <f>8.78*100000000</f>
        <v>877999999.99999988</v>
      </c>
      <c r="O765" s="8">
        <f t="shared" si="359"/>
        <v>1.6841944359523078</v>
      </c>
      <c r="P765" s="6" t="s">
        <v>8684</v>
      </c>
      <c r="Q765" s="6" t="str">
        <f t="shared" si="343"/>
        <v>=3.271*100000000</v>
      </c>
      <c r="R765" s="11">
        <f>3.271*100000000</f>
        <v>327100000</v>
      </c>
      <c r="S765" s="8">
        <f t="shared" si="360"/>
        <v>-0.75806213017751478</v>
      </c>
      <c r="T765" s="6" t="s">
        <v>897</v>
      </c>
      <c r="U765" s="6" t="str">
        <f t="shared" si="344"/>
        <v>=13.52*100000000</v>
      </c>
      <c r="V765" s="1">
        <f>13.52*100000000</f>
        <v>1352000000</v>
      </c>
      <c r="W765" s="8">
        <f t="shared" si="361"/>
        <v>0.31773879142300193</v>
      </c>
      <c r="X765" s="6" t="s">
        <v>1683</v>
      </c>
      <c r="Y765" s="6" t="str">
        <f t="shared" si="345"/>
        <v>=10.26*100000000</v>
      </c>
      <c r="Z765" s="1">
        <f>10.26*100000000</f>
        <v>1026000000</v>
      </c>
      <c r="AA765" s="8">
        <f t="shared" si="362"/>
        <v>0.55927051671732519</v>
      </c>
      <c r="AB765" s="6" t="s">
        <v>5907</v>
      </c>
      <c r="AC765" s="6" t="str">
        <f t="shared" si="346"/>
        <v>=6.580*100000000</v>
      </c>
      <c r="AD765" s="1">
        <f>6.58*100000000</f>
        <v>658000000</v>
      </c>
      <c r="AE765" s="8">
        <f t="shared" si="363"/>
        <v>1.2831367106176266</v>
      </c>
      <c r="AF765" s="6" t="s">
        <v>2328</v>
      </c>
      <c r="AG765" s="6" t="str">
        <f t="shared" si="347"/>
        <v>=2.882*100000000</v>
      </c>
      <c r="AH765" s="1">
        <f>2.882*100000000</f>
        <v>288200000</v>
      </c>
      <c r="AI765" s="8">
        <f t="shared" si="364"/>
        <v>-0.78183194549583646</v>
      </c>
      <c r="AJ765" s="6" t="s">
        <v>4506</v>
      </c>
      <c r="AK765" s="6" t="str">
        <f t="shared" si="348"/>
        <v>=13.21*100000000</v>
      </c>
      <c r="AL765" s="1">
        <f>13.21*100000000</f>
        <v>1321000000</v>
      </c>
      <c r="AM765" s="8">
        <f t="shared" si="365"/>
        <v>0.29382957884427019</v>
      </c>
      <c r="AN765" s="6" t="s">
        <v>1390</v>
      </c>
      <c r="AO765" s="6" t="str">
        <f t="shared" si="349"/>
        <v>=10.21*100000000</v>
      </c>
      <c r="AP765" s="1">
        <f>10.21*100000000</f>
        <v>1021000000.0000001</v>
      </c>
      <c r="AQ765" s="8">
        <f t="shared" si="366"/>
        <v>0.62140701921549968</v>
      </c>
      <c r="AR765" s="6" t="s">
        <v>8685</v>
      </c>
      <c r="AS765" s="6" t="str">
        <f t="shared" si="350"/>
        <v>=6.297*100000000</v>
      </c>
      <c r="AT765" s="1">
        <f>6.297*100000000</f>
        <v>629700000</v>
      </c>
      <c r="AU765" s="8">
        <f t="shared" si="367"/>
        <v>1.3834216502649508</v>
      </c>
      <c r="AV765" s="6" t="s">
        <v>1943</v>
      </c>
      <c r="AW765" s="6" t="str">
        <f t="shared" si="351"/>
        <v>=2.642*100000000</v>
      </c>
      <c r="AX765" s="1">
        <f>2.642*100000000</f>
        <v>264200000</v>
      </c>
      <c r="AY765" s="10">
        <f t="shared" si="368"/>
        <v>-0.77184801381692569</v>
      </c>
      <c r="AZ765" s="6" t="s">
        <v>2669</v>
      </c>
      <c r="BA765" s="6" t="str">
        <f t="shared" si="352"/>
        <v>=11.58*100000000</v>
      </c>
      <c r="BB765" s="1">
        <f>11.58*100000000</f>
        <v>1158000000</v>
      </c>
      <c r="BC765" s="8">
        <f t="shared" si="369"/>
        <v>0.41824862216778957</v>
      </c>
      <c r="BD765" s="6" t="s">
        <v>8686</v>
      </c>
      <c r="BE765" s="6" t="str">
        <f t="shared" si="353"/>
        <v>=8.165*100000000</v>
      </c>
      <c r="BF765" s="1">
        <f>8.165*100000000</f>
        <v>816499999.99999988</v>
      </c>
      <c r="BG765" s="8">
        <f t="shared" si="370"/>
        <v>0.51175708202184755</v>
      </c>
      <c r="BH765" s="6" t="s">
        <v>8687</v>
      </c>
      <c r="BI765" s="6" t="str">
        <f t="shared" si="354"/>
        <v>=5.401*100000000</v>
      </c>
      <c r="BJ765" s="1">
        <f>5.401*100000000</f>
        <v>540100000</v>
      </c>
      <c r="BK765" s="6" t="s">
        <v>59</v>
      </c>
      <c r="BL765" s="1" t="str">
        <f t="shared" si="356"/>
        <v>=1.775*100000000</v>
      </c>
      <c r="BM765" s="16">
        <f t="shared" si="371"/>
        <v>2.0428169014084507</v>
      </c>
      <c r="BN765" s="1">
        <f>1.775*100000000</f>
        <v>177500000</v>
      </c>
    </row>
    <row r="766" spans="1:66">
      <c r="A766" s="17">
        <v>193</v>
      </c>
      <c r="B766">
        <v>600644</v>
      </c>
      <c r="C766" t="s">
        <v>31</v>
      </c>
      <c r="D766" s="6" t="s">
        <v>8688</v>
      </c>
      <c r="E766" s="7" t="str">
        <f t="shared" si="355"/>
        <v>=25.71*100000000</v>
      </c>
      <c r="F766" s="1">
        <f>25.71*100000000</f>
        <v>2571000000</v>
      </c>
      <c r="G766" s="8">
        <f t="shared" si="357"/>
        <v>0.35315789473684212</v>
      </c>
      <c r="H766" s="6" t="s">
        <v>8689</v>
      </c>
      <c r="I766" s="6" t="str">
        <f t="shared" si="341"/>
        <v>=19.00*100000000</v>
      </c>
      <c r="J766" s="1">
        <f>19*100000000</f>
        <v>1900000000</v>
      </c>
      <c r="K766" s="10">
        <f t="shared" si="358"/>
        <v>0.51153540175019885</v>
      </c>
      <c r="L766" s="6" t="s">
        <v>4556</v>
      </c>
      <c r="M766" s="6" t="str">
        <f t="shared" si="342"/>
        <v>=12.57*100000000</v>
      </c>
      <c r="N766" s="1">
        <f>12.57*100000000</f>
        <v>1257000000</v>
      </c>
      <c r="O766" s="8">
        <f t="shared" si="359"/>
        <v>1.0572831423895255</v>
      </c>
      <c r="P766" s="6" t="s">
        <v>8690</v>
      </c>
      <c r="Q766" s="6" t="str">
        <f t="shared" si="343"/>
        <v>=6.110*100000000</v>
      </c>
      <c r="R766" s="11">
        <f>6.11*100000000</f>
        <v>611000000</v>
      </c>
      <c r="S766" s="8">
        <f t="shared" si="360"/>
        <v>-0.73330423395896993</v>
      </c>
      <c r="T766" s="6" t="s">
        <v>3365</v>
      </c>
      <c r="U766" s="6" t="str">
        <f t="shared" si="344"/>
        <v>=22.91*100000000</v>
      </c>
      <c r="V766" s="1">
        <f>22.91*100000000</f>
        <v>2291000000</v>
      </c>
      <c r="W766" s="8">
        <f t="shared" si="361"/>
        <v>0.39270516717325227</v>
      </c>
      <c r="X766" s="6" t="s">
        <v>8691</v>
      </c>
      <c r="Y766" s="6" t="str">
        <f t="shared" si="345"/>
        <v>=16.45*100000000</v>
      </c>
      <c r="Z766" s="1">
        <f>16.45*100000000</f>
        <v>1645000000</v>
      </c>
      <c r="AA766" s="8">
        <f t="shared" si="362"/>
        <v>0.54460093896713613</v>
      </c>
      <c r="AB766" s="6" t="s">
        <v>3146</v>
      </c>
      <c r="AC766" s="6" t="str">
        <f t="shared" si="346"/>
        <v>=10.65*100000000</v>
      </c>
      <c r="AD766" s="1">
        <f>10.65*100000000</f>
        <v>1065000000</v>
      </c>
      <c r="AE766" s="8">
        <f t="shared" si="363"/>
        <v>1.099763406940063</v>
      </c>
      <c r="AF766" s="6" t="s">
        <v>8692</v>
      </c>
      <c r="AG766" s="6" t="str">
        <f t="shared" si="347"/>
        <v>=5.072*100000000</v>
      </c>
      <c r="AH766" s="1">
        <f>5.072*100000000</f>
        <v>507200000</v>
      </c>
      <c r="AI766" s="8">
        <f t="shared" si="364"/>
        <v>-0.77183985605038241</v>
      </c>
      <c r="AJ766" s="6" t="s">
        <v>8693</v>
      </c>
      <c r="AK766" s="6" t="str">
        <f t="shared" si="348"/>
        <v>=22.23*100000000</v>
      </c>
      <c r="AL766" s="1">
        <f>22.23*100000000</f>
        <v>2223000000</v>
      </c>
      <c r="AM766" s="8">
        <f t="shared" si="365"/>
        <v>0.39198497182216657</v>
      </c>
      <c r="AN766" s="6" t="s">
        <v>8694</v>
      </c>
      <c r="AO766" s="6" t="str">
        <f t="shared" si="349"/>
        <v>=15.97*100000000</v>
      </c>
      <c r="AP766" s="1">
        <f>15.97*100000000</f>
        <v>1597000000</v>
      </c>
      <c r="AQ766" s="8">
        <f t="shared" si="366"/>
        <v>0.50093984962406013</v>
      </c>
      <c r="AR766" s="6" t="s">
        <v>8695</v>
      </c>
      <c r="AS766" s="6" t="str">
        <f t="shared" si="350"/>
        <v>=10.64*100000000</v>
      </c>
      <c r="AT766" s="1">
        <f>10.64*100000000</f>
        <v>1064000000</v>
      </c>
      <c r="AU766" s="8">
        <f t="shared" si="367"/>
        <v>1.0680272108843538</v>
      </c>
      <c r="AV766" s="6" t="s">
        <v>8696</v>
      </c>
      <c r="AW766" s="6" t="str">
        <f t="shared" si="351"/>
        <v>=5.145*100000000</v>
      </c>
      <c r="AX766" s="1">
        <f>5.145*100000000</f>
        <v>514499999.99999994</v>
      </c>
      <c r="AY766" s="10">
        <f t="shared" si="368"/>
        <v>-0.76290322580645165</v>
      </c>
      <c r="AZ766" s="6" t="s">
        <v>2277</v>
      </c>
      <c r="BA766" s="6" t="str">
        <f t="shared" si="352"/>
        <v>=21.70*100000000</v>
      </c>
      <c r="BB766" s="1">
        <f>21.7*100000000</f>
        <v>2170000000</v>
      </c>
      <c r="BC766" s="8">
        <f t="shared" si="369"/>
        <v>0.35118306351183082</v>
      </c>
      <c r="BD766" s="6" t="s">
        <v>8697</v>
      </c>
      <c r="BE766" s="6" t="str">
        <f t="shared" si="353"/>
        <v>=16.06*100000000</v>
      </c>
      <c r="BF766" s="1">
        <f>16.06*100000000</f>
        <v>1605999999.9999998</v>
      </c>
      <c r="BG766" s="8">
        <f t="shared" si="370"/>
        <v>0.49117920148560795</v>
      </c>
      <c r="BH766" s="6" t="s">
        <v>7530</v>
      </c>
      <c r="BI766" s="6" t="str">
        <f t="shared" si="354"/>
        <v>=10.77*100000000</v>
      </c>
      <c r="BJ766" s="1">
        <f>10.77*100000000</f>
        <v>1077000000</v>
      </c>
      <c r="BK766" s="6" t="s">
        <v>8698</v>
      </c>
      <c r="BL766" s="1" t="str">
        <f t="shared" si="356"/>
        <v>=5.164*100000000</v>
      </c>
      <c r="BM766" s="16">
        <f t="shared" si="371"/>
        <v>1.0855925639039505</v>
      </c>
      <c r="BN766" s="1">
        <f>5.164*100000000</f>
        <v>516399999.99999994</v>
      </c>
    </row>
    <row r="767" spans="1:66">
      <c r="A767" s="18"/>
      <c r="B767">
        <v>600644</v>
      </c>
      <c r="C767" t="s">
        <v>48</v>
      </c>
      <c r="D767" s="6" t="s">
        <v>8699</v>
      </c>
      <c r="E767" s="7" t="str">
        <f t="shared" si="355"/>
        <v>=1.405*100000000</v>
      </c>
      <c r="F767" s="1">
        <f>1.405*100000000</f>
        <v>140500000</v>
      </c>
      <c r="G767" s="8">
        <f t="shared" si="357"/>
        <v>-0.24624463519313305</v>
      </c>
      <c r="H767" s="6" t="s">
        <v>8700</v>
      </c>
      <c r="I767" s="6" t="str">
        <f t="shared" ref="I767:I830" si="372">"="&amp;H767</f>
        <v>=1.864*100000000</v>
      </c>
      <c r="J767" s="1">
        <f>1.864*100000000</f>
        <v>186400000</v>
      </c>
      <c r="K767" s="10">
        <f t="shared" si="358"/>
        <v>1.0267478525606175</v>
      </c>
      <c r="L767" s="7" t="s">
        <v>3072</v>
      </c>
      <c r="M767" s="6" t="str">
        <f t="shared" ref="M767:M830" si="373">"="&amp;L767</f>
        <v>=9197*10000</v>
      </c>
      <c r="N767" s="1">
        <f>9197*10000</f>
        <v>91970000</v>
      </c>
      <c r="O767" s="8">
        <f t="shared" si="359"/>
        <v>1.4650227820959529</v>
      </c>
      <c r="P767" s="7" t="s">
        <v>8701</v>
      </c>
      <c r="Q767" s="6" t="str">
        <f t="shared" ref="Q767:Q830" si="374">"="&amp;P767</f>
        <v>=3731*10000</v>
      </c>
      <c r="R767" s="11">
        <f>3731*10000</f>
        <v>37310000</v>
      </c>
      <c r="S767" s="8">
        <f t="shared" si="360"/>
        <v>-0.73311874105865527</v>
      </c>
      <c r="T767" s="6" t="s">
        <v>108</v>
      </c>
      <c r="U767" s="6" t="str">
        <f t="shared" ref="U767:U830" si="375">"="&amp;T767</f>
        <v>=1.398*100000000</v>
      </c>
      <c r="V767" s="1">
        <f>1.398*100000000</f>
        <v>139800000</v>
      </c>
      <c r="W767" s="8">
        <f t="shared" si="361"/>
        <v>-0.1795774647887324</v>
      </c>
      <c r="X767" s="6" t="s">
        <v>3577</v>
      </c>
      <c r="Y767" s="6" t="str">
        <f t="shared" ref="Y767:Y830" si="376">"="&amp;X767</f>
        <v>=1.704*100000000</v>
      </c>
      <c r="Z767" s="1">
        <f>1.704*100000000</f>
        <v>170400000</v>
      </c>
      <c r="AA767" s="8">
        <f t="shared" si="362"/>
        <v>0.97176579495487159</v>
      </c>
      <c r="AB767" s="7" t="s">
        <v>8702</v>
      </c>
      <c r="AC767" s="6" t="str">
        <f t="shared" ref="AC767:AC830" si="377">"="&amp;AB767</f>
        <v>=8642*10000</v>
      </c>
      <c r="AD767" s="1">
        <f>8642*10000</f>
        <v>86420000</v>
      </c>
      <c r="AE767" s="8">
        <f t="shared" si="363"/>
        <v>2.5651815181518152</v>
      </c>
      <c r="AF767" s="7" t="s">
        <v>8703</v>
      </c>
      <c r="AG767" s="6" t="str">
        <f t="shared" ref="AG767:AG830" si="378">"="&amp;AF767</f>
        <v>=2424*10000</v>
      </c>
      <c r="AH767" s="1">
        <f>2424*10000</f>
        <v>24240000</v>
      </c>
      <c r="AI767" s="8">
        <f t="shared" si="364"/>
        <v>-0.84104918032786891</v>
      </c>
      <c r="AJ767" s="6" t="s">
        <v>1944</v>
      </c>
      <c r="AK767" s="6" t="str">
        <f t="shared" ref="AK767:AK830" si="379">"="&amp;AJ767</f>
        <v>=1.525*100000000</v>
      </c>
      <c r="AL767" s="1">
        <f>1.525*100000000</f>
        <v>152500000</v>
      </c>
      <c r="AM767" s="8">
        <f t="shared" si="365"/>
        <v>-0.18839808408728048</v>
      </c>
      <c r="AN767" s="6" t="s">
        <v>5749</v>
      </c>
      <c r="AO767" s="6" t="str">
        <f t="shared" ref="AO767:AO830" si="380">"="&amp;AN767</f>
        <v>=1.879*100000000</v>
      </c>
      <c r="AP767" s="1">
        <f>1.879*100000000</f>
        <v>187900000</v>
      </c>
      <c r="AQ767" s="8">
        <f t="shared" si="366"/>
        <v>0.46911649726348725</v>
      </c>
      <c r="AR767" s="6" t="s">
        <v>6610</v>
      </c>
      <c r="AS767" s="6" t="str">
        <f t="shared" ref="AS767:AS830" si="381">"="&amp;AR767</f>
        <v>=1.279*100000000</v>
      </c>
      <c r="AT767" s="1">
        <f>1.279*100000000</f>
        <v>127899999.99999999</v>
      </c>
      <c r="AU767" s="8">
        <f t="shared" si="367"/>
        <v>1.1844577284372328</v>
      </c>
      <c r="AV767" s="7" t="s">
        <v>8704</v>
      </c>
      <c r="AW767" s="6" t="str">
        <f t="shared" ref="AW767:AW830" si="382">"="&amp;AV767</f>
        <v>=5855*10000</v>
      </c>
      <c r="AX767" s="1">
        <f>5855*10000</f>
        <v>58550000</v>
      </c>
      <c r="AY767" s="10">
        <f t="shared" si="368"/>
        <v>-0.55065234075211056</v>
      </c>
      <c r="AZ767" s="6" t="s">
        <v>7900</v>
      </c>
      <c r="BA767" s="6" t="str">
        <f t="shared" ref="BA767:BA830" si="383">"="&amp;AZ767</f>
        <v>=1.303*100000000</v>
      </c>
      <c r="BB767" s="1">
        <f>1.303*100000000</f>
        <v>130300000</v>
      </c>
      <c r="BC767" s="8">
        <f t="shared" si="369"/>
        <v>-0.1560880829015544</v>
      </c>
      <c r="BD767" s="6" t="s">
        <v>1439</v>
      </c>
      <c r="BE767" s="6" t="str">
        <f t="shared" ref="BE767:BE830" si="384">"="&amp;BD767</f>
        <v>=1.544*100000000</v>
      </c>
      <c r="BF767" s="1">
        <f>1.544*100000000</f>
        <v>154400000</v>
      </c>
      <c r="BG767" s="8">
        <f t="shared" si="370"/>
        <v>1.0382838283828384</v>
      </c>
      <c r="BH767" s="7" t="s">
        <v>8705</v>
      </c>
      <c r="BI767" s="6" t="str">
        <f t="shared" ref="BI767:BI830" si="385">"="&amp;BH767</f>
        <v>=7575*10000</v>
      </c>
      <c r="BJ767" s="1">
        <f>7575*10000</f>
        <v>75750000</v>
      </c>
      <c r="BK767" s="7" t="s">
        <v>8706</v>
      </c>
      <c r="BL767" s="1" t="str">
        <f t="shared" si="356"/>
        <v>=2181*10000</v>
      </c>
      <c r="BM767" s="16">
        <f t="shared" si="371"/>
        <v>2.4731774415405776</v>
      </c>
      <c r="BN767" s="1">
        <f>2181*10000</f>
        <v>21810000</v>
      </c>
    </row>
    <row r="768" spans="1:66">
      <c r="A768" s="18"/>
      <c r="B768">
        <v>600644</v>
      </c>
      <c r="C768" t="s">
        <v>58</v>
      </c>
      <c r="D768" s="6" t="s">
        <v>5503</v>
      </c>
      <c r="E768" s="7" t="str">
        <f t="shared" si="355"/>
        <v>=1.425*100000000</v>
      </c>
      <c r="F768" s="1">
        <f>1.425*100000000</f>
        <v>142500000</v>
      </c>
      <c r="G768" s="8">
        <f t="shared" si="357"/>
        <v>-0.24363057324840764</v>
      </c>
      <c r="H768" s="6" t="s">
        <v>8707</v>
      </c>
      <c r="I768" s="6" t="str">
        <f t="shared" si="372"/>
        <v>=1.884*100000000</v>
      </c>
      <c r="J768" s="1">
        <f>1.884*100000000</f>
        <v>188400000</v>
      </c>
      <c r="K768" s="10">
        <f t="shared" si="358"/>
        <v>1.0262422026242202</v>
      </c>
      <c r="L768" s="7" t="s">
        <v>8708</v>
      </c>
      <c r="M768" s="6" t="str">
        <f t="shared" si="373"/>
        <v>=9298*10000</v>
      </c>
      <c r="N768" s="1">
        <f>9298*10000</f>
        <v>92980000</v>
      </c>
      <c r="O768" s="8">
        <f t="shared" si="359"/>
        <v>1.4075608493008804</v>
      </c>
      <c r="P768" s="7" t="s">
        <v>8709</v>
      </c>
      <c r="Q768" s="6" t="str">
        <f t="shared" si="374"/>
        <v>=3862*10000</v>
      </c>
      <c r="R768" s="11">
        <f>3862*10000</f>
        <v>38620000</v>
      </c>
      <c r="S768" s="8">
        <f t="shared" si="360"/>
        <v>-0.76748946417820585</v>
      </c>
      <c r="T768" s="6" t="s">
        <v>5214</v>
      </c>
      <c r="U768" s="6" t="str">
        <f t="shared" si="375"/>
        <v>=1.661*100000000</v>
      </c>
      <c r="V768" s="1">
        <f>1.661*100000000</f>
        <v>166100000</v>
      </c>
      <c r="W768" s="8">
        <f t="shared" si="361"/>
        <v>-0.14469618949536561</v>
      </c>
      <c r="X768" s="6" t="s">
        <v>2972</v>
      </c>
      <c r="Y768" s="6" t="str">
        <f t="shared" si="376"/>
        <v>=1.942*100000000</v>
      </c>
      <c r="Z768" s="1">
        <f>1.942*100000000</f>
        <v>194200000</v>
      </c>
      <c r="AA768" s="8">
        <f t="shared" si="362"/>
        <v>0.77351598173515979</v>
      </c>
      <c r="AB768" s="6" t="s">
        <v>6533</v>
      </c>
      <c r="AC768" s="6" t="str">
        <f t="shared" si="377"/>
        <v>=1.095*100000000</v>
      </c>
      <c r="AD768" s="1">
        <f>1.095*100000000</f>
        <v>109500000</v>
      </c>
      <c r="AE768" s="8">
        <f t="shared" si="363"/>
        <v>1.4645509790681972</v>
      </c>
      <c r="AF768" s="7" t="s">
        <v>8710</v>
      </c>
      <c r="AG768" s="6" t="str">
        <f t="shared" si="378"/>
        <v>=4443*10000</v>
      </c>
      <c r="AH768" s="1">
        <f>4443*10000</f>
        <v>44430000</v>
      </c>
      <c r="AI768" s="8">
        <f t="shared" si="364"/>
        <v>-0.68354700854700856</v>
      </c>
      <c r="AJ768" s="6" t="s">
        <v>5578</v>
      </c>
      <c r="AK768" s="6" t="str">
        <f t="shared" si="379"/>
        <v>=1.404*100000000</v>
      </c>
      <c r="AL768" s="1">
        <f>1.404*100000000</f>
        <v>140400000</v>
      </c>
      <c r="AM768" s="8">
        <f t="shared" si="365"/>
        <v>-0.23612622415669204</v>
      </c>
      <c r="AN768" s="6" t="s">
        <v>2753</v>
      </c>
      <c r="AO768" s="6" t="str">
        <f t="shared" si="380"/>
        <v>=1.838*100000000</v>
      </c>
      <c r="AP768" s="1">
        <f>1.838*100000000</f>
        <v>183800000</v>
      </c>
      <c r="AQ768" s="8">
        <f t="shared" si="366"/>
        <v>0.45526524148851955</v>
      </c>
      <c r="AR768" s="6" t="s">
        <v>7257</v>
      </c>
      <c r="AS768" s="6" t="str">
        <f t="shared" si="381"/>
        <v>=1.263*100000000</v>
      </c>
      <c r="AT768" s="1">
        <f>1.263*100000000</f>
        <v>126299999.99999999</v>
      </c>
      <c r="AU768" s="8">
        <f t="shared" si="367"/>
        <v>1.1374174987307495</v>
      </c>
      <c r="AV768" s="7" t="s">
        <v>8711</v>
      </c>
      <c r="AW768" s="6" t="str">
        <f t="shared" si="382"/>
        <v>=5909*10000</v>
      </c>
      <c r="AX768" s="1">
        <f>5909*10000</f>
        <v>59090000</v>
      </c>
      <c r="AY768" s="10">
        <f t="shared" si="368"/>
        <v>-0.53691222570532915</v>
      </c>
      <c r="AZ768" s="6" t="s">
        <v>8712</v>
      </c>
      <c r="BA768" s="6" t="str">
        <f t="shared" si="383"/>
        <v>=1.276*100000000</v>
      </c>
      <c r="BB768" s="1">
        <f>1.276*100000000</f>
        <v>127600000</v>
      </c>
      <c r="BC768" s="8">
        <f t="shared" si="369"/>
        <v>-0.15496688741721854</v>
      </c>
      <c r="BD768" s="6" t="s">
        <v>8261</v>
      </c>
      <c r="BE768" s="6" t="str">
        <f t="shared" si="384"/>
        <v>=1.510*100000000</v>
      </c>
      <c r="BF768" s="1">
        <f>1.51*100000000</f>
        <v>151000000</v>
      </c>
      <c r="BG768" s="8">
        <f t="shared" si="370"/>
        <v>1.1963636363636363</v>
      </c>
      <c r="BH768" s="7" t="s">
        <v>8713</v>
      </c>
      <c r="BI768" s="6" t="str">
        <f t="shared" si="385"/>
        <v>=6875*10000</v>
      </c>
      <c r="BJ768" s="1">
        <f>6875*10000</f>
        <v>68750000</v>
      </c>
      <c r="BK768" s="7" t="s">
        <v>7726</v>
      </c>
      <c r="BL768" s="1" t="str">
        <f t="shared" si="356"/>
        <v>=2278*10000</v>
      </c>
      <c r="BM768" s="16">
        <f t="shared" si="371"/>
        <v>2.0179982440737487</v>
      </c>
      <c r="BN768" s="1">
        <f>2278*10000</f>
        <v>22780000</v>
      </c>
    </row>
    <row r="769" spans="1:66">
      <c r="A769" s="19"/>
      <c r="B769">
        <v>600644</v>
      </c>
      <c r="C769" t="s">
        <v>68</v>
      </c>
      <c r="D769" s="6" t="s">
        <v>8714</v>
      </c>
      <c r="E769" s="7" t="str">
        <f t="shared" si="355"/>
        <v>=1.218*100000000</v>
      </c>
      <c r="F769" s="1">
        <f>1.218*100000000</f>
        <v>121800000</v>
      </c>
      <c r="G769" s="8">
        <f t="shared" si="357"/>
        <v>-0.31573033707865167</v>
      </c>
      <c r="H769" s="6" t="s">
        <v>3905</v>
      </c>
      <c r="I769" s="6" t="str">
        <f t="shared" si="372"/>
        <v>=1.780*100000000</v>
      </c>
      <c r="J769" s="1">
        <f>1.78*100000000</f>
        <v>178000000</v>
      </c>
      <c r="K769" s="10">
        <f t="shared" si="358"/>
        <v>1.0597084008331406</v>
      </c>
      <c r="L769" s="7" t="s">
        <v>8702</v>
      </c>
      <c r="M769" s="6" t="str">
        <f t="shared" si="373"/>
        <v>=8642*10000</v>
      </c>
      <c r="N769" s="1">
        <f>8642*10000</f>
        <v>86420000</v>
      </c>
      <c r="O769" s="8">
        <f t="shared" si="359"/>
        <v>1.3312651739951442</v>
      </c>
      <c r="P769" s="7" t="s">
        <v>8715</v>
      </c>
      <c r="Q769" s="6" t="str">
        <f t="shared" si="374"/>
        <v>=3707*10000</v>
      </c>
      <c r="R769" s="11">
        <f>3707*10000</f>
        <v>37070000</v>
      </c>
      <c r="S769" s="8">
        <f t="shared" si="360"/>
        <v>-0.668722073279714</v>
      </c>
      <c r="T769" s="6" t="s">
        <v>8716</v>
      </c>
      <c r="U769" s="6" t="str">
        <f t="shared" si="375"/>
        <v>=1.119*100000000</v>
      </c>
      <c r="V769" s="1">
        <f>1.119*100000000</f>
        <v>111900000</v>
      </c>
      <c r="W769" s="8">
        <f t="shared" si="361"/>
        <v>-0.3861766319253977</v>
      </c>
      <c r="X769" s="6" t="s">
        <v>3396</v>
      </c>
      <c r="Y769" s="6" t="str">
        <f t="shared" si="376"/>
        <v>=1.823*100000000</v>
      </c>
      <c r="Z769" s="1">
        <f>1.823*100000000</f>
        <v>182300000</v>
      </c>
      <c r="AA769" s="8">
        <f t="shared" si="362"/>
        <v>0.79783037475345164</v>
      </c>
      <c r="AB769" s="6" t="s">
        <v>4298</v>
      </c>
      <c r="AC769" s="6" t="str">
        <f t="shared" si="377"/>
        <v>=1.014*100000000</v>
      </c>
      <c r="AD769" s="1">
        <f>1.014*100000000</f>
        <v>101400000</v>
      </c>
      <c r="AE769" s="8">
        <f t="shared" si="363"/>
        <v>1.3954642097802976</v>
      </c>
      <c r="AF769" s="7" t="s">
        <v>8717</v>
      </c>
      <c r="AG769" s="6" t="str">
        <f t="shared" si="378"/>
        <v>=4233*10000</v>
      </c>
      <c r="AH769" s="1">
        <f>4233*10000</f>
        <v>42330000</v>
      </c>
      <c r="AI769" s="8">
        <f t="shared" si="364"/>
        <v>-0.56959837315709205</v>
      </c>
      <c r="AJ769" s="7" t="s">
        <v>8718</v>
      </c>
      <c r="AK769" s="6" t="str">
        <f t="shared" si="379"/>
        <v>=9835*10000</v>
      </c>
      <c r="AL769" s="1">
        <f>9835*10000</f>
        <v>98350000</v>
      </c>
      <c r="AM769" s="8">
        <f t="shared" si="365"/>
        <v>-0.42010613207547171</v>
      </c>
      <c r="AN769" s="6" t="s">
        <v>8472</v>
      </c>
      <c r="AO769" s="6" t="str">
        <f t="shared" si="380"/>
        <v>=1.696*100000000</v>
      </c>
      <c r="AP769" s="1">
        <f>1.696*100000000</f>
        <v>169600000</v>
      </c>
      <c r="AQ769" s="8">
        <f t="shared" si="366"/>
        <v>0.44463373083475299</v>
      </c>
      <c r="AR769" s="6" t="s">
        <v>8719</v>
      </c>
      <c r="AS769" s="6" t="str">
        <f t="shared" si="381"/>
        <v>=1.174*100000000</v>
      </c>
      <c r="AT769" s="1">
        <f>1.174*100000000</f>
        <v>117400000</v>
      </c>
      <c r="AU769" s="8">
        <f t="shared" si="367"/>
        <v>1.1264263720340517</v>
      </c>
      <c r="AV769" s="7" t="s">
        <v>8720</v>
      </c>
      <c r="AW769" s="6" t="str">
        <f t="shared" si="382"/>
        <v>=5521*10000</v>
      </c>
      <c r="AX769" s="1">
        <f>5521*10000</f>
        <v>55210000</v>
      </c>
      <c r="AY769" s="10">
        <f t="shared" si="368"/>
        <v>-0.3487082694349416</v>
      </c>
      <c r="AZ769" s="7" t="s">
        <v>8721</v>
      </c>
      <c r="BA769" s="6" t="str">
        <f t="shared" si="383"/>
        <v>=8477*10000</v>
      </c>
      <c r="BB769" s="1">
        <f>8477*10000</f>
        <v>84770000</v>
      </c>
      <c r="BC769" s="8">
        <f t="shared" si="369"/>
        <v>-0.39751243781094525</v>
      </c>
      <c r="BD769" s="6" t="s">
        <v>2210</v>
      </c>
      <c r="BE769" s="6" t="str">
        <f t="shared" si="384"/>
        <v>=1.407*100000000</v>
      </c>
      <c r="BF769" s="1">
        <f>1.407*100000000</f>
        <v>140700000</v>
      </c>
      <c r="BG769" s="8">
        <f t="shared" si="370"/>
        <v>1.2515602496399425</v>
      </c>
      <c r="BH769" s="7" t="s">
        <v>3192</v>
      </c>
      <c r="BI769" s="6" t="str">
        <f t="shared" si="385"/>
        <v>=6249*10000</v>
      </c>
      <c r="BJ769" s="1">
        <f>6249*10000</f>
        <v>62490000</v>
      </c>
      <c r="BK769" s="7" t="s">
        <v>8722</v>
      </c>
      <c r="BL769" s="1" t="str">
        <f t="shared" si="356"/>
        <v>=1976*10000</v>
      </c>
      <c r="BM769" s="16">
        <f t="shared" si="371"/>
        <v>2.1624493927125505</v>
      </c>
      <c r="BN769" s="1">
        <f>1976*10000</f>
        <v>19760000</v>
      </c>
    </row>
    <row r="770" spans="1:66">
      <c r="A770" s="17">
        <v>194</v>
      </c>
      <c r="B770">
        <v>600647</v>
      </c>
      <c r="C770" t="s">
        <v>31</v>
      </c>
      <c r="D770" s="7" t="s">
        <v>8723</v>
      </c>
      <c r="E770" s="7" t="str">
        <f t="shared" ref="E770:E833" si="386">"="&amp;D770</f>
        <v>=9725*10000</v>
      </c>
      <c r="F770" s="1">
        <f>9725*10000</f>
        <v>97250000</v>
      </c>
      <c r="G770" s="8">
        <f t="shared" si="357"/>
        <v>2.6314413741598206</v>
      </c>
      <c r="H770" s="7" t="s">
        <v>4212</v>
      </c>
      <c r="I770" s="6" t="str">
        <f t="shared" si="372"/>
        <v>=2678*10000</v>
      </c>
      <c r="J770" s="1">
        <f>2678*10000</f>
        <v>26780000</v>
      </c>
      <c r="K770" s="10">
        <f t="shared" si="358"/>
        <v>-0.89608071400853706</v>
      </c>
      <c r="L770" s="6" t="s">
        <v>8724</v>
      </c>
      <c r="M770" s="6" t="str">
        <f t="shared" si="373"/>
        <v>=2.577*100000000</v>
      </c>
      <c r="N770" s="1">
        <f>2.577*100000000</f>
        <v>257700000</v>
      </c>
      <c r="O770" s="8">
        <f t="shared" si="359"/>
        <v>2.1255306246209824</v>
      </c>
      <c r="P770" s="7" t="s">
        <v>8725</v>
      </c>
      <c r="Q770" s="6" t="str">
        <f t="shared" si="374"/>
        <v>=8245*10000</v>
      </c>
      <c r="R770" s="11">
        <f>8245*10000</f>
        <v>82450000</v>
      </c>
      <c r="S770" s="8">
        <f t="shared" si="360"/>
        <v>6.4954545454545451</v>
      </c>
      <c r="T770" s="7" t="s">
        <v>6829</v>
      </c>
      <c r="U770" s="6" t="str">
        <f t="shared" si="375"/>
        <v>=1100*10000</v>
      </c>
      <c r="V770" s="1">
        <f>1100*10000</f>
        <v>11000000</v>
      </c>
      <c r="W770" s="8">
        <f t="shared" si="361"/>
        <v>0.37431284357821087</v>
      </c>
      <c r="X770" s="7" t="s">
        <v>8726</v>
      </c>
      <c r="Y770" s="6" t="str">
        <f t="shared" si="376"/>
        <v>=800.4*10000</v>
      </c>
      <c r="Z770" s="1">
        <f>800.4*10000</f>
        <v>8004000</v>
      </c>
      <c r="AA770" s="8">
        <f t="shared" si="362"/>
        <v>-0.91583596214511043</v>
      </c>
      <c r="AB770" s="7" t="s">
        <v>8727</v>
      </c>
      <c r="AC770" s="6" t="str">
        <f t="shared" si="377"/>
        <v>=9510*10000</v>
      </c>
      <c r="AD770" s="1">
        <f>9510*10000</f>
        <v>95100000</v>
      </c>
      <c r="AE770" s="8">
        <f t="shared" si="363"/>
        <v>328.52182952182955</v>
      </c>
      <c r="AF770" s="7" t="s">
        <v>8728</v>
      </c>
      <c r="AG770" s="6" t="str">
        <f t="shared" si="378"/>
        <v>=28.86*10000</v>
      </c>
      <c r="AH770" s="1">
        <f>28.86*10000</f>
        <v>288600</v>
      </c>
      <c r="AI770" s="8">
        <f t="shared" si="364"/>
        <v>-0.98188323917137477</v>
      </c>
      <c r="AJ770" s="7" t="s">
        <v>8729</v>
      </c>
      <c r="AK770" s="6" t="str">
        <f t="shared" si="379"/>
        <v>=1593*10000</v>
      </c>
      <c r="AL770" s="1">
        <f>1593*10000</f>
        <v>15930000</v>
      </c>
      <c r="AM770" s="8">
        <f t="shared" si="365"/>
        <v>3.3073929961089495E-2</v>
      </c>
      <c r="AN770" s="7" t="s">
        <v>8730</v>
      </c>
      <c r="AO770" s="6" t="str">
        <f t="shared" si="380"/>
        <v>=1542*10000</v>
      </c>
      <c r="AP770" s="1">
        <f>1542*10000</f>
        <v>15420000</v>
      </c>
      <c r="AQ770" s="8">
        <f t="shared" si="366"/>
        <v>2.0516214427531435E-2</v>
      </c>
      <c r="AR770" s="7" t="s">
        <v>5969</v>
      </c>
      <c r="AS770" s="6" t="str">
        <f t="shared" si="381"/>
        <v>=1511*10000</v>
      </c>
      <c r="AT770" s="1">
        <f>1511*10000</f>
        <v>15110000</v>
      </c>
      <c r="AU770" s="8">
        <f t="shared" si="367"/>
        <v>14.261084738915262</v>
      </c>
      <c r="AV770" s="7" t="s">
        <v>8731</v>
      </c>
      <c r="AW770" s="6" t="str">
        <f t="shared" si="382"/>
        <v>=99.01*10000</v>
      </c>
      <c r="AX770" s="1">
        <f>99.01*10000</f>
        <v>990100</v>
      </c>
      <c r="AY770" s="10">
        <f t="shared" si="368"/>
        <v>-0.95146568627450978</v>
      </c>
      <c r="AZ770" s="7" t="s">
        <v>8732</v>
      </c>
      <c r="BA770" s="6" t="str">
        <f t="shared" si="383"/>
        <v>=2040*10000</v>
      </c>
      <c r="BB770" s="1">
        <f>2040*10000</f>
        <v>20400000</v>
      </c>
      <c r="BC770" s="8">
        <f t="shared" si="369"/>
        <v>0.16905444126074498</v>
      </c>
      <c r="BD770" s="7" t="s">
        <v>5939</v>
      </c>
      <c r="BE770" s="6" t="str">
        <f t="shared" si="384"/>
        <v>=1745*10000</v>
      </c>
      <c r="BF770" s="1">
        <f>1745*10000</f>
        <v>17450000</v>
      </c>
      <c r="BG770" s="8">
        <f t="shared" si="370"/>
        <v>7.5832305795314428E-2</v>
      </c>
      <c r="BH770" s="7" t="s">
        <v>8733</v>
      </c>
      <c r="BI770" s="6" t="str">
        <f t="shared" si="385"/>
        <v>=1622*10000</v>
      </c>
      <c r="BJ770" s="1">
        <f>1622*10000</f>
        <v>16220000</v>
      </c>
      <c r="BK770" s="7" t="s">
        <v>7689</v>
      </c>
      <c r="BL770" s="1" t="str">
        <f t="shared" ref="BL770:BL833" si="387">"="&amp;BK770</f>
        <v>=1481*10000</v>
      </c>
      <c r="BM770" s="16">
        <f t="shared" si="371"/>
        <v>9.5205941931127622E-2</v>
      </c>
      <c r="BN770" s="1">
        <f>1481*10000</f>
        <v>14810000</v>
      </c>
    </row>
    <row r="771" spans="1:66">
      <c r="A771" s="18"/>
      <c r="B771">
        <v>600647</v>
      </c>
      <c r="C771" t="s">
        <v>48</v>
      </c>
      <c r="D771" s="7" t="s">
        <v>8734</v>
      </c>
      <c r="E771" s="7" t="str">
        <f t="shared" si="386"/>
        <v>=574.5*10000</v>
      </c>
      <c r="F771" s="1">
        <f>574.5*10000</f>
        <v>5745000</v>
      </c>
      <c r="G771" s="8">
        <f t="shared" ref="G771:G834" si="388">(F771-J771)/J771</f>
        <v>0.20188284518828453</v>
      </c>
      <c r="H771" s="7" t="s">
        <v>8735</v>
      </c>
      <c r="I771" s="6" t="str">
        <f t="shared" si="372"/>
        <v>=478.0*10000</v>
      </c>
      <c r="J771" s="1">
        <f>478*10000</f>
        <v>4780000</v>
      </c>
      <c r="K771" s="10">
        <f t="shared" ref="K771:K834" si="389">(J771-N771)/N771</f>
        <v>-0.51746416313345445</v>
      </c>
      <c r="L771" s="7" t="s">
        <v>8736</v>
      </c>
      <c r="M771" s="6" t="str">
        <f t="shared" si="373"/>
        <v>=990.6*10000</v>
      </c>
      <c r="N771" s="1">
        <f>990.6*10000</f>
        <v>9906000</v>
      </c>
      <c r="O771" s="8">
        <f t="shared" ref="O771:O834" si="390">(N771-R771)/R771</f>
        <v>1.5676516329704511</v>
      </c>
      <c r="P771" s="7" t="s">
        <v>8737</v>
      </c>
      <c r="Q771" s="6" t="str">
        <f t="shared" si="374"/>
        <v>=385.8*10000</v>
      </c>
      <c r="R771" s="11">
        <f>385.8*10000</f>
        <v>3858000</v>
      </c>
      <c r="S771" s="8">
        <f t="shared" ref="S771:S834" si="391">(R771-V771)/V771</f>
        <v>-0.66128182616330111</v>
      </c>
      <c r="T771" s="7" t="s">
        <v>8738</v>
      </c>
      <c r="U771" s="6" t="str">
        <f t="shared" si="375"/>
        <v>=1139*10000</v>
      </c>
      <c r="V771" s="1">
        <f>1139*10000</f>
        <v>11390000</v>
      </c>
      <c r="W771" s="8">
        <f t="shared" ref="W771:W834" si="392">(V771-Z771)/Z771</f>
        <v>2.1647679911086413</v>
      </c>
      <c r="X771" s="7" t="s">
        <v>8739</v>
      </c>
      <c r="Y771" s="6" t="str">
        <f t="shared" si="376"/>
        <v>=359.9*10000</v>
      </c>
      <c r="Z771" s="1">
        <f>359.9*10000</f>
        <v>3599000</v>
      </c>
      <c r="AA771" s="8">
        <f t="shared" ref="AA771:AA834" si="393">(Z771-AD771)/AD771</f>
        <v>0.55800865800865795</v>
      </c>
      <c r="AB771" s="7" t="s">
        <v>8740</v>
      </c>
      <c r="AC771" s="6" t="str">
        <f t="shared" si="377"/>
        <v>=231.0*10000</v>
      </c>
      <c r="AD771" s="1">
        <f>231*10000</f>
        <v>2310000</v>
      </c>
      <c r="AE771" s="8">
        <f t="shared" ref="AE771:AE834" si="394">(AD771-AH771)/AH771</f>
        <v>-5.5742574257425739</v>
      </c>
      <c r="AF771" s="7">
        <f>-50.5*10000</f>
        <v>-505000</v>
      </c>
      <c r="AG771" s="6" t="str">
        <f t="shared" si="378"/>
        <v>=-505000</v>
      </c>
      <c r="AH771" s="1">
        <f>-505000</f>
        <v>-505000</v>
      </c>
      <c r="AI771" s="8">
        <f t="shared" ref="AI771:AI834" si="395">(AH771-AL771)/AL771</f>
        <v>-1.0273268398268398</v>
      </c>
      <c r="AJ771" s="7" t="s">
        <v>8741</v>
      </c>
      <c r="AK771" s="6" t="str">
        <f t="shared" si="379"/>
        <v>=1848*10000</v>
      </c>
      <c r="AL771" s="1">
        <f>1848*10000</f>
        <v>18480000</v>
      </c>
      <c r="AM771" s="8">
        <f t="shared" ref="AM771:AM834" si="396">(AL771-AP771)/AP771</f>
        <v>-7.646176911544228E-2</v>
      </c>
      <c r="AN771" s="7" t="s">
        <v>8742</v>
      </c>
      <c r="AO771" s="6" t="str">
        <f t="shared" si="380"/>
        <v>=2001*10000</v>
      </c>
      <c r="AP771" s="1">
        <f>2001*10000</f>
        <v>20010000</v>
      </c>
      <c r="AQ771" s="8">
        <f t="shared" ref="AQ771:AQ834" si="397">(AP771-AT771)/AT771</f>
        <v>-0.16135792120704107</v>
      </c>
      <c r="AR771" s="7" t="s">
        <v>8743</v>
      </c>
      <c r="AS771" s="6" t="str">
        <f t="shared" si="381"/>
        <v>=2386*10000</v>
      </c>
      <c r="AT771" s="1">
        <f>2386*10000</f>
        <v>23860000</v>
      </c>
      <c r="AU771" s="8">
        <f t="shared" ref="AU771:AU834" si="398">(AT771-AX771)/AX771</f>
        <v>-0.24445851804939836</v>
      </c>
      <c r="AV771" s="7" t="s">
        <v>3753</v>
      </c>
      <c r="AW771" s="6" t="str">
        <f t="shared" si="382"/>
        <v>=3158*10000</v>
      </c>
      <c r="AX771" s="1">
        <f>3158*10000</f>
        <v>31580000</v>
      </c>
      <c r="AY771" s="10">
        <f t="shared" ref="AY771:AY834" si="399">(AX771-BB771)/BB771</f>
        <v>-1.7768757687576875</v>
      </c>
      <c r="AZ771" s="7">
        <f>-4065*10000</f>
        <v>-40650000</v>
      </c>
      <c r="BA771" s="6" t="str">
        <f t="shared" si="383"/>
        <v>=-40650000</v>
      </c>
      <c r="BB771" s="1">
        <f>-40650000</f>
        <v>-40650000</v>
      </c>
      <c r="BC771" s="8">
        <f t="shared" ref="BC771:BC834" si="400">(BB771-BF771)/BF771</f>
        <v>0.37936884967763829</v>
      </c>
      <c r="BD771" s="7">
        <f>-2947*10000</f>
        <v>-29470000</v>
      </c>
      <c r="BE771" s="6" t="str">
        <f t="shared" si="384"/>
        <v>=-29470000</v>
      </c>
      <c r="BF771" s="1">
        <f>-29470000</f>
        <v>-29470000</v>
      </c>
      <c r="BG771" s="8">
        <f t="shared" ref="BG771:BG834" si="401">(BF771-BJ771)/BJ771</f>
        <v>0.46689895470383275</v>
      </c>
      <c r="BH771" s="7">
        <f>-2009*10000</f>
        <v>-20090000</v>
      </c>
      <c r="BI771" s="6" t="str">
        <f t="shared" si="385"/>
        <v>=-20090000</v>
      </c>
      <c r="BJ771" s="1">
        <f>-20090000</f>
        <v>-20090000</v>
      </c>
      <c r="BK771" s="7" t="s">
        <v>8744</v>
      </c>
      <c r="BL771" s="1" t="str">
        <f t="shared" si="387"/>
        <v>=925.1*10000</v>
      </c>
      <c r="BM771" s="16">
        <f t="shared" ref="BM771:BM834" si="402">(BJ771-BN771)/BN771</f>
        <v>-3.1716571181493891</v>
      </c>
      <c r="BN771" s="1">
        <f>925.1*10000</f>
        <v>9251000</v>
      </c>
    </row>
    <row r="772" spans="1:66">
      <c r="A772" s="18"/>
      <c r="B772">
        <v>600647</v>
      </c>
      <c r="C772" t="s">
        <v>58</v>
      </c>
      <c r="D772" s="7" t="s">
        <v>8745</v>
      </c>
      <c r="E772" s="7" t="str">
        <f t="shared" si="386"/>
        <v>=586.1*10000</v>
      </c>
      <c r="F772" s="1">
        <f>586.1*10000</f>
        <v>5861000</v>
      </c>
      <c r="G772" s="8">
        <f t="shared" si="388"/>
        <v>0.22615062761506277</v>
      </c>
      <c r="H772" s="7" t="s">
        <v>8735</v>
      </c>
      <c r="I772" s="6" t="str">
        <f t="shared" si="372"/>
        <v>=478.0*10000</v>
      </c>
      <c r="J772" s="1">
        <f>478*10000</f>
        <v>4780000</v>
      </c>
      <c r="K772" s="10">
        <f t="shared" si="389"/>
        <v>-0.51746416313345445</v>
      </c>
      <c r="L772" s="7" t="s">
        <v>8736</v>
      </c>
      <c r="M772" s="6" t="str">
        <f t="shared" si="373"/>
        <v>=990.6*10000</v>
      </c>
      <c r="N772" s="1">
        <f>990.6*10000</f>
        <v>9906000</v>
      </c>
      <c r="O772" s="8">
        <f t="shared" si="390"/>
        <v>1.5676516329704511</v>
      </c>
      <c r="P772" s="7" t="s">
        <v>8737</v>
      </c>
      <c r="Q772" s="6" t="str">
        <f t="shared" si="374"/>
        <v>=385.8*10000</v>
      </c>
      <c r="R772" s="11">
        <f>385.8*10000</f>
        <v>3858000</v>
      </c>
      <c r="S772" s="8">
        <f t="shared" si="391"/>
        <v>-0.68480392156862746</v>
      </c>
      <c r="T772" s="7" t="s">
        <v>7306</v>
      </c>
      <c r="U772" s="6" t="str">
        <f t="shared" si="375"/>
        <v>=1224*10000</v>
      </c>
      <c r="V772" s="1">
        <f>1224*10000</f>
        <v>12240000</v>
      </c>
      <c r="W772" s="8">
        <f t="shared" si="392"/>
        <v>2.3635614179719702</v>
      </c>
      <c r="X772" s="7" t="s">
        <v>8345</v>
      </c>
      <c r="Y772" s="6" t="str">
        <f t="shared" si="376"/>
        <v>=363.9*10000</v>
      </c>
      <c r="Z772" s="1">
        <f>363.9*10000</f>
        <v>3639000</v>
      </c>
      <c r="AA772" s="8">
        <f t="shared" si="393"/>
        <v>0.5524744027303754</v>
      </c>
      <c r="AB772" s="7" t="s">
        <v>8746</v>
      </c>
      <c r="AC772" s="6" t="str">
        <f t="shared" si="377"/>
        <v>=234.4*10000</v>
      </c>
      <c r="AD772" s="1">
        <f>234.4*10000</f>
        <v>2344000</v>
      </c>
      <c r="AE772" s="8">
        <f t="shared" si="394"/>
        <v>-5.6461843409316153</v>
      </c>
      <c r="AF772" s="7">
        <f>-50.45*10000</f>
        <v>-504500</v>
      </c>
      <c r="AG772" s="6" t="str">
        <f t="shared" si="378"/>
        <v>=-504500</v>
      </c>
      <c r="AH772" s="1">
        <f>-504500</f>
        <v>-504500</v>
      </c>
      <c r="AI772" s="8">
        <f t="shared" si="395"/>
        <v>-1.0272408207343413</v>
      </c>
      <c r="AJ772" s="7" t="s">
        <v>3276</v>
      </c>
      <c r="AK772" s="6" t="str">
        <f t="shared" si="379"/>
        <v>=1852*10000</v>
      </c>
      <c r="AL772" s="1">
        <f>1852*10000</f>
        <v>18520000</v>
      </c>
      <c r="AM772" s="8">
        <f t="shared" si="396"/>
        <v>-7.5848303393213579E-2</v>
      </c>
      <c r="AN772" s="7" t="s">
        <v>4054</v>
      </c>
      <c r="AO772" s="6" t="str">
        <f t="shared" si="380"/>
        <v>=2004*10000</v>
      </c>
      <c r="AP772" s="1">
        <f>2004*10000</f>
        <v>20040000</v>
      </c>
      <c r="AQ772" s="8">
        <f t="shared" si="397"/>
        <v>-0.16045245077503142</v>
      </c>
      <c r="AR772" s="7" t="s">
        <v>8747</v>
      </c>
      <c r="AS772" s="6" t="str">
        <f t="shared" si="381"/>
        <v>=2387*10000</v>
      </c>
      <c r="AT772" s="1">
        <f>2387*10000</f>
        <v>23870000</v>
      </c>
      <c r="AU772" s="8">
        <f t="shared" si="398"/>
        <v>-0.24438113327002217</v>
      </c>
      <c r="AV772" s="7" t="s">
        <v>8748</v>
      </c>
      <c r="AW772" s="6" t="str">
        <f t="shared" si="382"/>
        <v>=3159*10000</v>
      </c>
      <c r="AX772" s="1">
        <f>3159*10000</f>
        <v>31590000</v>
      </c>
      <c r="AY772" s="10">
        <f t="shared" si="399"/>
        <v>-1.7792303897385298</v>
      </c>
      <c r="AZ772" s="7">
        <f>-4054*10000</f>
        <v>-40540000</v>
      </c>
      <c r="BA772" s="6" t="str">
        <f t="shared" si="383"/>
        <v>=-40540000</v>
      </c>
      <c r="BB772" s="1">
        <f>-40540000</f>
        <v>-40540000</v>
      </c>
      <c r="BC772" s="8">
        <f t="shared" si="400"/>
        <v>0.38126064735945486</v>
      </c>
      <c r="BD772" s="7">
        <f>-2935*10000</f>
        <v>-29350000</v>
      </c>
      <c r="BE772" s="6" t="str">
        <f t="shared" si="384"/>
        <v>=-29350000</v>
      </c>
      <c r="BF772" s="1">
        <f>-29350000</f>
        <v>-29350000</v>
      </c>
      <c r="BG772" s="8">
        <f t="shared" si="401"/>
        <v>0.46311066799601197</v>
      </c>
      <c r="BH772" s="7">
        <f>-2006*10000</f>
        <v>-20060000</v>
      </c>
      <c r="BI772" s="6" t="str">
        <f t="shared" si="385"/>
        <v>=-20060000</v>
      </c>
      <c r="BJ772" s="1">
        <f>-20060000</f>
        <v>-20060000</v>
      </c>
      <c r="BK772" s="7" t="s">
        <v>8749</v>
      </c>
      <c r="BL772" s="1" t="str">
        <f t="shared" si="387"/>
        <v>=925.5*10000</v>
      </c>
      <c r="BM772" s="16">
        <f t="shared" si="402"/>
        <v>-3.1674770394381415</v>
      </c>
      <c r="BN772" s="1">
        <f>925.5*10000</f>
        <v>9255000</v>
      </c>
    </row>
    <row r="773" spans="1:66">
      <c r="A773" s="19"/>
      <c r="B773">
        <v>600647</v>
      </c>
      <c r="C773" t="s">
        <v>68</v>
      </c>
      <c r="D773" s="7" t="s">
        <v>8750</v>
      </c>
      <c r="E773" s="7" t="str">
        <f t="shared" si="386"/>
        <v>=579.7*10000</v>
      </c>
      <c r="F773" s="1">
        <f>579.7*10000</f>
        <v>5797000</v>
      </c>
      <c r="G773" s="8">
        <f t="shared" si="388"/>
        <v>0.21276150627615062</v>
      </c>
      <c r="H773" s="7" t="s">
        <v>8735</v>
      </c>
      <c r="I773" s="6" t="str">
        <f t="shared" si="372"/>
        <v>=478.0*10000</v>
      </c>
      <c r="J773" s="1">
        <f>478*10000</f>
        <v>4780000</v>
      </c>
      <c r="K773" s="10">
        <f t="shared" si="389"/>
        <v>-0.51746416313345445</v>
      </c>
      <c r="L773" s="7" t="s">
        <v>8736</v>
      </c>
      <c r="M773" s="6" t="str">
        <f t="shared" si="373"/>
        <v>=990.6*10000</v>
      </c>
      <c r="N773" s="1">
        <f>990.6*10000</f>
        <v>9906000</v>
      </c>
      <c r="O773" s="8">
        <f t="shared" si="390"/>
        <v>1.5676516329704511</v>
      </c>
      <c r="P773" s="7" t="s">
        <v>8737</v>
      </c>
      <c r="Q773" s="6" t="str">
        <f t="shared" si="374"/>
        <v>=385.8*10000</v>
      </c>
      <c r="R773" s="11">
        <f>385.8*10000</f>
        <v>3858000</v>
      </c>
      <c r="S773" s="8">
        <f t="shared" si="391"/>
        <v>-0.67497893850042123</v>
      </c>
      <c r="T773" s="7" t="s">
        <v>8751</v>
      </c>
      <c r="U773" s="6" t="str">
        <f t="shared" si="375"/>
        <v>=1187*10000</v>
      </c>
      <c r="V773" s="1">
        <f>1187*10000</f>
        <v>11870000</v>
      </c>
      <c r="W773" s="8">
        <f t="shared" si="392"/>
        <v>2.2618851332783732</v>
      </c>
      <c r="X773" s="7" t="s">
        <v>8345</v>
      </c>
      <c r="Y773" s="6" t="str">
        <f t="shared" si="376"/>
        <v>=363.9*10000</v>
      </c>
      <c r="Z773" s="1">
        <f>363.9*10000</f>
        <v>3639000</v>
      </c>
      <c r="AA773" s="8">
        <f t="shared" si="393"/>
        <v>0.5524744027303754</v>
      </c>
      <c r="AB773" s="7" t="s">
        <v>8746</v>
      </c>
      <c r="AC773" s="6" t="str">
        <f t="shared" si="377"/>
        <v>=234.4*10000</v>
      </c>
      <c r="AD773" s="1">
        <f>234.4*10000</f>
        <v>2344000</v>
      </c>
      <c r="AE773" s="8">
        <f t="shared" si="394"/>
        <v>-5.6461843409316153</v>
      </c>
      <c r="AF773" s="7">
        <f>-50.45*10000</f>
        <v>-504500</v>
      </c>
      <c r="AG773" s="6" t="str">
        <f t="shared" si="378"/>
        <v>=-504500</v>
      </c>
      <c r="AH773" s="1">
        <f>-504500</f>
        <v>-504500</v>
      </c>
      <c r="AI773" s="8">
        <f t="shared" si="395"/>
        <v>-1.0270654506437769</v>
      </c>
      <c r="AJ773" s="7" t="s">
        <v>8752</v>
      </c>
      <c r="AK773" s="6" t="str">
        <f t="shared" si="379"/>
        <v>=1864*10000</v>
      </c>
      <c r="AL773" s="1">
        <f>1864*10000</f>
        <v>18640000</v>
      </c>
      <c r="AM773" s="8">
        <f t="shared" si="396"/>
        <v>-7.5396825396825393E-2</v>
      </c>
      <c r="AN773" s="7" t="s">
        <v>8753</v>
      </c>
      <c r="AO773" s="6" t="str">
        <f t="shared" si="380"/>
        <v>=2016*10000</v>
      </c>
      <c r="AP773" s="1">
        <f>2016*10000</f>
        <v>20160000</v>
      </c>
      <c r="AQ773" s="8">
        <f t="shared" si="397"/>
        <v>-0.15964985410587745</v>
      </c>
      <c r="AR773" s="7" t="s">
        <v>8754</v>
      </c>
      <c r="AS773" s="6" t="str">
        <f t="shared" si="381"/>
        <v>=2399*10000</v>
      </c>
      <c r="AT773" s="1">
        <f>2399*10000</f>
        <v>23990000</v>
      </c>
      <c r="AU773" s="8">
        <f t="shared" si="398"/>
        <v>-0.24058246280468504</v>
      </c>
      <c r="AV773" s="7" t="s">
        <v>8748</v>
      </c>
      <c r="AW773" s="6" t="str">
        <f t="shared" si="382"/>
        <v>=3159*10000</v>
      </c>
      <c r="AX773" s="1">
        <f>3159*10000</f>
        <v>31590000</v>
      </c>
      <c r="AY773" s="10">
        <f t="shared" si="399"/>
        <v>-1.527555110220441</v>
      </c>
      <c r="AZ773" s="7">
        <f>-5988*10000</f>
        <v>-59880000</v>
      </c>
      <c r="BA773" s="6" t="str">
        <f t="shared" si="383"/>
        <v>=-59880000</v>
      </c>
      <c r="BB773" s="1">
        <f>-59880000</f>
        <v>-59880000</v>
      </c>
      <c r="BC773" s="8">
        <f t="shared" si="400"/>
        <v>0.93849142117190032</v>
      </c>
      <c r="BD773" s="7">
        <f>-3089*10000</f>
        <v>-30890000</v>
      </c>
      <c r="BE773" s="6" t="str">
        <f t="shared" si="384"/>
        <v>=-30890000</v>
      </c>
      <c r="BF773" s="1">
        <f>-30890000</f>
        <v>-30890000</v>
      </c>
      <c r="BG773" s="8">
        <f t="shared" si="401"/>
        <v>0.94398993077407178</v>
      </c>
      <c r="BH773" s="7">
        <f>-1589*10000</f>
        <v>-15890000</v>
      </c>
      <c r="BI773" s="6" t="str">
        <f t="shared" si="385"/>
        <v>=-15890000</v>
      </c>
      <c r="BJ773" s="1">
        <f>-15890000</f>
        <v>-15890000</v>
      </c>
      <c r="BK773" s="7" t="s">
        <v>8755</v>
      </c>
      <c r="BL773" s="1" t="str">
        <f t="shared" si="387"/>
        <v>=667.8*10000</v>
      </c>
      <c r="BM773" s="16">
        <f t="shared" si="402"/>
        <v>-3.3794549266247378</v>
      </c>
      <c r="BN773" s="1">
        <f>667.8*10000</f>
        <v>6678000</v>
      </c>
    </row>
    <row r="774" spans="1:66">
      <c r="A774" s="17">
        <v>195</v>
      </c>
      <c r="B774">
        <v>600648</v>
      </c>
      <c r="C774" t="s">
        <v>31</v>
      </c>
      <c r="D774" s="6" t="s">
        <v>8756</v>
      </c>
      <c r="E774" s="7" t="str">
        <f t="shared" si="386"/>
        <v>=87.44*100000000</v>
      </c>
      <c r="F774" s="1">
        <f>87.44*100000000</f>
        <v>8744000000</v>
      </c>
      <c r="G774" s="8">
        <f t="shared" si="388"/>
        <v>0.59853747714808048</v>
      </c>
      <c r="H774" s="6" t="s">
        <v>8757</v>
      </c>
      <c r="I774" s="6" t="str">
        <f t="shared" si="372"/>
        <v>=54.70*100000000</v>
      </c>
      <c r="J774" s="1">
        <f>54.7*100000000</f>
        <v>5470000000</v>
      </c>
      <c r="K774" s="10">
        <f t="shared" si="389"/>
        <v>0.42151767151767172</v>
      </c>
      <c r="L774" s="6" t="s">
        <v>637</v>
      </c>
      <c r="M774" s="6" t="str">
        <f t="shared" si="373"/>
        <v>=38.48*100000000</v>
      </c>
      <c r="N774" s="1">
        <f>38.48*100000000</f>
        <v>3847999999.9999995</v>
      </c>
      <c r="O774" s="8">
        <f t="shared" si="390"/>
        <v>0.78313253012048167</v>
      </c>
      <c r="P774" s="6" t="s">
        <v>2280</v>
      </c>
      <c r="Q774" s="6" t="str">
        <f t="shared" si="374"/>
        <v>=21.58*100000000</v>
      </c>
      <c r="R774" s="11">
        <f>21.58*100000000</f>
        <v>2158000000</v>
      </c>
      <c r="S774" s="8">
        <f t="shared" si="391"/>
        <v>-0.78738916256157632</v>
      </c>
      <c r="T774" s="6" t="s">
        <v>1916</v>
      </c>
      <c r="U774" s="6" t="str">
        <f t="shared" si="375"/>
        <v>=101.5*100000000</v>
      </c>
      <c r="V774" s="1">
        <f>101.5*100000000</f>
        <v>10150000000</v>
      </c>
      <c r="W774" s="8">
        <f t="shared" si="392"/>
        <v>0.63656884875846498</v>
      </c>
      <c r="X774" s="6" t="s">
        <v>8758</v>
      </c>
      <c r="Y774" s="6" t="str">
        <f t="shared" si="376"/>
        <v>=62.02*100000000</v>
      </c>
      <c r="Z774" s="1">
        <f>62.02*100000000</f>
        <v>6202000000</v>
      </c>
      <c r="AA774" s="8">
        <f t="shared" si="393"/>
        <v>0.44737456242707119</v>
      </c>
      <c r="AB774" s="6" t="s">
        <v>8759</v>
      </c>
      <c r="AC774" s="6" t="str">
        <f t="shared" si="377"/>
        <v>=42.85*100000000</v>
      </c>
      <c r="AD774" s="1">
        <f>42.85*100000000</f>
        <v>4285000000</v>
      </c>
      <c r="AE774" s="8">
        <f t="shared" si="394"/>
        <v>1.4811812391430226</v>
      </c>
      <c r="AF774" s="6" t="s">
        <v>8760</v>
      </c>
      <c r="AG774" s="6" t="str">
        <f t="shared" si="378"/>
        <v>=17.27*100000000</v>
      </c>
      <c r="AH774" s="1">
        <f>17.27*100000000</f>
        <v>1727000000</v>
      </c>
      <c r="AI774" s="8">
        <f t="shared" si="395"/>
        <v>-0.80684487193826193</v>
      </c>
      <c r="AJ774" s="6" t="s">
        <v>8761</v>
      </c>
      <c r="AK774" s="6" t="str">
        <f t="shared" si="379"/>
        <v>=89.41*100000000</v>
      </c>
      <c r="AL774" s="1">
        <f>89.41*100000000</f>
        <v>8941000000</v>
      </c>
      <c r="AM774" s="8">
        <f t="shared" si="396"/>
        <v>0.30926929272221393</v>
      </c>
      <c r="AN774" s="6" t="s">
        <v>5085</v>
      </c>
      <c r="AO774" s="6" t="str">
        <f t="shared" si="380"/>
        <v>=68.29*100000000</v>
      </c>
      <c r="AP774" s="1">
        <f>68.29*100000000</f>
        <v>6829000000.000001</v>
      </c>
      <c r="AQ774" s="8">
        <f t="shared" si="397"/>
        <v>0.37681451612903244</v>
      </c>
      <c r="AR774" s="6" t="s">
        <v>8762</v>
      </c>
      <c r="AS774" s="6" t="str">
        <f t="shared" si="381"/>
        <v>=49.60*100000000</v>
      </c>
      <c r="AT774" s="1">
        <f>49.6*100000000</f>
        <v>4960000000</v>
      </c>
      <c r="AU774" s="8">
        <f t="shared" si="398"/>
        <v>0.51867728107777122</v>
      </c>
      <c r="AV774" s="6" t="s">
        <v>5637</v>
      </c>
      <c r="AW774" s="6" t="str">
        <f t="shared" si="382"/>
        <v>=32.66*100000000</v>
      </c>
      <c r="AX774" s="1">
        <f>32.66*100000000</f>
        <v>3265999999.9999995</v>
      </c>
      <c r="AY774" s="10">
        <f t="shared" si="399"/>
        <v>-0.57765420923315658</v>
      </c>
      <c r="AZ774" s="6" t="s">
        <v>8763</v>
      </c>
      <c r="BA774" s="6" t="str">
        <f t="shared" si="383"/>
        <v>=77.33*100000000</v>
      </c>
      <c r="BB774" s="1">
        <f>77.33*100000000</f>
        <v>7733000000</v>
      </c>
      <c r="BC774" s="8">
        <f t="shared" si="400"/>
        <v>0.34744729046872275</v>
      </c>
      <c r="BD774" s="6" t="s">
        <v>8764</v>
      </c>
      <c r="BE774" s="6" t="str">
        <f t="shared" si="384"/>
        <v>=57.39*100000000</v>
      </c>
      <c r="BF774" s="1">
        <f>57.39*100000000</f>
        <v>5739000000</v>
      </c>
      <c r="BG774" s="8">
        <f t="shared" si="401"/>
        <v>0.44668515250819257</v>
      </c>
      <c r="BH774" s="6" t="s">
        <v>8765</v>
      </c>
      <c r="BI774" s="6" t="str">
        <f t="shared" si="385"/>
        <v>=39.67*100000000</v>
      </c>
      <c r="BJ774" s="1">
        <f>39.67*100000000</f>
        <v>3967000000</v>
      </c>
      <c r="BK774" s="6" t="s">
        <v>6406</v>
      </c>
      <c r="BL774" s="1" t="str">
        <f t="shared" si="387"/>
        <v>=22.41*100000000</v>
      </c>
      <c r="BM774" s="16">
        <f t="shared" si="402"/>
        <v>0.77019187862561356</v>
      </c>
      <c r="BN774" s="1">
        <f>22.41*100000000</f>
        <v>2241000000</v>
      </c>
    </row>
    <row r="775" spans="1:66">
      <c r="A775" s="18"/>
      <c r="B775">
        <v>600648</v>
      </c>
      <c r="C775" t="s">
        <v>48</v>
      </c>
      <c r="D775" s="6" t="s">
        <v>1823</v>
      </c>
      <c r="E775" s="7" t="str">
        <f t="shared" si="386"/>
        <v>=13.17*100000000</v>
      </c>
      <c r="F775" s="1">
        <f>13.17*100000000</f>
        <v>1317000000</v>
      </c>
      <c r="G775" s="8">
        <f t="shared" si="388"/>
        <v>0.66015378797428459</v>
      </c>
      <c r="H775" s="6" t="s">
        <v>8766</v>
      </c>
      <c r="I775" s="6" t="str">
        <f t="shared" si="372"/>
        <v>=7.933*100000000</v>
      </c>
      <c r="J775" s="1">
        <f>7.933*100000000</f>
        <v>793300000</v>
      </c>
      <c r="K775" s="10">
        <f t="shared" si="389"/>
        <v>0.29012847617498783</v>
      </c>
      <c r="L775" s="6" t="s">
        <v>8767</v>
      </c>
      <c r="M775" s="6" t="str">
        <f t="shared" si="373"/>
        <v>=6.149*100000000</v>
      </c>
      <c r="N775" s="1">
        <f>6.149*100000000</f>
        <v>614900000</v>
      </c>
      <c r="O775" s="8">
        <f t="shared" si="390"/>
        <v>0.50415851272015655</v>
      </c>
      <c r="P775" s="6" t="s">
        <v>8768</v>
      </c>
      <c r="Q775" s="6" t="str">
        <f t="shared" si="374"/>
        <v>=4.088*100000000</v>
      </c>
      <c r="R775" s="11">
        <f>4.088*100000000</f>
        <v>408800000</v>
      </c>
      <c r="S775" s="8">
        <f t="shared" si="391"/>
        <v>-0.59201596806387224</v>
      </c>
      <c r="T775" s="6" t="s">
        <v>5088</v>
      </c>
      <c r="U775" s="6" t="str">
        <f t="shared" si="375"/>
        <v>=10.02*100000000</v>
      </c>
      <c r="V775" s="1">
        <f>10.02*100000000</f>
        <v>1002000000</v>
      </c>
      <c r="W775" s="8">
        <f t="shared" si="392"/>
        <v>0.54106428791141192</v>
      </c>
      <c r="X775" s="6" t="s">
        <v>8769</v>
      </c>
      <c r="Y775" s="6" t="str">
        <f t="shared" si="376"/>
        <v>=6.502*100000000</v>
      </c>
      <c r="Z775" s="1">
        <f>6.502*100000000</f>
        <v>650200000</v>
      </c>
      <c r="AA775" s="8">
        <f t="shared" si="393"/>
        <v>0.20007382798080472</v>
      </c>
      <c r="AB775" s="6" t="s">
        <v>2937</v>
      </c>
      <c r="AC775" s="6" t="str">
        <f t="shared" si="377"/>
        <v>=5.418*100000000</v>
      </c>
      <c r="AD775" s="1">
        <f>5.418*100000000</f>
        <v>541800000</v>
      </c>
      <c r="AE775" s="8">
        <f t="shared" si="394"/>
        <v>1.9493739793140992</v>
      </c>
      <c r="AF775" s="6" t="s">
        <v>5746</v>
      </c>
      <c r="AG775" s="6" t="str">
        <f t="shared" si="378"/>
        <v>=1.837*100000000</v>
      </c>
      <c r="AH775" s="1">
        <f>1.837*100000000</f>
        <v>183700000</v>
      </c>
      <c r="AI775" s="8">
        <f t="shared" si="395"/>
        <v>-0.86167168674698791</v>
      </c>
      <c r="AJ775" s="6" t="s">
        <v>6407</v>
      </c>
      <c r="AK775" s="6" t="str">
        <f t="shared" si="379"/>
        <v>=13.28*100000000</v>
      </c>
      <c r="AL775" s="1">
        <f>13.28*100000000</f>
        <v>1328000000</v>
      </c>
      <c r="AM775" s="8">
        <f t="shared" si="396"/>
        <v>0.26476190476190475</v>
      </c>
      <c r="AN775" s="6" t="s">
        <v>2851</v>
      </c>
      <c r="AO775" s="6" t="str">
        <f t="shared" si="380"/>
        <v>=10.50*100000000</v>
      </c>
      <c r="AP775" s="1">
        <f>10.5*100000000</f>
        <v>1050000000</v>
      </c>
      <c r="AQ775" s="8">
        <f t="shared" si="397"/>
        <v>0.10981925800655322</v>
      </c>
      <c r="AR775" s="6" t="s">
        <v>8770</v>
      </c>
      <c r="AS775" s="6" t="str">
        <f t="shared" si="381"/>
        <v>=9.461*100000000</v>
      </c>
      <c r="AT775" s="1">
        <f>9.461*100000000</f>
        <v>946100000</v>
      </c>
      <c r="AU775" s="8">
        <f t="shared" si="398"/>
        <v>0.17967581047381545</v>
      </c>
      <c r="AV775" s="6" t="s">
        <v>8771</v>
      </c>
      <c r="AW775" s="6" t="str">
        <f t="shared" si="382"/>
        <v>=8.020*100000000</v>
      </c>
      <c r="AX775" s="1">
        <f>8.02*100000000</f>
        <v>802000000</v>
      </c>
      <c r="AY775" s="10">
        <f t="shared" si="399"/>
        <v>-0.33609271523178808</v>
      </c>
      <c r="AZ775" s="6" t="s">
        <v>4251</v>
      </c>
      <c r="BA775" s="6" t="str">
        <f t="shared" si="383"/>
        <v>=12.08*100000000</v>
      </c>
      <c r="BB775" s="1">
        <f>12.08*100000000</f>
        <v>1208000000</v>
      </c>
      <c r="BC775" s="8">
        <f t="shared" si="400"/>
        <v>0.32528798683488752</v>
      </c>
      <c r="BD775" s="6" t="s">
        <v>8772</v>
      </c>
      <c r="BE775" s="6" t="str">
        <f t="shared" si="384"/>
        <v>=9.115*100000000</v>
      </c>
      <c r="BF775" s="1">
        <f>9.115*100000000</f>
        <v>911500000</v>
      </c>
      <c r="BG775" s="8">
        <f t="shared" si="401"/>
        <v>0.22794018590866227</v>
      </c>
      <c r="BH775" s="6" t="s">
        <v>8773</v>
      </c>
      <c r="BI775" s="6" t="str">
        <f t="shared" si="385"/>
        <v>=7.423*100000000</v>
      </c>
      <c r="BJ775" s="1">
        <f>7.423*100000000</f>
        <v>742300000</v>
      </c>
      <c r="BK775" s="6" t="s">
        <v>1524</v>
      </c>
      <c r="BL775" s="1" t="str">
        <f t="shared" si="387"/>
        <v>=5.181*100000000</v>
      </c>
      <c r="BM775" s="16">
        <f t="shared" si="402"/>
        <v>0.43273499324454739</v>
      </c>
      <c r="BN775" s="1">
        <f>5.181*100000000</f>
        <v>518100000</v>
      </c>
    </row>
    <row r="776" spans="1:66">
      <c r="A776" s="18"/>
      <c r="B776">
        <v>600648</v>
      </c>
      <c r="C776" t="s">
        <v>58</v>
      </c>
      <c r="D776" s="6" t="s">
        <v>8774</v>
      </c>
      <c r="E776" s="7" t="str">
        <f t="shared" si="386"/>
        <v>=13.37*100000000</v>
      </c>
      <c r="F776" s="1">
        <f>13.37*100000000</f>
        <v>1337000000</v>
      </c>
      <c r="G776" s="8">
        <f t="shared" si="388"/>
        <v>0.67376064096144217</v>
      </c>
      <c r="H776" s="6" t="s">
        <v>2080</v>
      </c>
      <c r="I776" s="6" t="str">
        <f t="shared" si="372"/>
        <v>=7.988*100000000</v>
      </c>
      <c r="J776" s="1">
        <f>7.988*100000000</f>
        <v>798800000</v>
      </c>
      <c r="K776" s="10">
        <f t="shared" si="389"/>
        <v>0.29255663430420714</v>
      </c>
      <c r="L776" s="6" t="s">
        <v>6997</v>
      </c>
      <c r="M776" s="6" t="str">
        <f t="shared" si="373"/>
        <v>=6.180*100000000</v>
      </c>
      <c r="N776" s="1">
        <f>6.18*100000000</f>
        <v>618000000</v>
      </c>
      <c r="O776" s="8">
        <f t="shared" si="390"/>
        <v>0.51026392961876854</v>
      </c>
      <c r="P776" s="6" t="s">
        <v>8775</v>
      </c>
      <c r="Q776" s="6" t="str">
        <f t="shared" si="374"/>
        <v>=4.092*100000000</v>
      </c>
      <c r="R776" s="11">
        <f>4.092*100000000</f>
        <v>409199999.99999994</v>
      </c>
      <c r="S776" s="8">
        <f t="shared" si="391"/>
        <v>-0.61250000000000004</v>
      </c>
      <c r="T776" s="6" t="s">
        <v>4083</v>
      </c>
      <c r="U776" s="6" t="str">
        <f t="shared" si="375"/>
        <v>=10.56*100000000</v>
      </c>
      <c r="V776" s="1">
        <f>10.56*100000000</f>
        <v>1056000000</v>
      </c>
      <c r="W776" s="8">
        <f t="shared" si="392"/>
        <v>0.61270616982284665</v>
      </c>
      <c r="X776" s="6" t="s">
        <v>5754</v>
      </c>
      <c r="Y776" s="6" t="str">
        <f t="shared" si="376"/>
        <v>=6.548*100000000</v>
      </c>
      <c r="Z776" s="1">
        <f>6.548*100000000</f>
        <v>654800000</v>
      </c>
      <c r="AA776" s="8">
        <f t="shared" si="393"/>
        <v>0.20389777532634676</v>
      </c>
      <c r="AB776" s="6" t="s">
        <v>8776</v>
      </c>
      <c r="AC776" s="6" t="str">
        <f t="shared" si="377"/>
        <v>=5.439*100000000</v>
      </c>
      <c r="AD776" s="1">
        <f>5.439*100000000</f>
        <v>543900000</v>
      </c>
      <c r="AE776" s="8">
        <f t="shared" si="394"/>
        <v>1.9257665411511566</v>
      </c>
      <c r="AF776" s="6" t="s">
        <v>4758</v>
      </c>
      <c r="AG776" s="6" t="str">
        <f t="shared" si="378"/>
        <v>=1.859*100000000</v>
      </c>
      <c r="AH776" s="1">
        <f>1.859*100000000</f>
        <v>185900000</v>
      </c>
      <c r="AI776" s="8">
        <f t="shared" si="395"/>
        <v>-0.85139888089528382</v>
      </c>
      <c r="AJ776" s="6" t="s">
        <v>8131</v>
      </c>
      <c r="AK776" s="6" t="str">
        <f t="shared" si="379"/>
        <v>=12.51*100000000</v>
      </c>
      <c r="AL776" s="1">
        <f>12.51*100000000</f>
        <v>1251000000</v>
      </c>
      <c r="AM776" s="8">
        <f t="shared" si="396"/>
        <v>0.17464788732394365</v>
      </c>
      <c r="AN776" s="6" t="s">
        <v>3146</v>
      </c>
      <c r="AO776" s="6" t="str">
        <f t="shared" si="380"/>
        <v>=10.65*100000000</v>
      </c>
      <c r="AP776" s="1">
        <f>10.65*100000000</f>
        <v>1065000000</v>
      </c>
      <c r="AQ776" s="8">
        <f t="shared" si="397"/>
        <v>0.10591900311526466</v>
      </c>
      <c r="AR776" s="6" t="s">
        <v>2842</v>
      </c>
      <c r="AS776" s="6" t="str">
        <f t="shared" si="381"/>
        <v>=9.630*100000000</v>
      </c>
      <c r="AT776" s="1">
        <f>9.63*100000000</f>
        <v>963000000.00000012</v>
      </c>
      <c r="AU776" s="8">
        <f t="shared" si="398"/>
        <v>0.19985048592075769</v>
      </c>
      <c r="AV776" s="6" t="s">
        <v>3066</v>
      </c>
      <c r="AW776" s="6" t="str">
        <f t="shared" si="382"/>
        <v>=8.026*100000000</v>
      </c>
      <c r="AX776" s="1">
        <f>8.026*100000000</f>
        <v>802600000</v>
      </c>
      <c r="AY776" s="10">
        <f t="shared" si="399"/>
        <v>-0.32212837837837838</v>
      </c>
      <c r="AZ776" s="6" t="s">
        <v>1402</v>
      </c>
      <c r="BA776" s="6" t="str">
        <f t="shared" si="383"/>
        <v>=11.84*100000000</v>
      </c>
      <c r="BB776" s="1">
        <f>11.84*100000000</f>
        <v>1184000000</v>
      </c>
      <c r="BC776" s="8">
        <f t="shared" si="400"/>
        <v>0.29867280903806059</v>
      </c>
      <c r="BD776" s="6" t="s">
        <v>6912</v>
      </c>
      <c r="BE776" s="6" t="str">
        <f t="shared" si="384"/>
        <v>=9.117*100000000</v>
      </c>
      <c r="BF776" s="1">
        <f>9.117*100000000</f>
        <v>911700000.00000012</v>
      </c>
      <c r="BG776" s="8">
        <f t="shared" si="401"/>
        <v>0.23336038961038977</v>
      </c>
      <c r="BH776" s="6" t="s">
        <v>8305</v>
      </c>
      <c r="BI776" s="6" t="str">
        <f t="shared" si="385"/>
        <v>=7.392*100000000</v>
      </c>
      <c r="BJ776" s="1">
        <f>7.392*100000000</f>
        <v>739200000</v>
      </c>
      <c r="BK776" s="6" t="s">
        <v>4011</v>
      </c>
      <c r="BL776" s="1" t="str">
        <f t="shared" si="387"/>
        <v>=5.209*100000000</v>
      </c>
      <c r="BM776" s="16">
        <f t="shared" si="402"/>
        <v>0.41908235745824551</v>
      </c>
      <c r="BN776" s="1">
        <f>5.209*100000000</f>
        <v>520899999.99999994</v>
      </c>
    </row>
    <row r="777" spans="1:66">
      <c r="A777" s="19"/>
      <c r="B777">
        <v>600648</v>
      </c>
      <c r="C777" t="s">
        <v>68</v>
      </c>
      <c r="D777" s="6" t="s">
        <v>8777</v>
      </c>
      <c r="E777" s="7" t="str">
        <f t="shared" si="386"/>
        <v>=9.504*100000000</v>
      </c>
      <c r="F777" s="1">
        <f>9.504*100000000</f>
        <v>950400000</v>
      </c>
      <c r="G777" s="8">
        <f t="shared" si="388"/>
        <v>0.65748168817579355</v>
      </c>
      <c r="H777" s="6" t="s">
        <v>3668</v>
      </c>
      <c r="I777" s="6" t="str">
        <f t="shared" si="372"/>
        <v>=5.734*100000000</v>
      </c>
      <c r="J777" s="1">
        <f>5.734*100000000</f>
        <v>573400000</v>
      </c>
      <c r="K777" s="10">
        <f t="shared" si="389"/>
        <v>0.27592345349354697</v>
      </c>
      <c r="L777" s="6" t="s">
        <v>1687</v>
      </c>
      <c r="M777" s="6" t="str">
        <f t="shared" si="373"/>
        <v>=4.494*100000000</v>
      </c>
      <c r="N777" s="1">
        <f>4.494*100000000</f>
        <v>449400000</v>
      </c>
      <c r="O777" s="8">
        <f t="shared" si="390"/>
        <v>0.33750000000000002</v>
      </c>
      <c r="P777" s="6" t="s">
        <v>4014</v>
      </c>
      <c r="Q777" s="6" t="str">
        <f t="shared" si="374"/>
        <v>=3.360*100000000</v>
      </c>
      <c r="R777" s="11">
        <f>3.36*100000000</f>
        <v>336000000</v>
      </c>
      <c r="S777" s="8">
        <f t="shared" si="391"/>
        <v>-0.56329607486353006</v>
      </c>
      <c r="T777" s="6" t="s">
        <v>3341</v>
      </c>
      <c r="U777" s="6" t="str">
        <f t="shared" si="375"/>
        <v>=7.694*100000000</v>
      </c>
      <c r="V777" s="1">
        <f>7.694*100000000</f>
        <v>769400000</v>
      </c>
      <c r="W777" s="8">
        <f t="shared" si="392"/>
        <v>0.58345338547026138</v>
      </c>
      <c r="X777" s="6" t="s">
        <v>8778</v>
      </c>
      <c r="Y777" s="6" t="str">
        <f t="shared" si="376"/>
        <v>=4.859*100000000</v>
      </c>
      <c r="Z777" s="1">
        <f>4.859*100000000</f>
        <v>485900000</v>
      </c>
      <c r="AA777" s="8">
        <f t="shared" si="393"/>
        <v>0.19503197245450074</v>
      </c>
      <c r="AB777" s="6" t="s">
        <v>8779</v>
      </c>
      <c r="AC777" s="6" t="str">
        <f t="shared" si="377"/>
        <v>=4.066*100000000</v>
      </c>
      <c r="AD777" s="1">
        <f>4.066*100000000</f>
        <v>406600000</v>
      </c>
      <c r="AE777" s="8">
        <f t="shared" si="394"/>
        <v>2.5918727915194348</v>
      </c>
      <c r="AF777" s="6" t="s">
        <v>4890</v>
      </c>
      <c r="AG777" s="6" t="str">
        <f t="shared" si="378"/>
        <v>=1.132*100000000</v>
      </c>
      <c r="AH777" s="1">
        <f>1.132*100000000</f>
        <v>113199999.99999999</v>
      </c>
      <c r="AI777" s="8">
        <f t="shared" si="395"/>
        <v>-0.87709011943539628</v>
      </c>
      <c r="AJ777" s="6" t="s">
        <v>8780</v>
      </c>
      <c r="AK777" s="6" t="str">
        <f t="shared" si="379"/>
        <v>=9.210*100000000</v>
      </c>
      <c r="AL777" s="1">
        <f>9.21*100000000</f>
        <v>921000000.00000012</v>
      </c>
      <c r="AM777" s="8">
        <f t="shared" si="396"/>
        <v>0.17444529456771246</v>
      </c>
      <c r="AN777" s="6" t="s">
        <v>8372</v>
      </c>
      <c r="AO777" s="6" t="str">
        <f t="shared" si="380"/>
        <v>=7.842*100000000</v>
      </c>
      <c r="AP777" s="1">
        <f>7.842*100000000</f>
        <v>784200000</v>
      </c>
      <c r="AQ777" s="8">
        <f t="shared" si="397"/>
        <v>9.6783216783216788E-2</v>
      </c>
      <c r="AR777" s="6" t="s">
        <v>2564</v>
      </c>
      <c r="AS777" s="6" t="str">
        <f t="shared" si="381"/>
        <v>=7.150*100000000</v>
      </c>
      <c r="AT777" s="1">
        <f>7.15*100000000</f>
        <v>715000000</v>
      </c>
      <c r="AU777" s="8">
        <f t="shared" si="398"/>
        <v>0.19206402134044681</v>
      </c>
      <c r="AV777" s="6" t="s">
        <v>8781</v>
      </c>
      <c r="AW777" s="6" t="str">
        <f t="shared" si="382"/>
        <v>=5.998*100000000</v>
      </c>
      <c r="AX777" s="1">
        <f>5.998*100000000</f>
        <v>599800000</v>
      </c>
      <c r="AY777" s="10">
        <f t="shared" si="399"/>
        <v>-0.31412235563178947</v>
      </c>
      <c r="AZ777" s="6" t="s">
        <v>8782</v>
      </c>
      <c r="BA777" s="6" t="str">
        <f t="shared" si="383"/>
        <v>=8.745*100000000</v>
      </c>
      <c r="BB777" s="1">
        <f>8.745*100000000</f>
        <v>874499999.99999988</v>
      </c>
      <c r="BC777" s="8">
        <f t="shared" si="400"/>
        <v>0.23534397513773114</v>
      </c>
      <c r="BD777" s="6" t="s">
        <v>8783</v>
      </c>
      <c r="BE777" s="6" t="str">
        <f t="shared" si="384"/>
        <v>=7.079*100000000</v>
      </c>
      <c r="BF777" s="1">
        <f>7.079*100000000</f>
        <v>707900000</v>
      </c>
      <c r="BG777" s="8">
        <f t="shared" si="401"/>
        <v>0.26568925442517433</v>
      </c>
      <c r="BH777" s="6" t="s">
        <v>8784</v>
      </c>
      <c r="BI777" s="6" t="str">
        <f t="shared" si="385"/>
        <v>=5.593*100000000</v>
      </c>
      <c r="BJ777" s="1">
        <f>5.593*100000000</f>
        <v>559300000</v>
      </c>
      <c r="BK777" s="6" t="s">
        <v>1972</v>
      </c>
      <c r="BL777" s="1" t="str">
        <f t="shared" si="387"/>
        <v>=3.829*100000000</v>
      </c>
      <c r="BM777" s="16">
        <f t="shared" si="402"/>
        <v>0.46069469835466181</v>
      </c>
      <c r="BN777" s="1">
        <f>3.829*100000000</f>
        <v>382900000</v>
      </c>
    </row>
    <row r="778" spans="1:66">
      <c r="A778" s="17">
        <v>196</v>
      </c>
      <c r="B778">
        <v>600649</v>
      </c>
      <c r="C778" t="s">
        <v>31</v>
      </c>
      <c r="D778" s="6" t="s">
        <v>8785</v>
      </c>
      <c r="E778" s="7" t="str">
        <f t="shared" si="386"/>
        <v>=91.93*100000000</v>
      </c>
      <c r="F778" s="1">
        <f>91.93*100000000</f>
        <v>9193000000</v>
      </c>
      <c r="G778" s="8">
        <f t="shared" si="388"/>
        <v>2.071500167056465</v>
      </c>
      <c r="H778" s="6" t="s">
        <v>8786</v>
      </c>
      <c r="I778" s="6" t="str">
        <f t="shared" si="372"/>
        <v>=29.93*100000000</v>
      </c>
      <c r="J778" s="1">
        <f>29.93*100000000</f>
        <v>2993000000</v>
      </c>
      <c r="K778" s="10">
        <f t="shared" si="389"/>
        <v>0.35798548094373867</v>
      </c>
      <c r="L778" s="6" t="s">
        <v>8787</v>
      </c>
      <c r="M778" s="6" t="str">
        <f t="shared" si="373"/>
        <v>=22.04*100000000</v>
      </c>
      <c r="N778" s="1">
        <f>22.04*100000000</f>
        <v>2204000000</v>
      </c>
      <c r="O778" s="8">
        <f t="shared" si="390"/>
        <v>0.80065359477124187</v>
      </c>
      <c r="P778" s="6" t="s">
        <v>582</v>
      </c>
      <c r="Q778" s="6" t="str">
        <f t="shared" si="374"/>
        <v>=12.24*100000000</v>
      </c>
      <c r="R778" s="11">
        <f>12.24*100000000</f>
        <v>1224000000</v>
      </c>
      <c r="S778" s="8">
        <f t="shared" si="391"/>
        <v>-0.8135567402894136</v>
      </c>
      <c r="T778" s="6" t="s">
        <v>8788</v>
      </c>
      <c r="U778" s="6" t="str">
        <f t="shared" si="375"/>
        <v>=65.65*100000000</v>
      </c>
      <c r="V778" s="1">
        <f>65.65*100000000</f>
        <v>6565000000.000001</v>
      </c>
      <c r="W778" s="8">
        <f t="shared" si="392"/>
        <v>35.051619989017027</v>
      </c>
      <c r="X778" s="6" t="s">
        <v>8256</v>
      </c>
      <c r="Y778" s="6" t="str">
        <f t="shared" si="376"/>
        <v>=1.821*100000000</v>
      </c>
      <c r="Z778" s="1">
        <f>1.821*100000000</f>
        <v>182100000</v>
      </c>
      <c r="AA778" s="8">
        <f t="shared" si="393"/>
        <v>0.26546212647671996</v>
      </c>
      <c r="AB778" s="6" t="s">
        <v>3551</v>
      </c>
      <c r="AC778" s="6" t="str">
        <f t="shared" si="377"/>
        <v>=1.439*100000000</v>
      </c>
      <c r="AD778" s="1">
        <f>1.439*100000000</f>
        <v>143900000</v>
      </c>
      <c r="AE778" s="8">
        <f t="shared" si="394"/>
        <v>1.6355311355311355</v>
      </c>
      <c r="AF778" s="7" t="s">
        <v>8789</v>
      </c>
      <c r="AG778" s="6" t="str">
        <f t="shared" si="378"/>
        <v>=5460*10000</v>
      </c>
      <c r="AH778" s="1">
        <f>5460*10000</f>
        <v>54600000</v>
      </c>
      <c r="AI778" s="8">
        <f t="shared" si="395"/>
        <v>-0.98501646542261256</v>
      </c>
      <c r="AJ778" s="6" t="s">
        <v>872</v>
      </c>
      <c r="AK778" s="6" t="str">
        <f t="shared" si="379"/>
        <v>=36.44*100000000</v>
      </c>
      <c r="AL778" s="1">
        <f>36.44*100000000</f>
        <v>3644000000</v>
      </c>
      <c r="AM778" s="8">
        <f t="shared" si="396"/>
        <v>0.7360647927584566</v>
      </c>
      <c r="AN778" s="6" t="s">
        <v>8790</v>
      </c>
      <c r="AO778" s="6" t="str">
        <f t="shared" si="380"/>
        <v>=20.99*100000000</v>
      </c>
      <c r="AP778" s="1">
        <f>20.99*100000000</f>
        <v>2098999999.9999998</v>
      </c>
      <c r="AQ778" s="8">
        <f t="shared" si="397"/>
        <v>0.1513987931980251</v>
      </c>
      <c r="AR778" s="6" t="s">
        <v>1837</v>
      </c>
      <c r="AS778" s="6" t="str">
        <f t="shared" si="381"/>
        <v>=18.23*100000000</v>
      </c>
      <c r="AT778" s="1">
        <f>18.23*100000000</f>
        <v>1823000000</v>
      </c>
      <c r="AU778" s="8">
        <f t="shared" si="398"/>
        <v>9.555877243775333</v>
      </c>
      <c r="AV778" s="6" t="s">
        <v>2980</v>
      </c>
      <c r="AW778" s="6" t="str">
        <f t="shared" si="382"/>
        <v>=1.727*100000000</v>
      </c>
      <c r="AX778" s="1">
        <f>1.727*100000000</f>
        <v>172700000</v>
      </c>
      <c r="AY778" s="10">
        <f t="shared" si="399"/>
        <v>-0.97498189193104445</v>
      </c>
      <c r="AZ778" s="6" t="s">
        <v>8791</v>
      </c>
      <c r="BA778" s="6" t="str">
        <f t="shared" si="383"/>
        <v>=69.03*100000000</v>
      </c>
      <c r="BB778" s="1">
        <f>69.03*100000000</f>
        <v>6903000000</v>
      </c>
      <c r="BC778" s="8">
        <f t="shared" si="400"/>
        <v>0.29682509862859291</v>
      </c>
      <c r="BD778" s="6" t="s">
        <v>8792</v>
      </c>
      <c r="BE778" s="6" t="str">
        <f t="shared" si="384"/>
        <v>=53.23*100000000</v>
      </c>
      <c r="BF778" s="1">
        <f>53.23*100000000</f>
        <v>5323000000</v>
      </c>
      <c r="BG778" s="8">
        <f t="shared" si="401"/>
        <v>0.28419782870928817</v>
      </c>
      <c r="BH778" s="6" t="s">
        <v>3602</v>
      </c>
      <c r="BI778" s="6" t="str">
        <f t="shared" si="385"/>
        <v>=41.45*100000000</v>
      </c>
      <c r="BJ778" s="1">
        <f>41.45*100000000</f>
        <v>4145000000.0000005</v>
      </c>
      <c r="BK778" s="6" t="s">
        <v>8793</v>
      </c>
      <c r="BL778" s="1" t="str">
        <f t="shared" si="387"/>
        <v>=23.13*100000000</v>
      </c>
      <c r="BM778" s="16">
        <f t="shared" si="402"/>
        <v>0.79204496325118912</v>
      </c>
      <c r="BN778" s="1">
        <f>23.13*100000000</f>
        <v>2313000000</v>
      </c>
    </row>
    <row r="779" spans="1:66">
      <c r="A779" s="18"/>
      <c r="B779">
        <v>600649</v>
      </c>
      <c r="C779" t="s">
        <v>48</v>
      </c>
      <c r="D779" s="6" t="s">
        <v>153</v>
      </c>
      <c r="E779" s="7" t="str">
        <f t="shared" si="386"/>
        <v>=15.52*100000000</v>
      </c>
      <c r="F779" s="1">
        <f>15.52*100000000</f>
        <v>1552000000</v>
      </c>
      <c r="G779" s="8">
        <f t="shared" si="388"/>
        <v>0.3746678476527901</v>
      </c>
      <c r="H779" s="6" t="s">
        <v>1830</v>
      </c>
      <c r="I779" s="6" t="str">
        <f t="shared" si="372"/>
        <v>=11.29*100000000</v>
      </c>
      <c r="J779" s="1">
        <f>11.29*100000000</f>
        <v>1129000000</v>
      </c>
      <c r="K779" s="10">
        <f t="shared" si="389"/>
        <v>0.2072284003421728</v>
      </c>
      <c r="L779" s="6" t="s">
        <v>8794</v>
      </c>
      <c r="M779" s="6" t="str">
        <f t="shared" si="373"/>
        <v>=9.352*100000000</v>
      </c>
      <c r="N779" s="1">
        <f>9.352*100000000</f>
        <v>935200000</v>
      </c>
      <c r="O779" s="8">
        <f t="shared" si="390"/>
        <v>3.1712756467439784</v>
      </c>
      <c r="P779" s="6" t="s">
        <v>8795</v>
      </c>
      <c r="Q779" s="6" t="str">
        <f t="shared" si="374"/>
        <v>=2.242*100000000</v>
      </c>
      <c r="R779" s="11">
        <f>2.242*100000000</f>
        <v>224200000</v>
      </c>
      <c r="S779" s="8">
        <f t="shared" si="391"/>
        <v>-0.79336405529953913</v>
      </c>
      <c r="T779" s="6" t="s">
        <v>8796</v>
      </c>
      <c r="U779" s="6" t="str">
        <f t="shared" si="375"/>
        <v>=10.85*100000000</v>
      </c>
      <c r="V779" s="1">
        <f>10.85*100000000</f>
        <v>1085000000</v>
      </c>
      <c r="W779" s="8">
        <f t="shared" si="392"/>
        <v>1.7728085867620751</v>
      </c>
      <c r="X779" s="6" t="s">
        <v>8672</v>
      </c>
      <c r="Y779" s="6" t="str">
        <f t="shared" si="376"/>
        <v>=3.913*100000000</v>
      </c>
      <c r="Z779" s="1">
        <f>3.913*100000000</f>
        <v>391300000</v>
      </c>
      <c r="AA779" s="8">
        <f t="shared" si="393"/>
        <v>1.2296296296296296</v>
      </c>
      <c r="AB779" s="6" t="s">
        <v>8797</v>
      </c>
      <c r="AC779" s="6" t="str">
        <f t="shared" si="377"/>
        <v>=1.755*100000000</v>
      </c>
      <c r="AD779" s="1">
        <f>1.755*100000000</f>
        <v>175500000</v>
      </c>
      <c r="AE779" s="8">
        <f t="shared" si="394"/>
        <v>3.834710743801653</v>
      </c>
      <c r="AF779" s="7" t="s">
        <v>8798</v>
      </c>
      <c r="AG779" s="6" t="str">
        <f t="shared" si="378"/>
        <v>=3630*10000</v>
      </c>
      <c r="AH779" s="1">
        <f>3630*10000</f>
        <v>36300000</v>
      </c>
      <c r="AI779" s="8">
        <f t="shared" si="395"/>
        <v>-0.95470426753181936</v>
      </c>
      <c r="AJ779" s="6" t="s">
        <v>8799</v>
      </c>
      <c r="AK779" s="6" t="str">
        <f t="shared" si="379"/>
        <v>=8.014*100000000</v>
      </c>
      <c r="AL779" s="1">
        <f>8.014*100000000</f>
        <v>801399999.99999988</v>
      </c>
      <c r="AM779" s="8">
        <f t="shared" si="396"/>
        <v>0.25552248159172786</v>
      </c>
      <c r="AN779" s="6" t="s">
        <v>8800</v>
      </c>
      <c r="AO779" s="6" t="str">
        <f t="shared" si="380"/>
        <v>=6.383*100000000</v>
      </c>
      <c r="AP779" s="1">
        <f>6.383*100000000</f>
        <v>638300000</v>
      </c>
      <c r="AQ779" s="8">
        <f t="shared" si="397"/>
        <v>0.29920618766537754</v>
      </c>
      <c r="AR779" s="6" t="s">
        <v>4640</v>
      </c>
      <c r="AS779" s="6" t="str">
        <f t="shared" si="381"/>
        <v>=4.913*100000000</v>
      </c>
      <c r="AT779" s="1">
        <f>4.913*100000000</f>
        <v>491300000</v>
      </c>
      <c r="AU779" s="8">
        <f t="shared" si="398"/>
        <v>0.35718232044198894</v>
      </c>
      <c r="AV779" s="6" t="s">
        <v>8801</v>
      </c>
      <c r="AW779" s="6" t="str">
        <f t="shared" si="382"/>
        <v>=3.620*100000000</v>
      </c>
      <c r="AX779" s="1">
        <f>3.62*100000000</f>
        <v>362000000</v>
      </c>
      <c r="AY779" s="10">
        <f t="shared" si="399"/>
        <v>-0.76168531928900596</v>
      </c>
      <c r="AZ779" s="6" t="s">
        <v>8802</v>
      </c>
      <c r="BA779" s="6" t="str">
        <f t="shared" si="383"/>
        <v>=15.19*100000000</v>
      </c>
      <c r="BB779" s="1">
        <f>15.19*100000000</f>
        <v>1519000000</v>
      </c>
      <c r="BC779" s="8">
        <f t="shared" si="400"/>
        <v>0.23295454545454544</v>
      </c>
      <c r="BD779" s="6" t="s">
        <v>8803</v>
      </c>
      <c r="BE779" s="6" t="str">
        <f t="shared" si="384"/>
        <v>=12.32*100000000</v>
      </c>
      <c r="BF779" s="1">
        <f>12.32*100000000</f>
        <v>1232000000</v>
      </c>
      <c r="BG779" s="8">
        <f t="shared" si="401"/>
        <v>0.225870646766169</v>
      </c>
      <c r="BH779" s="6" t="s">
        <v>1093</v>
      </c>
      <c r="BI779" s="6" t="str">
        <f t="shared" si="385"/>
        <v>=10.05*100000000</v>
      </c>
      <c r="BJ779" s="1">
        <f>10.05*100000000</f>
        <v>1005000000.0000001</v>
      </c>
      <c r="BK779" s="6" t="s">
        <v>8448</v>
      </c>
      <c r="BL779" s="1" t="str">
        <f t="shared" si="387"/>
        <v>=6.671*100000000</v>
      </c>
      <c r="BM779" s="16">
        <f t="shared" si="402"/>
        <v>0.5065207615050219</v>
      </c>
      <c r="BN779" s="1">
        <f>6.671*100000000</f>
        <v>667100000</v>
      </c>
    </row>
    <row r="780" spans="1:66">
      <c r="A780" s="18"/>
      <c r="B780">
        <v>600649</v>
      </c>
      <c r="C780" t="s">
        <v>58</v>
      </c>
      <c r="D780" s="6" t="s">
        <v>4234</v>
      </c>
      <c r="E780" s="7" t="str">
        <f t="shared" si="386"/>
        <v>=14.44*100000000</v>
      </c>
      <c r="F780" s="1">
        <f>14.44*100000000</f>
        <v>1444000000</v>
      </c>
      <c r="G780" s="8">
        <f t="shared" si="388"/>
        <v>0.37523809523809526</v>
      </c>
      <c r="H780" s="6" t="s">
        <v>2851</v>
      </c>
      <c r="I780" s="6" t="str">
        <f t="shared" si="372"/>
        <v>=10.50*100000000</v>
      </c>
      <c r="J780" s="1">
        <f>10.5*100000000</f>
        <v>1050000000</v>
      </c>
      <c r="K780" s="10">
        <f t="shared" si="389"/>
        <v>0.22692217807899043</v>
      </c>
      <c r="L780" s="6" t="s">
        <v>150</v>
      </c>
      <c r="M780" s="6" t="str">
        <f t="shared" si="373"/>
        <v>=8.558*100000000</v>
      </c>
      <c r="N780" s="1">
        <f>8.558*100000000</f>
        <v>855800000</v>
      </c>
      <c r="O780" s="8">
        <f t="shared" si="390"/>
        <v>2.6370590735231616</v>
      </c>
      <c r="P780" s="6" t="s">
        <v>2901</v>
      </c>
      <c r="Q780" s="6" t="str">
        <f t="shared" si="374"/>
        <v>=2.353*100000000</v>
      </c>
      <c r="R780" s="11">
        <f>2.353*100000000</f>
        <v>235300000.00000003</v>
      </c>
      <c r="S780" s="8">
        <f t="shared" si="391"/>
        <v>-0.78511415525114159</v>
      </c>
      <c r="T780" s="6" t="s">
        <v>2042</v>
      </c>
      <c r="U780" s="6" t="str">
        <f t="shared" si="375"/>
        <v>=10.95*100000000</v>
      </c>
      <c r="V780" s="1">
        <f>10.95*100000000</f>
        <v>1095000000</v>
      </c>
      <c r="W780" s="8">
        <f t="shared" si="392"/>
        <v>1.7395546659994996</v>
      </c>
      <c r="X780" s="6" t="s">
        <v>4996</v>
      </c>
      <c r="Y780" s="6" t="str">
        <f t="shared" si="376"/>
        <v>=3.997*100000000</v>
      </c>
      <c r="Z780" s="1">
        <f>3.997*100000000</f>
        <v>399700000</v>
      </c>
      <c r="AA780" s="8">
        <f t="shared" si="393"/>
        <v>1.1477700161203654</v>
      </c>
      <c r="AB780" s="6" t="s">
        <v>2062</v>
      </c>
      <c r="AC780" s="6" t="str">
        <f t="shared" si="377"/>
        <v>=1.861*100000000</v>
      </c>
      <c r="AD780" s="1">
        <f>1.861*100000000</f>
        <v>186100000</v>
      </c>
      <c r="AE780" s="8">
        <f t="shared" si="394"/>
        <v>2.9935622317596566</v>
      </c>
      <c r="AF780" s="7" t="s">
        <v>8804</v>
      </c>
      <c r="AG780" s="6" t="str">
        <f t="shared" si="378"/>
        <v>=4660*10000</v>
      </c>
      <c r="AH780" s="1">
        <f>4660*10000</f>
        <v>46600000</v>
      </c>
      <c r="AI780" s="8">
        <f t="shared" si="395"/>
        <v>-0.94441130860073963</v>
      </c>
      <c r="AJ780" s="6" t="s">
        <v>8805</v>
      </c>
      <c r="AK780" s="6" t="str">
        <f t="shared" si="379"/>
        <v>=8.383*100000000</v>
      </c>
      <c r="AL780" s="1">
        <f>8.383*100000000</f>
        <v>838299999.99999988</v>
      </c>
      <c r="AM780" s="8">
        <f t="shared" si="396"/>
        <v>0.26079109640547432</v>
      </c>
      <c r="AN780" s="6" t="s">
        <v>8806</v>
      </c>
      <c r="AO780" s="6" t="str">
        <f t="shared" si="380"/>
        <v>=6.649*100000000</v>
      </c>
      <c r="AP780" s="1">
        <f>6.649*100000000</f>
        <v>664900000</v>
      </c>
      <c r="AQ780" s="8">
        <f t="shared" si="397"/>
        <v>0.28557617942768754</v>
      </c>
      <c r="AR780" s="6" t="s">
        <v>8807</v>
      </c>
      <c r="AS780" s="6" t="str">
        <f t="shared" si="381"/>
        <v>=5.172*100000000</v>
      </c>
      <c r="AT780" s="1">
        <f>5.172*100000000</f>
        <v>517200000</v>
      </c>
      <c r="AU780" s="8">
        <f t="shared" si="398"/>
        <v>0.3769968051118211</v>
      </c>
      <c r="AV780" s="6" t="s">
        <v>2381</v>
      </c>
      <c r="AW780" s="6" t="str">
        <f t="shared" si="382"/>
        <v>=3.756*100000000</v>
      </c>
      <c r="AX780" s="1">
        <f>3.756*100000000</f>
        <v>375600000</v>
      </c>
      <c r="AY780" s="10">
        <f t="shared" si="399"/>
        <v>-0.75953905249679898</v>
      </c>
      <c r="AZ780" s="6" t="s">
        <v>1833</v>
      </c>
      <c r="BA780" s="6" t="str">
        <f t="shared" si="383"/>
        <v>=15.62*100000000</v>
      </c>
      <c r="BB780" s="1">
        <f>15.62*100000000</f>
        <v>1562000000</v>
      </c>
      <c r="BC780" s="8">
        <f t="shared" si="400"/>
        <v>0.22895357985837922</v>
      </c>
      <c r="BD780" s="6" t="s">
        <v>3952</v>
      </c>
      <c r="BE780" s="6" t="str">
        <f t="shared" si="384"/>
        <v>=12.71*100000000</v>
      </c>
      <c r="BF780" s="1">
        <f>12.71*100000000</f>
        <v>1271000000</v>
      </c>
      <c r="BG780" s="8">
        <f t="shared" si="401"/>
        <v>0.22094140249759847</v>
      </c>
      <c r="BH780" s="6" t="s">
        <v>6326</v>
      </c>
      <c r="BI780" s="6" t="str">
        <f t="shared" si="385"/>
        <v>=10.41*100000000</v>
      </c>
      <c r="BJ780" s="1">
        <f>10.41*100000000</f>
        <v>1041000000</v>
      </c>
      <c r="BK780" s="6" t="s">
        <v>8808</v>
      </c>
      <c r="BL780" s="1" t="str">
        <f t="shared" si="387"/>
        <v>=6.665*100000000</v>
      </c>
      <c r="BM780" s="16">
        <f t="shared" si="402"/>
        <v>0.5618904726181545</v>
      </c>
      <c r="BN780" s="1">
        <f>6.665*100000000</f>
        <v>666500000</v>
      </c>
    </row>
    <row r="781" spans="1:66">
      <c r="A781" s="19"/>
      <c r="B781">
        <v>600649</v>
      </c>
      <c r="C781" t="s">
        <v>68</v>
      </c>
      <c r="D781" s="6" t="s">
        <v>8809</v>
      </c>
      <c r="E781" s="7" t="str">
        <f t="shared" si="386"/>
        <v>=8.973*100000000</v>
      </c>
      <c r="F781" s="1">
        <f>8.973*100000000</f>
        <v>897300000.00000012</v>
      </c>
      <c r="G781" s="8">
        <f t="shared" si="388"/>
        <v>0.20249262932189777</v>
      </c>
      <c r="H781" s="6" t="s">
        <v>8810</v>
      </c>
      <c r="I781" s="6" t="str">
        <f t="shared" si="372"/>
        <v>=7.462*100000000</v>
      </c>
      <c r="J781" s="1">
        <f>7.462*100000000</f>
        <v>746200000</v>
      </c>
      <c r="K781" s="10">
        <f t="shared" si="389"/>
        <v>0.29324090121317159</v>
      </c>
      <c r="L781" s="6" t="s">
        <v>8811</v>
      </c>
      <c r="M781" s="6" t="str">
        <f t="shared" si="373"/>
        <v>=5.770*100000000</v>
      </c>
      <c r="N781" s="1">
        <f>5.77*100000000</f>
        <v>577000000</v>
      </c>
      <c r="O781" s="8">
        <f t="shared" si="390"/>
        <v>2.3841642228739004</v>
      </c>
      <c r="P781" s="6" t="s">
        <v>5771</v>
      </c>
      <c r="Q781" s="6" t="str">
        <f t="shared" si="374"/>
        <v>=1.705*100000000</v>
      </c>
      <c r="R781" s="11">
        <f>1.705*100000000</f>
        <v>170500000</v>
      </c>
      <c r="S781" s="8">
        <f t="shared" si="391"/>
        <v>-0.77877254444011934</v>
      </c>
      <c r="T781" s="6" t="s">
        <v>8812</v>
      </c>
      <c r="U781" s="6" t="str">
        <f t="shared" si="375"/>
        <v>=7.707*100000000</v>
      </c>
      <c r="V781" s="1">
        <f>7.707*100000000</f>
        <v>770700000</v>
      </c>
      <c r="W781" s="8">
        <f t="shared" si="392"/>
        <v>1.7873417721518987</v>
      </c>
      <c r="X781" s="6" t="s">
        <v>7778</v>
      </c>
      <c r="Y781" s="6" t="str">
        <f t="shared" si="376"/>
        <v>=2.765*100000000</v>
      </c>
      <c r="Z781" s="1">
        <f>2.765*100000000</f>
        <v>276500000</v>
      </c>
      <c r="AA781" s="8">
        <f t="shared" si="393"/>
        <v>0.96377840909090906</v>
      </c>
      <c r="AB781" s="6" t="s">
        <v>8813</v>
      </c>
      <c r="AC781" s="6" t="str">
        <f t="shared" si="377"/>
        <v>=1.408*100000000</v>
      </c>
      <c r="AD781" s="1">
        <f>1.408*100000000</f>
        <v>140800000</v>
      </c>
      <c r="AE781" s="8">
        <f t="shared" si="394"/>
        <v>2.2227054245822844</v>
      </c>
      <c r="AF781" s="7" t="s">
        <v>8814</v>
      </c>
      <c r="AG781" s="6" t="str">
        <f t="shared" si="378"/>
        <v>=4369*10000</v>
      </c>
      <c r="AH781" s="1">
        <f>4369*10000</f>
        <v>43690000</v>
      </c>
      <c r="AI781" s="8">
        <f t="shared" si="395"/>
        <v>-0.93149890247726563</v>
      </c>
      <c r="AJ781" s="6" t="s">
        <v>8815</v>
      </c>
      <c r="AK781" s="6" t="str">
        <f t="shared" si="379"/>
        <v>=6.378*100000000</v>
      </c>
      <c r="AL781" s="1">
        <f>6.378*100000000</f>
        <v>637800000</v>
      </c>
      <c r="AM781" s="8">
        <f t="shared" si="396"/>
        <v>0.21555174385363066</v>
      </c>
      <c r="AN781" s="6" t="s">
        <v>8816</v>
      </c>
      <c r="AO781" s="6" t="str">
        <f t="shared" si="380"/>
        <v>=5.247*100000000</v>
      </c>
      <c r="AP781" s="1">
        <f>5.247*100000000</f>
        <v>524700000</v>
      </c>
      <c r="AQ781" s="8">
        <f t="shared" si="397"/>
        <v>0.29844097995545638</v>
      </c>
      <c r="AR781" s="6" t="s">
        <v>8817</v>
      </c>
      <c r="AS781" s="6" t="str">
        <f t="shared" si="381"/>
        <v>=4.041*100000000</v>
      </c>
      <c r="AT781" s="1">
        <f>4.041*100000000</f>
        <v>404100000.00000006</v>
      </c>
      <c r="AU781" s="8">
        <f t="shared" si="398"/>
        <v>0.30481110752340995</v>
      </c>
      <c r="AV781" s="6" t="s">
        <v>7713</v>
      </c>
      <c r="AW781" s="6" t="str">
        <f t="shared" si="382"/>
        <v>=3.097*100000000</v>
      </c>
      <c r="AX781" s="1">
        <f>3.097*100000000</f>
        <v>309700000</v>
      </c>
      <c r="AY781" s="10">
        <f t="shared" si="399"/>
        <v>-0.73529914529914531</v>
      </c>
      <c r="AZ781" s="6" t="s">
        <v>8818</v>
      </c>
      <c r="BA781" s="6" t="str">
        <f t="shared" si="383"/>
        <v>=11.70*100000000</v>
      </c>
      <c r="BB781" s="1">
        <f>11.7*100000000</f>
        <v>1170000000</v>
      </c>
      <c r="BC781" s="8">
        <f t="shared" si="400"/>
        <v>0.19071850193364542</v>
      </c>
      <c r="BD781" s="6" t="s">
        <v>8819</v>
      </c>
      <c r="BE781" s="6" t="str">
        <f t="shared" si="384"/>
        <v>=9.826*100000000</v>
      </c>
      <c r="BF781" s="1">
        <f>9.826*100000000</f>
        <v>982600000</v>
      </c>
      <c r="BG781" s="8">
        <f t="shared" si="401"/>
        <v>0.20861008610086082</v>
      </c>
      <c r="BH781" s="6" t="s">
        <v>8820</v>
      </c>
      <c r="BI781" s="6" t="str">
        <f t="shared" si="385"/>
        <v>=8.130*100000000</v>
      </c>
      <c r="BJ781" s="1">
        <f>8.13*100000000</f>
        <v>813000000.00000012</v>
      </c>
      <c r="BK781" s="6" t="s">
        <v>8821</v>
      </c>
      <c r="BL781" s="1" t="str">
        <f t="shared" si="387"/>
        <v>=5.026*100000000</v>
      </c>
      <c r="BM781" s="16">
        <f t="shared" si="402"/>
        <v>0.61758853959411086</v>
      </c>
      <c r="BN781" s="1">
        <f>5.026*100000000</f>
        <v>502600000</v>
      </c>
    </row>
    <row r="782" spans="1:66">
      <c r="A782" s="17">
        <v>197</v>
      </c>
      <c r="B782">
        <v>600650</v>
      </c>
      <c r="C782" t="s">
        <v>31</v>
      </c>
      <c r="D782" s="6" t="s">
        <v>8822</v>
      </c>
      <c r="E782" s="7" t="str">
        <f t="shared" si="386"/>
        <v>=27.15*100000000</v>
      </c>
      <c r="F782" s="1">
        <f>27.15*100000000</f>
        <v>2715000000</v>
      </c>
      <c r="G782" s="8">
        <f t="shared" si="388"/>
        <v>0.27644569816643161</v>
      </c>
      <c r="H782" s="6" t="s">
        <v>6022</v>
      </c>
      <c r="I782" s="6" t="str">
        <f t="shared" si="372"/>
        <v>=21.27*100000000</v>
      </c>
      <c r="J782" s="1">
        <f>21.27*100000000</f>
        <v>2127000000</v>
      </c>
      <c r="K782" s="10">
        <f t="shared" si="389"/>
        <v>0.52037169406719086</v>
      </c>
      <c r="L782" s="6" t="s">
        <v>1880</v>
      </c>
      <c r="M782" s="6" t="str">
        <f t="shared" si="373"/>
        <v>=13.99*100000000</v>
      </c>
      <c r="N782" s="1">
        <f>13.99*100000000</f>
        <v>1399000000</v>
      </c>
      <c r="O782" s="8">
        <f t="shared" si="390"/>
        <v>0.97766468758835168</v>
      </c>
      <c r="P782" s="6" t="s">
        <v>8823</v>
      </c>
      <c r="Q782" s="6" t="str">
        <f t="shared" si="374"/>
        <v>=7.074*100000000</v>
      </c>
      <c r="R782" s="11">
        <f>7.074*100000000</f>
        <v>707400000</v>
      </c>
      <c r="S782" s="8">
        <f t="shared" si="391"/>
        <v>-0.7343597446488922</v>
      </c>
      <c r="T782" s="6" t="s">
        <v>899</v>
      </c>
      <c r="U782" s="6" t="str">
        <f t="shared" si="375"/>
        <v>=26.63*100000000</v>
      </c>
      <c r="V782" s="1">
        <f>26.63*100000000</f>
        <v>2663000000</v>
      </c>
      <c r="W782" s="8">
        <f t="shared" si="392"/>
        <v>0.35040567951318458</v>
      </c>
      <c r="X782" s="6" t="s">
        <v>8824</v>
      </c>
      <c r="Y782" s="6" t="str">
        <f t="shared" si="376"/>
        <v>=19.72*100000000</v>
      </c>
      <c r="Z782" s="1">
        <f>19.72*100000000</f>
        <v>1972000000</v>
      </c>
      <c r="AA782" s="8">
        <f t="shared" si="393"/>
        <v>0.71777003484320556</v>
      </c>
      <c r="AB782" s="6" t="s">
        <v>7424</v>
      </c>
      <c r="AC782" s="6" t="str">
        <f t="shared" si="377"/>
        <v>=11.48*100000000</v>
      </c>
      <c r="AD782" s="1">
        <f>11.48*100000000</f>
        <v>1148000000</v>
      </c>
      <c r="AE782" s="8">
        <f t="shared" si="394"/>
        <v>1.291874625673787</v>
      </c>
      <c r="AF782" s="6" t="s">
        <v>8825</v>
      </c>
      <c r="AG782" s="6" t="str">
        <f t="shared" si="378"/>
        <v>=5.009*100000000</v>
      </c>
      <c r="AH782" s="1">
        <f>5.009*100000000</f>
        <v>500900000.00000006</v>
      </c>
      <c r="AI782" s="8">
        <f t="shared" si="395"/>
        <v>-0.8033372595210051</v>
      </c>
      <c r="AJ782" s="6" t="s">
        <v>529</v>
      </c>
      <c r="AK782" s="6" t="str">
        <f t="shared" si="379"/>
        <v>=25.47*100000000</v>
      </c>
      <c r="AL782" s="1">
        <f>25.47*100000000</f>
        <v>2547000000</v>
      </c>
      <c r="AM782" s="8">
        <f t="shared" si="396"/>
        <v>0.41894150417827297</v>
      </c>
      <c r="AN782" s="6" t="s">
        <v>2649</v>
      </c>
      <c r="AO782" s="6" t="str">
        <f t="shared" si="380"/>
        <v>=17.95*100000000</v>
      </c>
      <c r="AP782" s="1">
        <f>17.95*100000000</f>
        <v>1795000000</v>
      </c>
      <c r="AQ782" s="8">
        <f t="shared" si="397"/>
        <v>0.50335008375209378</v>
      </c>
      <c r="AR782" s="6" t="s">
        <v>8646</v>
      </c>
      <c r="AS782" s="6" t="str">
        <f t="shared" si="381"/>
        <v>=11.94*100000000</v>
      </c>
      <c r="AT782" s="1">
        <f>11.94*100000000</f>
        <v>1194000000</v>
      </c>
      <c r="AU782" s="8">
        <f t="shared" si="398"/>
        <v>1.1219122089923583</v>
      </c>
      <c r="AV782" s="6" t="s">
        <v>8826</v>
      </c>
      <c r="AW782" s="6" t="str">
        <f t="shared" si="382"/>
        <v>=5.627*100000000</v>
      </c>
      <c r="AX782" s="1">
        <f>5.627*100000000</f>
        <v>562700000</v>
      </c>
      <c r="AY782" s="10">
        <f t="shared" si="399"/>
        <v>-0.76891170431211497</v>
      </c>
      <c r="AZ782" s="6" t="s">
        <v>8827</v>
      </c>
      <c r="BA782" s="6" t="str">
        <f t="shared" si="383"/>
        <v>=24.35*100000000</v>
      </c>
      <c r="BB782" s="1">
        <f>24.35*100000000</f>
        <v>2435000000</v>
      </c>
      <c r="BC782" s="8">
        <f t="shared" si="400"/>
        <v>0.37337845459672869</v>
      </c>
      <c r="BD782" s="6" t="s">
        <v>8828</v>
      </c>
      <c r="BE782" s="6" t="str">
        <f t="shared" si="384"/>
        <v>=17.73*100000000</v>
      </c>
      <c r="BF782" s="1">
        <f>17.73*100000000</f>
        <v>1773000000</v>
      </c>
      <c r="BG782" s="8">
        <f t="shared" si="401"/>
        <v>0.55799648506151145</v>
      </c>
      <c r="BH782" s="6" t="s">
        <v>8450</v>
      </c>
      <c r="BI782" s="6" t="str">
        <f t="shared" si="385"/>
        <v>=11.38*100000000</v>
      </c>
      <c r="BJ782" s="1">
        <f>11.38*100000000</f>
        <v>1138000000</v>
      </c>
      <c r="BK782" s="6" t="s">
        <v>8829</v>
      </c>
      <c r="BL782" s="1" t="str">
        <f t="shared" si="387"/>
        <v>=5.547*100000000</v>
      </c>
      <c r="BM782" s="16">
        <f t="shared" si="402"/>
        <v>1.0515594014782765</v>
      </c>
      <c r="BN782" s="1">
        <f>5.547*100000000</f>
        <v>554700000</v>
      </c>
    </row>
    <row r="783" spans="1:66">
      <c r="A783" s="18"/>
      <c r="B783">
        <v>600650</v>
      </c>
      <c r="C783" t="s">
        <v>48</v>
      </c>
      <c r="D783" s="6" t="s">
        <v>8830</v>
      </c>
      <c r="E783" s="7" t="str">
        <f t="shared" si="386"/>
        <v>=1.681*100000000</v>
      </c>
      <c r="F783" s="1">
        <f>1.681*100000000</f>
        <v>168100000</v>
      </c>
      <c r="G783" s="8">
        <f t="shared" si="388"/>
        <v>0.43798118049615054</v>
      </c>
      <c r="H783" s="6" t="s">
        <v>5179</v>
      </c>
      <c r="I783" s="6" t="str">
        <f t="shared" si="372"/>
        <v>=1.169*100000000</v>
      </c>
      <c r="J783" s="1">
        <f>1.169*100000000</f>
        <v>116900000</v>
      </c>
      <c r="K783" s="10">
        <f t="shared" si="389"/>
        <v>0.43259803921568629</v>
      </c>
      <c r="L783" s="7" t="s">
        <v>8831</v>
      </c>
      <c r="M783" s="6" t="str">
        <f t="shared" si="373"/>
        <v>=8160*10000</v>
      </c>
      <c r="N783" s="1">
        <f>8160*10000</f>
        <v>81600000</v>
      </c>
      <c r="O783" s="8">
        <f t="shared" si="390"/>
        <v>0.43763213530655393</v>
      </c>
      <c r="P783" s="7" t="s">
        <v>5787</v>
      </c>
      <c r="Q783" s="6" t="str">
        <f t="shared" si="374"/>
        <v>=5676*10000</v>
      </c>
      <c r="R783" s="11">
        <f>5676*10000</f>
        <v>56760000</v>
      </c>
      <c r="S783" s="8">
        <f t="shared" si="391"/>
        <v>-0.82546125461254616</v>
      </c>
      <c r="T783" s="6" t="s">
        <v>8832</v>
      </c>
      <c r="U783" s="6" t="str">
        <f t="shared" si="375"/>
        <v>=3.252*100000000</v>
      </c>
      <c r="V783" s="1">
        <f>3.252*100000000</f>
        <v>325200000</v>
      </c>
      <c r="W783" s="8">
        <f t="shared" si="392"/>
        <v>3.3377350940376149</v>
      </c>
      <c r="X783" s="7" t="s">
        <v>8833</v>
      </c>
      <c r="Y783" s="6" t="str">
        <f t="shared" si="376"/>
        <v>=7497*10000</v>
      </c>
      <c r="Z783" s="1">
        <f>7497*10000</f>
        <v>74970000</v>
      </c>
      <c r="AA783" s="8">
        <f t="shared" si="393"/>
        <v>0.14057507987220447</v>
      </c>
      <c r="AB783" s="7" t="s">
        <v>8834</v>
      </c>
      <c r="AC783" s="6" t="str">
        <f t="shared" si="377"/>
        <v>=6573*10000</v>
      </c>
      <c r="AD783" s="1">
        <f>6573*10000</f>
        <v>65730000</v>
      </c>
      <c r="AE783" s="8">
        <f t="shared" si="394"/>
        <v>0.22083952451708766</v>
      </c>
      <c r="AF783" s="7" t="s">
        <v>8835</v>
      </c>
      <c r="AG783" s="6" t="str">
        <f t="shared" si="378"/>
        <v>=5384*10000</v>
      </c>
      <c r="AH783" s="1">
        <f>5384*10000</f>
        <v>53840000</v>
      </c>
      <c r="AI783" s="8">
        <f t="shared" si="395"/>
        <v>-0.84876404494382018</v>
      </c>
      <c r="AJ783" s="6" t="s">
        <v>4872</v>
      </c>
      <c r="AK783" s="6" t="str">
        <f t="shared" si="379"/>
        <v>=3.560*100000000</v>
      </c>
      <c r="AL783" s="1">
        <f>3.56*100000000</f>
        <v>356000000</v>
      </c>
      <c r="AM783" s="8">
        <f t="shared" si="396"/>
        <v>0.28705712219812002</v>
      </c>
      <c r="AN783" s="6" t="s">
        <v>1239</v>
      </c>
      <c r="AO783" s="6" t="str">
        <f t="shared" si="380"/>
        <v>=2.766*100000000</v>
      </c>
      <c r="AP783" s="1">
        <f>2.766*100000000</f>
        <v>276600000</v>
      </c>
      <c r="AQ783" s="8">
        <f t="shared" si="397"/>
        <v>0.32725527831094048</v>
      </c>
      <c r="AR783" s="6" t="s">
        <v>8836</v>
      </c>
      <c r="AS783" s="6" t="str">
        <f t="shared" si="381"/>
        <v>=2.084*100000000</v>
      </c>
      <c r="AT783" s="1">
        <f>2.084*100000000</f>
        <v>208400000</v>
      </c>
      <c r="AU783" s="8">
        <f t="shared" si="398"/>
        <v>1.1039878849066129</v>
      </c>
      <c r="AV783" s="7" t="s">
        <v>8837</v>
      </c>
      <c r="AW783" s="6" t="str">
        <f t="shared" si="382"/>
        <v>=9905*10000</v>
      </c>
      <c r="AX783" s="1">
        <f>9905*10000</f>
        <v>99050000</v>
      </c>
      <c r="AY783" s="10">
        <f t="shared" si="399"/>
        <v>-0.70677915926583779</v>
      </c>
      <c r="AZ783" s="6" t="s">
        <v>8838</v>
      </c>
      <c r="BA783" s="6" t="str">
        <f t="shared" si="383"/>
        <v>=3.378*100000000</v>
      </c>
      <c r="BB783" s="1">
        <f>3.378*100000000</f>
        <v>337800000</v>
      </c>
      <c r="BC783" s="8">
        <f t="shared" si="400"/>
        <v>0.25810055865921788</v>
      </c>
      <c r="BD783" s="6" t="s">
        <v>1726</v>
      </c>
      <c r="BE783" s="6" t="str">
        <f t="shared" si="384"/>
        <v>=2.685*100000000</v>
      </c>
      <c r="BF783" s="1">
        <f>2.685*100000000</f>
        <v>268500000</v>
      </c>
      <c r="BG783" s="8">
        <f t="shared" si="401"/>
        <v>0.32986627043090638</v>
      </c>
      <c r="BH783" s="6" t="s">
        <v>8485</v>
      </c>
      <c r="BI783" s="6" t="str">
        <f t="shared" si="385"/>
        <v>=2.019*100000000</v>
      </c>
      <c r="BJ783" s="1">
        <f>2.019*100000000</f>
        <v>201900000</v>
      </c>
      <c r="BK783" s="7" t="s">
        <v>8839</v>
      </c>
      <c r="BL783" s="1" t="str">
        <f t="shared" si="387"/>
        <v>=9894*10000</v>
      </c>
      <c r="BM783" s="16">
        <f t="shared" si="402"/>
        <v>1.0406306852637963</v>
      </c>
      <c r="BN783" s="1">
        <f>9894*10000</f>
        <v>98940000</v>
      </c>
    </row>
    <row r="784" spans="1:66">
      <c r="A784" s="18"/>
      <c r="B784">
        <v>600650</v>
      </c>
      <c r="C784" t="s">
        <v>58</v>
      </c>
      <c r="D784" s="6" t="s">
        <v>4281</v>
      </c>
      <c r="E784" s="7" t="str">
        <f t="shared" si="386"/>
        <v>=1.800*100000000</v>
      </c>
      <c r="F784" s="1">
        <f>1.8*100000000</f>
        <v>180000000</v>
      </c>
      <c r="G784" s="8">
        <f t="shared" si="388"/>
        <v>0.5025041736227045</v>
      </c>
      <c r="H784" s="6" t="s">
        <v>8840</v>
      </c>
      <c r="I784" s="6" t="str">
        <f t="shared" si="372"/>
        <v>=1.198*100000000</v>
      </c>
      <c r="J784" s="1">
        <f>1.198*100000000</f>
        <v>119800000</v>
      </c>
      <c r="K784" s="10">
        <f t="shared" si="389"/>
        <v>0.45724364432550785</v>
      </c>
      <c r="L784" s="7" t="s">
        <v>8841</v>
      </c>
      <c r="M784" s="6" t="str">
        <f t="shared" si="373"/>
        <v>=8221*10000</v>
      </c>
      <c r="N784" s="1">
        <f>8221*10000</f>
        <v>82210000</v>
      </c>
      <c r="O784" s="8">
        <f t="shared" si="390"/>
        <v>0.40891173950299914</v>
      </c>
      <c r="P784" s="7" t="s">
        <v>8842</v>
      </c>
      <c r="Q784" s="6" t="str">
        <f t="shared" si="374"/>
        <v>=5835*10000</v>
      </c>
      <c r="R784" s="11">
        <f>5835*10000</f>
        <v>58350000</v>
      </c>
      <c r="S784" s="8">
        <f t="shared" si="391"/>
        <v>-0.82366273798730738</v>
      </c>
      <c r="T784" s="6" t="s">
        <v>7366</v>
      </c>
      <c r="U784" s="6" t="str">
        <f t="shared" si="375"/>
        <v>=3.309*100000000</v>
      </c>
      <c r="V784" s="1">
        <f>3.309*100000000</f>
        <v>330900000</v>
      </c>
      <c r="W784" s="8">
        <f t="shared" si="392"/>
        <v>3.0551470588235294</v>
      </c>
      <c r="X784" s="7" t="s">
        <v>8831</v>
      </c>
      <c r="Y784" s="6" t="str">
        <f t="shared" si="376"/>
        <v>=8160*10000</v>
      </c>
      <c r="Z784" s="1">
        <f>8160*10000</f>
        <v>81600000</v>
      </c>
      <c r="AA784" s="8">
        <f t="shared" si="393"/>
        <v>0.13490959666203059</v>
      </c>
      <c r="AB784" s="7" t="s">
        <v>8843</v>
      </c>
      <c r="AC784" s="6" t="str">
        <f t="shared" si="377"/>
        <v>=7190*10000</v>
      </c>
      <c r="AD784" s="1">
        <f>7190*10000</f>
        <v>71900000</v>
      </c>
      <c r="AE784" s="8">
        <f t="shared" si="394"/>
        <v>0.31468275735966356</v>
      </c>
      <c r="AF784" s="7" t="s">
        <v>8844</v>
      </c>
      <c r="AG784" s="6" t="str">
        <f t="shared" si="378"/>
        <v>=5469*10000</v>
      </c>
      <c r="AH784" s="1">
        <f>5469*10000</f>
        <v>54690000</v>
      </c>
      <c r="AI784" s="8">
        <f t="shared" si="395"/>
        <v>-0.85049207217058498</v>
      </c>
      <c r="AJ784" s="6" t="s">
        <v>8845</v>
      </c>
      <c r="AK784" s="6" t="str">
        <f t="shared" si="379"/>
        <v>=3.658*100000000</v>
      </c>
      <c r="AL784" s="1">
        <f>3.658*100000000</f>
        <v>365800000</v>
      </c>
      <c r="AM784" s="8">
        <f t="shared" si="396"/>
        <v>0.27857392520097868</v>
      </c>
      <c r="AN784" s="6" t="s">
        <v>8846</v>
      </c>
      <c r="AO784" s="6" t="str">
        <f t="shared" si="380"/>
        <v>=2.861*100000000</v>
      </c>
      <c r="AP784" s="1">
        <f>2.861*100000000</f>
        <v>286100000</v>
      </c>
      <c r="AQ784" s="8">
        <f t="shared" si="397"/>
        <v>0.31904103273397877</v>
      </c>
      <c r="AR784" s="6" t="s">
        <v>5480</v>
      </c>
      <c r="AS784" s="6" t="str">
        <f t="shared" si="381"/>
        <v>=2.169*100000000</v>
      </c>
      <c r="AT784" s="1">
        <f>2.169*100000000</f>
        <v>216900000</v>
      </c>
      <c r="AU784" s="8">
        <f t="shared" si="398"/>
        <v>1.158208955223881</v>
      </c>
      <c r="AV784" s="6" t="s">
        <v>8847</v>
      </c>
      <c r="AW784" s="6" t="str">
        <f t="shared" si="382"/>
        <v>=1.005*100000000</v>
      </c>
      <c r="AX784" s="1">
        <f>1.005*100000000</f>
        <v>100499999.99999999</v>
      </c>
      <c r="AY784" s="10">
        <f t="shared" si="399"/>
        <v>-0.71351197263397947</v>
      </c>
      <c r="AZ784" s="6" t="s">
        <v>6527</v>
      </c>
      <c r="BA784" s="6" t="str">
        <f t="shared" si="383"/>
        <v>=3.508*100000000</v>
      </c>
      <c r="BB784" s="1">
        <f>3.508*100000000</f>
        <v>350800000</v>
      </c>
      <c r="BC784" s="8">
        <f t="shared" si="400"/>
        <v>0.25464949928469244</v>
      </c>
      <c r="BD784" s="6" t="s">
        <v>8848</v>
      </c>
      <c r="BE784" s="6" t="str">
        <f t="shared" si="384"/>
        <v>=2.796*100000000</v>
      </c>
      <c r="BF784" s="1">
        <f>2.796*100000000</f>
        <v>279600000</v>
      </c>
      <c r="BG784" s="8">
        <f t="shared" si="401"/>
        <v>0.33269780743565303</v>
      </c>
      <c r="BH784" s="6" t="s">
        <v>8849</v>
      </c>
      <c r="BI784" s="6" t="str">
        <f t="shared" si="385"/>
        <v>=2.098*100000000</v>
      </c>
      <c r="BJ784" s="1">
        <f>2.098*100000000</f>
        <v>209800000</v>
      </c>
      <c r="BK784" s="6" t="s">
        <v>8847</v>
      </c>
      <c r="BL784" s="1" t="str">
        <f t="shared" si="387"/>
        <v>=1.005*100000000</v>
      </c>
      <c r="BM784" s="16">
        <f t="shared" si="402"/>
        <v>1.0875621890547267</v>
      </c>
      <c r="BN784" s="1">
        <f>1.005*100000000</f>
        <v>100499999.99999999</v>
      </c>
    </row>
    <row r="785" spans="1:66">
      <c r="A785" s="19"/>
      <c r="B785">
        <v>600650</v>
      </c>
      <c r="C785" t="s">
        <v>68</v>
      </c>
      <c r="D785" s="6" t="s">
        <v>8513</v>
      </c>
      <c r="E785" s="7" t="str">
        <f t="shared" si="386"/>
        <v>=1.469*100000000</v>
      </c>
      <c r="F785" s="1">
        <f>1.469*100000000</f>
        <v>146900000</v>
      </c>
      <c r="G785" s="8">
        <f t="shared" si="388"/>
        <v>0.4317738791423002</v>
      </c>
      <c r="H785" s="6" t="s">
        <v>2208</v>
      </c>
      <c r="I785" s="6" t="str">
        <f t="shared" si="372"/>
        <v>=1.026*100000000</v>
      </c>
      <c r="J785" s="1">
        <f>1.026*100000000</f>
        <v>102600000</v>
      </c>
      <c r="K785" s="10">
        <f t="shared" si="389"/>
        <v>0.45140755410949213</v>
      </c>
      <c r="L785" s="7" t="s">
        <v>8850</v>
      </c>
      <c r="M785" s="6" t="str">
        <f t="shared" si="373"/>
        <v>=7069*10000</v>
      </c>
      <c r="N785" s="1">
        <f>7069*10000</f>
        <v>70690000</v>
      </c>
      <c r="O785" s="8">
        <f t="shared" si="390"/>
        <v>0.32303949092270262</v>
      </c>
      <c r="P785" s="7" t="s">
        <v>8851</v>
      </c>
      <c r="Q785" s="6" t="str">
        <f t="shared" si="374"/>
        <v>=5343*10000</v>
      </c>
      <c r="R785" s="11">
        <f>5343*10000</f>
        <v>53430000</v>
      </c>
      <c r="S785" s="8">
        <f t="shared" si="391"/>
        <v>-0.77107969151670952</v>
      </c>
      <c r="T785" s="6" t="s">
        <v>4294</v>
      </c>
      <c r="U785" s="6" t="str">
        <f t="shared" si="375"/>
        <v>=2.334*100000000</v>
      </c>
      <c r="V785" s="1">
        <f>2.334*100000000</f>
        <v>233400000</v>
      </c>
      <c r="W785" s="8">
        <f t="shared" si="392"/>
        <v>2.5034524166916841</v>
      </c>
      <c r="X785" s="7" t="s">
        <v>3582</v>
      </c>
      <c r="Y785" s="6" t="str">
        <f t="shared" si="376"/>
        <v>=6662*10000</v>
      </c>
      <c r="Z785" s="1">
        <f>6662*10000</f>
        <v>66620000</v>
      </c>
      <c r="AA785" s="8">
        <f t="shared" si="393"/>
        <v>0.1024325666059904</v>
      </c>
      <c r="AB785" s="7" t="s">
        <v>8852</v>
      </c>
      <c r="AC785" s="6" t="str">
        <f t="shared" si="377"/>
        <v>=6043*10000</v>
      </c>
      <c r="AD785" s="1">
        <f>6043*10000</f>
        <v>60430000</v>
      </c>
      <c r="AE785" s="8">
        <f t="shared" si="394"/>
        <v>0.11679911291812974</v>
      </c>
      <c r="AF785" s="7" t="s">
        <v>4906</v>
      </c>
      <c r="AG785" s="6" t="str">
        <f t="shared" si="378"/>
        <v>=5411*10000</v>
      </c>
      <c r="AH785" s="1">
        <f>5411*10000</f>
        <v>54110000</v>
      </c>
      <c r="AI785" s="8">
        <f t="shared" si="395"/>
        <v>-0.82629213483146069</v>
      </c>
      <c r="AJ785" s="6" t="s">
        <v>8853</v>
      </c>
      <c r="AK785" s="6" t="str">
        <f t="shared" si="379"/>
        <v>=3.115*100000000</v>
      </c>
      <c r="AL785" s="1">
        <f>3.115*100000000</f>
        <v>311500000</v>
      </c>
      <c r="AM785" s="8">
        <f t="shared" si="396"/>
        <v>0.24699759807846261</v>
      </c>
      <c r="AN785" s="6" t="s">
        <v>1763</v>
      </c>
      <c r="AO785" s="6" t="str">
        <f t="shared" si="380"/>
        <v>=2.498*100000000</v>
      </c>
      <c r="AP785" s="1">
        <f>2.498*100000000</f>
        <v>249800000.00000003</v>
      </c>
      <c r="AQ785" s="8">
        <f t="shared" si="397"/>
        <v>0.32169312169312186</v>
      </c>
      <c r="AR785" s="6" t="s">
        <v>6286</v>
      </c>
      <c r="AS785" s="6" t="str">
        <f t="shared" si="381"/>
        <v>=1.890*100000000</v>
      </c>
      <c r="AT785" s="1">
        <f>1.89*100000000</f>
        <v>189000000</v>
      </c>
      <c r="AU785" s="8">
        <f t="shared" si="398"/>
        <v>1.1171726223815392</v>
      </c>
      <c r="AV785" s="7" t="s">
        <v>8854</v>
      </c>
      <c r="AW785" s="6" t="str">
        <f t="shared" si="382"/>
        <v>=8927*10000</v>
      </c>
      <c r="AX785" s="1">
        <f>8927*10000</f>
        <v>89270000</v>
      </c>
      <c r="AY785" s="10">
        <f t="shared" si="399"/>
        <v>-0.71901164620711366</v>
      </c>
      <c r="AZ785" s="6" t="s">
        <v>6125</v>
      </c>
      <c r="BA785" s="6" t="str">
        <f t="shared" si="383"/>
        <v>=3.177*100000000</v>
      </c>
      <c r="BB785" s="1">
        <f>3.177*100000000</f>
        <v>317700000</v>
      </c>
      <c r="BC785" s="8">
        <f t="shared" si="400"/>
        <v>0.28001611603545512</v>
      </c>
      <c r="BD785" s="6" t="s">
        <v>4387</v>
      </c>
      <c r="BE785" s="6" t="str">
        <f t="shared" si="384"/>
        <v>=2.482*100000000</v>
      </c>
      <c r="BF785" s="1">
        <f>2.482*100000000</f>
        <v>248200000.00000003</v>
      </c>
      <c r="BG785" s="8">
        <f t="shared" si="401"/>
        <v>0.31183932346723059</v>
      </c>
      <c r="BH785" s="6" t="s">
        <v>2374</v>
      </c>
      <c r="BI785" s="6" t="str">
        <f t="shared" si="385"/>
        <v>=1.892*100000000</v>
      </c>
      <c r="BJ785" s="1">
        <f>1.892*100000000</f>
        <v>189200000</v>
      </c>
      <c r="BK785" s="7" t="s">
        <v>8855</v>
      </c>
      <c r="BL785" s="1" t="str">
        <f t="shared" si="387"/>
        <v>=8901*10000</v>
      </c>
      <c r="BM785" s="16">
        <f t="shared" si="402"/>
        <v>1.1256038647342994</v>
      </c>
      <c r="BN785" s="1">
        <f>8901*10000</f>
        <v>89010000</v>
      </c>
    </row>
    <row r="786" spans="1:66">
      <c r="A786" s="17">
        <v>198</v>
      </c>
      <c r="B786">
        <v>600653</v>
      </c>
      <c r="C786" t="s">
        <v>31</v>
      </c>
      <c r="D786" s="6" t="s">
        <v>8856</v>
      </c>
      <c r="E786" s="7" t="str">
        <f t="shared" si="386"/>
        <v>=70.98*100000000</v>
      </c>
      <c r="F786" s="1">
        <f>70.98*100000000</f>
        <v>7098000000</v>
      </c>
      <c r="G786" s="8">
        <f t="shared" si="388"/>
        <v>0.27044925720422408</v>
      </c>
      <c r="H786" s="6" t="s">
        <v>8857</v>
      </c>
      <c r="I786" s="6" t="str">
        <f t="shared" si="372"/>
        <v>=55.87*100000000</v>
      </c>
      <c r="J786" s="1">
        <f>55.87*100000000</f>
        <v>5587000000</v>
      </c>
      <c r="K786" s="10">
        <f t="shared" si="389"/>
        <v>0.43846549948506675</v>
      </c>
      <c r="L786" s="6" t="s">
        <v>8858</v>
      </c>
      <c r="M786" s="6" t="str">
        <f t="shared" si="373"/>
        <v>=38.84*100000000</v>
      </c>
      <c r="N786" s="1">
        <f>38.84*100000000</f>
        <v>3884000000.0000005</v>
      </c>
      <c r="O786" s="8">
        <f t="shared" si="390"/>
        <v>0.96957403651115648</v>
      </c>
      <c r="P786" s="6" t="s">
        <v>8824</v>
      </c>
      <c r="Q786" s="6" t="str">
        <f t="shared" si="374"/>
        <v>=19.72*100000000</v>
      </c>
      <c r="R786" s="11">
        <f>19.72*100000000</f>
        <v>1972000000</v>
      </c>
      <c r="S786" s="8">
        <f t="shared" si="391"/>
        <v>-0.71412003479269348</v>
      </c>
      <c r="T786" s="6" t="s">
        <v>8859</v>
      </c>
      <c r="U786" s="6" t="str">
        <f t="shared" si="375"/>
        <v>=68.98*100000000</v>
      </c>
      <c r="V786" s="1">
        <f>68.98*100000000</f>
        <v>6898000000</v>
      </c>
      <c r="W786" s="8">
        <f t="shared" si="392"/>
        <v>0.37712118187262927</v>
      </c>
      <c r="X786" s="6" t="s">
        <v>8064</v>
      </c>
      <c r="Y786" s="6" t="str">
        <f t="shared" si="376"/>
        <v>=50.09*100000000</v>
      </c>
      <c r="Z786" s="1">
        <f>50.09*100000000</f>
        <v>5009000000</v>
      </c>
      <c r="AA786" s="8">
        <f t="shared" si="393"/>
        <v>0.66135986733001662</v>
      </c>
      <c r="AB786" s="6" t="s">
        <v>8860</v>
      </c>
      <c r="AC786" s="6" t="str">
        <f t="shared" si="377"/>
        <v>=30.15*100000000</v>
      </c>
      <c r="AD786" s="1">
        <f>30.15*100000000</f>
        <v>3015000000</v>
      </c>
      <c r="AE786" s="8">
        <f t="shared" si="394"/>
        <v>1.7137713771377139</v>
      </c>
      <c r="AF786" s="6" t="s">
        <v>4104</v>
      </c>
      <c r="AG786" s="6" t="str">
        <f t="shared" si="378"/>
        <v>=11.11*100000000</v>
      </c>
      <c r="AH786" s="1">
        <f>11.11*100000000</f>
        <v>1111000000</v>
      </c>
      <c r="AI786" s="8">
        <f t="shared" si="395"/>
        <v>-0.8490284005979073</v>
      </c>
      <c r="AJ786" s="6" t="s">
        <v>1787</v>
      </c>
      <c r="AK786" s="6" t="str">
        <f t="shared" si="379"/>
        <v>=73.59*100000000</v>
      </c>
      <c r="AL786" s="1">
        <f>73.59*100000000</f>
        <v>7359000000</v>
      </c>
      <c r="AM786" s="8">
        <f t="shared" si="396"/>
        <v>0.37551401869158879</v>
      </c>
      <c r="AN786" s="6" t="s">
        <v>8861</v>
      </c>
      <c r="AO786" s="6" t="str">
        <f t="shared" si="380"/>
        <v>=53.50*100000000</v>
      </c>
      <c r="AP786" s="1">
        <f>53.5*100000000</f>
        <v>5350000000</v>
      </c>
      <c r="AQ786" s="8">
        <f t="shared" si="397"/>
        <v>0.45935624659028934</v>
      </c>
      <c r="AR786" s="6" t="s">
        <v>8862</v>
      </c>
      <c r="AS786" s="6" t="str">
        <f t="shared" si="381"/>
        <v>=36.66*100000000</v>
      </c>
      <c r="AT786" s="1">
        <f>36.66*100000000</f>
        <v>3665999999.9999995</v>
      </c>
      <c r="AU786" s="8">
        <f t="shared" si="398"/>
        <v>1.1154068090017311</v>
      </c>
      <c r="AV786" s="6" t="s">
        <v>6008</v>
      </c>
      <c r="AW786" s="6" t="str">
        <f t="shared" si="382"/>
        <v>=17.33*100000000</v>
      </c>
      <c r="AX786" s="1">
        <f>17.33*100000000</f>
        <v>1732999999.9999998</v>
      </c>
      <c r="AY786" s="10">
        <f t="shared" si="399"/>
        <v>-0.75748670584942623</v>
      </c>
      <c r="AZ786" s="6" t="s">
        <v>8863</v>
      </c>
      <c r="BA786" s="6" t="str">
        <f t="shared" si="383"/>
        <v>=71.46*100000000</v>
      </c>
      <c r="BB786" s="1">
        <f>71.46*100000000</f>
        <v>7145999999.999999</v>
      </c>
      <c r="BC786" s="8">
        <f t="shared" si="400"/>
        <v>0.39898198903680482</v>
      </c>
      <c r="BD786" s="6" t="s">
        <v>8864</v>
      </c>
      <c r="BE786" s="6" t="str">
        <f t="shared" si="384"/>
        <v>=51.08*100000000</v>
      </c>
      <c r="BF786" s="1">
        <f>51.08*100000000</f>
        <v>5108000000</v>
      </c>
      <c r="BG786" s="8">
        <f t="shared" si="401"/>
        <v>0.61288285443637514</v>
      </c>
      <c r="BH786" s="6" t="s">
        <v>8865</v>
      </c>
      <c r="BI786" s="6" t="str">
        <f t="shared" si="385"/>
        <v>=31.67*100000000</v>
      </c>
      <c r="BJ786" s="1">
        <f>31.67*100000000</f>
        <v>3167000000</v>
      </c>
      <c r="BK786" s="6" t="s">
        <v>3049</v>
      </c>
      <c r="BL786" s="1" t="str">
        <f t="shared" si="387"/>
        <v>=15.51*100000000</v>
      </c>
      <c r="BM786" s="16">
        <f t="shared" si="402"/>
        <v>1.0419084461637653</v>
      </c>
      <c r="BN786" s="1">
        <f>15.51*100000000</f>
        <v>1551000000</v>
      </c>
    </row>
    <row r="787" spans="1:66">
      <c r="A787" s="18"/>
      <c r="B787">
        <v>600653</v>
      </c>
      <c r="C787" t="s">
        <v>48</v>
      </c>
      <c r="D787" s="6" t="s">
        <v>8866</v>
      </c>
      <c r="E787" s="7" t="str">
        <f t="shared" si="386"/>
        <v>=2.170*100000000</v>
      </c>
      <c r="F787" s="1">
        <f>2.17*100000000</f>
        <v>217000000</v>
      </c>
      <c r="G787" s="8">
        <f t="shared" si="388"/>
        <v>0.72085646312450458</v>
      </c>
      <c r="H787" s="6" t="s">
        <v>8867</v>
      </c>
      <c r="I787" s="6" t="str">
        <f t="shared" si="372"/>
        <v>=1.261*100000000</v>
      </c>
      <c r="J787" s="1">
        <f>1.261*100000000</f>
        <v>126099999.99999999</v>
      </c>
      <c r="K787" s="10">
        <f t="shared" si="389"/>
        <v>0.46798603026775304</v>
      </c>
      <c r="L787" s="7" t="s">
        <v>8868</v>
      </c>
      <c r="M787" s="6" t="str">
        <f t="shared" si="373"/>
        <v>=8590*10000</v>
      </c>
      <c r="N787" s="1">
        <f>8590*10000</f>
        <v>85900000</v>
      </c>
      <c r="O787" s="8">
        <f t="shared" si="390"/>
        <v>0.84532760472610091</v>
      </c>
      <c r="P787" s="7" t="s">
        <v>8869</v>
      </c>
      <c r="Q787" s="6" t="str">
        <f t="shared" si="374"/>
        <v>=4655*10000</v>
      </c>
      <c r="R787" s="11">
        <f>4655*10000</f>
        <v>46550000</v>
      </c>
      <c r="S787" s="8">
        <f t="shared" si="391"/>
        <v>-1.0754457050243111</v>
      </c>
      <c r="T787" s="6">
        <f>-6.17*100000000</f>
        <v>-617000000</v>
      </c>
      <c r="U787" s="6" t="str">
        <f t="shared" si="375"/>
        <v>=-617000000</v>
      </c>
      <c r="V787" s="1">
        <f>-617000000</f>
        <v>-617000000</v>
      </c>
      <c r="W787" s="8">
        <f t="shared" si="392"/>
        <v>-16.052451817516467</v>
      </c>
      <c r="X787" s="7" t="s">
        <v>8870</v>
      </c>
      <c r="Y787" s="6" t="str">
        <f t="shared" si="376"/>
        <v>=4099*10000</v>
      </c>
      <c r="Z787" s="1">
        <f>4099*10000</f>
        <v>40990000</v>
      </c>
      <c r="AA787" s="8">
        <f t="shared" si="393"/>
        <v>1.2025792584631918</v>
      </c>
      <c r="AB787" s="7" t="s">
        <v>2933</v>
      </c>
      <c r="AC787" s="6" t="str">
        <f t="shared" si="377"/>
        <v>=1861*10000</v>
      </c>
      <c r="AD787" s="1">
        <f>1861*10000</f>
        <v>18610000</v>
      </c>
      <c r="AE787" s="8">
        <f t="shared" si="394"/>
        <v>-1.7275215011727914</v>
      </c>
      <c r="AF787" s="7">
        <f>-2558*10000</f>
        <v>-25580000</v>
      </c>
      <c r="AG787" s="6" t="str">
        <f t="shared" si="378"/>
        <v>=-25580000</v>
      </c>
      <c r="AH787" s="1">
        <f>-25580000</f>
        <v>-25580000</v>
      </c>
      <c r="AI787" s="8">
        <f t="shared" si="395"/>
        <v>-0.84553140096618362</v>
      </c>
      <c r="AJ787" s="6">
        <f>-1.656*100000000</f>
        <v>-165600000</v>
      </c>
      <c r="AK787" s="6" t="str">
        <f t="shared" si="379"/>
        <v>=-165600000</v>
      </c>
      <c r="AL787" s="1">
        <f>-165600000</f>
        <v>-165600000</v>
      </c>
      <c r="AM787" s="8">
        <f t="shared" si="396"/>
        <v>27.298017771701982</v>
      </c>
      <c r="AN787" s="7">
        <f>-585.2*10000</f>
        <v>-5852000</v>
      </c>
      <c r="AO787" s="6" t="str">
        <f t="shared" si="380"/>
        <v>=-5852000</v>
      </c>
      <c r="AP787" s="1">
        <f>-5852000</f>
        <v>-5852000</v>
      </c>
      <c r="AQ787" s="8">
        <f t="shared" si="397"/>
        <v>-1.3460674157303372</v>
      </c>
      <c r="AR787" s="7" t="s">
        <v>8871</v>
      </c>
      <c r="AS787" s="6" t="str">
        <f t="shared" si="381"/>
        <v>=1691*10000</v>
      </c>
      <c r="AT787" s="1">
        <f>1691*10000</f>
        <v>16910000</v>
      </c>
      <c r="AU787" s="8">
        <f t="shared" si="398"/>
        <v>-2.7042934892158841</v>
      </c>
      <c r="AV787" s="7">
        <f>-992.2*10000</f>
        <v>-9922000</v>
      </c>
      <c r="AW787" s="6" t="str">
        <f t="shared" si="382"/>
        <v>=-9922000</v>
      </c>
      <c r="AX787" s="1">
        <f>-9922000</f>
        <v>-9922000</v>
      </c>
      <c r="AY787" s="10">
        <f t="shared" si="399"/>
        <v>-1.0253824507546687</v>
      </c>
      <c r="AZ787" s="6" t="s">
        <v>2446</v>
      </c>
      <c r="BA787" s="6" t="str">
        <f t="shared" si="383"/>
        <v>=3.909*100000000</v>
      </c>
      <c r="BB787" s="1">
        <f>3.909*100000000</f>
        <v>390900000</v>
      </c>
      <c r="BC787" s="8">
        <f t="shared" si="400"/>
        <v>-6.1380126182965302</v>
      </c>
      <c r="BD787" s="7">
        <f>-7608*10000</f>
        <v>-76080000</v>
      </c>
      <c r="BE787" s="6" t="str">
        <f t="shared" si="384"/>
        <v>=-76080000</v>
      </c>
      <c r="BF787" s="1">
        <f>-76080000</f>
        <v>-76080000</v>
      </c>
      <c r="BG787" s="8">
        <f t="shared" si="401"/>
        <v>-0.58920086393088555</v>
      </c>
      <c r="BH787" s="6">
        <f>-1.852*100000000</f>
        <v>-185200000</v>
      </c>
      <c r="BI787" s="6" t="str">
        <f t="shared" si="385"/>
        <v>=-185200000</v>
      </c>
      <c r="BJ787" s="1">
        <f>-185200000</f>
        <v>-185200000</v>
      </c>
      <c r="BK787" s="6">
        <f>-1.086*100000000</f>
        <v>-108600000.00000001</v>
      </c>
      <c r="BL787" s="1" t="str">
        <f t="shared" si="387"/>
        <v>=-108600000</v>
      </c>
      <c r="BM787" s="16">
        <f t="shared" si="402"/>
        <v>0.70534069981583791</v>
      </c>
      <c r="BN787" s="1">
        <f>-108600000</f>
        <v>-108600000</v>
      </c>
    </row>
    <row r="788" spans="1:66">
      <c r="A788" s="18"/>
      <c r="B788">
        <v>600653</v>
      </c>
      <c r="C788" t="s">
        <v>58</v>
      </c>
      <c r="D788" s="6" t="s">
        <v>8872</v>
      </c>
      <c r="E788" s="7" t="str">
        <f t="shared" si="386"/>
        <v>=2.080*100000000</v>
      </c>
      <c r="F788" s="1">
        <f>2.08*100000000</f>
        <v>208000000</v>
      </c>
      <c r="G788" s="8">
        <f t="shared" si="388"/>
        <v>0.65341812400635935</v>
      </c>
      <c r="H788" s="6" t="s">
        <v>2102</v>
      </c>
      <c r="I788" s="6" t="str">
        <f t="shared" si="372"/>
        <v>=1.258*100000000</v>
      </c>
      <c r="J788" s="1">
        <f>1.258*100000000</f>
        <v>125800000</v>
      </c>
      <c r="K788" s="10">
        <f t="shared" si="389"/>
        <v>0.46739764376530968</v>
      </c>
      <c r="L788" s="7" t="s">
        <v>8873</v>
      </c>
      <c r="M788" s="6" t="str">
        <f t="shared" si="373"/>
        <v>=8573*10000</v>
      </c>
      <c r="N788" s="1">
        <f>8573*10000</f>
        <v>85730000</v>
      </c>
      <c r="O788" s="8">
        <f t="shared" si="390"/>
        <v>0.8420713364847443</v>
      </c>
      <c r="P788" s="7" t="s">
        <v>8874</v>
      </c>
      <c r="Q788" s="6" t="str">
        <f t="shared" si="374"/>
        <v>=4654*10000</v>
      </c>
      <c r="R788" s="11">
        <f>4654*10000</f>
        <v>46540000</v>
      </c>
      <c r="S788" s="8">
        <f t="shared" si="391"/>
        <v>-1.0758845589434209</v>
      </c>
      <c r="T788" s="6">
        <f>-6.133*100000000</f>
        <v>-613300000</v>
      </c>
      <c r="U788" s="6" t="str">
        <f t="shared" si="375"/>
        <v>=-613300000</v>
      </c>
      <c r="V788" s="1">
        <f>-613300000</f>
        <v>-613300000</v>
      </c>
      <c r="W788" s="8">
        <f t="shared" si="392"/>
        <v>-14.280640970116934</v>
      </c>
      <c r="X788" s="7" t="s">
        <v>8875</v>
      </c>
      <c r="Y788" s="6" t="str">
        <f t="shared" si="376"/>
        <v>=4618*10000</v>
      </c>
      <c r="Z788" s="1">
        <f>4618*10000</f>
        <v>46180000</v>
      </c>
      <c r="AA788" s="8">
        <f t="shared" si="393"/>
        <v>0.94524010109519796</v>
      </c>
      <c r="AB788" s="7" t="s">
        <v>8876</v>
      </c>
      <c r="AC788" s="6" t="str">
        <f t="shared" si="377"/>
        <v>=2374*10000</v>
      </c>
      <c r="AD788" s="1">
        <f>2374*10000</f>
        <v>23740000</v>
      </c>
      <c r="AE788" s="8">
        <f t="shared" si="394"/>
        <v>-1.9339103068450039</v>
      </c>
      <c r="AF788" s="7">
        <f>-2542*10000</f>
        <v>-25420000</v>
      </c>
      <c r="AG788" s="6" t="str">
        <f t="shared" si="378"/>
        <v>=-25420000</v>
      </c>
      <c r="AH788" s="1">
        <f>-25420000</f>
        <v>-25420000</v>
      </c>
      <c r="AI788" s="8">
        <f t="shared" si="395"/>
        <v>-0.84584596725288053</v>
      </c>
      <c r="AJ788" s="6">
        <f>-1.649*100000000</f>
        <v>-164900000</v>
      </c>
      <c r="AK788" s="6" t="str">
        <f t="shared" si="379"/>
        <v>=-164900000</v>
      </c>
      <c r="AL788" s="1">
        <f>-164900000</f>
        <v>-164900000</v>
      </c>
      <c r="AM788" s="8">
        <f t="shared" si="396"/>
        <v>-4.7519908987485779</v>
      </c>
      <c r="AN788" s="7" t="s">
        <v>8877</v>
      </c>
      <c r="AO788" s="6" t="str">
        <f t="shared" si="380"/>
        <v>=4395*10000</v>
      </c>
      <c r="AP788" s="1">
        <f>4395*10000</f>
        <v>43950000</v>
      </c>
      <c r="AQ788" s="8">
        <f t="shared" si="397"/>
        <v>-0.32798165137614677</v>
      </c>
      <c r="AR788" s="7" t="s">
        <v>8878</v>
      </c>
      <c r="AS788" s="6" t="str">
        <f t="shared" si="381"/>
        <v>=6540*10000</v>
      </c>
      <c r="AT788" s="1">
        <f>6540*10000</f>
        <v>65400000</v>
      </c>
      <c r="AU788" s="8">
        <f t="shared" si="398"/>
        <v>0.78396072013093288</v>
      </c>
      <c r="AV788" s="7" t="s">
        <v>2209</v>
      </c>
      <c r="AW788" s="6" t="str">
        <f t="shared" si="382"/>
        <v>=3666*10000</v>
      </c>
      <c r="AX788" s="1">
        <f>3666*10000</f>
        <v>36660000</v>
      </c>
      <c r="AY788" s="10">
        <f t="shared" si="399"/>
        <v>-0.90693069306930696</v>
      </c>
      <c r="AZ788" s="6" t="s">
        <v>8879</v>
      </c>
      <c r="BA788" s="6" t="str">
        <f t="shared" si="383"/>
        <v>=3.939*100000000</v>
      </c>
      <c r="BB788" s="1">
        <f>3.939*100000000</f>
        <v>393900000</v>
      </c>
      <c r="BC788" s="8">
        <f t="shared" si="400"/>
        <v>-7.2051039697542532</v>
      </c>
      <c r="BD788" s="7">
        <f>-6348*10000</f>
        <v>-63480000</v>
      </c>
      <c r="BE788" s="6" t="str">
        <f t="shared" si="384"/>
        <v>=-63480000</v>
      </c>
      <c r="BF788" s="1">
        <f>-63480000</f>
        <v>-63480000</v>
      </c>
      <c r="BG788" s="8">
        <f t="shared" si="401"/>
        <v>-0.65216438356164386</v>
      </c>
      <c r="BH788" s="6">
        <f>-1.825*100000000</f>
        <v>-182500000</v>
      </c>
      <c r="BI788" s="6" t="str">
        <f t="shared" si="385"/>
        <v>=-182500000</v>
      </c>
      <c r="BJ788" s="1">
        <f>-182500000</f>
        <v>-182500000</v>
      </c>
      <c r="BK788" s="6">
        <f>-1.081*100000000</f>
        <v>-108100000</v>
      </c>
      <c r="BL788" s="1" t="str">
        <f t="shared" si="387"/>
        <v>=-108100000</v>
      </c>
      <c r="BM788" s="16">
        <f t="shared" si="402"/>
        <v>0.68825161887141539</v>
      </c>
      <c r="BN788" s="1">
        <f>-108100000</f>
        <v>-108100000</v>
      </c>
    </row>
    <row r="789" spans="1:66">
      <c r="A789" s="19"/>
      <c r="B789">
        <v>600653</v>
      </c>
      <c r="C789" t="s">
        <v>68</v>
      </c>
      <c r="D789" s="6" t="s">
        <v>6147</v>
      </c>
      <c r="E789" s="7" t="str">
        <f t="shared" si="386"/>
        <v>=1.409*100000000</v>
      </c>
      <c r="F789" s="1">
        <f>1.409*100000000</f>
        <v>140900000</v>
      </c>
      <c r="G789" s="8">
        <f t="shared" si="388"/>
        <v>0.88848679801635166</v>
      </c>
      <c r="H789" s="7" t="s">
        <v>2919</v>
      </c>
      <c r="I789" s="6" t="str">
        <f t="shared" si="372"/>
        <v>=7461*10000</v>
      </c>
      <c r="J789" s="1">
        <f>7461*10000</f>
        <v>74610000</v>
      </c>
      <c r="K789" s="10">
        <f t="shared" si="389"/>
        <v>0.49729078868151716</v>
      </c>
      <c r="L789" s="7" t="s">
        <v>8880</v>
      </c>
      <c r="M789" s="6" t="str">
        <f t="shared" si="373"/>
        <v>=4983*10000</v>
      </c>
      <c r="N789" s="1">
        <f>4983*10000</f>
        <v>49830000</v>
      </c>
      <c r="O789" s="8">
        <f t="shared" si="390"/>
        <v>0.71650017223561835</v>
      </c>
      <c r="P789" s="7" t="s">
        <v>8881</v>
      </c>
      <c r="Q789" s="6" t="str">
        <f t="shared" si="374"/>
        <v>=2903*10000</v>
      </c>
      <c r="R789" s="11">
        <f>2903*10000</f>
        <v>29030000</v>
      </c>
      <c r="S789" s="8">
        <f t="shared" si="391"/>
        <v>-1.0425909624413146</v>
      </c>
      <c r="T789" s="6">
        <f>-6.816*100000000</f>
        <v>-681600000</v>
      </c>
      <c r="U789" s="6" t="str">
        <f t="shared" si="375"/>
        <v>=-681600000</v>
      </c>
      <c r="V789" s="1">
        <f>-681600000</f>
        <v>-681600000</v>
      </c>
      <c r="W789" s="8">
        <f t="shared" si="392"/>
        <v>-56.279805352798057</v>
      </c>
      <c r="X789" s="7" t="s">
        <v>8882</v>
      </c>
      <c r="Y789" s="6" t="str">
        <f t="shared" si="376"/>
        <v>=1233*10000</v>
      </c>
      <c r="Z789" s="1">
        <f>1233*10000</f>
        <v>12330000</v>
      </c>
      <c r="AA789" s="8">
        <f t="shared" si="393"/>
        <v>7.297442799461642</v>
      </c>
      <c r="AB789" s="7" t="s">
        <v>8883</v>
      </c>
      <c r="AC789" s="6" t="str">
        <f t="shared" si="377"/>
        <v>=148.6*10000</v>
      </c>
      <c r="AD789" s="1">
        <f>148.6*10000</f>
        <v>1486000</v>
      </c>
      <c r="AE789" s="8">
        <f t="shared" si="394"/>
        <v>-1.0472195741976487</v>
      </c>
      <c r="AF789" s="7">
        <f>-3147*10000</f>
        <v>-31470000</v>
      </c>
      <c r="AG789" s="6" t="str">
        <f t="shared" si="378"/>
        <v>=-31470000</v>
      </c>
      <c r="AH789" s="1">
        <f>-31470000</f>
        <v>-31470000</v>
      </c>
      <c r="AI789" s="8">
        <f t="shared" si="395"/>
        <v>-0.84217652958876632</v>
      </c>
      <c r="AJ789" s="6">
        <f>-1.994*100000000</f>
        <v>-199400000</v>
      </c>
      <c r="AK789" s="6" t="str">
        <f t="shared" si="379"/>
        <v>=-199400000</v>
      </c>
      <c r="AL789" s="1">
        <f>-199400000</f>
        <v>-199400000</v>
      </c>
      <c r="AM789" s="8">
        <f t="shared" si="396"/>
        <v>-11.842849374660142</v>
      </c>
      <c r="AN789" s="7" t="s">
        <v>8884</v>
      </c>
      <c r="AO789" s="6" t="str">
        <f t="shared" si="380"/>
        <v>=1839*10000</v>
      </c>
      <c r="AP789" s="1">
        <f>1839*10000</f>
        <v>18390000</v>
      </c>
      <c r="AQ789" s="8">
        <f t="shared" si="397"/>
        <v>-0.60004349717268379</v>
      </c>
      <c r="AR789" s="7" t="s">
        <v>8885</v>
      </c>
      <c r="AS789" s="6" t="str">
        <f t="shared" si="381"/>
        <v>=4598*10000</v>
      </c>
      <c r="AT789" s="1">
        <f>4598*10000</f>
        <v>45980000</v>
      </c>
      <c r="AU789" s="8">
        <f t="shared" si="398"/>
        <v>0.88519885198851989</v>
      </c>
      <c r="AV789" s="7" t="s">
        <v>8886</v>
      </c>
      <c r="AW789" s="6" t="str">
        <f t="shared" si="382"/>
        <v>=2439*10000</v>
      </c>
      <c r="AX789" s="1">
        <f>2439*10000</f>
        <v>24390000</v>
      </c>
      <c r="AY789" s="10">
        <f t="shared" si="399"/>
        <v>-0.93162321278385196</v>
      </c>
      <c r="AZ789" s="6" t="s">
        <v>7828</v>
      </c>
      <c r="BA789" s="6" t="str">
        <f t="shared" si="383"/>
        <v>=3.567*100000000</v>
      </c>
      <c r="BB789" s="1">
        <f>3.567*100000000</f>
        <v>356700000</v>
      </c>
      <c r="BC789" s="8">
        <f t="shared" si="400"/>
        <v>-5.2580876208666592</v>
      </c>
      <c r="BD789" s="7">
        <f>-8377*10000</f>
        <v>-83770000</v>
      </c>
      <c r="BE789" s="6" t="str">
        <f t="shared" si="384"/>
        <v>=-83770000</v>
      </c>
      <c r="BF789" s="1">
        <f>-83770000</f>
        <v>-83770000</v>
      </c>
      <c r="BG789" s="8">
        <f t="shared" si="401"/>
        <v>-0.580310621242485</v>
      </c>
      <c r="BH789" s="6">
        <f>-1.996*100000000</f>
        <v>-199600000</v>
      </c>
      <c r="BI789" s="6" t="str">
        <f t="shared" si="385"/>
        <v>=-199600000</v>
      </c>
      <c r="BJ789" s="1">
        <f>-199600000</f>
        <v>-199600000</v>
      </c>
      <c r="BK789" s="6">
        <f>-1.149*100000000</f>
        <v>-114900000</v>
      </c>
      <c r="BL789" s="1" t="str">
        <f t="shared" si="387"/>
        <v>=-114900000</v>
      </c>
      <c r="BM789" s="16">
        <f t="shared" si="402"/>
        <v>0.73716275021758049</v>
      </c>
      <c r="BN789" s="1">
        <f>-114900000</f>
        <v>-114900000</v>
      </c>
    </row>
    <row r="790" spans="1:66">
      <c r="A790" s="17">
        <v>199</v>
      </c>
      <c r="B790">
        <v>600655</v>
      </c>
      <c r="C790" t="s">
        <v>31</v>
      </c>
      <c r="D790" s="6" t="s">
        <v>8887</v>
      </c>
      <c r="E790" s="7" t="str">
        <f t="shared" si="386"/>
        <v>=510.6*100000000</v>
      </c>
      <c r="F790" s="1">
        <f>510.6*100000000</f>
        <v>51060000000</v>
      </c>
      <c r="G790" s="8">
        <f t="shared" si="388"/>
        <v>0.58423828730995964</v>
      </c>
      <c r="H790" s="6" t="s">
        <v>8888</v>
      </c>
      <c r="I790" s="6" t="str">
        <f t="shared" si="372"/>
        <v>=322.3*100000000</v>
      </c>
      <c r="J790" s="1">
        <f>322.3*100000000</f>
        <v>32230000000</v>
      </c>
      <c r="K790" s="10">
        <f t="shared" si="389"/>
        <v>0.41857394366197181</v>
      </c>
      <c r="L790" s="6" t="s">
        <v>7221</v>
      </c>
      <c r="M790" s="6" t="str">
        <f t="shared" si="373"/>
        <v>=227.2*100000000</v>
      </c>
      <c r="N790" s="1">
        <f>227.2*100000000</f>
        <v>22720000000</v>
      </c>
      <c r="O790" s="8">
        <f t="shared" si="390"/>
        <v>1.0920810313075506</v>
      </c>
      <c r="P790" s="6" t="s">
        <v>8889</v>
      </c>
      <c r="Q790" s="6" t="str">
        <f t="shared" si="374"/>
        <v>=108.6*100000000</v>
      </c>
      <c r="R790" s="11">
        <f>108.6*100000000</f>
        <v>10860000000</v>
      </c>
      <c r="S790" s="8">
        <f t="shared" si="391"/>
        <v>-0.76147594992312762</v>
      </c>
      <c r="T790" s="6" t="s">
        <v>8890</v>
      </c>
      <c r="U790" s="6" t="str">
        <f t="shared" si="375"/>
        <v>=455.3*100000000</v>
      </c>
      <c r="V790" s="1">
        <f>455.3*100000000</f>
        <v>45530000000</v>
      </c>
      <c r="W790" s="8">
        <f t="shared" si="392"/>
        <v>0.56621947024423802</v>
      </c>
      <c r="X790" s="6" t="s">
        <v>8891</v>
      </c>
      <c r="Y790" s="6" t="str">
        <f t="shared" si="376"/>
        <v>=290.7*100000000</v>
      </c>
      <c r="Z790" s="1">
        <f>290.7*100000000</f>
        <v>29070000000</v>
      </c>
      <c r="AA790" s="8">
        <f t="shared" si="393"/>
        <v>0.44124938026772437</v>
      </c>
      <c r="AB790" s="6" t="s">
        <v>6161</v>
      </c>
      <c r="AC790" s="6" t="str">
        <f t="shared" si="377"/>
        <v>=201.7*100000000</v>
      </c>
      <c r="AD790" s="1">
        <f>201.7*100000000</f>
        <v>20170000000</v>
      </c>
      <c r="AE790" s="8">
        <f t="shared" si="394"/>
        <v>0.94128970163618864</v>
      </c>
      <c r="AF790" s="6" t="s">
        <v>8892</v>
      </c>
      <c r="AG790" s="6" t="str">
        <f t="shared" si="378"/>
        <v>=103.9*100000000</v>
      </c>
      <c r="AH790" s="1">
        <f>103.9*100000000</f>
        <v>10390000000</v>
      </c>
      <c r="AI790" s="8">
        <f t="shared" si="395"/>
        <v>-0.76348736626451175</v>
      </c>
      <c r="AJ790" s="6" t="s">
        <v>8893</v>
      </c>
      <c r="AK790" s="6" t="str">
        <f t="shared" si="379"/>
        <v>=439.3*100000000</v>
      </c>
      <c r="AL790" s="1">
        <f>439.3*100000000</f>
        <v>43930000000</v>
      </c>
      <c r="AM790" s="8">
        <f t="shared" si="396"/>
        <v>0.58592057761732852</v>
      </c>
      <c r="AN790" s="6" t="s">
        <v>8894</v>
      </c>
      <c r="AO790" s="6" t="str">
        <f t="shared" si="380"/>
        <v>=277.0*100000000</v>
      </c>
      <c r="AP790" s="1">
        <f>277*100000000</f>
        <v>27700000000</v>
      </c>
      <c r="AQ790" s="8">
        <f t="shared" si="397"/>
        <v>0.39336016096579479</v>
      </c>
      <c r="AR790" s="6" t="s">
        <v>4708</v>
      </c>
      <c r="AS790" s="6" t="str">
        <f t="shared" si="381"/>
        <v>=198.8*100000000</v>
      </c>
      <c r="AT790" s="1">
        <f>198.8*100000000</f>
        <v>19880000000</v>
      </c>
      <c r="AU790" s="8">
        <f t="shared" si="398"/>
        <v>1.4525043177892918</v>
      </c>
      <c r="AV790" s="6" t="s">
        <v>8895</v>
      </c>
      <c r="AW790" s="6" t="str">
        <f t="shared" si="382"/>
        <v>=81.06*100000000</v>
      </c>
      <c r="AX790" s="1">
        <f>81.06*100000000</f>
        <v>8106000000</v>
      </c>
      <c r="AY790" s="10">
        <f t="shared" si="399"/>
        <v>-0.76109637488947834</v>
      </c>
      <c r="AZ790" s="6" t="s">
        <v>7474</v>
      </c>
      <c r="BA790" s="6" t="str">
        <f t="shared" si="383"/>
        <v>=339.3*100000000</v>
      </c>
      <c r="BB790" s="1">
        <f>339.3*100000000</f>
        <v>33930000000</v>
      </c>
      <c r="BC790" s="8">
        <f t="shared" si="400"/>
        <v>0.70075187969924813</v>
      </c>
      <c r="BD790" s="6" t="s">
        <v>8896</v>
      </c>
      <c r="BE790" s="6" t="str">
        <f t="shared" si="384"/>
        <v>=199.5*100000000</v>
      </c>
      <c r="BF790" s="1">
        <f>199.5*100000000</f>
        <v>19950000000</v>
      </c>
      <c r="BG790" s="8">
        <f t="shared" si="401"/>
        <v>0.36643835616438358</v>
      </c>
      <c r="BH790" s="6" t="s">
        <v>1785</v>
      </c>
      <c r="BI790" s="6" t="str">
        <f t="shared" si="385"/>
        <v>=146.0*100000000</v>
      </c>
      <c r="BJ790" s="1">
        <f>146*100000000</f>
        <v>14600000000</v>
      </c>
      <c r="BK790" s="6" t="s">
        <v>886</v>
      </c>
      <c r="BL790" s="1" t="str">
        <f t="shared" si="387"/>
        <v>=58.23*100000000</v>
      </c>
      <c r="BM790" s="16">
        <f t="shared" si="402"/>
        <v>1.507298643311008</v>
      </c>
      <c r="BN790" s="1">
        <f>58.23*100000000</f>
        <v>5823000000</v>
      </c>
    </row>
    <row r="791" spans="1:66">
      <c r="A791" s="18"/>
      <c r="B791">
        <v>600655</v>
      </c>
      <c r="C791" t="s">
        <v>48</v>
      </c>
      <c r="D791" s="6" t="s">
        <v>8897</v>
      </c>
      <c r="E791" s="7" t="str">
        <f t="shared" si="386"/>
        <v>=49.56*100000000</v>
      </c>
      <c r="F791" s="1">
        <f>49.56*100000000</f>
        <v>4956000000</v>
      </c>
      <c r="G791" s="8">
        <f t="shared" si="388"/>
        <v>1.3465909090909092</v>
      </c>
      <c r="H791" s="6" t="s">
        <v>6945</v>
      </c>
      <c r="I791" s="6" t="str">
        <f t="shared" si="372"/>
        <v>=21.12*100000000</v>
      </c>
      <c r="J791" s="1">
        <f>21.12*100000000</f>
        <v>2112000000</v>
      </c>
      <c r="K791" s="10">
        <f t="shared" si="389"/>
        <v>0.25490196078431393</v>
      </c>
      <c r="L791" s="6" t="s">
        <v>8898</v>
      </c>
      <c r="M791" s="6" t="str">
        <f t="shared" si="373"/>
        <v>=16.83*100000000</v>
      </c>
      <c r="N791" s="1">
        <f>16.83*100000000</f>
        <v>1682999999.9999998</v>
      </c>
      <c r="O791" s="8">
        <f t="shared" si="390"/>
        <v>1.2639225181598059</v>
      </c>
      <c r="P791" s="6" t="s">
        <v>3784</v>
      </c>
      <c r="Q791" s="6" t="str">
        <f t="shared" si="374"/>
        <v>=7.434*100000000</v>
      </c>
      <c r="R791" s="11">
        <f>7.434*100000000</f>
        <v>743400000</v>
      </c>
      <c r="S791" s="8">
        <f t="shared" si="391"/>
        <v>-0.85152786099460753</v>
      </c>
      <c r="T791" s="6" t="s">
        <v>8899</v>
      </c>
      <c r="U791" s="6" t="str">
        <f t="shared" si="375"/>
        <v>=50.07*100000000</v>
      </c>
      <c r="V791" s="1">
        <f>50.07*100000000</f>
        <v>5007000000</v>
      </c>
      <c r="W791" s="8">
        <f t="shared" si="392"/>
        <v>1.0361935746238309</v>
      </c>
      <c r="X791" s="6" t="s">
        <v>8900</v>
      </c>
      <c r="Y791" s="6" t="str">
        <f t="shared" si="376"/>
        <v>=24.59*100000000</v>
      </c>
      <c r="Z791" s="1">
        <f>24.59*100000000</f>
        <v>2459000000</v>
      </c>
      <c r="AA791" s="8">
        <f t="shared" si="393"/>
        <v>0.37681970884658456</v>
      </c>
      <c r="AB791" s="6" t="s">
        <v>7590</v>
      </c>
      <c r="AC791" s="6" t="str">
        <f t="shared" si="377"/>
        <v>=17.86*100000000</v>
      </c>
      <c r="AD791" s="1">
        <f>17.86*100000000</f>
        <v>1786000000</v>
      </c>
      <c r="AE791" s="8">
        <f t="shared" si="394"/>
        <v>2.2537802878484241</v>
      </c>
      <c r="AF791" s="6" t="s">
        <v>135</v>
      </c>
      <c r="AG791" s="6" t="str">
        <f t="shared" si="378"/>
        <v>=5.489*100000000</v>
      </c>
      <c r="AH791" s="1">
        <f>5.489*100000000</f>
        <v>548900000</v>
      </c>
      <c r="AI791" s="8">
        <f t="shared" si="395"/>
        <v>-0.8982765011119348</v>
      </c>
      <c r="AJ791" s="6" t="s">
        <v>8901</v>
      </c>
      <c r="AK791" s="6" t="str">
        <f t="shared" si="379"/>
        <v>=53.96*100000000</v>
      </c>
      <c r="AL791" s="1">
        <f>53.96*100000000</f>
        <v>5396000000</v>
      </c>
      <c r="AM791" s="8">
        <f t="shared" si="396"/>
        <v>1.4132379248658318</v>
      </c>
      <c r="AN791" s="6" t="s">
        <v>7241</v>
      </c>
      <c r="AO791" s="6" t="str">
        <f t="shared" si="380"/>
        <v>=22.36*100000000</v>
      </c>
      <c r="AP791" s="1">
        <f>22.36*100000000</f>
        <v>2236000000</v>
      </c>
      <c r="AQ791" s="8">
        <f t="shared" si="397"/>
        <v>0.20669185105234755</v>
      </c>
      <c r="AR791" s="6" t="s">
        <v>6876</v>
      </c>
      <c r="AS791" s="6" t="str">
        <f t="shared" si="381"/>
        <v>=18.53*100000000</v>
      </c>
      <c r="AT791" s="1">
        <f>18.53*100000000</f>
        <v>1853000000</v>
      </c>
      <c r="AU791" s="8">
        <f t="shared" si="398"/>
        <v>2.4410399257195916</v>
      </c>
      <c r="AV791" s="6" t="s">
        <v>7872</v>
      </c>
      <c r="AW791" s="6" t="str">
        <f t="shared" si="382"/>
        <v>=5.385*100000000</v>
      </c>
      <c r="AX791" s="1">
        <f>5.385*100000000</f>
        <v>538500000</v>
      </c>
      <c r="AY791" s="10">
        <f t="shared" si="399"/>
        <v>-0.88406889128094723</v>
      </c>
      <c r="AZ791" s="6" t="s">
        <v>8902</v>
      </c>
      <c r="BA791" s="6" t="str">
        <f t="shared" si="383"/>
        <v>=46.45*100000000</v>
      </c>
      <c r="BB791" s="1">
        <f>46.45*100000000</f>
        <v>4645000000</v>
      </c>
      <c r="BC791" s="8">
        <f t="shared" si="400"/>
        <v>1.8049516908212564</v>
      </c>
      <c r="BD791" s="6" t="s">
        <v>5115</v>
      </c>
      <c r="BE791" s="6" t="str">
        <f t="shared" si="384"/>
        <v>=16.56*100000000</v>
      </c>
      <c r="BF791" s="1">
        <f>16.56*100000000</f>
        <v>1655999999.9999998</v>
      </c>
      <c r="BG791" s="8">
        <f t="shared" si="401"/>
        <v>0.24792765636774661</v>
      </c>
      <c r="BH791" s="6" t="s">
        <v>4844</v>
      </c>
      <c r="BI791" s="6" t="str">
        <f t="shared" si="385"/>
        <v>=13.27*100000000</v>
      </c>
      <c r="BJ791" s="1">
        <f>13.27*100000000</f>
        <v>1327000000</v>
      </c>
      <c r="BK791" s="6" t="s">
        <v>8903</v>
      </c>
      <c r="BL791" s="1" t="str">
        <f t="shared" si="387"/>
        <v>=2.527*100000000</v>
      </c>
      <c r="BM791" s="16">
        <f t="shared" si="402"/>
        <v>4.251286110011872</v>
      </c>
      <c r="BN791" s="1">
        <f>2.527*100000000</f>
        <v>252700000</v>
      </c>
    </row>
    <row r="792" spans="1:66">
      <c r="A792" s="18"/>
      <c r="B792">
        <v>600655</v>
      </c>
      <c r="C792" t="s">
        <v>58</v>
      </c>
      <c r="D792" s="6" t="s">
        <v>8904</v>
      </c>
      <c r="E792" s="7" t="str">
        <f t="shared" si="386"/>
        <v>=49.63*100000000</v>
      </c>
      <c r="F792" s="1">
        <f>49.63*100000000</f>
        <v>4963000000</v>
      </c>
      <c r="G792" s="8">
        <f t="shared" si="388"/>
        <v>1.2966219342896808</v>
      </c>
      <c r="H792" s="6" t="s">
        <v>2656</v>
      </c>
      <c r="I792" s="6" t="str">
        <f t="shared" si="372"/>
        <v>=21.61*100000000</v>
      </c>
      <c r="J792" s="1">
        <f>21.61*100000000</f>
        <v>2161000000</v>
      </c>
      <c r="K792" s="10">
        <f t="shared" si="389"/>
        <v>0.25348027842227394</v>
      </c>
      <c r="L792" s="6" t="s">
        <v>47</v>
      </c>
      <c r="M792" s="6" t="str">
        <f t="shared" si="373"/>
        <v>=17.24*100000000</v>
      </c>
      <c r="N792" s="1">
        <f>17.24*100000000</f>
        <v>1723999999.9999998</v>
      </c>
      <c r="O792" s="8">
        <f t="shared" si="390"/>
        <v>1.2959115727793311</v>
      </c>
      <c r="P792" s="6" t="s">
        <v>2815</v>
      </c>
      <c r="Q792" s="6" t="str">
        <f t="shared" si="374"/>
        <v>=7.509*100000000</v>
      </c>
      <c r="R792" s="11">
        <f>7.509*100000000</f>
        <v>750900000</v>
      </c>
      <c r="S792" s="8">
        <f t="shared" si="391"/>
        <v>-0.85778409090909091</v>
      </c>
      <c r="T792" s="6" t="s">
        <v>5363</v>
      </c>
      <c r="U792" s="6" t="str">
        <f t="shared" si="375"/>
        <v>=52.80*100000000</v>
      </c>
      <c r="V792" s="1">
        <f>52.8*100000000</f>
        <v>5280000000</v>
      </c>
      <c r="W792" s="8">
        <f t="shared" si="392"/>
        <v>1.0844848006316621</v>
      </c>
      <c r="X792" s="6" t="s">
        <v>232</v>
      </c>
      <c r="Y792" s="6" t="str">
        <f t="shared" si="376"/>
        <v>=25.33*100000000</v>
      </c>
      <c r="Z792" s="1">
        <f>25.33*100000000</f>
        <v>2533000000</v>
      </c>
      <c r="AA792" s="8">
        <f t="shared" si="393"/>
        <v>0.35672201392608444</v>
      </c>
      <c r="AB792" s="6" t="s">
        <v>3545</v>
      </c>
      <c r="AC792" s="6" t="str">
        <f t="shared" si="377"/>
        <v>=18.67*100000000</v>
      </c>
      <c r="AD792" s="1">
        <f>18.67*100000000</f>
        <v>1867000000.0000002</v>
      </c>
      <c r="AE792" s="8">
        <f t="shared" si="394"/>
        <v>2.138870208473437</v>
      </c>
      <c r="AF792" s="6" t="s">
        <v>1048</v>
      </c>
      <c r="AG792" s="6" t="str">
        <f t="shared" si="378"/>
        <v>=5.948*100000000</v>
      </c>
      <c r="AH792" s="1">
        <f>5.948*100000000</f>
        <v>594800000</v>
      </c>
      <c r="AI792" s="8">
        <f t="shared" si="395"/>
        <v>-0.89048057447983797</v>
      </c>
      <c r="AJ792" s="6" t="s">
        <v>8905</v>
      </c>
      <c r="AK792" s="6" t="str">
        <f t="shared" si="379"/>
        <v>=54.31*100000000</v>
      </c>
      <c r="AL792" s="1">
        <f>54.31*100000000</f>
        <v>5431000000</v>
      </c>
      <c r="AM792" s="8">
        <f t="shared" si="396"/>
        <v>1.3289022298456261</v>
      </c>
      <c r="AN792" s="6" t="s">
        <v>3157</v>
      </c>
      <c r="AO792" s="6" t="str">
        <f t="shared" si="380"/>
        <v>=23.32*100000000</v>
      </c>
      <c r="AP792" s="1">
        <f>23.32*100000000</f>
        <v>2332000000</v>
      </c>
      <c r="AQ792" s="8">
        <f t="shared" si="397"/>
        <v>0.19467213114754098</v>
      </c>
      <c r="AR792" s="6" t="s">
        <v>1013</v>
      </c>
      <c r="AS792" s="6" t="str">
        <f t="shared" si="381"/>
        <v>=19.52*100000000</v>
      </c>
      <c r="AT792" s="1">
        <f>19.52*100000000</f>
        <v>1952000000</v>
      </c>
      <c r="AU792" s="8">
        <f t="shared" si="398"/>
        <v>2.3936022253129345</v>
      </c>
      <c r="AV792" s="6" t="s">
        <v>8656</v>
      </c>
      <c r="AW792" s="6" t="str">
        <f t="shared" si="382"/>
        <v>=5.752*100000000</v>
      </c>
      <c r="AX792" s="1">
        <f>5.752*100000000</f>
        <v>575200000</v>
      </c>
      <c r="AY792" s="10">
        <f t="shared" si="399"/>
        <v>-0.87522776572668115</v>
      </c>
      <c r="AZ792" s="6" t="s">
        <v>8906</v>
      </c>
      <c r="BA792" s="6" t="str">
        <f t="shared" si="383"/>
        <v>=46.10*100000000</v>
      </c>
      <c r="BB792" s="1">
        <f>46.1*100000000</f>
        <v>4610000000</v>
      </c>
      <c r="BC792" s="8">
        <f t="shared" si="400"/>
        <v>1.7294256956779159</v>
      </c>
      <c r="BD792" s="6" t="s">
        <v>4689</v>
      </c>
      <c r="BE792" s="6" t="str">
        <f t="shared" si="384"/>
        <v>=16.89*100000000</v>
      </c>
      <c r="BF792" s="1">
        <f>16.89*100000000</f>
        <v>1689000000</v>
      </c>
      <c r="BG792" s="8">
        <f t="shared" si="401"/>
        <v>0.3226311667971809</v>
      </c>
      <c r="BH792" s="6" t="s">
        <v>3682</v>
      </c>
      <c r="BI792" s="6" t="str">
        <f t="shared" si="385"/>
        <v>=12.77*100000000</v>
      </c>
      <c r="BJ792" s="1">
        <f>12.77*100000000</f>
        <v>1277000000</v>
      </c>
      <c r="BK792" s="6" t="s">
        <v>2861</v>
      </c>
      <c r="BL792" s="1" t="str">
        <f t="shared" si="387"/>
        <v>=2.623*100000000</v>
      </c>
      <c r="BM792" s="16">
        <f t="shared" si="402"/>
        <v>3.8684712161646964</v>
      </c>
      <c r="BN792" s="1">
        <f>2.623*100000000</f>
        <v>262300000.00000003</v>
      </c>
    </row>
    <row r="793" spans="1:66">
      <c r="A793" s="19"/>
      <c r="B793">
        <v>600655</v>
      </c>
      <c r="C793" t="s">
        <v>68</v>
      </c>
      <c r="D793" s="6" t="s">
        <v>1317</v>
      </c>
      <c r="E793" s="7" t="str">
        <f t="shared" si="386"/>
        <v>=39.27*100000000</v>
      </c>
      <c r="F793" s="1">
        <f>39.27*100000000</f>
        <v>3927000000.0000005</v>
      </c>
      <c r="G793" s="8">
        <f t="shared" si="388"/>
        <v>1.1181229773462786</v>
      </c>
      <c r="H793" s="6" t="s">
        <v>3411</v>
      </c>
      <c r="I793" s="6" t="str">
        <f t="shared" si="372"/>
        <v>=18.54*100000000</v>
      </c>
      <c r="J793" s="1">
        <f>18.54*100000000</f>
        <v>1854000000</v>
      </c>
      <c r="K793" s="10">
        <f t="shared" si="389"/>
        <v>0.29741077676696992</v>
      </c>
      <c r="L793" s="6" t="s">
        <v>4532</v>
      </c>
      <c r="M793" s="6" t="str">
        <f t="shared" si="373"/>
        <v>=14.29*100000000</v>
      </c>
      <c r="N793" s="1">
        <f>14.29*100000000</f>
        <v>1429000000</v>
      </c>
      <c r="O793" s="8">
        <f t="shared" si="390"/>
        <v>1.3445447087776867</v>
      </c>
      <c r="P793" s="6" t="s">
        <v>8907</v>
      </c>
      <c r="Q793" s="6" t="str">
        <f t="shared" si="374"/>
        <v>=6.095*100000000</v>
      </c>
      <c r="R793" s="11">
        <f>6.095*100000000</f>
        <v>609500000</v>
      </c>
      <c r="S793" s="8">
        <f t="shared" si="391"/>
        <v>-0.84853379721669975</v>
      </c>
      <c r="T793" s="6" t="s">
        <v>8908</v>
      </c>
      <c r="U793" s="6" t="str">
        <f t="shared" si="375"/>
        <v>=40.24*100000000</v>
      </c>
      <c r="V793" s="1">
        <f>40.24*100000000</f>
        <v>4024000000</v>
      </c>
      <c r="W793" s="8">
        <f t="shared" si="392"/>
        <v>1.1622783449758194</v>
      </c>
      <c r="X793" s="6" t="s">
        <v>3022</v>
      </c>
      <c r="Y793" s="6" t="str">
        <f t="shared" si="376"/>
        <v>=18.61*100000000</v>
      </c>
      <c r="Z793" s="1">
        <f>18.61*100000000</f>
        <v>1861000000</v>
      </c>
      <c r="AA793" s="8">
        <f t="shared" si="393"/>
        <v>0.33214030064423766</v>
      </c>
      <c r="AB793" s="6" t="s">
        <v>1329</v>
      </c>
      <c r="AC793" s="6" t="str">
        <f t="shared" si="377"/>
        <v>=13.97*100000000</v>
      </c>
      <c r="AD793" s="1">
        <f>13.97*100000000</f>
        <v>1397000000</v>
      </c>
      <c r="AE793" s="8">
        <f t="shared" si="394"/>
        <v>1.990794262470563</v>
      </c>
      <c r="AF793" s="6" t="s">
        <v>8909</v>
      </c>
      <c r="AG793" s="6" t="str">
        <f t="shared" si="378"/>
        <v>=4.671*100000000</v>
      </c>
      <c r="AH793" s="1">
        <f>4.671*100000000</f>
        <v>467100000</v>
      </c>
      <c r="AI793" s="8">
        <f t="shared" si="395"/>
        <v>-0.88035348360655741</v>
      </c>
      <c r="AJ793" s="6" t="s">
        <v>1333</v>
      </c>
      <c r="AK793" s="6" t="str">
        <f t="shared" si="379"/>
        <v>=39.04*100000000</v>
      </c>
      <c r="AL793" s="1">
        <f>39.04*100000000</f>
        <v>3904000000</v>
      </c>
      <c r="AM793" s="8">
        <f t="shared" si="396"/>
        <v>1.44</v>
      </c>
      <c r="AN793" s="6" t="s">
        <v>727</v>
      </c>
      <c r="AO793" s="6" t="str">
        <f t="shared" si="380"/>
        <v>=16.00*100000000</v>
      </c>
      <c r="AP793" s="1">
        <f>16*100000000</f>
        <v>1600000000</v>
      </c>
      <c r="AQ793" s="8">
        <f t="shared" si="397"/>
        <v>0.17474302496328928</v>
      </c>
      <c r="AR793" s="6" t="s">
        <v>8910</v>
      </c>
      <c r="AS793" s="6" t="str">
        <f t="shared" si="381"/>
        <v>=13.62*100000000</v>
      </c>
      <c r="AT793" s="1">
        <f>13.62*100000000</f>
        <v>1362000000</v>
      </c>
      <c r="AU793" s="8">
        <f t="shared" si="398"/>
        <v>2.502185651838519</v>
      </c>
      <c r="AV793" s="6" t="s">
        <v>7814</v>
      </c>
      <c r="AW793" s="6" t="str">
        <f t="shared" si="382"/>
        <v>=3.889*100000000</v>
      </c>
      <c r="AX793" s="1">
        <f>3.889*100000000</f>
        <v>388900000</v>
      </c>
      <c r="AY793" s="10">
        <f t="shared" si="399"/>
        <v>-0.88675014560279564</v>
      </c>
      <c r="AZ793" s="6" t="s">
        <v>8911</v>
      </c>
      <c r="BA793" s="6" t="str">
        <f t="shared" si="383"/>
        <v>=34.34*100000000</v>
      </c>
      <c r="BB793" s="1">
        <f>34.34*100000000</f>
        <v>3434000000.0000005</v>
      </c>
      <c r="BC793" s="8">
        <f t="shared" si="400"/>
        <v>1.7516025641025645</v>
      </c>
      <c r="BD793" s="6" t="s">
        <v>6517</v>
      </c>
      <c r="BE793" s="6" t="str">
        <f t="shared" si="384"/>
        <v>=12.48*100000000</v>
      </c>
      <c r="BF793" s="1">
        <f>12.48*100000000</f>
        <v>1248000000</v>
      </c>
      <c r="BG793" s="8">
        <f t="shared" si="401"/>
        <v>0.3258259853394242</v>
      </c>
      <c r="BH793" s="6" t="s">
        <v>7438</v>
      </c>
      <c r="BI793" s="6" t="str">
        <f t="shared" si="385"/>
        <v>=9.413*100000000</v>
      </c>
      <c r="BJ793" s="1">
        <f>9.413*100000000</f>
        <v>941300000</v>
      </c>
      <c r="BK793" s="6" t="s">
        <v>2912</v>
      </c>
      <c r="BL793" s="1" t="str">
        <f t="shared" si="387"/>
        <v>=1.622*100000000</v>
      </c>
      <c r="BM793" s="16">
        <f t="shared" si="402"/>
        <v>4.8033292231812581</v>
      </c>
      <c r="BN793" s="1">
        <f>1.622*100000000</f>
        <v>162200000</v>
      </c>
    </row>
    <row r="794" spans="1:66">
      <c r="A794" s="17">
        <v>200</v>
      </c>
      <c r="B794">
        <v>600657</v>
      </c>
      <c r="C794" t="s">
        <v>31</v>
      </c>
      <c r="D794" s="6" t="s">
        <v>8912</v>
      </c>
      <c r="E794" s="7" t="str">
        <f t="shared" si="386"/>
        <v>=221.1*100000000</v>
      </c>
      <c r="F794" s="1">
        <f>221.1*100000000</f>
        <v>22110000000</v>
      </c>
      <c r="G794" s="8">
        <f t="shared" si="388"/>
        <v>1.7282823297137213</v>
      </c>
      <c r="H794" s="6" t="s">
        <v>8913</v>
      </c>
      <c r="I794" s="6" t="str">
        <f t="shared" si="372"/>
        <v>=81.04*100000000</v>
      </c>
      <c r="J794" s="1">
        <f>81.04*100000000</f>
        <v>8104000000.000001</v>
      </c>
      <c r="K794" s="10">
        <f t="shared" si="389"/>
        <v>0.66201804757998384</v>
      </c>
      <c r="L794" s="6" t="s">
        <v>8914</v>
      </c>
      <c r="M794" s="6" t="str">
        <f t="shared" si="373"/>
        <v>=48.76*100000000</v>
      </c>
      <c r="N794" s="1">
        <f>48.76*100000000</f>
        <v>4876000000</v>
      </c>
      <c r="O794" s="8">
        <f t="shared" si="390"/>
        <v>2.5747800586510263</v>
      </c>
      <c r="P794" s="6" t="s">
        <v>8915</v>
      </c>
      <c r="Q794" s="6" t="str">
        <f t="shared" si="374"/>
        <v>=13.64*100000000</v>
      </c>
      <c r="R794" s="11">
        <f>13.64*100000000</f>
        <v>1364000000</v>
      </c>
      <c r="S794" s="8">
        <f t="shared" si="391"/>
        <v>-0.94725444702242845</v>
      </c>
      <c r="T794" s="6" t="s">
        <v>8916</v>
      </c>
      <c r="U794" s="6" t="str">
        <f t="shared" si="375"/>
        <v>=258.6*100000000</v>
      </c>
      <c r="V794" s="1">
        <f>258.6*100000000</f>
        <v>25860000000.000004</v>
      </c>
      <c r="W794" s="8">
        <f t="shared" si="392"/>
        <v>1.112745098039216</v>
      </c>
      <c r="X794" s="6" t="s">
        <v>8917</v>
      </c>
      <c r="Y794" s="6" t="str">
        <f t="shared" si="376"/>
        <v>=122.4*100000000</v>
      </c>
      <c r="Z794" s="1">
        <f>122.4*100000000</f>
        <v>12240000000</v>
      </c>
      <c r="AA794" s="8">
        <f t="shared" si="393"/>
        <v>0.19765166340508805</v>
      </c>
      <c r="AB794" s="6" t="s">
        <v>8918</v>
      </c>
      <c r="AC794" s="6" t="str">
        <f t="shared" si="377"/>
        <v>=102.2*100000000</v>
      </c>
      <c r="AD794" s="1">
        <f>102.2*100000000</f>
        <v>10220000000</v>
      </c>
      <c r="AE794" s="8">
        <f t="shared" si="394"/>
        <v>0.50404709345106691</v>
      </c>
      <c r="AF794" s="6" t="s">
        <v>8919</v>
      </c>
      <c r="AG794" s="6" t="str">
        <f t="shared" si="378"/>
        <v>=67.95*100000000</v>
      </c>
      <c r="AH794" s="1">
        <f>67.95*100000000</f>
        <v>6795000000</v>
      </c>
      <c r="AI794" s="8">
        <f t="shared" si="395"/>
        <v>-0.65118069815195068</v>
      </c>
      <c r="AJ794" s="6" t="s">
        <v>5757</v>
      </c>
      <c r="AK794" s="6" t="str">
        <f t="shared" si="379"/>
        <v>=194.8*100000000</v>
      </c>
      <c r="AL794" s="1">
        <f>194.8*100000000</f>
        <v>19480000000</v>
      </c>
      <c r="AM794" s="8">
        <f t="shared" si="396"/>
        <v>1.2375373305766137</v>
      </c>
      <c r="AN794" s="6" t="s">
        <v>8920</v>
      </c>
      <c r="AO794" s="6" t="str">
        <f t="shared" si="380"/>
        <v>=87.06*100000000</v>
      </c>
      <c r="AP794" s="1">
        <f>87.06*100000000</f>
        <v>8706000000</v>
      </c>
      <c r="AQ794" s="8">
        <f t="shared" si="397"/>
        <v>0.60331491712707186</v>
      </c>
      <c r="AR794" s="6" t="s">
        <v>8921</v>
      </c>
      <c r="AS794" s="6" t="str">
        <f t="shared" si="381"/>
        <v>=54.30*100000000</v>
      </c>
      <c r="AT794" s="1">
        <f>54.3*100000000</f>
        <v>5430000000</v>
      </c>
      <c r="AU794" s="8">
        <f t="shared" si="398"/>
        <v>3.5515507124895223</v>
      </c>
      <c r="AV794" s="6" t="s">
        <v>2844</v>
      </c>
      <c r="AW794" s="6" t="str">
        <f t="shared" si="382"/>
        <v>=11.93*100000000</v>
      </c>
      <c r="AX794" s="1">
        <f>11.93*100000000</f>
        <v>1193000000</v>
      </c>
      <c r="AY794" s="10">
        <f t="shared" si="399"/>
        <v>-0.93637333333333328</v>
      </c>
      <c r="AZ794" s="6" t="s">
        <v>4725</v>
      </c>
      <c r="BA794" s="6" t="str">
        <f t="shared" si="383"/>
        <v>=187.5*100000000</v>
      </c>
      <c r="BB794" s="1">
        <f>187.5*100000000</f>
        <v>18750000000</v>
      </c>
      <c r="BC794" s="8">
        <f t="shared" si="400"/>
        <v>1.3578973843058351</v>
      </c>
      <c r="BD794" s="6" t="s">
        <v>7407</v>
      </c>
      <c r="BE794" s="6" t="str">
        <f t="shared" si="384"/>
        <v>=79.52*100000000</v>
      </c>
      <c r="BF794" s="1">
        <f>79.52*100000000</f>
        <v>7952000000</v>
      </c>
      <c r="BG794" s="8">
        <f t="shared" si="401"/>
        <v>1.7468048359240069</v>
      </c>
      <c r="BH794" s="6" t="s">
        <v>656</v>
      </c>
      <c r="BI794" s="6" t="str">
        <f t="shared" si="385"/>
        <v>=28.95*100000000</v>
      </c>
      <c r="BJ794" s="1">
        <f>28.95*100000000</f>
        <v>2895000000</v>
      </c>
      <c r="BK794" s="6" t="s">
        <v>8922</v>
      </c>
      <c r="BL794" s="1" t="str">
        <f t="shared" si="387"/>
        <v>=5.063*100000000</v>
      </c>
      <c r="BM794" s="16">
        <f t="shared" si="402"/>
        <v>4.7179537823424846</v>
      </c>
      <c r="BN794" s="1">
        <f>5.063*100000000</f>
        <v>506300000</v>
      </c>
    </row>
    <row r="795" spans="1:66">
      <c r="A795" s="18"/>
      <c r="B795">
        <v>600657</v>
      </c>
      <c r="C795" t="s">
        <v>48</v>
      </c>
      <c r="D795" s="6" t="s">
        <v>8923</v>
      </c>
      <c r="E795" s="7" t="str">
        <f t="shared" si="386"/>
        <v>=8.959*100000000</v>
      </c>
      <c r="F795" s="1">
        <f>8.959*100000000</f>
        <v>895900000</v>
      </c>
      <c r="G795" s="8">
        <f t="shared" si="388"/>
        <v>1.8760834670947031</v>
      </c>
      <c r="H795" s="6" t="s">
        <v>8853</v>
      </c>
      <c r="I795" s="6" t="str">
        <f t="shared" si="372"/>
        <v>=3.115*100000000</v>
      </c>
      <c r="J795" s="1">
        <f>3.115*100000000</f>
        <v>311500000</v>
      </c>
      <c r="K795" s="10">
        <f t="shared" si="389"/>
        <v>1.7252843394575679</v>
      </c>
      <c r="L795" s="6" t="s">
        <v>2211</v>
      </c>
      <c r="M795" s="6" t="str">
        <f t="shared" si="373"/>
        <v>=1.143*100000000</v>
      </c>
      <c r="N795" s="1">
        <f>1.143*100000000</f>
        <v>114300000</v>
      </c>
      <c r="O795" s="8">
        <f t="shared" si="390"/>
        <v>-1.6339434276206324</v>
      </c>
      <c r="P795" s="6">
        <f>-1.803*100000000</f>
        <v>-180300000</v>
      </c>
      <c r="Q795" s="6" t="str">
        <f t="shared" si="374"/>
        <v>=-180300000</v>
      </c>
      <c r="R795" s="11">
        <f>-180300000</f>
        <v>-180300000</v>
      </c>
      <c r="S795" s="8">
        <f t="shared" si="391"/>
        <v>-1.0599800399201598</v>
      </c>
      <c r="T795" s="6" t="s">
        <v>6571</v>
      </c>
      <c r="U795" s="6" t="str">
        <f t="shared" si="375"/>
        <v>=30.06*100000000</v>
      </c>
      <c r="V795" s="1">
        <f>30.06*100000000</f>
        <v>3006000000</v>
      </c>
      <c r="W795" s="8">
        <f t="shared" si="392"/>
        <v>0.39166666666666666</v>
      </c>
      <c r="X795" s="6" t="s">
        <v>8924</v>
      </c>
      <c r="Y795" s="6" t="str">
        <f t="shared" si="376"/>
        <v>=21.60*100000000</v>
      </c>
      <c r="Z795" s="1">
        <f>21.6*100000000</f>
        <v>2160000000</v>
      </c>
      <c r="AA795" s="8">
        <f t="shared" si="393"/>
        <v>0.14467408585055644</v>
      </c>
      <c r="AB795" s="6" t="s">
        <v>8925</v>
      </c>
      <c r="AC795" s="6" t="str">
        <f t="shared" si="377"/>
        <v>=18.87*100000000</v>
      </c>
      <c r="AD795" s="1">
        <f>18.87*100000000</f>
        <v>1887000000</v>
      </c>
      <c r="AE795" s="8">
        <f t="shared" si="394"/>
        <v>0.96276263781984583</v>
      </c>
      <c r="AF795" s="6" t="s">
        <v>8926</v>
      </c>
      <c r="AG795" s="6" t="str">
        <f t="shared" si="378"/>
        <v>=9.614*100000000</v>
      </c>
      <c r="AH795" s="1">
        <f>9.614*100000000</f>
        <v>961400000.00000012</v>
      </c>
      <c r="AI795" s="8">
        <f t="shared" si="395"/>
        <v>-0.73331484049930651</v>
      </c>
      <c r="AJ795" s="6" t="s">
        <v>8927</v>
      </c>
      <c r="AK795" s="6" t="str">
        <f t="shared" si="379"/>
        <v>=36.05*100000000</v>
      </c>
      <c r="AL795" s="1">
        <f>36.05*100000000</f>
        <v>3604999999.9999995</v>
      </c>
      <c r="AM795" s="8">
        <f t="shared" si="396"/>
        <v>2.3012820512820507</v>
      </c>
      <c r="AN795" s="6" t="s">
        <v>254</v>
      </c>
      <c r="AO795" s="6" t="str">
        <f t="shared" si="380"/>
        <v>=10.92*100000000</v>
      </c>
      <c r="AP795" s="1">
        <f>10.92*100000000</f>
        <v>1092000000</v>
      </c>
      <c r="AQ795" s="8">
        <f t="shared" si="397"/>
        <v>0.30637636080870917</v>
      </c>
      <c r="AR795" s="6" t="s">
        <v>8928</v>
      </c>
      <c r="AS795" s="6" t="str">
        <f t="shared" si="381"/>
        <v>=8.359*100000000</v>
      </c>
      <c r="AT795" s="1">
        <f>8.359*100000000</f>
        <v>835900000</v>
      </c>
      <c r="AU795" s="8">
        <f t="shared" si="398"/>
        <v>9.3427369463004215</v>
      </c>
      <c r="AV795" s="7" t="s">
        <v>8929</v>
      </c>
      <c r="AW795" s="6" t="str">
        <f t="shared" si="382"/>
        <v>=8082*10000</v>
      </c>
      <c r="AX795" s="1">
        <f>8082*10000</f>
        <v>80820000</v>
      </c>
      <c r="AY795" s="10">
        <f t="shared" si="399"/>
        <v>-0.97294275192500834</v>
      </c>
      <c r="AZ795" s="6" t="s">
        <v>8930</v>
      </c>
      <c r="BA795" s="6" t="str">
        <f t="shared" si="383"/>
        <v>=29.87*100000000</v>
      </c>
      <c r="BB795" s="1">
        <f>29.87*100000000</f>
        <v>2987000000</v>
      </c>
      <c r="BC795" s="8">
        <f t="shared" si="400"/>
        <v>2.1929449492250135</v>
      </c>
      <c r="BD795" s="6" t="s">
        <v>8931</v>
      </c>
      <c r="BE795" s="6" t="str">
        <f t="shared" si="384"/>
        <v>=9.355*100000000</v>
      </c>
      <c r="BF795" s="1">
        <f>9.355*100000000</f>
        <v>935500000</v>
      </c>
      <c r="BG795" s="8">
        <f t="shared" si="401"/>
        <v>1.3528672032193159</v>
      </c>
      <c r="BH795" s="6" t="s">
        <v>8932</v>
      </c>
      <c r="BI795" s="6" t="str">
        <f t="shared" si="385"/>
        <v>=3.976*100000000</v>
      </c>
      <c r="BJ795" s="1">
        <f>3.976*100000000</f>
        <v>397600000</v>
      </c>
      <c r="BK795" s="6">
        <f>-1.09*100000000</f>
        <v>-109000000.00000001</v>
      </c>
      <c r="BL795" s="1" t="str">
        <f t="shared" si="387"/>
        <v>=-109000000</v>
      </c>
      <c r="BM795" s="16">
        <f t="shared" si="402"/>
        <v>-4.6477064220183486</v>
      </c>
      <c r="BN795" s="1">
        <f>-109000000</f>
        <v>-109000000</v>
      </c>
    </row>
    <row r="796" spans="1:66">
      <c r="A796" s="18"/>
      <c r="B796">
        <v>600657</v>
      </c>
      <c r="C796" t="s">
        <v>58</v>
      </c>
      <c r="D796" s="6" t="s">
        <v>8933</v>
      </c>
      <c r="E796" s="7" t="str">
        <f t="shared" si="386"/>
        <v>=14.67*100000000</v>
      </c>
      <c r="F796" s="1">
        <f>14.67*100000000</f>
        <v>1467000000</v>
      </c>
      <c r="G796" s="8">
        <f t="shared" si="388"/>
        <v>0.6698918611269209</v>
      </c>
      <c r="H796" s="6" t="s">
        <v>8152</v>
      </c>
      <c r="I796" s="6" t="str">
        <f t="shared" si="372"/>
        <v>=8.785*100000000</v>
      </c>
      <c r="J796" s="1">
        <f>8.785*100000000</f>
        <v>878500000</v>
      </c>
      <c r="K796" s="10">
        <f t="shared" si="389"/>
        <v>0.28831206921836044</v>
      </c>
      <c r="L796" s="6" t="s">
        <v>8934</v>
      </c>
      <c r="M796" s="6" t="str">
        <f t="shared" si="373"/>
        <v>=6.819*100000000</v>
      </c>
      <c r="N796" s="1">
        <f>6.819*100000000</f>
        <v>681900000</v>
      </c>
      <c r="O796" s="8">
        <f t="shared" si="390"/>
        <v>0.94273504273504272</v>
      </c>
      <c r="P796" s="6" t="s">
        <v>7641</v>
      </c>
      <c r="Q796" s="6" t="str">
        <f t="shared" si="374"/>
        <v>=3.510*100000000</v>
      </c>
      <c r="R796" s="11">
        <f>3.51*100000000</f>
        <v>351000000</v>
      </c>
      <c r="S796" s="8">
        <f t="shared" si="391"/>
        <v>-0.8853315909833388</v>
      </c>
      <c r="T796" s="6" t="s">
        <v>8590</v>
      </c>
      <c r="U796" s="6" t="str">
        <f t="shared" si="375"/>
        <v>=30.61*100000000</v>
      </c>
      <c r="V796" s="1">
        <f>30.61*100000000</f>
        <v>3061000000</v>
      </c>
      <c r="W796" s="8">
        <f t="shared" si="392"/>
        <v>0.41190036900369004</v>
      </c>
      <c r="X796" s="6" t="s">
        <v>247</v>
      </c>
      <c r="Y796" s="6" t="str">
        <f t="shared" si="376"/>
        <v>=21.68*100000000</v>
      </c>
      <c r="Z796" s="1">
        <f>21.68*100000000</f>
        <v>2168000000</v>
      </c>
      <c r="AA796" s="8">
        <f t="shared" si="393"/>
        <v>0.14406332453825857</v>
      </c>
      <c r="AB796" s="6" t="s">
        <v>6350</v>
      </c>
      <c r="AC796" s="6" t="str">
        <f t="shared" si="377"/>
        <v>=18.95*100000000</v>
      </c>
      <c r="AD796" s="1">
        <f>18.95*100000000</f>
        <v>1895000000</v>
      </c>
      <c r="AE796" s="8">
        <f t="shared" si="394"/>
        <v>0.95542255701166001</v>
      </c>
      <c r="AF796" s="6" t="s">
        <v>3348</v>
      </c>
      <c r="AG796" s="6" t="str">
        <f t="shared" si="378"/>
        <v>=9.691*100000000</v>
      </c>
      <c r="AH796" s="1">
        <f>9.691*100000000</f>
        <v>969100000.00000012</v>
      </c>
      <c r="AI796" s="8">
        <f t="shared" si="395"/>
        <v>-0.7323667495167081</v>
      </c>
      <c r="AJ796" s="6" t="s">
        <v>8935</v>
      </c>
      <c r="AK796" s="6" t="str">
        <f t="shared" si="379"/>
        <v>=36.21*100000000</v>
      </c>
      <c r="AL796" s="1">
        <f>36.21*100000000</f>
        <v>3621000000</v>
      </c>
      <c r="AM796" s="8">
        <f t="shared" si="396"/>
        <v>2.291818181818182</v>
      </c>
      <c r="AN796" s="6" t="s">
        <v>4155</v>
      </c>
      <c r="AO796" s="6" t="str">
        <f t="shared" si="380"/>
        <v>=11.00*100000000</v>
      </c>
      <c r="AP796" s="1">
        <f>11*100000000</f>
        <v>1100000000</v>
      </c>
      <c r="AQ796" s="8">
        <f t="shared" si="397"/>
        <v>0.31045985227543482</v>
      </c>
      <c r="AR796" s="6" t="s">
        <v>8936</v>
      </c>
      <c r="AS796" s="6" t="str">
        <f t="shared" si="381"/>
        <v>=8.394*100000000</v>
      </c>
      <c r="AT796" s="1">
        <f>8.394*100000000</f>
        <v>839400000</v>
      </c>
      <c r="AU796" s="8">
        <f t="shared" si="398"/>
        <v>9.1745454545454539</v>
      </c>
      <c r="AV796" s="7" t="s">
        <v>8937</v>
      </c>
      <c r="AW796" s="6" t="str">
        <f t="shared" si="382"/>
        <v>=8250*10000</v>
      </c>
      <c r="AX796" s="1">
        <f>8250*10000</f>
        <v>82500000</v>
      </c>
      <c r="AY796" s="10">
        <f t="shared" si="399"/>
        <v>-0.97547562425683709</v>
      </c>
      <c r="AZ796" s="6" t="s">
        <v>8938</v>
      </c>
      <c r="BA796" s="6" t="str">
        <f t="shared" si="383"/>
        <v>=33.64*100000000</v>
      </c>
      <c r="BB796" s="1">
        <f>33.64*100000000</f>
        <v>3364000000</v>
      </c>
      <c r="BC796" s="8">
        <f t="shared" si="400"/>
        <v>1.6363636363636365</v>
      </c>
      <c r="BD796" s="6" t="s">
        <v>8939</v>
      </c>
      <c r="BE796" s="6" t="str">
        <f t="shared" si="384"/>
        <v>=12.76*100000000</v>
      </c>
      <c r="BF796" s="1">
        <f>12.76*100000000</f>
        <v>1276000000</v>
      </c>
      <c r="BG796" s="8">
        <f t="shared" si="401"/>
        <v>2.1084043848964673</v>
      </c>
      <c r="BH796" s="6" t="s">
        <v>3792</v>
      </c>
      <c r="BI796" s="6" t="str">
        <f t="shared" si="385"/>
        <v>=4.105*100000000</v>
      </c>
      <c r="BJ796" s="1">
        <f>4.105*100000000</f>
        <v>410500000.00000006</v>
      </c>
      <c r="BK796" s="7">
        <f>-9812*10000</f>
        <v>-98120000</v>
      </c>
      <c r="BL796" s="1" t="str">
        <f t="shared" si="387"/>
        <v>=-98120000</v>
      </c>
      <c r="BM796" s="16">
        <f t="shared" si="402"/>
        <v>-5.1836526701997556</v>
      </c>
      <c r="BN796" s="1">
        <f>-98120000</f>
        <v>-98120000</v>
      </c>
    </row>
    <row r="797" spans="1:66">
      <c r="A797" s="19"/>
      <c r="B797">
        <v>600657</v>
      </c>
      <c r="C797" t="s">
        <v>68</v>
      </c>
      <c r="D797" s="6" t="s">
        <v>8663</v>
      </c>
      <c r="E797" s="7" t="str">
        <f t="shared" si="386"/>
        <v>=8.449*100000000</v>
      </c>
      <c r="F797" s="1">
        <f>8.449*100000000</f>
        <v>844900000</v>
      </c>
      <c r="G797" s="8">
        <f t="shared" si="388"/>
        <v>0.70721357850070721</v>
      </c>
      <c r="H797" s="6" t="s">
        <v>8940</v>
      </c>
      <c r="I797" s="6" t="str">
        <f t="shared" si="372"/>
        <v>=4.949*100000000</v>
      </c>
      <c r="J797" s="1">
        <f>4.949*100000000</f>
        <v>494900000</v>
      </c>
      <c r="K797" s="10">
        <f t="shared" si="389"/>
        <v>0.18909178279673233</v>
      </c>
      <c r="L797" s="6" t="s">
        <v>8941</v>
      </c>
      <c r="M797" s="6" t="str">
        <f t="shared" si="373"/>
        <v>=4.162*100000000</v>
      </c>
      <c r="N797" s="1">
        <f>4.162*100000000</f>
        <v>416200000</v>
      </c>
      <c r="O797" s="8">
        <f t="shared" si="390"/>
        <v>0.54951600893521968</v>
      </c>
      <c r="P797" s="6" t="s">
        <v>2941</v>
      </c>
      <c r="Q797" s="6" t="str">
        <f t="shared" si="374"/>
        <v>=2.686*100000000</v>
      </c>
      <c r="R797" s="11">
        <f>2.686*100000000</f>
        <v>268600000</v>
      </c>
      <c r="S797" s="8">
        <f t="shared" si="391"/>
        <v>-0.84598623853211008</v>
      </c>
      <c r="T797" s="6" t="s">
        <v>7352</v>
      </c>
      <c r="U797" s="6" t="str">
        <f t="shared" si="375"/>
        <v>=17.44*100000000</v>
      </c>
      <c r="V797" s="1">
        <f>17.44*100000000</f>
        <v>1744000000.0000002</v>
      </c>
      <c r="W797" s="8">
        <f t="shared" si="392"/>
        <v>0.29858525688756532</v>
      </c>
      <c r="X797" s="6" t="s">
        <v>8942</v>
      </c>
      <c r="Y797" s="6" t="str">
        <f t="shared" si="376"/>
        <v>=13.43*100000000</v>
      </c>
      <c r="Z797" s="1">
        <f>13.43*100000000</f>
        <v>1343000000</v>
      </c>
      <c r="AA797" s="8">
        <f t="shared" si="393"/>
        <v>0.2099099099099099</v>
      </c>
      <c r="AB797" s="6" t="s">
        <v>2287</v>
      </c>
      <c r="AC797" s="6" t="str">
        <f t="shared" si="377"/>
        <v>=11.10*100000000</v>
      </c>
      <c r="AD797" s="1">
        <f>11.1*100000000</f>
        <v>1110000000</v>
      </c>
      <c r="AE797" s="8">
        <f t="shared" si="394"/>
        <v>0.74254317111459966</v>
      </c>
      <c r="AF797" s="6" t="s">
        <v>8943</v>
      </c>
      <c r="AG797" s="6" t="str">
        <f t="shared" si="378"/>
        <v>=6.370*100000000</v>
      </c>
      <c r="AH797" s="1">
        <f>6.37*100000000</f>
        <v>637000000</v>
      </c>
      <c r="AI797" s="8">
        <f t="shared" si="395"/>
        <v>-0.75078247261345854</v>
      </c>
      <c r="AJ797" s="6" t="s">
        <v>8944</v>
      </c>
      <c r="AK797" s="6" t="str">
        <f t="shared" si="379"/>
        <v>=25.56*100000000</v>
      </c>
      <c r="AL797" s="1">
        <f>25.56*100000000</f>
        <v>2556000000</v>
      </c>
      <c r="AM797" s="8">
        <f t="shared" si="396"/>
        <v>2.7259475218658893</v>
      </c>
      <c r="AN797" s="6" t="s">
        <v>493</v>
      </c>
      <c r="AO797" s="6" t="str">
        <f t="shared" si="380"/>
        <v>=6.860*100000000</v>
      </c>
      <c r="AP797" s="1">
        <f>6.86*100000000</f>
        <v>686000000</v>
      </c>
      <c r="AQ797" s="8">
        <f t="shared" si="397"/>
        <v>0.33697135061391542</v>
      </c>
      <c r="AR797" s="6" t="s">
        <v>8945</v>
      </c>
      <c r="AS797" s="6" t="str">
        <f t="shared" si="381"/>
        <v>=5.131*100000000</v>
      </c>
      <c r="AT797" s="1">
        <f>5.131*100000000</f>
        <v>513100000</v>
      </c>
      <c r="AU797" s="8">
        <f t="shared" si="398"/>
        <v>34.656706045865185</v>
      </c>
      <c r="AV797" s="7" t="s">
        <v>8946</v>
      </c>
      <c r="AW797" s="6" t="str">
        <f t="shared" si="382"/>
        <v>=1439*10000</v>
      </c>
      <c r="AX797" s="1">
        <f>1439*10000</f>
        <v>14390000</v>
      </c>
      <c r="AY797" s="10">
        <f t="shared" si="399"/>
        <v>-0.99426464726982866</v>
      </c>
      <c r="AZ797" s="6" t="s">
        <v>8644</v>
      </c>
      <c r="BA797" s="6" t="str">
        <f t="shared" si="383"/>
        <v>=25.09*100000000</v>
      </c>
      <c r="BB797" s="1">
        <f>25.09*100000000</f>
        <v>2509000000</v>
      </c>
      <c r="BC797" s="8">
        <f t="shared" si="400"/>
        <v>1.5547296609306589</v>
      </c>
      <c r="BD797" s="6" t="s">
        <v>8947</v>
      </c>
      <c r="BE797" s="6" t="str">
        <f t="shared" si="384"/>
        <v>=9.821*100000000</v>
      </c>
      <c r="BF797" s="1">
        <f>9.821*100000000</f>
        <v>982100000</v>
      </c>
      <c r="BG797" s="8">
        <f t="shared" si="401"/>
        <v>2.9065234685759749</v>
      </c>
      <c r="BH797" s="6" t="s">
        <v>499</v>
      </c>
      <c r="BI797" s="6" t="str">
        <f t="shared" si="385"/>
        <v>=2.514*100000000</v>
      </c>
      <c r="BJ797" s="1">
        <f>2.514*100000000</f>
        <v>251399999.99999997</v>
      </c>
      <c r="BK797" s="6">
        <f>-1.059*100000000</f>
        <v>-105900000</v>
      </c>
      <c r="BL797" s="1" t="str">
        <f t="shared" si="387"/>
        <v>=-105900000</v>
      </c>
      <c r="BM797" s="16">
        <f t="shared" si="402"/>
        <v>-3.3739376770538243</v>
      </c>
      <c r="BN797" s="1">
        <f>-105900000</f>
        <v>-105900000</v>
      </c>
    </row>
    <row r="798" spans="1:66">
      <c r="A798" s="17">
        <v>201</v>
      </c>
      <c r="B798">
        <v>600660</v>
      </c>
      <c r="C798" t="s">
        <v>31</v>
      </c>
      <c r="D798" s="6" t="s">
        <v>8948</v>
      </c>
      <c r="E798" s="7" t="str">
        <f t="shared" si="386"/>
        <v>=236.0*100000000</v>
      </c>
      <c r="F798" s="1">
        <f>236*100000000</f>
        <v>23600000000</v>
      </c>
      <c r="G798" s="8">
        <f t="shared" si="388"/>
        <v>0.37609329446064138</v>
      </c>
      <c r="H798" s="6" t="s">
        <v>8949</v>
      </c>
      <c r="I798" s="6" t="str">
        <f t="shared" si="372"/>
        <v>=171.5*100000000</v>
      </c>
      <c r="J798" s="1">
        <f>171.5*100000000</f>
        <v>17150000000</v>
      </c>
      <c r="K798" s="10">
        <f t="shared" si="389"/>
        <v>0.48613518197573657</v>
      </c>
      <c r="L798" s="6" t="s">
        <v>1870</v>
      </c>
      <c r="M798" s="6" t="str">
        <f t="shared" si="373"/>
        <v>=115.4*100000000</v>
      </c>
      <c r="N798" s="1">
        <f>115.4*100000000</f>
        <v>11540000000</v>
      </c>
      <c r="O798" s="8">
        <f t="shared" si="390"/>
        <v>1.0224325271643884</v>
      </c>
      <c r="P798" s="6" t="s">
        <v>5641</v>
      </c>
      <c r="Q798" s="6" t="str">
        <f t="shared" si="374"/>
        <v>=57.06*100000000</v>
      </c>
      <c r="R798" s="11">
        <f>57.06*100000000</f>
        <v>5706000000</v>
      </c>
      <c r="S798" s="8">
        <f t="shared" si="391"/>
        <v>-0.71341034655951785</v>
      </c>
      <c r="T798" s="6" t="s">
        <v>8950</v>
      </c>
      <c r="U798" s="6" t="str">
        <f t="shared" si="375"/>
        <v>=199.1*100000000</v>
      </c>
      <c r="V798" s="1">
        <f>199.1*100000000</f>
        <v>19910000000</v>
      </c>
      <c r="W798" s="8">
        <f t="shared" si="392"/>
        <v>0.44484760522496353</v>
      </c>
      <c r="X798" s="6" t="s">
        <v>4709</v>
      </c>
      <c r="Y798" s="6" t="str">
        <f t="shared" si="376"/>
        <v>=137.8*100000000</v>
      </c>
      <c r="Z798" s="1">
        <f>137.8*100000000</f>
        <v>13780000000.000002</v>
      </c>
      <c r="AA798" s="8">
        <f t="shared" si="393"/>
        <v>0.69683536510282029</v>
      </c>
      <c r="AB798" s="6" t="s">
        <v>8951</v>
      </c>
      <c r="AC798" s="6" t="str">
        <f t="shared" si="377"/>
        <v>=81.21*100000000</v>
      </c>
      <c r="AD798" s="1">
        <f>81.21*100000000</f>
        <v>8120999999.999999</v>
      </c>
      <c r="AE798" s="8">
        <f t="shared" si="394"/>
        <v>0.94748201438848878</v>
      </c>
      <c r="AF798" s="6" t="s">
        <v>8952</v>
      </c>
      <c r="AG798" s="6" t="str">
        <f t="shared" si="378"/>
        <v>=41.70*100000000</v>
      </c>
      <c r="AH798" s="1">
        <f>41.7*100000000</f>
        <v>4170000000.0000005</v>
      </c>
      <c r="AI798" s="8">
        <f t="shared" si="395"/>
        <v>-0.80236966824644551</v>
      </c>
      <c r="AJ798" s="6" t="s">
        <v>8953</v>
      </c>
      <c r="AK798" s="6" t="str">
        <f t="shared" si="379"/>
        <v>=211.0*100000000</v>
      </c>
      <c r="AL798" s="1">
        <f>211*100000000</f>
        <v>21100000000</v>
      </c>
      <c r="AM798" s="8">
        <f t="shared" si="396"/>
        <v>0.34996801023672408</v>
      </c>
      <c r="AN798" s="6" t="s">
        <v>8954</v>
      </c>
      <c r="AO798" s="6" t="str">
        <f t="shared" si="380"/>
        <v>=156.3*100000000</v>
      </c>
      <c r="AP798" s="1">
        <f>156.3*100000000</f>
        <v>15630000000.000002</v>
      </c>
      <c r="AQ798" s="8">
        <f t="shared" si="397"/>
        <v>0.51895043731778445</v>
      </c>
      <c r="AR798" s="6" t="s">
        <v>8955</v>
      </c>
      <c r="AS798" s="6" t="str">
        <f t="shared" si="381"/>
        <v>=102.9*100000000</v>
      </c>
      <c r="AT798" s="1">
        <f>102.9*100000000</f>
        <v>10290000000</v>
      </c>
      <c r="AU798" s="8">
        <f t="shared" si="398"/>
        <v>1.0859517534968579</v>
      </c>
      <c r="AV798" s="6" t="s">
        <v>8060</v>
      </c>
      <c r="AW798" s="6" t="str">
        <f t="shared" si="382"/>
        <v>=49.33*100000000</v>
      </c>
      <c r="AX798" s="1">
        <f>49.33*100000000</f>
        <v>4933000000</v>
      </c>
      <c r="AY798" s="10">
        <f t="shared" si="399"/>
        <v>-0.7560336300692384</v>
      </c>
      <c r="AZ798" s="6" t="s">
        <v>3598</v>
      </c>
      <c r="BA798" s="6" t="str">
        <f t="shared" si="383"/>
        <v>=202.2*100000000</v>
      </c>
      <c r="BB798" s="1">
        <f>202.2*100000000</f>
        <v>20220000000</v>
      </c>
      <c r="BC798" s="8">
        <f t="shared" si="400"/>
        <v>0.33730158730158749</v>
      </c>
      <c r="BD798" s="6" t="s">
        <v>8956</v>
      </c>
      <c r="BE798" s="6" t="str">
        <f t="shared" si="384"/>
        <v>=151.2*100000000</v>
      </c>
      <c r="BF798" s="1">
        <f>151.2*100000000</f>
        <v>15119999999.999998</v>
      </c>
      <c r="BG798" s="8">
        <f t="shared" si="401"/>
        <v>0.49851337958374609</v>
      </c>
      <c r="BH798" s="6" t="s">
        <v>8957</v>
      </c>
      <c r="BI798" s="6" t="str">
        <f t="shared" si="385"/>
        <v>=100.9*100000000</v>
      </c>
      <c r="BJ798" s="1">
        <f>100.9*100000000</f>
        <v>10090000000</v>
      </c>
      <c r="BK798" s="6" t="s">
        <v>8958</v>
      </c>
      <c r="BL798" s="1" t="str">
        <f t="shared" si="387"/>
        <v>=47.48*100000000</v>
      </c>
      <c r="BM798" s="16">
        <f t="shared" si="402"/>
        <v>1.1251053074978938</v>
      </c>
      <c r="BN798" s="1">
        <f>47.48*100000000</f>
        <v>4748000000</v>
      </c>
    </row>
    <row r="799" spans="1:66">
      <c r="A799" s="18"/>
      <c r="B799">
        <v>600660</v>
      </c>
      <c r="C799" t="s">
        <v>48</v>
      </c>
      <c r="D799" s="6" t="s">
        <v>8959</v>
      </c>
      <c r="E799" s="7" t="str">
        <f t="shared" si="386"/>
        <v>=37.62*100000000</v>
      </c>
      <c r="F799" s="1">
        <f>37.62*100000000</f>
        <v>3761999999.9999995</v>
      </c>
      <c r="G799" s="8">
        <f t="shared" si="388"/>
        <v>0.23344262295081952</v>
      </c>
      <c r="H799" s="6" t="s">
        <v>8960</v>
      </c>
      <c r="I799" s="6" t="str">
        <f t="shared" si="372"/>
        <v>=30.50*100000000</v>
      </c>
      <c r="J799" s="1">
        <f>30.5*100000000</f>
        <v>3050000000</v>
      </c>
      <c r="K799" s="10">
        <f t="shared" si="389"/>
        <v>0.46142788691902253</v>
      </c>
      <c r="L799" s="6" t="s">
        <v>1516</v>
      </c>
      <c r="M799" s="6" t="str">
        <f t="shared" si="373"/>
        <v>=20.87*100000000</v>
      </c>
      <c r="N799" s="1">
        <f>20.87*100000000</f>
        <v>2087000000</v>
      </c>
      <c r="O799" s="8">
        <f t="shared" si="390"/>
        <v>1.0262135922330096</v>
      </c>
      <c r="P799" s="6" t="s">
        <v>3131</v>
      </c>
      <c r="Q799" s="6" t="str">
        <f t="shared" si="374"/>
        <v>=10.30*100000000</v>
      </c>
      <c r="R799" s="11">
        <f>10.3*100000000</f>
        <v>1030000000.0000001</v>
      </c>
      <c r="S799" s="8">
        <f t="shared" si="391"/>
        <v>-0.68472604836241202</v>
      </c>
      <c r="T799" s="6" t="s">
        <v>8961</v>
      </c>
      <c r="U799" s="6" t="str">
        <f t="shared" si="375"/>
        <v>=32.67*100000000</v>
      </c>
      <c r="V799" s="1">
        <f>32.67*100000000</f>
        <v>3267000000</v>
      </c>
      <c r="W799" s="8">
        <f t="shared" si="392"/>
        <v>0.58284883720930236</v>
      </c>
      <c r="X799" s="6" t="s">
        <v>8962</v>
      </c>
      <c r="Y799" s="6" t="str">
        <f t="shared" si="376"/>
        <v>=20.64*100000000</v>
      </c>
      <c r="Z799" s="1">
        <f>20.64*100000000</f>
        <v>2064000000</v>
      </c>
      <c r="AA799" s="8">
        <f t="shared" si="393"/>
        <v>0.76259607173356103</v>
      </c>
      <c r="AB799" s="6" t="s">
        <v>1436</v>
      </c>
      <c r="AC799" s="6" t="str">
        <f t="shared" si="377"/>
        <v>=11.71*100000000</v>
      </c>
      <c r="AD799" s="1">
        <f>11.71*100000000</f>
        <v>1171000000</v>
      </c>
      <c r="AE799" s="8">
        <f t="shared" si="394"/>
        <v>0.90561432058584213</v>
      </c>
      <c r="AF799" s="6" t="s">
        <v>8963</v>
      </c>
      <c r="AG799" s="6" t="str">
        <f t="shared" si="378"/>
        <v>=6.145*100000000</v>
      </c>
      <c r="AH799" s="1">
        <f>6.145*100000000</f>
        <v>614500000</v>
      </c>
      <c r="AI799" s="8">
        <f t="shared" si="395"/>
        <v>-0.82011124121779855</v>
      </c>
      <c r="AJ799" s="6" t="s">
        <v>7286</v>
      </c>
      <c r="AK799" s="6" t="str">
        <f t="shared" si="379"/>
        <v>=34.16*100000000</v>
      </c>
      <c r="AL799" s="1">
        <f>34.16*100000000</f>
        <v>3415999999.9999995</v>
      </c>
      <c r="AM799" s="8">
        <f t="shared" si="396"/>
        <v>0.24127906976744168</v>
      </c>
      <c r="AN799" s="6" t="s">
        <v>8964</v>
      </c>
      <c r="AO799" s="6" t="str">
        <f t="shared" si="380"/>
        <v>=27.52*100000000</v>
      </c>
      <c r="AP799" s="1">
        <f>27.52*100000000</f>
        <v>2752000000</v>
      </c>
      <c r="AQ799" s="8">
        <f t="shared" si="397"/>
        <v>0.63129816241849435</v>
      </c>
      <c r="AR799" s="6" t="s">
        <v>8965</v>
      </c>
      <c r="AS799" s="6" t="str">
        <f t="shared" si="381"/>
        <v>=16.87*100000000</v>
      </c>
      <c r="AT799" s="1">
        <f>16.87*100000000</f>
        <v>1687000000</v>
      </c>
      <c r="AU799" s="8">
        <f t="shared" si="398"/>
        <v>1.5182863113897596</v>
      </c>
      <c r="AV799" s="6" t="s">
        <v>8966</v>
      </c>
      <c r="AW799" s="6" t="str">
        <f t="shared" si="382"/>
        <v>=6.699*100000000</v>
      </c>
      <c r="AX799" s="1">
        <f>6.699*100000000</f>
        <v>669900000</v>
      </c>
      <c r="AY799" s="10">
        <f t="shared" si="399"/>
        <v>-0.86529257993163078</v>
      </c>
      <c r="AZ799" s="6" t="s">
        <v>8967</v>
      </c>
      <c r="BA799" s="6" t="str">
        <f t="shared" si="383"/>
        <v>=49.73*100000000</v>
      </c>
      <c r="BB799" s="1">
        <f>49.73*100000000</f>
        <v>4973000000</v>
      </c>
      <c r="BC799" s="8">
        <f t="shared" si="400"/>
        <v>0.25803187452567672</v>
      </c>
      <c r="BD799" s="6" t="s">
        <v>7411</v>
      </c>
      <c r="BE799" s="6" t="str">
        <f t="shared" si="384"/>
        <v>=39.53*100000000</v>
      </c>
      <c r="BF799" s="1">
        <f>39.53*100000000</f>
        <v>3953000000</v>
      </c>
      <c r="BG799" s="8">
        <f t="shared" si="401"/>
        <v>0.82249884739511292</v>
      </c>
      <c r="BH799" s="6" t="s">
        <v>3538</v>
      </c>
      <c r="BI799" s="6" t="str">
        <f t="shared" si="385"/>
        <v>=21.69*100000000</v>
      </c>
      <c r="BJ799" s="1">
        <f>21.69*100000000</f>
        <v>2169000000</v>
      </c>
      <c r="BK799" s="6" t="s">
        <v>7546</v>
      </c>
      <c r="BL799" s="1" t="str">
        <f t="shared" si="387"/>
        <v>=6.972*100000000</v>
      </c>
      <c r="BM799" s="16">
        <f t="shared" si="402"/>
        <v>2.1110154905335627</v>
      </c>
      <c r="BN799" s="1">
        <f>6.972*100000000</f>
        <v>697200000</v>
      </c>
    </row>
    <row r="800" spans="1:66">
      <c r="A800" s="18"/>
      <c r="B800">
        <v>600660</v>
      </c>
      <c r="C800" t="s">
        <v>58</v>
      </c>
      <c r="D800" s="6" t="s">
        <v>1888</v>
      </c>
      <c r="E800" s="7" t="str">
        <f t="shared" si="386"/>
        <v>=38.19*100000000</v>
      </c>
      <c r="F800" s="1">
        <f>38.19*100000000</f>
        <v>3819000000</v>
      </c>
      <c r="G800" s="8">
        <f t="shared" si="388"/>
        <v>0.24478487614080835</v>
      </c>
      <c r="H800" s="6" t="s">
        <v>3992</v>
      </c>
      <c r="I800" s="6" t="str">
        <f t="shared" si="372"/>
        <v>=30.68*100000000</v>
      </c>
      <c r="J800" s="1">
        <f>30.68*100000000</f>
        <v>3068000000</v>
      </c>
      <c r="K800" s="10">
        <f t="shared" si="389"/>
        <v>0.4778420038535644</v>
      </c>
      <c r="L800" s="6" t="s">
        <v>6011</v>
      </c>
      <c r="M800" s="6" t="str">
        <f t="shared" si="373"/>
        <v>=20.76*100000000</v>
      </c>
      <c r="N800" s="1">
        <f>20.76*100000000</f>
        <v>2076000000.0000002</v>
      </c>
      <c r="O800" s="8">
        <f t="shared" si="390"/>
        <v>1.0057971014492757</v>
      </c>
      <c r="P800" s="6" t="s">
        <v>8183</v>
      </c>
      <c r="Q800" s="6" t="str">
        <f t="shared" si="374"/>
        <v>=10.35*100000000</v>
      </c>
      <c r="R800" s="11">
        <f>10.35*100000000</f>
        <v>1035000000</v>
      </c>
      <c r="S800" s="8">
        <f t="shared" si="391"/>
        <v>-0.66720257234726688</v>
      </c>
      <c r="T800" s="6" t="s">
        <v>8237</v>
      </c>
      <c r="U800" s="6" t="str">
        <f t="shared" si="375"/>
        <v>=31.10*100000000</v>
      </c>
      <c r="V800" s="1">
        <f>31.1*100000000</f>
        <v>3110000000</v>
      </c>
      <c r="W800" s="8">
        <f t="shared" si="392"/>
        <v>0.52003910068426196</v>
      </c>
      <c r="X800" s="6" t="s">
        <v>4528</v>
      </c>
      <c r="Y800" s="6" t="str">
        <f t="shared" si="376"/>
        <v>=20.46*100000000</v>
      </c>
      <c r="Z800" s="1">
        <f>20.46*100000000</f>
        <v>2046000000</v>
      </c>
      <c r="AA800" s="8">
        <f t="shared" si="393"/>
        <v>0.75171232876712324</v>
      </c>
      <c r="AB800" s="6" t="s">
        <v>7004</v>
      </c>
      <c r="AC800" s="6" t="str">
        <f t="shared" si="377"/>
        <v>=11.68*100000000</v>
      </c>
      <c r="AD800" s="1">
        <f>11.68*100000000</f>
        <v>1168000000</v>
      </c>
      <c r="AE800" s="8">
        <f t="shared" si="394"/>
        <v>0.89333765602204573</v>
      </c>
      <c r="AF800" s="6" t="s">
        <v>8968</v>
      </c>
      <c r="AG800" s="6" t="str">
        <f t="shared" si="378"/>
        <v>=6.169*100000000</v>
      </c>
      <c r="AH800" s="1">
        <f>6.169*100000000</f>
        <v>616900000</v>
      </c>
      <c r="AI800" s="8">
        <f t="shared" si="395"/>
        <v>-0.80906839987619927</v>
      </c>
      <c r="AJ800" s="6" t="s">
        <v>8969</v>
      </c>
      <c r="AK800" s="6" t="str">
        <f t="shared" si="379"/>
        <v>=32.31*100000000</v>
      </c>
      <c r="AL800" s="1">
        <f>32.31*100000000</f>
        <v>3231000000</v>
      </c>
      <c r="AM800" s="8">
        <f t="shared" si="396"/>
        <v>0.14088983050847459</v>
      </c>
      <c r="AN800" s="6" t="s">
        <v>8970</v>
      </c>
      <c r="AO800" s="6" t="str">
        <f t="shared" si="380"/>
        <v>=28.32*100000000</v>
      </c>
      <c r="AP800" s="1">
        <f>28.32*100000000</f>
        <v>2832000000</v>
      </c>
      <c r="AQ800" s="8">
        <f t="shared" si="397"/>
        <v>0.61459521094640823</v>
      </c>
      <c r="AR800" s="6" t="s">
        <v>8971</v>
      </c>
      <c r="AS800" s="6" t="str">
        <f t="shared" si="381"/>
        <v>=17.54*100000000</v>
      </c>
      <c r="AT800" s="1">
        <f>17.54*100000000</f>
        <v>1754000000</v>
      </c>
      <c r="AU800" s="8">
        <f t="shared" si="398"/>
        <v>1.4233213594915723</v>
      </c>
      <c r="AV800" s="6" t="s">
        <v>8972</v>
      </c>
      <c r="AW800" s="6" t="str">
        <f t="shared" si="382"/>
        <v>=7.238*100000000</v>
      </c>
      <c r="AX800" s="1">
        <f>7.238*100000000</f>
        <v>723800000</v>
      </c>
      <c r="AY800" s="10">
        <f t="shared" si="399"/>
        <v>-0.85413139862958487</v>
      </c>
      <c r="AZ800" s="6" t="s">
        <v>8973</v>
      </c>
      <c r="BA800" s="6" t="str">
        <f t="shared" si="383"/>
        <v>=49.62*100000000</v>
      </c>
      <c r="BB800" s="1">
        <f>49.62*100000000</f>
        <v>4962000000</v>
      </c>
      <c r="BC800" s="8">
        <f t="shared" si="400"/>
        <v>0.25715733468457058</v>
      </c>
      <c r="BD800" s="6" t="s">
        <v>8974</v>
      </c>
      <c r="BE800" s="6" t="str">
        <f t="shared" si="384"/>
        <v>=39.47*100000000</v>
      </c>
      <c r="BF800" s="1">
        <f>39.47*100000000</f>
        <v>3947000000</v>
      </c>
      <c r="BG800" s="8">
        <f t="shared" si="401"/>
        <v>0.81221303948576673</v>
      </c>
      <c r="BH800" s="6" t="s">
        <v>5657</v>
      </c>
      <c r="BI800" s="6" t="str">
        <f t="shared" si="385"/>
        <v>=21.78*100000000</v>
      </c>
      <c r="BJ800" s="1">
        <f>21.78*100000000</f>
        <v>2178000000</v>
      </c>
      <c r="BK800" s="6" t="s">
        <v>8975</v>
      </c>
      <c r="BL800" s="1" t="str">
        <f t="shared" si="387"/>
        <v>=6.976*100000000</v>
      </c>
      <c r="BM800" s="16">
        <f t="shared" si="402"/>
        <v>2.1221330275229358</v>
      </c>
      <c r="BN800" s="1">
        <f>6.976*100000000</f>
        <v>697600000</v>
      </c>
    </row>
    <row r="801" spans="1:66">
      <c r="A801" s="19"/>
      <c r="B801">
        <v>600660</v>
      </c>
      <c r="C801" t="s">
        <v>68</v>
      </c>
      <c r="D801" s="6" t="s">
        <v>8111</v>
      </c>
      <c r="E801" s="7" t="str">
        <f t="shared" si="386"/>
        <v>=31.43*100000000</v>
      </c>
      <c r="F801" s="1">
        <f>31.43*100000000</f>
        <v>3143000000</v>
      </c>
      <c r="G801" s="8">
        <f t="shared" si="388"/>
        <v>0.21210952564596991</v>
      </c>
      <c r="H801" s="6" t="s">
        <v>2462</v>
      </c>
      <c r="I801" s="6" t="str">
        <f t="shared" si="372"/>
        <v>=25.93*100000000</v>
      </c>
      <c r="J801" s="1">
        <f>25.93*100000000</f>
        <v>2593000000</v>
      </c>
      <c r="K801" s="10">
        <f t="shared" si="389"/>
        <v>0.46745897000565911</v>
      </c>
      <c r="L801" s="6" t="s">
        <v>3606</v>
      </c>
      <c r="M801" s="6" t="str">
        <f t="shared" si="373"/>
        <v>=17.67*100000000</v>
      </c>
      <c r="N801" s="1">
        <f>17.67*100000000</f>
        <v>1767000000.0000002</v>
      </c>
      <c r="O801" s="8">
        <f t="shared" si="390"/>
        <v>1.0686022008897216</v>
      </c>
      <c r="P801" s="6" t="s">
        <v>8455</v>
      </c>
      <c r="Q801" s="6" t="str">
        <f t="shared" si="374"/>
        <v>=8.542*100000000</v>
      </c>
      <c r="R801" s="11">
        <f>8.542*100000000</f>
        <v>854200000</v>
      </c>
      <c r="S801" s="8">
        <f t="shared" si="391"/>
        <v>-0.6712086220169361</v>
      </c>
      <c r="T801" s="6" t="s">
        <v>5664</v>
      </c>
      <c r="U801" s="6" t="str">
        <f t="shared" si="375"/>
        <v>=25.98*100000000</v>
      </c>
      <c r="V801" s="1">
        <f>25.98*100000000</f>
        <v>2598000000</v>
      </c>
      <c r="W801" s="8">
        <f t="shared" si="392"/>
        <v>0.50958744915746657</v>
      </c>
      <c r="X801" s="6" t="s">
        <v>7764</v>
      </c>
      <c r="Y801" s="6" t="str">
        <f t="shared" si="376"/>
        <v>=17.21*100000000</v>
      </c>
      <c r="Z801" s="1">
        <f>17.21*100000000</f>
        <v>1721000000</v>
      </c>
      <c r="AA801" s="8">
        <f t="shared" si="393"/>
        <v>0.78749480681346073</v>
      </c>
      <c r="AB801" s="6" t="s">
        <v>7361</v>
      </c>
      <c r="AC801" s="6" t="str">
        <f t="shared" si="377"/>
        <v>=9.628*100000000</v>
      </c>
      <c r="AD801" s="1">
        <f>9.628*100000000</f>
        <v>962800000</v>
      </c>
      <c r="AE801" s="8">
        <f t="shared" si="394"/>
        <v>1.0962333986501198</v>
      </c>
      <c r="AF801" s="6" t="s">
        <v>8976</v>
      </c>
      <c r="AG801" s="6" t="str">
        <f t="shared" si="378"/>
        <v>=4.593*100000000</v>
      </c>
      <c r="AH801" s="1">
        <f>4.593*100000000</f>
        <v>459300000</v>
      </c>
      <c r="AI801" s="8">
        <f t="shared" si="395"/>
        <v>-0.84151138716356111</v>
      </c>
      <c r="AJ801" s="6" t="s">
        <v>8977</v>
      </c>
      <c r="AK801" s="6" t="str">
        <f t="shared" si="379"/>
        <v>=28.98*100000000</v>
      </c>
      <c r="AL801" s="1">
        <f>28.98*100000000</f>
        <v>2898000000</v>
      </c>
      <c r="AM801" s="8">
        <f t="shared" si="396"/>
        <v>0.23529411764705882</v>
      </c>
      <c r="AN801" s="6" t="s">
        <v>8978</v>
      </c>
      <c r="AO801" s="6" t="str">
        <f t="shared" si="380"/>
        <v>=23.46*100000000</v>
      </c>
      <c r="AP801" s="1">
        <f>23.46*100000000</f>
        <v>2346000000</v>
      </c>
      <c r="AQ801" s="8">
        <f t="shared" si="397"/>
        <v>0.55776892430278879</v>
      </c>
      <c r="AR801" s="6" t="s">
        <v>8979</v>
      </c>
      <c r="AS801" s="6" t="str">
        <f t="shared" si="381"/>
        <v>=15.06*100000000</v>
      </c>
      <c r="AT801" s="1">
        <f>15.06*100000000</f>
        <v>1506000000</v>
      </c>
      <c r="AU801" s="8">
        <f t="shared" si="398"/>
        <v>1.4855586730483579</v>
      </c>
      <c r="AV801" s="6" t="s">
        <v>8980</v>
      </c>
      <c r="AW801" s="6" t="str">
        <f t="shared" si="382"/>
        <v>=6.059*100000000</v>
      </c>
      <c r="AX801" s="1">
        <f>6.059*100000000</f>
        <v>605900000</v>
      </c>
      <c r="AY801" s="10">
        <f t="shared" si="399"/>
        <v>-0.85247139030922814</v>
      </c>
      <c r="AZ801" s="6" t="s">
        <v>8981</v>
      </c>
      <c r="BA801" s="6" t="str">
        <f t="shared" si="383"/>
        <v>=41.07*100000000</v>
      </c>
      <c r="BB801" s="1">
        <f>41.07*100000000</f>
        <v>4107000000</v>
      </c>
      <c r="BC801" s="8">
        <f t="shared" si="400"/>
        <v>0.26058931860036832</v>
      </c>
      <c r="BD801" s="6" t="s">
        <v>4562</v>
      </c>
      <c r="BE801" s="6" t="str">
        <f t="shared" si="384"/>
        <v>=32.58*100000000</v>
      </c>
      <c r="BF801" s="1">
        <f>32.58*100000000</f>
        <v>3258000000</v>
      </c>
      <c r="BG801" s="8">
        <f t="shared" si="401"/>
        <v>0.74317817014446208</v>
      </c>
      <c r="BH801" s="6" t="s">
        <v>8982</v>
      </c>
      <c r="BI801" s="6" t="str">
        <f t="shared" si="385"/>
        <v>=18.69*100000000</v>
      </c>
      <c r="BJ801" s="1">
        <f>18.69*100000000</f>
        <v>1869000000.0000002</v>
      </c>
      <c r="BK801" s="6" t="s">
        <v>8826</v>
      </c>
      <c r="BL801" s="1" t="str">
        <f t="shared" si="387"/>
        <v>=5.627*100000000</v>
      </c>
      <c r="BM801" s="16">
        <f t="shared" si="402"/>
        <v>2.3214856939754758</v>
      </c>
      <c r="BN801" s="1">
        <f>5.627*100000000</f>
        <v>562700000</v>
      </c>
    </row>
    <row r="802" spans="1:66">
      <c r="A802" s="17">
        <v>202</v>
      </c>
      <c r="B802">
        <v>600663</v>
      </c>
      <c r="C802" t="s">
        <v>31</v>
      </c>
      <c r="D802" s="6" t="s">
        <v>5758</v>
      </c>
      <c r="E802" s="7" t="str">
        <f t="shared" si="386"/>
        <v>=138.7*100000000</v>
      </c>
      <c r="F802" s="1">
        <f>138.7*100000000</f>
        <v>13869999999.999998</v>
      </c>
      <c r="G802" s="8">
        <f t="shared" si="388"/>
        <v>0.75281182863642082</v>
      </c>
      <c r="H802" s="6" t="s">
        <v>8983</v>
      </c>
      <c r="I802" s="6" t="str">
        <f t="shared" si="372"/>
        <v>=79.13*100000000</v>
      </c>
      <c r="J802" s="1">
        <f>79.13*100000000</f>
        <v>7913000000</v>
      </c>
      <c r="K802" s="10">
        <f t="shared" si="389"/>
        <v>0.36974208066470488</v>
      </c>
      <c r="L802" s="6" t="s">
        <v>8984</v>
      </c>
      <c r="M802" s="6" t="str">
        <f t="shared" si="373"/>
        <v>=57.77*100000000</v>
      </c>
      <c r="N802" s="1">
        <f>57.77*100000000</f>
        <v>5777000000</v>
      </c>
      <c r="O802" s="8">
        <f t="shared" si="390"/>
        <v>0.95963364993215738</v>
      </c>
      <c r="P802" s="6" t="s">
        <v>2628</v>
      </c>
      <c r="Q802" s="6" t="str">
        <f t="shared" si="374"/>
        <v>=29.48*100000000</v>
      </c>
      <c r="R802" s="11">
        <f>29.48*100000000</f>
        <v>2948000000</v>
      </c>
      <c r="S802" s="8">
        <f t="shared" si="391"/>
        <v>-0.79626814098134069</v>
      </c>
      <c r="T802" s="6" t="s">
        <v>4943</v>
      </c>
      <c r="U802" s="6" t="str">
        <f t="shared" si="375"/>
        <v>=144.7*100000000</v>
      </c>
      <c r="V802" s="1">
        <f>144.7*100000000</f>
        <v>14469999999.999998</v>
      </c>
      <c r="W802" s="8">
        <f t="shared" si="392"/>
        <v>0.66302723824847698</v>
      </c>
      <c r="X802" s="6" t="s">
        <v>6839</v>
      </c>
      <c r="Y802" s="6" t="str">
        <f t="shared" si="376"/>
        <v>=87.01*100000000</v>
      </c>
      <c r="Z802" s="1">
        <f>87.01*100000000</f>
        <v>8701000000</v>
      </c>
      <c r="AA802" s="8">
        <f t="shared" si="393"/>
        <v>0.3129621246416176</v>
      </c>
      <c r="AB802" s="6" t="s">
        <v>8985</v>
      </c>
      <c r="AC802" s="6" t="str">
        <f t="shared" si="377"/>
        <v>=66.27*100000000</v>
      </c>
      <c r="AD802" s="1">
        <f>66.27*100000000</f>
        <v>6627000000</v>
      </c>
      <c r="AE802" s="8">
        <f t="shared" si="394"/>
        <v>0.59532980259990376</v>
      </c>
      <c r="AF802" s="6" t="s">
        <v>8986</v>
      </c>
      <c r="AG802" s="6" t="str">
        <f t="shared" si="378"/>
        <v>=41.54*100000000</v>
      </c>
      <c r="AH802" s="1">
        <f>41.54*100000000</f>
        <v>4154000000</v>
      </c>
      <c r="AI802" s="8">
        <f t="shared" si="395"/>
        <v>-0.71875423155044005</v>
      </c>
      <c r="AJ802" s="6" t="s">
        <v>7226</v>
      </c>
      <c r="AK802" s="6" t="str">
        <f t="shared" si="379"/>
        <v>=147.7*100000000</v>
      </c>
      <c r="AL802" s="1">
        <f>147.7*100000000</f>
        <v>14769999999.999998</v>
      </c>
      <c r="AM802" s="8">
        <f t="shared" si="396"/>
        <v>0.40935114503816777</v>
      </c>
      <c r="AN802" s="6" t="s">
        <v>1263</v>
      </c>
      <c r="AO802" s="6" t="str">
        <f t="shared" si="380"/>
        <v>=104.8*100000000</v>
      </c>
      <c r="AP802" s="1">
        <f>104.8*100000000</f>
        <v>10480000000</v>
      </c>
      <c r="AQ802" s="8">
        <f t="shared" si="397"/>
        <v>0.27976553913786789</v>
      </c>
      <c r="AR802" s="6" t="s">
        <v>8987</v>
      </c>
      <c r="AS802" s="6" t="str">
        <f t="shared" si="381"/>
        <v>=81.89*100000000</v>
      </c>
      <c r="AT802" s="1">
        <f>81.89*100000000</f>
        <v>8189000000</v>
      </c>
      <c r="AU802" s="8">
        <f t="shared" si="398"/>
        <v>1.1248053969901401</v>
      </c>
      <c r="AV802" s="6" t="s">
        <v>8988</v>
      </c>
      <c r="AW802" s="6" t="str">
        <f t="shared" si="382"/>
        <v>=38.54*100000000</v>
      </c>
      <c r="AX802" s="1">
        <f>38.54*100000000</f>
        <v>3854000000</v>
      </c>
      <c r="AY802" s="10">
        <f t="shared" si="399"/>
        <v>-0.6950949367088608</v>
      </c>
      <c r="AZ802" s="6" t="s">
        <v>8989</v>
      </c>
      <c r="BA802" s="6" t="str">
        <f t="shared" si="383"/>
        <v>=126.4*100000000</v>
      </c>
      <c r="BB802" s="1">
        <f>126.4*100000000</f>
        <v>12640000000</v>
      </c>
      <c r="BC802" s="8">
        <f t="shared" si="400"/>
        <v>0.47422439934686278</v>
      </c>
      <c r="BD802" s="6" t="s">
        <v>8990</v>
      </c>
      <c r="BE802" s="6" t="str">
        <f t="shared" si="384"/>
        <v>=85.74*100000000</v>
      </c>
      <c r="BF802" s="1">
        <f>85.74*100000000</f>
        <v>8573999999.999999</v>
      </c>
      <c r="BG802" s="8">
        <f t="shared" si="401"/>
        <v>0.29692936015731342</v>
      </c>
      <c r="BH802" s="6" t="s">
        <v>8991</v>
      </c>
      <c r="BI802" s="6" t="str">
        <f t="shared" si="385"/>
        <v>=66.11*100000000</v>
      </c>
      <c r="BJ802" s="1">
        <f>66.11*100000000</f>
        <v>6611000000</v>
      </c>
      <c r="BK802" s="6" t="s">
        <v>6019</v>
      </c>
      <c r="BL802" s="1" t="str">
        <f t="shared" si="387"/>
        <v>=12.96*100000000</v>
      </c>
      <c r="BM802" s="16">
        <f t="shared" si="402"/>
        <v>4.1010802469135799</v>
      </c>
      <c r="BN802" s="1">
        <f>12.96*100000000</f>
        <v>1296000000</v>
      </c>
    </row>
    <row r="803" spans="1:66">
      <c r="A803" s="18"/>
      <c r="B803">
        <v>600663</v>
      </c>
      <c r="C803" t="s">
        <v>48</v>
      </c>
      <c r="D803" s="6" t="s">
        <v>8992</v>
      </c>
      <c r="E803" s="7" t="str">
        <f t="shared" si="386"/>
        <v>=61.80*100000000</v>
      </c>
      <c r="F803" s="1">
        <f>61.8*100000000</f>
        <v>6180000000</v>
      </c>
      <c r="G803" s="8">
        <f t="shared" si="388"/>
        <v>0.67525074545947417</v>
      </c>
      <c r="H803" s="6" t="s">
        <v>8993</v>
      </c>
      <c r="I803" s="6" t="str">
        <f t="shared" si="372"/>
        <v>=36.89*100000000</v>
      </c>
      <c r="J803" s="1">
        <f>36.89*100000000</f>
        <v>3689000000</v>
      </c>
      <c r="K803" s="10">
        <f t="shared" si="389"/>
        <v>0.32889048991354469</v>
      </c>
      <c r="L803" s="6" t="s">
        <v>8994</v>
      </c>
      <c r="M803" s="6" t="str">
        <f t="shared" si="373"/>
        <v>=27.76*100000000</v>
      </c>
      <c r="N803" s="1">
        <f>27.76*100000000</f>
        <v>2776000000</v>
      </c>
      <c r="O803" s="8">
        <f t="shared" si="390"/>
        <v>1.0014419610670513</v>
      </c>
      <c r="P803" s="6" t="s">
        <v>1193</v>
      </c>
      <c r="Q803" s="6" t="str">
        <f t="shared" si="374"/>
        <v>=13.87*100000000</v>
      </c>
      <c r="R803" s="11">
        <f>13.87*100000000</f>
        <v>1387000000</v>
      </c>
      <c r="S803" s="8">
        <f t="shared" si="391"/>
        <v>-0.79007113667322537</v>
      </c>
      <c r="T803" s="6" t="s">
        <v>8995</v>
      </c>
      <c r="U803" s="6" t="str">
        <f t="shared" si="375"/>
        <v>=66.07*100000000</v>
      </c>
      <c r="V803" s="1">
        <f>66.07*100000000</f>
        <v>6606999999.999999</v>
      </c>
      <c r="W803" s="8">
        <f t="shared" si="392"/>
        <v>0.55239661654135319</v>
      </c>
      <c r="X803" s="6" t="s">
        <v>2282</v>
      </c>
      <c r="Y803" s="6" t="str">
        <f t="shared" si="376"/>
        <v>=42.56*100000000</v>
      </c>
      <c r="Z803" s="1">
        <f>42.56*100000000</f>
        <v>4256000000</v>
      </c>
      <c r="AA803" s="8">
        <f t="shared" si="393"/>
        <v>0.30712530712530711</v>
      </c>
      <c r="AB803" s="6" t="s">
        <v>8239</v>
      </c>
      <c r="AC803" s="6" t="str">
        <f t="shared" si="377"/>
        <v>=32.56*100000000</v>
      </c>
      <c r="AD803" s="1">
        <f>32.56*100000000</f>
        <v>3256000000</v>
      </c>
      <c r="AE803" s="8">
        <f t="shared" si="394"/>
        <v>0.7734204793028322</v>
      </c>
      <c r="AF803" s="6" t="s">
        <v>6006</v>
      </c>
      <c r="AG803" s="6" t="str">
        <f t="shared" si="378"/>
        <v>=18.36*100000000</v>
      </c>
      <c r="AH803" s="1">
        <f>18.36*100000000</f>
        <v>1836000000</v>
      </c>
      <c r="AI803" s="8">
        <f t="shared" si="395"/>
        <v>-0.70722372827300273</v>
      </c>
      <c r="AJ803" s="6" t="s">
        <v>8996</v>
      </c>
      <c r="AK803" s="6" t="str">
        <f t="shared" si="379"/>
        <v>=62.71*100000000</v>
      </c>
      <c r="AL803" s="1">
        <f>62.71*100000000</f>
        <v>6271000000</v>
      </c>
      <c r="AM803" s="8">
        <f t="shared" si="396"/>
        <v>0.4783121169259783</v>
      </c>
      <c r="AN803" s="6" t="s">
        <v>8997</v>
      </c>
      <c r="AO803" s="6" t="str">
        <f t="shared" si="380"/>
        <v>=42.42*100000000</v>
      </c>
      <c r="AP803" s="1">
        <f>42.42*100000000</f>
        <v>4242000000</v>
      </c>
      <c r="AQ803" s="8">
        <f t="shared" si="397"/>
        <v>0.25651658767772512</v>
      </c>
      <c r="AR803" s="6" t="s">
        <v>8998</v>
      </c>
      <c r="AS803" s="6" t="str">
        <f t="shared" si="381"/>
        <v>=33.76*100000000</v>
      </c>
      <c r="AT803" s="1">
        <f>33.76*100000000</f>
        <v>3376000000</v>
      </c>
      <c r="AU803" s="8">
        <f t="shared" si="398"/>
        <v>1.5119047619047619</v>
      </c>
      <c r="AV803" s="6" t="s">
        <v>8999</v>
      </c>
      <c r="AW803" s="6" t="str">
        <f t="shared" si="382"/>
        <v>=13.44*100000000</v>
      </c>
      <c r="AX803" s="1">
        <f>13.44*100000000</f>
        <v>1344000000</v>
      </c>
      <c r="AY803" s="10">
        <f t="shared" si="399"/>
        <v>-0.7527138914443422</v>
      </c>
      <c r="AZ803" s="6" t="s">
        <v>5896</v>
      </c>
      <c r="BA803" s="6" t="str">
        <f t="shared" si="383"/>
        <v>=54.35*100000000</v>
      </c>
      <c r="BB803" s="1">
        <f>54.35*100000000</f>
        <v>5435000000</v>
      </c>
      <c r="BC803" s="8">
        <f t="shared" si="400"/>
        <v>0.45126835781041369</v>
      </c>
      <c r="BD803" s="6" t="s">
        <v>9000</v>
      </c>
      <c r="BE803" s="6" t="str">
        <f t="shared" si="384"/>
        <v>=37.45*100000000</v>
      </c>
      <c r="BF803" s="1">
        <f>37.45*100000000</f>
        <v>3745000000.0000005</v>
      </c>
      <c r="BG803" s="8">
        <f t="shared" si="401"/>
        <v>0.16340478409443943</v>
      </c>
      <c r="BH803" s="6" t="s">
        <v>6083</v>
      </c>
      <c r="BI803" s="6" t="str">
        <f t="shared" si="385"/>
        <v>=32.19*100000000</v>
      </c>
      <c r="BJ803" s="1">
        <f>32.19*100000000</f>
        <v>3219000000</v>
      </c>
      <c r="BK803" s="6" t="s">
        <v>3912</v>
      </c>
      <c r="BL803" s="1" t="str">
        <f t="shared" si="387"/>
        <v>=15.43*100000000</v>
      </c>
      <c r="BM803" s="16">
        <f t="shared" si="402"/>
        <v>1.0861957226182761</v>
      </c>
      <c r="BN803" s="1">
        <f>15.43*100000000</f>
        <v>1543000000</v>
      </c>
    </row>
    <row r="804" spans="1:66">
      <c r="A804" s="18"/>
      <c r="B804">
        <v>600663</v>
      </c>
      <c r="C804" t="s">
        <v>58</v>
      </c>
      <c r="D804" s="6" t="s">
        <v>9001</v>
      </c>
      <c r="E804" s="7" t="str">
        <f t="shared" si="386"/>
        <v>=67.80*100000000</v>
      </c>
      <c r="F804" s="1">
        <f>67.8*100000000</f>
        <v>6780000000</v>
      </c>
      <c r="G804" s="8">
        <f t="shared" si="388"/>
        <v>0.63728567978749118</v>
      </c>
      <c r="H804" s="6" t="s">
        <v>5760</v>
      </c>
      <c r="I804" s="6" t="str">
        <f t="shared" si="372"/>
        <v>=41.41*100000000</v>
      </c>
      <c r="J804" s="1">
        <f>41.41*100000000</f>
        <v>4140999999.9999995</v>
      </c>
      <c r="K804" s="10">
        <f t="shared" si="389"/>
        <v>0.28562558211735473</v>
      </c>
      <c r="L804" s="6" t="s">
        <v>9002</v>
      </c>
      <c r="M804" s="6" t="str">
        <f t="shared" si="373"/>
        <v>=32.21*100000000</v>
      </c>
      <c r="N804" s="1">
        <f>32.21*100000000</f>
        <v>3221000000</v>
      </c>
      <c r="O804" s="8">
        <f t="shared" si="390"/>
        <v>1.2974322396576319</v>
      </c>
      <c r="P804" s="6" t="s">
        <v>9003</v>
      </c>
      <c r="Q804" s="6" t="str">
        <f t="shared" si="374"/>
        <v>=14.02*100000000</v>
      </c>
      <c r="R804" s="11">
        <f>14.02*100000000</f>
        <v>1402000000</v>
      </c>
      <c r="S804" s="8">
        <f t="shared" si="391"/>
        <v>-0.79018258006584852</v>
      </c>
      <c r="T804" s="6" t="s">
        <v>6834</v>
      </c>
      <c r="U804" s="6" t="str">
        <f t="shared" si="375"/>
        <v>=66.82*100000000</v>
      </c>
      <c r="V804" s="1">
        <f>66.82*100000000</f>
        <v>6681999999.999999</v>
      </c>
      <c r="W804" s="8">
        <f t="shared" si="392"/>
        <v>0.55214866434378607</v>
      </c>
      <c r="X804" s="6" t="s">
        <v>9004</v>
      </c>
      <c r="Y804" s="6" t="str">
        <f t="shared" si="376"/>
        <v>=43.05*100000000</v>
      </c>
      <c r="Z804" s="1">
        <f>43.05*100000000</f>
        <v>4305000000</v>
      </c>
      <c r="AA804" s="8">
        <f t="shared" si="393"/>
        <v>0.30811303555150427</v>
      </c>
      <c r="AB804" s="6" t="s">
        <v>8230</v>
      </c>
      <c r="AC804" s="6" t="str">
        <f t="shared" si="377"/>
        <v>=32.91*100000000</v>
      </c>
      <c r="AD804" s="1">
        <f>32.91*100000000</f>
        <v>3290999999.9999995</v>
      </c>
      <c r="AE804" s="8">
        <f t="shared" si="394"/>
        <v>0.77508090614886704</v>
      </c>
      <c r="AF804" s="6" t="s">
        <v>3411</v>
      </c>
      <c r="AG804" s="6" t="str">
        <f t="shared" si="378"/>
        <v>=18.54*100000000</v>
      </c>
      <c r="AH804" s="1">
        <f>18.54*100000000</f>
        <v>1854000000</v>
      </c>
      <c r="AI804" s="8">
        <f t="shared" si="395"/>
        <v>-0.70761709509541082</v>
      </c>
      <c r="AJ804" s="6" t="s">
        <v>9005</v>
      </c>
      <c r="AK804" s="6" t="str">
        <f t="shared" si="379"/>
        <v>=63.41*100000000</v>
      </c>
      <c r="AL804" s="1">
        <f>63.41*100000000</f>
        <v>6341000000</v>
      </c>
      <c r="AM804" s="8">
        <f t="shared" si="396"/>
        <v>0.4805043194022881</v>
      </c>
      <c r="AN804" s="6" t="s">
        <v>9006</v>
      </c>
      <c r="AO804" s="6" t="str">
        <f t="shared" si="380"/>
        <v>=42.83*100000000</v>
      </c>
      <c r="AP804" s="1">
        <f>42.83*100000000</f>
        <v>4283000000</v>
      </c>
      <c r="AQ804" s="8">
        <f t="shared" si="397"/>
        <v>0.25711769885529789</v>
      </c>
      <c r="AR804" s="6" t="s">
        <v>9007</v>
      </c>
      <c r="AS804" s="6" t="str">
        <f t="shared" si="381"/>
        <v>=34.07*100000000</v>
      </c>
      <c r="AT804" s="1">
        <f>34.07*100000000</f>
        <v>3407000000</v>
      </c>
      <c r="AU804" s="8">
        <f t="shared" si="398"/>
        <v>1.4904970760233918</v>
      </c>
      <c r="AV804" s="6" t="s">
        <v>9008</v>
      </c>
      <c r="AW804" s="6" t="str">
        <f t="shared" si="382"/>
        <v>=13.68*100000000</v>
      </c>
      <c r="AX804" s="1">
        <f>13.68*100000000</f>
        <v>1368000000</v>
      </c>
      <c r="AY804" s="10">
        <f t="shared" si="399"/>
        <v>-0.74940465286682545</v>
      </c>
      <c r="AZ804" s="6" t="s">
        <v>9009</v>
      </c>
      <c r="BA804" s="6" t="str">
        <f t="shared" si="383"/>
        <v>=54.59*100000000</v>
      </c>
      <c r="BB804" s="1">
        <f>54.59*100000000</f>
        <v>5459000000</v>
      </c>
      <c r="BC804" s="8">
        <f t="shared" si="400"/>
        <v>0.44839479968161317</v>
      </c>
      <c r="BD804" s="6" t="s">
        <v>4371</v>
      </c>
      <c r="BE804" s="6" t="str">
        <f t="shared" si="384"/>
        <v>=37.69*100000000</v>
      </c>
      <c r="BF804" s="1">
        <f>37.69*100000000</f>
        <v>3769000000</v>
      </c>
      <c r="BG804" s="8">
        <f t="shared" si="401"/>
        <v>0.15862280971411005</v>
      </c>
      <c r="BH804" s="6" t="s">
        <v>9010</v>
      </c>
      <c r="BI804" s="6" t="str">
        <f t="shared" si="385"/>
        <v>=32.53*100000000</v>
      </c>
      <c r="BJ804" s="1">
        <f>32.53*100000000</f>
        <v>3253000000</v>
      </c>
      <c r="BK804" s="6" t="s">
        <v>1833</v>
      </c>
      <c r="BL804" s="1" t="str">
        <f t="shared" si="387"/>
        <v>=15.62*100000000</v>
      </c>
      <c r="BM804" s="16">
        <f t="shared" si="402"/>
        <v>1.0825864276568502</v>
      </c>
      <c r="BN804" s="1">
        <f>15.62*100000000</f>
        <v>1562000000</v>
      </c>
    </row>
    <row r="805" spans="1:66">
      <c r="A805" s="19"/>
      <c r="B805">
        <v>600663</v>
      </c>
      <c r="C805" t="s">
        <v>68</v>
      </c>
      <c r="D805" s="6" t="s">
        <v>9011</v>
      </c>
      <c r="E805" s="7" t="str">
        <f t="shared" si="386"/>
        <v>=50.16*100000000</v>
      </c>
      <c r="F805" s="1">
        <f>50.16*100000000</f>
        <v>5016000000</v>
      </c>
      <c r="G805" s="8">
        <f t="shared" si="388"/>
        <v>0.62857142857142856</v>
      </c>
      <c r="H805" s="6" t="s">
        <v>5164</v>
      </c>
      <c r="I805" s="6" t="str">
        <f t="shared" si="372"/>
        <v>=30.80*100000000</v>
      </c>
      <c r="J805" s="1">
        <f>30.8*100000000</f>
        <v>3080000000</v>
      </c>
      <c r="K805" s="10">
        <f t="shared" si="389"/>
        <v>0.29248845992446498</v>
      </c>
      <c r="L805" s="6" t="s">
        <v>6569</v>
      </c>
      <c r="M805" s="6" t="str">
        <f t="shared" si="373"/>
        <v>=23.83*100000000</v>
      </c>
      <c r="N805" s="1">
        <f>23.83*100000000</f>
        <v>2383000000</v>
      </c>
      <c r="O805" s="8">
        <f t="shared" si="390"/>
        <v>1.2847555129434325</v>
      </c>
      <c r="P805" s="6" t="s">
        <v>251</v>
      </c>
      <c r="Q805" s="6" t="str">
        <f t="shared" si="374"/>
        <v>=10.43*100000000</v>
      </c>
      <c r="R805" s="11">
        <f>10.43*100000000</f>
        <v>1043000000</v>
      </c>
      <c r="S805" s="8">
        <f t="shared" si="391"/>
        <v>-0.79194095352084581</v>
      </c>
      <c r="T805" s="6" t="s">
        <v>9012</v>
      </c>
      <c r="U805" s="6" t="str">
        <f t="shared" si="375"/>
        <v>=50.13*100000000</v>
      </c>
      <c r="V805" s="1">
        <f>50.13*100000000</f>
        <v>5013000000</v>
      </c>
      <c r="W805" s="8">
        <f t="shared" si="392"/>
        <v>0.5739403453689168</v>
      </c>
      <c r="X805" s="6" t="s">
        <v>9013</v>
      </c>
      <c r="Y805" s="6" t="str">
        <f t="shared" si="376"/>
        <v>=31.85*100000000</v>
      </c>
      <c r="Z805" s="1">
        <f>31.85*100000000</f>
        <v>3185000000</v>
      </c>
      <c r="AA805" s="8">
        <f t="shared" si="393"/>
        <v>0.3134020618556701</v>
      </c>
      <c r="AB805" s="6" t="s">
        <v>9014</v>
      </c>
      <c r="AC805" s="6" t="str">
        <f t="shared" si="377"/>
        <v>=24.25*100000000</v>
      </c>
      <c r="AD805" s="1">
        <f>24.25*100000000</f>
        <v>2425000000</v>
      </c>
      <c r="AE805" s="8">
        <f t="shared" si="394"/>
        <v>0.82605421686746983</v>
      </c>
      <c r="AF805" s="6" t="s">
        <v>6407</v>
      </c>
      <c r="AG805" s="6" t="str">
        <f t="shared" si="378"/>
        <v>=13.28*100000000</v>
      </c>
      <c r="AH805" s="1">
        <f>13.28*100000000</f>
        <v>1328000000</v>
      </c>
      <c r="AI805" s="8">
        <f t="shared" si="395"/>
        <v>-0.73268921095008055</v>
      </c>
      <c r="AJ805" s="6" t="s">
        <v>9015</v>
      </c>
      <c r="AK805" s="6" t="str">
        <f t="shared" si="379"/>
        <v>=49.68*100000000</v>
      </c>
      <c r="AL805" s="1">
        <f>49.68*100000000</f>
        <v>4968000000</v>
      </c>
      <c r="AM805" s="8">
        <f t="shared" si="396"/>
        <v>0.50045303533675622</v>
      </c>
      <c r="AN805" s="6" t="s">
        <v>9016</v>
      </c>
      <c r="AO805" s="6" t="str">
        <f t="shared" si="380"/>
        <v>=33.11*100000000</v>
      </c>
      <c r="AP805" s="1">
        <f>33.11*100000000</f>
        <v>3311000000</v>
      </c>
      <c r="AQ805" s="8">
        <f t="shared" si="397"/>
        <v>0.25845686050931205</v>
      </c>
      <c r="AR805" s="6" t="s">
        <v>9017</v>
      </c>
      <c r="AS805" s="6" t="str">
        <f t="shared" si="381"/>
        <v>=26.31*100000000</v>
      </c>
      <c r="AT805" s="1">
        <f>26.31*100000000</f>
        <v>2631000000</v>
      </c>
      <c r="AU805" s="8">
        <f t="shared" si="398"/>
        <v>1.6127110228401191</v>
      </c>
      <c r="AV805" s="6" t="s">
        <v>5425</v>
      </c>
      <c r="AW805" s="6" t="str">
        <f t="shared" si="382"/>
        <v>=10.07*100000000</v>
      </c>
      <c r="AX805" s="1">
        <f>10.07*100000000</f>
        <v>1007000000</v>
      </c>
      <c r="AY805" s="10">
        <f t="shared" si="399"/>
        <v>-0.75468940316686961</v>
      </c>
      <c r="AZ805" s="6" t="s">
        <v>9018</v>
      </c>
      <c r="BA805" s="6" t="str">
        <f t="shared" si="383"/>
        <v>=41.05*100000000</v>
      </c>
      <c r="BB805" s="1">
        <f>41.05*100000000</f>
        <v>4104999999.9999995</v>
      </c>
      <c r="BC805" s="8">
        <f t="shared" si="400"/>
        <v>0.46921975662133125</v>
      </c>
      <c r="BD805" s="6" t="s">
        <v>9019</v>
      </c>
      <c r="BE805" s="6" t="str">
        <f t="shared" si="384"/>
        <v>=27.94*100000000</v>
      </c>
      <c r="BF805" s="1">
        <f>27.94*100000000</f>
        <v>2794000000</v>
      </c>
      <c r="BG805" s="8">
        <f t="shared" si="401"/>
        <v>0.15885524678556615</v>
      </c>
      <c r="BH805" s="6" t="s">
        <v>9020</v>
      </c>
      <c r="BI805" s="6" t="str">
        <f t="shared" si="385"/>
        <v>=24.11*100000000</v>
      </c>
      <c r="BJ805" s="1">
        <f>24.11*100000000</f>
        <v>2411000000</v>
      </c>
      <c r="BK805" s="6" t="s">
        <v>924</v>
      </c>
      <c r="BL805" s="1" t="str">
        <f t="shared" si="387"/>
        <v>=11.53*100000000</v>
      </c>
      <c r="BM805" s="16">
        <f t="shared" si="402"/>
        <v>1.0910667823070253</v>
      </c>
      <c r="BN805" s="1">
        <f>11.53*100000000</f>
        <v>1153000000</v>
      </c>
    </row>
    <row r="806" spans="1:66">
      <c r="A806" s="17">
        <v>203</v>
      </c>
      <c r="B806">
        <v>600664</v>
      </c>
      <c r="C806" t="s">
        <v>31</v>
      </c>
      <c r="D806" s="6" t="s">
        <v>9021</v>
      </c>
      <c r="E806" s="7" t="str">
        <f t="shared" si="386"/>
        <v>=128.0*100000000</v>
      </c>
      <c r="F806" s="1">
        <f>128*100000000</f>
        <v>12800000000</v>
      </c>
      <c r="G806" s="8">
        <f t="shared" si="388"/>
        <v>0.31430331656227539</v>
      </c>
      <c r="H806" s="6" t="s">
        <v>9022</v>
      </c>
      <c r="I806" s="6" t="str">
        <f t="shared" si="372"/>
        <v>=97.39*100000000</v>
      </c>
      <c r="J806" s="1">
        <f>97.39*100000000</f>
        <v>9739000000</v>
      </c>
      <c r="K806" s="10">
        <f t="shared" si="389"/>
        <v>0.52029347486731192</v>
      </c>
      <c r="L806" s="6" t="s">
        <v>9023</v>
      </c>
      <c r="M806" s="6" t="str">
        <f t="shared" si="373"/>
        <v>=64.06*100000000</v>
      </c>
      <c r="N806" s="1">
        <f>64.06*100000000</f>
        <v>6406000000</v>
      </c>
      <c r="O806" s="8">
        <f t="shared" si="390"/>
        <v>1.1496644295302014</v>
      </c>
      <c r="P806" s="6" t="s">
        <v>9024</v>
      </c>
      <c r="Q806" s="6" t="str">
        <f t="shared" si="374"/>
        <v>=29.80*100000000</v>
      </c>
      <c r="R806" s="11">
        <f>29.8*100000000</f>
        <v>2980000000</v>
      </c>
      <c r="S806" s="8">
        <f t="shared" si="391"/>
        <v>-0.72381835032437447</v>
      </c>
      <c r="T806" s="6" t="s">
        <v>9025</v>
      </c>
      <c r="U806" s="6" t="str">
        <f t="shared" si="375"/>
        <v>=107.9*100000000</v>
      </c>
      <c r="V806" s="1">
        <f>107.9*100000000</f>
        <v>10790000000</v>
      </c>
      <c r="W806" s="8">
        <f t="shared" si="392"/>
        <v>0.41064191397568328</v>
      </c>
      <c r="X806" s="6" t="s">
        <v>9026</v>
      </c>
      <c r="Y806" s="6" t="str">
        <f t="shared" si="376"/>
        <v>=76.49*100000000</v>
      </c>
      <c r="Z806" s="1">
        <f>76.49*100000000</f>
        <v>7648999999.999999</v>
      </c>
      <c r="AA806" s="8">
        <f t="shared" si="393"/>
        <v>0.59055936785194407</v>
      </c>
      <c r="AB806" s="6" t="s">
        <v>9027</v>
      </c>
      <c r="AC806" s="6" t="str">
        <f t="shared" si="377"/>
        <v>=48.09*100000000</v>
      </c>
      <c r="AD806" s="1">
        <f>48.09*100000000</f>
        <v>4809000000</v>
      </c>
      <c r="AE806" s="8">
        <f t="shared" si="394"/>
        <v>0.91517323775388293</v>
      </c>
      <c r="AF806" s="6" t="s">
        <v>9028</v>
      </c>
      <c r="AG806" s="6" t="str">
        <f t="shared" si="378"/>
        <v>=25.11*100000000</v>
      </c>
      <c r="AH806" s="1">
        <f>25.11*100000000</f>
        <v>2511000000</v>
      </c>
      <c r="AI806" s="8">
        <f t="shared" si="395"/>
        <v>-0.78756345177664977</v>
      </c>
      <c r="AJ806" s="6" t="s">
        <v>539</v>
      </c>
      <c r="AK806" s="6" t="str">
        <f t="shared" si="379"/>
        <v>=118.2*100000000</v>
      </c>
      <c r="AL806" s="1">
        <f>118.2*100000000</f>
        <v>11820000000</v>
      </c>
      <c r="AM806" s="8">
        <f t="shared" si="396"/>
        <v>0.39650283553875237</v>
      </c>
      <c r="AN806" s="6" t="s">
        <v>9029</v>
      </c>
      <c r="AO806" s="6" t="str">
        <f t="shared" si="380"/>
        <v>=84.64*100000000</v>
      </c>
      <c r="AP806" s="1">
        <f>84.64*100000000</f>
        <v>8464000000</v>
      </c>
      <c r="AQ806" s="8">
        <f t="shared" si="397"/>
        <v>0.53444525018129074</v>
      </c>
      <c r="AR806" s="6" t="s">
        <v>9030</v>
      </c>
      <c r="AS806" s="6" t="str">
        <f t="shared" si="381"/>
        <v>=55.16*100000000</v>
      </c>
      <c r="AT806" s="1">
        <f>55.16*100000000</f>
        <v>5516000000</v>
      </c>
      <c r="AU806" s="8">
        <f t="shared" si="398"/>
        <v>1.0628272251308901</v>
      </c>
      <c r="AV806" s="6" t="s">
        <v>9031</v>
      </c>
      <c r="AW806" s="6" t="str">
        <f t="shared" si="382"/>
        <v>=26.74*100000000</v>
      </c>
      <c r="AX806" s="1">
        <f>26.74*100000000</f>
        <v>2674000000</v>
      </c>
      <c r="AY806" s="10">
        <f t="shared" si="399"/>
        <v>-0.75263644773358007</v>
      </c>
      <c r="AZ806" s="6" t="s">
        <v>9032</v>
      </c>
      <c r="BA806" s="6" t="str">
        <f t="shared" si="383"/>
        <v>=108.1*100000000</v>
      </c>
      <c r="BB806" s="1">
        <f>108.1*100000000</f>
        <v>10810000000</v>
      </c>
      <c r="BC806" s="8">
        <f t="shared" si="400"/>
        <v>0.33390918065152997</v>
      </c>
      <c r="BD806" s="6" t="s">
        <v>8913</v>
      </c>
      <c r="BE806" s="6" t="str">
        <f t="shared" si="384"/>
        <v>=81.04*100000000</v>
      </c>
      <c r="BF806" s="1">
        <f>81.04*100000000</f>
        <v>8104000000.000001</v>
      </c>
      <c r="BG806" s="8">
        <f t="shared" si="401"/>
        <v>0.43840965566205198</v>
      </c>
      <c r="BH806" s="6" t="s">
        <v>9033</v>
      </c>
      <c r="BI806" s="6" t="str">
        <f t="shared" si="385"/>
        <v>=56.34*100000000</v>
      </c>
      <c r="BJ806" s="1">
        <f>56.34*100000000</f>
        <v>5634000000</v>
      </c>
      <c r="BK806" s="6" t="s">
        <v>9034</v>
      </c>
      <c r="BL806" s="1" t="str">
        <f t="shared" si="387"/>
        <v>=28.58*100000000</v>
      </c>
      <c r="BM806" s="16">
        <f t="shared" si="402"/>
        <v>0.97130860741777469</v>
      </c>
      <c r="BN806" s="1">
        <f>28.58*100000000</f>
        <v>2858000000</v>
      </c>
    </row>
    <row r="807" spans="1:66">
      <c r="A807" s="18"/>
      <c r="B807">
        <v>600664</v>
      </c>
      <c r="C807" t="s">
        <v>48</v>
      </c>
      <c r="D807" s="6" t="s">
        <v>4044</v>
      </c>
      <c r="E807" s="7" t="str">
        <f t="shared" si="386"/>
        <v>=6.424*100000000</v>
      </c>
      <c r="F807" s="1">
        <f>6.424*100000000</f>
        <v>642400000</v>
      </c>
      <c r="G807" s="8">
        <f t="shared" si="388"/>
        <v>-8.3202511773940349E-2</v>
      </c>
      <c r="H807" s="6" t="s">
        <v>9035</v>
      </c>
      <c r="I807" s="6" t="str">
        <f t="shared" si="372"/>
        <v>=7.007*100000000</v>
      </c>
      <c r="J807" s="1">
        <f>7.007*100000000</f>
        <v>700700000</v>
      </c>
      <c r="K807" s="10">
        <f t="shared" si="389"/>
        <v>0.51699502056722235</v>
      </c>
      <c r="L807" s="6" t="s">
        <v>7855</v>
      </c>
      <c r="M807" s="6" t="str">
        <f t="shared" si="373"/>
        <v>=4.619*100000000</v>
      </c>
      <c r="N807" s="1">
        <f>4.619*100000000</f>
        <v>461900000</v>
      </c>
      <c r="O807" s="8">
        <f t="shared" si="390"/>
        <v>2.4729323308270676</v>
      </c>
      <c r="P807" s="6" t="s">
        <v>1927</v>
      </c>
      <c r="Q807" s="6" t="str">
        <f t="shared" si="374"/>
        <v>=1.330*100000000</v>
      </c>
      <c r="R807" s="11">
        <f>1.33*100000000</f>
        <v>133000000</v>
      </c>
      <c r="S807" s="8">
        <f t="shared" si="391"/>
        <v>-1.1411739730389556</v>
      </c>
      <c r="T807" s="6">
        <f>-9.421*100000000</f>
        <v>-942099999.99999988</v>
      </c>
      <c r="U807" s="6" t="str">
        <f t="shared" si="375"/>
        <v>=-942100000</v>
      </c>
      <c r="V807" s="1">
        <f>-942100000</f>
        <v>-942100000</v>
      </c>
      <c r="W807" s="8">
        <f t="shared" si="392"/>
        <v>2.7340467697185891</v>
      </c>
      <c r="X807" s="6">
        <f>-2.523*100000000</f>
        <v>-252300000</v>
      </c>
      <c r="Y807" s="6" t="str">
        <f t="shared" si="376"/>
        <v>=-252300000</v>
      </c>
      <c r="Z807" s="1">
        <f>-252300000</f>
        <v>-252300000</v>
      </c>
      <c r="AA807" s="8">
        <f t="shared" si="393"/>
        <v>-3.9223153084539226E-2</v>
      </c>
      <c r="AB807" s="6">
        <f>-2.626*100000000</f>
        <v>-262600000</v>
      </c>
      <c r="AC807" s="6" t="str">
        <f t="shared" si="377"/>
        <v>=-262600000</v>
      </c>
      <c r="AD807" s="1">
        <f>-262600000</f>
        <v>-262600000</v>
      </c>
      <c r="AE807" s="8">
        <f t="shared" si="394"/>
        <v>0.7299077733860343</v>
      </c>
      <c r="AF807" s="6">
        <f>-1.518*100000000</f>
        <v>-151800000</v>
      </c>
      <c r="AG807" s="6" t="str">
        <f t="shared" si="378"/>
        <v>=-151800000</v>
      </c>
      <c r="AH807" s="1">
        <f>-151800000</f>
        <v>-151800000</v>
      </c>
      <c r="AI807" s="8">
        <f t="shared" si="395"/>
        <v>-1.5466330572560316</v>
      </c>
      <c r="AJ807" s="6" t="s">
        <v>9036</v>
      </c>
      <c r="AK807" s="6" t="str">
        <f t="shared" si="379"/>
        <v>=2.777*100000000</v>
      </c>
      <c r="AL807" s="1">
        <f>2.777*100000000</f>
        <v>277700000</v>
      </c>
      <c r="AM807" s="8">
        <f t="shared" si="396"/>
        <v>0.7195046439628483</v>
      </c>
      <c r="AN807" s="6" t="s">
        <v>9037</v>
      </c>
      <c r="AO807" s="6" t="str">
        <f t="shared" si="380"/>
        <v>=1.615*100000000</v>
      </c>
      <c r="AP807" s="1">
        <f>1.615*100000000</f>
        <v>161500000</v>
      </c>
      <c r="AQ807" s="8">
        <f t="shared" si="397"/>
        <v>1.6658963354242324</v>
      </c>
      <c r="AR807" s="7" t="s">
        <v>9038</v>
      </c>
      <c r="AS807" s="6" t="str">
        <f t="shared" si="381"/>
        <v>=6058*10000</v>
      </c>
      <c r="AT807" s="1">
        <f>6058*10000</f>
        <v>60580000</v>
      </c>
      <c r="AU807" s="8">
        <f t="shared" si="398"/>
        <v>-1.5927592954990215</v>
      </c>
      <c r="AV807" s="6">
        <f>-1.022*100000000</f>
        <v>-102200000</v>
      </c>
      <c r="AW807" s="6" t="str">
        <f t="shared" si="382"/>
        <v>=-102200000</v>
      </c>
      <c r="AX807" s="1">
        <f>-102200000</f>
        <v>-102200000</v>
      </c>
      <c r="AY807" s="10">
        <f t="shared" si="399"/>
        <v>-1.1937808115282518</v>
      </c>
      <c r="AZ807" s="6" t="s">
        <v>9039</v>
      </c>
      <c r="BA807" s="6" t="str">
        <f t="shared" si="383"/>
        <v>=5.274*100000000</v>
      </c>
      <c r="BB807" s="1">
        <f>5.274*100000000</f>
        <v>527400000</v>
      </c>
      <c r="BC807" s="8">
        <f t="shared" si="400"/>
        <v>0.4561016013252347</v>
      </c>
      <c r="BD807" s="6" t="s">
        <v>9040</v>
      </c>
      <c r="BE807" s="6" t="str">
        <f t="shared" si="384"/>
        <v>=3.622*100000000</v>
      </c>
      <c r="BF807" s="1">
        <f>3.622*100000000</f>
        <v>362200000</v>
      </c>
      <c r="BG807" s="8">
        <f t="shared" si="401"/>
        <v>-0.17437884659220412</v>
      </c>
      <c r="BH807" s="6" t="s">
        <v>9041</v>
      </c>
      <c r="BI807" s="6" t="str">
        <f t="shared" si="385"/>
        <v>=4.387*100000000</v>
      </c>
      <c r="BJ807" s="1">
        <f>4.387*100000000</f>
        <v>438699999.99999994</v>
      </c>
      <c r="BK807" s="6" t="s">
        <v>1446</v>
      </c>
      <c r="BL807" s="1" t="str">
        <f t="shared" si="387"/>
        <v>=2.072*100000000</v>
      </c>
      <c r="BM807" s="16">
        <f t="shared" si="402"/>
        <v>1.1172779922779921</v>
      </c>
      <c r="BN807" s="1">
        <f>2.072*100000000</f>
        <v>207200000</v>
      </c>
    </row>
    <row r="808" spans="1:66">
      <c r="A808" s="18"/>
      <c r="B808">
        <v>600664</v>
      </c>
      <c r="C808" t="s">
        <v>58</v>
      </c>
      <c r="D808" s="6" t="s">
        <v>7126</v>
      </c>
      <c r="E808" s="7" t="str">
        <f t="shared" si="386"/>
        <v>=6.305*100000000</v>
      </c>
      <c r="F808" s="1">
        <f>6.305*100000000</f>
        <v>630500000</v>
      </c>
      <c r="G808" s="8">
        <f t="shared" si="388"/>
        <v>-7.9696394686907021E-2</v>
      </c>
      <c r="H808" s="6" t="s">
        <v>9042</v>
      </c>
      <c r="I808" s="6" t="str">
        <f t="shared" si="372"/>
        <v>=6.851*100000000</v>
      </c>
      <c r="J808" s="1">
        <f>6.851*100000000</f>
        <v>685100000</v>
      </c>
      <c r="K808" s="10">
        <f t="shared" si="389"/>
        <v>0.52583518930957684</v>
      </c>
      <c r="L808" s="6" t="s">
        <v>9043</v>
      </c>
      <c r="M808" s="6" t="str">
        <f t="shared" si="373"/>
        <v>=4.490*100000000</v>
      </c>
      <c r="N808" s="1">
        <f>4.49*100000000</f>
        <v>449000000</v>
      </c>
      <c r="O808" s="8">
        <f t="shared" si="390"/>
        <v>2.3759398496240602</v>
      </c>
      <c r="P808" s="6" t="s">
        <v>1927</v>
      </c>
      <c r="Q808" s="6" t="str">
        <f t="shared" si="374"/>
        <v>=1.330*100000000</v>
      </c>
      <c r="R808" s="11">
        <f>1.33*100000000</f>
        <v>133000000</v>
      </c>
      <c r="S808" s="8">
        <f t="shared" si="391"/>
        <v>-1.1373115837290935</v>
      </c>
      <c r="T808" s="6">
        <f>-9.686*100000000</f>
        <v>-968600000</v>
      </c>
      <c r="U808" s="6" t="str">
        <f t="shared" si="375"/>
        <v>=-968600000</v>
      </c>
      <c r="V808" s="1">
        <f>-968600000</f>
        <v>-968600000</v>
      </c>
      <c r="W808" s="8">
        <f t="shared" si="392"/>
        <v>2.7455529775715393</v>
      </c>
      <c r="X808" s="6">
        <f>-2.586*100000000</f>
        <v>-258600000</v>
      </c>
      <c r="Y808" s="6" t="str">
        <f t="shared" si="376"/>
        <v>=-258600000</v>
      </c>
      <c r="Z808" s="1">
        <f>-258600000</f>
        <v>-258600000</v>
      </c>
      <c r="AA808" s="8">
        <f t="shared" si="393"/>
        <v>-2.9643527204502813E-2</v>
      </c>
      <c r="AB808" s="6">
        <f>-2.665*100000000</f>
        <v>-266500000</v>
      </c>
      <c r="AC808" s="6" t="str">
        <f t="shared" si="377"/>
        <v>=-266500000</v>
      </c>
      <c r="AD808" s="1">
        <f>-266500000</f>
        <v>-266500000</v>
      </c>
      <c r="AE808" s="8">
        <f t="shared" si="394"/>
        <v>0.74183006535947715</v>
      </c>
      <c r="AF808" s="6">
        <f>-1.53*100000000</f>
        <v>-153000000</v>
      </c>
      <c r="AG808" s="6" t="str">
        <f t="shared" si="378"/>
        <v>=-153000000</v>
      </c>
      <c r="AH808" s="1">
        <f>-153000000</f>
        <v>-153000000</v>
      </c>
      <c r="AI808" s="8">
        <f t="shared" si="395"/>
        <v>-1.498371335504886</v>
      </c>
      <c r="AJ808" s="6" t="s">
        <v>9044</v>
      </c>
      <c r="AK808" s="6" t="str">
        <f t="shared" si="379"/>
        <v>=3.070*100000000</v>
      </c>
      <c r="AL808" s="1">
        <f>3.07*100000000</f>
        <v>307000000</v>
      </c>
      <c r="AM808" s="8">
        <f t="shared" si="396"/>
        <v>0.77456647398843925</v>
      </c>
      <c r="AN808" s="6" t="s">
        <v>1066</v>
      </c>
      <c r="AO808" s="6" t="str">
        <f t="shared" si="380"/>
        <v>=1.730*100000000</v>
      </c>
      <c r="AP808" s="1">
        <f>1.73*100000000</f>
        <v>173000000</v>
      </c>
      <c r="AQ808" s="8">
        <f t="shared" si="397"/>
        <v>1.5145348837209303</v>
      </c>
      <c r="AR808" s="7" t="s">
        <v>9045</v>
      </c>
      <c r="AS808" s="6" t="str">
        <f t="shared" si="381"/>
        <v>=6880*10000</v>
      </c>
      <c r="AT808" s="1">
        <f>6880*10000</f>
        <v>68800000</v>
      </c>
      <c r="AU808" s="8">
        <f t="shared" si="398"/>
        <v>-1.7747747747747749</v>
      </c>
      <c r="AV808" s="7">
        <f>-8880*10000</f>
        <v>-88800000</v>
      </c>
      <c r="AW808" s="6" t="str">
        <f t="shared" si="382"/>
        <v>=-88800000</v>
      </c>
      <c r="AX808" s="1">
        <f>-88800000</f>
        <v>-88800000</v>
      </c>
      <c r="AY808" s="10">
        <f t="shared" si="399"/>
        <v>-1.1510974987238387</v>
      </c>
      <c r="AZ808" s="6" t="s">
        <v>9046</v>
      </c>
      <c r="BA808" s="6" t="str">
        <f t="shared" si="383"/>
        <v>=5.877*100000000</v>
      </c>
      <c r="BB808" s="1">
        <f>5.877*100000000</f>
        <v>587700000</v>
      </c>
      <c r="BC808" s="8">
        <f t="shared" si="400"/>
        <v>0.39232409381663114</v>
      </c>
      <c r="BD808" s="6" t="s">
        <v>3624</v>
      </c>
      <c r="BE808" s="6" t="str">
        <f t="shared" si="384"/>
        <v>=4.221*100000000</v>
      </c>
      <c r="BF808" s="1">
        <f>4.221*100000000</f>
        <v>422100000</v>
      </c>
      <c r="BG808" s="8">
        <f t="shared" si="401"/>
        <v>-0.15731682970652835</v>
      </c>
      <c r="BH808" s="6" t="s">
        <v>8825</v>
      </c>
      <c r="BI808" s="6" t="str">
        <f t="shared" si="385"/>
        <v>=5.009*100000000</v>
      </c>
      <c r="BJ808" s="1">
        <f>5.009*100000000</f>
        <v>500900000.00000006</v>
      </c>
      <c r="BK808" s="6" t="s">
        <v>7852</v>
      </c>
      <c r="BL808" s="1" t="str">
        <f t="shared" si="387"/>
        <v>=2.085*100000000</v>
      </c>
      <c r="BM808" s="16">
        <f t="shared" si="402"/>
        <v>1.4023980815347725</v>
      </c>
      <c r="BN808" s="1">
        <f>2.085*100000000</f>
        <v>208500000</v>
      </c>
    </row>
    <row r="809" spans="1:66">
      <c r="A809" s="19"/>
      <c r="B809">
        <v>600664</v>
      </c>
      <c r="C809" t="s">
        <v>68</v>
      </c>
      <c r="D809" s="6" t="s">
        <v>9047</v>
      </c>
      <c r="E809" s="7" t="str">
        <f t="shared" si="386"/>
        <v>=4.098*100000000</v>
      </c>
      <c r="F809" s="1">
        <f>4.098*100000000</f>
        <v>409800000</v>
      </c>
      <c r="G809" s="8">
        <f t="shared" si="388"/>
        <v>-0.2256235827664399</v>
      </c>
      <c r="H809" s="6" t="s">
        <v>9048</v>
      </c>
      <c r="I809" s="6" t="str">
        <f t="shared" si="372"/>
        <v>=5.292*100000000</v>
      </c>
      <c r="J809" s="1">
        <f>5.292*100000000</f>
        <v>529200000</v>
      </c>
      <c r="K809" s="10">
        <f t="shared" si="389"/>
        <v>0.44748358862144422</v>
      </c>
      <c r="L809" s="6" t="s">
        <v>5191</v>
      </c>
      <c r="M809" s="6" t="str">
        <f t="shared" si="373"/>
        <v>=3.656*100000000</v>
      </c>
      <c r="N809" s="1">
        <f>3.656*100000000</f>
        <v>365600000</v>
      </c>
      <c r="O809" s="8">
        <f t="shared" si="390"/>
        <v>3.1883377248252951</v>
      </c>
      <c r="P809" s="7" t="s">
        <v>9049</v>
      </c>
      <c r="Q809" s="6" t="str">
        <f t="shared" si="374"/>
        <v>=8729*10000</v>
      </c>
      <c r="R809" s="11">
        <f>8729*10000</f>
        <v>87290000</v>
      </c>
      <c r="S809" s="8">
        <f t="shared" si="391"/>
        <v>-1.0835311004784689</v>
      </c>
      <c r="T809" s="6">
        <f>-10.45*100000000</f>
        <v>-1044999999.9999999</v>
      </c>
      <c r="U809" s="6" t="str">
        <f t="shared" si="375"/>
        <v>=-1045000000</v>
      </c>
      <c r="V809" s="1">
        <f>-1045000000</f>
        <v>-1045000000</v>
      </c>
      <c r="W809" s="8">
        <f t="shared" si="392"/>
        <v>2.0962962962962961</v>
      </c>
      <c r="X809" s="6">
        <f>-3.375*100000000</f>
        <v>-337500000</v>
      </c>
      <c r="Y809" s="6" t="str">
        <f t="shared" si="376"/>
        <v>=-337500000</v>
      </c>
      <c r="Z809" s="1">
        <f>-337500000</f>
        <v>-337500000</v>
      </c>
      <c r="AA809" s="8">
        <f t="shared" si="393"/>
        <v>7.9309242085065554E-2</v>
      </c>
      <c r="AB809" s="6">
        <f>-3.127*100000000</f>
        <v>-312700000</v>
      </c>
      <c r="AC809" s="6" t="str">
        <f t="shared" si="377"/>
        <v>=-312700000</v>
      </c>
      <c r="AD809" s="1">
        <f>-312700000</f>
        <v>-312700000</v>
      </c>
      <c r="AE809" s="8">
        <f t="shared" si="394"/>
        <v>0.7889016018306636</v>
      </c>
      <c r="AF809" s="6">
        <f>-1.748*100000000</f>
        <v>-174800000</v>
      </c>
      <c r="AG809" s="6" t="str">
        <f t="shared" si="378"/>
        <v>=-174800000</v>
      </c>
      <c r="AH809" s="1">
        <f>-174800000</f>
        <v>-174800000</v>
      </c>
      <c r="AI809" s="8">
        <f t="shared" si="395"/>
        <v>-2.4339622641509431</v>
      </c>
      <c r="AJ809" s="6" t="s">
        <v>9050</v>
      </c>
      <c r="AK809" s="6" t="str">
        <f t="shared" si="379"/>
        <v>=1.219*100000000</v>
      </c>
      <c r="AL809" s="1">
        <f>1.219*100000000</f>
        <v>121900000.00000001</v>
      </c>
      <c r="AM809" s="8">
        <f t="shared" si="396"/>
        <v>1.0866141732283467</v>
      </c>
      <c r="AN809" s="7" t="s">
        <v>9051</v>
      </c>
      <c r="AO809" s="6" t="str">
        <f t="shared" si="380"/>
        <v>=5842*10000</v>
      </c>
      <c r="AP809" s="1">
        <f>5842*10000</f>
        <v>58420000</v>
      </c>
      <c r="AQ809" s="8">
        <f t="shared" si="397"/>
        <v>-8.3382740861700793</v>
      </c>
      <c r="AR809" s="7">
        <f>-796.1*10000</f>
        <v>-7961000</v>
      </c>
      <c r="AS809" s="6" t="str">
        <f t="shared" si="381"/>
        <v>=-7961000</v>
      </c>
      <c r="AT809" s="1">
        <f>-7961000</f>
        <v>-7961000</v>
      </c>
      <c r="AU809" s="8">
        <f t="shared" si="398"/>
        <v>-0.93706719367588931</v>
      </c>
      <c r="AV809" s="6">
        <f>-1.265*100000000</f>
        <v>-126499999.99999999</v>
      </c>
      <c r="AW809" s="6" t="str">
        <f t="shared" si="382"/>
        <v>=-126500000</v>
      </c>
      <c r="AX809" s="1">
        <f>-126500000</f>
        <v>-126500000</v>
      </c>
      <c r="AY809" s="10">
        <f t="shared" si="399"/>
        <v>-1.3134291377601586</v>
      </c>
      <c r="AZ809" s="6" t="s">
        <v>9052</v>
      </c>
      <c r="BA809" s="6" t="str">
        <f t="shared" si="383"/>
        <v>=4.036*100000000</v>
      </c>
      <c r="BB809" s="1">
        <f>4.036*100000000</f>
        <v>403599999.99999994</v>
      </c>
      <c r="BC809" s="8">
        <f t="shared" si="400"/>
        <v>0.40578195750609525</v>
      </c>
      <c r="BD809" s="6" t="s">
        <v>6530</v>
      </c>
      <c r="BE809" s="6" t="str">
        <f t="shared" si="384"/>
        <v>=2.871*100000000</v>
      </c>
      <c r="BF809" s="1">
        <f>2.871*100000000</f>
        <v>287100000</v>
      </c>
      <c r="BG809" s="8">
        <f t="shared" si="401"/>
        <v>-0.27972905168088308</v>
      </c>
      <c r="BH809" s="6" t="s">
        <v>1714</v>
      </c>
      <c r="BI809" s="6" t="str">
        <f t="shared" si="385"/>
        <v>=3.986*100000000</v>
      </c>
      <c r="BJ809" s="1">
        <f>3.986*100000000</f>
        <v>398600000</v>
      </c>
      <c r="BK809" s="6" t="s">
        <v>6280</v>
      </c>
      <c r="BL809" s="1" t="str">
        <f t="shared" si="387"/>
        <v>=1.583*100000000</v>
      </c>
      <c r="BM809" s="16">
        <f t="shared" si="402"/>
        <v>1.5180037902716361</v>
      </c>
      <c r="BN809" s="1">
        <f>1.583*100000000</f>
        <v>158300000</v>
      </c>
    </row>
    <row r="810" spans="1:66">
      <c r="A810" s="17">
        <v>204</v>
      </c>
      <c r="B810">
        <v>600665</v>
      </c>
      <c r="C810" t="s">
        <v>31</v>
      </c>
      <c r="D810" s="6" t="s">
        <v>9053</v>
      </c>
      <c r="E810" s="7" t="str">
        <f t="shared" si="386"/>
        <v>=69.42*100000000</v>
      </c>
      <c r="F810" s="1">
        <f>69.42*100000000</f>
        <v>6942000000</v>
      </c>
      <c r="G810" s="8">
        <f t="shared" si="388"/>
        <v>0.92726263187118241</v>
      </c>
      <c r="H810" s="6" t="s">
        <v>9054</v>
      </c>
      <c r="I810" s="6" t="str">
        <f t="shared" si="372"/>
        <v>=36.02*100000000</v>
      </c>
      <c r="J810" s="1">
        <f>36.02*100000000</f>
        <v>3602000000.0000005</v>
      </c>
      <c r="K810" s="10">
        <f t="shared" si="389"/>
        <v>0.28688817434798158</v>
      </c>
      <c r="L810" s="6" t="s">
        <v>9055</v>
      </c>
      <c r="M810" s="6" t="str">
        <f t="shared" si="373"/>
        <v>=27.99*100000000</v>
      </c>
      <c r="N810" s="1">
        <f>27.99*100000000</f>
        <v>2799000000</v>
      </c>
      <c r="O810" s="8">
        <f t="shared" si="390"/>
        <v>7.1913959613696221</v>
      </c>
      <c r="P810" s="6" t="s">
        <v>6399</v>
      </c>
      <c r="Q810" s="6" t="str">
        <f t="shared" si="374"/>
        <v>=3.417*100000000</v>
      </c>
      <c r="R810" s="11">
        <f>3.417*100000000</f>
        <v>341700000</v>
      </c>
      <c r="S810" s="8">
        <f t="shared" si="391"/>
        <v>-0.93557692307692308</v>
      </c>
      <c r="T810" s="6" t="s">
        <v>9056</v>
      </c>
      <c r="U810" s="6" t="str">
        <f t="shared" si="375"/>
        <v>=53.04*100000000</v>
      </c>
      <c r="V810" s="1">
        <f>53.04*100000000</f>
        <v>5304000000</v>
      </c>
      <c r="W810" s="8">
        <f t="shared" si="392"/>
        <v>2.4419208306294613</v>
      </c>
      <c r="X810" s="6" t="s">
        <v>6460</v>
      </c>
      <c r="Y810" s="6" t="str">
        <f t="shared" si="376"/>
        <v>=15.41*100000000</v>
      </c>
      <c r="Z810" s="1">
        <f>15.41*100000000</f>
        <v>1541000000</v>
      </c>
      <c r="AA810" s="8">
        <f t="shared" si="393"/>
        <v>0.60872742457459006</v>
      </c>
      <c r="AB810" s="6" t="s">
        <v>9057</v>
      </c>
      <c r="AC810" s="6" t="str">
        <f t="shared" si="377"/>
        <v>=9.579*100000000</v>
      </c>
      <c r="AD810" s="1">
        <f>9.579*100000000</f>
        <v>957900000.00000012</v>
      </c>
      <c r="AE810" s="8">
        <f t="shared" si="394"/>
        <v>0.94932844932844984</v>
      </c>
      <c r="AF810" s="6" t="s">
        <v>9058</v>
      </c>
      <c r="AG810" s="6" t="str">
        <f t="shared" si="378"/>
        <v>=4.914*100000000</v>
      </c>
      <c r="AH810" s="1">
        <f>4.914*100000000</f>
        <v>491399999.99999994</v>
      </c>
      <c r="AI810" s="8">
        <f t="shared" si="395"/>
        <v>-0.91210874619924875</v>
      </c>
      <c r="AJ810" s="6" t="s">
        <v>9059</v>
      </c>
      <c r="AK810" s="6" t="str">
        <f t="shared" si="379"/>
        <v>=55.91*100000000</v>
      </c>
      <c r="AL810" s="1">
        <f>55.91*100000000</f>
        <v>5591000000</v>
      </c>
      <c r="AM810" s="8">
        <f t="shared" si="396"/>
        <v>1.2626467017401861</v>
      </c>
      <c r="AN810" s="6" t="s">
        <v>7551</v>
      </c>
      <c r="AO810" s="6" t="str">
        <f t="shared" si="380"/>
        <v>=24.71*100000000</v>
      </c>
      <c r="AP810" s="1">
        <f>24.71*100000000</f>
        <v>2471000000</v>
      </c>
      <c r="AQ810" s="8">
        <f t="shared" si="397"/>
        <v>0.40477544059124504</v>
      </c>
      <c r="AR810" s="6" t="s">
        <v>9060</v>
      </c>
      <c r="AS810" s="6" t="str">
        <f t="shared" si="381"/>
        <v>=17.59*100000000</v>
      </c>
      <c r="AT810" s="1">
        <f>17.59*100000000</f>
        <v>1759000000</v>
      </c>
      <c r="AU810" s="8">
        <f t="shared" si="398"/>
        <v>0.48188711036225779</v>
      </c>
      <c r="AV810" s="6" t="s">
        <v>3832</v>
      </c>
      <c r="AW810" s="6" t="str">
        <f t="shared" si="382"/>
        <v>=11.87*100000000</v>
      </c>
      <c r="AX810" s="1">
        <f>11.87*100000000</f>
        <v>1187000000</v>
      </c>
      <c r="AY810" s="10">
        <f t="shared" si="399"/>
        <v>-0.77463451680273399</v>
      </c>
      <c r="AZ810" s="6" t="s">
        <v>9061</v>
      </c>
      <c r="BA810" s="6" t="str">
        <f t="shared" si="383"/>
        <v>=52.67*100000000</v>
      </c>
      <c r="BB810" s="1">
        <f>52.67*100000000</f>
        <v>5267000000</v>
      </c>
      <c r="BC810" s="8">
        <f t="shared" si="400"/>
        <v>0.31281156530408788</v>
      </c>
      <c r="BD810" s="6" t="s">
        <v>9062</v>
      </c>
      <c r="BE810" s="6" t="str">
        <f t="shared" si="384"/>
        <v>=40.12*100000000</v>
      </c>
      <c r="BF810" s="1">
        <f>40.12*100000000</f>
        <v>4011999999.9999995</v>
      </c>
      <c r="BG810" s="8">
        <f t="shared" si="401"/>
        <v>0.27324658838463967</v>
      </c>
      <c r="BH810" s="6" t="s">
        <v>5911</v>
      </c>
      <c r="BI810" s="6" t="str">
        <f t="shared" si="385"/>
        <v>=31.51*100000000</v>
      </c>
      <c r="BJ810" s="1">
        <f>31.51*100000000</f>
        <v>3151000000</v>
      </c>
      <c r="BK810" s="6" t="s">
        <v>4546</v>
      </c>
      <c r="BL810" s="1" t="str">
        <f t="shared" si="387"/>
        <v>=13.04*100000000</v>
      </c>
      <c r="BM810" s="16">
        <f t="shared" si="402"/>
        <v>1.4164110429447854</v>
      </c>
      <c r="BN810" s="1">
        <f>13.04*100000000</f>
        <v>1304000000</v>
      </c>
    </row>
    <row r="811" spans="1:66">
      <c r="A811" s="18"/>
      <c r="B811">
        <v>600665</v>
      </c>
      <c r="C811" t="s">
        <v>48</v>
      </c>
      <c r="D811" s="6" t="s">
        <v>4825</v>
      </c>
      <c r="E811" s="7" t="str">
        <f t="shared" si="386"/>
        <v>=4.205*100000000</v>
      </c>
      <c r="F811" s="1">
        <f>4.205*100000000</f>
        <v>420500000</v>
      </c>
      <c r="G811" s="8">
        <f t="shared" si="388"/>
        <v>0.99194694457603005</v>
      </c>
      <c r="H811" s="6" t="s">
        <v>3395</v>
      </c>
      <c r="I811" s="6" t="str">
        <f t="shared" si="372"/>
        <v>=2.111*100000000</v>
      </c>
      <c r="J811" s="1">
        <f>2.111*100000000</f>
        <v>211100000.00000003</v>
      </c>
      <c r="K811" s="10">
        <f t="shared" si="389"/>
        <v>0.11046817464492388</v>
      </c>
      <c r="L811" s="6" t="s">
        <v>7442</v>
      </c>
      <c r="M811" s="6" t="str">
        <f t="shared" si="373"/>
        <v>=1.901*100000000</v>
      </c>
      <c r="N811" s="1">
        <f>1.901*100000000</f>
        <v>190100000</v>
      </c>
      <c r="O811" s="8">
        <f t="shared" si="390"/>
        <v>-4.4488388969521049</v>
      </c>
      <c r="P811" s="7">
        <f>-5512*10000</f>
        <v>-55120000</v>
      </c>
      <c r="Q811" s="6" t="str">
        <f t="shared" si="374"/>
        <v>=-55120000</v>
      </c>
      <c r="R811" s="11">
        <f>-55120000</f>
        <v>-55120000</v>
      </c>
      <c r="S811" s="8">
        <f t="shared" si="391"/>
        <v>-1.1367063492063492</v>
      </c>
      <c r="T811" s="6" t="s">
        <v>9063</v>
      </c>
      <c r="U811" s="6" t="str">
        <f t="shared" si="375"/>
        <v>=4.032*100000000</v>
      </c>
      <c r="V811" s="1">
        <f>4.032*100000000</f>
        <v>403200000</v>
      </c>
      <c r="W811" s="8">
        <f t="shared" si="392"/>
        <v>1.5027932960893855</v>
      </c>
      <c r="X811" s="6" t="s">
        <v>7271</v>
      </c>
      <c r="Y811" s="6" t="str">
        <f t="shared" si="376"/>
        <v>=1.611*100000000</v>
      </c>
      <c r="Z811" s="1">
        <f>1.611*100000000</f>
        <v>161100000</v>
      </c>
      <c r="AA811" s="8">
        <f t="shared" si="393"/>
        <v>0.75108695652173918</v>
      </c>
      <c r="AB811" s="7" t="s">
        <v>9064</v>
      </c>
      <c r="AC811" s="6" t="str">
        <f t="shared" si="377"/>
        <v>=9200*10000</v>
      </c>
      <c r="AD811" s="1">
        <f>9200*10000</f>
        <v>92000000</v>
      </c>
      <c r="AE811" s="8">
        <f t="shared" si="394"/>
        <v>0.99869650228112106</v>
      </c>
      <c r="AF811" s="7" t="s">
        <v>7048</v>
      </c>
      <c r="AG811" s="6" t="str">
        <f t="shared" si="378"/>
        <v>=4603*10000</v>
      </c>
      <c r="AH811" s="1">
        <f>4603*10000</f>
        <v>46030000</v>
      </c>
      <c r="AI811" s="8">
        <f t="shared" si="395"/>
        <v>-0.93459789712986641</v>
      </c>
      <c r="AJ811" s="6" t="s">
        <v>9065</v>
      </c>
      <c r="AK811" s="6" t="str">
        <f t="shared" si="379"/>
        <v>=7.038*100000000</v>
      </c>
      <c r="AL811" s="1">
        <f>7.038*100000000</f>
        <v>703800000</v>
      </c>
      <c r="AM811" s="8">
        <f t="shared" si="396"/>
        <v>1.1549295774647887</v>
      </c>
      <c r="AN811" s="6" t="s">
        <v>8621</v>
      </c>
      <c r="AO811" s="6" t="str">
        <f t="shared" si="380"/>
        <v>=3.266*100000000</v>
      </c>
      <c r="AP811" s="1">
        <f>3.266*100000000</f>
        <v>326600000</v>
      </c>
      <c r="AQ811" s="8">
        <f t="shared" si="397"/>
        <v>0.41938287700999549</v>
      </c>
      <c r="AR811" s="6" t="s">
        <v>9066</v>
      </c>
      <c r="AS811" s="6" t="str">
        <f t="shared" si="381"/>
        <v>=2.301*100000000</v>
      </c>
      <c r="AT811" s="1">
        <f>2.301*100000000</f>
        <v>230100000.00000003</v>
      </c>
      <c r="AU811" s="8">
        <f t="shared" si="398"/>
        <v>0.12353515625000014</v>
      </c>
      <c r="AV811" s="6" t="s">
        <v>1034</v>
      </c>
      <c r="AW811" s="6" t="str">
        <f t="shared" si="382"/>
        <v>=2.048*100000000</v>
      </c>
      <c r="AX811" s="1">
        <f>2.048*100000000</f>
        <v>204800000</v>
      </c>
      <c r="AY811" s="10">
        <f t="shared" si="399"/>
        <v>-0.65235104396537091</v>
      </c>
      <c r="AZ811" s="6" t="s">
        <v>9067</v>
      </c>
      <c r="BA811" s="6" t="str">
        <f t="shared" si="383"/>
        <v>=5.891*100000000</v>
      </c>
      <c r="BB811" s="1">
        <f>5.891*100000000</f>
        <v>589100000</v>
      </c>
      <c r="BC811" s="8">
        <f t="shared" si="400"/>
        <v>0.22626977518734387</v>
      </c>
      <c r="BD811" s="6" t="s">
        <v>9068</v>
      </c>
      <c r="BE811" s="6" t="str">
        <f t="shared" si="384"/>
        <v>=4.804*100000000</v>
      </c>
      <c r="BF811" s="1">
        <f>4.804*100000000</f>
        <v>480400000</v>
      </c>
      <c r="BG811" s="8">
        <f t="shared" si="401"/>
        <v>0.5412255373756818</v>
      </c>
      <c r="BH811" s="6" t="s">
        <v>5821</v>
      </c>
      <c r="BI811" s="6" t="str">
        <f t="shared" si="385"/>
        <v>=3.117*100000000</v>
      </c>
      <c r="BJ811" s="1">
        <f>3.117*100000000</f>
        <v>311700000</v>
      </c>
      <c r="BK811" s="6" t="s">
        <v>9069</v>
      </c>
      <c r="BL811" s="1" t="str">
        <f t="shared" si="387"/>
        <v>=1.144*100000000</v>
      </c>
      <c r="BM811" s="16">
        <f t="shared" si="402"/>
        <v>1.7246503496503498</v>
      </c>
      <c r="BN811" s="1">
        <f>1.144*100000000</f>
        <v>114399999.99999999</v>
      </c>
    </row>
    <row r="812" spans="1:66">
      <c r="A812" s="18"/>
      <c r="B812">
        <v>600665</v>
      </c>
      <c r="C812" t="s">
        <v>58</v>
      </c>
      <c r="D812" s="6" t="s">
        <v>9070</v>
      </c>
      <c r="E812" s="7" t="str">
        <f t="shared" si="386"/>
        <v>=5.854*100000000</v>
      </c>
      <c r="F812" s="1">
        <f>5.854*100000000</f>
        <v>585400000</v>
      </c>
      <c r="G812" s="8">
        <f t="shared" si="388"/>
        <v>0.58989679521998917</v>
      </c>
      <c r="H812" s="6" t="s">
        <v>3616</v>
      </c>
      <c r="I812" s="6" t="str">
        <f t="shared" si="372"/>
        <v>=3.682*100000000</v>
      </c>
      <c r="J812" s="1">
        <f>3.682*100000000</f>
        <v>368200000</v>
      </c>
      <c r="K812" s="10">
        <f t="shared" si="389"/>
        <v>5.9873344847438115E-2</v>
      </c>
      <c r="L812" s="6" t="s">
        <v>9071</v>
      </c>
      <c r="M812" s="6" t="str">
        <f t="shared" si="373"/>
        <v>=3.474*100000000</v>
      </c>
      <c r="N812" s="1">
        <f>3.474*100000000</f>
        <v>347400000</v>
      </c>
      <c r="O812" s="8">
        <f t="shared" si="390"/>
        <v>-7.9521713027816689</v>
      </c>
      <c r="P812" s="7">
        <f>-4997*10000</f>
        <v>-49970000</v>
      </c>
      <c r="Q812" s="6" t="str">
        <f t="shared" si="374"/>
        <v>=-49970000</v>
      </c>
      <c r="R812" s="11">
        <f>-49970000</f>
        <v>-49970000</v>
      </c>
      <c r="S812" s="8">
        <f t="shared" si="391"/>
        <v>-1.1102847053630545</v>
      </c>
      <c r="T812" s="6" t="s">
        <v>9072</v>
      </c>
      <c r="U812" s="6" t="str">
        <f t="shared" si="375"/>
        <v>=4.531*100000000</v>
      </c>
      <c r="V812" s="1">
        <f>4.531*100000000</f>
        <v>453099999.99999994</v>
      </c>
      <c r="W812" s="8">
        <f t="shared" si="392"/>
        <v>1.9986763732627395</v>
      </c>
      <c r="X812" s="6" t="s">
        <v>9073</v>
      </c>
      <c r="Y812" s="6" t="str">
        <f t="shared" si="376"/>
        <v>=1.511*100000000</v>
      </c>
      <c r="Z812" s="1">
        <f>1.511*100000000</f>
        <v>151100000</v>
      </c>
      <c r="AA812" s="8">
        <f t="shared" si="393"/>
        <v>0.8395422449476504</v>
      </c>
      <c r="AB812" s="7" t="s">
        <v>9074</v>
      </c>
      <c r="AC812" s="6" t="str">
        <f t="shared" si="377"/>
        <v>=8214*10000</v>
      </c>
      <c r="AD812" s="1">
        <f>8214*10000</f>
        <v>82140000</v>
      </c>
      <c r="AE812" s="8">
        <f t="shared" si="394"/>
        <v>0.67906786590351598</v>
      </c>
      <c r="AF812" s="7" t="s">
        <v>9075</v>
      </c>
      <c r="AG812" s="6" t="str">
        <f t="shared" si="378"/>
        <v>=4892*10000</v>
      </c>
      <c r="AH812" s="1">
        <f>4892*10000</f>
        <v>48920000</v>
      </c>
      <c r="AI812" s="8">
        <f t="shared" si="395"/>
        <v>-0.93145579375087573</v>
      </c>
      <c r="AJ812" s="6" t="s">
        <v>9076</v>
      </c>
      <c r="AK812" s="6" t="str">
        <f t="shared" si="379"/>
        <v>=7.137*100000000</v>
      </c>
      <c r="AL812" s="1">
        <f>7.137*100000000</f>
        <v>713700000</v>
      </c>
      <c r="AM812" s="8">
        <f t="shared" si="396"/>
        <v>1.1607629427792916</v>
      </c>
      <c r="AN812" s="6" t="s">
        <v>9077</v>
      </c>
      <c r="AO812" s="6" t="str">
        <f t="shared" si="380"/>
        <v>=3.303*100000000</v>
      </c>
      <c r="AP812" s="1">
        <f>3.303*100000000</f>
        <v>330300000</v>
      </c>
      <c r="AQ812" s="8">
        <f t="shared" si="397"/>
        <v>0.43483927019982621</v>
      </c>
      <c r="AR812" s="6" t="s">
        <v>9078</v>
      </c>
      <c r="AS812" s="6" t="str">
        <f t="shared" si="381"/>
        <v>=2.302*100000000</v>
      </c>
      <c r="AT812" s="1">
        <f>2.302*100000000</f>
        <v>230200000</v>
      </c>
      <c r="AU812" s="8">
        <f t="shared" si="398"/>
        <v>0.1240234375</v>
      </c>
      <c r="AV812" s="6" t="s">
        <v>1034</v>
      </c>
      <c r="AW812" s="6" t="str">
        <f t="shared" si="382"/>
        <v>=2.048*100000000</v>
      </c>
      <c r="AX812" s="1">
        <f>2.048*100000000</f>
        <v>204800000</v>
      </c>
      <c r="AY812" s="10">
        <f t="shared" si="399"/>
        <v>-0.65128554401498384</v>
      </c>
      <c r="AZ812" s="6" t="s">
        <v>478</v>
      </c>
      <c r="BA812" s="6" t="str">
        <f t="shared" si="383"/>
        <v>=5.873*100000000</v>
      </c>
      <c r="BB812" s="1">
        <f>5.873*100000000</f>
        <v>587300000</v>
      </c>
      <c r="BC812" s="8">
        <f t="shared" si="400"/>
        <v>0.22226847034339231</v>
      </c>
      <c r="BD812" s="6" t="s">
        <v>1743</v>
      </c>
      <c r="BE812" s="6" t="str">
        <f t="shared" si="384"/>
        <v>=4.805*100000000</v>
      </c>
      <c r="BF812" s="1">
        <f>4.805*100000000</f>
        <v>480500000</v>
      </c>
      <c r="BG812" s="8">
        <f t="shared" si="401"/>
        <v>0.5395706504325537</v>
      </c>
      <c r="BH812" s="6" t="s">
        <v>4829</v>
      </c>
      <c r="BI812" s="6" t="str">
        <f t="shared" si="385"/>
        <v>=3.121*100000000</v>
      </c>
      <c r="BJ812" s="1">
        <f>3.121*100000000</f>
        <v>312100000</v>
      </c>
      <c r="BK812" s="6" t="s">
        <v>2211</v>
      </c>
      <c r="BL812" s="1" t="str">
        <f t="shared" si="387"/>
        <v>=1.143*100000000</v>
      </c>
      <c r="BM812" s="16">
        <f t="shared" si="402"/>
        <v>1.7305336832895888</v>
      </c>
      <c r="BN812" s="1">
        <f>1.143*100000000</f>
        <v>114300000</v>
      </c>
    </row>
    <row r="813" spans="1:66">
      <c r="A813" s="19"/>
      <c r="B813">
        <v>600665</v>
      </c>
      <c r="C813" t="s">
        <v>68</v>
      </c>
      <c r="D813" s="6" t="s">
        <v>9079</v>
      </c>
      <c r="E813" s="7" t="str">
        <f t="shared" si="386"/>
        <v>=4.186*100000000</v>
      </c>
      <c r="F813" s="1">
        <f>4.186*100000000</f>
        <v>418600000</v>
      </c>
      <c r="G813" s="8">
        <f t="shared" si="388"/>
        <v>0.46774193548387094</v>
      </c>
      <c r="H813" s="6" t="s">
        <v>5434</v>
      </c>
      <c r="I813" s="6" t="str">
        <f t="shared" si="372"/>
        <v>=2.852*100000000</v>
      </c>
      <c r="J813" s="1">
        <f>2.852*100000000</f>
        <v>285200000</v>
      </c>
      <c r="K813" s="10">
        <f t="shared" si="389"/>
        <v>6.0223048327137547E-2</v>
      </c>
      <c r="L813" s="6" t="s">
        <v>9080</v>
      </c>
      <c r="M813" s="6" t="str">
        <f t="shared" si="373"/>
        <v>=2.690*100000000</v>
      </c>
      <c r="N813" s="1">
        <f>2.69*100000000</f>
        <v>269000000</v>
      </c>
      <c r="O813" s="8">
        <f t="shared" si="390"/>
        <v>-8.560427206295671</v>
      </c>
      <c r="P813" s="7">
        <f>-3558*10000</f>
        <v>-35580000</v>
      </c>
      <c r="Q813" s="6" t="str">
        <f t="shared" si="374"/>
        <v>=-35580000</v>
      </c>
      <c r="R813" s="11">
        <f>-35580000</f>
        <v>-35580000</v>
      </c>
      <c r="S813" s="8">
        <f t="shared" si="391"/>
        <v>-1.1020068807339449</v>
      </c>
      <c r="T813" s="6" t="s">
        <v>9081</v>
      </c>
      <c r="U813" s="6" t="str">
        <f t="shared" si="375"/>
        <v>=3.488*100000000</v>
      </c>
      <c r="V813" s="1">
        <f>3.488*100000000</f>
        <v>348800000</v>
      </c>
      <c r="W813" s="8">
        <f t="shared" si="392"/>
        <v>1.6544901065449011</v>
      </c>
      <c r="X813" s="6" t="s">
        <v>3883</v>
      </c>
      <c r="Y813" s="6" t="str">
        <f t="shared" si="376"/>
        <v>=1.314*100000000</v>
      </c>
      <c r="Z813" s="1">
        <f>1.314*100000000</f>
        <v>131400000</v>
      </c>
      <c r="AA813" s="8">
        <f t="shared" si="393"/>
        <v>1.1798274717982746</v>
      </c>
      <c r="AB813" s="7" t="s">
        <v>9082</v>
      </c>
      <c r="AC813" s="6" t="str">
        <f t="shared" si="377"/>
        <v>=6028*10000</v>
      </c>
      <c r="AD813" s="1">
        <f>6028*10000</f>
        <v>60280000</v>
      </c>
      <c r="AE813" s="8">
        <f t="shared" si="394"/>
        <v>0.69040942232192937</v>
      </c>
      <c r="AF813" s="7" t="s">
        <v>5972</v>
      </c>
      <c r="AG813" s="6" t="str">
        <f t="shared" si="378"/>
        <v>=3566*10000</v>
      </c>
      <c r="AH813" s="1">
        <f>3566*10000</f>
        <v>35660000</v>
      </c>
      <c r="AI813" s="8">
        <f t="shared" si="395"/>
        <v>-0.91338353169783826</v>
      </c>
      <c r="AJ813" s="6" t="s">
        <v>1584</v>
      </c>
      <c r="AK813" s="6" t="str">
        <f t="shared" si="379"/>
        <v>=4.117*100000000</v>
      </c>
      <c r="AL813" s="1">
        <f>4.117*100000000</f>
        <v>411700000</v>
      </c>
      <c r="AM813" s="8">
        <f t="shared" si="396"/>
        <v>0.67562067562067585</v>
      </c>
      <c r="AN813" s="6" t="s">
        <v>9083</v>
      </c>
      <c r="AO813" s="6" t="str">
        <f t="shared" si="380"/>
        <v>=2.457*100000000</v>
      </c>
      <c r="AP813" s="1">
        <f>2.457*100000000</f>
        <v>245699999.99999997</v>
      </c>
      <c r="AQ813" s="8">
        <f t="shared" si="397"/>
        <v>0.45816023738872386</v>
      </c>
      <c r="AR813" s="6" t="s">
        <v>2893</v>
      </c>
      <c r="AS813" s="6" t="str">
        <f t="shared" si="381"/>
        <v>=1.685*100000000</v>
      </c>
      <c r="AT813" s="1">
        <f>1.685*100000000</f>
        <v>168500000</v>
      </c>
      <c r="AU813" s="8">
        <f t="shared" si="398"/>
        <v>0.10130718954248366</v>
      </c>
      <c r="AV813" s="6" t="s">
        <v>9084</v>
      </c>
      <c r="AW813" s="6" t="str">
        <f t="shared" si="382"/>
        <v>=1.530*100000000</v>
      </c>
      <c r="AX813" s="1">
        <f>1.53*100000000</f>
        <v>153000000</v>
      </c>
      <c r="AY813" s="10">
        <f t="shared" si="399"/>
        <v>-0.61816820564012975</v>
      </c>
      <c r="AZ813" s="6" t="s">
        <v>9085</v>
      </c>
      <c r="BA813" s="6" t="str">
        <f t="shared" si="383"/>
        <v>=4.007*100000000</v>
      </c>
      <c r="BB813" s="1">
        <f>4.007*100000000</f>
        <v>400699999.99999994</v>
      </c>
      <c r="BC813" s="8">
        <f t="shared" si="400"/>
        <v>0.14715144574863998</v>
      </c>
      <c r="BD813" s="6" t="s">
        <v>5530</v>
      </c>
      <c r="BE813" s="6" t="str">
        <f t="shared" si="384"/>
        <v>=3.493*100000000</v>
      </c>
      <c r="BF813" s="1">
        <f>3.493*100000000</f>
        <v>349300000</v>
      </c>
      <c r="BG813" s="8">
        <f t="shared" si="401"/>
        <v>0.5727149932462855</v>
      </c>
      <c r="BH813" s="6" t="s">
        <v>6886</v>
      </c>
      <c r="BI813" s="6" t="str">
        <f t="shared" si="385"/>
        <v>=2.221*100000000</v>
      </c>
      <c r="BJ813" s="1">
        <f>2.221*100000000</f>
        <v>222100000</v>
      </c>
      <c r="BK813" s="7" t="s">
        <v>3511</v>
      </c>
      <c r="BL813" s="1" t="str">
        <f t="shared" si="387"/>
        <v>=8528*10000</v>
      </c>
      <c r="BM813" s="16">
        <f t="shared" si="402"/>
        <v>1.6043621013133209</v>
      </c>
      <c r="BN813" s="1">
        <f>8528*10000</f>
        <v>85280000</v>
      </c>
    </row>
    <row r="814" spans="1:66">
      <c r="A814" s="17">
        <v>205</v>
      </c>
      <c r="B814">
        <v>600673</v>
      </c>
      <c r="C814" t="s">
        <v>31</v>
      </c>
      <c r="D814" s="6" t="s">
        <v>9021</v>
      </c>
      <c r="E814" s="7" t="str">
        <f t="shared" si="386"/>
        <v>=128.0*100000000</v>
      </c>
      <c r="F814" s="1">
        <f>128*100000000</f>
        <v>12800000000</v>
      </c>
      <c r="G814" s="8">
        <f t="shared" si="388"/>
        <v>0.41093474426807758</v>
      </c>
      <c r="H814" s="6" t="s">
        <v>9086</v>
      </c>
      <c r="I814" s="6" t="str">
        <f t="shared" si="372"/>
        <v>=90.72*100000000</v>
      </c>
      <c r="J814" s="1">
        <f>90.72*100000000</f>
        <v>9072000000</v>
      </c>
      <c r="K814" s="10">
        <f t="shared" si="389"/>
        <v>0.54023769100169783</v>
      </c>
      <c r="L814" s="6" t="s">
        <v>9087</v>
      </c>
      <c r="M814" s="6" t="str">
        <f t="shared" si="373"/>
        <v>=58.90*100000000</v>
      </c>
      <c r="N814" s="1">
        <f>58.9*100000000</f>
        <v>5890000000</v>
      </c>
      <c r="O814" s="8">
        <f t="shared" si="390"/>
        <v>1.2558406740712371</v>
      </c>
      <c r="P814" s="6" t="s">
        <v>9088</v>
      </c>
      <c r="Q814" s="6" t="str">
        <f t="shared" si="374"/>
        <v>=26.11*100000000</v>
      </c>
      <c r="R814" s="11">
        <f>26.11*100000000</f>
        <v>2611000000</v>
      </c>
      <c r="S814" s="8">
        <f t="shared" si="391"/>
        <v>-0.7482160077145612</v>
      </c>
      <c r="T814" s="6" t="s">
        <v>4327</v>
      </c>
      <c r="U814" s="6" t="str">
        <f t="shared" si="375"/>
        <v>=103.7*100000000</v>
      </c>
      <c r="V814" s="1">
        <f>103.7*100000000</f>
        <v>10370000000</v>
      </c>
      <c r="W814" s="8">
        <f t="shared" si="392"/>
        <v>0.31265822784810127</v>
      </c>
      <c r="X814" s="6" t="s">
        <v>9089</v>
      </c>
      <c r="Y814" s="6" t="str">
        <f t="shared" si="376"/>
        <v>=79.00*100000000</v>
      </c>
      <c r="Z814" s="1">
        <f>79*100000000</f>
        <v>7900000000</v>
      </c>
      <c r="AA814" s="8">
        <f t="shared" si="393"/>
        <v>0.36418580556035229</v>
      </c>
      <c r="AB814" s="6" t="s">
        <v>9090</v>
      </c>
      <c r="AC814" s="6" t="str">
        <f t="shared" si="377"/>
        <v>=57.91*100000000</v>
      </c>
      <c r="AD814" s="1">
        <f>57.91*100000000</f>
        <v>5791000000</v>
      </c>
      <c r="AE814" s="8">
        <f t="shared" si="394"/>
        <v>0.65173987450085569</v>
      </c>
      <c r="AF814" s="6" t="s">
        <v>9091</v>
      </c>
      <c r="AG814" s="6" t="str">
        <f t="shared" si="378"/>
        <v>=35.06*100000000</v>
      </c>
      <c r="AH814" s="1">
        <f>35.06*100000000</f>
        <v>3506000000</v>
      </c>
      <c r="AI814" s="8">
        <f t="shared" si="395"/>
        <v>-0.7626269465132024</v>
      </c>
      <c r="AJ814" s="6" t="s">
        <v>7226</v>
      </c>
      <c r="AK814" s="6" t="str">
        <f t="shared" si="379"/>
        <v>=147.7*100000000</v>
      </c>
      <c r="AL814" s="1">
        <f>147.7*100000000</f>
        <v>14769999999.999998</v>
      </c>
      <c r="AM814" s="8">
        <f t="shared" si="396"/>
        <v>0.39208294062205451</v>
      </c>
      <c r="AN814" s="6" t="s">
        <v>6437</v>
      </c>
      <c r="AO814" s="6" t="str">
        <f t="shared" si="380"/>
        <v>=106.1*100000000</v>
      </c>
      <c r="AP814" s="1">
        <f>106.1*100000000</f>
        <v>10610000000</v>
      </c>
      <c r="AQ814" s="8">
        <f t="shared" si="397"/>
        <v>0.43494725453070054</v>
      </c>
      <c r="AR814" s="6" t="s">
        <v>871</v>
      </c>
      <c r="AS814" s="6" t="str">
        <f t="shared" si="381"/>
        <v>=73.94*100000000</v>
      </c>
      <c r="AT814" s="1">
        <f>73.94*100000000</f>
        <v>7394000000</v>
      </c>
      <c r="AU814" s="8">
        <f t="shared" si="398"/>
        <v>0.88863346104725416</v>
      </c>
      <c r="AV814" s="6" t="s">
        <v>3243</v>
      </c>
      <c r="AW814" s="6" t="str">
        <f t="shared" si="382"/>
        <v>=39.15*100000000</v>
      </c>
      <c r="AX814" s="1">
        <f>39.15*100000000</f>
        <v>3915000000</v>
      </c>
      <c r="AY814" s="10">
        <f t="shared" si="399"/>
        <v>-0.66481164383561642</v>
      </c>
      <c r="AZ814" s="6" t="s">
        <v>6261</v>
      </c>
      <c r="BA814" s="6" t="str">
        <f t="shared" si="383"/>
        <v>=116.8*100000000</v>
      </c>
      <c r="BB814" s="1">
        <f>116.8*100000000</f>
        <v>11680000000</v>
      </c>
      <c r="BC814" s="8">
        <f t="shared" si="400"/>
        <v>0.36146404009791339</v>
      </c>
      <c r="BD814" s="6" t="s">
        <v>9092</v>
      </c>
      <c r="BE814" s="6" t="str">
        <f t="shared" si="384"/>
        <v>=85.79*100000000</v>
      </c>
      <c r="BF814" s="1">
        <f>85.79*100000000</f>
        <v>8579000000.000001</v>
      </c>
      <c r="BG814" s="8">
        <f t="shared" si="401"/>
        <v>0.41661162483487468</v>
      </c>
      <c r="BH814" s="6" t="s">
        <v>9093</v>
      </c>
      <c r="BI814" s="6" t="str">
        <f t="shared" si="385"/>
        <v>=60.56*100000000</v>
      </c>
      <c r="BJ814" s="1">
        <f>60.56*100000000</f>
        <v>6056000000</v>
      </c>
      <c r="BK814" s="6" t="s">
        <v>8640</v>
      </c>
      <c r="BL814" s="1" t="str">
        <f t="shared" si="387"/>
        <v>=32.49*100000000</v>
      </c>
      <c r="BM814" s="16">
        <f t="shared" si="402"/>
        <v>0.86395814096645118</v>
      </c>
      <c r="BN814" s="1">
        <f>32.49*100000000</f>
        <v>3249000000</v>
      </c>
    </row>
    <row r="815" spans="1:66">
      <c r="A815" s="18"/>
      <c r="B815">
        <v>600673</v>
      </c>
      <c r="C815" t="s">
        <v>48</v>
      </c>
      <c r="D815" s="6" t="s">
        <v>9094</v>
      </c>
      <c r="E815" s="7" t="str">
        <f t="shared" si="386"/>
        <v>=9.393*100000000</v>
      </c>
      <c r="F815" s="1">
        <f>9.393*100000000</f>
        <v>939300000.00000012</v>
      </c>
      <c r="G815" s="8">
        <f t="shared" si="388"/>
        <v>13.430788139499157</v>
      </c>
      <c r="H815" s="7" t="s">
        <v>3398</v>
      </c>
      <c r="I815" s="6" t="str">
        <f t="shared" si="372"/>
        <v>=6509*10000</v>
      </c>
      <c r="J815" s="1">
        <f>6509*10000</f>
        <v>65090000</v>
      </c>
      <c r="K815" s="10">
        <f t="shared" si="389"/>
        <v>-1.3636312849162011</v>
      </c>
      <c r="L815" s="6">
        <f>-1.79*100000000</f>
        <v>-179000000</v>
      </c>
      <c r="M815" s="6" t="str">
        <f t="shared" si="373"/>
        <v>=-179000000</v>
      </c>
      <c r="N815" s="1">
        <f>-179000000</f>
        <v>-179000000</v>
      </c>
      <c r="O815" s="8">
        <f t="shared" si="390"/>
        <v>1.3120640661327823</v>
      </c>
      <c r="P815" s="7">
        <f>-7742*10000</f>
        <v>-77420000</v>
      </c>
      <c r="Q815" s="6" t="str">
        <f t="shared" si="374"/>
        <v>=-77420000</v>
      </c>
      <c r="R815" s="11">
        <f>-77420000</f>
        <v>-77420000</v>
      </c>
      <c r="S815" s="8">
        <f t="shared" si="391"/>
        <v>-1.0983360853550108</v>
      </c>
      <c r="T815" s="6" t="s">
        <v>9095</v>
      </c>
      <c r="U815" s="6" t="str">
        <f t="shared" si="375"/>
        <v>=7.873*100000000</v>
      </c>
      <c r="V815" s="1">
        <f>7.873*100000000</f>
        <v>787300000</v>
      </c>
      <c r="W815" s="8">
        <f t="shared" si="392"/>
        <v>0.51724802466756603</v>
      </c>
      <c r="X815" s="6" t="s">
        <v>9096</v>
      </c>
      <c r="Y815" s="6" t="str">
        <f t="shared" si="376"/>
        <v>=5.189*100000000</v>
      </c>
      <c r="Z815" s="1">
        <f>5.189*100000000</f>
        <v>518900000</v>
      </c>
      <c r="AA815" s="8">
        <f t="shared" si="393"/>
        <v>-0.26646875883517107</v>
      </c>
      <c r="AB815" s="6" t="s">
        <v>8823</v>
      </c>
      <c r="AC815" s="6" t="str">
        <f t="shared" si="377"/>
        <v>=7.074*100000000</v>
      </c>
      <c r="AD815" s="1">
        <f>7.074*100000000</f>
        <v>707400000</v>
      </c>
      <c r="AE815" s="8">
        <f t="shared" si="394"/>
        <v>-0.14244150806158323</v>
      </c>
      <c r="AF815" s="6" t="s">
        <v>9097</v>
      </c>
      <c r="AG815" s="6" t="str">
        <f t="shared" si="378"/>
        <v>=8.249*100000000</v>
      </c>
      <c r="AH815" s="1">
        <f>8.249*100000000</f>
        <v>824900000</v>
      </c>
      <c r="AI815" s="8">
        <f t="shared" si="395"/>
        <v>-0.65969471947194724</v>
      </c>
      <c r="AJ815" s="6" t="s">
        <v>9098</v>
      </c>
      <c r="AK815" s="6" t="str">
        <f t="shared" si="379"/>
        <v>=24.24*100000000</v>
      </c>
      <c r="AL815" s="1">
        <f>24.24*100000000</f>
        <v>2424000000</v>
      </c>
      <c r="AM815" s="8">
        <f t="shared" si="396"/>
        <v>0.40277777777777779</v>
      </c>
      <c r="AN815" s="6" t="s">
        <v>2668</v>
      </c>
      <c r="AO815" s="6" t="str">
        <f t="shared" si="380"/>
        <v>=17.28*100000000</v>
      </c>
      <c r="AP815" s="1">
        <f>17.28*100000000</f>
        <v>1728000000</v>
      </c>
      <c r="AQ815" s="8">
        <f t="shared" si="397"/>
        <v>0.31406844106463877</v>
      </c>
      <c r="AR815" s="6" t="s">
        <v>1571</v>
      </c>
      <c r="AS815" s="6" t="str">
        <f t="shared" si="381"/>
        <v>=13.15*100000000</v>
      </c>
      <c r="AT815" s="1">
        <f>13.15*100000000</f>
        <v>1315000000</v>
      </c>
      <c r="AU815" s="8">
        <f t="shared" si="398"/>
        <v>0.34101570467060999</v>
      </c>
      <c r="AV815" s="6" t="s">
        <v>9099</v>
      </c>
      <c r="AW815" s="6" t="str">
        <f t="shared" si="382"/>
        <v>=9.806*100000000</v>
      </c>
      <c r="AX815" s="1">
        <f>9.806*100000000</f>
        <v>980599999.99999988</v>
      </c>
      <c r="AY815" s="10">
        <f t="shared" si="399"/>
        <v>-0.45095184770436736</v>
      </c>
      <c r="AZ815" s="6" t="s">
        <v>7590</v>
      </c>
      <c r="BA815" s="6" t="str">
        <f t="shared" si="383"/>
        <v>=17.86*100000000</v>
      </c>
      <c r="BB815" s="1">
        <f>17.86*100000000</f>
        <v>1786000000</v>
      </c>
      <c r="BC815" s="8">
        <f t="shared" si="400"/>
        <v>0.2913955169920463</v>
      </c>
      <c r="BD815" s="6" t="s">
        <v>9100</v>
      </c>
      <c r="BE815" s="6" t="str">
        <f t="shared" si="384"/>
        <v>=13.83*100000000</v>
      </c>
      <c r="BF815" s="1">
        <f>13.83*100000000</f>
        <v>1383000000</v>
      </c>
      <c r="BG815" s="8">
        <f t="shared" si="401"/>
        <v>0.15732217573221757</v>
      </c>
      <c r="BH815" s="6" t="s">
        <v>4331</v>
      </c>
      <c r="BI815" s="6" t="str">
        <f t="shared" si="385"/>
        <v>=11.95*100000000</v>
      </c>
      <c r="BJ815" s="1">
        <f>11.95*100000000</f>
        <v>1195000000</v>
      </c>
      <c r="BK815" s="6" t="s">
        <v>9101</v>
      </c>
      <c r="BL815" s="1" t="str">
        <f t="shared" si="387"/>
        <v>=7.210*100000000</v>
      </c>
      <c r="BM815" s="16">
        <f t="shared" si="402"/>
        <v>0.6574202496532594</v>
      </c>
      <c r="BN815" s="1">
        <f>7.21*100000000</f>
        <v>721000000</v>
      </c>
    </row>
    <row r="816" spans="1:66">
      <c r="A816" s="18"/>
      <c r="B816">
        <v>600673</v>
      </c>
      <c r="C816" t="s">
        <v>58</v>
      </c>
      <c r="D816" s="6" t="s">
        <v>3364</v>
      </c>
      <c r="E816" s="7" t="str">
        <f t="shared" si="386"/>
        <v>=9.213*100000000</v>
      </c>
      <c r="F816" s="1">
        <f>9.213*100000000</f>
        <v>921299999.99999988</v>
      </c>
      <c r="G816" s="8">
        <f t="shared" si="388"/>
        <v>17.268887566924448</v>
      </c>
      <c r="H816" s="7" t="s">
        <v>9102</v>
      </c>
      <c r="I816" s="6" t="str">
        <f t="shared" si="372"/>
        <v>=5043*10000</v>
      </c>
      <c r="J816" s="1">
        <f>5043*10000</f>
        <v>50430000</v>
      </c>
      <c r="K816" s="10">
        <f t="shared" si="389"/>
        <v>-1.2638932496075352</v>
      </c>
      <c r="L816" s="6">
        <f>-1.911*100000000</f>
        <v>-191100000</v>
      </c>
      <c r="M816" s="6" t="str">
        <f t="shared" si="373"/>
        <v>=-191100000</v>
      </c>
      <c r="N816" s="1">
        <f>-191100000</f>
        <v>-191100000</v>
      </c>
      <c r="O816" s="8">
        <f t="shared" si="390"/>
        <v>1.3068565910188314</v>
      </c>
      <c r="P816" s="7">
        <f>-8284*10000</f>
        <v>-82840000</v>
      </c>
      <c r="Q816" s="6" t="str">
        <f t="shared" si="374"/>
        <v>=-82840000</v>
      </c>
      <c r="R816" s="11">
        <f>-82840000</f>
        <v>-82840000</v>
      </c>
      <c r="S816" s="8">
        <f t="shared" si="391"/>
        <v>-1.081615763546798</v>
      </c>
      <c r="T816" s="6" t="s">
        <v>1036</v>
      </c>
      <c r="U816" s="6" t="str">
        <f t="shared" si="375"/>
        <v>=10.15*100000000</v>
      </c>
      <c r="V816" s="1">
        <f>10.15*100000000</f>
        <v>1015000000</v>
      </c>
      <c r="W816" s="8">
        <f t="shared" si="392"/>
        <v>1.0114942528735633</v>
      </c>
      <c r="X816" s="6" t="s">
        <v>9103</v>
      </c>
      <c r="Y816" s="6" t="str">
        <f t="shared" si="376"/>
        <v>=5.046*100000000</v>
      </c>
      <c r="Z816" s="1">
        <f>5.046*100000000</f>
        <v>504600000</v>
      </c>
      <c r="AA816" s="8">
        <f t="shared" si="393"/>
        <v>-0.26922519913106446</v>
      </c>
      <c r="AB816" s="6" t="s">
        <v>9104</v>
      </c>
      <c r="AC816" s="6" t="str">
        <f t="shared" si="377"/>
        <v>=6.905*100000000</v>
      </c>
      <c r="AD816" s="1">
        <f>6.905*100000000</f>
        <v>690500000</v>
      </c>
      <c r="AE816" s="8">
        <f t="shared" si="394"/>
        <v>-0.1610982869639169</v>
      </c>
      <c r="AF816" s="6" t="s">
        <v>9105</v>
      </c>
      <c r="AG816" s="6" t="str">
        <f t="shared" si="378"/>
        <v>=8.231*100000000</v>
      </c>
      <c r="AH816" s="1">
        <f>8.231*100000000</f>
        <v>823100000</v>
      </c>
      <c r="AI816" s="8">
        <f t="shared" si="395"/>
        <v>-0.65874792703150908</v>
      </c>
      <c r="AJ816" s="6" t="s">
        <v>9106</v>
      </c>
      <c r="AK816" s="6" t="str">
        <f t="shared" si="379"/>
        <v>=24.12*100000000</v>
      </c>
      <c r="AL816" s="1">
        <f>24.12*100000000</f>
        <v>2412000000</v>
      </c>
      <c r="AM816" s="8">
        <f t="shared" si="396"/>
        <v>0.40477577169481632</v>
      </c>
      <c r="AN816" s="6" t="s">
        <v>9107</v>
      </c>
      <c r="AO816" s="6" t="str">
        <f t="shared" si="380"/>
        <v>=17.17*100000000</v>
      </c>
      <c r="AP816" s="1">
        <f>17.17*100000000</f>
        <v>1717000000.0000002</v>
      </c>
      <c r="AQ816" s="8">
        <f t="shared" si="397"/>
        <v>0.31168831168831185</v>
      </c>
      <c r="AR816" s="6" t="s">
        <v>6409</v>
      </c>
      <c r="AS816" s="6" t="str">
        <f t="shared" si="381"/>
        <v>=13.09*100000000</v>
      </c>
      <c r="AT816" s="1">
        <f>13.09*100000000</f>
        <v>1309000000</v>
      </c>
      <c r="AU816" s="8">
        <f t="shared" si="398"/>
        <v>0.33612330305195454</v>
      </c>
      <c r="AV816" s="6" t="s">
        <v>9108</v>
      </c>
      <c r="AW816" s="6" t="str">
        <f t="shared" si="382"/>
        <v>=9.797*100000000</v>
      </c>
      <c r="AX816" s="1">
        <f>9.797*100000000</f>
        <v>979700000.00000012</v>
      </c>
      <c r="AY816" s="10">
        <f t="shared" si="399"/>
        <v>-0.45359732292247623</v>
      </c>
      <c r="AZ816" s="6" t="s">
        <v>9109</v>
      </c>
      <c r="BA816" s="6" t="str">
        <f t="shared" si="383"/>
        <v>=17.93*100000000</v>
      </c>
      <c r="BB816" s="1">
        <f>17.93*100000000</f>
        <v>1793000000</v>
      </c>
      <c r="BC816" s="8">
        <f t="shared" si="400"/>
        <v>0.30685131195335275</v>
      </c>
      <c r="BD816" s="6" t="s">
        <v>9110</v>
      </c>
      <c r="BE816" s="6" t="str">
        <f t="shared" si="384"/>
        <v>=13.72*100000000</v>
      </c>
      <c r="BF816" s="1">
        <f>13.72*100000000</f>
        <v>1372000000</v>
      </c>
      <c r="BG816" s="8">
        <f t="shared" si="401"/>
        <v>0.15488215488215487</v>
      </c>
      <c r="BH816" s="6" t="s">
        <v>342</v>
      </c>
      <c r="BI816" s="6" t="str">
        <f t="shared" si="385"/>
        <v>=11.88*100000000</v>
      </c>
      <c r="BJ816" s="1">
        <f>11.88*100000000</f>
        <v>1188000000</v>
      </c>
      <c r="BK816" s="6" t="s">
        <v>9111</v>
      </c>
      <c r="BL816" s="1" t="str">
        <f t="shared" si="387"/>
        <v>=7.148*100000000</v>
      </c>
      <c r="BM816" s="16">
        <f t="shared" si="402"/>
        <v>0.66200335758254059</v>
      </c>
      <c r="BN816" s="1">
        <f>7.148*100000000</f>
        <v>714800000</v>
      </c>
    </row>
    <row r="817" spans="1:66">
      <c r="A817" s="19"/>
      <c r="B817">
        <v>600673</v>
      </c>
      <c r="C817" t="s">
        <v>68</v>
      </c>
      <c r="D817" s="6" t="s">
        <v>168</v>
      </c>
      <c r="E817" s="7" t="str">
        <f t="shared" si="386"/>
        <v>=5.507*100000000</v>
      </c>
      <c r="F817" s="1">
        <f>5.507*100000000</f>
        <v>550700000</v>
      </c>
      <c r="G817" s="8">
        <f t="shared" si="388"/>
        <v>10.114026236125126</v>
      </c>
      <c r="H817" s="7" t="s">
        <v>9112</v>
      </c>
      <c r="I817" s="6" t="str">
        <f t="shared" si="372"/>
        <v>=4955*10000</v>
      </c>
      <c r="J817" s="1">
        <f>4955*10000</f>
        <v>49550000</v>
      </c>
      <c r="K817" s="10">
        <f t="shared" si="389"/>
        <v>-1.2992149758454106</v>
      </c>
      <c r="L817" s="6">
        <f>-1.656*100000000</f>
        <v>-165600000</v>
      </c>
      <c r="M817" s="6" t="str">
        <f t="shared" si="373"/>
        <v>=-165600000</v>
      </c>
      <c r="N817" s="1">
        <f>-165600000</f>
        <v>-165600000</v>
      </c>
      <c r="O817" s="8">
        <f t="shared" si="390"/>
        <v>1.0484908461157842</v>
      </c>
      <c r="P817" s="7">
        <f>-8084*10000</f>
        <v>-80840000</v>
      </c>
      <c r="Q817" s="6" t="str">
        <f t="shared" si="374"/>
        <v>=-80840000</v>
      </c>
      <c r="R817" s="11">
        <f>-80840000</f>
        <v>-80840000</v>
      </c>
      <c r="S817" s="8">
        <f t="shared" si="391"/>
        <v>-1.1011638092854461</v>
      </c>
      <c r="T817" s="6" t="s">
        <v>9113</v>
      </c>
      <c r="U817" s="6" t="str">
        <f t="shared" si="375"/>
        <v>=7.991*100000000</v>
      </c>
      <c r="V817" s="1">
        <f>7.991*100000000</f>
        <v>799100000</v>
      </c>
      <c r="W817" s="8">
        <f t="shared" si="392"/>
        <v>1.0611297394892958</v>
      </c>
      <c r="X817" s="6" t="s">
        <v>1721</v>
      </c>
      <c r="Y817" s="6" t="str">
        <f t="shared" si="376"/>
        <v>=3.877*100000000</v>
      </c>
      <c r="Z817" s="1">
        <f>3.877*100000000</f>
        <v>387700000</v>
      </c>
      <c r="AA817" s="8">
        <f t="shared" si="393"/>
        <v>-0.28137164040778501</v>
      </c>
      <c r="AB817" s="6" t="s">
        <v>9114</v>
      </c>
      <c r="AC817" s="6" t="str">
        <f t="shared" si="377"/>
        <v>=5.395*100000000</v>
      </c>
      <c r="AD817" s="1">
        <f>5.395*100000000</f>
        <v>539500000</v>
      </c>
      <c r="AE817" s="8">
        <f t="shared" si="394"/>
        <v>-0.19955489614243324</v>
      </c>
      <c r="AF817" s="6" t="s">
        <v>1028</v>
      </c>
      <c r="AG817" s="6" t="str">
        <f t="shared" si="378"/>
        <v>=6.740*100000000</v>
      </c>
      <c r="AH817" s="1">
        <f>6.74*100000000</f>
        <v>674000000</v>
      </c>
      <c r="AI817" s="8">
        <f t="shared" si="395"/>
        <v>-0.66283141570785387</v>
      </c>
      <c r="AJ817" s="6" t="s">
        <v>6577</v>
      </c>
      <c r="AK817" s="6" t="str">
        <f t="shared" si="379"/>
        <v>=19.99*100000000</v>
      </c>
      <c r="AL817" s="1">
        <f>19.99*100000000</f>
        <v>1998999999.9999998</v>
      </c>
      <c r="AM817" s="8">
        <f t="shared" si="396"/>
        <v>0.42075337597725643</v>
      </c>
      <c r="AN817" s="6" t="s">
        <v>4920</v>
      </c>
      <c r="AO817" s="6" t="str">
        <f t="shared" si="380"/>
        <v>=14.07*100000000</v>
      </c>
      <c r="AP817" s="1">
        <f>14.07*100000000</f>
        <v>1407000000</v>
      </c>
      <c r="AQ817" s="8">
        <f t="shared" si="397"/>
        <v>0.3211267605633803</v>
      </c>
      <c r="AR817" s="6" t="s">
        <v>3146</v>
      </c>
      <c r="AS817" s="6" t="str">
        <f t="shared" si="381"/>
        <v>=10.65*100000000</v>
      </c>
      <c r="AT817" s="1">
        <f>10.65*100000000</f>
        <v>1065000000</v>
      </c>
      <c r="AU817" s="8">
        <f t="shared" si="398"/>
        <v>0.29593575079094669</v>
      </c>
      <c r="AV817" s="6" t="s">
        <v>7588</v>
      </c>
      <c r="AW817" s="6" t="str">
        <f t="shared" si="382"/>
        <v>=8.218*100000000</v>
      </c>
      <c r="AX817" s="1">
        <f>8.218*100000000</f>
        <v>821800000</v>
      </c>
      <c r="AY817" s="10">
        <f t="shared" si="399"/>
        <v>-0.4495646349631614</v>
      </c>
      <c r="AZ817" s="6" t="s">
        <v>9115</v>
      </c>
      <c r="BA817" s="6" t="str">
        <f t="shared" si="383"/>
        <v>=14.93*100000000</v>
      </c>
      <c r="BB817" s="1">
        <f>14.93*100000000</f>
        <v>1493000000</v>
      </c>
      <c r="BC817" s="8">
        <f t="shared" si="400"/>
        <v>0.31426056338028169</v>
      </c>
      <c r="BD817" s="6" t="s">
        <v>5038</v>
      </c>
      <c r="BE817" s="6" t="str">
        <f t="shared" si="384"/>
        <v>=11.36*100000000</v>
      </c>
      <c r="BF817" s="1">
        <f>11.36*100000000</f>
        <v>1136000000</v>
      </c>
      <c r="BG817" s="8">
        <f t="shared" si="401"/>
        <v>0.14956486541185995</v>
      </c>
      <c r="BH817" s="6" t="s">
        <v>9116</v>
      </c>
      <c r="BI817" s="6" t="str">
        <f t="shared" si="385"/>
        <v>=9.882*100000000</v>
      </c>
      <c r="BJ817" s="1">
        <f>9.882*100000000</f>
        <v>988200000</v>
      </c>
      <c r="BK817" s="6" t="s">
        <v>9117</v>
      </c>
      <c r="BL817" s="1" t="str">
        <f t="shared" si="387"/>
        <v>=5.781*100000000</v>
      </c>
      <c r="BM817" s="16">
        <f t="shared" si="402"/>
        <v>0.70939283860923719</v>
      </c>
      <c r="BN817" s="1">
        <f>5.781*100000000</f>
        <v>578100000</v>
      </c>
    </row>
    <row r="818" spans="1:66">
      <c r="A818" s="17">
        <v>206</v>
      </c>
      <c r="B818">
        <v>600675</v>
      </c>
      <c r="C818" t="s">
        <v>31</v>
      </c>
      <c r="D818" s="6" t="s">
        <v>9118</v>
      </c>
      <c r="E818" s="7" t="str">
        <f t="shared" si="386"/>
        <v>=95.97*100000000</v>
      </c>
      <c r="F818" s="1">
        <f>95.97*100000000</f>
        <v>9597000000</v>
      </c>
      <c r="G818" s="8">
        <f t="shared" si="388"/>
        <v>0.1814600517050351</v>
      </c>
      <c r="H818" s="6" t="s">
        <v>9119</v>
      </c>
      <c r="I818" s="6" t="str">
        <f t="shared" si="372"/>
        <v>=81.23*100000000</v>
      </c>
      <c r="J818" s="1">
        <f>81.23*100000000</f>
        <v>8123000000</v>
      </c>
      <c r="K818" s="10">
        <f t="shared" si="389"/>
        <v>0.2255582377791189</v>
      </c>
      <c r="L818" s="6" t="s">
        <v>9120</v>
      </c>
      <c r="M818" s="6" t="str">
        <f t="shared" si="373"/>
        <v>=66.28*100000000</v>
      </c>
      <c r="N818" s="1">
        <f>66.28*100000000</f>
        <v>6628000000</v>
      </c>
      <c r="O818" s="8">
        <f t="shared" si="390"/>
        <v>7.2499377645008698</v>
      </c>
      <c r="P818" s="6" t="s">
        <v>9121</v>
      </c>
      <c r="Q818" s="6" t="str">
        <f t="shared" si="374"/>
        <v>=8.034*100000000</v>
      </c>
      <c r="R818" s="11">
        <f>8.034*100000000</f>
        <v>803400000.00000012</v>
      </c>
      <c r="S818" s="8">
        <f t="shared" si="391"/>
        <v>-0.9304415584415584</v>
      </c>
      <c r="T818" s="6" t="s">
        <v>1855</v>
      </c>
      <c r="U818" s="6" t="str">
        <f t="shared" si="375"/>
        <v>=115.5*100000000</v>
      </c>
      <c r="V818" s="1">
        <f>115.5*100000000</f>
        <v>11550000000</v>
      </c>
      <c r="W818" s="8">
        <f t="shared" si="392"/>
        <v>0.93564605329311212</v>
      </c>
      <c r="X818" s="6" t="s">
        <v>9122</v>
      </c>
      <c r="Y818" s="6" t="str">
        <f t="shared" si="376"/>
        <v>=59.67*100000000</v>
      </c>
      <c r="Z818" s="1">
        <f>59.67*100000000</f>
        <v>5967000000</v>
      </c>
      <c r="AA818" s="8">
        <f t="shared" si="393"/>
        <v>0.19963811821471653</v>
      </c>
      <c r="AB818" s="6" t="s">
        <v>9123</v>
      </c>
      <c r="AC818" s="6" t="str">
        <f t="shared" si="377"/>
        <v>=49.74*100000000</v>
      </c>
      <c r="AD818" s="1">
        <f>49.74*100000000</f>
        <v>4974000000</v>
      </c>
      <c r="AE818" s="8">
        <f t="shared" si="394"/>
        <v>2.7539622641509434</v>
      </c>
      <c r="AF818" s="6" t="s">
        <v>5107</v>
      </c>
      <c r="AG818" s="6" t="str">
        <f t="shared" si="378"/>
        <v>=13.25*100000000</v>
      </c>
      <c r="AH818" s="1">
        <f>13.25*100000000</f>
        <v>1325000000</v>
      </c>
      <c r="AI818" s="8">
        <f t="shared" si="395"/>
        <v>-0.90022590361445787</v>
      </c>
      <c r="AJ818" s="6" t="s">
        <v>1792</v>
      </c>
      <c r="AK818" s="6" t="str">
        <f t="shared" si="379"/>
        <v>=132.8*100000000</v>
      </c>
      <c r="AL818" s="1">
        <f>132.8*100000000</f>
        <v>13280000000.000002</v>
      </c>
      <c r="AM818" s="8">
        <f t="shared" si="396"/>
        <v>0.27081339712918678</v>
      </c>
      <c r="AN818" s="6" t="s">
        <v>9124</v>
      </c>
      <c r="AO818" s="6" t="str">
        <f t="shared" si="380"/>
        <v>=104.5*100000000</v>
      </c>
      <c r="AP818" s="1">
        <f>104.5*100000000</f>
        <v>10450000000</v>
      </c>
      <c r="AQ818" s="8">
        <f t="shared" si="397"/>
        <v>0.14320096269554752</v>
      </c>
      <c r="AR818" s="6" t="s">
        <v>9125</v>
      </c>
      <c r="AS818" s="6" t="str">
        <f t="shared" si="381"/>
        <v>=91.41*100000000</v>
      </c>
      <c r="AT818" s="1">
        <f>91.41*100000000</f>
        <v>9141000000</v>
      </c>
      <c r="AU818" s="8">
        <f t="shared" si="398"/>
        <v>0.34962350509375462</v>
      </c>
      <c r="AV818" s="6" t="s">
        <v>9126</v>
      </c>
      <c r="AW818" s="6" t="str">
        <f t="shared" si="382"/>
        <v>=67.73*100000000</v>
      </c>
      <c r="AX818" s="1">
        <f>67.73*100000000</f>
        <v>6773000000</v>
      </c>
      <c r="AY818" s="10">
        <f t="shared" si="399"/>
        <v>-0.64888543286677036</v>
      </c>
      <c r="AZ818" s="6" t="s">
        <v>9127</v>
      </c>
      <c r="BA818" s="6" t="str">
        <f t="shared" si="383"/>
        <v>=192.9*100000000</v>
      </c>
      <c r="BB818" s="1">
        <f>192.9*100000000</f>
        <v>19290000000</v>
      </c>
      <c r="BC818" s="8">
        <f t="shared" si="400"/>
        <v>1.12819947043248</v>
      </c>
      <c r="BD818" s="6" t="s">
        <v>9128</v>
      </c>
      <c r="BE818" s="6" t="str">
        <f t="shared" si="384"/>
        <v>=90.64*100000000</v>
      </c>
      <c r="BF818" s="1">
        <f>90.64*100000000</f>
        <v>9064000000</v>
      </c>
      <c r="BG818" s="8">
        <f t="shared" si="401"/>
        <v>0.18220946915351507</v>
      </c>
      <c r="BH818" s="6" t="s">
        <v>9129</v>
      </c>
      <c r="BI818" s="6" t="str">
        <f t="shared" si="385"/>
        <v>=76.67*100000000</v>
      </c>
      <c r="BJ818" s="1">
        <f>76.67*100000000</f>
        <v>7667000000</v>
      </c>
      <c r="BK818" s="6" t="s">
        <v>6182</v>
      </c>
      <c r="BL818" s="1" t="str">
        <f t="shared" si="387"/>
        <v>=15.31*100000000</v>
      </c>
      <c r="BM818" s="16">
        <f t="shared" si="402"/>
        <v>4.0078380143696934</v>
      </c>
      <c r="BN818" s="1">
        <f>15.31*100000000</f>
        <v>1531000000</v>
      </c>
    </row>
    <row r="819" spans="1:66">
      <c r="A819" s="18"/>
      <c r="B819">
        <v>600675</v>
      </c>
      <c r="C819" t="s">
        <v>48</v>
      </c>
      <c r="D819" s="6" t="s">
        <v>9130</v>
      </c>
      <c r="E819" s="7" t="str">
        <f t="shared" si="386"/>
        <v>=20.48*100000000</v>
      </c>
      <c r="F819" s="1">
        <f>20.48*100000000</f>
        <v>2048000000</v>
      </c>
      <c r="G819" s="8">
        <f t="shared" si="388"/>
        <v>-9.700176366843033E-2</v>
      </c>
      <c r="H819" s="6" t="s">
        <v>4265</v>
      </c>
      <c r="I819" s="6" t="str">
        <f t="shared" si="372"/>
        <v>=22.68*100000000</v>
      </c>
      <c r="J819" s="1">
        <f>22.68*100000000</f>
        <v>2268000000</v>
      </c>
      <c r="K819" s="10">
        <f t="shared" si="389"/>
        <v>8.5686931546194348E-2</v>
      </c>
      <c r="L819" s="6" t="s">
        <v>9131</v>
      </c>
      <c r="M819" s="6" t="str">
        <f t="shared" si="373"/>
        <v>=20.89*100000000</v>
      </c>
      <c r="N819" s="1">
        <f>20.89*100000000</f>
        <v>2089000000</v>
      </c>
      <c r="O819" s="8">
        <f t="shared" si="390"/>
        <v>13.721634954193094</v>
      </c>
      <c r="P819" s="6" t="s">
        <v>9132</v>
      </c>
      <c r="Q819" s="6" t="str">
        <f t="shared" si="374"/>
        <v>=1.419*100000000</v>
      </c>
      <c r="R819" s="11">
        <f>1.419*100000000</f>
        <v>141900000</v>
      </c>
      <c r="S819" s="8">
        <f t="shared" si="391"/>
        <v>-0.94514882102821807</v>
      </c>
      <c r="T819" s="6" t="s">
        <v>9133</v>
      </c>
      <c r="U819" s="6" t="str">
        <f t="shared" si="375"/>
        <v>=25.87*100000000</v>
      </c>
      <c r="V819" s="1">
        <f>25.87*100000000</f>
        <v>2587000000</v>
      </c>
      <c r="W819" s="8">
        <f t="shared" si="392"/>
        <v>0.64987244897959184</v>
      </c>
      <c r="X819" s="6" t="s">
        <v>4095</v>
      </c>
      <c r="Y819" s="6" t="str">
        <f t="shared" si="376"/>
        <v>=15.68*100000000</v>
      </c>
      <c r="Z819" s="1">
        <f>15.68*100000000</f>
        <v>1568000000</v>
      </c>
      <c r="AA819" s="8">
        <f t="shared" si="393"/>
        <v>4.3246839654025281E-2</v>
      </c>
      <c r="AB819" s="6" t="s">
        <v>9134</v>
      </c>
      <c r="AC819" s="6" t="str">
        <f t="shared" si="377"/>
        <v>=15.03*100000000</v>
      </c>
      <c r="AD819" s="1">
        <f>15.03*100000000</f>
        <v>1503000000</v>
      </c>
      <c r="AE819" s="8">
        <f t="shared" si="394"/>
        <v>7.0117270788912576</v>
      </c>
      <c r="AF819" s="6" t="s">
        <v>1551</v>
      </c>
      <c r="AG819" s="6" t="str">
        <f t="shared" si="378"/>
        <v>=1.876*100000000</v>
      </c>
      <c r="AH819" s="1">
        <f>1.876*100000000</f>
        <v>187600000</v>
      </c>
      <c r="AI819" s="8">
        <f t="shared" si="395"/>
        <v>-0.95197132616487457</v>
      </c>
      <c r="AJ819" s="6" t="s">
        <v>9135</v>
      </c>
      <c r="AK819" s="6" t="str">
        <f t="shared" si="379"/>
        <v>=39.06*100000000</v>
      </c>
      <c r="AL819" s="1">
        <f>39.06*100000000</f>
        <v>3906000000</v>
      </c>
      <c r="AM819" s="8">
        <f t="shared" si="396"/>
        <v>0.19595835884874482</v>
      </c>
      <c r="AN819" s="6" t="s">
        <v>5637</v>
      </c>
      <c r="AO819" s="6" t="str">
        <f t="shared" si="380"/>
        <v>=32.66*100000000</v>
      </c>
      <c r="AP819" s="1">
        <f>32.66*100000000</f>
        <v>3265999999.9999995</v>
      </c>
      <c r="AQ819" s="8">
        <f t="shared" si="397"/>
        <v>0.10824567356633849</v>
      </c>
      <c r="AR819" s="6" t="s">
        <v>9136</v>
      </c>
      <c r="AS819" s="6" t="str">
        <f t="shared" si="381"/>
        <v>=29.47*100000000</v>
      </c>
      <c r="AT819" s="1">
        <f>29.47*100000000</f>
        <v>2947000000</v>
      </c>
      <c r="AU819" s="8">
        <f t="shared" si="398"/>
        <v>0.27080638206123331</v>
      </c>
      <c r="AV819" s="6" t="s">
        <v>9137</v>
      </c>
      <c r="AW819" s="6" t="str">
        <f t="shared" si="382"/>
        <v>=23.19*100000000</v>
      </c>
      <c r="AX819" s="1">
        <f>23.19*100000000</f>
        <v>2319000000</v>
      </c>
      <c r="AY819" s="10">
        <f t="shared" si="399"/>
        <v>-0.50032320620555915</v>
      </c>
      <c r="AZ819" s="6" t="s">
        <v>9138</v>
      </c>
      <c r="BA819" s="6" t="str">
        <f t="shared" si="383"/>
        <v>=46.41*100000000</v>
      </c>
      <c r="BB819" s="1">
        <f>46.41*100000000</f>
        <v>4641000000</v>
      </c>
      <c r="BC819" s="8">
        <f t="shared" si="400"/>
        <v>1.9807321772639692</v>
      </c>
      <c r="BD819" s="6" t="s">
        <v>9139</v>
      </c>
      <c r="BE819" s="6" t="str">
        <f t="shared" si="384"/>
        <v>=15.57*100000000</v>
      </c>
      <c r="BF819" s="1">
        <f>15.57*100000000</f>
        <v>1557000000</v>
      </c>
      <c r="BG819" s="8">
        <f t="shared" si="401"/>
        <v>1.235370611183355E-2</v>
      </c>
      <c r="BH819" s="6" t="s">
        <v>64</v>
      </c>
      <c r="BI819" s="6" t="str">
        <f t="shared" si="385"/>
        <v>=15.38*100000000</v>
      </c>
      <c r="BJ819" s="1">
        <f>15.38*100000000</f>
        <v>1538000000</v>
      </c>
      <c r="BK819" s="7" t="s">
        <v>7305</v>
      </c>
      <c r="BL819" s="1" t="str">
        <f t="shared" si="387"/>
        <v>=2441*10000</v>
      </c>
      <c r="BM819" s="16">
        <f t="shared" si="402"/>
        <v>62.006964358869318</v>
      </c>
      <c r="BN819" s="1">
        <f>2441*10000</f>
        <v>24410000</v>
      </c>
    </row>
    <row r="820" spans="1:66">
      <c r="A820" s="18"/>
      <c r="B820">
        <v>600675</v>
      </c>
      <c r="C820" t="s">
        <v>58</v>
      </c>
      <c r="D820" s="6" t="s">
        <v>9140</v>
      </c>
      <c r="E820" s="7" t="str">
        <f t="shared" si="386"/>
        <v>=20.53*100000000</v>
      </c>
      <c r="F820" s="1">
        <f>20.53*100000000</f>
        <v>2053000000</v>
      </c>
      <c r="G820" s="8">
        <f t="shared" si="388"/>
        <v>-0.10035056967572305</v>
      </c>
      <c r="H820" s="6" t="s">
        <v>9141</v>
      </c>
      <c r="I820" s="6" t="str">
        <f t="shared" si="372"/>
        <v>=22.82*100000000</v>
      </c>
      <c r="J820" s="1">
        <f>22.82*100000000</f>
        <v>2282000000</v>
      </c>
      <c r="K820" s="10">
        <f t="shared" si="389"/>
        <v>8.666666666666667E-2</v>
      </c>
      <c r="L820" s="6" t="s">
        <v>9142</v>
      </c>
      <c r="M820" s="6" t="str">
        <f t="shared" si="373"/>
        <v>=21.00*100000000</v>
      </c>
      <c r="N820" s="1">
        <f>21*100000000</f>
        <v>2100000000</v>
      </c>
      <c r="O820" s="8">
        <f t="shared" si="390"/>
        <v>12.7524557956778</v>
      </c>
      <c r="P820" s="6" t="s">
        <v>2536</v>
      </c>
      <c r="Q820" s="6" t="str">
        <f t="shared" si="374"/>
        <v>=1.527*100000000</v>
      </c>
      <c r="R820" s="11">
        <f>1.527*100000000</f>
        <v>152700000</v>
      </c>
      <c r="S820" s="8">
        <f t="shared" si="391"/>
        <v>-0.94133691893968496</v>
      </c>
      <c r="T820" s="6" t="s">
        <v>9143</v>
      </c>
      <c r="U820" s="6" t="str">
        <f t="shared" si="375"/>
        <v>=26.03*100000000</v>
      </c>
      <c r="V820" s="1">
        <f>26.03*100000000</f>
        <v>2603000000</v>
      </c>
      <c r="W820" s="8">
        <f t="shared" si="392"/>
        <v>0.64538558786346401</v>
      </c>
      <c r="X820" s="6" t="s">
        <v>9144</v>
      </c>
      <c r="Y820" s="6" t="str">
        <f t="shared" si="376"/>
        <v>=15.82*100000000</v>
      </c>
      <c r="Z820" s="1">
        <f>15.82*100000000</f>
        <v>1582000000</v>
      </c>
      <c r="AA820" s="8">
        <f t="shared" si="393"/>
        <v>4.2160737812911728E-2</v>
      </c>
      <c r="AB820" s="6" t="s">
        <v>892</v>
      </c>
      <c r="AC820" s="6" t="str">
        <f t="shared" si="377"/>
        <v>=15.18*100000000</v>
      </c>
      <c r="AD820" s="1">
        <f>15.18*100000000</f>
        <v>1518000000</v>
      </c>
      <c r="AE820" s="8">
        <f t="shared" si="394"/>
        <v>6.5260287555775909</v>
      </c>
      <c r="AF820" s="6" t="s">
        <v>9145</v>
      </c>
      <c r="AG820" s="6" t="str">
        <f t="shared" si="378"/>
        <v>=2.017*100000000</v>
      </c>
      <c r="AH820" s="1">
        <f>2.017*100000000</f>
        <v>201700000</v>
      </c>
      <c r="AI820" s="8">
        <f t="shared" si="395"/>
        <v>-0.94894963300430268</v>
      </c>
      <c r="AJ820" s="6" t="s">
        <v>9146</v>
      </c>
      <c r="AK820" s="6" t="str">
        <f t="shared" si="379"/>
        <v>=39.51*100000000</v>
      </c>
      <c r="AL820" s="1">
        <f>39.51*100000000</f>
        <v>3951000000</v>
      </c>
      <c r="AM820" s="8">
        <f t="shared" si="396"/>
        <v>0.19473843362564258</v>
      </c>
      <c r="AN820" s="6" t="s">
        <v>9147</v>
      </c>
      <c r="AO820" s="6" t="str">
        <f t="shared" si="380"/>
        <v>=33.07*100000000</v>
      </c>
      <c r="AP820" s="1">
        <f>33.07*100000000</f>
        <v>3307000000</v>
      </c>
      <c r="AQ820" s="8">
        <f t="shared" si="397"/>
        <v>0.11722972972972973</v>
      </c>
      <c r="AR820" s="6" t="s">
        <v>7964</v>
      </c>
      <c r="AS820" s="6" t="str">
        <f t="shared" si="381"/>
        <v>=29.60*100000000</v>
      </c>
      <c r="AT820" s="1">
        <f>29.6*100000000</f>
        <v>2960000000</v>
      </c>
      <c r="AU820" s="8">
        <f t="shared" si="398"/>
        <v>0.26875267895413629</v>
      </c>
      <c r="AV820" s="6" t="s">
        <v>5412</v>
      </c>
      <c r="AW820" s="6" t="str">
        <f t="shared" si="382"/>
        <v>=23.33*100000000</v>
      </c>
      <c r="AX820" s="1">
        <f>23.33*100000000</f>
        <v>2333000000</v>
      </c>
      <c r="AY820" s="10">
        <f t="shared" si="399"/>
        <v>-0.50435521563628638</v>
      </c>
      <c r="AZ820" s="6" t="s">
        <v>9148</v>
      </c>
      <c r="BA820" s="6" t="str">
        <f t="shared" si="383"/>
        <v>=47.07*100000000</v>
      </c>
      <c r="BB820" s="1">
        <f>47.07*100000000</f>
        <v>4707000000</v>
      </c>
      <c r="BC820" s="8">
        <f t="shared" si="400"/>
        <v>2.0192431045542012</v>
      </c>
      <c r="BD820" s="6" t="s">
        <v>339</v>
      </c>
      <c r="BE820" s="6" t="str">
        <f t="shared" si="384"/>
        <v>=15.59*100000000</v>
      </c>
      <c r="BF820" s="1">
        <f>15.59*100000000</f>
        <v>1559000000</v>
      </c>
      <c r="BG820" s="8">
        <f t="shared" si="401"/>
        <v>1.2995451591942819E-2</v>
      </c>
      <c r="BH820" s="6" t="s">
        <v>9149</v>
      </c>
      <c r="BI820" s="6" t="str">
        <f t="shared" si="385"/>
        <v>=15.39*100000000</v>
      </c>
      <c r="BJ820" s="1">
        <f>15.39*100000000</f>
        <v>1539000000</v>
      </c>
      <c r="BK820" s="7" t="s">
        <v>9150</v>
      </c>
      <c r="BL820" s="1" t="str">
        <f t="shared" si="387"/>
        <v>=2621*10000</v>
      </c>
      <c r="BM820" s="16">
        <f t="shared" si="402"/>
        <v>57.718046547119421</v>
      </c>
      <c r="BN820" s="1">
        <f>2621*10000</f>
        <v>26210000</v>
      </c>
    </row>
    <row r="821" spans="1:66">
      <c r="A821" s="19"/>
      <c r="B821">
        <v>600675</v>
      </c>
      <c r="C821" t="s">
        <v>68</v>
      </c>
      <c r="D821" s="6" t="s">
        <v>4221</v>
      </c>
      <c r="E821" s="7" t="str">
        <f t="shared" si="386"/>
        <v>=11.82*100000000</v>
      </c>
      <c r="F821" s="1">
        <f>11.82*100000000</f>
        <v>1182000000</v>
      </c>
      <c r="G821" s="8">
        <f t="shared" si="388"/>
        <v>-0.22031662269129287</v>
      </c>
      <c r="H821" s="6" t="s">
        <v>5235</v>
      </c>
      <c r="I821" s="6" t="str">
        <f t="shared" si="372"/>
        <v>=15.16*100000000</v>
      </c>
      <c r="J821" s="1">
        <f>15.16*100000000</f>
        <v>1516000000</v>
      </c>
      <c r="K821" s="10">
        <f t="shared" si="389"/>
        <v>6.0139860139860141E-2</v>
      </c>
      <c r="L821" s="6" t="s">
        <v>2791</v>
      </c>
      <c r="M821" s="6" t="str">
        <f t="shared" si="373"/>
        <v>=14.30*100000000</v>
      </c>
      <c r="N821" s="1">
        <f>14.3*100000000</f>
        <v>1430000000</v>
      </c>
      <c r="O821" s="8">
        <f t="shared" si="390"/>
        <v>12.910505836575876</v>
      </c>
      <c r="P821" s="6" t="s">
        <v>9151</v>
      </c>
      <c r="Q821" s="6" t="str">
        <f t="shared" si="374"/>
        <v>=1.028*100000000</v>
      </c>
      <c r="R821" s="11">
        <f>1.028*100000000</f>
        <v>102800000</v>
      </c>
      <c r="S821" s="8">
        <f t="shared" si="391"/>
        <v>-0.94818548387096779</v>
      </c>
      <c r="T821" s="6" t="s">
        <v>3607</v>
      </c>
      <c r="U821" s="6" t="str">
        <f t="shared" si="375"/>
        <v>=19.84*100000000</v>
      </c>
      <c r="V821" s="1">
        <f>19.84*100000000</f>
        <v>1984000000</v>
      </c>
      <c r="W821" s="8">
        <f t="shared" si="392"/>
        <v>0.67003367003366998</v>
      </c>
      <c r="X821" s="6" t="s">
        <v>342</v>
      </c>
      <c r="Y821" s="6" t="str">
        <f t="shared" si="376"/>
        <v>=11.88*100000000</v>
      </c>
      <c r="Z821" s="1">
        <f>11.88*100000000</f>
        <v>1188000000</v>
      </c>
      <c r="AA821" s="8">
        <f t="shared" si="393"/>
        <v>4.7619047619047616E-2</v>
      </c>
      <c r="AB821" s="6" t="s">
        <v>6069</v>
      </c>
      <c r="AC821" s="6" t="str">
        <f t="shared" si="377"/>
        <v>=11.34*100000000</v>
      </c>
      <c r="AD821" s="1">
        <f>11.34*100000000</f>
        <v>1134000000</v>
      </c>
      <c r="AE821" s="8">
        <f t="shared" si="394"/>
        <v>5.1530113944655449</v>
      </c>
      <c r="AF821" s="6" t="s">
        <v>1558</v>
      </c>
      <c r="AG821" s="6" t="str">
        <f t="shared" si="378"/>
        <v>=1.843*100000000</v>
      </c>
      <c r="AH821" s="1">
        <f>1.843*100000000</f>
        <v>184300000</v>
      </c>
      <c r="AI821" s="8">
        <f t="shared" si="395"/>
        <v>-0.93600694444444443</v>
      </c>
      <c r="AJ821" s="6" t="s">
        <v>9152</v>
      </c>
      <c r="AK821" s="6" t="str">
        <f t="shared" si="379"/>
        <v>=28.80*100000000</v>
      </c>
      <c r="AL821" s="1">
        <f>28.8*100000000</f>
        <v>2880000000</v>
      </c>
      <c r="AM821" s="8">
        <f t="shared" si="396"/>
        <v>0.19502074688796681</v>
      </c>
      <c r="AN821" s="6" t="s">
        <v>3045</v>
      </c>
      <c r="AO821" s="6" t="str">
        <f t="shared" si="380"/>
        <v>=24.10*100000000</v>
      </c>
      <c r="AP821" s="1">
        <f>24.1*100000000</f>
        <v>2410000000</v>
      </c>
      <c r="AQ821" s="8">
        <f t="shared" si="397"/>
        <v>0.11884865366759517</v>
      </c>
      <c r="AR821" s="6" t="s">
        <v>1863</v>
      </c>
      <c r="AS821" s="6" t="str">
        <f t="shared" si="381"/>
        <v>=21.54*100000000</v>
      </c>
      <c r="AT821" s="1">
        <f>21.54*100000000</f>
        <v>2154000000</v>
      </c>
      <c r="AU821" s="8">
        <f t="shared" si="398"/>
        <v>0.24869565217391304</v>
      </c>
      <c r="AV821" s="6" t="s">
        <v>1742</v>
      </c>
      <c r="AW821" s="6" t="str">
        <f t="shared" si="382"/>
        <v>=17.25*100000000</v>
      </c>
      <c r="AX821" s="1">
        <f>17.25*100000000</f>
        <v>1725000000</v>
      </c>
      <c r="AY821" s="10">
        <f t="shared" si="399"/>
        <v>-0.4695571955719558</v>
      </c>
      <c r="AZ821" s="6" t="s">
        <v>9153</v>
      </c>
      <c r="BA821" s="6" t="str">
        <f t="shared" si="383"/>
        <v>=32.52*100000000</v>
      </c>
      <c r="BB821" s="1">
        <f>32.52*100000000</f>
        <v>3252000000.0000005</v>
      </c>
      <c r="BC821" s="8">
        <f t="shared" si="400"/>
        <v>2.01669758812616</v>
      </c>
      <c r="BD821" s="6" t="s">
        <v>9154</v>
      </c>
      <c r="BE821" s="6" t="str">
        <f t="shared" si="384"/>
        <v>=10.78*100000000</v>
      </c>
      <c r="BF821" s="1">
        <f>10.78*100000000</f>
        <v>1078000000</v>
      </c>
      <c r="BG821" s="8">
        <f t="shared" si="401"/>
        <v>3.7243947858472998E-3</v>
      </c>
      <c r="BH821" s="6" t="s">
        <v>4564</v>
      </c>
      <c r="BI821" s="6" t="str">
        <f t="shared" si="385"/>
        <v>=10.74*100000000</v>
      </c>
      <c r="BJ821" s="1">
        <f>10.74*100000000</f>
        <v>1074000000</v>
      </c>
      <c r="BK821" s="7" t="s">
        <v>9155</v>
      </c>
      <c r="BL821" s="1" t="str">
        <f t="shared" si="387"/>
        <v>=1375*10000</v>
      </c>
      <c r="BM821" s="16">
        <f t="shared" si="402"/>
        <v>77.109090909090909</v>
      </c>
      <c r="BN821" s="1">
        <f>1375*10000</f>
        <v>13750000</v>
      </c>
    </row>
    <row r="822" spans="1:66">
      <c r="A822" s="17">
        <v>207</v>
      </c>
      <c r="B822">
        <v>600676</v>
      </c>
      <c r="C822" t="s">
        <v>31</v>
      </c>
      <c r="D822" s="6" t="s">
        <v>9156</v>
      </c>
      <c r="E822" s="7" t="str">
        <f t="shared" si="386"/>
        <v>=75.10*100000000</v>
      </c>
      <c r="F822" s="1">
        <f>75.1*100000000</f>
        <v>7509999999.999999</v>
      </c>
      <c r="G822" s="8">
        <f t="shared" si="388"/>
        <v>0.28244535519125669</v>
      </c>
      <c r="H822" s="6" t="s">
        <v>9157</v>
      </c>
      <c r="I822" s="6" t="str">
        <f t="shared" si="372"/>
        <v>=58.56*100000000</v>
      </c>
      <c r="J822" s="1">
        <f>58.56*100000000</f>
        <v>5856000000</v>
      </c>
      <c r="K822" s="10">
        <f t="shared" si="389"/>
        <v>0.48667174409748665</v>
      </c>
      <c r="L822" s="6" t="s">
        <v>9158</v>
      </c>
      <c r="M822" s="6" t="str">
        <f t="shared" si="373"/>
        <v>=39.39*100000000</v>
      </c>
      <c r="N822" s="1">
        <f>39.39*100000000</f>
        <v>3939000000</v>
      </c>
      <c r="O822" s="8">
        <f t="shared" si="390"/>
        <v>0.96950000000000003</v>
      </c>
      <c r="P822" s="6" t="s">
        <v>9159</v>
      </c>
      <c r="Q822" s="6" t="str">
        <f t="shared" si="374"/>
        <v>=20.00*100000000</v>
      </c>
      <c r="R822" s="11">
        <f>20*100000000</f>
        <v>2000000000</v>
      </c>
      <c r="S822" s="8">
        <f t="shared" si="391"/>
        <v>-0.7425997425997426</v>
      </c>
      <c r="T822" s="6" t="s">
        <v>9160</v>
      </c>
      <c r="U822" s="6" t="str">
        <f t="shared" si="375"/>
        <v>=77.70*100000000</v>
      </c>
      <c r="V822" s="1">
        <f>77.7*100000000</f>
        <v>7770000000</v>
      </c>
      <c r="W822" s="8">
        <f t="shared" si="392"/>
        <v>0.40939597315436244</v>
      </c>
      <c r="X822" s="6" t="s">
        <v>6475</v>
      </c>
      <c r="Y822" s="6" t="str">
        <f t="shared" si="376"/>
        <v>=55.13*100000000</v>
      </c>
      <c r="Z822" s="1">
        <f>55.13*100000000</f>
        <v>5513000000</v>
      </c>
      <c r="AA822" s="8">
        <f t="shared" si="393"/>
        <v>0.69422249539028891</v>
      </c>
      <c r="AB822" s="6" t="s">
        <v>231</v>
      </c>
      <c r="AC822" s="6" t="str">
        <f t="shared" si="377"/>
        <v>=32.54*100000000</v>
      </c>
      <c r="AD822" s="1">
        <f>32.54*100000000</f>
        <v>3254000000</v>
      </c>
      <c r="AE822" s="8">
        <f t="shared" si="394"/>
        <v>1.5461658841940531</v>
      </c>
      <c r="AF822" s="6" t="s">
        <v>9161</v>
      </c>
      <c r="AG822" s="6" t="str">
        <f t="shared" si="378"/>
        <v>=12.78*100000000</v>
      </c>
      <c r="AH822" s="1">
        <f>12.78*100000000</f>
        <v>1278000000</v>
      </c>
      <c r="AI822" s="8">
        <f t="shared" si="395"/>
        <v>-0.85303587856485741</v>
      </c>
      <c r="AJ822" s="6" t="s">
        <v>9162</v>
      </c>
      <c r="AK822" s="6" t="str">
        <f t="shared" si="379"/>
        <v>=86.96*100000000</v>
      </c>
      <c r="AL822" s="1">
        <f>86.96*100000000</f>
        <v>8696000000</v>
      </c>
      <c r="AM822" s="8">
        <f t="shared" si="396"/>
        <v>0.39202817352329117</v>
      </c>
      <c r="AN822" s="6" t="s">
        <v>9163</v>
      </c>
      <c r="AO822" s="6" t="str">
        <f t="shared" si="380"/>
        <v>=62.47*100000000</v>
      </c>
      <c r="AP822" s="1">
        <f>62.47*100000000</f>
        <v>6247000000</v>
      </c>
      <c r="AQ822" s="8">
        <f t="shared" si="397"/>
        <v>0.49736337488015342</v>
      </c>
      <c r="AR822" s="6" t="s">
        <v>9164</v>
      </c>
      <c r="AS822" s="6" t="str">
        <f t="shared" si="381"/>
        <v>=41.72*100000000</v>
      </c>
      <c r="AT822" s="1">
        <f>41.72*100000000</f>
        <v>4172000000</v>
      </c>
      <c r="AU822" s="8">
        <f t="shared" si="398"/>
        <v>1.1028225806451613</v>
      </c>
      <c r="AV822" s="6" t="s">
        <v>3607</v>
      </c>
      <c r="AW822" s="6" t="str">
        <f t="shared" si="382"/>
        <v>=19.84*100000000</v>
      </c>
      <c r="AX822" s="1">
        <f>19.84*100000000</f>
        <v>1984000000</v>
      </c>
      <c r="AY822" s="10">
        <f t="shared" si="399"/>
        <v>-0.79480814975695524</v>
      </c>
      <c r="AZ822" s="6" t="s">
        <v>9165</v>
      </c>
      <c r="BA822" s="6" t="str">
        <f t="shared" si="383"/>
        <v>=96.69*100000000</v>
      </c>
      <c r="BB822" s="1">
        <f>96.69*100000000</f>
        <v>9669000000</v>
      </c>
      <c r="BC822" s="8">
        <f t="shared" si="400"/>
        <v>0.34891183035714268</v>
      </c>
      <c r="BD822" s="6" t="s">
        <v>9166</v>
      </c>
      <c r="BE822" s="6" t="str">
        <f t="shared" si="384"/>
        <v>=71.68*100000000</v>
      </c>
      <c r="BF822" s="1">
        <f>71.68*100000000</f>
        <v>7168000000.000001</v>
      </c>
      <c r="BG822" s="8">
        <f t="shared" si="401"/>
        <v>0.56165577342047956</v>
      </c>
      <c r="BH822" s="6" t="s">
        <v>8247</v>
      </c>
      <c r="BI822" s="6" t="str">
        <f t="shared" si="385"/>
        <v>=45.90*100000000</v>
      </c>
      <c r="BJ822" s="1">
        <f>45.9*100000000</f>
        <v>4590000000</v>
      </c>
      <c r="BK822" s="6" t="s">
        <v>2949</v>
      </c>
      <c r="BL822" s="1" t="str">
        <f t="shared" si="387"/>
        <v>=21.84*100000000</v>
      </c>
      <c r="BM822" s="16">
        <f t="shared" si="402"/>
        <v>1.1016483516483517</v>
      </c>
      <c r="BN822" s="1">
        <f>21.84*100000000</f>
        <v>2184000000</v>
      </c>
    </row>
    <row r="823" spans="1:66">
      <c r="A823" s="18"/>
      <c r="B823">
        <v>600676</v>
      </c>
      <c r="C823" t="s">
        <v>48</v>
      </c>
      <c r="D823" s="7">
        <f>-8873*10000</f>
        <v>-88730000</v>
      </c>
      <c r="E823" s="7" t="str">
        <f t="shared" si="386"/>
        <v>=-88730000</v>
      </c>
      <c r="F823" s="1">
        <f>-88730000</f>
        <v>-88730000</v>
      </c>
      <c r="G823" s="8">
        <f t="shared" si="388"/>
        <v>-3.6066392479435958</v>
      </c>
      <c r="H823" s="7" t="s">
        <v>9167</v>
      </c>
      <c r="I823" s="6" t="str">
        <f t="shared" si="372"/>
        <v>=3404*10000</v>
      </c>
      <c r="J823" s="1">
        <f>3404*10000</f>
        <v>34040000</v>
      </c>
      <c r="K823" s="10">
        <f t="shared" si="389"/>
        <v>0.4375</v>
      </c>
      <c r="L823" s="7" t="s">
        <v>9168</v>
      </c>
      <c r="M823" s="6" t="str">
        <f t="shared" si="373"/>
        <v>=2368*10000</v>
      </c>
      <c r="N823" s="1">
        <f>2368*10000</f>
        <v>23680000</v>
      </c>
      <c r="O823" s="8">
        <f t="shared" si="390"/>
        <v>5.0110864745011086E-2</v>
      </c>
      <c r="P823" s="7" t="s">
        <v>8358</v>
      </c>
      <c r="Q823" s="6" t="str">
        <f t="shared" si="374"/>
        <v>=2255*10000</v>
      </c>
      <c r="R823" s="11">
        <f>2255*10000</f>
        <v>22550000</v>
      </c>
      <c r="S823" s="8">
        <f t="shared" si="391"/>
        <v>-1.0668940967072085</v>
      </c>
      <c r="T823" s="6">
        <f>-3.371*100000000</f>
        <v>-337100000</v>
      </c>
      <c r="U823" s="6" t="str">
        <f t="shared" si="375"/>
        <v>=-337100000</v>
      </c>
      <c r="V823" s="1">
        <f>-337100000</f>
        <v>-337100000</v>
      </c>
      <c r="W823" s="8">
        <f t="shared" si="392"/>
        <v>0.74663212435233162</v>
      </c>
      <c r="X823" s="6">
        <f>-1.93*100000000</f>
        <v>-193000000</v>
      </c>
      <c r="Y823" s="6" t="str">
        <f t="shared" si="376"/>
        <v>=-193000000</v>
      </c>
      <c r="Z823" s="1">
        <f>-193000000</f>
        <v>-193000000</v>
      </c>
      <c r="AA823" s="8">
        <f t="shared" si="393"/>
        <v>-1.4803471158754467E-2</v>
      </c>
      <c r="AB823" s="6">
        <f>-1.959*100000000</f>
        <v>-195900000</v>
      </c>
      <c r="AC823" s="6" t="str">
        <f t="shared" si="377"/>
        <v>=-195900000</v>
      </c>
      <c r="AD823" s="1">
        <f>-195900000</f>
        <v>-195900000</v>
      </c>
      <c r="AE823" s="8">
        <f t="shared" si="394"/>
        <v>0.14360770577933449</v>
      </c>
      <c r="AF823" s="6">
        <f>-1.713*100000000</f>
        <v>-171300000</v>
      </c>
      <c r="AG823" s="6" t="str">
        <f t="shared" si="378"/>
        <v>=-171300000</v>
      </c>
      <c r="AH823" s="1">
        <f>-171300000</f>
        <v>-171300000</v>
      </c>
      <c r="AI823" s="8">
        <f t="shared" si="395"/>
        <v>-2.3330739299610896</v>
      </c>
      <c r="AJ823" s="6" t="s">
        <v>2086</v>
      </c>
      <c r="AK823" s="6" t="str">
        <f t="shared" si="379"/>
        <v>=1.285*100000000</v>
      </c>
      <c r="AL823" s="1">
        <f>1.285*100000000</f>
        <v>128499999.99999999</v>
      </c>
      <c r="AM823" s="8">
        <f t="shared" si="396"/>
        <v>0.17673992673992645</v>
      </c>
      <c r="AN823" s="6" t="s">
        <v>2555</v>
      </c>
      <c r="AO823" s="6" t="str">
        <f t="shared" si="380"/>
        <v>=1.092*100000000</v>
      </c>
      <c r="AP823" s="1">
        <f>1.092*100000000</f>
        <v>109200000.00000001</v>
      </c>
      <c r="AQ823" s="8">
        <f t="shared" si="397"/>
        <v>0.20823190971453878</v>
      </c>
      <c r="AR823" s="7" t="s">
        <v>9169</v>
      </c>
      <c r="AS823" s="6" t="str">
        <f t="shared" si="381"/>
        <v>=9038*10000</v>
      </c>
      <c r="AT823" s="1">
        <f>9038*10000</f>
        <v>90380000</v>
      </c>
      <c r="AU823" s="8">
        <f t="shared" si="398"/>
        <v>0.46983249308830705</v>
      </c>
      <c r="AV823" s="7" t="s">
        <v>4291</v>
      </c>
      <c r="AW823" s="6" t="str">
        <f t="shared" si="382"/>
        <v>=6149*10000</v>
      </c>
      <c r="AX823" s="1">
        <f>6149*10000</f>
        <v>61490000</v>
      </c>
      <c r="AY823" s="10">
        <f t="shared" si="399"/>
        <v>-0.83754293262879786</v>
      </c>
      <c r="AZ823" s="6" t="s">
        <v>9170</v>
      </c>
      <c r="BA823" s="6" t="str">
        <f t="shared" si="383"/>
        <v>=3.785*100000000</v>
      </c>
      <c r="BB823" s="1">
        <f>3.785*100000000</f>
        <v>378500000</v>
      </c>
      <c r="BC823" s="8">
        <f t="shared" si="400"/>
        <v>0.22770029192345118</v>
      </c>
      <c r="BD823" s="6" t="s">
        <v>9171</v>
      </c>
      <c r="BE823" s="6" t="str">
        <f t="shared" si="384"/>
        <v>=3.083*100000000</v>
      </c>
      <c r="BF823" s="1">
        <f>3.083*100000000</f>
        <v>308300000</v>
      </c>
      <c r="BG823" s="8">
        <f t="shared" si="401"/>
        <v>0.11865021770682148</v>
      </c>
      <c r="BH823" s="6" t="s">
        <v>6368</v>
      </c>
      <c r="BI823" s="6" t="str">
        <f t="shared" si="385"/>
        <v>=2.756*100000000</v>
      </c>
      <c r="BJ823" s="1">
        <f>2.756*100000000</f>
        <v>275600000</v>
      </c>
      <c r="BK823" s="6" t="s">
        <v>9172</v>
      </c>
      <c r="BL823" s="1" t="str">
        <f t="shared" si="387"/>
        <v>=1.204*100000000</v>
      </c>
      <c r="BM823" s="16">
        <f t="shared" si="402"/>
        <v>1.2890365448504983</v>
      </c>
      <c r="BN823" s="1">
        <f>1.204*100000000</f>
        <v>120400000</v>
      </c>
    </row>
    <row r="824" spans="1:66">
      <c r="A824" s="18"/>
      <c r="B824">
        <v>600676</v>
      </c>
      <c r="C824" t="s">
        <v>58</v>
      </c>
      <c r="D824" s="7" t="s">
        <v>9173</v>
      </c>
      <c r="E824" s="7" t="str">
        <f t="shared" si="386"/>
        <v>=4474*10000</v>
      </c>
      <c r="F824" s="1">
        <f>4474*10000</f>
        <v>44740000</v>
      </c>
      <c r="G824" s="8">
        <f t="shared" si="388"/>
        <v>0.11100074497144276</v>
      </c>
      <c r="H824" s="7" t="s">
        <v>9174</v>
      </c>
      <c r="I824" s="6" t="str">
        <f t="shared" si="372"/>
        <v>=4027*10000</v>
      </c>
      <c r="J824" s="1">
        <f>4027*10000</f>
        <v>40270000</v>
      </c>
      <c r="K824" s="10">
        <f t="shared" si="389"/>
        <v>0.46383133406034172</v>
      </c>
      <c r="L824" s="7" t="s">
        <v>9175</v>
      </c>
      <c r="M824" s="6" t="str">
        <f t="shared" si="373"/>
        <v>=2751*10000</v>
      </c>
      <c r="N824" s="1">
        <f>2751*10000</f>
        <v>27510000</v>
      </c>
      <c r="O824" s="8">
        <f t="shared" si="390"/>
        <v>0.13536937680561287</v>
      </c>
      <c r="P824" s="7" t="s">
        <v>8414</v>
      </c>
      <c r="Q824" s="6" t="str">
        <f t="shared" si="374"/>
        <v>=2423*10000</v>
      </c>
      <c r="R824" s="11">
        <f>2423*10000</f>
        <v>24230000</v>
      </c>
      <c r="S824" s="8">
        <f t="shared" si="391"/>
        <v>-1.1131185807656396</v>
      </c>
      <c r="T824" s="6">
        <f>-2.142*100000000</f>
        <v>-214200000</v>
      </c>
      <c r="U824" s="6" t="str">
        <f t="shared" si="375"/>
        <v>=-214200000</v>
      </c>
      <c r="V824" s="1">
        <f>-214200000</f>
        <v>-214200000</v>
      </c>
      <c r="W824" s="8">
        <f t="shared" si="392"/>
        <v>0.34126487163431435</v>
      </c>
      <c r="X824" s="6">
        <f>-1.597*100000000</f>
        <v>-159700000</v>
      </c>
      <c r="Y824" s="6" t="str">
        <f t="shared" si="376"/>
        <v>=-159700000</v>
      </c>
      <c r="Z824" s="1">
        <f>-159700000</f>
        <v>-159700000</v>
      </c>
      <c r="AA824" s="8">
        <f t="shared" si="393"/>
        <v>-4.1991601679664065E-2</v>
      </c>
      <c r="AB824" s="6">
        <f>-1.667*100000000</f>
        <v>-166700000</v>
      </c>
      <c r="AC824" s="6" t="str">
        <f t="shared" si="377"/>
        <v>=-166700000</v>
      </c>
      <c r="AD824" s="1">
        <f>-166700000</f>
        <v>-166700000</v>
      </c>
      <c r="AE824" s="8">
        <f t="shared" si="394"/>
        <v>-2.571595558153127E-2</v>
      </c>
      <c r="AF824" s="6">
        <f>-1.711*100000000</f>
        <v>-171100000</v>
      </c>
      <c r="AG824" s="6" t="str">
        <f t="shared" si="378"/>
        <v>=-171100000</v>
      </c>
      <c r="AH824" s="1">
        <f>-171100000</f>
        <v>-171100000</v>
      </c>
      <c r="AI824" s="8">
        <f t="shared" si="395"/>
        <v>-1.8585047666833918</v>
      </c>
      <c r="AJ824" s="6" t="s">
        <v>9176</v>
      </c>
      <c r="AK824" s="6" t="str">
        <f t="shared" si="379"/>
        <v>=1.993*100000000</v>
      </c>
      <c r="AL824" s="1">
        <f>1.993*100000000</f>
        <v>199300000</v>
      </c>
      <c r="AM824" s="8">
        <f t="shared" si="396"/>
        <v>0.26379201014584652</v>
      </c>
      <c r="AN824" s="6" t="s">
        <v>1705</v>
      </c>
      <c r="AO824" s="6" t="str">
        <f t="shared" si="380"/>
        <v>=1.577*100000000</v>
      </c>
      <c r="AP824" s="1">
        <f>1.577*100000000</f>
        <v>157700000</v>
      </c>
      <c r="AQ824" s="8">
        <f t="shared" si="397"/>
        <v>0.70320768981531478</v>
      </c>
      <c r="AR824" s="7" t="s">
        <v>8316</v>
      </c>
      <c r="AS824" s="6" t="str">
        <f t="shared" si="381"/>
        <v>=9259*10000</v>
      </c>
      <c r="AT824" s="1">
        <f>9259*10000</f>
        <v>92590000</v>
      </c>
      <c r="AU824" s="8">
        <f t="shared" si="398"/>
        <v>0.4823887287864233</v>
      </c>
      <c r="AV824" s="7" t="s">
        <v>9177</v>
      </c>
      <c r="AW824" s="6" t="str">
        <f t="shared" si="382"/>
        <v>=6246*10000</v>
      </c>
      <c r="AX824" s="1">
        <f>6246*10000</f>
        <v>62460000</v>
      </c>
      <c r="AY824" s="10">
        <f t="shared" si="399"/>
        <v>-0.86556177356866126</v>
      </c>
      <c r="AZ824" s="6" t="s">
        <v>5135</v>
      </c>
      <c r="BA824" s="6" t="str">
        <f t="shared" si="383"/>
        <v>=4.646*100000000</v>
      </c>
      <c r="BB824" s="1">
        <f>4.646*100000000</f>
        <v>464600000</v>
      </c>
      <c r="BC824" s="8">
        <f t="shared" si="400"/>
        <v>0.48292371528886052</v>
      </c>
      <c r="BD824" s="6" t="s">
        <v>9178</v>
      </c>
      <c r="BE824" s="6" t="str">
        <f t="shared" si="384"/>
        <v>=3.133*100000000</v>
      </c>
      <c r="BF824" s="1">
        <f>3.133*100000000</f>
        <v>313300000</v>
      </c>
      <c r="BG824" s="8">
        <f t="shared" si="401"/>
        <v>0.13023088023088022</v>
      </c>
      <c r="BH824" s="6" t="s">
        <v>9179</v>
      </c>
      <c r="BI824" s="6" t="str">
        <f t="shared" si="385"/>
        <v>=2.772*100000000</v>
      </c>
      <c r="BJ824" s="1">
        <f>2.772*100000000</f>
        <v>277200000</v>
      </c>
      <c r="BK824" s="6" t="s">
        <v>9180</v>
      </c>
      <c r="BL824" s="1" t="str">
        <f t="shared" si="387"/>
        <v>=1.213*100000000</v>
      </c>
      <c r="BM824" s="16">
        <f t="shared" si="402"/>
        <v>1.285243198680956</v>
      </c>
      <c r="BN824" s="1">
        <f>1.213*100000000</f>
        <v>121300000.00000001</v>
      </c>
    </row>
    <row r="825" spans="1:66">
      <c r="A825" s="19"/>
      <c r="B825">
        <v>600676</v>
      </c>
      <c r="C825" t="s">
        <v>68</v>
      </c>
      <c r="D825" s="7">
        <f>-2359*10000</f>
        <v>-23590000</v>
      </c>
      <c r="E825" s="7" t="str">
        <f t="shared" si="386"/>
        <v>=-23590000</v>
      </c>
      <c r="F825" s="1">
        <f>-23590000</f>
        <v>-23590000</v>
      </c>
      <c r="G825" s="8">
        <f t="shared" si="388"/>
        <v>2.0379909851899551</v>
      </c>
      <c r="H825" s="7">
        <f>-776.5*10000</f>
        <v>-7765000</v>
      </c>
      <c r="I825" s="6" t="str">
        <f t="shared" si="372"/>
        <v>=-7765000</v>
      </c>
      <c r="J825" s="1">
        <f>-7765000</f>
        <v>-7765000</v>
      </c>
      <c r="K825" s="10">
        <f t="shared" si="389"/>
        <v>-4.3269065981148245</v>
      </c>
      <c r="L825" s="7" t="s">
        <v>9181</v>
      </c>
      <c r="M825" s="6" t="str">
        <f t="shared" si="373"/>
        <v>=233.4*10000</v>
      </c>
      <c r="N825" s="1">
        <f>233.4*10000</f>
        <v>2334000</v>
      </c>
      <c r="O825" s="8">
        <f t="shared" si="390"/>
        <v>-0.47503373819163291</v>
      </c>
      <c r="P825" s="7" t="s">
        <v>9182</v>
      </c>
      <c r="Q825" s="6" t="str">
        <f t="shared" si="374"/>
        <v>=444.6*10000</v>
      </c>
      <c r="R825" s="11">
        <f>444.6*10000</f>
        <v>4446000</v>
      </c>
      <c r="S825" s="8">
        <f t="shared" si="391"/>
        <v>-1.0171992263056093</v>
      </c>
      <c r="T825" s="6">
        <f>-2.585*100000000</f>
        <v>-258500000</v>
      </c>
      <c r="U825" s="6" t="str">
        <f t="shared" si="375"/>
        <v>=-258500000</v>
      </c>
      <c r="V825" s="1">
        <f>-258500000</f>
        <v>-258500000</v>
      </c>
      <c r="W825" s="8">
        <f t="shared" si="392"/>
        <v>0.44817927170868349</v>
      </c>
      <c r="X825" s="6">
        <f>-1.785*100000000</f>
        <v>-178500000</v>
      </c>
      <c r="Y825" s="6" t="str">
        <f t="shared" si="376"/>
        <v>=-178500000</v>
      </c>
      <c r="Z825" s="1">
        <f>-178500000</f>
        <v>-178500000</v>
      </c>
      <c r="AA825" s="8">
        <f t="shared" si="393"/>
        <v>-9.9833610648918467E-3</v>
      </c>
      <c r="AB825" s="6">
        <f>-1.803*100000000</f>
        <v>-180300000</v>
      </c>
      <c r="AC825" s="6" t="str">
        <f t="shared" si="377"/>
        <v>=-180300000</v>
      </c>
      <c r="AD825" s="1">
        <f>-180300000</f>
        <v>-180300000</v>
      </c>
      <c r="AE825" s="8">
        <f t="shared" si="394"/>
        <v>4.7038327526132406E-2</v>
      </c>
      <c r="AF825" s="6">
        <f>-1.722*100000000</f>
        <v>-172200000</v>
      </c>
      <c r="AG825" s="6" t="str">
        <f t="shared" si="378"/>
        <v>=-172200000</v>
      </c>
      <c r="AH825" s="1">
        <f>-172200000</f>
        <v>-172200000</v>
      </c>
      <c r="AI825" s="8">
        <f t="shared" si="395"/>
        <v>-2.2433212996389891</v>
      </c>
      <c r="AJ825" s="6" t="s">
        <v>2751</v>
      </c>
      <c r="AK825" s="6" t="str">
        <f t="shared" si="379"/>
        <v>=1.385*100000000</v>
      </c>
      <c r="AL825" s="1">
        <f>1.385*100000000</f>
        <v>138500000</v>
      </c>
      <c r="AM825" s="8">
        <f t="shared" si="396"/>
        <v>0.23330365093499555</v>
      </c>
      <c r="AN825" s="6" t="s">
        <v>9183</v>
      </c>
      <c r="AO825" s="6" t="str">
        <f t="shared" si="380"/>
        <v>=1.123*100000000</v>
      </c>
      <c r="AP825" s="1">
        <f>1.123*100000000</f>
        <v>112300000</v>
      </c>
      <c r="AQ825" s="8">
        <f t="shared" si="397"/>
        <v>0.94223452092701487</v>
      </c>
      <c r="AR825" s="7" t="s">
        <v>9184</v>
      </c>
      <c r="AS825" s="6" t="str">
        <f t="shared" si="381"/>
        <v>=5782*10000</v>
      </c>
      <c r="AT825" s="1">
        <f>5782*10000</f>
        <v>57820000</v>
      </c>
      <c r="AU825" s="8">
        <f t="shared" si="398"/>
        <v>0.22577909688361247</v>
      </c>
      <c r="AV825" s="7" t="s">
        <v>3948</v>
      </c>
      <c r="AW825" s="6" t="str">
        <f t="shared" si="382"/>
        <v>=4717*10000</v>
      </c>
      <c r="AX825" s="1">
        <f>4717*10000</f>
        <v>47170000</v>
      </c>
      <c r="AY825" s="10">
        <f t="shared" si="399"/>
        <v>-0.87387700534759361</v>
      </c>
      <c r="AZ825" s="6" t="s">
        <v>7506</v>
      </c>
      <c r="BA825" s="6" t="str">
        <f t="shared" si="383"/>
        <v>=3.740*100000000</v>
      </c>
      <c r="BB825" s="1">
        <f>3.74*100000000</f>
        <v>374000000</v>
      </c>
      <c r="BC825" s="8">
        <f t="shared" si="400"/>
        <v>0.5228013029315961</v>
      </c>
      <c r="BD825" s="6" t="s">
        <v>1457</v>
      </c>
      <c r="BE825" s="6" t="str">
        <f t="shared" si="384"/>
        <v>=2.456*100000000</v>
      </c>
      <c r="BF825" s="1">
        <f>2.456*100000000</f>
        <v>245600000</v>
      </c>
      <c r="BG825" s="8">
        <f t="shared" si="401"/>
        <v>8.3848190644307152E-2</v>
      </c>
      <c r="BH825" s="6" t="s">
        <v>9185</v>
      </c>
      <c r="BI825" s="6" t="str">
        <f t="shared" si="385"/>
        <v>=2.266*100000000</v>
      </c>
      <c r="BJ825" s="1">
        <f>2.266*100000000</f>
        <v>226600000</v>
      </c>
      <c r="BK825" s="6" t="s">
        <v>2208</v>
      </c>
      <c r="BL825" s="1" t="str">
        <f t="shared" si="387"/>
        <v>=1.026*100000000</v>
      </c>
      <c r="BM825" s="16">
        <f t="shared" si="402"/>
        <v>1.2085769980506822</v>
      </c>
      <c r="BN825" s="1">
        <f>1.026*100000000</f>
        <v>102600000</v>
      </c>
    </row>
    <row r="826" spans="1:66">
      <c r="A826" s="17">
        <v>208</v>
      </c>
      <c r="B826">
        <v>600681</v>
      </c>
      <c r="C826" t="s">
        <v>31</v>
      </c>
      <c r="D826" s="6" t="s">
        <v>9186</v>
      </c>
      <c r="E826" s="7" t="str">
        <f t="shared" si="386"/>
        <v>=46.25*100000000</v>
      </c>
      <c r="F826" s="1">
        <f>46.25*100000000</f>
        <v>4625000000</v>
      </c>
      <c r="G826" s="8">
        <f t="shared" si="388"/>
        <v>0.47716384541679974</v>
      </c>
      <c r="H826" s="6" t="s">
        <v>9187</v>
      </c>
      <c r="I826" s="6" t="str">
        <f t="shared" si="372"/>
        <v>=31.31*100000000</v>
      </c>
      <c r="J826" s="1">
        <f>31.31*100000000</f>
        <v>3131000000</v>
      </c>
      <c r="K826" s="10">
        <f t="shared" si="389"/>
        <v>0.28004905968928862</v>
      </c>
      <c r="L826" s="6" t="s">
        <v>9188</v>
      </c>
      <c r="M826" s="6" t="str">
        <f t="shared" si="373"/>
        <v>=24.46*100000000</v>
      </c>
      <c r="N826" s="1">
        <f>24.46*100000000</f>
        <v>2446000000</v>
      </c>
      <c r="O826" s="8">
        <f t="shared" si="390"/>
        <v>0.46467065868263474</v>
      </c>
      <c r="P826" s="6" t="s">
        <v>2644</v>
      </c>
      <c r="Q826" s="6" t="str">
        <f t="shared" si="374"/>
        <v>=16.70*100000000</v>
      </c>
      <c r="R826" s="11">
        <f>16.7*100000000</f>
        <v>1670000000</v>
      </c>
      <c r="S826" s="8">
        <f t="shared" si="391"/>
        <v>-0.61126629422718803</v>
      </c>
      <c r="T826" s="6" t="s">
        <v>3918</v>
      </c>
      <c r="U826" s="6" t="str">
        <f t="shared" si="375"/>
        <v>=42.96*100000000</v>
      </c>
      <c r="V826" s="1">
        <f>42.96*100000000</f>
        <v>4296000000</v>
      </c>
      <c r="W826" s="8">
        <f t="shared" si="392"/>
        <v>0.5142756432851604</v>
      </c>
      <c r="X826" s="6" t="s">
        <v>3024</v>
      </c>
      <c r="Y826" s="6" t="str">
        <f t="shared" si="376"/>
        <v>=28.37*100000000</v>
      </c>
      <c r="Z826" s="1">
        <f>28.37*100000000</f>
        <v>2837000000</v>
      </c>
      <c r="AA826" s="8">
        <f t="shared" si="393"/>
        <v>0.27162707306140743</v>
      </c>
      <c r="AB826" s="6" t="s">
        <v>8570</v>
      </c>
      <c r="AC826" s="6" t="str">
        <f t="shared" si="377"/>
        <v>=22.31*100000000</v>
      </c>
      <c r="AD826" s="1">
        <f>22.31*100000000</f>
        <v>2231000000</v>
      </c>
      <c r="AE826" s="8">
        <f t="shared" si="394"/>
        <v>0.48042468480424683</v>
      </c>
      <c r="AF826" s="6" t="s">
        <v>8659</v>
      </c>
      <c r="AG826" s="6" t="str">
        <f t="shared" si="378"/>
        <v>=15.07*100000000</v>
      </c>
      <c r="AH826" s="1">
        <f>15.07*100000000</f>
        <v>1507000000</v>
      </c>
      <c r="AI826" s="8">
        <f t="shared" si="395"/>
        <v>-0.69131503482179435</v>
      </c>
      <c r="AJ826" s="6" t="s">
        <v>9189</v>
      </c>
      <c r="AK826" s="6" t="str">
        <f t="shared" si="379"/>
        <v>=48.82*100000000</v>
      </c>
      <c r="AL826" s="1">
        <f>48.82*100000000</f>
        <v>4882000000</v>
      </c>
      <c r="AM826" s="8">
        <f t="shared" si="396"/>
        <v>0.34231509485839995</v>
      </c>
      <c r="AN826" s="6" t="s">
        <v>8368</v>
      </c>
      <c r="AO826" s="6" t="str">
        <f t="shared" si="380"/>
        <v>=36.37*100000000</v>
      </c>
      <c r="AP826" s="1">
        <f>36.37*100000000</f>
        <v>3636999999.9999995</v>
      </c>
      <c r="AQ826" s="8">
        <f t="shared" si="397"/>
        <v>0.30078683834048625</v>
      </c>
      <c r="AR826" s="6" t="s">
        <v>9190</v>
      </c>
      <c r="AS826" s="6" t="str">
        <f t="shared" si="381"/>
        <v>=27.96*100000000</v>
      </c>
      <c r="AT826" s="1">
        <f>27.96*100000000</f>
        <v>2796000000</v>
      </c>
      <c r="AU826" s="8">
        <f t="shared" si="398"/>
        <v>0.42435048395313296</v>
      </c>
      <c r="AV826" s="6" t="s">
        <v>7796</v>
      </c>
      <c r="AW826" s="6" t="str">
        <f t="shared" si="382"/>
        <v>=19.63*100000000</v>
      </c>
      <c r="AX826" s="1">
        <f>19.63*100000000</f>
        <v>1963000000</v>
      </c>
      <c r="AY826" s="10">
        <f t="shared" si="399"/>
        <v>-0.586997685672207</v>
      </c>
      <c r="AZ826" s="6" t="s">
        <v>9191</v>
      </c>
      <c r="BA826" s="6" t="str">
        <f t="shared" si="383"/>
        <v>=47.53*100000000</v>
      </c>
      <c r="BB826" s="1">
        <f>47.53*100000000</f>
        <v>4753000000</v>
      </c>
      <c r="BC826" s="8">
        <f t="shared" si="400"/>
        <v>0.53769006793917828</v>
      </c>
      <c r="BD826" s="6" t="s">
        <v>7922</v>
      </c>
      <c r="BE826" s="6" t="str">
        <f t="shared" si="384"/>
        <v>=30.91*100000000</v>
      </c>
      <c r="BF826" s="1">
        <f>30.91*100000000</f>
        <v>3091000000</v>
      </c>
      <c r="BG826" s="8">
        <f t="shared" si="401"/>
        <v>0.35451358457493426</v>
      </c>
      <c r="BH826" s="6" t="s">
        <v>9141</v>
      </c>
      <c r="BI826" s="6" t="str">
        <f t="shared" si="385"/>
        <v>=22.82*100000000</v>
      </c>
      <c r="BJ826" s="1">
        <f>22.82*100000000</f>
        <v>2282000000</v>
      </c>
      <c r="BK826" s="6" t="s">
        <v>8694</v>
      </c>
      <c r="BL826" s="1" t="str">
        <f t="shared" si="387"/>
        <v>=15.97*100000000</v>
      </c>
      <c r="BM826" s="16">
        <f t="shared" si="402"/>
        <v>0.42892924232936758</v>
      </c>
      <c r="BN826" s="1">
        <f>15.97*100000000</f>
        <v>1597000000</v>
      </c>
    </row>
    <row r="827" spans="1:66">
      <c r="A827" s="18"/>
      <c r="B827">
        <v>600681</v>
      </c>
      <c r="C827" t="s">
        <v>48</v>
      </c>
      <c r="D827" s="6" t="s">
        <v>9192</v>
      </c>
      <c r="E827" s="7" t="str">
        <f t="shared" si="386"/>
        <v>=7.461*100000000</v>
      </c>
      <c r="F827" s="1">
        <f>7.461*100000000</f>
        <v>746100000</v>
      </c>
      <c r="G827" s="8">
        <f t="shared" si="388"/>
        <v>0.22371658192553714</v>
      </c>
      <c r="H827" s="6" t="s">
        <v>9193</v>
      </c>
      <c r="I827" s="6" t="str">
        <f t="shared" si="372"/>
        <v>=6.097*100000000</v>
      </c>
      <c r="J827" s="1">
        <f>6.097*100000000</f>
        <v>609700000</v>
      </c>
      <c r="K827" s="10">
        <f t="shared" si="389"/>
        <v>0.29861554845580407</v>
      </c>
      <c r="L827" s="6" t="s">
        <v>9194</v>
      </c>
      <c r="M827" s="6" t="str">
        <f t="shared" si="373"/>
        <v>=4.695*100000000</v>
      </c>
      <c r="N827" s="1">
        <f>4.695*100000000</f>
        <v>469500000</v>
      </c>
      <c r="O827" s="8">
        <f t="shared" si="390"/>
        <v>0.7210410557184751</v>
      </c>
      <c r="P827" s="6" t="s">
        <v>9195</v>
      </c>
      <c r="Q827" s="6" t="str">
        <f t="shared" si="374"/>
        <v>=2.728*100000000</v>
      </c>
      <c r="R827" s="11">
        <f>2.728*100000000</f>
        <v>272800000</v>
      </c>
      <c r="S827" s="8">
        <f t="shared" si="391"/>
        <v>-0.60956061256619432</v>
      </c>
      <c r="T827" s="6" t="s">
        <v>9196</v>
      </c>
      <c r="U827" s="6" t="str">
        <f t="shared" si="375"/>
        <v>=6.987*100000000</v>
      </c>
      <c r="V827" s="1">
        <f>6.987*100000000</f>
        <v>698700000</v>
      </c>
      <c r="W827" s="8">
        <f t="shared" si="392"/>
        <v>0.24745581146223888</v>
      </c>
      <c r="X827" s="6" t="s">
        <v>9197</v>
      </c>
      <c r="Y827" s="6" t="str">
        <f t="shared" si="376"/>
        <v>=5.601*100000000</v>
      </c>
      <c r="Z827" s="1">
        <f>5.601*100000000</f>
        <v>560100000</v>
      </c>
      <c r="AA827" s="8">
        <f t="shared" si="393"/>
        <v>0.24577402135231299</v>
      </c>
      <c r="AB827" s="6" t="s">
        <v>9198</v>
      </c>
      <c r="AC827" s="6" t="str">
        <f t="shared" si="377"/>
        <v>=4.496*100000000</v>
      </c>
      <c r="AD827" s="1">
        <f>4.496*100000000</f>
        <v>449600000.00000006</v>
      </c>
      <c r="AE827" s="8">
        <f t="shared" si="394"/>
        <v>0.63550381957075319</v>
      </c>
      <c r="AF827" s="6" t="s">
        <v>2857</v>
      </c>
      <c r="AG827" s="6" t="str">
        <f t="shared" si="378"/>
        <v>=2.749*100000000</v>
      </c>
      <c r="AH827" s="1">
        <f>2.749*100000000</f>
        <v>274900000</v>
      </c>
      <c r="AI827" s="8">
        <f t="shared" si="395"/>
        <v>-0.71781974953808259</v>
      </c>
      <c r="AJ827" s="6" t="s">
        <v>5650</v>
      </c>
      <c r="AK827" s="6" t="str">
        <f t="shared" si="379"/>
        <v>=9.742*100000000</v>
      </c>
      <c r="AL827" s="1">
        <f>9.742*100000000</f>
        <v>974200000.00000012</v>
      </c>
      <c r="AM827" s="8">
        <f t="shared" si="396"/>
        <v>0.12481237732363482</v>
      </c>
      <c r="AN827" s="6" t="s">
        <v>9199</v>
      </c>
      <c r="AO827" s="6" t="str">
        <f t="shared" si="380"/>
        <v>=8.661*100000000</v>
      </c>
      <c r="AP827" s="1">
        <f>8.661*100000000</f>
        <v>866100000</v>
      </c>
      <c r="AQ827" s="8">
        <f t="shared" si="397"/>
        <v>0.31686179109016271</v>
      </c>
      <c r="AR827" s="6" t="s">
        <v>9200</v>
      </c>
      <c r="AS827" s="6" t="str">
        <f t="shared" si="381"/>
        <v>=6.577*100000000</v>
      </c>
      <c r="AT827" s="1">
        <f>6.577*100000000</f>
        <v>657700000</v>
      </c>
      <c r="AU827" s="8">
        <f t="shared" si="398"/>
        <v>0.64096806387225547</v>
      </c>
      <c r="AV827" s="6" t="s">
        <v>9201</v>
      </c>
      <c r="AW827" s="6" t="str">
        <f t="shared" si="382"/>
        <v>=4.008*100000000</v>
      </c>
      <c r="AX827" s="1">
        <f>4.008*100000000</f>
        <v>400800000</v>
      </c>
      <c r="AY827" s="10">
        <f t="shared" si="399"/>
        <v>-0.66033898305084748</v>
      </c>
      <c r="AZ827" s="6" t="s">
        <v>358</v>
      </c>
      <c r="BA827" s="6" t="str">
        <f t="shared" si="383"/>
        <v>=11.80*100000000</v>
      </c>
      <c r="BB827" s="1">
        <f>11.8*100000000</f>
        <v>1180000000</v>
      </c>
      <c r="BC827" s="8">
        <f t="shared" si="400"/>
        <v>0.44661027338482284</v>
      </c>
      <c r="BD827" s="6" t="s">
        <v>9202</v>
      </c>
      <c r="BE827" s="6" t="str">
        <f t="shared" si="384"/>
        <v>=8.157*100000000</v>
      </c>
      <c r="BF827" s="1">
        <f>8.157*100000000</f>
        <v>815700000</v>
      </c>
      <c r="BG827" s="8">
        <f t="shared" si="401"/>
        <v>0.45895188696118761</v>
      </c>
      <c r="BH827" s="6" t="s">
        <v>7139</v>
      </c>
      <c r="BI827" s="6" t="str">
        <f t="shared" si="385"/>
        <v>=5.591*100000000</v>
      </c>
      <c r="BJ827" s="1">
        <f>5.591*100000000</f>
        <v>559100000</v>
      </c>
      <c r="BK827" s="6" t="s">
        <v>1929</v>
      </c>
      <c r="BL827" s="1" t="str">
        <f t="shared" si="387"/>
        <v>=3.329*100000000</v>
      </c>
      <c r="BM827" s="16">
        <f t="shared" si="402"/>
        <v>0.6794833283268249</v>
      </c>
      <c r="BN827" s="1">
        <f>3.329*100000000</f>
        <v>332900000</v>
      </c>
    </row>
    <row r="828" spans="1:66">
      <c r="A828" s="18"/>
      <c r="B828">
        <v>600681</v>
      </c>
      <c r="C828" t="s">
        <v>58</v>
      </c>
      <c r="D828" s="6" t="s">
        <v>3784</v>
      </c>
      <c r="E828" s="7" t="str">
        <f t="shared" si="386"/>
        <v>=7.434*100000000</v>
      </c>
      <c r="F828" s="1">
        <f>7.434*100000000</f>
        <v>743400000</v>
      </c>
      <c r="G828" s="8">
        <f t="shared" si="388"/>
        <v>0.22068965517241379</v>
      </c>
      <c r="H828" s="6" t="s">
        <v>9203</v>
      </c>
      <c r="I828" s="6" t="str">
        <f t="shared" si="372"/>
        <v>=6.090*100000000</v>
      </c>
      <c r="J828" s="1">
        <f>6.09*100000000</f>
        <v>609000000</v>
      </c>
      <c r="K828" s="10">
        <f t="shared" si="389"/>
        <v>0.29850746268656703</v>
      </c>
      <c r="L828" s="6" t="s">
        <v>9204</v>
      </c>
      <c r="M828" s="6" t="str">
        <f t="shared" si="373"/>
        <v>=4.690*100000000</v>
      </c>
      <c r="N828" s="1">
        <f>4.69*100000000</f>
        <v>469000000.00000006</v>
      </c>
      <c r="O828" s="8">
        <f t="shared" si="390"/>
        <v>0.72553348050036814</v>
      </c>
      <c r="P828" s="6" t="s">
        <v>127</v>
      </c>
      <c r="Q828" s="6" t="str">
        <f t="shared" si="374"/>
        <v>=2.718*100000000</v>
      </c>
      <c r="R828" s="11">
        <f>2.718*100000000</f>
        <v>271800000</v>
      </c>
      <c r="S828" s="8">
        <f t="shared" si="391"/>
        <v>-0.60773560398325877</v>
      </c>
      <c r="T828" s="6" t="s">
        <v>9205</v>
      </c>
      <c r="U828" s="6" t="str">
        <f t="shared" si="375"/>
        <v>=6.929*100000000</v>
      </c>
      <c r="V828" s="1">
        <f>6.929*100000000</f>
        <v>692900000</v>
      </c>
      <c r="W828" s="8">
        <f t="shared" si="392"/>
        <v>0.25253073029645695</v>
      </c>
      <c r="X828" s="6" t="s">
        <v>9206</v>
      </c>
      <c r="Y828" s="6" t="str">
        <f t="shared" si="376"/>
        <v>=5.532*100000000</v>
      </c>
      <c r="Z828" s="1">
        <f>5.532*100000000</f>
        <v>553200000</v>
      </c>
      <c r="AA828" s="8">
        <f t="shared" si="393"/>
        <v>0.24960469844138258</v>
      </c>
      <c r="AB828" s="6" t="s">
        <v>9207</v>
      </c>
      <c r="AC828" s="6" t="str">
        <f t="shared" si="377"/>
        <v>=4.427*100000000</v>
      </c>
      <c r="AD828" s="1">
        <f>4.427*100000000</f>
        <v>442699999.99999994</v>
      </c>
      <c r="AE828" s="8">
        <f t="shared" si="394"/>
        <v>0.65124953375606098</v>
      </c>
      <c r="AF828" s="6" t="s">
        <v>9208</v>
      </c>
      <c r="AG828" s="6" t="str">
        <f t="shared" si="378"/>
        <v>=2.681*100000000</v>
      </c>
      <c r="AH828" s="1">
        <f>2.681*100000000</f>
        <v>268100000</v>
      </c>
      <c r="AI828" s="8">
        <f t="shared" si="395"/>
        <v>-0.72168587148344232</v>
      </c>
      <c r="AJ828" s="6" t="s">
        <v>9209</v>
      </c>
      <c r="AK828" s="6" t="str">
        <f t="shared" si="379"/>
        <v>=9.633*100000000</v>
      </c>
      <c r="AL828" s="1">
        <f>9.633*100000000</f>
        <v>963299999.99999988</v>
      </c>
      <c r="AM828" s="8">
        <f t="shared" si="396"/>
        <v>0.12548194882579741</v>
      </c>
      <c r="AN828" s="6" t="s">
        <v>9210</v>
      </c>
      <c r="AO828" s="6" t="str">
        <f t="shared" si="380"/>
        <v>=8.559*100000000</v>
      </c>
      <c r="AP828" s="1">
        <f>8.559*100000000</f>
        <v>855899999.99999988</v>
      </c>
      <c r="AQ828" s="8">
        <f t="shared" si="397"/>
        <v>0.29996962332928295</v>
      </c>
      <c r="AR828" s="6" t="s">
        <v>9211</v>
      </c>
      <c r="AS828" s="6" t="str">
        <f t="shared" si="381"/>
        <v>=6.584*100000000</v>
      </c>
      <c r="AT828" s="1">
        <f>6.584*100000000</f>
        <v>658400000</v>
      </c>
      <c r="AU828" s="8">
        <f t="shared" si="398"/>
        <v>0.64066782955394963</v>
      </c>
      <c r="AV828" s="6" t="s">
        <v>256</v>
      </c>
      <c r="AW828" s="6" t="str">
        <f t="shared" si="382"/>
        <v>=4.013*100000000</v>
      </c>
      <c r="AX828" s="1">
        <f>4.013*100000000</f>
        <v>401300000</v>
      </c>
      <c r="AY828" s="10">
        <f t="shared" si="399"/>
        <v>-0.65933786078098477</v>
      </c>
      <c r="AZ828" s="6" t="s">
        <v>2035</v>
      </c>
      <c r="BA828" s="6" t="str">
        <f t="shared" si="383"/>
        <v>=11.78*100000000</v>
      </c>
      <c r="BB828" s="1">
        <f>11.78*100000000</f>
        <v>1178000000</v>
      </c>
      <c r="BC828" s="8">
        <f t="shared" si="400"/>
        <v>0.4430969006492711</v>
      </c>
      <c r="BD828" s="6" t="s">
        <v>9212</v>
      </c>
      <c r="BE828" s="6" t="str">
        <f t="shared" si="384"/>
        <v>=8.163*100000000</v>
      </c>
      <c r="BF828" s="1">
        <f>8.163*100000000</f>
        <v>816300000</v>
      </c>
      <c r="BG828" s="8">
        <f t="shared" si="401"/>
        <v>0.45845988922637126</v>
      </c>
      <c r="BH828" s="6" t="s">
        <v>9213</v>
      </c>
      <c r="BI828" s="6" t="str">
        <f t="shared" si="385"/>
        <v>=5.597*100000000</v>
      </c>
      <c r="BJ828" s="1">
        <f>5.597*100000000</f>
        <v>559700000</v>
      </c>
      <c r="BK828" s="6" t="s">
        <v>2306</v>
      </c>
      <c r="BL828" s="1" t="str">
        <f t="shared" si="387"/>
        <v>=3.328*100000000</v>
      </c>
      <c r="BM828" s="16">
        <f t="shared" si="402"/>
        <v>0.68179086538461542</v>
      </c>
      <c r="BN828" s="1">
        <f>3.328*100000000</f>
        <v>332800000</v>
      </c>
    </row>
    <row r="829" spans="1:66">
      <c r="A829" s="19"/>
      <c r="B829">
        <v>600681</v>
      </c>
      <c r="C829" t="s">
        <v>68</v>
      </c>
      <c r="D829" s="6" t="s">
        <v>8829</v>
      </c>
      <c r="E829" s="7" t="str">
        <f t="shared" si="386"/>
        <v>=5.547*100000000</v>
      </c>
      <c r="F829" s="1">
        <f>5.547*100000000</f>
        <v>554700000</v>
      </c>
      <c r="G829" s="8">
        <f t="shared" si="388"/>
        <v>0.21298928493330402</v>
      </c>
      <c r="H829" s="6" t="s">
        <v>9214</v>
      </c>
      <c r="I829" s="6" t="str">
        <f t="shared" si="372"/>
        <v>=4.573*100000000</v>
      </c>
      <c r="J829" s="1">
        <f>4.573*100000000</f>
        <v>457300000.00000006</v>
      </c>
      <c r="K829" s="10">
        <f t="shared" si="389"/>
        <v>0.2802351623740203</v>
      </c>
      <c r="L829" s="6" t="s">
        <v>9215</v>
      </c>
      <c r="M829" s="6" t="str">
        <f t="shared" si="373"/>
        <v>=3.572*100000000</v>
      </c>
      <c r="N829" s="1">
        <f>3.572*100000000</f>
        <v>357200000</v>
      </c>
      <c r="O829" s="8">
        <f t="shared" si="390"/>
        <v>0.744140625</v>
      </c>
      <c r="P829" s="6" t="s">
        <v>1034</v>
      </c>
      <c r="Q829" s="6" t="str">
        <f t="shared" si="374"/>
        <v>=2.048*100000000</v>
      </c>
      <c r="R829" s="11">
        <f>2.048*100000000</f>
        <v>204800000</v>
      </c>
      <c r="S829" s="8">
        <f t="shared" si="391"/>
        <v>-0.60826319816373375</v>
      </c>
      <c r="T829" s="6" t="s">
        <v>9216</v>
      </c>
      <c r="U829" s="6" t="str">
        <f t="shared" si="375"/>
        <v>=5.228*100000000</v>
      </c>
      <c r="V829" s="1">
        <f>5.228*100000000</f>
        <v>522800000</v>
      </c>
      <c r="W829" s="8">
        <f t="shared" si="392"/>
        <v>0.25612686208553581</v>
      </c>
      <c r="X829" s="6" t="s">
        <v>8941</v>
      </c>
      <c r="Y829" s="6" t="str">
        <f t="shared" si="376"/>
        <v>=4.162*100000000</v>
      </c>
      <c r="Z829" s="1">
        <f>4.162*100000000</f>
        <v>416200000</v>
      </c>
      <c r="AA829" s="8">
        <f t="shared" si="393"/>
        <v>0.2468544038346315</v>
      </c>
      <c r="AB829" s="6" t="s">
        <v>5156</v>
      </c>
      <c r="AC829" s="6" t="str">
        <f t="shared" si="377"/>
        <v>=3.338*100000000</v>
      </c>
      <c r="AD829" s="1">
        <f>3.338*100000000</f>
        <v>333800000</v>
      </c>
      <c r="AE829" s="8">
        <f t="shared" si="394"/>
        <v>0.72239422084623328</v>
      </c>
      <c r="AF829" s="6" t="s">
        <v>9217</v>
      </c>
      <c r="AG829" s="6" t="str">
        <f t="shared" si="378"/>
        <v>=1.938*100000000</v>
      </c>
      <c r="AH829" s="1">
        <f>1.938*100000000</f>
        <v>193800000</v>
      </c>
      <c r="AI829" s="8">
        <f t="shared" si="395"/>
        <v>-0.73835560955852575</v>
      </c>
      <c r="AJ829" s="6" t="s">
        <v>2047</v>
      </c>
      <c r="AK829" s="6" t="str">
        <f t="shared" si="379"/>
        <v>=7.407*100000000</v>
      </c>
      <c r="AL829" s="1">
        <f>7.407*100000000</f>
        <v>740700000</v>
      </c>
      <c r="AM829" s="8">
        <f t="shared" si="396"/>
        <v>0.11333233127912221</v>
      </c>
      <c r="AN829" s="6" t="s">
        <v>8454</v>
      </c>
      <c r="AO829" s="6" t="str">
        <f t="shared" si="380"/>
        <v>=6.653*100000000</v>
      </c>
      <c r="AP829" s="1">
        <f>6.653*100000000</f>
        <v>665300000</v>
      </c>
      <c r="AQ829" s="8">
        <f t="shared" si="397"/>
        <v>0.27721251679785003</v>
      </c>
      <c r="AR829" s="6" t="s">
        <v>4011</v>
      </c>
      <c r="AS829" s="6" t="str">
        <f t="shared" si="381"/>
        <v>=5.209*100000000</v>
      </c>
      <c r="AT829" s="1">
        <f>5.209*100000000</f>
        <v>520899999.99999994</v>
      </c>
      <c r="AU829" s="8">
        <f t="shared" si="398"/>
        <v>0.58136004857316315</v>
      </c>
      <c r="AV829" s="6" t="s">
        <v>9218</v>
      </c>
      <c r="AW829" s="6" t="str">
        <f t="shared" si="382"/>
        <v>=3.294*100000000</v>
      </c>
      <c r="AX829" s="1">
        <f>3.294*100000000</f>
        <v>329400000</v>
      </c>
      <c r="AY829" s="10">
        <f t="shared" si="399"/>
        <v>-0.67418397626112758</v>
      </c>
      <c r="AZ829" s="6" t="s">
        <v>3662</v>
      </c>
      <c r="BA829" s="6" t="str">
        <f t="shared" si="383"/>
        <v>=10.11*100000000</v>
      </c>
      <c r="BB829" s="1">
        <f>10.11*100000000</f>
        <v>1011000000</v>
      </c>
      <c r="BC829" s="8">
        <f t="shared" si="400"/>
        <v>0.39698770208649992</v>
      </c>
      <c r="BD829" s="6" t="s">
        <v>9219</v>
      </c>
      <c r="BE829" s="6" t="str">
        <f t="shared" si="384"/>
        <v>=7.237*100000000</v>
      </c>
      <c r="BF829" s="1">
        <f>7.237*100000000</f>
        <v>723700000</v>
      </c>
      <c r="BG829" s="8">
        <f t="shared" si="401"/>
        <v>0.43819554848966613</v>
      </c>
      <c r="BH829" s="6" t="s">
        <v>9220</v>
      </c>
      <c r="BI829" s="6" t="str">
        <f t="shared" si="385"/>
        <v>=5.032*100000000</v>
      </c>
      <c r="BJ829" s="1">
        <f>5.032*100000000</f>
        <v>503200000</v>
      </c>
      <c r="BK829" s="6" t="s">
        <v>1580</v>
      </c>
      <c r="BL829" s="1" t="str">
        <f t="shared" si="387"/>
        <v>=2.940*100000000</v>
      </c>
      <c r="BM829" s="16">
        <f t="shared" si="402"/>
        <v>0.71156462585034008</v>
      </c>
      <c r="BN829" s="1">
        <f>2.94*100000000</f>
        <v>294000000</v>
      </c>
    </row>
    <row r="830" spans="1:66">
      <c r="A830" s="17">
        <v>209</v>
      </c>
      <c r="B830">
        <v>600683</v>
      </c>
      <c r="C830" t="s">
        <v>31</v>
      </c>
      <c r="D830" s="6" t="s">
        <v>9221</v>
      </c>
      <c r="E830" s="7" t="str">
        <f t="shared" si="386"/>
        <v>=67.66*100000000</v>
      </c>
      <c r="F830" s="1">
        <f>67.66*100000000</f>
        <v>6766000000</v>
      </c>
      <c r="G830" s="8">
        <f t="shared" si="388"/>
        <v>0.79184322033898302</v>
      </c>
      <c r="H830" s="6" t="s">
        <v>8089</v>
      </c>
      <c r="I830" s="6" t="str">
        <f t="shared" si="372"/>
        <v>=37.76*100000000</v>
      </c>
      <c r="J830" s="1">
        <f>37.76*100000000</f>
        <v>3776000000</v>
      </c>
      <c r="K830" s="10">
        <f t="shared" si="389"/>
        <v>0.84916748285994104</v>
      </c>
      <c r="L830" s="6" t="s">
        <v>5245</v>
      </c>
      <c r="M830" s="6" t="str">
        <f t="shared" si="373"/>
        <v>=20.42*100000000</v>
      </c>
      <c r="N830" s="1">
        <f>20.42*100000000</f>
        <v>2042000000.0000002</v>
      </c>
      <c r="O830" s="8">
        <f t="shared" si="390"/>
        <v>0.21186943620178039</v>
      </c>
      <c r="P830" s="6" t="s">
        <v>9222</v>
      </c>
      <c r="Q830" s="6" t="str">
        <f t="shared" si="374"/>
        <v>=16.85*100000000</v>
      </c>
      <c r="R830" s="11">
        <f>16.85*100000000</f>
        <v>1685000000.0000002</v>
      </c>
      <c r="S830" s="8">
        <f t="shared" si="391"/>
        <v>-0.80990523465703967</v>
      </c>
      <c r="T830" s="6" t="s">
        <v>9223</v>
      </c>
      <c r="U830" s="6" t="str">
        <f t="shared" si="375"/>
        <v>=88.64*100000000</v>
      </c>
      <c r="V830" s="1">
        <f>88.64*100000000</f>
        <v>8864000000</v>
      </c>
      <c r="W830" s="8">
        <f t="shared" si="392"/>
        <v>1.869537067011978</v>
      </c>
      <c r="X830" s="6" t="s">
        <v>9224</v>
      </c>
      <c r="Y830" s="6" t="str">
        <f t="shared" si="376"/>
        <v>=30.89*100000000</v>
      </c>
      <c r="Z830" s="1">
        <f>30.89*100000000</f>
        <v>3089000000</v>
      </c>
      <c r="AA830" s="8">
        <f t="shared" si="393"/>
        <v>0.50830078125</v>
      </c>
      <c r="AB830" s="6" t="s">
        <v>9130</v>
      </c>
      <c r="AC830" s="6" t="str">
        <f t="shared" si="377"/>
        <v>=20.48*100000000</v>
      </c>
      <c r="AD830" s="1">
        <f>20.48*100000000</f>
        <v>2048000000</v>
      </c>
      <c r="AE830" s="8">
        <f t="shared" si="394"/>
        <v>1.0651406675405868</v>
      </c>
      <c r="AF830" s="6" t="s">
        <v>9225</v>
      </c>
      <c r="AG830" s="6" t="str">
        <f t="shared" si="378"/>
        <v>=9.917*100000000</v>
      </c>
      <c r="AH830" s="1">
        <f>9.917*100000000</f>
        <v>991700000</v>
      </c>
      <c r="AI830" s="8">
        <f t="shared" si="395"/>
        <v>-0.77086414048059149</v>
      </c>
      <c r="AJ830" s="6" t="s">
        <v>9226</v>
      </c>
      <c r="AK830" s="6" t="str">
        <f t="shared" si="379"/>
        <v>=43.28*100000000</v>
      </c>
      <c r="AL830" s="1">
        <f>43.28*100000000</f>
        <v>4328000000</v>
      </c>
      <c r="AM830" s="8">
        <f t="shared" si="396"/>
        <v>2.3266717909300536</v>
      </c>
      <c r="AN830" s="6" t="s">
        <v>177</v>
      </c>
      <c r="AO830" s="6" t="str">
        <f t="shared" si="380"/>
        <v>=13.01*100000000</v>
      </c>
      <c r="AP830" s="1">
        <f>13.01*100000000</f>
        <v>1301000000</v>
      </c>
      <c r="AQ830" s="8">
        <f t="shared" si="397"/>
        <v>0.10723404255319149</v>
      </c>
      <c r="AR830" s="6" t="s">
        <v>9227</v>
      </c>
      <c r="AS830" s="6" t="str">
        <f t="shared" si="381"/>
        <v>=11.75*100000000</v>
      </c>
      <c r="AT830" s="1">
        <f>11.75*100000000</f>
        <v>1175000000</v>
      </c>
      <c r="AU830" s="8">
        <f t="shared" si="398"/>
        <v>0.33159564823209431</v>
      </c>
      <c r="AV830" s="6" t="s">
        <v>9228</v>
      </c>
      <c r="AW830" s="6" t="str">
        <f t="shared" si="382"/>
        <v>=8.824*100000000</v>
      </c>
      <c r="AX830" s="1">
        <f>8.824*100000000</f>
        <v>882400000</v>
      </c>
      <c r="AY830" s="10">
        <f t="shared" si="399"/>
        <v>-0.88935423197492158</v>
      </c>
      <c r="AZ830" s="6" t="s">
        <v>9229</v>
      </c>
      <c r="BA830" s="6" t="str">
        <f t="shared" si="383"/>
        <v>=79.75*100000000</v>
      </c>
      <c r="BB830" s="1">
        <f>79.75*100000000</f>
        <v>7975000000</v>
      </c>
      <c r="BC830" s="8">
        <f t="shared" si="400"/>
        <v>2.6332574031890661</v>
      </c>
      <c r="BD830" s="6" t="s">
        <v>7079</v>
      </c>
      <c r="BE830" s="6" t="str">
        <f t="shared" si="384"/>
        <v>=21.95*100000000</v>
      </c>
      <c r="BF830" s="1">
        <f>21.95*100000000</f>
        <v>2195000000</v>
      </c>
      <c r="BG830" s="8">
        <f t="shared" si="401"/>
        <v>5.326295585412668E-2</v>
      </c>
      <c r="BH830" s="6" t="s">
        <v>9230</v>
      </c>
      <c r="BI830" s="6" t="str">
        <f t="shared" si="385"/>
        <v>=20.84*100000000</v>
      </c>
      <c r="BJ830" s="1">
        <f>20.84*100000000</f>
        <v>2084000000</v>
      </c>
      <c r="BK830" s="6" t="s">
        <v>2063</v>
      </c>
      <c r="BL830" s="1" t="str">
        <f t="shared" si="387"/>
        <v>=10.01*100000000</v>
      </c>
      <c r="BM830" s="16">
        <f t="shared" si="402"/>
        <v>1.0819180819180818</v>
      </c>
      <c r="BN830" s="1">
        <f>10.01*100000000</f>
        <v>1001000000</v>
      </c>
    </row>
    <row r="831" spans="1:66">
      <c r="A831" s="18"/>
      <c r="B831">
        <v>600683</v>
      </c>
      <c r="C831" t="s">
        <v>48</v>
      </c>
      <c r="D831" s="6" t="s">
        <v>1920</v>
      </c>
      <c r="E831" s="7" t="str">
        <f t="shared" si="386"/>
        <v>=6.736*100000000</v>
      </c>
      <c r="F831" s="1">
        <f>6.736*100000000</f>
        <v>673600000</v>
      </c>
      <c r="G831" s="8">
        <f t="shared" si="388"/>
        <v>1.7337662337662338</v>
      </c>
      <c r="H831" s="6" t="s">
        <v>9231</v>
      </c>
      <c r="I831" s="6" t="str">
        <f t="shared" ref="I831:I894" si="403">"="&amp;H831</f>
        <v>=2.464*100000000</v>
      </c>
      <c r="J831" s="1">
        <f>2.464*100000000</f>
        <v>246400000</v>
      </c>
      <c r="K831" s="10">
        <f t="shared" si="389"/>
        <v>-0.20516129032258065</v>
      </c>
      <c r="L831" s="6" t="s">
        <v>9232</v>
      </c>
      <c r="M831" s="6" t="str">
        <f t="shared" ref="M831:M894" si="404">"="&amp;L831</f>
        <v>=3.100*100000000</v>
      </c>
      <c r="N831" s="1">
        <f>3.1*100000000</f>
        <v>310000000</v>
      </c>
      <c r="O831" s="8">
        <f t="shared" si="390"/>
        <v>0.31523122613491711</v>
      </c>
      <c r="P831" s="6" t="s">
        <v>9233</v>
      </c>
      <c r="Q831" s="6" t="str">
        <f t="shared" ref="Q831:Q894" si="405">"="&amp;P831</f>
        <v>=2.357*100000000</v>
      </c>
      <c r="R831" s="11">
        <f>2.357*100000000</f>
        <v>235700000.00000003</v>
      </c>
      <c r="S831" s="8">
        <f t="shared" si="391"/>
        <v>-0.83597773138482956</v>
      </c>
      <c r="T831" s="6" t="s">
        <v>3661</v>
      </c>
      <c r="U831" s="6" t="str">
        <f t="shared" ref="U831:U894" si="406">"="&amp;T831</f>
        <v>=14.37*100000000</v>
      </c>
      <c r="V831" s="1">
        <f>14.37*100000000</f>
        <v>1437000000</v>
      </c>
      <c r="W831" s="8">
        <f t="shared" si="392"/>
        <v>3.2005261619409531</v>
      </c>
      <c r="X831" s="6" t="s">
        <v>9234</v>
      </c>
      <c r="Y831" s="6" t="str">
        <f t="shared" ref="Y831:Y894" si="407">"="&amp;X831</f>
        <v>=3.421*100000000</v>
      </c>
      <c r="Z831" s="1">
        <f>3.421*100000000</f>
        <v>342100000</v>
      </c>
      <c r="AA831" s="8">
        <f t="shared" si="393"/>
        <v>0.13881491344873503</v>
      </c>
      <c r="AB831" s="6" t="s">
        <v>3495</v>
      </c>
      <c r="AC831" s="6" t="str">
        <f t="shared" ref="AC831:AC894" si="408">"="&amp;AB831</f>
        <v>=3.004*100000000</v>
      </c>
      <c r="AD831" s="1">
        <f>3.004*100000000</f>
        <v>300400000</v>
      </c>
      <c r="AE831" s="8">
        <f t="shared" si="394"/>
        <v>1.1975128017556693</v>
      </c>
      <c r="AF831" s="6" t="s">
        <v>2200</v>
      </c>
      <c r="AG831" s="6" t="str">
        <f t="shared" ref="AG831:AG894" si="409">"="&amp;AF831</f>
        <v>=1.367*100000000</v>
      </c>
      <c r="AH831" s="1">
        <f>1.367*100000000</f>
        <v>136700000</v>
      </c>
      <c r="AI831" s="8">
        <f t="shared" si="395"/>
        <v>-0.79787076741091234</v>
      </c>
      <c r="AJ831" s="6" t="s">
        <v>9235</v>
      </c>
      <c r="AK831" s="6" t="str">
        <f t="shared" ref="AK831:AK894" si="410">"="&amp;AJ831</f>
        <v>=6.763*100000000</v>
      </c>
      <c r="AL831" s="1">
        <f>6.763*100000000</f>
        <v>676300000</v>
      </c>
      <c r="AM831" s="8">
        <f t="shared" si="396"/>
        <v>2.2893968871595329</v>
      </c>
      <c r="AN831" s="6" t="s">
        <v>9236</v>
      </c>
      <c r="AO831" s="6" t="str">
        <f t="shared" ref="AO831:AO894" si="411">"="&amp;AN831</f>
        <v>=2.056*100000000</v>
      </c>
      <c r="AP831" s="1">
        <f>2.056*100000000</f>
        <v>205600000</v>
      </c>
      <c r="AQ831" s="8">
        <f t="shared" si="397"/>
        <v>-0.38645180543121455</v>
      </c>
      <c r="AR831" s="6" t="s">
        <v>9237</v>
      </c>
      <c r="AS831" s="6" t="str">
        <f t="shared" ref="AS831:AS894" si="412">"="&amp;AR831</f>
        <v>=3.351*100000000</v>
      </c>
      <c r="AT831" s="1">
        <f>3.351*100000000</f>
        <v>335100000</v>
      </c>
      <c r="AU831" s="8">
        <f t="shared" si="398"/>
        <v>0.1121805509459011</v>
      </c>
      <c r="AV831" s="6" t="s">
        <v>9238</v>
      </c>
      <c r="AW831" s="6" t="str">
        <f t="shared" ref="AW831:AW894" si="413">"="&amp;AV831</f>
        <v>=3.013*100000000</v>
      </c>
      <c r="AX831" s="1">
        <f>3.013*100000000</f>
        <v>301300000</v>
      </c>
      <c r="AY831" s="10">
        <f t="shared" si="399"/>
        <v>-0.76368627450980398</v>
      </c>
      <c r="AZ831" s="6" t="s">
        <v>901</v>
      </c>
      <c r="BA831" s="6" t="str">
        <f t="shared" ref="BA831:BA894" si="414">"="&amp;AZ831</f>
        <v>=12.75*100000000</v>
      </c>
      <c r="BB831" s="1">
        <f>12.75*100000000</f>
        <v>1275000000</v>
      </c>
      <c r="BC831" s="8">
        <f t="shared" si="400"/>
        <v>3.0618031220133801</v>
      </c>
      <c r="BD831" s="6" t="s">
        <v>9239</v>
      </c>
      <c r="BE831" s="6" t="str">
        <f t="shared" ref="BE831:BE894" si="415">"="&amp;BD831</f>
        <v>=3.139*100000000</v>
      </c>
      <c r="BF831" s="1">
        <f>3.139*100000000</f>
        <v>313900000</v>
      </c>
      <c r="BG831" s="8">
        <f t="shared" si="401"/>
        <v>-0.13335173937051353</v>
      </c>
      <c r="BH831" s="6" t="s">
        <v>9040</v>
      </c>
      <c r="BI831" s="6" t="str">
        <f t="shared" ref="BI831:BI894" si="416">"="&amp;BH831</f>
        <v>=3.622*100000000</v>
      </c>
      <c r="BJ831" s="1">
        <f>3.622*100000000</f>
        <v>362200000</v>
      </c>
      <c r="BK831" s="6" t="s">
        <v>9240</v>
      </c>
      <c r="BL831" s="1" t="str">
        <f t="shared" si="387"/>
        <v>=2.330*100000000</v>
      </c>
      <c r="BM831" s="16">
        <f t="shared" si="402"/>
        <v>0.55450643776824038</v>
      </c>
      <c r="BN831" s="1">
        <f>2.33*100000000</f>
        <v>233000000</v>
      </c>
    </row>
    <row r="832" spans="1:66">
      <c r="A832" s="18"/>
      <c r="B832">
        <v>600683</v>
      </c>
      <c r="C832" t="s">
        <v>58</v>
      </c>
      <c r="D832" s="6" t="s">
        <v>9241</v>
      </c>
      <c r="E832" s="7" t="str">
        <f t="shared" si="386"/>
        <v>=6.625*100000000</v>
      </c>
      <c r="F832" s="1">
        <f>6.625*100000000</f>
        <v>662500000</v>
      </c>
      <c r="G832" s="8">
        <f t="shared" si="388"/>
        <v>1.8131634819532909</v>
      </c>
      <c r="H832" s="6" t="s">
        <v>4006</v>
      </c>
      <c r="I832" s="6" t="str">
        <f t="shared" si="403"/>
        <v>=2.355*100000000</v>
      </c>
      <c r="J832" s="1">
        <f>2.355*100000000</f>
        <v>235500000</v>
      </c>
      <c r="K832" s="10">
        <f t="shared" si="389"/>
        <v>-0.21316404944871367</v>
      </c>
      <c r="L832" s="6" t="s">
        <v>9242</v>
      </c>
      <c r="M832" s="6" t="str">
        <f t="shared" si="404"/>
        <v>=2.993*100000000</v>
      </c>
      <c r="N832" s="1">
        <f>2.993*100000000</f>
        <v>299300000</v>
      </c>
      <c r="O832" s="8">
        <f t="shared" si="390"/>
        <v>0.29960920538428137</v>
      </c>
      <c r="P832" s="6" t="s">
        <v>9243</v>
      </c>
      <c r="Q832" s="6" t="str">
        <f t="shared" si="405"/>
        <v>=2.303*100000000</v>
      </c>
      <c r="R832" s="11">
        <f>2.303*100000000</f>
        <v>230300000</v>
      </c>
      <c r="S832" s="8">
        <f t="shared" si="391"/>
        <v>-0.83917597765363128</v>
      </c>
      <c r="T832" s="6" t="s">
        <v>4340</v>
      </c>
      <c r="U832" s="6" t="str">
        <f t="shared" si="406"/>
        <v>=14.32*100000000</v>
      </c>
      <c r="V832" s="1">
        <f>14.32*100000000</f>
        <v>1432000000</v>
      </c>
      <c r="W832" s="8">
        <f t="shared" si="392"/>
        <v>3.2606367152633147</v>
      </c>
      <c r="X832" s="6" t="s">
        <v>4161</v>
      </c>
      <c r="Y832" s="6" t="str">
        <f t="shared" si="407"/>
        <v>=3.361*100000000</v>
      </c>
      <c r="Z832" s="1">
        <f>3.361*100000000</f>
        <v>336100000</v>
      </c>
      <c r="AA832" s="8">
        <f t="shared" si="393"/>
        <v>0.14358625382783261</v>
      </c>
      <c r="AB832" s="6" t="s">
        <v>9244</v>
      </c>
      <c r="AC832" s="6" t="str">
        <f t="shared" si="408"/>
        <v>=2.939*100000000</v>
      </c>
      <c r="AD832" s="1">
        <f>2.939*100000000</f>
        <v>293900000</v>
      </c>
      <c r="AE832" s="8">
        <f t="shared" si="394"/>
        <v>1.1562729273661041</v>
      </c>
      <c r="AF832" s="6" t="s">
        <v>6885</v>
      </c>
      <c r="AG832" s="6" t="str">
        <f t="shared" si="409"/>
        <v>=1.363*100000000</v>
      </c>
      <c r="AH832" s="1">
        <f>1.363*100000000</f>
        <v>136300000</v>
      </c>
      <c r="AI832" s="8">
        <f t="shared" si="395"/>
        <v>-0.79783447048353606</v>
      </c>
      <c r="AJ832" s="6" t="s">
        <v>9245</v>
      </c>
      <c r="AK832" s="6" t="str">
        <f t="shared" si="410"/>
        <v>=6.742*100000000</v>
      </c>
      <c r="AL832" s="1">
        <f>6.742*100000000</f>
        <v>674200000</v>
      </c>
      <c r="AM832" s="8">
        <f t="shared" si="396"/>
        <v>2.2397885631907735</v>
      </c>
      <c r="AN832" s="6" t="s">
        <v>9246</v>
      </c>
      <c r="AO832" s="6" t="str">
        <f t="shared" si="411"/>
        <v>=2.081*100000000</v>
      </c>
      <c r="AP832" s="1">
        <f>2.081*100000000</f>
        <v>208100000</v>
      </c>
      <c r="AQ832" s="8">
        <f t="shared" si="397"/>
        <v>-0.38395500296033158</v>
      </c>
      <c r="AR832" s="6" t="s">
        <v>8838</v>
      </c>
      <c r="AS832" s="6" t="str">
        <f t="shared" si="412"/>
        <v>=3.378*100000000</v>
      </c>
      <c r="AT832" s="1">
        <f>3.378*100000000</f>
        <v>337800000</v>
      </c>
      <c r="AU832" s="8">
        <f t="shared" si="398"/>
        <v>0.12114171921672752</v>
      </c>
      <c r="AV832" s="6" t="s">
        <v>9238</v>
      </c>
      <c r="AW832" s="6" t="str">
        <f t="shared" si="413"/>
        <v>=3.013*100000000</v>
      </c>
      <c r="AX832" s="1">
        <f>3.013*100000000</f>
        <v>301300000</v>
      </c>
      <c r="AY832" s="10">
        <f t="shared" si="399"/>
        <v>-0.763871473354232</v>
      </c>
      <c r="AZ832" s="6" t="s">
        <v>8939</v>
      </c>
      <c r="BA832" s="6" t="str">
        <f t="shared" si="414"/>
        <v>=12.76*100000000</v>
      </c>
      <c r="BB832" s="1">
        <f>12.76*100000000</f>
        <v>1276000000</v>
      </c>
      <c r="BC832" s="8">
        <f t="shared" si="400"/>
        <v>3.0495080926689941</v>
      </c>
      <c r="BD832" s="6" t="s">
        <v>9247</v>
      </c>
      <c r="BE832" s="6" t="str">
        <f t="shared" si="415"/>
        <v>=3.151*100000000</v>
      </c>
      <c r="BF832" s="1">
        <f>3.151*100000000</f>
        <v>315100000</v>
      </c>
      <c r="BG832" s="8">
        <f t="shared" si="401"/>
        <v>-0.13219498760671991</v>
      </c>
      <c r="BH832" s="6" t="s">
        <v>1599</v>
      </c>
      <c r="BI832" s="6" t="str">
        <f t="shared" si="416"/>
        <v>=3.631*100000000</v>
      </c>
      <c r="BJ832" s="1">
        <f>3.631*100000000</f>
        <v>363100000</v>
      </c>
      <c r="BK832" s="6" t="s">
        <v>9240</v>
      </c>
      <c r="BL832" s="1" t="str">
        <f t="shared" si="387"/>
        <v>=2.330*100000000</v>
      </c>
      <c r="BM832" s="16">
        <f t="shared" si="402"/>
        <v>0.55836909871244633</v>
      </c>
      <c r="BN832" s="1">
        <f>2.33*100000000</f>
        <v>233000000</v>
      </c>
    </row>
    <row r="833" spans="1:66">
      <c r="A833" s="19"/>
      <c r="B833">
        <v>600683</v>
      </c>
      <c r="C833" t="s">
        <v>68</v>
      </c>
      <c r="D833" s="6" t="s">
        <v>2306</v>
      </c>
      <c r="E833" s="7" t="str">
        <f t="shared" si="386"/>
        <v>=3.328*100000000</v>
      </c>
      <c r="F833" s="1">
        <f>3.328*100000000</f>
        <v>332800000</v>
      </c>
      <c r="G833" s="8">
        <f t="shared" si="388"/>
        <v>1.5423987776928954</v>
      </c>
      <c r="H833" s="6" t="s">
        <v>8667</v>
      </c>
      <c r="I833" s="6" t="str">
        <f t="shared" si="403"/>
        <v>=1.309*100000000</v>
      </c>
      <c r="J833" s="1">
        <f>1.309*100000000</f>
        <v>130900000</v>
      </c>
      <c r="K833" s="10">
        <f t="shared" si="389"/>
        <v>-0.34713216957605986</v>
      </c>
      <c r="L833" s="6" t="s">
        <v>6499</v>
      </c>
      <c r="M833" s="6" t="str">
        <f t="shared" si="404"/>
        <v>=2.005*100000000</v>
      </c>
      <c r="N833" s="1">
        <f>2.005*100000000</f>
        <v>200500000</v>
      </c>
      <c r="O833" s="8">
        <f t="shared" si="390"/>
        <v>0.55426356589147285</v>
      </c>
      <c r="P833" s="6" t="s">
        <v>1469</v>
      </c>
      <c r="Q833" s="6" t="str">
        <f t="shared" si="405"/>
        <v>=1.290*100000000</v>
      </c>
      <c r="R833" s="11">
        <f>1.29*100000000</f>
        <v>129000000</v>
      </c>
      <c r="S833" s="8">
        <f t="shared" si="391"/>
        <v>-0.87864534336782696</v>
      </c>
      <c r="T833" s="6" t="s">
        <v>6457</v>
      </c>
      <c r="U833" s="6" t="str">
        <f t="shared" si="406"/>
        <v>=10.63*100000000</v>
      </c>
      <c r="V833" s="1">
        <f>10.63*100000000</f>
        <v>1063000000.0000001</v>
      </c>
      <c r="W833" s="8">
        <f t="shared" si="392"/>
        <v>3.1361867704280164</v>
      </c>
      <c r="X833" s="6" t="s">
        <v>9248</v>
      </c>
      <c r="Y833" s="6" t="str">
        <f t="shared" si="407"/>
        <v>=2.570*100000000</v>
      </c>
      <c r="Z833" s="1">
        <f>2.57*100000000</f>
        <v>256999999.99999997</v>
      </c>
      <c r="AA833" s="8">
        <f t="shared" si="393"/>
        <v>7.621440536013388E-2</v>
      </c>
      <c r="AB833" s="6" t="s">
        <v>2786</v>
      </c>
      <c r="AC833" s="6" t="str">
        <f t="shared" si="408"/>
        <v>=2.388*100000000</v>
      </c>
      <c r="AD833" s="1">
        <f>2.388*100000000</f>
        <v>238800000</v>
      </c>
      <c r="AE833" s="8">
        <f t="shared" si="394"/>
        <v>1.0984182776801408</v>
      </c>
      <c r="AF833" s="6" t="s">
        <v>9249</v>
      </c>
      <c r="AG833" s="6" t="str">
        <f t="shared" si="409"/>
        <v>=1.138*100000000</v>
      </c>
      <c r="AH833" s="1">
        <f>1.138*100000000</f>
        <v>113799999.99999999</v>
      </c>
      <c r="AI833" s="8">
        <f t="shared" si="395"/>
        <v>-0.75276993265261782</v>
      </c>
      <c r="AJ833" s="6" t="s">
        <v>9250</v>
      </c>
      <c r="AK833" s="6" t="str">
        <f t="shared" si="410"/>
        <v>=4.603*100000000</v>
      </c>
      <c r="AL833" s="1">
        <f>4.603*100000000</f>
        <v>460300000</v>
      </c>
      <c r="AM833" s="8">
        <f t="shared" si="396"/>
        <v>1.8326153846153845</v>
      </c>
      <c r="AN833" s="6" t="s">
        <v>1463</v>
      </c>
      <c r="AO833" s="6" t="str">
        <f t="shared" si="411"/>
        <v>=1.625*100000000</v>
      </c>
      <c r="AP833" s="1">
        <f>1.625*100000000</f>
        <v>162500000</v>
      </c>
      <c r="AQ833" s="8">
        <f t="shared" si="397"/>
        <v>-0.42211948790896159</v>
      </c>
      <c r="AR833" s="6" t="s">
        <v>9251</v>
      </c>
      <c r="AS833" s="6" t="str">
        <f t="shared" si="412"/>
        <v>=2.812*100000000</v>
      </c>
      <c r="AT833" s="1">
        <f>2.812*100000000</f>
        <v>281200000</v>
      </c>
      <c r="AU833" s="8">
        <f t="shared" si="398"/>
        <v>0.40670335167583793</v>
      </c>
      <c r="AV833" s="6" t="s">
        <v>9252</v>
      </c>
      <c r="AW833" s="6" t="str">
        <f t="shared" si="413"/>
        <v>=1.999*100000000</v>
      </c>
      <c r="AX833" s="1">
        <f>1.999*100000000</f>
        <v>199900000</v>
      </c>
      <c r="AY833" s="10">
        <f t="shared" si="399"/>
        <v>-0.78028138052319196</v>
      </c>
      <c r="AZ833" s="6" t="s">
        <v>9253</v>
      </c>
      <c r="BA833" s="6" t="str">
        <f t="shared" si="414"/>
        <v>=9.098*100000000</v>
      </c>
      <c r="BB833" s="1">
        <f>9.098*100000000</f>
        <v>909800000.00000012</v>
      </c>
      <c r="BC833" s="8">
        <f t="shared" si="400"/>
        <v>3.2100879222582144</v>
      </c>
      <c r="BD833" s="6" t="s">
        <v>4063</v>
      </c>
      <c r="BE833" s="6" t="str">
        <f t="shared" si="415"/>
        <v>=2.161*100000000</v>
      </c>
      <c r="BF833" s="1">
        <f>2.161*100000000</f>
        <v>216100000</v>
      </c>
      <c r="BG833" s="8">
        <f t="shared" si="401"/>
        <v>-0.18728845430613003</v>
      </c>
      <c r="BH833" s="6" t="s">
        <v>9254</v>
      </c>
      <c r="BI833" s="6" t="str">
        <f t="shared" si="416"/>
        <v>=2.659*100000000</v>
      </c>
      <c r="BJ833" s="1">
        <f>2.659*100000000</f>
        <v>265899999.99999997</v>
      </c>
      <c r="BK833" s="6" t="s">
        <v>5157</v>
      </c>
      <c r="BL833" s="1" t="str">
        <f t="shared" si="387"/>
        <v>=1.746*100000000</v>
      </c>
      <c r="BM833" s="16">
        <f t="shared" si="402"/>
        <v>0.52290950744558973</v>
      </c>
      <c r="BN833" s="1">
        <f>1.746*100000000</f>
        <v>174600000</v>
      </c>
    </row>
    <row r="834" spans="1:66">
      <c r="A834" s="17">
        <v>210</v>
      </c>
      <c r="B834">
        <v>600684</v>
      </c>
      <c r="C834" t="s">
        <v>31</v>
      </c>
      <c r="D834" s="6" t="s">
        <v>9255</v>
      </c>
      <c r="E834" s="7" t="str">
        <f t="shared" ref="E834:E897" si="417">"="&amp;D834</f>
        <v>=36.07*100000000</v>
      </c>
      <c r="F834" s="1">
        <f>36.07*100000000</f>
        <v>3607000000</v>
      </c>
      <c r="G834" s="8">
        <f t="shared" si="388"/>
        <v>0.57236268526591105</v>
      </c>
      <c r="H834" s="6" t="s">
        <v>9256</v>
      </c>
      <c r="I834" s="6" t="str">
        <f t="shared" si="403"/>
        <v>=22.94*100000000</v>
      </c>
      <c r="J834" s="1">
        <f>22.94*100000000</f>
        <v>2294000000</v>
      </c>
      <c r="K834" s="10">
        <f t="shared" si="389"/>
        <v>8.5660198769522009E-2</v>
      </c>
      <c r="L834" s="6" t="s">
        <v>3048</v>
      </c>
      <c r="M834" s="6" t="str">
        <f t="shared" si="404"/>
        <v>=21.13*100000000</v>
      </c>
      <c r="N834" s="1">
        <f>21.13*100000000</f>
        <v>2113000000</v>
      </c>
      <c r="O834" s="8">
        <f t="shared" si="390"/>
        <v>0.20056818181818165</v>
      </c>
      <c r="P834" s="6" t="s">
        <v>692</v>
      </c>
      <c r="Q834" s="6" t="str">
        <f t="shared" si="405"/>
        <v>=17.60*100000000</v>
      </c>
      <c r="R834" s="11">
        <f>17.6*100000000</f>
        <v>1760000000.0000002</v>
      </c>
      <c r="S834" s="8">
        <f t="shared" si="391"/>
        <v>-0.28888888888888881</v>
      </c>
      <c r="T834" s="6" t="s">
        <v>9257</v>
      </c>
      <c r="U834" s="6" t="str">
        <f t="shared" si="406"/>
        <v>=24.75*100000000</v>
      </c>
      <c r="V834" s="1">
        <f>24.75*100000000</f>
        <v>2475000000</v>
      </c>
      <c r="W834" s="8">
        <f t="shared" si="392"/>
        <v>0.25063163213744316</v>
      </c>
      <c r="X834" s="6" t="s">
        <v>9258</v>
      </c>
      <c r="Y834" s="6" t="str">
        <f t="shared" si="407"/>
        <v>=19.79*100000000</v>
      </c>
      <c r="Z834" s="1">
        <f>19.79*100000000</f>
        <v>1979000000</v>
      </c>
      <c r="AA834" s="8">
        <f t="shared" si="393"/>
        <v>0.35640849897189858</v>
      </c>
      <c r="AB834" s="6" t="s">
        <v>9259</v>
      </c>
      <c r="AC834" s="6" t="str">
        <f t="shared" si="408"/>
        <v>=14.59*100000000</v>
      </c>
      <c r="AD834" s="1">
        <f>14.59*100000000</f>
        <v>1459000000</v>
      </c>
      <c r="AE834" s="8">
        <f t="shared" si="394"/>
        <v>5.9179706021811285</v>
      </c>
      <c r="AF834" s="6" t="s">
        <v>9260</v>
      </c>
      <c r="AG834" s="6" t="str">
        <f t="shared" si="409"/>
        <v>=2.109*100000000</v>
      </c>
      <c r="AH834" s="1">
        <f>2.109*100000000</f>
        <v>210900000</v>
      </c>
      <c r="AI834" s="8">
        <f t="shared" si="395"/>
        <v>-0.92845997286295789</v>
      </c>
      <c r="AJ834" s="6" t="s">
        <v>2628</v>
      </c>
      <c r="AK834" s="6" t="str">
        <f t="shared" si="410"/>
        <v>=29.48*100000000</v>
      </c>
      <c r="AL834" s="1">
        <f>29.48*100000000</f>
        <v>2948000000</v>
      </c>
      <c r="AM834" s="8">
        <f t="shared" si="396"/>
        <v>0.41526644263082108</v>
      </c>
      <c r="AN834" s="6" t="s">
        <v>3129</v>
      </c>
      <c r="AO834" s="6" t="str">
        <f t="shared" si="411"/>
        <v>=20.83*100000000</v>
      </c>
      <c r="AP834" s="1">
        <f>20.83*100000000</f>
        <v>2082999999.9999998</v>
      </c>
      <c r="AQ834" s="8">
        <f t="shared" si="397"/>
        <v>0.64015748031496045</v>
      </c>
      <c r="AR834" s="6" t="s">
        <v>1090</v>
      </c>
      <c r="AS834" s="6" t="str">
        <f t="shared" si="412"/>
        <v>=12.70*100000000</v>
      </c>
      <c r="AT834" s="1">
        <f>12.7*100000000</f>
        <v>1270000000</v>
      </c>
      <c r="AU834" s="8">
        <f t="shared" si="398"/>
        <v>1.6228831061544817</v>
      </c>
      <c r="AV834" s="6" t="s">
        <v>4055</v>
      </c>
      <c r="AW834" s="6" t="str">
        <f t="shared" si="413"/>
        <v>=4.842*100000000</v>
      </c>
      <c r="AX834" s="1">
        <f>4.842*100000000</f>
        <v>484199999.99999994</v>
      </c>
      <c r="AY834" s="10">
        <f t="shared" si="399"/>
        <v>-0.8577973568281938</v>
      </c>
      <c r="AZ834" s="6" t="s">
        <v>8370</v>
      </c>
      <c r="BA834" s="6" t="str">
        <f t="shared" si="414"/>
        <v>=34.05*100000000</v>
      </c>
      <c r="BB834" s="1">
        <f>34.05*100000000</f>
        <v>3404999999.9999995</v>
      </c>
      <c r="BC834" s="8">
        <f t="shared" si="400"/>
        <v>0.27575871112776301</v>
      </c>
      <c r="BD834" s="6" t="s">
        <v>9261</v>
      </c>
      <c r="BE834" s="6" t="str">
        <f t="shared" si="415"/>
        <v>=26.69*100000000</v>
      </c>
      <c r="BF834" s="1">
        <f>26.69*100000000</f>
        <v>2669000000</v>
      </c>
      <c r="BG834" s="8">
        <f t="shared" si="401"/>
        <v>0.2918683446272991</v>
      </c>
      <c r="BH834" s="6" t="s">
        <v>84</v>
      </c>
      <c r="BI834" s="6" t="str">
        <f t="shared" si="416"/>
        <v>=20.66*100000000</v>
      </c>
      <c r="BJ834" s="1">
        <f>20.66*100000000</f>
        <v>2066000000</v>
      </c>
      <c r="BK834" s="6" t="s">
        <v>673</v>
      </c>
      <c r="BL834" s="1" t="str">
        <f t="shared" ref="BL834:BL897" si="418">"="&amp;BK834</f>
        <v>=7.954*100000000</v>
      </c>
      <c r="BM834" s="16">
        <f t="shared" si="402"/>
        <v>1.5974352527030424</v>
      </c>
      <c r="BN834" s="1">
        <f>7.954*100000000</f>
        <v>795400000</v>
      </c>
    </row>
    <row r="835" spans="1:66">
      <c r="A835" s="18"/>
      <c r="B835">
        <v>600684</v>
      </c>
      <c r="C835" t="s">
        <v>48</v>
      </c>
      <c r="D835" s="6" t="s">
        <v>2855</v>
      </c>
      <c r="E835" s="7" t="str">
        <f t="shared" si="417"/>
        <v>=1.413*100000000</v>
      </c>
      <c r="F835" s="1">
        <f>1.413*100000000</f>
        <v>141300000</v>
      </c>
      <c r="G835" s="8">
        <f t="shared" ref="G835:G898" si="419">(F835-J835)/J835</f>
        <v>-0.58108508745923515</v>
      </c>
      <c r="H835" s="6" t="s">
        <v>9262</v>
      </c>
      <c r="I835" s="6" t="str">
        <f t="shared" si="403"/>
        <v>=3.373*100000000</v>
      </c>
      <c r="J835" s="1">
        <f>3.373*100000000</f>
        <v>337300000</v>
      </c>
      <c r="K835" s="10">
        <f t="shared" ref="K835:K898" si="420">(J835-N835)/N835</f>
        <v>-0.23026015518028287</v>
      </c>
      <c r="L835" s="6" t="s">
        <v>9263</v>
      </c>
      <c r="M835" s="6" t="str">
        <f t="shared" si="404"/>
        <v>=4.382*100000000</v>
      </c>
      <c r="N835" s="1">
        <f>4.382*100000000</f>
        <v>438199999.99999994</v>
      </c>
      <c r="O835" s="8">
        <f t="shared" ref="O835:O898" si="421">(N835-R835)/R835</f>
        <v>-8.7083333333333457E-2</v>
      </c>
      <c r="P835" s="6" t="s">
        <v>9264</v>
      </c>
      <c r="Q835" s="6" t="str">
        <f t="shared" si="405"/>
        <v>=4.800*100000000</v>
      </c>
      <c r="R835" s="11">
        <f>4.8*100000000</f>
        <v>480000000</v>
      </c>
      <c r="S835" s="8">
        <f t="shared" ref="S835:S898" si="422">(R835-V835)/V835</f>
        <v>-1.9151572926596758</v>
      </c>
      <c r="T835" s="6">
        <f>-5.245*100000000</f>
        <v>-524500000</v>
      </c>
      <c r="U835" s="6" t="str">
        <f t="shared" si="406"/>
        <v>=-524500000</v>
      </c>
      <c r="V835" s="1">
        <f>-524500000</f>
        <v>-524500000</v>
      </c>
      <c r="W835" s="8">
        <f t="shared" ref="W835:W898" si="423">(V835-Z835)/Z835</f>
        <v>-9.1292622442653446</v>
      </c>
      <c r="X835" s="7" t="s">
        <v>4456</v>
      </c>
      <c r="Y835" s="6" t="str">
        <f t="shared" si="407"/>
        <v>=6452*10000</v>
      </c>
      <c r="Z835" s="1">
        <f>6452*10000</f>
        <v>64520000</v>
      </c>
      <c r="AA835" s="8">
        <f t="shared" ref="AA835:AA898" si="424">(Z835-AD835)/AD835</f>
        <v>1.0176921872553625E-2</v>
      </c>
      <c r="AB835" s="7" t="s">
        <v>9265</v>
      </c>
      <c r="AC835" s="6" t="str">
        <f t="shared" si="408"/>
        <v>=6387*10000</v>
      </c>
      <c r="AD835" s="1">
        <f>6387*10000</f>
        <v>63870000</v>
      </c>
      <c r="AE835" s="8">
        <f t="shared" ref="AE835:AE898" si="425">(AD835-AH835)/AH835</f>
        <v>-1.6609748525302701</v>
      </c>
      <c r="AF835" s="7">
        <f>-9663*10000</f>
        <v>-96630000</v>
      </c>
      <c r="AG835" s="6" t="str">
        <f t="shared" si="409"/>
        <v>=-96630000</v>
      </c>
      <c r="AH835" s="1">
        <f>-96630000</f>
        <v>-96630000</v>
      </c>
      <c r="AI835" s="8">
        <f t="shared" ref="AI835:AI898" si="426">(AH835-AL835)/AL835</f>
        <v>-1.2338576960309777</v>
      </c>
      <c r="AJ835" s="6" t="s">
        <v>9266</v>
      </c>
      <c r="AK835" s="6" t="str">
        <f t="shared" si="410"/>
        <v>=4.132*100000000</v>
      </c>
      <c r="AL835" s="1">
        <f>4.132*100000000</f>
        <v>413199999.99999994</v>
      </c>
      <c r="AM835" s="8">
        <f t="shared" ref="AM835:AM898" si="427">(AL835-AP835)/AP835</f>
        <v>1.3083798882681561</v>
      </c>
      <c r="AN835" s="6" t="s">
        <v>1745</v>
      </c>
      <c r="AO835" s="6" t="str">
        <f t="shared" si="411"/>
        <v>=1.790*100000000</v>
      </c>
      <c r="AP835" s="1">
        <f>1.79*100000000</f>
        <v>179000000</v>
      </c>
      <c r="AQ835" s="8">
        <f t="shared" ref="AQ835:AQ898" si="428">(AP835-AT835)/AT835</f>
        <v>0.11318407960199005</v>
      </c>
      <c r="AR835" s="6" t="s">
        <v>9267</v>
      </c>
      <c r="AS835" s="6" t="str">
        <f t="shared" si="412"/>
        <v>=1.608*100000000</v>
      </c>
      <c r="AT835" s="1">
        <f>1.608*100000000</f>
        <v>160800000</v>
      </c>
      <c r="AU835" s="8">
        <f t="shared" ref="AU835:AU898" si="429">(AT835-AX835)/AX835</f>
        <v>0.6703022748519788</v>
      </c>
      <c r="AV835" s="7" t="s">
        <v>9268</v>
      </c>
      <c r="AW835" s="6" t="str">
        <f t="shared" si="413"/>
        <v>=9627*10000</v>
      </c>
      <c r="AX835" s="1">
        <f>9627*10000</f>
        <v>96270000</v>
      </c>
      <c r="AY835" s="10">
        <f t="shared" ref="AY835:AY898" si="430">(AX835-BB835)/BB835</f>
        <v>-0.77332234518483634</v>
      </c>
      <c r="AZ835" s="6" t="s">
        <v>7440</v>
      </c>
      <c r="BA835" s="6" t="str">
        <f t="shared" si="414"/>
        <v>=4.247*100000000</v>
      </c>
      <c r="BB835" s="1">
        <f>4.247*100000000</f>
        <v>424700000</v>
      </c>
      <c r="BC835" s="8">
        <f t="shared" ref="BC835:BC898" si="431">(BB835-BF835)/BF835</f>
        <v>-4.1525614985330625E-2</v>
      </c>
      <c r="BD835" s="6" t="s">
        <v>9269</v>
      </c>
      <c r="BE835" s="6" t="str">
        <f t="shared" si="415"/>
        <v>=4.431*100000000</v>
      </c>
      <c r="BF835" s="1">
        <f>4.431*100000000</f>
        <v>443100000</v>
      </c>
      <c r="BG835" s="8">
        <f t="shared" ref="BG835:BG898" si="432">(BF835-BJ835)/BJ835</f>
        <v>0.16421439831844456</v>
      </c>
      <c r="BH835" s="6" t="s">
        <v>9270</v>
      </c>
      <c r="BI835" s="6" t="str">
        <f t="shared" si="416"/>
        <v>=3.806*100000000</v>
      </c>
      <c r="BJ835" s="1">
        <f>3.806*100000000</f>
        <v>380600000</v>
      </c>
      <c r="BK835" s="6" t="s">
        <v>9271</v>
      </c>
      <c r="BL835" s="1" t="str">
        <f t="shared" si="418"/>
        <v>=3.064*100000000</v>
      </c>
      <c r="BM835" s="16">
        <f t="shared" ref="BM835:BM898" si="433">(BJ835-BN835)/BN835</f>
        <v>0.24216710182767623</v>
      </c>
      <c r="BN835" s="1">
        <f>3.064*100000000</f>
        <v>306400000</v>
      </c>
    </row>
    <row r="836" spans="1:66">
      <c r="A836" s="18"/>
      <c r="B836">
        <v>600684</v>
      </c>
      <c r="C836" t="s">
        <v>58</v>
      </c>
      <c r="D836" s="6" t="s">
        <v>9272</v>
      </c>
      <c r="E836" s="7" t="str">
        <f t="shared" si="417"/>
        <v>=1.426*100000000</v>
      </c>
      <c r="F836" s="1">
        <f>1.426*100000000</f>
        <v>142600000</v>
      </c>
      <c r="G836" s="8">
        <f t="shared" si="419"/>
        <v>-0.57810650887573967</v>
      </c>
      <c r="H836" s="6" t="s">
        <v>7523</v>
      </c>
      <c r="I836" s="6" t="str">
        <f t="shared" si="403"/>
        <v>=3.380*100000000</v>
      </c>
      <c r="J836" s="1">
        <f>3.38*100000000</f>
        <v>338000000</v>
      </c>
      <c r="K836" s="10">
        <f t="shared" si="420"/>
        <v>-0.228486646884273</v>
      </c>
      <c r="L836" s="6" t="s">
        <v>5673</v>
      </c>
      <c r="M836" s="6" t="str">
        <f t="shared" si="404"/>
        <v>=4.381*100000000</v>
      </c>
      <c r="N836" s="1">
        <f>4.381*100000000</f>
        <v>438100000</v>
      </c>
      <c r="O836" s="8">
        <f t="shared" si="421"/>
        <v>-8.6339937434827943E-2</v>
      </c>
      <c r="P836" s="6" t="s">
        <v>6697</v>
      </c>
      <c r="Q836" s="6" t="str">
        <f t="shared" si="405"/>
        <v>=4.795*100000000</v>
      </c>
      <c r="R836" s="11">
        <f>4.795*100000000</f>
        <v>479500000</v>
      </c>
      <c r="S836" s="8">
        <f t="shared" si="422"/>
        <v>-1.852899324083956</v>
      </c>
      <c r="T836" s="6">
        <f>-5.622*100000000</f>
        <v>-562200000</v>
      </c>
      <c r="U836" s="6" t="str">
        <f t="shared" si="406"/>
        <v>=-562200000</v>
      </c>
      <c r="V836" s="1">
        <f>-562200000</f>
        <v>-562200000</v>
      </c>
      <c r="W836" s="8">
        <f t="shared" si="423"/>
        <v>-19.671537695117902</v>
      </c>
      <c r="X836" s="7" t="s">
        <v>9273</v>
      </c>
      <c r="Y836" s="6" t="str">
        <f t="shared" si="407"/>
        <v>=3011*10000</v>
      </c>
      <c r="Z836" s="1">
        <f>3011*10000</f>
        <v>30110000</v>
      </c>
      <c r="AA836" s="8">
        <f t="shared" si="424"/>
        <v>0.14182783466059917</v>
      </c>
      <c r="AB836" s="7" t="s">
        <v>9274</v>
      </c>
      <c r="AC836" s="6" t="str">
        <f t="shared" si="408"/>
        <v>=2637*10000</v>
      </c>
      <c r="AD836" s="1">
        <f>2637*10000</f>
        <v>26370000</v>
      </c>
      <c r="AE836" s="8">
        <f t="shared" si="425"/>
        <v>-1.2689718482252141</v>
      </c>
      <c r="AF836" s="7">
        <f>-9804*10000</f>
        <v>-98040000</v>
      </c>
      <c r="AG836" s="6" t="str">
        <f t="shared" si="409"/>
        <v>=-98040000</v>
      </c>
      <c r="AH836" s="1">
        <f>-98040000</f>
        <v>-98040000</v>
      </c>
      <c r="AI836" s="8">
        <f t="shared" si="426"/>
        <v>-1.2445497630331752</v>
      </c>
      <c r="AJ836" s="6" t="s">
        <v>1401</v>
      </c>
      <c r="AK836" s="6" t="str">
        <f t="shared" si="410"/>
        <v>=4.009*100000000</v>
      </c>
      <c r="AL836" s="1">
        <f>4.009*100000000</f>
        <v>400900000.00000006</v>
      </c>
      <c r="AM836" s="8">
        <f t="shared" si="427"/>
        <v>1.3160023108030043</v>
      </c>
      <c r="AN836" s="6" t="s">
        <v>1272</v>
      </c>
      <c r="AO836" s="6" t="str">
        <f t="shared" si="411"/>
        <v>=1.731*100000000</v>
      </c>
      <c r="AP836" s="1">
        <f>1.731*100000000</f>
        <v>173100000</v>
      </c>
      <c r="AQ836" s="8">
        <f t="shared" si="428"/>
        <v>0.10395408163265306</v>
      </c>
      <c r="AR836" s="6" t="s">
        <v>617</v>
      </c>
      <c r="AS836" s="6" t="str">
        <f t="shared" si="412"/>
        <v>=1.568*100000000</v>
      </c>
      <c r="AT836" s="1">
        <f>1.568*100000000</f>
        <v>156800000</v>
      </c>
      <c r="AU836" s="8">
        <f t="shared" si="429"/>
        <v>0.63623082542001463</v>
      </c>
      <c r="AV836" s="7" t="s">
        <v>4737</v>
      </c>
      <c r="AW836" s="6" t="str">
        <f t="shared" si="413"/>
        <v>=9583*10000</v>
      </c>
      <c r="AX836" s="1">
        <f>9583*10000</f>
        <v>95830000</v>
      </c>
      <c r="AY836" s="10">
        <f t="shared" si="430"/>
        <v>-0.77210463733650414</v>
      </c>
      <c r="AZ836" s="6" t="s">
        <v>4825</v>
      </c>
      <c r="BA836" s="6" t="str">
        <f t="shared" si="414"/>
        <v>=4.205*100000000</v>
      </c>
      <c r="BB836" s="1">
        <f>4.205*100000000</f>
        <v>420500000</v>
      </c>
      <c r="BC836" s="8">
        <f t="shared" si="431"/>
        <v>-4.9932218707636693E-2</v>
      </c>
      <c r="BD836" s="6" t="s">
        <v>9275</v>
      </c>
      <c r="BE836" s="6" t="str">
        <f t="shared" si="415"/>
        <v>=4.426*100000000</v>
      </c>
      <c r="BF836" s="1">
        <f>4.426*100000000</f>
        <v>442600000</v>
      </c>
      <c r="BG836" s="8">
        <f t="shared" si="432"/>
        <v>0.16290068313189701</v>
      </c>
      <c r="BH836" s="6" t="s">
        <v>9270</v>
      </c>
      <c r="BI836" s="6" t="str">
        <f t="shared" si="416"/>
        <v>=3.806*100000000</v>
      </c>
      <c r="BJ836" s="1">
        <f>3.806*100000000</f>
        <v>380600000</v>
      </c>
      <c r="BK836" s="6" t="s">
        <v>9271</v>
      </c>
      <c r="BL836" s="1" t="str">
        <f t="shared" si="418"/>
        <v>=3.064*100000000</v>
      </c>
      <c r="BM836" s="16">
        <f t="shared" si="433"/>
        <v>0.24216710182767623</v>
      </c>
      <c r="BN836" s="1">
        <f>3.064*100000000</f>
        <v>306400000</v>
      </c>
    </row>
    <row r="837" spans="1:66">
      <c r="A837" s="19"/>
      <c r="B837">
        <v>600684</v>
      </c>
      <c r="C837" t="s">
        <v>68</v>
      </c>
      <c r="D837" s="7" t="s">
        <v>9276</v>
      </c>
      <c r="E837" s="7" t="str">
        <f t="shared" si="417"/>
        <v>=2547*10000</v>
      </c>
      <c r="F837" s="1">
        <f>2547*10000</f>
        <v>25470000</v>
      </c>
      <c r="G837" s="8">
        <f t="shared" si="419"/>
        <v>-0.87980179329872588</v>
      </c>
      <c r="H837" s="6" t="s">
        <v>9277</v>
      </c>
      <c r="I837" s="6" t="str">
        <f t="shared" si="403"/>
        <v>=2.119*100000000</v>
      </c>
      <c r="J837" s="1">
        <f>2.119*100000000</f>
        <v>211900000.00000003</v>
      </c>
      <c r="K837" s="10">
        <f t="shared" si="420"/>
        <v>-0.32061558191728107</v>
      </c>
      <c r="L837" s="6" t="s">
        <v>8154</v>
      </c>
      <c r="M837" s="6" t="str">
        <f t="shared" si="404"/>
        <v>=3.119*100000000</v>
      </c>
      <c r="N837" s="1">
        <f>3.119*100000000</f>
        <v>311900000</v>
      </c>
      <c r="O837" s="8">
        <f t="shared" si="421"/>
        <v>-0.11442362294151051</v>
      </c>
      <c r="P837" s="6" t="s">
        <v>9278</v>
      </c>
      <c r="Q837" s="6" t="str">
        <f t="shared" si="405"/>
        <v>=3.522*100000000</v>
      </c>
      <c r="R837" s="11">
        <f>3.522*100000000</f>
        <v>352200000</v>
      </c>
      <c r="S837" s="8">
        <f t="shared" si="422"/>
        <v>-1.5707340787554691</v>
      </c>
      <c r="T837" s="6">
        <f>-6.171*100000000</f>
        <v>-617100000</v>
      </c>
      <c r="U837" s="6" t="str">
        <f t="shared" si="406"/>
        <v>=-617100000</v>
      </c>
      <c r="V837" s="1">
        <f>-617100000</f>
        <v>-617100000</v>
      </c>
      <c r="W837" s="8">
        <f t="shared" si="423"/>
        <v>55.8232044198895</v>
      </c>
      <c r="X837" s="7">
        <f>-1086*10000</f>
        <v>-10860000</v>
      </c>
      <c r="Y837" s="6" t="str">
        <f t="shared" si="407"/>
        <v>=-10860000</v>
      </c>
      <c r="Z837" s="1">
        <f>-10860000</f>
        <v>-10860000</v>
      </c>
      <c r="AA837" s="8">
        <f t="shared" si="424"/>
        <v>18.656108597285069</v>
      </c>
      <c r="AB837" s="7">
        <f>-55.25*10000</f>
        <v>-552500</v>
      </c>
      <c r="AC837" s="6" t="str">
        <f t="shared" si="408"/>
        <v>=-552500</v>
      </c>
      <c r="AD837" s="1">
        <f>-552500</f>
        <v>-552500</v>
      </c>
      <c r="AE837" s="8">
        <f t="shared" si="425"/>
        <v>-0.99329734320029117</v>
      </c>
      <c r="AF837" s="7">
        <f>-8243*10000</f>
        <v>-82430000</v>
      </c>
      <c r="AG837" s="6" t="str">
        <f t="shared" si="409"/>
        <v>=-82430000</v>
      </c>
      <c r="AH837" s="1">
        <f>-82430000</f>
        <v>-82430000</v>
      </c>
      <c r="AI837" s="8">
        <f t="shared" si="426"/>
        <v>-1.3088422630198577</v>
      </c>
      <c r="AJ837" s="6" t="s">
        <v>9279</v>
      </c>
      <c r="AK837" s="6" t="str">
        <f t="shared" si="410"/>
        <v>=2.669*100000000</v>
      </c>
      <c r="AL837" s="1">
        <f>2.669*100000000</f>
        <v>266900000</v>
      </c>
      <c r="AM837" s="8">
        <f t="shared" si="427"/>
        <v>1.3412280701754389</v>
      </c>
      <c r="AN837" s="6" t="s">
        <v>6914</v>
      </c>
      <c r="AO837" s="6" t="str">
        <f t="shared" si="411"/>
        <v>=1.140*100000000</v>
      </c>
      <c r="AP837" s="1">
        <f>1.14*100000000</f>
        <v>113999999.99999999</v>
      </c>
      <c r="AQ837" s="8">
        <f t="shared" si="428"/>
        <v>5.4579093432007265E-2</v>
      </c>
      <c r="AR837" s="6" t="s">
        <v>8532</v>
      </c>
      <c r="AS837" s="6" t="str">
        <f t="shared" si="412"/>
        <v>=1.081*100000000</v>
      </c>
      <c r="AT837" s="1">
        <f>1.081*100000000</f>
        <v>108100000</v>
      </c>
      <c r="AU837" s="8">
        <f t="shared" si="429"/>
        <v>0.60863095238095233</v>
      </c>
      <c r="AV837" s="7" t="s">
        <v>9280</v>
      </c>
      <c r="AW837" s="6" t="str">
        <f t="shared" si="413"/>
        <v>=6720*10000</v>
      </c>
      <c r="AX837" s="1">
        <f>6720*10000</f>
        <v>67200000</v>
      </c>
      <c r="AY837" s="10">
        <f t="shared" si="430"/>
        <v>-0.75678610206297503</v>
      </c>
      <c r="AZ837" s="6" t="s">
        <v>9281</v>
      </c>
      <c r="BA837" s="6" t="str">
        <f t="shared" si="414"/>
        <v>=2.763*100000000</v>
      </c>
      <c r="BB837" s="1">
        <f>2.763*100000000</f>
        <v>276300000</v>
      </c>
      <c r="BC837" s="8">
        <f t="shared" si="431"/>
        <v>-0.13602251407129456</v>
      </c>
      <c r="BD837" s="6" t="s">
        <v>6797</v>
      </c>
      <c r="BE837" s="6" t="str">
        <f t="shared" si="415"/>
        <v>=3.198*100000000</v>
      </c>
      <c r="BF837" s="1">
        <f>3.198*100000000</f>
        <v>319800000</v>
      </c>
      <c r="BG837" s="8">
        <f t="shared" si="432"/>
        <v>0.14132762312633834</v>
      </c>
      <c r="BH837" s="6" t="s">
        <v>9282</v>
      </c>
      <c r="BI837" s="6" t="str">
        <f t="shared" si="416"/>
        <v>=2.802*100000000</v>
      </c>
      <c r="BJ837" s="1">
        <f>2.802*100000000</f>
        <v>280200000</v>
      </c>
      <c r="BK837" s="6" t="s">
        <v>2999</v>
      </c>
      <c r="BL837" s="1" t="str">
        <f t="shared" si="418"/>
        <v>=2.288*100000000</v>
      </c>
      <c r="BM837" s="16">
        <f t="shared" si="433"/>
        <v>0.2246503496503498</v>
      </c>
      <c r="BN837" s="1">
        <f>2.288*100000000</f>
        <v>228799999.99999997</v>
      </c>
    </row>
    <row r="838" spans="1:66">
      <c r="A838" s="17">
        <v>211</v>
      </c>
      <c r="B838">
        <v>600685</v>
      </c>
      <c r="C838" t="s">
        <v>31</v>
      </c>
      <c r="D838" s="6" t="s">
        <v>3004</v>
      </c>
      <c r="E838" s="7" t="str">
        <f t="shared" si="417"/>
        <v>=116.7*100000000</v>
      </c>
      <c r="F838" s="1">
        <f>116.7*100000000</f>
        <v>11670000000</v>
      </c>
      <c r="G838" s="8">
        <f t="shared" si="419"/>
        <v>0.7051431911163063</v>
      </c>
      <c r="H838" s="6" t="s">
        <v>9283</v>
      </c>
      <c r="I838" s="6" t="str">
        <f t="shared" si="403"/>
        <v>=68.44*100000000</v>
      </c>
      <c r="J838" s="1">
        <f>68.44*100000000</f>
        <v>6844000000</v>
      </c>
      <c r="K838" s="10">
        <f t="shared" si="420"/>
        <v>0.45061466723187793</v>
      </c>
      <c r="L838" s="6" t="s">
        <v>9284</v>
      </c>
      <c r="M838" s="6" t="str">
        <f t="shared" si="404"/>
        <v>=47.18*100000000</v>
      </c>
      <c r="N838" s="1">
        <f>47.18*100000000</f>
        <v>4718000000</v>
      </c>
      <c r="O838" s="8">
        <f t="shared" si="421"/>
        <v>1.5866228070175441</v>
      </c>
      <c r="P838" s="6" t="s">
        <v>9285</v>
      </c>
      <c r="Q838" s="6" t="str">
        <f t="shared" si="405"/>
        <v>=18.24*100000000</v>
      </c>
      <c r="R838" s="11">
        <f>18.24*100000000</f>
        <v>1823999999.9999998</v>
      </c>
      <c r="S838" s="8">
        <f t="shared" si="422"/>
        <v>-0.84289405684754526</v>
      </c>
      <c r="T838" s="6" t="s">
        <v>6434</v>
      </c>
      <c r="U838" s="6" t="str">
        <f t="shared" si="406"/>
        <v>=116.1*100000000</v>
      </c>
      <c r="V838" s="1">
        <f>116.1*100000000</f>
        <v>11610000000</v>
      </c>
      <c r="W838" s="8">
        <f t="shared" si="423"/>
        <v>0.75192394748755098</v>
      </c>
      <c r="X838" s="6" t="s">
        <v>8985</v>
      </c>
      <c r="Y838" s="6" t="str">
        <f t="shared" si="407"/>
        <v>=66.27*100000000</v>
      </c>
      <c r="Z838" s="1">
        <f>66.27*100000000</f>
        <v>6627000000</v>
      </c>
      <c r="AA838" s="8">
        <f t="shared" si="424"/>
        <v>0.543675751222921</v>
      </c>
      <c r="AB838" s="6" t="s">
        <v>9286</v>
      </c>
      <c r="AC838" s="6" t="str">
        <f t="shared" si="408"/>
        <v>=42.93*100000000</v>
      </c>
      <c r="AD838" s="1">
        <f>42.93*100000000</f>
        <v>4293000000</v>
      </c>
      <c r="AE838" s="8">
        <f t="shared" si="425"/>
        <v>0.90630550621669625</v>
      </c>
      <c r="AF838" s="6" t="s">
        <v>6447</v>
      </c>
      <c r="AG838" s="6" t="str">
        <f t="shared" si="409"/>
        <v>=22.52*100000000</v>
      </c>
      <c r="AH838" s="1">
        <f>22.52*100000000</f>
        <v>2252000000</v>
      </c>
      <c r="AI838" s="8">
        <f t="shared" si="426"/>
        <v>-0.89683921209344941</v>
      </c>
      <c r="AJ838" s="6" t="s">
        <v>9287</v>
      </c>
      <c r="AK838" s="6" t="str">
        <f t="shared" si="410"/>
        <v>=218.3*100000000</v>
      </c>
      <c r="AL838" s="1">
        <f>218.3*100000000</f>
        <v>21830000000</v>
      </c>
      <c r="AM838" s="8">
        <f t="shared" si="427"/>
        <v>0.70280811232449325</v>
      </c>
      <c r="AN838" s="6" t="s">
        <v>7511</v>
      </c>
      <c r="AO838" s="6" t="str">
        <f t="shared" si="411"/>
        <v>=128.2*100000000</v>
      </c>
      <c r="AP838" s="1">
        <f>128.2*100000000</f>
        <v>12819999999.999998</v>
      </c>
      <c r="AQ838" s="8">
        <f t="shared" si="428"/>
        <v>0.64022517911975407</v>
      </c>
      <c r="AR838" s="6" t="s">
        <v>9288</v>
      </c>
      <c r="AS838" s="6" t="str">
        <f t="shared" si="412"/>
        <v>=78.16*100000000</v>
      </c>
      <c r="AT838" s="1">
        <f>78.16*100000000</f>
        <v>7816000000</v>
      </c>
      <c r="AU838" s="8">
        <f t="shared" si="429"/>
        <v>2.1326653306613226</v>
      </c>
      <c r="AV838" s="6" t="s">
        <v>2136</v>
      </c>
      <c r="AW838" s="6" t="str">
        <f t="shared" si="413"/>
        <v>=24.95*100000000</v>
      </c>
      <c r="AX838" s="1">
        <f>24.95*100000000</f>
        <v>2495000000</v>
      </c>
      <c r="AY838" s="10">
        <f t="shared" si="430"/>
        <v>-0.87011972930765225</v>
      </c>
      <c r="AZ838" s="6" t="s">
        <v>404</v>
      </c>
      <c r="BA838" s="6" t="str">
        <f t="shared" si="414"/>
        <v>=192.1*100000000</v>
      </c>
      <c r="BB838" s="1">
        <f>192.1*100000000</f>
        <v>19210000000</v>
      </c>
      <c r="BC838" s="8">
        <f t="shared" si="431"/>
        <v>0.59286898839137647</v>
      </c>
      <c r="BD838" s="6" t="s">
        <v>9289</v>
      </c>
      <c r="BE838" s="6" t="str">
        <f t="shared" si="415"/>
        <v>=120.6*100000000</v>
      </c>
      <c r="BF838" s="1">
        <f>120.6*100000000</f>
        <v>12060000000</v>
      </c>
      <c r="BG838" s="8">
        <f t="shared" si="432"/>
        <v>0.42317677602076958</v>
      </c>
      <c r="BH838" s="6" t="s">
        <v>9290</v>
      </c>
      <c r="BI838" s="6" t="str">
        <f t="shared" si="416"/>
        <v>=84.74*100000000</v>
      </c>
      <c r="BJ838" s="1">
        <f>84.74*100000000</f>
        <v>8473999999.999999</v>
      </c>
      <c r="BK838" s="6" t="s">
        <v>9291</v>
      </c>
      <c r="BL838" s="1" t="str">
        <f t="shared" si="418"/>
        <v>=30.79*100000000</v>
      </c>
      <c r="BM838" s="16">
        <f t="shared" si="433"/>
        <v>1.7521922702176027</v>
      </c>
      <c r="BN838" s="1">
        <f>30.79*100000000</f>
        <v>3079000000</v>
      </c>
    </row>
    <row r="839" spans="1:66">
      <c r="A839" s="18"/>
      <c r="B839">
        <v>600685</v>
      </c>
      <c r="C839" t="s">
        <v>48</v>
      </c>
      <c r="D839" s="6" t="s">
        <v>1464</v>
      </c>
      <c r="E839" s="7" t="str">
        <f t="shared" si="417"/>
        <v>=1.042*100000000</v>
      </c>
      <c r="F839" s="1">
        <f>1.042*100000000</f>
        <v>104200000</v>
      </c>
      <c r="G839" s="8">
        <f t="shared" si="419"/>
        <v>-3.9942528735632186</v>
      </c>
      <c r="H839" s="7">
        <f>-3480*10000</f>
        <v>-34800000</v>
      </c>
      <c r="I839" s="6" t="str">
        <f t="shared" si="403"/>
        <v>=-34800000</v>
      </c>
      <c r="J839" s="1">
        <f>-34800000</f>
        <v>-34800000</v>
      </c>
      <c r="K839" s="10">
        <f t="shared" si="420"/>
        <v>-0.78209142141515342</v>
      </c>
      <c r="L839" s="6">
        <f>-1.597*100000000</f>
        <v>-159700000</v>
      </c>
      <c r="M839" s="6" t="str">
        <f t="shared" si="404"/>
        <v>=-159700000</v>
      </c>
      <c r="N839" s="1">
        <f>-159700000</f>
        <v>-159700000</v>
      </c>
      <c r="O839" s="8">
        <f t="shared" si="421"/>
        <v>2.938347718865598</v>
      </c>
      <c r="P839" s="7">
        <f>-4055*10000</f>
        <v>-40550000</v>
      </c>
      <c r="Q839" s="6" t="str">
        <f t="shared" si="405"/>
        <v>=-40550000</v>
      </c>
      <c r="R839" s="11">
        <f>-40550000</f>
        <v>-40550000</v>
      </c>
      <c r="S839" s="8">
        <f t="shared" si="422"/>
        <v>-1.0112389135254989</v>
      </c>
      <c r="T839" s="6" t="s">
        <v>9292</v>
      </c>
      <c r="U839" s="6" t="str">
        <f t="shared" si="406"/>
        <v>=36.08*100000000</v>
      </c>
      <c r="V839" s="1">
        <f>36.08*100000000</f>
        <v>3608000000</v>
      </c>
      <c r="W839" s="8">
        <f t="shared" si="423"/>
        <v>0.14068921909579513</v>
      </c>
      <c r="X839" s="6" t="s">
        <v>1180</v>
      </c>
      <c r="Y839" s="6" t="str">
        <f t="shared" si="407"/>
        <v>=31.63*100000000</v>
      </c>
      <c r="Z839" s="1">
        <f>31.63*100000000</f>
        <v>3163000000</v>
      </c>
      <c r="AA839" s="8">
        <f t="shared" si="424"/>
        <v>6.9665201217450123E-2</v>
      </c>
      <c r="AB839" s="6" t="s">
        <v>9293</v>
      </c>
      <c r="AC839" s="6" t="str">
        <f t="shared" si="408"/>
        <v>=29.57*100000000</v>
      </c>
      <c r="AD839" s="1">
        <f>29.57*100000000</f>
        <v>2957000000</v>
      </c>
      <c r="AE839" s="8">
        <f t="shared" si="425"/>
        <v>-5.4062699936020475E-2</v>
      </c>
      <c r="AF839" s="6" t="s">
        <v>9294</v>
      </c>
      <c r="AG839" s="6" t="str">
        <f t="shared" si="409"/>
        <v>=31.26*100000000</v>
      </c>
      <c r="AH839" s="1">
        <f>31.26*100000000</f>
        <v>3126000000</v>
      </c>
      <c r="AI839" s="8">
        <f t="shared" si="426"/>
        <v>-3.4064665127020786</v>
      </c>
      <c r="AJ839" s="6">
        <f>-12.99*100000000</f>
        <v>-1299000000</v>
      </c>
      <c r="AK839" s="6" t="str">
        <f t="shared" si="410"/>
        <v>=-1299000000</v>
      </c>
      <c r="AL839" s="1">
        <f>-1299000000</f>
        <v>-1299000000</v>
      </c>
      <c r="AM839" s="8">
        <f t="shared" si="427"/>
        <v>0.17450271247739602</v>
      </c>
      <c r="AN839" s="6">
        <f>-11.06*100000000</f>
        <v>-1106000000</v>
      </c>
      <c r="AO839" s="6" t="str">
        <f t="shared" si="411"/>
        <v>=-1106000000</v>
      </c>
      <c r="AP839" s="1">
        <f>-1106000000</f>
        <v>-1106000000</v>
      </c>
      <c r="AQ839" s="8">
        <f t="shared" si="428"/>
        <v>1.0186165358642087</v>
      </c>
      <c r="AR839" s="6">
        <f>-5.479*100000000</f>
        <v>-547900000</v>
      </c>
      <c r="AS839" s="6" t="str">
        <f t="shared" si="412"/>
        <v>=-547900000</v>
      </c>
      <c r="AT839" s="1">
        <f>-547900000</f>
        <v>-547900000</v>
      </c>
      <c r="AU839" s="8">
        <f t="shared" si="429"/>
        <v>0.90905923344947737</v>
      </c>
      <c r="AV839" s="6">
        <f>-2.87*100000000</f>
        <v>-287000000</v>
      </c>
      <c r="AW839" s="6" t="str">
        <f t="shared" si="413"/>
        <v>=-287000000</v>
      </c>
      <c r="AX839" s="1">
        <f>-287000000</f>
        <v>-287000000</v>
      </c>
      <c r="AY839" s="10">
        <f t="shared" si="430"/>
        <v>-0.90271186440677964</v>
      </c>
      <c r="AZ839" s="6">
        <f>-29.5*100000000</f>
        <v>-2950000000</v>
      </c>
      <c r="BA839" s="6" t="str">
        <f t="shared" si="414"/>
        <v>=-2950000000</v>
      </c>
      <c r="BB839" s="1">
        <f>-2950000000</f>
        <v>-2950000000</v>
      </c>
      <c r="BC839" s="8">
        <f t="shared" si="431"/>
        <v>1.1026372059871703</v>
      </c>
      <c r="BD839" s="6">
        <f>-14.03*100000000</f>
        <v>-1403000000</v>
      </c>
      <c r="BE839" s="6" t="str">
        <f t="shared" si="415"/>
        <v>=-1403000000</v>
      </c>
      <c r="BF839" s="1">
        <f>-1403000000</f>
        <v>-1403000000</v>
      </c>
      <c r="BG839" s="8">
        <f t="shared" si="432"/>
        <v>0.45147941237326711</v>
      </c>
      <c r="BH839" s="6">
        <f>-9.666*100000000</f>
        <v>-966600000</v>
      </c>
      <c r="BI839" s="6" t="str">
        <f t="shared" si="416"/>
        <v>=-966600000</v>
      </c>
      <c r="BJ839" s="1">
        <f>-966600000</f>
        <v>-966600000</v>
      </c>
      <c r="BK839" s="6">
        <f>-4.946*100000000</f>
        <v>-494600000</v>
      </c>
      <c r="BL839" s="1" t="str">
        <f t="shared" si="418"/>
        <v>=-494600000</v>
      </c>
      <c r="BM839" s="16">
        <f t="shared" si="433"/>
        <v>0.95430651031136271</v>
      </c>
      <c r="BN839" s="1">
        <f>-494600000</f>
        <v>-494600000</v>
      </c>
    </row>
    <row r="840" spans="1:66">
      <c r="A840" s="18"/>
      <c r="B840">
        <v>600685</v>
      </c>
      <c r="C840" t="s">
        <v>58</v>
      </c>
      <c r="D840" s="6" t="s">
        <v>7907</v>
      </c>
      <c r="E840" s="7" t="str">
        <f t="shared" si="417"/>
        <v>=1.151*100000000</v>
      </c>
      <c r="F840" s="1">
        <f>1.151*100000000</f>
        <v>115100000</v>
      </c>
      <c r="G840" s="8">
        <f t="shared" si="419"/>
        <v>-4.698586118251928</v>
      </c>
      <c r="H840" s="7">
        <f>-3112*10000</f>
        <v>-31120000</v>
      </c>
      <c r="I840" s="6" t="str">
        <f t="shared" si="403"/>
        <v>=-31120000</v>
      </c>
      <c r="J840" s="1">
        <f>-31120000</f>
        <v>-31120000</v>
      </c>
      <c r="K840" s="10">
        <f t="shared" si="420"/>
        <v>-0.80241269841269847</v>
      </c>
      <c r="L840" s="6">
        <f>-1.575*100000000</f>
        <v>-157500000</v>
      </c>
      <c r="M840" s="6" t="str">
        <f t="shared" si="404"/>
        <v>=-157500000</v>
      </c>
      <c r="N840" s="1">
        <f>-157500000</f>
        <v>-157500000</v>
      </c>
      <c r="O840" s="8">
        <f t="shared" si="421"/>
        <v>2.8480332274615199</v>
      </c>
      <c r="P840" s="7">
        <f>-4093*10000</f>
        <v>-40930000</v>
      </c>
      <c r="Q840" s="6" t="str">
        <f t="shared" si="405"/>
        <v>=-40930000</v>
      </c>
      <c r="R840" s="11">
        <f>-40930000</f>
        <v>-40930000</v>
      </c>
      <c r="S840" s="8">
        <f t="shared" si="422"/>
        <v>-1.0112075575027382</v>
      </c>
      <c r="T840" s="6" t="s">
        <v>9295</v>
      </c>
      <c r="U840" s="6" t="str">
        <f t="shared" si="406"/>
        <v>=36.52*100000000</v>
      </c>
      <c r="V840" s="1">
        <f>36.52*100000000</f>
        <v>3652000000.0000005</v>
      </c>
      <c r="W840" s="8">
        <f t="shared" si="423"/>
        <v>0.14196372732958112</v>
      </c>
      <c r="X840" s="6" t="s">
        <v>5633</v>
      </c>
      <c r="Y840" s="6" t="str">
        <f t="shared" si="407"/>
        <v>=31.98*100000000</v>
      </c>
      <c r="Z840" s="1">
        <f>31.98*100000000</f>
        <v>3198000000</v>
      </c>
      <c r="AA840" s="8">
        <f t="shared" si="424"/>
        <v>8.0405405405405403E-2</v>
      </c>
      <c r="AB840" s="6" t="s">
        <v>7964</v>
      </c>
      <c r="AC840" s="6" t="str">
        <f t="shared" si="408"/>
        <v>=29.60*100000000</v>
      </c>
      <c r="AD840" s="1">
        <f>29.6*100000000</f>
        <v>2960000000</v>
      </c>
      <c r="AE840" s="8">
        <f t="shared" si="425"/>
        <v>-5.3405820275023982E-2</v>
      </c>
      <c r="AF840" s="6" t="s">
        <v>9296</v>
      </c>
      <c r="AG840" s="6" t="str">
        <f t="shared" si="409"/>
        <v>=31.27*100000000</v>
      </c>
      <c r="AH840" s="1">
        <f>31.27*100000000</f>
        <v>3127000000</v>
      </c>
      <c r="AI840" s="8">
        <f t="shared" si="426"/>
        <v>2.1550802139037435</v>
      </c>
      <c r="AJ840" s="6" t="s">
        <v>9297</v>
      </c>
      <c r="AK840" s="6" t="str">
        <f t="shared" si="410"/>
        <v>=9.911*100000000</v>
      </c>
      <c r="AL840" s="1">
        <f>9.911*100000000</f>
        <v>991100000</v>
      </c>
      <c r="AM840" s="8">
        <f t="shared" si="427"/>
        <v>18.155392346347121</v>
      </c>
      <c r="AN840" s="7" t="s">
        <v>9298</v>
      </c>
      <c r="AO840" s="6" t="str">
        <f t="shared" si="411"/>
        <v>=5174*10000</v>
      </c>
      <c r="AP840" s="1">
        <f>5174*10000</f>
        <v>51740000</v>
      </c>
      <c r="AQ840" s="8">
        <f t="shared" si="428"/>
        <v>-0.92646389994314948</v>
      </c>
      <c r="AR840" s="6" t="s">
        <v>5419</v>
      </c>
      <c r="AS840" s="6" t="str">
        <f t="shared" si="412"/>
        <v>=7.036*100000000</v>
      </c>
      <c r="AT840" s="1">
        <f>7.036*100000000</f>
        <v>703600000</v>
      </c>
      <c r="AU840" s="8">
        <f t="shared" si="429"/>
        <v>-3.4835863042710908</v>
      </c>
      <c r="AV840" s="6">
        <f>-2.833*100000000</f>
        <v>-283300000</v>
      </c>
      <c r="AW840" s="6" t="str">
        <f t="shared" si="413"/>
        <v>=-283300000</v>
      </c>
      <c r="AX840" s="1">
        <f>-283300000</f>
        <v>-283300000</v>
      </c>
      <c r="AY840" s="10">
        <f t="shared" si="430"/>
        <v>-0.88483739837398379</v>
      </c>
      <c r="AZ840" s="6">
        <f>-24.6*100000000</f>
        <v>-2460000000</v>
      </c>
      <c r="BA840" s="6" t="str">
        <f t="shared" si="414"/>
        <v>=-2460000000</v>
      </c>
      <c r="BB840" s="1">
        <f>-2460000000</f>
        <v>-2460000000</v>
      </c>
      <c r="BC840" s="8">
        <f t="shared" si="431"/>
        <v>1.7418635755684351</v>
      </c>
      <c r="BD840" s="6">
        <f>-8.972*100000000</f>
        <v>-897200000</v>
      </c>
      <c r="BE840" s="6" t="str">
        <f t="shared" si="415"/>
        <v>=-897200000</v>
      </c>
      <c r="BF840" s="1">
        <f>-897200000</f>
        <v>-897200000</v>
      </c>
      <c r="BG840" s="8">
        <f t="shared" si="432"/>
        <v>0.95128316659417134</v>
      </c>
      <c r="BH840" s="6">
        <f>-4.598*100000000</f>
        <v>-459800000</v>
      </c>
      <c r="BI840" s="6" t="str">
        <f t="shared" si="416"/>
        <v>=-459800000</v>
      </c>
      <c r="BJ840" s="1">
        <f>-459800000</f>
        <v>-459800000</v>
      </c>
      <c r="BK840" s="6" t="s">
        <v>9299</v>
      </c>
      <c r="BL840" s="1" t="str">
        <f t="shared" si="418"/>
        <v>=1.045*100000000</v>
      </c>
      <c r="BM840" s="16">
        <f t="shared" si="433"/>
        <v>-5.4</v>
      </c>
      <c r="BN840" s="1">
        <f>1.045*100000000</f>
        <v>104500000</v>
      </c>
    </row>
    <row r="841" spans="1:66">
      <c r="A841" s="19"/>
      <c r="B841">
        <v>600685</v>
      </c>
      <c r="C841" t="s">
        <v>68</v>
      </c>
      <c r="D841" s="6" t="s">
        <v>1464</v>
      </c>
      <c r="E841" s="7" t="str">
        <f t="shared" si="417"/>
        <v>=1.042*100000000</v>
      </c>
      <c r="F841" s="1">
        <f>1.042*100000000</f>
        <v>104200000</v>
      </c>
      <c r="G841" s="8">
        <f t="shared" si="419"/>
        <v>-6.2467270896273916</v>
      </c>
      <c r="H841" s="7">
        <f>-1986*10000</f>
        <v>-19860000</v>
      </c>
      <c r="I841" s="6" t="str">
        <f t="shared" si="403"/>
        <v>=-19860000</v>
      </c>
      <c r="J841" s="1">
        <f>-19860000</f>
        <v>-19860000</v>
      </c>
      <c r="K841" s="10">
        <f t="shared" si="420"/>
        <v>-0.8687376074025116</v>
      </c>
      <c r="L841" s="6">
        <f>-1.513*100000000</f>
        <v>-151300000</v>
      </c>
      <c r="M841" s="6" t="str">
        <f t="shared" si="404"/>
        <v>=-151300000</v>
      </c>
      <c r="N841" s="1">
        <f>-151300000</f>
        <v>-151300000</v>
      </c>
      <c r="O841" s="8">
        <f t="shared" si="421"/>
        <v>2.9545216936748564</v>
      </c>
      <c r="P841" s="7">
        <f>-3826*10000</f>
        <v>-38260000</v>
      </c>
      <c r="Q841" s="6" t="str">
        <f t="shared" si="405"/>
        <v>=-38260000</v>
      </c>
      <c r="R841" s="11">
        <f>-38260000</f>
        <v>-38260000</v>
      </c>
      <c r="S841" s="8">
        <f t="shared" si="422"/>
        <v>-1.0105486628067273</v>
      </c>
      <c r="T841" s="6" t="s">
        <v>9300</v>
      </c>
      <c r="U841" s="6" t="str">
        <f t="shared" si="406"/>
        <v>=36.27*100000000</v>
      </c>
      <c r="V841" s="1">
        <f>36.27*100000000</f>
        <v>3627000000.0000005</v>
      </c>
      <c r="W841" s="8">
        <f t="shared" si="423"/>
        <v>0.15436028007638461</v>
      </c>
      <c r="X841" s="6" t="s">
        <v>9301</v>
      </c>
      <c r="Y841" s="6" t="str">
        <f t="shared" si="407"/>
        <v>=31.42*100000000</v>
      </c>
      <c r="Z841" s="1">
        <f>31.42*100000000</f>
        <v>3142000000</v>
      </c>
      <c r="AA841" s="8">
        <f t="shared" si="424"/>
        <v>6.7255434782608689E-2</v>
      </c>
      <c r="AB841" s="6" t="s">
        <v>9302</v>
      </c>
      <c r="AC841" s="6" t="str">
        <f t="shared" si="408"/>
        <v>=29.44*100000000</v>
      </c>
      <c r="AD841" s="1">
        <f>29.44*100000000</f>
        <v>2944000000</v>
      </c>
      <c r="AE841" s="8">
        <f t="shared" si="425"/>
        <v>-5.5805003207184095E-2</v>
      </c>
      <c r="AF841" s="6" t="s">
        <v>2790</v>
      </c>
      <c r="AG841" s="6" t="str">
        <f t="shared" si="409"/>
        <v>=31.18*100000000</v>
      </c>
      <c r="AH841" s="1">
        <f>31.18*100000000</f>
        <v>3118000000</v>
      </c>
      <c r="AI841" s="8">
        <f t="shared" si="426"/>
        <v>2.3581044695745828</v>
      </c>
      <c r="AJ841" s="6" t="s">
        <v>6341</v>
      </c>
      <c r="AK841" s="6" t="str">
        <f t="shared" si="410"/>
        <v>=9.285*100000000</v>
      </c>
      <c r="AL841" s="1">
        <f>9.285*100000000</f>
        <v>928500000</v>
      </c>
      <c r="AM841" s="8">
        <f t="shared" si="427"/>
        <v>-71.662100456621005</v>
      </c>
      <c r="AN841" s="7">
        <f>-1314*10000</f>
        <v>-13140000</v>
      </c>
      <c r="AO841" s="6" t="str">
        <f t="shared" si="411"/>
        <v>=-13140000</v>
      </c>
      <c r="AP841" s="1">
        <f>-13140000</f>
        <v>-13140000</v>
      </c>
      <c r="AQ841" s="8">
        <f t="shared" si="428"/>
        <v>-1.0215551181102362</v>
      </c>
      <c r="AR841" s="6" t="s">
        <v>225</v>
      </c>
      <c r="AS841" s="6" t="str">
        <f t="shared" si="412"/>
        <v>=6.096*100000000</v>
      </c>
      <c r="AT841" s="1">
        <f>6.096*100000000</f>
        <v>609600000</v>
      </c>
      <c r="AU841" s="8">
        <f t="shared" si="429"/>
        <v>-3.1487486781811773</v>
      </c>
      <c r="AV841" s="6">
        <f>-2.837*100000000</f>
        <v>-283700000</v>
      </c>
      <c r="AW841" s="6" t="str">
        <f t="shared" si="413"/>
        <v>=-283700000</v>
      </c>
      <c r="AX841" s="1">
        <f>-283700000</f>
        <v>-283700000</v>
      </c>
      <c r="AY841" s="10">
        <f t="shared" si="430"/>
        <v>-0.88532740501212615</v>
      </c>
      <c r="AZ841" s="6">
        <f>-24.74*100000000</f>
        <v>-2474000000</v>
      </c>
      <c r="BA841" s="6" t="str">
        <f t="shared" si="414"/>
        <v>=-2474000000</v>
      </c>
      <c r="BB841" s="1">
        <f>-2474000000</f>
        <v>-2474000000</v>
      </c>
      <c r="BC841" s="8">
        <f t="shared" si="431"/>
        <v>1.9441866000238011</v>
      </c>
      <c r="BD841" s="6">
        <f>-8.403*100000000</f>
        <v>-840300000</v>
      </c>
      <c r="BE841" s="6" t="str">
        <f t="shared" si="415"/>
        <v>=-840300000</v>
      </c>
      <c r="BF841" s="1">
        <f>-840300000</f>
        <v>-840300000</v>
      </c>
      <c r="BG841" s="8">
        <f t="shared" si="432"/>
        <v>0.96837666900913566</v>
      </c>
      <c r="BH841" s="6">
        <f>-4.269*100000000</f>
        <v>-426900000</v>
      </c>
      <c r="BI841" s="6" t="str">
        <f t="shared" si="416"/>
        <v>=-426900000</v>
      </c>
      <c r="BJ841" s="1">
        <f>-426900000</f>
        <v>-426900000</v>
      </c>
      <c r="BK841" s="7" t="s">
        <v>9303</v>
      </c>
      <c r="BL841" s="1" t="str">
        <f t="shared" si="418"/>
        <v>=3284*10000</v>
      </c>
      <c r="BM841" s="16">
        <f t="shared" si="433"/>
        <v>-13.999390986601705</v>
      </c>
      <c r="BN841" s="1">
        <f>3284*10000</f>
        <v>32840000</v>
      </c>
    </row>
    <row r="842" spans="1:66">
      <c r="A842" s="17">
        <v>212</v>
      </c>
      <c r="B842">
        <v>600688</v>
      </c>
      <c r="C842" t="s">
        <v>31</v>
      </c>
      <c r="D842" s="6" t="s">
        <v>9304</v>
      </c>
      <c r="E842" s="7" t="str">
        <f t="shared" si="417"/>
        <v>=892.8*100000000</v>
      </c>
      <c r="F842" s="1">
        <f>892.8*100000000</f>
        <v>89280000000</v>
      </c>
      <c r="G842" s="8">
        <f t="shared" si="419"/>
        <v>0.44325897187196894</v>
      </c>
      <c r="H842" s="6" t="s">
        <v>9305</v>
      </c>
      <c r="I842" s="6" t="str">
        <f t="shared" si="403"/>
        <v>=618.6*100000000</v>
      </c>
      <c r="J842" s="1">
        <f>618.6*100000000</f>
        <v>61860000000</v>
      </c>
      <c r="K842" s="10">
        <f t="shared" si="420"/>
        <v>0.66558966074313408</v>
      </c>
      <c r="L842" s="6" t="s">
        <v>9306</v>
      </c>
      <c r="M842" s="6" t="str">
        <f t="shared" si="404"/>
        <v>=371.4*100000000</v>
      </c>
      <c r="N842" s="1">
        <f>371.4*100000000</f>
        <v>37140000000</v>
      </c>
      <c r="O842" s="8">
        <f t="shared" si="421"/>
        <v>0.82237487733071635</v>
      </c>
      <c r="P842" s="6" t="s">
        <v>3589</v>
      </c>
      <c r="Q842" s="6" t="str">
        <f t="shared" si="405"/>
        <v>=203.8*100000000</v>
      </c>
      <c r="R842" s="11">
        <f>203.8*100000000</f>
        <v>20380000000</v>
      </c>
      <c r="S842" s="8">
        <f t="shared" si="422"/>
        <v>-0.72721188595904163</v>
      </c>
      <c r="T842" s="6" t="s">
        <v>9307</v>
      </c>
      <c r="U842" s="6" t="str">
        <f t="shared" si="406"/>
        <v>=747.1*100000000</v>
      </c>
      <c r="V842" s="1">
        <f>747.1*100000000</f>
        <v>74710000000</v>
      </c>
      <c r="W842" s="8">
        <f t="shared" si="423"/>
        <v>0.35959963603275708</v>
      </c>
      <c r="X842" s="6" t="s">
        <v>9308</v>
      </c>
      <c r="Y842" s="6" t="str">
        <f t="shared" si="407"/>
        <v>=549.5*100000000</v>
      </c>
      <c r="Z842" s="1">
        <f>549.5*100000000</f>
        <v>54950000000</v>
      </c>
      <c r="AA842" s="8">
        <f t="shared" si="424"/>
        <v>0.54094223219293325</v>
      </c>
      <c r="AB842" s="6" t="s">
        <v>9309</v>
      </c>
      <c r="AC842" s="6" t="str">
        <f t="shared" si="408"/>
        <v>=356.6*100000000</v>
      </c>
      <c r="AD842" s="1">
        <f>356.6*100000000</f>
        <v>35660000000</v>
      </c>
      <c r="AE842" s="8">
        <f t="shared" si="425"/>
        <v>0.98884551031790291</v>
      </c>
      <c r="AF842" s="6" t="s">
        <v>9310</v>
      </c>
      <c r="AG842" s="6" t="str">
        <f t="shared" si="409"/>
        <v>=179.3*100000000</v>
      </c>
      <c r="AH842" s="1">
        <f>179.3*100000000</f>
        <v>17930000000</v>
      </c>
      <c r="AI842" s="8">
        <f t="shared" si="426"/>
        <v>-0.82123629112662011</v>
      </c>
      <c r="AJ842" s="6" t="s">
        <v>9311</v>
      </c>
      <c r="AK842" s="6" t="str">
        <f t="shared" si="410"/>
        <v>=1003*100000000</v>
      </c>
      <c r="AL842" s="1">
        <f>1003*100000000</f>
        <v>100300000000</v>
      </c>
      <c r="AM842" s="8">
        <f t="shared" si="427"/>
        <v>0.33076821016319491</v>
      </c>
      <c r="AN842" s="6" t="s">
        <v>9312</v>
      </c>
      <c r="AO842" s="6" t="str">
        <f t="shared" si="411"/>
        <v>=753.7*100000000</v>
      </c>
      <c r="AP842" s="1">
        <f>753.7*100000000</f>
        <v>75370000000</v>
      </c>
      <c r="AQ842" s="8">
        <f t="shared" si="428"/>
        <v>0.4497018657434122</v>
      </c>
      <c r="AR842" s="6" t="s">
        <v>9313</v>
      </c>
      <c r="AS842" s="6" t="str">
        <f t="shared" si="412"/>
        <v>=519.9*100000000</v>
      </c>
      <c r="AT842" s="1">
        <f>519.9*100000000</f>
        <v>51990000000</v>
      </c>
      <c r="AU842" s="8">
        <f t="shared" si="429"/>
        <v>1.068019093078759</v>
      </c>
      <c r="AV842" s="6" t="s">
        <v>9314</v>
      </c>
      <c r="AW842" s="6" t="str">
        <f t="shared" si="413"/>
        <v>=251.4*100000000</v>
      </c>
      <c r="AX842" s="1">
        <f>251.4*100000000</f>
        <v>25140000000</v>
      </c>
      <c r="AY842" s="10">
        <f t="shared" si="430"/>
        <v>-0.76679035250463823</v>
      </c>
      <c r="AZ842" s="6" t="s">
        <v>9315</v>
      </c>
      <c r="BA842" s="6" t="str">
        <f t="shared" si="414"/>
        <v>=1078*100000000</v>
      </c>
      <c r="BB842" s="1">
        <f>1078*100000000</f>
        <v>107800000000</v>
      </c>
      <c r="BC842" s="8">
        <f t="shared" si="431"/>
        <v>0.33382826033160107</v>
      </c>
      <c r="BD842" s="6" t="s">
        <v>1004</v>
      </c>
      <c r="BE842" s="6" t="str">
        <f t="shared" si="415"/>
        <v>=808.2*100000000</v>
      </c>
      <c r="BF842" s="1">
        <f>808.2*100000000</f>
        <v>80820000000</v>
      </c>
      <c r="BG842" s="8">
        <f t="shared" si="432"/>
        <v>0.54857252347192953</v>
      </c>
      <c r="BH842" s="6" t="s">
        <v>9316</v>
      </c>
      <c r="BI842" s="6" t="str">
        <f t="shared" si="416"/>
        <v>=521.9*100000000</v>
      </c>
      <c r="BJ842" s="1">
        <f>521.9*100000000</f>
        <v>52190000000</v>
      </c>
      <c r="BK842" s="6" t="s">
        <v>9317</v>
      </c>
      <c r="BL842" s="1" t="str">
        <f t="shared" si="418"/>
        <v>=257.6*100000000</v>
      </c>
      <c r="BM842" s="16">
        <f t="shared" si="433"/>
        <v>1.026009316770186</v>
      </c>
      <c r="BN842" s="1">
        <f>257.6*100000000</f>
        <v>25760000000.000004</v>
      </c>
    </row>
    <row r="843" spans="1:66">
      <c r="A843" s="18"/>
      <c r="B843">
        <v>600688</v>
      </c>
      <c r="C843" t="s">
        <v>48</v>
      </c>
      <c r="D843" s="6" t="s">
        <v>9318</v>
      </c>
      <c r="E843" s="7" t="str">
        <f t="shared" si="417"/>
        <v>=27.26*100000000</v>
      </c>
      <c r="F843" s="1">
        <f>27.26*100000000</f>
        <v>2726000000</v>
      </c>
      <c r="G843" s="8">
        <f t="shared" si="419"/>
        <v>8.4327764518695308E-2</v>
      </c>
      <c r="H843" s="6" t="s">
        <v>9319</v>
      </c>
      <c r="I843" s="6" t="str">
        <f t="shared" si="403"/>
        <v>=25.14*100000000</v>
      </c>
      <c r="J843" s="1">
        <f>25.14*100000000</f>
        <v>2514000000</v>
      </c>
      <c r="K843" s="10">
        <f t="shared" si="420"/>
        <v>0.64099216710182771</v>
      </c>
      <c r="L843" s="6" t="s">
        <v>4231</v>
      </c>
      <c r="M843" s="6" t="str">
        <f t="shared" si="404"/>
        <v>=15.32*100000000</v>
      </c>
      <c r="N843" s="1">
        <f>15.32*100000000</f>
        <v>1532000000</v>
      </c>
      <c r="O843" s="8">
        <f t="shared" si="421"/>
        <v>1.8617021276595744E-2</v>
      </c>
      <c r="P843" s="6" t="s">
        <v>9320</v>
      </c>
      <c r="Q843" s="6" t="str">
        <f t="shared" si="405"/>
        <v>=15.04*100000000</v>
      </c>
      <c r="R843" s="11">
        <f>15.04*100000000</f>
        <v>1504000000</v>
      </c>
      <c r="S843" s="8">
        <f t="shared" si="422"/>
        <v>1.3621799905764096</v>
      </c>
      <c r="T843" s="6" t="s">
        <v>9321</v>
      </c>
      <c r="U843" s="6" t="str">
        <f t="shared" si="406"/>
        <v>=6.367*100000000</v>
      </c>
      <c r="V843" s="1">
        <f>6.367*100000000</f>
        <v>636700000</v>
      </c>
      <c r="W843" s="8">
        <f t="shared" si="423"/>
        <v>-1.6734715464353713</v>
      </c>
      <c r="X843" s="6">
        <f>-9.454*100000000</f>
        <v>-945400000.00000012</v>
      </c>
      <c r="Y843" s="6" t="str">
        <f t="shared" si="407"/>
        <v>=-945400000</v>
      </c>
      <c r="Z843" s="1">
        <f>-945400000</f>
        <v>-945400000</v>
      </c>
      <c r="AA843" s="8">
        <f t="shared" si="424"/>
        <v>-0.59529109589041096</v>
      </c>
      <c r="AB843" s="6">
        <f>-23.36*100000000</f>
        <v>-2336000000</v>
      </c>
      <c r="AC843" s="6" t="str">
        <f t="shared" si="408"/>
        <v>=-2336000000</v>
      </c>
      <c r="AD843" s="1">
        <f>-2336000000</f>
        <v>-2336000000</v>
      </c>
      <c r="AE843" s="8">
        <f t="shared" si="425"/>
        <v>0.43400859422958871</v>
      </c>
      <c r="AF843" s="6">
        <f>-16.29*100000000</f>
        <v>-1629000000</v>
      </c>
      <c r="AG843" s="6" t="str">
        <f t="shared" si="409"/>
        <v>=-1629000000</v>
      </c>
      <c r="AH843" s="1">
        <f>-1629000000</f>
        <v>-1629000000</v>
      </c>
      <c r="AI843" s="8">
        <f t="shared" si="426"/>
        <v>-1.6037805782060786</v>
      </c>
      <c r="AJ843" s="6" t="s">
        <v>3534</v>
      </c>
      <c r="AK843" s="6" t="str">
        <f t="shared" si="410"/>
        <v>=26.98*100000000</v>
      </c>
      <c r="AL843" s="1">
        <f>26.98*100000000</f>
        <v>2698000000</v>
      </c>
      <c r="AM843" s="8">
        <f t="shared" si="427"/>
        <v>0.33234567901234568</v>
      </c>
      <c r="AN843" s="6" t="s">
        <v>1358</v>
      </c>
      <c r="AO843" s="6" t="str">
        <f t="shared" si="411"/>
        <v>=20.25*100000000</v>
      </c>
      <c r="AP843" s="1">
        <f>20.25*100000000</f>
        <v>2025000000</v>
      </c>
      <c r="AQ843" s="8">
        <f t="shared" si="428"/>
        <v>0.48351648351648352</v>
      </c>
      <c r="AR843" s="6" t="s">
        <v>155</v>
      </c>
      <c r="AS843" s="6" t="str">
        <f t="shared" si="412"/>
        <v>=13.65*100000000</v>
      </c>
      <c r="AT843" s="1">
        <f>13.65*100000000</f>
        <v>1365000000</v>
      </c>
      <c r="AU843" s="8">
        <f t="shared" si="429"/>
        <v>0.82633128177682635</v>
      </c>
      <c r="AV843" s="6" t="s">
        <v>9322</v>
      </c>
      <c r="AW843" s="6" t="str">
        <f t="shared" si="413"/>
        <v>=7.474*100000000</v>
      </c>
      <c r="AX843" s="1">
        <f>7.474*100000000</f>
        <v>747400000</v>
      </c>
      <c r="AY843" s="10">
        <f t="shared" si="430"/>
        <v>-0.88955223880597012</v>
      </c>
      <c r="AZ843" s="6" t="s">
        <v>9323</v>
      </c>
      <c r="BA843" s="6" t="str">
        <f t="shared" si="414"/>
        <v>=67.67*100000000</v>
      </c>
      <c r="BB843" s="1">
        <f>67.67*100000000</f>
        <v>6767000000</v>
      </c>
      <c r="BC843" s="8">
        <f t="shared" si="431"/>
        <v>0.13464118041582832</v>
      </c>
      <c r="BD843" s="6" t="s">
        <v>9324</v>
      </c>
      <c r="BE843" s="6" t="str">
        <f t="shared" si="415"/>
        <v>=59.64*100000000</v>
      </c>
      <c r="BF843" s="1">
        <f>59.64*100000000</f>
        <v>5964000000</v>
      </c>
      <c r="BG843" s="8">
        <f t="shared" si="432"/>
        <v>0.32356857523302263</v>
      </c>
      <c r="BH843" s="6" t="s">
        <v>9325</v>
      </c>
      <c r="BI843" s="6" t="str">
        <f t="shared" si="416"/>
        <v>=45.06*100000000</v>
      </c>
      <c r="BJ843" s="1">
        <f>45.06*100000000</f>
        <v>4506000000</v>
      </c>
      <c r="BK843" s="6" t="s">
        <v>7636</v>
      </c>
      <c r="BL843" s="1" t="str">
        <f t="shared" si="418"/>
        <v>=22.63*100000000</v>
      </c>
      <c r="BM843" s="16">
        <f t="shared" si="433"/>
        <v>0.99116217410517016</v>
      </c>
      <c r="BN843" s="1">
        <f>22.63*100000000</f>
        <v>2263000000</v>
      </c>
    </row>
    <row r="844" spans="1:66">
      <c r="A844" s="18"/>
      <c r="B844">
        <v>600688</v>
      </c>
      <c r="C844" t="s">
        <v>58</v>
      </c>
      <c r="D844" s="6" t="s">
        <v>9326</v>
      </c>
      <c r="E844" s="7" t="str">
        <f t="shared" si="417"/>
        <v>=26.48*100000000</v>
      </c>
      <c r="F844" s="1">
        <f>26.48*100000000</f>
        <v>2648000000</v>
      </c>
      <c r="G844" s="8">
        <f t="shared" si="419"/>
        <v>7.9934747145187598E-2</v>
      </c>
      <c r="H844" s="6" t="s">
        <v>9327</v>
      </c>
      <c r="I844" s="6" t="str">
        <f t="shared" si="403"/>
        <v>=24.52*100000000</v>
      </c>
      <c r="J844" s="1">
        <f>24.52*100000000</f>
        <v>2452000000</v>
      </c>
      <c r="K844" s="10">
        <f t="shared" si="420"/>
        <v>0.62276637988087358</v>
      </c>
      <c r="L844" s="6" t="s">
        <v>6999</v>
      </c>
      <c r="M844" s="6" t="str">
        <f t="shared" si="404"/>
        <v>=15.11*100000000</v>
      </c>
      <c r="N844" s="1">
        <f>15.11*100000000</f>
        <v>1511000000</v>
      </c>
      <c r="O844" s="8">
        <f t="shared" si="421"/>
        <v>6.6622251832111927E-3</v>
      </c>
      <c r="P844" s="6" t="s">
        <v>9328</v>
      </c>
      <c r="Q844" s="6" t="str">
        <f t="shared" si="405"/>
        <v>=15.01*100000000</v>
      </c>
      <c r="R844" s="11">
        <f>15.01*100000000</f>
        <v>1501000000</v>
      </c>
      <c r="S844" s="8">
        <f t="shared" si="422"/>
        <v>1.6158940397350994</v>
      </c>
      <c r="T844" s="6" t="s">
        <v>9329</v>
      </c>
      <c r="U844" s="6" t="str">
        <f t="shared" si="406"/>
        <v>=5.738*100000000</v>
      </c>
      <c r="V844" s="1">
        <f>5.738*100000000</f>
        <v>573800000</v>
      </c>
      <c r="W844" s="8">
        <f t="shared" si="423"/>
        <v>-1.5825380710659898</v>
      </c>
      <c r="X844" s="6">
        <f>-9.85*100000000</f>
        <v>-985000000</v>
      </c>
      <c r="Y844" s="6" t="str">
        <f t="shared" si="407"/>
        <v>=-985000000</v>
      </c>
      <c r="Z844" s="1">
        <f>-985000000</f>
        <v>-985000000</v>
      </c>
      <c r="AA844" s="8">
        <f t="shared" si="424"/>
        <v>-0.58174097664543523</v>
      </c>
      <c r="AB844" s="6">
        <f>-23.55*100000000</f>
        <v>-2355000000</v>
      </c>
      <c r="AC844" s="6" t="str">
        <f t="shared" si="408"/>
        <v>=-2355000000</v>
      </c>
      <c r="AD844" s="1">
        <f>-2355000000</f>
        <v>-2355000000</v>
      </c>
      <c r="AE844" s="8">
        <f t="shared" si="425"/>
        <v>0.45640074211502785</v>
      </c>
      <c r="AF844" s="6">
        <f>-16.17*100000000</f>
        <v>-1617000000.0000002</v>
      </c>
      <c r="AG844" s="6" t="str">
        <f t="shared" si="409"/>
        <v>=-1617000000</v>
      </c>
      <c r="AH844" s="1">
        <f>-1617000000</f>
        <v>-1617000000</v>
      </c>
      <c r="AI844" s="8">
        <f t="shared" si="426"/>
        <v>-1.6092690278824415</v>
      </c>
      <c r="AJ844" s="6" t="s">
        <v>9330</v>
      </c>
      <c r="AK844" s="6" t="str">
        <f t="shared" si="410"/>
        <v>=26.54*100000000</v>
      </c>
      <c r="AL844" s="1">
        <f>26.54*100000000</f>
        <v>2654000000</v>
      </c>
      <c r="AM844" s="8">
        <f t="shared" si="427"/>
        <v>0.32832832832832831</v>
      </c>
      <c r="AN844" s="6" t="s">
        <v>4540</v>
      </c>
      <c r="AO844" s="6" t="str">
        <f t="shared" si="411"/>
        <v>=19.98*100000000</v>
      </c>
      <c r="AP844" s="1">
        <f>19.98*100000000</f>
        <v>1998000000</v>
      </c>
      <c r="AQ844" s="8">
        <f t="shared" si="428"/>
        <v>0.47019867549668876</v>
      </c>
      <c r="AR844" s="6" t="s">
        <v>9331</v>
      </c>
      <c r="AS844" s="6" t="str">
        <f t="shared" si="412"/>
        <v>=13.59*100000000</v>
      </c>
      <c r="AT844" s="1">
        <f>13.59*100000000</f>
        <v>1359000000</v>
      </c>
      <c r="AU844" s="8">
        <f t="shared" si="429"/>
        <v>0.81757389327270291</v>
      </c>
      <c r="AV844" s="6" t="s">
        <v>9332</v>
      </c>
      <c r="AW844" s="6" t="str">
        <f t="shared" si="413"/>
        <v>=7.477*100000000</v>
      </c>
      <c r="AX844" s="1">
        <f>7.477*100000000</f>
        <v>747700000</v>
      </c>
      <c r="AY844" s="10">
        <f t="shared" si="430"/>
        <v>-0.88921321677285525</v>
      </c>
      <c r="AZ844" s="6" t="s">
        <v>4710</v>
      </c>
      <c r="BA844" s="6" t="str">
        <f t="shared" si="414"/>
        <v>=67.49*100000000</v>
      </c>
      <c r="BB844" s="1">
        <f>67.49*100000000</f>
        <v>6748999999.999999</v>
      </c>
      <c r="BC844" s="8">
        <f t="shared" si="431"/>
        <v>0.13543068640646014</v>
      </c>
      <c r="BD844" s="6" t="s">
        <v>9333</v>
      </c>
      <c r="BE844" s="6" t="str">
        <f t="shared" si="415"/>
        <v>=59.44*100000000</v>
      </c>
      <c r="BF844" s="1">
        <f>59.44*100000000</f>
        <v>5944000000</v>
      </c>
      <c r="BG844" s="8">
        <f t="shared" si="432"/>
        <v>0.31650055370985603</v>
      </c>
      <c r="BH844" s="6" t="s">
        <v>7948</v>
      </c>
      <c r="BI844" s="6" t="str">
        <f t="shared" si="416"/>
        <v>=45.15*100000000</v>
      </c>
      <c r="BJ844" s="1">
        <f>45.15*100000000</f>
        <v>4515000000</v>
      </c>
      <c r="BK844" s="6" t="s">
        <v>7633</v>
      </c>
      <c r="BL844" s="1" t="str">
        <f t="shared" si="418"/>
        <v>=22.71*100000000</v>
      </c>
      <c r="BM844" s="16">
        <f t="shared" si="433"/>
        <v>0.98811096433289303</v>
      </c>
      <c r="BN844" s="1">
        <f>22.71*100000000</f>
        <v>2271000000</v>
      </c>
    </row>
    <row r="845" spans="1:66">
      <c r="A845" s="19"/>
      <c r="B845">
        <v>600688</v>
      </c>
      <c r="C845" t="s">
        <v>68</v>
      </c>
      <c r="D845" s="6" t="s">
        <v>9334</v>
      </c>
      <c r="E845" s="7" t="str">
        <f t="shared" si="417"/>
        <v>=20.04*100000000</v>
      </c>
      <c r="F845" s="1">
        <f>20.04*100000000</f>
        <v>2004000000</v>
      </c>
      <c r="G845" s="8">
        <f t="shared" si="419"/>
        <v>1.6742770167427701E-2</v>
      </c>
      <c r="H845" s="6" t="s">
        <v>599</v>
      </c>
      <c r="I845" s="6" t="str">
        <f t="shared" si="403"/>
        <v>=19.71*100000000</v>
      </c>
      <c r="J845" s="1">
        <f>19.71*100000000</f>
        <v>1971000000</v>
      </c>
      <c r="K845" s="10">
        <f t="shared" si="420"/>
        <v>0.57806244995996803</v>
      </c>
      <c r="L845" s="6" t="s">
        <v>6228</v>
      </c>
      <c r="M845" s="6" t="str">
        <f t="shared" si="404"/>
        <v>=12.49*100000000</v>
      </c>
      <c r="N845" s="1">
        <f>12.49*100000000</f>
        <v>1249000000</v>
      </c>
      <c r="O845" s="8">
        <f t="shared" si="421"/>
        <v>6.2978723404255324E-2</v>
      </c>
      <c r="P845" s="6" t="s">
        <v>9227</v>
      </c>
      <c r="Q845" s="6" t="str">
        <f t="shared" si="405"/>
        <v>=11.75*100000000</v>
      </c>
      <c r="R845" s="11">
        <f>11.75*100000000</f>
        <v>1175000000</v>
      </c>
      <c r="S845" s="8">
        <f t="shared" si="422"/>
        <v>0.83766030653737877</v>
      </c>
      <c r="T845" s="6" t="s">
        <v>9335</v>
      </c>
      <c r="U845" s="6" t="str">
        <f t="shared" si="406"/>
        <v>=6.394*100000000</v>
      </c>
      <c r="V845" s="1">
        <f>6.394*100000000</f>
        <v>639400000</v>
      </c>
      <c r="W845" s="8">
        <f t="shared" si="423"/>
        <v>-2.0109090909090908</v>
      </c>
      <c r="X845" s="6">
        <f>-6.325*100000000</f>
        <v>-632500000</v>
      </c>
      <c r="Y845" s="6" t="str">
        <f t="shared" si="407"/>
        <v>=-632500000</v>
      </c>
      <c r="Z845" s="1">
        <f>-632500000</f>
        <v>-632500000</v>
      </c>
      <c r="AA845" s="8">
        <f t="shared" si="424"/>
        <v>-0.62968384074941453</v>
      </c>
      <c r="AB845" s="6">
        <f>-17.08*100000000</f>
        <v>-1707999999.9999998</v>
      </c>
      <c r="AC845" s="6" t="str">
        <f t="shared" si="408"/>
        <v>=-1708000000</v>
      </c>
      <c r="AD845" s="1">
        <f>-1708000000</f>
        <v>-1708000000</v>
      </c>
      <c r="AE845" s="8">
        <f t="shared" si="425"/>
        <v>0.42214820982514573</v>
      </c>
      <c r="AF845" s="6">
        <f>-12.01*100000000</f>
        <v>-1201000000</v>
      </c>
      <c r="AG845" s="6" t="str">
        <f t="shared" si="409"/>
        <v>=-1201000000</v>
      </c>
      <c r="AH845" s="1">
        <f>-1201000000</f>
        <v>-1201000000</v>
      </c>
      <c r="AI845" s="8">
        <f t="shared" si="426"/>
        <v>-1.5397752808988765</v>
      </c>
      <c r="AJ845" s="6" t="s">
        <v>525</v>
      </c>
      <c r="AK845" s="6" t="str">
        <f t="shared" si="410"/>
        <v>=22.25*100000000</v>
      </c>
      <c r="AL845" s="1">
        <f>22.25*100000000</f>
        <v>2225000000</v>
      </c>
      <c r="AM845" s="8">
        <f t="shared" si="427"/>
        <v>0.29889083479276124</v>
      </c>
      <c r="AN845" s="6" t="s">
        <v>6002</v>
      </c>
      <c r="AO845" s="6" t="str">
        <f t="shared" si="411"/>
        <v>=17.13*100000000</v>
      </c>
      <c r="AP845" s="1">
        <f>17.13*100000000</f>
        <v>1713000000</v>
      </c>
      <c r="AQ845" s="8">
        <f t="shared" si="428"/>
        <v>0.4973776223776224</v>
      </c>
      <c r="AR845" s="6" t="s">
        <v>9336</v>
      </c>
      <c r="AS845" s="6" t="str">
        <f t="shared" si="412"/>
        <v>=11.44*100000000</v>
      </c>
      <c r="AT845" s="1">
        <f>11.44*100000000</f>
        <v>1144000000</v>
      </c>
      <c r="AU845" s="8">
        <f t="shared" si="429"/>
        <v>0.87234042553191493</v>
      </c>
      <c r="AV845" s="6" t="s">
        <v>8690</v>
      </c>
      <c r="AW845" s="6" t="str">
        <f t="shared" si="413"/>
        <v>=6.110*100000000</v>
      </c>
      <c r="AX845" s="1">
        <f>6.11*100000000</f>
        <v>611000000</v>
      </c>
      <c r="AY845" s="10">
        <f t="shared" si="430"/>
        <v>-0.88421451582338451</v>
      </c>
      <c r="AZ845" s="6" t="s">
        <v>9337</v>
      </c>
      <c r="BA845" s="6" t="str">
        <f t="shared" si="414"/>
        <v>=52.77*100000000</v>
      </c>
      <c r="BB845" s="1">
        <f>52.77*100000000</f>
        <v>5277000000</v>
      </c>
      <c r="BC845" s="8">
        <f t="shared" si="431"/>
        <v>0.13118971061093249</v>
      </c>
      <c r="BD845" s="6" t="s">
        <v>708</v>
      </c>
      <c r="BE845" s="6" t="str">
        <f t="shared" si="415"/>
        <v>=46.65*100000000</v>
      </c>
      <c r="BF845" s="1">
        <f>46.65*100000000</f>
        <v>4665000000</v>
      </c>
      <c r="BG845" s="8">
        <f t="shared" si="432"/>
        <v>0.3211554800339847</v>
      </c>
      <c r="BH845" s="6" t="s">
        <v>8581</v>
      </c>
      <c r="BI845" s="6" t="str">
        <f t="shared" si="416"/>
        <v>=35.31*100000000</v>
      </c>
      <c r="BJ845" s="1">
        <f>35.31*100000000</f>
        <v>3531000000</v>
      </c>
      <c r="BK845" s="6" t="s">
        <v>5253</v>
      </c>
      <c r="BL845" s="1" t="str">
        <f t="shared" si="418"/>
        <v>=17.74*100000000</v>
      </c>
      <c r="BM845" s="16">
        <f t="shared" si="433"/>
        <v>0.99041713641488194</v>
      </c>
      <c r="BN845" s="1">
        <f>17.74*100000000</f>
        <v>1773999999.9999998</v>
      </c>
    </row>
    <row r="846" spans="1:66">
      <c r="A846" s="17">
        <v>213</v>
      </c>
      <c r="B846">
        <v>600689</v>
      </c>
      <c r="C846" t="s">
        <v>31</v>
      </c>
      <c r="D846" s="6" t="s">
        <v>9338</v>
      </c>
      <c r="E846" s="7" t="str">
        <f t="shared" si="417"/>
        <v>=8.750*100000000</v>
      </c>
      <c r="F846" s="1">
        <f>8.75*100000000</f>
        <v>875000000</v>
      </c>
      <c r="G846" s="8">
        <f t="shared" si="419"/>
        <v>0.57942238267148016</v>
      </c>
      <c r="H846" s="6" t="s">
        <v>9339</v>
      </c>
      <c r="I846" s="6" t="str">
        <f t="shared" si="403"/>
        <v>=5.540*100000000</v>
      </c>
      <c r="J846" s="1">
        <f>5.54*100000000</f>
        <v>554000000</v>
      </c>
      <c r="K846" s="10">
        <f t="shared" si="420"/>
        <v>0.64587046939988113</v>
      </c>
      <c r="L846" s="6" t="s">
        <v>9340</v>
      </c>
      <c r="M846" s="6" t="str">
        <f t="shared" si="404"/>
        <v>=3.366*100000000</v>
      </c>
      <c r="N846" s="1">
        <f>3.366*100000000</f>
        <v>336600000</v>
      </c>
      <c r="O846" s="8">
        <f t="shared" si="421"/>
        <v>1.0893854748603351</v>
      </c>
      <c r="P846" s="6" t="s">
        <v>7271</v>
      </c>
      <c r="Q846" s="6" t="str">
        <f t="shared" si="405"/>
        <v>=1.611*100000000</v>
      </c>
      <c r="R846" s="11">
        <f>1.611*100000000</f>
        <v>161100000</v>
      </c>
      <c r="S846" s="8">
        <f t="shared" si="422"/>
        <v>-0.82959593822720545</v>
      </c>
      <c r="T846" s="6" t="s">
        <v>7023</v>
      </c>
      <c r="U846" s="6" t="str">
        <f t="shared" si="406"/>
        <v>=9.454*100000000</v>
      </c>
      <c r="V846" s="1">
        <f>9.454*100000000</f>
        <v>945400000.00000012</v>
      </c>
      <c r="W846" s="8">
        <f t="shared" si="423"/>
        <v>0.45222734254992336</v>
      </c>
      <c r="X846" s="6" t="s">
        <v>9341</v>
      </c>
      <c r="Y846" s="6" t="str">
        <f t="shared" si="407"/>
        <v>=6.510*100000000</v>
      </c>
      <c r="Z846" s="1">
        <f>6.51*100000000</f>
        <v>651000000</v>
      </c>
      <c r="AA846" s="8">
        <f t="shared" si="424"/>
        <v>0.55481251492715544</v>
      </c>
      <c r="AB846" s="6" t="s">
        <v>2989</v>
      </c>
      <c r="AC846" s="6" t="str">
        <f t="shared" si="408"/>
        <v>=4.187*100000000</v>
      </c>
      <c r="AD846" s="1">
        <f>4.187*100000000</f>
        <v>418700000</v>
      </c>
      <c r="AE846" s="8">
        <f t="shared" si="425"/>
        <v>0.9492551210428305</v>
      </c>
      <c r="AF846" s="6" t="s">
        <v>3394</v>
      </c>
      <c r="AG846" s="6" t="str">
        <f t="shared" si="409"/>
        <v>=2.148*100000000</v>
      </c>
      <c r="AH846" s="1">
        <f>2.148*100000000</f>
        <v>214800000</v>
      </c>
      <c r="AI846" s="8">
        <f t="shared" si="426"/>
        <v>-0.84321167883211678</v>
      </c>
      <c r="AJ846" s="6" t="s">
        <v>4226</v>
      </c>
      <c r="AK846" s="6" t="str">
        <f t="shared" si="410"/>
        <v>=13.70*100000000</v>
      </c>
      <c r="AL846" s="1">
        <f>13.7*100000000</f>
        <v>1370000000</v>
      </c>
      <c r="AM846" s="8">
        <f t="shared" si="427"/>
        <v>0.4059934318555008</v>
      </c>
      <c r="AN846" s="6" t="s">
        <v>9342</v>
      </c>
      <c r="AO846" s="6" t="str">
        <f t="shared" si="411"/>
        <v>=9.744*100000000</v>
      </c>
      <c r="AP846" s="1">
        <f>9.744*100000000</f>
        <v>974400000</v>
      </c>
      <c r="AQ846" s="8">
        <f t="shared" si="428"/>
        <v>0.59319816873773712</v>
      </c>
      <c r="AR846" s="6" t="s">
        <v>7826</v>
      </c>
      <c r="AS846" s="6" t="str">
        <f t="shared" si="412"/>
        <v>=6.116*100000000</v>
      </c>
      <c r="AT846" s="1">
        <f>6.116*100000000</f>
        <v>611600000</v>
      </c>
      <c r="AU846" s="8">
        <f t="shared" si="429"/>
        <v>0.92327044025157234</v>
      </c>
      <c r="AV846" s="6" t="s">
        <v>3122</v>
      </c>
      <c r="AW846" s="6" t="str">
        <f t="shared" si="413"/>
        <v>=3.180*100000000</v>
      </c>
      <c r="AX846" s="1">
        <f>3.18*100000000</f>
        <v>318000000</v>
      </c>
      <c r="AY846" s="10">
        <f t="shared" si="430"/>
        <v>-0.76923076923076927</v>
      </c>
      <c r="AZ846" s="6" t="s">
        <v>6211</v>
      </c>
      <c r="BA846" s="6" t="str">
        <f t="shared" si="414"/>
        <v>=13.78*100000000</v>
      </c>
      <c r="BB846" s="1">
        <f>13.78*100000000</f>
        <v>1378000000</v>
      </c>
      <c r="BC846" s="8">
        <f t="shared" si="431"/>
        <v>0.36706349206349204</v>
      </c>
      <c r="BD846" s="6" t="s">
        <v>1967</v>
      </c>
      <c r="BE846" s="6" t="str">
        <f t="shared" si="415"/>
        <v>=10.08*100000000</v>
      </c>
      <c r="BF846" s="1">
        <f>10.08*100000000</f>
        <v>1008000000</v>
      </c>
      <c r="BG846" s="8">
        <f t="shared" si="432"/>
        <v>0.55148530090811143</v>
      </c>
      <c r="BH846" s="6" t="s">
        <v>9343</v>
      </c>
      <c r="BI846" s="6" t="str">
        <f t="shared" si="416"/>
        <v>=6.497*100000000</v>
      </c>
      <c r="BJ846" s="1">
        <f>6.497*100000000</f>
        <v>649700000</v>
      </c>
      <c r="BK846" s="6" t="s">
        <v>6527</v>
      </c>
      <c r="BL846" s="1" t="str">
        <f t="shared" si="418"/>
        <v>=3.508*100000000</v>
      </c>
      <c r="BM846" s="16">
        <f t="shared" si="433"/>
        <v>0.85205245153933862</v>
      </c>
      <c r="BN846" s="1">
        <f>3.508*100000000</f>
        <v>350800000</v>
      </c>
    </row>
    <row r="847" spans="1:66">
      <c r="A847" s="18"/>
      <c r="B847">
        <v>600689</v>
      </c>
      <c r="C847" t="s">
        <v>48</v>
      </c>
      <c r="D847" s="7" t="s">
        <v>9344</v>
      </c>
      <c r="E847" s="7" t="str">
        <f t="shared" si="417"/>
        <v>=928.5*10000</v>
      </c>
      <c r="F847" s="1">
        <f>928.5*10000</f>
        <v>9285000</v>
      </c>
      <c r="G847" s="8">
        <f t="shared" si="419"/>
        <v>0.5890809515659764</v>
      </c>
      <c r="H847" s="7" t="s">
        <v>9345</v>
      </c>
      <c r="I847" s="6" t="str">
        <f t="shared" si="403"/>
        <v>=584.3*10000</v>
      </c>
      <c r="J847" s="1">
        <f>584.3*10000</f>
        <v>5843000</v>
      </c>
      <c r="K847" s="10">
        <f t="shared" si="420"/>
        <v>0.57196663976324991</v>
      </c>
      <c r="L847" s="7" t="s">
        <v>9346</v>
      </c>
      <c r="M847" s="6" t="str">
        <f t="shared" si="404"/>
        <v>=371.7*10000</v>
      </c>
      <c r="N847" s="1">
        <f>371.7*10000</f>
        <v>3717000</v>
      </c>
      <c r="O847" s="8">
        <f t="shared" si="421"/>
        <v>-8.7180746561886055E-2</v>
      </c>
      <c r="P847" s="7" t="s">
        <v>9347</v>
      </c>
      <c r="Q847" s="6" t="str">
        <f t="shared" si="405"/>
        <v>=407.2*10000</v>
      </c>
      <c r="R847" s="11">
        <f>407.2*10000</f>
        <v>4072000</v>
      </c>
      <c r="S847" s="8">
        <f t="shared" si="422"/>
        <v>-1.1324227642276423</v>
      </c>
      <c r="T847" s="7">
        <f>-3075*10000</f>
        <v>-30750000</v>
      </c>
      <c r="U847" s="6" t="str">
        <f t="shared" si="406"/>
        <v>=-30750000</v>
      </c>
      <c r="V847" s="1">
        <f>-30750000</f>
        <v>-30750000</v>
      </c>
      <c r="W847" s="8">
        <f t="shared" si="423"/>
        <v>4.4175475687103596</v>
      </c>
      <c r="X847" s="7">
        <f>-567.6*10000</f>
        <v>-5676000</v>
      </c>
      <c r="Y847" s="6" t="str">
        <f t="shared" si="407"/>
        <v>=-5676000</v>
      </c>
      <c r="Z847" s="1">
        <f>-5676000</f>
        <v>-5676000</v>
      </c>
      <c r="AA847" s="8">
        <f t="shared" si="424"/>
        <v>0.81283934845097416</v>
      </c>
      <c r="AB847" s="7">
        <f>-313.1*10000</f>
        <v>-3131000</v>
      </c>
      <c r="AC847" s="6" t="str">
        <f t="shared" si="408"/>
        <v>=-3131000</v>
      </c>
      <c r="AD847" s="1">
        <f>-3131000</f>
        <v>-3131000</v>
      </c>
      <c r="AE847" s="8">
        <f t="shared" si="425"/>
        <v>-8.5572429906542055E-2</v>
      </c>
      <c r="AF847" s="7">
        <f>-342.4*10000</f>
        <v>-3424000</v>
      </c>
      <c r="AG847" s="6" t="str">
        <f t="shared" si="409"/>
        <v>=-3424000</v>
      </c>
      <c r="AH847" s="1">
        <f>-3424000</f>
        <v>-3424000</v>
      </c>
      <c r="AI847" s="8">
        <f t="shared" si="426"/>
        <v>-1.2251150558842867</v>
      </c>
      <c r="AJ847" s="7" t="s">
        <v>9348</v>
      </c>
      <c r="AK847" s="6" t="str">
        <f t="shared" si="410"/>
        <v>=1521*10000</v>
      </c>
      <c r="AL847" s="1">
        <f>1521*10000</f>
        <v>15210000</v>
      </c>
      <c r="AM847" s="8">
        <f t="shared" si="427"/>
        <v>5.1867219917012451E-2</v>
      </c>
      <c r="AN847" s="7" t="s">
        <v>9349</v>
      </c>
      <c r="AO847" s="6" t="str">
        <f t="shared" si="411"/>
        <v>=1446*10000</v>
      </c>
      <c r="AP847" s="1">
        <f>1446*10000</f>
        <v>14460000</v>
      </c>
      <c r="AQ847" s="8">
        <f t="shared" si="428"/>
        <v>6.9637883008356544E-3</v>
      </c>
      <c r="AR847" s="7" t="s">
        <v>9350</v>
      </c>
      <c r="AS847" s="6" t="str">
        <f t="shared" si="412"/>
        <v>=1436*10000</v>
      </c>
      <c r="AT847" s="1">
        <f>1436*10000</f>
        <v>14360000</v>
      </c>
      <c r="AU847" s="8">
        <f t="shared" si="429"/>
        <v>2.8293333333333335</v>
      </c>
      <c r="AV847" s="7" t="s">
        <v>9351</v>
      </c>
      <c r="AW847" s="6" t="str">
        <f t="shared" si="413"/>
        <v>=375.0*10000</v>
      </c>
      <c r="AX847" s="1">
        <f>375*10000</f>
        <v>3750000</v>
      </c>
      <c r="AY847" s="10">
        <f t="shared" si="430"/>
        <v>-0.72304283604135888</v>
      </c>
      <c r="AZ847" s="7" t="s">
        <v>9352</v>
      </c>
      <c r="BA847" s="6" t="str">
        <f t="shared" si="414"/>
        <v>=1354*10000</v>
      </c>
      <c r="BB847" s="1">
        <f>1354*10000</f>
        <v>13540000</v>
      </c>
      <c r="BC847" s="8">
        <f t="shared" si="431"/>
        <v>2.8259395309409436</v>
      </c>
      <c r="BD847" s="7" t="s">
        <v>9353</v>
      </c>
      <c r="BE847" s="6" t="str">
        <f t="shared" si="415"/>
        <v>=353.9*10000</v>
      </c>
      <c r="BF847" s="1">
        <f>353.9*10000</f>
        <v>3539000</v>
      </c>
      <c r="BG847" s="8">
        <f t="shared" si="432"/>
        <v>0.75632754342431763</v>
      </c>
      <c r="BH847" s="7" t="s">
        <v>9354</v>
      </c>
      <c r="BI847" s="6" t="str">
        <f t="shared" si="416"/>
        <v>=201.5*10000</v>
      </c>
      <c r="BJ847" s="1">
        <f>201.5*10000</f>
        <v>2015000</v>
      </c>
      <c r="BK847" s="7" t="s">
        <v>9355</v>
      </c>
      <c r="BL847" s="1" t="str">
        <f t="shared" si="418"/>
        <v>=315.6*10000</v>
      </c>
      <c r="BM847" s="16">
        <f t="shared" si="433"/>
        <v>-0.36153358681875791</v>
      </c>
      <c r="BN847" s="1">
        <f>315.6*10000</f>
        <v>3156000</v>
      </c>
    </row>
    <row r="848" spans="1:66">
      <c r="A848" s="18"/>
      <c r="B848">
        <v>600689</v>
      </c>
      <c r="C848" t="s">
        <v>58</v>
      </c>
      <c r="D848" s="7" t="s">
        <v>9356</v>
      </c>
      <c r="E848" s="7" t="str">
        <f t="shared" si="417"/>
        <v>=1373*10000</v>
      </c>
      <c r="F848" s="1">
        <f>1373*10000</f>
        <v>13730000</v>
      </c>
      <c r="G848" s="8">
        <f t="shared" si="419"/>
        <v>0.38855177993527507</v>
      </c>
      <c r="H848" s="7" t="s">
        <v>9357</v>
      </c>
      <c r="I848" s="6" t="str">
        <f t="shared" si="403"/>
        <v>=988.8*10000</v>
      </c>
      <c r="J848" s="1">
        <f>988.8*10000</f>
        <v>9888000</v>
      </c>
      <c r="K848" s="10">
        <f t="shared" si="420"/>
        <v>0.28215767634854771</v>
      </c>
      <c r="L848" s="7" t="s">
        <v>9358</v>
      </c>
      <c r="M848" s="6" t="str">
        <f t="shared" si="404"/>
        <v>=771.2*10000</v>
      </c>
      <c r="N848" s="1">
        <f>771.2*10000</f>
        <v>7712000</v>
      </c>
      <c r="O848" s="8">
        <f t="shared" si="421"/>
        <v>0.89390962671905694</v>
      </c>
      <c r="P848" s="7" t="s">
        <v>9347</v>
      </c>
      <c r="Q848" s="6" t="str">
        <f t="shared" si="405"/>
        <v>=407.2*10000</v>
      </c>
      <c r="R848" s="11">
        <f>407.2*10000</f>
        <v>4072000</v>
      </c>
      <c r="S848" s="8">
        <f t="shared" si="422"/>
        <v>-1.1303457106274009</v>
      </c>
      <c r="T848" s="7">
        <f>-3124*10000</f>
        <v>-31240000</v>
      </c>
      <c r="U848" s="6" t="str">
        <f t="shared" si="406"/>
        <v>=-31240000</v>
      </c>
      <c r="V848" s="1">
        <f>-31240000</f>
        <v>-31240000</v>
      </c>
      <c r="W848" s="8">
        <f t="shared" si="423"/>
        <v>4.0871193616674812</v>
      </c>
      <c r="X848" s="7">
        <f>-614.1*10000</f>
        <v>-6141000</v>
      </c>
      <c r="Y848" s="6" t="str">
        <f t="shared" si="407"/>
        <v>=-6141000</v>
      </c>
      <c r="Z848" s="1">
        <f>-6141000</f>
        <v>-6141000</v>
      </c>
      <c r="AA848" s="8">
        <f t="shared" si="424"/>
        <v>0.8918669131238447</v>
      </c>
      <c r="AB848" s="7">
        <f>-324.6*10000</f>
        <v>-3246000</v>
      </c>
      <c r="AC848" s="6" t="str">
        <f t="shared" si="408"/>
        <v>=-3246000</v>
      </c>
      <c r="AD848" s="1">
        <f>-3246000</f>
        <v>-3246000</v>
      </c>
      <c r="AE848" s="8">
        <f t="shared" si="425"/>
        <v>-7.652916073968706E-2</v>
      </c>
      <c r="AF848" s="7">
        <f>-351.5*10000</f>
        <v>-3515000</v>
      </c>
      <c r="AG848" s="6" t="str">
        <f t="shared" si="409"/>
        <v>=-3515000</v>
      </c>
      <c r="AH848" s="1">
        <f>-3515000</f>
        <v>-3515000</v>
      </c>
      <c r="AI848" s="8">
        <f t="shared" si="426"/>
        <v>-1.281650641025641</v>
      </c>
      <c r="AJ848" s="7" t="s">
        <v>9359</v>
      </c>
      <c r="AK848" s="6" t="str">
        <f t="shared" si="410"/>
        <v>=1248*10000</v>
      </c>
      <c r="AL848" s="1">
        <f>1248*10000</f>
        <v>12480000</v>
      </c>
      <c r="AM848" s="8">
        <f t="shared" si="427"/>
        <v>-0.13752591568762959</v>
      </c>
      <c r="AN848" s="7" t="s">
        <v>3713</v>
      </c>
      <c r="AO848" s="6" t="str">
        <f t="shared" si="411"/>
        <v>=1447*10000</v>
      </c>
      <c r="AP848" s="1">
        <f>1447*10000</f>
        <v>14470000</v>
      </c>
      <c r="AQ848" s="8">
        <f t="shared" si="428"/>
        <v>7.6601671309192198E-3</v>
      </c>
      <c r="AR848" s="7" t="s">
        <v>9350</v>
      </c>
      <c r="AS848" s="6" t="str">
        <f t="shared" si="412"/>
        <v>=1436*10000</v>
      </c>
      <c r="AT848" s="1">
        <f>1436*10000</f>
        <v>14360000</v>
      </c>
      <c r="AU848" s="8">
        <f t="shared" si="429"/>
        <v>2.8262723154809484</v>
      </c>
      <c r="AV848" s="7" t="s">
        <v>9360</v>
      </c>
      <c r="AW848" s="6" t="str">
        <f t="shared" si="413"/>
        <v>=375.3*10000</v>
      </c>
      <c r="AX848" s="1">
        <f>375.3*10000</f>
        <v>3753000</v>
      </c>
      <c r="AY848" s="10">
        <f t="shared" si="430"/>
        <v>-0.72465150403521639</v>
      </c>
      <c r="AZ848" s="7" t="s">
        <v>9361</v>
      </c>
      <c r="BA848" s="6" t="str">
        <f t="shared" si="414"/>
        <v>=1363*10000</v>
      </c>
      <c r="BB848" s="1">
        <f>1363*10000</f>
        <v>13630000</v>
      </c>
      <c r="BC848" s="8">
        <f t="shared" si="431"/>
        <v>2.9189189189189189</v>
      </c>
      <c r="BD848" s="7" t="s">
        <v>9362</v>
      </c>
      <c r="BE848" s="6" t="str">
        <f t="shared" si="415"/>
        <v>=347.8*10000</v>
      </c>
      <c r="BF848" s="1">
        <f>347.8*10000</f>
        <v>3478000</v>
      </c>
      <c r="BG848" s="8">
        <f t="shared" si="432"/>
        <v>0.77902813299232732</v>
      </c>
      <c r="BH848" s="7" t="s">
        <v>9363</v>
      </c>
      <c r="BI848" s="6" t="str">
        <f t="shared" si="416"/>
        <v>=195.5*10000</v>
      </c>
      <c r="BJ848" s="1">
        <f>195.5*10000</f>
        <v>1955000</v>
      </c>
      <c r="BK848" s="7" t="s">
        <v>9364</v>
      </c>
      <c r="BL848" s="1" t="str">
        <f t="shared" si="418"/>
        <v>=312.2*10000</v>
      </c>
      <c r="BM848" s="16">
        <f t="shared" si="433"/>
        <v>-0.37379884689301729</v>
      </c>
      <c r="BN848" s="1">
        <f>312.2*10000</f>
        <v>3122000</v>
      </c>
    </row>
    <row r="849" spans="1:66">
      <c r="A849" s="19"/>
      <c r="B849">
        <v>600689</v>
      </c>
      <c r="C849" t="s">
        <v>68</v>
      </c>
      <c r="D849" s="7" t="s">
        <v>9365</v>
      </c>
      <c r="E849" s="7" t="str">
        <f t="shared" si="417"/>
        <v>=1181*10000</v>
      </c>
      <c r="F849" s="1">
        <f>1181*10000</f>
        <v>11810000</v>
      </c>
      <c r="G849" s="8">
        <f t="shared" si="419"/>
        <v>0.28593205574912894</v>
      </c>
      <c r="H849" s="7" t="s">
        <v>9366</v>
      </c>
      <c r="I849" s="6" t="str">
        <f t="shared" si="403"/>
        <v>=918.4*10000</v>
      </c>
      <c r="J849" s="1">
        <f>918.4*10000</f>
        <v>9184000</v>
      </c>
      <c r="K849" s="10">
        <f t="shared" si="420"/>
        <v>0.34386889083991806</v>
      </c>
      <c r="L849" s="7" t="s">
        <v>9367</v>
      </c>
      <c r="M849" s="6" t="str">
        <f t="shared" si="404"/>
        <v>=683.4*10000</v>
      </c>
      <c r="N849" s="1">
        <f>683.4*10000</f>
        <v>6834000</v>
      </c>
      <c r="O849" s="8">
        <f t="shared" si="421"/>
        <v>1.1053604436229205</v>
      </c>
      <c r="P849" s="7" t="s">
        <v>9368</v>
      </c>
      <c r="Q849" s="6" t="str">
        <f t="shared" si="405"/>
        <v>=324.6*10000</v>
      </c>
      <c r="R849" s="11">
        <f>324.6*10000</f>
        <v>3246000</v>
      </c>
      <c r="S849" s="8">
        <f t="shared" si="422"/>
        <v>-1.0931420373027261</v>
      </c>
      <c r="T849" s="7">
        <f>-3485*10000</f>
        <v>-34850000</v>
      </c>
      <c r="U849" s="6" t="str">
        <f t="shared" si="406"/>
        <v>=-34850000</v>
      </c>
      <c r="V849" s="1">
        <f>-34850000</f>
        <v>-34850000</v>
      </c>
      <c r="W849" s="8">
        <f t="shared" si="423"/>
        <v>3.0349658446219752</v>
      </c>
      <c r="X849" s="7">
        <f>-863.7*10000</f>
        <v>-8637000</v>
      </c>
      <c r="Y849" s="6" t="str">
        <f t="shared" si="407"/>
        <v>=-8637000</v>
      </c>
      <c r="Z849" s="1">
        <f>-8637000</f>
        <v>-8637000</v>
      </c>
      <c r="AA849" s="8">
        <f t="shared" si="424"/>
        <v>1.481183567940247</v>
      </c>
      <c r="AB849" s="7">
        <f>-348.1*10000</f>
        <v>-3481000</v>
      </c>
      <c r="AC849" s="6" t="str">
        <f t="shared" si="408"/>
        <v>=-3481000</v>
      </c>
      <c r="AD849" s="1">
        <f>-3481000</f>
        <v>-3481000</v>
      </c>
      <c r="AE849" s="8">
        <f t="shared" si="425"/>
        <v>0.21798460461861441</v>
      </c>
      <c r="AF849" s="7">
        <f>-285.8*10000</f>
        <v>-2858000</v>
      </c>
      <c r="AG849" s="6" t="str">
        <f t="shared" si="409"/>
        <v>=-2858000</v>
      </c>
      <c r="AH849" s="1">
        <f>-2858000</f>
        <v>-2858000</v>
      </c>
      <c r="AI849" s="8">
        <f t="shared" si="426"/>
        <v>-1.2939119703825586</v>
      </c>
      <c r="AJ849" s="7" t="s">
        <v>9369</v>
      </c>
      <c r="AK849" s="6" t="str">
        <f t="shared" si="410"/>
        <v>=972.4*10000</v>
      </c>
      <c r="AL849" s="1">
        <f>972.4*10000</f>
        <v>9724000</v>
      </c>
      <c r="AM849" s="8">
        <f t="shared" si="427"/>
        <v>-0.25486590038314177</v>
      </c>
      <c r="AN849" s="7" t="s">
        <v>9370</v>
      </c>
      <c r="AO849" s="6" t="str">
        <f t="shared" si="411"/>
        <v>=1305*10000</v>
      </c>
      <c r="AP849" s="1">
        <f>1305*10000</f>
        <v>13050000</v>
      </c>
      <c r="AQ849" s="8">
        <f t="shared" si="428"/>
        <v>0.18960802187784867</v>
      </c>
      <c r="AR849" s="7" t="s">
        <v>9371</v>
      </c>
      <c r="AS849" s="6" t="str">
        <f t="shared" si="412"/>
        <v>=1097*10000</v>
      </c>
      <c r="AT849" s="1">
        <f>1097*10000</f>
        <v>10970000</v>
      </c>
      <c r="AU849" s="8">
        <f t="shared" si="429"/>
        <v>2.274626865671642</v>
      </c>
      <c r="AV849" s="7" t="s">
        <v>9372</v>
      </c>
      <c r="AW849" s="6" t="str">
        <f t="shared" si="413"/>
        <v>=335.0*10000</v>
      </c>
      <c r="AX849" s="1">
        <f>335*10000</f>
        <v>3350000</v>
      </c>
      <c r="AY849" s="10">
        <f t="shared" si="430"/>
        <v>-0.69982078853046592</v>
      </c>
      <c r="AZ849" s="7" t="s">
        <v>9373</v>
      </c>
      <c r="BA849" s="6" t="str">
        <f t="shared" si="414"/>
        <v>=1116*10000</v>
      </c>
      <c r="BB849" s="1">
        <f>1116*10000</f>
        <v>11160000</v>
      </c>
      <c r="BC849" s="8">
        <f t="shared" si="431"/>
        <v>3.5718967636214667</v>
      </c>
      <c r="BD849" s="7" t="s">
        <v>9374</v>
      </c>
      <c r="BE849" s="6" t="str">
        <f t="shared" si="415"/>
        <v>=244.1*10000</v>
      </c>
      <c r="BF849" s="1">
        <f>244.1*10000</f>
        <v>2441000</v>
      </c>
      <c r="BG849" s="8">
        <f t="shared" si="432"/>
        <v>0.52944862155388472</v>
      </c>
      <c r="BH849" s="7" t="s">
        <v>9375</v>
      </c>
      <c r="BI849" s="6" t="str">
        <f t="shared" si="416"/>
        <v>=159.6*10000</v>
      </c>
      <c r="BJ849" s="1">
        <f>159.6*10000</f>
        <v>1596000</v>
      </c>
      <c r="BK849" s="7" t="s">
        <v>9376</v>
      </c>
      <c r="BL849" s="1" t="str">
        <f t="shared" si="418"/>
        <v>=252.5*10000</v>
      </c>
      <c r="BM849" s="16">
        <f t="shared" si="433"/>
        <v>-0.36792079207920791</v>
      </c>
      <c r="BN849" s="1">
        <f>252.5*10000</f>
        <v>2525000</v>
      </c>
    </row>
    <row r="850" spans="1:66">
      <c r="A850" s="17">
        <v>214</v>
      </c>
      <c r="B850">
        <v>600690</v>
      </c>
      <c r="C850" t="s">
        <v>31</v>
      </c>
      <c r="D850" s="6" t="s">
        <v>9377</v>
      </c>
      <c r="E850" s="7" t="str">
        <f t="shared" si="417"/>
        <v>=2276*100000000</v>
      </c>
      <c r="F850" s="1">
        <f>2276*100000000</f>
        <v>227600000000</v>
      </c>
      <c r="G850" s="8">
        <f t="shared" si="419"/>
        <v>0.33882352941176469</v>
      </c>
      <c r="H850" s="6" t="s">
        <v>9378</v>
      </c>
      <c r="I850" s="6" t="str">
        <f t="shared" si="403"/>
        <v>=1700*100000000</v>
      </c>
      <c r="J850" s="1">
        <f>1700*100000000</f>
        <v>170000000000</v>
      </c>
      <c r="K850" s="10">
        <f t="shared" si="420"/>
        <v>0.52329749103942658</v>
      </c>
      <c r="L850" s="6" t="s">
        <v>9379</v>
      </c>
      <c r="M850" s="6" t="str">
        <f t="shared" si="404"/>
        <v>=1116*100000000</v>
      </c>
      <c r="N850" s="1">
        <f>1116*100000000</f>
        <v>111600000000</v>
      </c>
      <c r="O850" s="8">
        <f t="shared" si="421"/>
        <v>1.037611831294504</v>
      </c>
      <c r="P850" s="6" t="s">
        <v>9380</v>
      </c>
      <c r="Q850" s="6" t="str">
        <f t="shared" si="405"/>
        <v>=547.7*100000000</v>
      </c>
      <c r="R850" s="11">
        <f>547.7*100000000</f>
        <v>54770000000.000008</v>
      </c>
      <c r="S850" s="8">
        <f t="shared" si="422"/>
        <v>-0.73881735813066285</v>
      </c>
      <c r="T850" s="6" t="s">
        <v>9381</v>
      </c>
      <c r="U850" s="6" t="str">
        <f t="shared" si="406"/>
        <v>=2097*100000000</v>
      </c>
      <c r="V850" s="1">
        <f>2097*100000000</f>
        <v>209700000000</v>
      </c>
      <c r="W850" s="8">
        <f t="shared" si="423"/>
        <v>0.35816062176165803</v>
      </c>
      <c r="X850" s="6" t="s">
        <v>9382</v>
      </c>
      <c r="Y850" s="6" t="str">
        <f t="shared" si="407"/>
        <v>=1544*100000000</v>
      </c>
      <c r="Z850" s="1">
        <f>1544*100000000</f>
        <v>154400000000</v>
      </c>
      <c r="AA850" s="8">
        <f t="shared" si="424"/>
        <v>0.61286952888331769</v>
      </c>
      <c r="AB850" s="6" t="s">
        <v>9383</v>
      </c>
      <c r="AC850" s="6" t="str">
        <f t="shared" si="408"/>
        <v>=957.3*100000000</v>
      </c>
      <c r="AD850" s="1">
        <f>957.3*100000000</f>
        <v>95730000000</v>
      </c>
      <c r="AE850" s="8">
        <f t="shared" si="425"/>
        <v>1.2190542420027817</v>
      </c>
      <c r="AF850" s="6" t="s">
        <v>839</v>
      </c>
      <c r="AG850" s="6" t="str">
        <f t="shared" si="409"/>
        <v>=431.4*100000000</v>
      </c>
      <c r="AH850" s="1">
        <f>431.4*100000000</f>
        <v>43140000000</v>
      </c>
      <c r="AI850" s="8">
        <f t="shared" si="426"/>
        <v>-0.78515936254980079</v>
      </c>
      <c r="AJ850" s="6" t="s">
        <v>9384</v>
      </c>
      <c r="AK850" s="6" t="str">
        <f t="shared" si="410"/>
        <v>=2008*100000000</v>
      </c>
      <c r="AL850" s="1">
        <f>2008*100000000</f>
        <v>200800000000</v>
      </c>
      <c r="AM850" s="8">
        <f t="shared" si="427"/>
        <v>0.33688415446071907</v>
      </c>
      <c r="AN850" s="6" t="s">
        <v>9385</v>
      </c>
      <c r="AO850" s="6" t="str">
        <f t="shared" si="411"/>
        <v>=1502*100000000</v>
      </c>
      <c r="AP850" s="1">
        <f>1502*100000000</f>
        <v>150200000000</v>
      </c>
      <c r="AQ850" s="8">
        <f t="shared" si="428"/>
        <v>0.502</v>
      </c>
      <c r="AR850" s="6" t="s">
        <v>9386</v>
      </c>
      <c r="AS850" s="6" t="str">
        <f t="shared" si="412"/>
        <v>=1000*100000000</v>
      </c>
      <c r="AT850" s="1">
        <f>1000*100000000</f>
        <v>100000000000</v>
      </c>
      <c r="AU850" s="8">
        <f t="shared" si="429"/>
        <v>1.0610057708161582</v>
      </c>
      <c r="AV850" s="6" t="s">
        <v>9387</v>
      </c>
      <c r="AW850" s="6" t="str">
        <f t="shared" si="413"/>
        <v>=485.2*100000000</v>
      </c>
      <c r="AX850" s="1">
        <f>485.2*100000000</f>
        <v>48520000000</v>
      </c>
      <c r="AY850" s="10">
        <f t="shared" si="430"/>
        <v>-0.73644758283541556</v>
      </c>
      <c r="AZ850" s="6" t="s">
        <v>9388</v>
      </c>
      <c r="BA850" s="6" t="str">
        <f t="shared" si="414"/>
        <v>=1841*100000000</v>
      </c>
      <c r="BB850" s="1">
        <f>1841*100000000</f>
        <v>184100000000</v>
      </c>
      <c r="BC850" s="8">
        <f t="shared" si="431"/>
        <v>0.33212735166425472</v>
      </c>
      <c r="BD850" s="6" t="s">
        <v>9389</v>
      </c>
      <c r="BE850" s="6" t="str">
        <f t="shared" si="415"/>
        <v>=1382*100000000</v>
      </c>
      <c r="BF850" s="1">
        <f>1382*100000000</f>
        <v>138200000000</v>
      </c>
      <c r="BG850" s="8">
        <f t="shared" si="432"/>
        <v>0.5272405790695105</v>
      </c>
      <c r="BH850" s="6" t="s">
        <v>9390</v>
      </c>
      <c r="BI850" s="6" t="str">
        <f t="shared" si="416"/>
        <v>=904.9*100000000</v>
      </c>
      <c r="BJ850" s="1">
        <f>904.9*100000000</f>
        <v>90490000000</v>
      </c>
      <c r="BK850" s="6" t="s">
        <v>9391</v>
      </c>
      <c r="BL850" s="1" t="str">
        <f t="shared" si="418"/>
        <v>=436.1*100000000</v>
      </c>
      <c r="BM850" s="16">
        <f t="shared" si="433"/>
        <v>1.0749828021096079</v>
      </c>
      <c r="BN850" s="1">
        <f>436.1*100000000</f>
        <v>43610000000</v>
      </c>
    </row>
    <row r="851" spans="1:66">
      <c r="A851" s="18"/>
      <c r="B851">
        <v>600690</v>
      </c>
      <c r="C851" t="s">
        <v>48</v>
      </c>
      <c r="D851" s="6" t="s">
        <v>9392</v>
      </c>
      <c r="E851" s="7" t="str">
        <f t="shared" si="417"/>
        <v>=158.8*100000000</v>
      </c>
      <c r="F851" s="1">
        <f>158.8*100000000</f>
        <v>15880000000.000002</v>
      </c>
      <c r="G851" s="8">
        <f t="shared" si="419"/>
        <v>0.29105691056910582</v>
      </c>
      <c r="H851" s="6" t="s">
        <v>2029</v>
      </c>
      <c r="I851" s="6" t="str">
        <f t="shared" si="403"/>
        <v>=123.0*100000000</v>
      </c>
      <c r="J851" s="1">
        <f>123*100000000</f>
        <v>12300000000</v>
      </c>
      <c r="K851" s="10">
        <f t="shared" si="420"/>
        <v>0.45855567413731768</v>
      </c>
      <c r="L851" s="6" t="s">
        <v>9393</v>
      </c>
      <c r="M851" s="6" t="str">
        <f t="shared" si="404"/>
        <v>=84.33*100000000</v>
      </c>
      <c r="N851" s="1">
        <f>84.33*100000000</f>
        <v>8433000000</v>
      </c>
      <c r="O851" s="8">
        <f t="shared" si="421"/>
        <v>1.3116776315789476</v>
      </c>
      <c r="P851" s="6" t="s">
        <v>289</v>
      </c>
      <c r="Q851" s="6" t="str">
        <f t="shared" si="405"/>
        <v>=36.48*100000000</v>
      </c>
      <c r="R851" s="11">
        <f>36.48*100000000</f>
        <v>3647999999.9999995</v>
      </c>
      <c r="S851" s="8">
        <f t="shared" si="422"/>
        <v>-0.7319617927994122</v>
      </c>
      <c r="T851" s="6" t="s">
        <v>1486</v>
      </c>
      <c r="U851" s="6" t="str">
        <f t="shared" si="406"/>
        <v>=136.1*100000000</v>
      </c>
      <c r="V851" s="1">
        <f>136.1*100000000</f>
        <v>13610000000</v>
      </c>
      <c r="W851" s="8">
        <f t="shared" si="423"/>
        <v>0.39518195797027167</v>
      </c>
      <c r="X851" s="6" t="s">
        <v>9394</v>
      </c>
      <c r="Y851" s="6" t="str">
        <f t="shared" si="407"/>
        <v>=97.55*100000000</v>
      </c>
      <c r="Z851" s="1">
        <f>97.55*100000000</f>
        <v>9755000000</v>
      </c>
      <c r="AA851" s="8">
        <f t="shared" si="424"/>
        <v>1.289906103286385</v>
      </c>
      <c r="AB851" s="6" t="s">
        <v>9395</v>
      </c>
      <c r="AC851" s="6" t="str">
        <f t="shared" si="408"/>
        <v>=42.60*100000000</v>
      </c>
      <c r="AD851" s="1">
        <f>42.6*100000000</f>
        <v>4260000000</v>
      </c>
      <c r="AE851" s="8">
        <f t="shared" si="425"/>
        <v>1.7770534550195567</v>
      </c>
      <c r="AF851" s="6" t="s">
        <v>6570</v>
      </c>
      <c r="AG851" s="6" t="str">
        <f t="shared" si="409"/>
        <v>=15.34*100000000</v>
      </c>
      <c r="AH851" s="1">
        <f>15.34*100000000</f>
        <v>1534000000</v>
      </c>
      <c r="AI851" s="8">
        <f t="shared" si="426"/>
        <v>-0.89384083044982698</v>
      </c>
      <c r="AJ851" s="6" t="s">
        <v>856</v>
      </c>
      <c r="AK851" s="6" t="str">
        <f t="shared" si="410"/>
        <v>=144.5*100000000</v>
      </c>
      <c r="AL851" s="1">
        <f>144.5*100000000</f>
        <v>14450000000</v>
      </c>
      <c r="AM851" s="8">
        <f t="shared" si="427"/>
        <v>0.12978889757623144</v>
      </c>
      <c r="AN851" s="6" t="s">
        <v>9396</v>
      </c>
      <c r="AO851" s="6" t="str">
        <f t="shared" si="411"/>
        <v>=127.9*100000000</v>
      </c>
      <c r="AP851" s="1">
        <f>127.9*100000000</f>
        <v>12790000000</v>
      </c>
      <c r="AQ851" s="8">
        <f t="shared" si="428"/>
        <v>0.80573203444867991</v>
      </c>
      <c r="AR851" s="6" t="s">
        <v>9397</v>
      </c>
      <c r="AS851" s="6" t="str">
        <f t="shared" si="412"/>
        <v>=70.83*100000000</v>
      </c>
      <c r="AT851" s="1">
        <f>70.83*100000000</f>
        <v>7083000000</v>
      </c>
      <c r="AU851" s="8">
        <f t="shared" si="429"/>
        <v>1.2804249839021249</v>
      </c>
      <c r="AV851" s="6" t="s">
        <v>9398</v>
      </c>
      <c r="AW851" s="6" t="str">
        <f t="shared" si="413"/>
        <v>=31.06*100000000</v>
      </c>
      <c r="AX851" s="1">
        <f>31.06*100000000</f>
        <v>3106000000</v>
      </c>
      <c r="AY851" s="10">
        <f t="shared" si="430"/>
        <v>-0.73084922010398612</v>
      </c>
      <c r="AZ851" s="6" t="s">
        <v>1870</v>
      </c>
      <c r="BA851" s="6" t="str">
        <f t="shared" si="414"/>
        <v>=115.4*100000000</v>
      </c>
      <c r="BB851" s="1">
        <f>115.4*100000000</f>
        <v>11540000000</v>
      </c>
      <c r="BC851" s="8">
        <f t="shared" si="431"/>
        <v>0.29473802311230785</v>
      </c>
      <c r="BD851" s="6" t="s">
        <v>9399</v>
      </c>
      <c r="BE851" s="6" t="str">
        <f t="shared" si="415"/>
        <v>=89.13*100000000</v>
      </c>
      <c r="BF851" s="1">
        <f>89.13*100000000</f>
        <v>8913000000</v>
      </c>
      <c r="BG851" s="8">
        <f t="shared" si="432"/>
        <v>0.33708370837083707</v>
      </c>
      <c r="BH851" s="6" t="s">
        <v>9400</v>
      </c>
      <c r="BI851" s="6" t="str">
        <f t="shared" si="416"/>
        <v>=66.66*100000000</v>
      </c>
      <c r="BJ851" s="1">
        <f>66.66*100000000</f>
        <v>6666000000</v>
      </c>
      <c r="BK851" s="6" t="s">
        <v>887</v>
      </c>
      <c r="BL851" s="1" t="str">
        <f t="shared" si="418"/>
        <v>=27.98*100000000</v>
      </c>
      <c r="BM851" s="16">
        <f t="shared" si="433"/>
        <v>1.3824160114367405</v>
      </c>
      <c r="BN851" s="1">
        <f>27.98*100000000</f>
        <v>2798000000</v>
      </c>
    </row>
    <row r="852" spans="1:66">
      <c r="A852" s="18"/>
      <c r="B852">
        <v>600690</v>
      </c>
      <c r="C852" t="s">
        <v>58</v>
      </c>
      <c r="D852" s="6" t="s">
        <v>9401</v>
      </c>
      <c r="E852" s="7" t="str">
        <f t="shared" si="417"/>
        <v>=159.2*100000000</v>
      </c>
      <c r="F852" s="1">
        <f>159.2*100000000</f>
        <v>15919999999.999998</v>
      </c>
      <c r="G852" s="8">
        <f t="shared" si="419"/>
        <v>0.29011345218800633</v>
      </c>
      <c r="H852" s="6" t="s">
        <v>9402</v>
      </c>
      <c r="I852" s="6" t="str">
        <f t="shared" si="403"/>
        <v>=123.4*100000000</v>
      </c>
      <c r="J852" s="1">
        <f>123.4*100000000</f>
        <v>12340000000</v>
      </c>
      <c r="K852" s="10">
        <f t="shared" si="420"/>
        <v>0.45845644722846002</v>
      </c>
      <c r="L852" s="6" t="s">
        <v>9403</v>
      </c>
      <c r="M852" s="6" t="str">
        <f t="shared" si="404"/>
        <v>=84.61*100000000</v>
      </c>
      <c r="N852" s="1">
        <f>84.61*100000000</f>
        <v>8461000000</v>
      </c>
      <c r="O852" s="8">
        <f t="shared" si="421"/>
        <v>1.3104860731840526</v>
      </c>
      <c r="P852" s="6" t="s">
        <v>9404</v>
      </c>
      <c r="Q852" s="6" t="str">
        <f t="shared" si="405"/>
        <v>=36.62*100000000</v>
      </c>
      <c r="R852" s="11">
        <f>36.62*100000000</f>
        <v>3661999999.9999995</v>
      </c>
      <c r="S852" s="8">
        <f t="shared" si="422"/>
        <v>-0.72994100294985254</v>
      </c>
      <c r="T852" s="6" t="s">
        <v>9405</v>
      </c>
      <c r="U852" s="6" t="str">
        <f t="shared" si="406"/>
        <v>=135.6*100000000</v>
      </c>
      <c r="V852" s="1">
        <f>135.6*100000000</f>
        <v>13560000000</v>
      </c>
      <c r="W852" s="8">
        <f t="shared" si="423"/>
        <v>0.3921971252566735</v>
      </c>
      <c r="X852" s="6" t="s">
        <v>9406</v>
      </c>
      <c r="Y852" s="6" t="str">
        <f t="shared" si="407"/>
        <v>=97.40*100000000</v>
      </c>
      <c r="Z852" s="1">
        <f>97.4*100000000</f>
        <v>9740000000</v>
      </c>
      <c r="AA852" s="8">
        <f t="shared" si="424"/>
        <v>1.2794289726187691</v>
      </c>
      <c r="AB852" s="6" t="s">
        <v>9407</v>
      </c>
      <c r="AC852" s="6" t="str">
        <f t="shared" si="408"/>
        <v>=42.73*100000000</v>
      </c>
      <c r="AD852" s="1">
        <f>42.73*100000000</f>
        <v>4272999999.9999995</v>
      </c>
      <c r="AE852" s="8">
        <f t="shared" si="425"/>
        <v>1.7268666241225268</v>
      </c>
      <c r="AF852" s="6" t="s">
        <v>6354</v>
      </c>
      <c r="AG852" s="6" t="str">
        <f t="shared" si="409"/>
        <v>=15.67*100000000</v>
      </c>
      <c r="AH852" s="1">
        <f>15.67*100000000</f>
        <v>1567000000</v>
      </c>
      <c r="AI852" s="8">
        <f t="shared" si="426"/>
        <v>-0.89289131920710874</v>
      </c>
      <c r="AJ852" s="6" t="s">
        <v>6268</v>
      </c>
      <c r="AK852" s="6" t="str">
        <f t="shared" si="410"/>
        <v>=146.3*100000000</v>
      </c>
      <c r="AL852" s="1">
        <f>146.3*100000000</f>
        <v>14630000000.000002</v>
      </c>
      <c r="AM852" s="8">
        <f t="shared" si="427"/>
        <v>0.11850152905198776</v>
      </c>
      <c r="AN852" s="6" t="s">
        <v>9408</v>
      </c>
      <c r="AO852" s="6" t="str">
        <f t="shared" si="411"/>
        <v>=130.8*100000000</v>
      </c>
      <c r="AP852" s="1">
        <f>130.8*100000000</f>
        <v>13080000000.000002</v>
      </c>
      <c r="AQ852" s="8">
        <f t="shared" si="428"/>
        <v>0.80638033420798261</v>
      </c>
      <c r="AR852" s="6" t="s">
        <v>9409</v>
      </c>
      <c r="AS852" s="6" t="str">
        <f t="shared" si="412"/>
        <v>=72.41*100000000</v>
      </c>
      <c r="AT852" s="1">
        <f>72.41*100000000</f>
        <v>7241000000</v>
      </c>
      <c r="AU852" s="8">
        <f t="shared" si="429"/>
        <v>1.2684837092731829</v>
      </c>
      <c r="AV852" s="6" t="s">
        <v>9410</v>
      </c>
      <c r="AW852" s="6" t="str">
        <f t="shared" si="413"/>
        <v>=31.92*100000000</v>
      </c>
      <c r="AX852" s="1">
        <f>31.92*100000000</f>
        <v>3192000000</v>
      </c>
      <c r="AY852" s="10">
        <f t="shared" si="430"/>
        <v>-0.7290322580645161</v>
      </c>
      <c r="AZ852" s="6" t="s">
        <v>5015</v>
      </c>
      <c r="BA852" s="6" t="str">
        <f t="shared" si="414"/>
        <v>=117.8*100000000</v>
      </c>
      <c r="BB852" s="1">
        <f>117.8*100000000</f>
        <v>11780000000</v>
      </c>
      <c r="BC852" s="8">
        <f t="shared" si="431"/>
        <v>0.28785394118290147</v>
      </c>
      <c r="BD852" s="6" t="s">
        <v>9411</v>
      </c>
      <c r="BE852" s="6" t="str">
        <f t="shared" si="415"/>
        <v>=91.47*100000000</v>
      </c>
      <c r="BF852" s="1">
        <f>91.47*100000000</f>
        <v>9147000000</v>
      </c>
      <c r="BG852" s="8">
        <f t="shared" si="432"/>
        <v>0.33845478489903424</v>
      </c>
      <c r="BH852" s="6" t="s">
        <v>9412</v>
      </c>
      <c r="BI852" s="6" t="str">
        <f t="shared" si="416"/>
        <v>=68.34*100000000</v>
      </c>
      <c r="BJ852" s="1">
        <f>68.34*100000000</f>
        <v>6834000000</v>
      </c>
      <c r="BK852" s="6" t="s">
        <v>9413</v>
      </c>
      <c r="BL852" s="1" t="str">
        <f t="shared" si="418"/>
        <v>=29.01*100000000</v>
      </c>
      <c r="BM852" s="16">
        <f t="shared" si="433"/>
        <v>1.3557394002068253</v>
      </c>
      <c r="BN852" s="1">
        <f>29.01*100000000</f>
        <v>2901000000</v>
      </c>
    </row>
    <row r="853" spans="1:66">
      <c r="A853" s="19"/>
      <c r="B853">
        <v>600690</v>
      </c>
      <c r="C853" t="s">
        <v>68</v>
      </c>
      <c r="D853" s="6" t="s">
        <v>5349</v>
      </c>
      <c r="E853" s="7" t="str">
        <f t="shared" si="417"/>
        <v>=132.2*100000000</v>
      </c>
      <c r="F853" s="1">
        <f>132.2*100000000</f>
        <v>13219999999.999998</v>
      </c>
      <c r="G853" s="8">
        <f t="shared" si="419"/>
        <v>0.31411530815109323</v>
      </c>
      <c r="H853" s="6" t="s">
        <v>9414</v>
      </c>
      <c r="I853" s="6" t="str">
        <f t="shared" si="403"/>
        <v>=100.6*100000000</v>
      </c>
      <c r="J853" s="1">
        <f>100.6*100000000</f>
        <v>10060000000</v>
      </c>
      <c r="K853" s="10">
        <f t="shared" si="420"/>
        <v>0.44998558662438742</v>
      </c>
      <c r="L853" s="6" t="s">
        <v>9415</v>
      </c>
      <c r="M853" s="6" t="str">
        <f t="shared" si="404"/>
        <v>=69.38*100000000</v>
      </c>
      <c r="N853" s="1">
        <f>69.38*100000000</f>
        <v>6938000000</v>
      </c>
      <c r="O853" s="8">
        <f t="shared" si="421"/>
        <v>1.2409560723514212</v>
      </c>
      <c r="P853" s="6" t="s">
        <v>9416</v>
      </c>
      <c r="Q853" s="6" t="str">
        <f t="shared" si="405"/>
        <v>=30.96*100000000</v>
      </c>
      <c r="R853" s="11">
        <f>30.96*100000000</f>
        <v>3096000000</v>
      </c>
      <c r="S853" s="8">
        <f t="shared" si="422"/>
        <v>-0.72674315975286852</v>
      </c>
      <c r="T853" s="6" t="s">
        <v>9417</v>
      </c>
      <c r="U853" s="6" t="str">
        <f t="shared" si="406"/>
        <v>=113.3*100000000</v>
      </c>
      <c r="V853" s="1">
        <f>113.3*100000000</f>
        <v>11330000000</v>
      </c>
      <c r="W853" s="8">
        <f t="shared" si="423"/>
        <v>0.41289437585733885</v>
      </c>
      <c r="X853" s="6" t="s">
        <v>9418</v>
      </c>
      <c r="Y853" s="6" t="str">
        <f t="shared" si="407"/>
        <v>=80.19*100000000</v>
      </c>
      <c r="Z853" s="1">
        <f>80.19*100000000</f>
        <v>8019000000</v>
      </c>
      <c r="AA853" s="8">
        <f t="shared" si="424"/>
        <v>1.2200996677740865</v>
      </c>
      <c r="AB853" s="6" t="s">
        <v>9419</v>
      </c>
      <c r="AC853" s="6" t="str">
        <f t="shared" si="408"/>
        <v>=36.12*100000000</v>
      </c>
      <c r="AD853" s="1">
        <f>36.12*100000000</f>
        <v>3611999999.9999995</v>
      </c>
      <c r="AE853" s="8">
        <f t="shared" si="425"/>
        <v>1.6874999999999996</v>
      </c>
      <c r="AF853" s="6" t="s">
        <v>8999</v>
      </c>
      <c r="AG853" s="6" t="str">
        <f t="shared" si="409"/>
        <v>=13.44*100000000</v>
      </c>
      <c r="AH853" s="1">
        <f>13.44*100000000</f>
        <v>1344000000</v>
      </c>
      <c r="AI853" s="8">
        <f t="shared" si="426"/>
        <v>-0.89099756690997567</v>
      </c>
      <c r="AJ853" s="6" t="s">
        <v>9420</v>
      </c>
      <c r="AK853" s="6" t="str">
        <f t="shared" si="410"/>
        <v>=123.3*100000000</v>
      </c>
      <c r="AL853" s="1">
        <f>123.3*100000000</f>
        <v>12330000000</v>
      </c>
      <c r="AM853" s="8">
        <f t="shared" si="427"/>
        <v>0.10981098109810981</v>
      </c>
      <c r="AN853" s="6" t="s">
        <v>9421</v>
      </c>
      <c r="AO853" s="6" t="str">
        <f t="shared" si="411"/>
        <v>=111.1*100000000</v>
      </c>
      <c r="AP853" s="1">
        <f>111.1*100000000</f>
        <v>11110000000</v>
      </c>
      <c r="AQ853" s="8">
        <f t="shared" si="428"/>
        <v>0.79628132578819721</v>
      </c>
      <c r="AR853" s="6" t="s">
        <v>9422</v>
      </c>
      <c r="AS853" s="6" t="str">
        <f t="shared" si="412"/>
        <v>=61.85*100000000</v>
      </c>
      <c r="AT853" s="1">
        <f>61.85*100000000</f>
        <v>6185000000</v>
      </c>
      <c r="AU853" s="8">
        <f t="shared" si="429"/>
        <v>1.2915894775842904</v>
      </c>
      <c r="AV853" s="6" t="s">
        <v>1858</v>
      </c>
      <c r="AW853" s="6" t="str">
        <f t="shared" si="413"/>
        <v>=26.99*100000000</v>
      </c>
      <c r="AX853" s="1">
        <f>26.99*100000000</f>
        <v>2699000000</v>
      </c>
      <c r="AY853" s="10">
        <f t="shared" si="430"/>
        <v>-0.72737373737373734</v>
      </c>
      <c r="AZ853" s="6" t="s">
        <v>9423</v>
      </c>
      <c r="BA853" s="6" t="str">
        <f t="shared" si="414"/>
        <v>=99.00*100000000</v>
      </c>
      <c r="BB853" s="1">
        <f>99*100000000</f>
        <v>9900000000</v>
      </c>
      <c r="BC853" s="8">
        <f t="shared" si="431"/>
        <v>0.25348189415041783</v>
      </c>
      <c r="BD853" s="6" t="s">
        <v>9424</v>
      </c>
      <c r="BE853" s="6" t="str">
        <f t="shared" si="415"/>
        <v>=78.98*100000000</v>
      </c>
      <c r="BF853" s="1">
        <f>78.98*100000000</f>
        <v>7898000000</v>
      </c>
      <c r="BG853" s="8">
        <f t="shared" si="432"/>
        <v>0.34594410361281525</v>
      </c>
      <c r="BH853" s="6" t="s">
        <v>9425</v>
      </c>
      <c r="BI853" s="6" t="str">
        <f t="shared" si="416"/>
        <v>=58.68*100000000</v>
      </c>
      <c r="BJ853" s="1">
        <f>58.68*100000000</f>
        <v>5868000000</v>
      </c>
      <c r="BK853" s="6" t="s">
        <v>9426</v>
      </c>
      <c r="BL853" s="1" t="str">
        <f t="shared" si="418"/>
        <v>=24.40*100000000</v>
      </c>
      <c r="BM853" s="16">
        <f t="shared" si="433"/>
        <v>1.4049180327868853</v>
      </c>
      <c r="BN853" s="1">
        <f>24.4*100000000</f>
        <v>2440000000</v>
      </c>
    </row>
    <row r="854" spans="1:66">
      <c r="A854" s="17">
        <v>215</v>
      </c>
      <c r="B854">
        <v>600692</v>
      </c>
      <c r="C854" t="s">
        <v>31</v>
      </c>
      <c r="D854" s="6" t="s">
        <v>8979</v>
      </c>
      <c r="E854" s="7" t="str">
        <f t="shared" si="417"/>
        <v>=15.06*100000000</v>
      </c>
      <c r="F854" s="1">
        <f>15.06*100000000</f>
        <v>1506000000</v>
      </c>
      <c r="G854" s="8">
        <f t="shared" si="419"/>
        <v>0.6875840430300314</v>
      </c>
      <c r="H854" s="6" t="s">
        <v>9427</v>
      </c>
      <c r="I854" s="6" t="str">
        <f t="shared" si="403"/>
        <v>=8.924*100000000</v>
      </c>
      <c r="J854" s="1">
        <f>8.924*100000000</f>
        <v>892400000</v>
      </c>
      <c r="K854" s="10">
        <f t="shared" si="420"/>
        <v>0.73855445158776545</v>
      </c>
      <c r="L854" s="6" t="s">
        <v>9428</v>
      </c>
      <c r="M854" s="6" t="str">
        <f t="shared" si="404"/>
        <v>=5.133*100000000</v>
      </c>
      <c r="N854" s="1">
        <f>5.133*100000000</f>
        <v>513300000</v>
      </c>
      <c r="O854" s="8">
        <f t="shared" si="421"/>
        <v>1.7030015797788309</v>
      </c>
      <c r="P854" s="6" t="s">
        <v>9429</v>
      </c>
      <c r="Q854" s="6" t="str">
        <f t="shared" si="405"/>
        <v>=1.899*100000000</v>
      </c>
      <c r="R854" s="11">
        <f>1.899*100000000</f>
        <v>189900000</v>
      </c>
      <c r="S854" s="8">
        <f t="shared" si="422"/>
        <v>-0.81066799601196404</v>
      </c>
      <c r="T854" s="6" t="s">
        <v>1121</v>
      </c>
      <c r="U854" s="6" t="str">
        <f t="shared" si="406"/>
        <v>=10.03*100000000</v>
      </c>
      <c r="V854" s="1">
        <f>10.03*100000000</f>
        <v>1002999999.9999999</v>
      </c>
      <c r="W854" s="8">
        <f t="shared" si="423"/>
        <v>3.6847267631947682</v>
      </c>
      <c r="X854" s="6" t="s">
        <v>5691</v>
      </c>
      <c r="Y854" s="6" t="str">
        <f t="shared" si="407"/>
        <v>=2.141*100000000</v>
      </c>
      <c r="Z854" s="1">
        <f>2.141*100000000</f>
        <v>214100000</v>
      </c>
      <c r="AA854" s="8">
        <f t="shared" si="424"/>
        <v>0.73080032336297474</v>
      </c>
      <c r="AB854" s="6" t="s">
        <v>2393</v>
      </c>
      <c r="AC854" s="6" t="str">
        <f t="shared" si="408"/>
        <v>=1.237*100000000</v>
      </c>
      <c r="AD854" s="1">
        <f>1.237*100000000</f>
        <v>123700000.00000001</v>
      </c>
      <c r="AE854" s="8">
        <f t="shared" si="425"/>
        <v>3.2640468803860743</v>
      </c>
      <c r="AF854" s="7" t="s">
        <v>1465</v>
      </c>
      <c r="AG854" s="6" t="str">
        <f t="shared" si="409"/>
        <v>=2901*10000</v>
      </c>
      <c r="AH854" s="1">
        <f>2901*10000</f>
        <v>29010000</v>
      </c>
      <c r="AI854" s="8">
        <f t="shared" si="426"/>
        <v>-0.96626744186046509</v>
      </c>
      <c r="AJ854" s="6" t="s">
        <v>9430</v>
      </c>
      <c r="AK854" s="6" t="str">
        <f t="shared" si="410"/>
        <v>=8.600*100000000</v>
      </c>
      <c r="AL854" s="1">
        <f>8.6*100000000</f>
        <v>860000000</v>
      </c>
      <c r="AM854" s="8">
        <f t="shared" si="427"/>
        <v>0.47614143494679023</v>
      </c>
      <c r="AN854" s="6" t="s">
        <v>5433</v>
      </c>
      <c r="AO854" s="6" t="str">
        <f t="shared" si="411"/>
        <v>=5.826*100000000</v>
      </c>
      <c r="AP854" s="1">
        <f>5.826*100000000</f>
        <v>582600000</v>
      </c>
      <c r="AQ854" s="8">
        <f t="shared" si="428"/>
        <v>0.43532889874353287</v>
      </c>
      <c r="AR854" s="6" t="s">
        <v>9431</v>
      </c>
      <c r="AS854" s="6" t="str">
        <f t="shared" si="412"/>
        <v>=4.059*100000000</v>
      </c>
      <c r="AT854" s="1">
        <f>4.059*100000000</f>
        <v>405900000</v>
      </c>
      <c r="AU854" s="8">
        <f t="shared" si="429"/>
        <v>1.5258245177349097</v>
      </c>
      <c r="AV854" s="6" t="s">
        <v>621</v>
      </c>
      <c r="AW854" s="6" t="str">
        <f t="shared" si="413"/>
        <v>=1.607*100000000</v>
      </c>
      <c r="AX854" s="1">
        <f>1.607*100000000</f>
        <v>160700000</v>
      </c>
      <c r="AY854" s="10">
        <f t="shared" si="430"/>
        <v>-0.78103283826134351</v>
      </c>
      <c r="AZ854" s="6" t="s">
        <v>9432</v>
      </c>
      <c r="BA854" s="6" t="str">
        <f t="shared" si="414"/>
        <v>=7.339*100000000</v>
      </c>
      <c r="BB854" s="1">
        <f>7.339*100000000</f>
        <v>733900000</v>
      </c>
      <c r="BC854" s="8">
        <f t="shared" si="431"/>
        <v>0.39897064430041923</v>
      </c>
      <c r="BD854" s="6" t="s">
        <v>9433</v>
      </c>
      <c r="BE854" s="6" t="str">
        <f t="shared" si="415"/>
        <v>=5.246*100000000</v>
      </c>
      <c r="BF854" s="1">
        <f>5.246*100000000</f>
        <v>524600000.00000006</v>
      </c>
      <c r="BG854" s="8">
        <f t="shared" si="432"/>
        <v>0.41668917094247926</v>
      </c>
      <c r="BH854" s="6" t="s">
        <v>1392</v>
      </c>
      <c r="BI854" s="6" t="str">
        <f t="shared" si="416"/>
        <v>=3.703*100000000</v>
      </c>
      <c r="BJ854" s="1">
        <f>3.703*100000000</f>
        <v>370300000</v>
      </c>
      <c r="BK854" s="6" t="s">
        <v>4441</v>
      </c>
      <c r="BL854" s="1" t="str">
        <f t="shared" si="418"/>
        <v>=1.765*100000000</v>
      </c>
      <c r="BM854" s="16">
        <f t="shared" si="433"/>
        <v>1.0980169971671387</v>
      </c>
      <c r="BN854" s="1">
        <f>1.765*100000000</f>
        <v>176500000</v>
      </c>
    </row>
    <row r="855" spans="1:66">
      <c r="A855" s="18"/>
      <c r="B855">
        <v>600692</v>
      </c>
      <c r="C855" t="s">
        <v>48</v>
      </c>
      <c r="D855" s="7" t="s">
        <v>4742</v>
      </c>
      <c r="E855" s="7" t="str">
        <f t="shared" si="417"/>
        <v>=5713*10000</v>
      </c>
      <c r="F855" s="1">
        <f>5713*10000</f>
        <v>57130000</v>
      </c>
      <c r="G855" s="8">
        <f t="shared" si="419"/>
        <v>1.2616785431512272</v>
      </c>
      <c r="H855" s="7" t="s">
        <v>9434</v>
      </c>
      <c r="I855" s="6" t="str">
        <f t="shared" si="403"/>
        <v>=2526*10000</v>
      </c>
      <c r="J855" s="1">
        <f>2526*10000</f>
        <v>25260000</v>
      </c>
      <c r="K855" s="10">
        <f t="shared" si="420"/>
        <v>0.79914529914529919</v>
      </c>
      <c r="L855" s="7" t="s">
        <v>4208</v>
      </c>
      <c r="M855" s="6" t="str">
        <f t="shared" si="404"/>
        <v>=1404*10000</v>
      </c>
      <c r="N855" s="1">
        <f>1404*10000</f>
        <v>14040000</v>
      </c>
      <c r="O855" s="8">
        <f t="shared" si="421"/>
        <v>0.81818181818181823</v>
      </c>
      <c r="P855" s="7" t="s">
        <v>9435</v>
      </c>
      <c r="Q855" s="6" t="str">
        <f t="shared" si="405"/>
        <v>=772.2*10000</v>
      </c>
      <c r="R855" s="11">
        <f>772.2*10000</f>
        <v>7722000</v>
      </c>
      <c r="S855" s="8">
        <f t="shared" si="422"/>
        <v>-0.91670801423794623</v>
      </c>
      <c r="T855" s="7" t="s">
        <v>9436</v>
      </c>
      <c r="U855" s="6" t="str">
        <f t="shared" si="406"/>
        <v>=9271*10000</v>
      </c>
      <c r="V855" s="1">
        <f>9271*10000</f>
        <v>92710000</v>
      </c>
      <c r="W855" s="8">
        <f t="shared" si="423"/>
        <v>-18.897683397683398</v>
      </c>
      <c r="X855" s="7">
        <f>-518*10000</f>
        <v>-5180000</v>
      </c>
      <c r="Y855" s="6" t="str">
        <f t="shared" si="407"/>
        <v>=-5180000</v>
      </c>
      <c r="Z855" s="1">
        <f>-5180000</f>
        <v>-5180000</v>
      </c>
      <c r="AA855" s="8">
        <f t="shared" si="424"/>
        <v>-9.7718167566626019E-2</v>
      </c>
      <c r="AB855" s="7">
        <f>-574.1*10000</f>
        <v>-5741000</v>
      </c>
      <c r="AC855" s="6" t="str">
        <f t="shared" si="408"/>
        <v>=-5741000</v>
      </c>
      <c r="AD855" s="1">
        <f>-5741000</f>
        <v>-5741000</v>
      </c>
      <c r="AE855" s="8">
        <f t="shared" si="425"/>
        <v>-0.55702160493827158</v>
      </c>
      <c r="AF855" s="7">
        <f>-1296*10000</f>
        <v>-12960000</v>
      </c>
      <c r="AG855" s="6" t="str">
        <f t="shared" si="409"/>
        <v>=-12960000</v>
      </c>
      <c r="AH855" s="1">
        <f>-12960000</f>
        <v>-12960000</v>
      </c>
      <c r="AI855" s="8">
        <f t="shared" si="426"/>
        <v>-1.2073931829092654</v>
      </c>
      <c r="AJ855" s="7" t="s">
        <v>3192</v>
      </c>
      <c r="AK855" s="6" t="str">
        <f t="shared" si="410"/>
        <v>=6249*10000</v>
      </c>
      <c r="AL855" s="1">
        <f>6249*10000</f>
        <v>62490000</v>
      </c>
      <c r="AM855" s="8">
        <f t="shared" si="427"/>
        <v>0.2167056074766355</v>
      </c>
      <c r="AN855" s="7" t="s">
        <v>9437</v>
      </c>
      <c r="AO855" s="6" t="str">
        <f t="shared" si="411"/>
        <v>=5136*10000</v>
      </c>
      <c r="AP855" s="1">
        <f>5136*10000</f>
        <v>51360000</v>
      </c>
      <c r="AQ855" s="8">
        <f t="shared" si="428"/>
        <v>0.6482670089858793</v>
      </c>
      <c r="AR855" s="7" t="s">
        <v>9438</v>
      </c>
      <c r="AS855" s="6" t="str">
        <f t="shared" si="412"/>
        <v>=3116*10000</v>
      </c>
      <c r="AT855" s="1">
        <f>3116*10000</f>
        <v>31160000</v>
      </c>
      <c r="AU855" s="8">
        <f t="shared" si="429"/>
        <v>1.2579710144927536</v>
      </c>
      <c r="AV855" s="7" t="s">
        <v>9439</v>
      </c>
      <c r="AW855" s="6" t="str">
        <f t="shared" si="413"/>
        <v>=1380*10000</v>
      </c>
      <c r="AX855" s="1">
        <f>1380*10000</f>
        <v>13800000</v>
      </c>
      <c r="AY855" s="10">
        <f t="shared" si="430"/>
        <v>-0.82278155900860406</v>
      </c>
      <c r="AZ855" s="7" t="s">
        <v>9440</v>
      </c>
      <c r="BA855" s="6" t="str">
        <f t="shared" si="414"/>
        <v>=7787*10000</v>
      </c>
      <c r="BB855" s="1">
        <f>7787*10000</f>
        <v>77870000</v>
      </c>
      <c r="BC855" s="8">
        <f t="shared" si="431"/>
        <v>8.6787564766839381E-3</v>
      </c>
      <c r="BD855" s="7" t="s">
        <v>9441</v>
      </c>
      <c r="BE855" s="6" t="str">
        <f t="shared" si="415"/>
        <v>=7720*10000</v>
      </c>
      <c r="BF855" s="1">
        <f>7720*10000</f>
        <v>77200000</v>
      </c>
      <c r="BG855" s="8">
        <f t="shared" si="432"/>
        <v>0.3553370786516854</v>
      </c>
      <c r="BH855" s="7" t="s">
        <v>8349</v>
      </c>
      <c r="BI855" s="6" t="str">
        <f t="shared" si="416"/>
        <v>=5696*10000</v>
      </c>
      <c r="BJ855" s="1">
        <f>5696*10000</f>
        <v>56960000</v>
      </c>
      <c r="BK855" s="7" t="s">
        <v>4459</v>
      </c>
      <c r="BL855" s="1" t="str">
        <f t="shared" si="418"/>
        <v>=1837*10000</v>
      </c>
      <c r="BM855" s="16">
        <f t="shared" si="433"/>
        <v>2.1007076755579748</v>
      </c>
      <c r="BN855" s="1">
        <f>1837*10000</f>
        <v>18370000</v>
      </c>
    </row>
    <row r="856" spans="1:66">
      <c r="A856" s="18"/>
      <c r="B856">
        <v>600692</v>
      </c>
      <c r="C856" t="s">
        <v>58</v>
      </c>
      <c r="D856" s="7" t="s">
        <v>3766</v>
      </c>
      <c r="E856" s="7" t="str">
        <f t="shared" si="417"/>
        <v>=5524*10000</v>
      </c>
      <c r="F856" s="1">
        <f>5524*10000</f>
        <v>55240000</v>
      </c>
      <c r="G856" s="8">
        <f t="shared" si="419"/>
        <v>1.3337558090409802</v>
      </c>
      <c r="H856" s="7" t="s">
        <v>9442</v>
      </c>
      <c r="I856" s="6" t="str">
        <f t="shared" si="403"/>
        <v>=2367*10000</v>
      </c>
      <c r="J856" s="1">
        <f>2367*10000</f>
        <v>23670000</v>
      </c>
      <c r="K856" s="10">
        <f t="shared" si="420"/>
        <v>0.91195476575121159</v>
      </c>
      <c r="L856" s="7" t="s">
        <v>9443</v>
      </c>
      <c r="M856" s="6" t="str">
        <f t="shared" si="404"/>
        <v>=1238*10000</v>
      </c>
      <c r="N856" s="1">
        <f>1238*10000</f>
        <v>12380000</v>
      </c>
      <c r="O856" s="8">
        <f t="shared" si="421"/>
        <v>1.0695419592109663</v>
      </c>
      <c r="P856" s="7" t="s">
        <v>9444</v>
      </c>
      <c r="Q856" s="6" t="str">
        <f t="shared" si="405"/>
        <v>=598.2*10000</v>
      </c>
      <c r="R856" s="11">
        <f>598.2*10000</f>
        <v>5982000</v>
      </c>
      <c r="S856" s="8">
        <f t="shared" si="422"/>
        <v>-0.93562204046491604</v>
      </c>
      <c r="T856" s="7" t="s">
        <v>9445</v>
      </c>
      <c r="U856" s="6" t="str">
        <f t="shared" si="406"/>
        <v>=9292*10000</v>
      </c>
      <c r="V856" s="1">
        <f>9292*10000</f>
        <v>92920000</v>
      </c>
      <c r="W856" s="8">
        <f t="shared" si="423"/>
        <v>-18.077743061937145</v>
      </c>
      <c r="X856" s="7">
        <f>-544.1*10000</f>
        <v>-5441000</v>
      </c>
      <c r="Y856" s="6" t="str">
        <f t="shared" si="407"/>
        <v>=-5441000</v>
      </c>
      <c r="Z856" s="1">
        <f>-5441000</f>
        <v>-5441000</v>
      </c>
      <c r="AA856" s="8">
        <f t="shared" si="424"/>
        <v>-7.387234042553191E-2</v>
      </c>
      <c r="AB856" s="7">
        <f>-587.5*10000</f>
        <v>-5875000</v>
      </c>
      <c r="AC856" s="6" t="str">
        <f t="shared" si="408"/>
        <v>=-5875000</v>
      </c>
      <c r="AD856" s="1">
        <f>-5875000</f>
        <v>-5875000</v>
      </c>
      <c r="AE856" s="8">
        <f t="shared" si="425"/>
        <v>-0.54772902232486531</v>
      </c>
      <c r="AF856" s="7">
        <f>-1299*10000</f>
        <v>-12990000</v>
      </c>
      <c r="AG856" s="6" t="str">
        <f t="shared" si="409"/>
        <v>=-12990000</v>
      </c>
      <c r="AH856" s="1">
        <f>-12990000</f>
        <v>-12990000</v>
      </c>
      <c r="AI856" s="8">
        <f t="shared" si="426"/>
        <v>-1.2047281323877068</v>
      </c>
      <c r="AJ856" s="7" t="s">
        <v>9446</v>
      </c>
      <c r="AK856" s="6" t="str">
        <f t="shared" si="410"/>
        <v>=6345*10000</v>
      </c>
      <c r="AL856" s="1">
        <f>6345*10000</f>
        <v>63450000</v>
      </c>
      <c r="AM856" s="8">
        <f t="shared" si="427"/>
        <v>0.52965284474445518</v>
      </c>
      <c r="AN856" s="7" t="s">
        <v>1718</v>
      </c>
      <c r="AO856" s="6" t="str">
        <f t="shared" si="411"/>
        <v>=4148*10000</v>
      </c>
      <c r="AP856" s="1">
        <f>4148*10000</f>
        <v>41480000</v>
      </c>
      <c r="AQ856" s="8">
        <f t="shared" si="428"/>
        <v>0.34369938451571103</v>
      </c>
      <c r="AR856" s="7" t="s">
        <v>9447</v>
      </c>
      <c r="AS856" s="6" t="str">
        <f t="shared" si="412"/>
        <v>=3087*10000</v>
      </c>
      <c r="AT856" s="1">
        <f>3087*10000</f>
        <v>30870000</v>
      </c>
      <c r="AU856" s="8">
        <f t="shared" si="429"/>
        <v>1.26485693323551</v>
      </c>
      <c r="AV856" s="7" t="s">
        <v>9361</v>
      </c>
      <c r="AW856" s="6" t="str">
        <f t="shared" si="413"/>
        <v>=1363*10000</v>
      </c>
      <c r="AX856" s="1">
        <f>1363*10000</f>
        <v>13630000</v>
      </c>
      <c r="AY856" s="10">
        <f t="shared" si="430"/>
        <v>-0.82385629361592139</v>
      </c>
      <c r="AZ856" s="7" t="s">
        <v>9448</v>
      </c>
      <c r="BA856" s="6" t="str">
        <f t="shared" si="414"/>
        <v>=7738*10000</v>
      </c>
      <c r="BB856" s="1">
        <f>7738*10000</f>
        <v>77380000</v>
      </c>
      <c r="BC856" s="8">
        <f t="shared" si="431"/>
        <v>5.3267506820839292E-3</v>
      </c>
      <c r="BD856" s="7" t="s">
        <v>9449</v>
      </c>
      <c r="BE856" s="6" t="str">
        <f t="shared" si="415"/>
        <v>=7697*10000</v>
      </c>
      <c r="BF856" s="1">
        <f>7697*10000</f>
        <v>76970000</v>
      </c>
      <c r="BG856" s="8">
        <f t="shared" si="432"/>
        <v>0.35177379697927641</v>
      </c>
      <c r="BH856" s="7" t="s">
        <v>9450</v>
      </c>
      <c r="BI856" s="6" t="str">
        <f t="shared" si="416"/>
        <v>=5694*10000</v>
      </c>
      <c r="BJ856" s="1">
        <f>5694*10000</f>
        <v>56940000</v>
      </c>
      <c r="BK856" s="7" t="s">
        <v>9451</v>
      </c>
      <c r="BL856" s="1" t="str">
        <f t="shared" si="418"/>
        <v>=1815*10000</v>
      </c>
      <c r="BM856" s="16">
        <f t="shared" si="433"/>
        <v>2.137190082644628</v>
      </c>
      <c r="BN856" s="1">
        <f>1815*10000</f>
        <v>18150000</v>
      </c>
    </row>
    <row r="857" spans="1:66">
      <c r="A857" s="19"/>
      <c r="B857">
        <v>600692</v>
      </c>
      <c r="C857" t="s">
        <v>68</v>
      </c>
      <c r="D857" s="7" t="s">
        <v>9452</v>
      </c>
      <c r="E857" s="7" t="str">
        <f t="shared" si="417"/>
        <v>=4521*10000</v>
      </c>
      <c r="F857" s="1">
        <f>4521*10000</f>
        <v>45210000</v>
      </c>
      <c r="G857" s="8">
        <f t="shared" si="419"/>
        <v>1.892514395393474</v>
      </c>
      <c r="H857" s="7" t="s">
        <v>9453</v>
      </c>
      <c r="I857" s="6" t="str">
        <f t="shared" si="403"/>
        <v>=1563*10000</v>
      </c>
      <c r="J857" s="1">
        <f>1563*10000</f>
        <v>15630000</v>
      </c>
      <c r="K857" s="10">
        <f t="shared" si="420"/>
        <v>0.81807607304873797</v>
      </c>
      <c r="L857" s="7" t="s">
        <v>9454</v>
      </c>
      <c r="M857" s="6" t="str">
        <f t="shared" si="404"/>
        <v>=859.7*10000</v>
      </c>
      <c r="N857" s="1">
        <f>859.7*10000</f>
        <v>8597000</v>
      </c>
      <c r="O857" s="8">
        <f t="shared" si="421"/>
        <v>1.0690734055354993</v>
      </c>
      <c r="P857" s="7" t="s">
        <v>9455</v>
      </c>
      <c r="Q857" s="6" t="str">
        <f t="shared" si="405"/>
        <v>=415.5*10000</v>
      </c>
      <c r="R857" s="11">
        <f>415.5*10000</f>
        <v>4155000</v>
      </c>
      <c r="S857" s="8">
        <f t="shared" si="422"/>
        <v>-0.93643873336392836</v>
      </c>
      <c r="T857" s="7" t="s">
        <v>9456</v>
      </c>
      <c r="U857" s="6" t="str">
        <f t="shared" si="406"/>
        <v>=6537*10000</v>
      </c>
      <c r="V857" s="1">
        <f>6537*10000</f>
        <v>65370000</v>
      </c>
      <c r="W857" s="8">
        <f t="shared" si="423"/>
        <v>-11.108241843203958</v>
      </c>
      <c r="X857" s="7">
        <f>-646.7*10000</f>
        <v>-6467000</v>
      </c>
      <c r="Y857" s="6" t="str">
        <f t="shared" si="407"/>
        <v>=-6467000</v>
      </c>
      <c r="Z857" s="1">
        <f>-6467000</f>
        <v>-6467000</v>
      </c>
      <c r="AA857" s="8">
        <f t="shared" si="424"/>
        <v>2.2288966171356308E-2</v>
      </c>
      <c r="AB857" s="7">
        <f>-632.6*10000</f>
        <v>-6326000</v>
      </c>
      <c r="AC857" s="6" t="str">
        <f t="shared" si="408"/>
        <v>=-6326000</v>
      </c>
      <c r="AD857" s="1">
        <f>-6326000</f>
        <v>-6326000</v>
      </c>
      <c r="AE857" s="8">
        <f t="shared" si="425"/>
        <v>-0.51301000769822935</v>
      </c>
      <c r="AF857" s="7">
        <f>-1299*10000</f>
        <v>-12990000</v>
      </c>
      <c r="AG857" s="6" t="str">
        <f t="shared" si="409"/>
        <v>=-12990000</v>
      </c>
      <c r="AH857" s="1">
        <f>-12990000</f>
        <v>-12990000</v>
      </c>
      <c r="AI857" s="8">
        <f t="shared" si="426"/>
        <v>-1.291386271870794</v>
      </c>
      <c r="AJ857" s="7" t="s">
        <v>3202</v>
      </c>
      <c r="AK857" s="6" t="str">
        <f t="shared" si="410"/>
        <v>=4458*10000</v>
      </c>
      <c r="AL857" s="1">
        <f>4458*10000</f>
        <v>44580000</v>
      </c>
      <c r="AM857" s="8">
        <f t="shared" si="427"/>
        <v>0.6809954751131222</v>
      </c>
      <c r="AN857" s="7" t="s">
        <v>2833</v>
      </c>
      <c r="AO857" s="6" t="str">
        <f t="shared" si="411"/>
        <v>=2652*10000</v>
      </c>
      <c r="AP857" s="1">
        <f>2652*10000</f>
        <v>26520000</v>
      </c>
      <c r="AQ857" s="8">
        <f t="shared" si="428"/>
        <v>0.3427848101265823</v>
      </c>
      <c r="AR857" s="7" t="s">
        <v>9457</v>
      </c>
      <c r="AS857" s="6" t="str">
        <f t="shared" si="412"/>
        <v>=1975*10000</v>
      </c>
      <c r="AT857" s="1">
        <f>1975*10000</f>
        <v>19750000</v>
      </c>
      <c r="AU857" s="8">
        <f t="shared" si="429"/>
        <v>1.4020919484310386</v>
      </c>
      <c r="AV857" s="7" t="s">
        <v>9458</v>
      </c>
      <c r="AW857" s="6" t="str">
        <f t="shared" si="413"/>
        <v>=822.2*10000</v>
      </c>
      <c r="AX857" s="1">
        <f>822.2*10000</f>
        <v>8222000</v>
      </c>
      <c r="AY857" s="10">
        <f t="shared" si="430"/>
        <v>-0.84112077294685994</v>
      </c>
      <c r="AZ857" s="7" t="s">
        <v>9459</v>
      </c>
      <c r="BA857" s="6" t="str">
        <f t="shared" si="414"/>
        <v>=5175*10000</v>
      </c>
      <c r="BB857" s="1">
        <f>5175*10000</f>
        <v>51750000</v>
      </c>
      <c r="BC857" s="8">
        <f t="shared" si="431"/>
        <v>8.8786029875867867E-2</v>
      </c>
      <c r="BD857" s="7" t="s">
        <v>9460</v>
      </c>
      <c r="BE857" s="6" t="str">
        <f t="shared" si="415"/>
        <v>=4753*10000</v>
      </c>
      <c r="BF857" s="1">
        <f>4753*10000</f>
        <v>47530000</v>
      </c>
      <c r="BG857" s="8">
        <f t="shared" si="432"/>
        <v>0.46833487797343221</v>
      </c>
      <c r="BH857" s="7" t="s">
        <v>9461</v>
      </c>
      <c r="BI857" s="6" t="str">
        <f t="shared" si="416"/>
        <v>=3237*10000</v>
      </c>
      <c r="BJ857" s="1">
        <f>3237*10000</f>
        <v>32370000</v>
      </c>
      <c r="BK857" s="7" t="s">
        <v>9462</v>
      </c>
      <c r="BL857" s="1" t="str">
        <f t="shared" si="418"/>
        <v>=1169*10000</v>
      </c>
      <c r="BM857" s="16">
        <f t="shared" si="433"/>
        <v>1.7690333618477332</v>
      </c>
      <c r="BN857" s="1">
        <f>1169*10000</f>
        <v>11690000</v>
      </c>
    </row>
    <row r="858" spans="1:66">
      <c r="A858" s="17">
        <v>216</v>
      </c>
      <c r="B858">
        <v>600694</v>
      </c>
      <c r="C858" t="s">
        <v>31</v>
      </c>
      <c r="D858" s="6" t="s">
        <v>9463</v>
      </c>
      <c r="E858" s="7" t="str">
        <f t="shared" si="417"/>
        <v>=79.32*100000000</v>
      </c>
      <c r="F858" s="1">
        <f>79.32*100000000</f>
        <v>7931999999.999999</v>
      </c>
      <c r="G858" s="8">
        <f t="shared" si="419"/>
        <v>0.29164631167562272</v>
      </c>
      <c r="H858" s="6" t="s">
        <v>9464</v>
      </c>
      <c r="I858" s="6" t="str">
        <f t="shared" si="403"/>
        <v>=61.41*100000000</v>
      </c>
      <c r="J858" s="1">
        <f>61.41*100000000</f>
        <v>6141000000</v>
      </c>
      <c r="K858" s="10">
        <f t="shared" si="420"/>
        <v>0.40333638025594148</v>
      </c>
      <c r="L858" s="6" t="s">
        <v>9465</v>
      </c>
      <c r="M858" s="6" t="str">
        <f t="shared" si="404"/>
        <v>=43.76*100000000</v>
      </c>
      <c r="N858" s="1">
        <f>43.76*100000000</f>
        <v>4376000000</v>
      </c>
      <c r="O858" s="8">
        <f t="shared" si="421"/>
        <v>0.77669508729192038</v>
      </c>
      <c r="P858" s="6" t="s">
        <v>9466</v>
      </c>
      <c r="Q858" s="6" t="str">
        <f t="shared" si="405"/>
        <v>=24.63*100000000</v>
      </c>
      <c r="R858" s="11">
        <f>24.63*100000000</f>
        <v>2463000000</v>
      </c>
      <c r="S858" s="8">
        <f t="shared" si="422"/>
        <v>-0.69656276949611928</v>
      </c>
      <c r="T858" s="6" t="s">
        <v>9467</v>
      </c>
      <c r="U858" s="6" t="str">
        <f t="shared" si="406"/>
        <v>=81.17*100000000</v>
      </c>
      <c r="V858" s="1">
        <f>81.17*100000000</f>
        <v>8117000000</v>
      </c>
      <c r="W858" s="8">
        <f t="shared" si="423"/>
        <v>0.35645053475935828</v>
      </c>
      <c r="X858" s="6" t="s">
        <v>9468</v>
      </c>
      <c r="Y858" s="6" t="str">
        <f t="shared" si="407"/>
        <v>=59.84*100000000</v>
      </c>
      <c r="Z858" s="1">
        <f>59.84*100000000</f>
        <v>5984000000</v>
      </c>
      <c r="AA858" s="8">
        <f t="shared" si="424"/>
        <v>0.5076845553036029</v>
      </c>
      <c r="AB858" s="6" t="s">
        <v>5257</v>
      </c>
      <c r="AC858" s="6" t="str">
        <f t="shared" si="408"/>
        <v>=39.69*100000000</v>
      </c>
      <c r="AD858" s="1">
        <f>39.69*100000000</f>
        <v>3969000000</v>
      </c>
      <c r="AE858" s="8">
        <f t="shared" si="425"/>
        <v>0.91924564796905217</v>
      </c>
      <c r="AF858" s="6" t="s">
        <v>7346</v>
      </c>
      <c r="AG858" s="6" t="str">
        <f t="shared" si="409"/>
        <v>=20.68*100000000</v>
      </c>
      <c r="AH858" s="1">
        <f>20.68*100000000</f>
        <v>2068000000</v>
      </c>
      <c r="AI858" s="8">
        <f t="shared" si="426"/>
        <v>-0.90552763819095472</v>
      </c>
      <c r="AJ858" s="6" t="s">
        <v>9469</v>
      </c>
      <c r="AK858" s="6" t="str">
        <f t="shared" si="410"/>
        <v>=218.9*100000000</v>
      </c>
      <c r="AL858" s="1">
        <f>218.9*100000000</f>
        <v>21890000000</v>
      </c>
      <c r="AM858" s="8">
        <f t="shared" si="427"/>
        <v>0.30686567164179107</v>
      </c>
      <c r="AN858" s="6" t="s">
        <v>9470</v>
      </c>
      <c r="AO858" s="6" t="str">
        <f t="shared" si="411"/>
        <v>=167.5*100000000</v>
      </c>
      <c r="AP858" s="1">
        <f>167.5*100000000</f>
        <v>16750000000</v>
      </c>
      <c r="AQ858" s="8">
        <f t="shared" si="428"/>
        <v>0.42310960067969416</v>
      </c>
      <c r="AR858" s="6" t="s">
        <v>9471</v>
      </c>
      <c r="AS858" s="6" t="str">
        <f t="shared" si="412"/>
        <v>=117.7*100000000</v>
      </c>
      <c r="AT858" s="1">
        <f>117.7*100000000</f>
        <v>11770000000</v>
      </c>
      <c r="AU858" s="8">
        <f t="shared" si="429"/>
        <v>0.81132656201908282</v>
      </c>
      <c r="AV858" s="6" t="s">
        <v>6518</v>
      </c>
      <c r="AW858" s="6" t="str">
        <f t="shared" si="413"/>
        <v>=64.98*100000000</v>
      </c>
      <c r="AX858" s="1">
        <f>64.98*100000000</f>
        <v>6498000000</v>
      </c>
      <c r="AY858" s="10">
        <f t="shared" si="430"/>
        <v>-0.72777545035609548</v>
      </c>
      <c r="AZ858" s="6" t="s">
        <v>1628</v>
      </c>
      <c r="BA858" s="6" t="str">
        <f t="shared" si="414"/>
        <v>=238.7*100000000</v>
      </c>
      <c r="BB858" s="1">
        <f>238.7*100000000</f>
        <v>23870000000</v>
      </c>
      <c r="BC858" s="8">
        <f t="shared" si="431"/>
        <v>0.29940119760479039</v>
      </c>
      <c r="BD858" s="6" t="s">
        <v>9472</v>
      </c>
      <c r="BE858" s="6" t="str">
        <f t="shared" si="415"/>
        <v>=183.7*100000000</v>
      </c>
      <c r="BF858" s="1">
        <f>183.7*100000000</f>
        <v>18370000000</v>
      </c>
      <c r="BG858" s="8">
        <f t="shared" si="432"/>
        <v>0.41307692307692306</v>
      </c>
      <c r="BH858" s="6" t="s">
        <v>5384</v>
      </c>
      <c r="BI858" s="6" t="str">
        <f t="shared" si="416"/>
        <v>=130.0*100000000</v>
      </c>
      <c r="BJ858" s="1">
        <f>130*100000000</f>
        <v>13000000000</v>
      </c>
      <c r="BK858" s="6" t="s">
        <v>9473</v>
      </c>
      <c r="BL858" s="1" t="str">
        <f t="shared" si="418"/>
        <v>=71.44*100000000</v>
      </c>
      <c r="BM858" s="16">
        <f t="shared" si="433"/>
        <v>0.81970884658454646</v>
      </c>
      <c r="BN858" s="1">
        <f>71.44*100000000</f>
        <v>7144000000</v>
      </c>
    </row>
    <row r="859" spans="1:66">
      <c r="A859" s="18"/>
      <c r="B859">
        <v>600694</v>
      </c>
      <c r="C859" t="s">
        <v>48</v>
      </c>
      <c r="D859" s="6" t="s">
        <v>363</v>
      </c>
      <c r="E859" s="7" t="str">
        <f t="shared" si="417"/>
        <v>=11.23*100000000</v>
      </c>
      <c r="F859" s="1">
        <f>11.23*100000000</f>
        <v>1123000000</v>
      </c>
      <c r="G859" s="8">
        <f t="shared" si="419"/>
        <v>0.20545298411335322</v>
      </c>
      <c r="H859" s="6" t="s">
        <v>9474</v>
      </c>
      <c r="I859" s="6" t="str">
        <f t="shared" si="403"/>
        <v>=9.316*100000000</v>
      </c>
      <c r="J859" s="1">
        <f>9.316*100000000</f>
        <v>931600000.00000012</v>
      </c>
      <c r="K859" s="10">
        <f t="shared" si="420"/>
        <v>0.32367149758454122</v>
      </c>
      <c r="L859" s="6" t="s">
        <v>9065</v>
      </c>
      <c r="M859" s="6" t="str">
        <f t="shared" si="404"/>
        <v>=7.038*100000000</v>
      </c>
      <c r="N859" s="1">
        <f>7.038*100000000</f>
        <v>703800000</v>
      </c>
      <c r="O859" s="8">
        <f t="shared" si="421"/>
        <v>0.76082061546159618</v>
      </c>
      <c r="P859" s="6" t="s">
        <v>4996</v>
      </c>
      <c r="Q859" s="6" t="str">
        <f t="shared" si="405"/>
        <v>=3.997*100000000</v>
      </c>
      <c r="R859" s="11">
        <f>3.997*100000000</f>
        <v>399700000</v>
      </c>
      <c r="S859" s="8">
        <f t="shared" si="422"/>
        <v>-0.60189243027888439</v>
      </c>
      <c r="T859" s="6" t="s">
        <v>602</v>
      </c>
      <c r="U859" s="6" t="str">
        <f t="shared" si="406"/>
        <v>=10.04*100000000</v>
      </c>
      <c r="V859" s="1">
        <f>10.04*100000000</f>
        <v>1003999999.9999999</v>
      </c>
      <c r="W859" s="8">
        <f t="shared" si="423"/>
        <v>0.3525528761956081</v>
      </c>
      <c r="X859" s="6" t="s">
        <v>8773</v>
      </c>
      <c r="Y859" s="6" t="str">
        <f t="shared" si="407"/>
        <v>=7.423*100000000</v>
      </c>
      <c r="Z859" s="1">
        <f>7.423*100000000</f>
        <v>742300000</v>
      </c>
      <c r="AA859" s="8">
        <f t="shared" si="424"/>
        <v>0.49687436983262773</v>
      </c>
      <c r="AB859" s="6" t="s">
        <v>9475</v>
      </c>
      <c r="AC859" s="6" t="str">
        <f t="shared" si="408"/>
        <v>=4.959*100000000</v>
      </c>
      <c r="AD859" s="1">
        <f>4.959*100000000</f>
        <v>495899999.99999994</v>
      </c>
      <c r="AE859" s="8">
        <f t="shared" si="425"/>
        <v>2.8894117647058821</v>
      </c>
      <c r="AF859" s="6" t="s">
        <v>1266</v>
      </c>
      <c r="AG859" s="6" t="str">
        <f t="shared" si="409"/>
        <v>=1.275*100000000</v>
      </c>
      <c r="AH859" s="1">
        <f>1.275*100000000</f>
        <v>127499999.99999999</v>
      </c>
      <c r="AI859" s="8">
        <f t="shared" si="426"/>
        <v>-0.91414141414141414</v>
      </c>
      <c r="AJ859" s="6" t="s">
        <v>9476</v>
      </c>
      <c r="AK859" s="6" t="str">
        <f t="shared" si="410"/>
        <v>=14.85*100000000</v>
      </c>
      <c r="AL859" s="1">
        <f>14.85*100000000</f>
        <v>1485000000</v>
      </c>
      <c r="AM859" s="8">
        <f t="shared" si="427"/>
        <v>0.16379310344827586</v>
      </c>
      <c r="AN859" s="6" t="s">
        <v>8939</v>
      </c>
      <c r="AO859" s="6" t="str">
        <f t="shared" si="411"/>
        <v>=12.76*100000000</v>
      </c>
      <c r="AP859" s="1">
        <f>12.76*100000000</f>
        <v>1276000000</v>
      </c>
      <c r="AQ859" s="8">
        <f t="shared" si="428"/>
        <v>0.30777903043968435</v>
      </c>
      <c r="AR859" s="6" t="s">
        <v>9477</v>
      </c>
      <c r="AS859" s="6" t="str">
        <f t="shared" si="412"/>
        <v>=9.757*100000000</v>
      </c>
      <c r="AT859" s="1">
        <f>9.757*100000000</f>
        <v>975700000</v>
      </c>
      <c r="AU859" s="8">
        <f t="shared" si="429"/>
        <v>0.62725150100066707</v>
      </c>
      <c r="AV859" s="6" t="s">
        <v>9478</v>
      </c>
      <c r="AW859" s="6" t="str">
        <f t="shared" si="413"/>
        <v>=5.996*100000000</v>
      </c>
      <c r="AX859" s="1">
        <f>5.996*100000000</f>
        <v>599600000</v>
      </c>
      <c r="AY859" s="10">
        <f t="shared" si="430"/>
        <v>-0.63282302510716471</v>
      </c>
      <c r="AZ859" s="6" t="s">
        <v>6218</v>
      </c>
      <c r="BA859" s="6" t="str">
        <f t="shared" si="414"/>
        <v>=16.33*100000000</v>
      </c>
      <c r="BB859" s="1">
        <f>16.33*100000000</f>
        <v>1632999999.9999998</v>
      </c>
      <c r="BC859" s="8">
        <f t="shared" si="431"/>
        <v>0.3127009646302249</v>
      </c>
      <c r="BD859" s="6" t="s">
        <v>3919</v>
      </c>
      <c r="BE859" s="6" t="str">
        <f t="shared" si="415"/>
        <v>=12.44*100000000</v>
      </c>
      <c r="BF859" s="1">
        <f>12.44*100000000</f>
        <v>1244000000</v>
      </c>
      <c r="BG859" s="8">
        <f t="shared" si="432"/>
        <v>0.31779661016949151</v>
      </c>
      <c r="BH859" s="6" t="s">
        <v>9479</v>
      </c>
      <c r="BI859" s="6" t="str">
        <f t="shared" si="416"/>
        <v>=9.440*100000000</v>
      </c>
      <c r="BJ859" s="1">
        <f>9.44*100000000</f>
        <v>944000000</v>
      </c>
      <c r="BK859" s="6" t="s">
        <v>7531</v>
      </c>
      <c r="BL859" s="1" t="str">
        <f t="shared" si="418"/>
        <v>=5.201*100000000</v>
      </c>
      <c r="BM859" s="16">
        <f t="shared" si="433"/>
        <v>0.81503557008267657</v>
      </c>
      <c r="BN859" s="1">
        <f>5.201*100000000</f>
        <v>520099999.99999994</v>
      </c>
    </row>
    <row r="860" spans="1:66">
      <c r="A860" s="18"/>
      <c r="B860">
        <v>600694</v>
      </c>
      <c r="C860" t="s">
        <v>58</v>
      </c>
      <c r="D860" s="6" t="s">
        <v>4498</v>
      </c>
      <c r="E860" s="7" t="str">
        <f t="shared" si="417"/>
        <v>=11.09*100000000</v>
      </c>
      <c r="F860" s="1">
        <f>11.09*100000000</f>
        <v>1109000000</v>
      </c>
      <c r="G860" s="8">
        <f t="shared" si="419"/>
        <v>0.15412633988968674</v>
      </c>
      <c r="H860" s="6" t="s">
        <v>4921</v>
      </c>
      <c r="I860" s="6" t="str">
        <f t="shared" si="403"/>
        <v>=9.609*100000000</v>
      </c>
      <c r="J860" s="1">
        <f>9.609*100000000</f>
        <v>960900000</v>
      </c>
      <c r="K860" s="10">
        <f t="shared" si="420"/>
        <v>0.32337143644126154</v>
      </c>
      <c r="L860" s="6" t="s">
        <v>9480</v>
      </c>
      <c r="M860" s="6" t="str">
        <f t="shared" si="404"/>
        <v>=7.261*100000000</v>
      </c>
      <c r="N860" s="1">
        <f>7.261*100000000</f>
        <v>726100000</v>
      </c>
      <c r="O860" s="8">
        <f t="shared" si="421"/>
        <v>0.69728845254791982</v>
      </c>
      <c r="P860" s="6" t="s">
        <v>9481</v>
      </c>
      <c r="Q860" s="6" t="str">
        <f t="shared" si="405"/>
        <v>=4.278*100000000</v>
      </c>
      <c r="R860" s="11">
        <f>4.278*100000000</f>
        <v>427799999.99999994</v>
      </c>
      <c r="S860" s="8">
        <f t="shared" si="422"/>
        <v>-0.48600264327766435</v>
      </c>
      <c r="T860" s="6" t="s">
        <v>9482</v>
      </c>
      <c r="U860" s="6" t="str">
        <f t="shared" si="406"/>
        <v>=8.323*100000000</v>
      </c>
      <c r="V860" s="1">
        <f>8.323*100000000</f>
        <v>832300000</v>
      </c>
      <c r="W860" s="8">
        <f t="shared" si="423"/>
        <v>0.20973837209302326</v>
      </c>
      <c r="X860" s="6" t="s">
        <v>8602</v>
      </c>
      <c r="Y860" s="6" t="str">
        <f t="shared" si="407"/>
        <v>=6.880*100000000</v>
      </c>
      <c r="Z860" s="1">
        <f>6.88*100000000</f>
        <v>688000000</v>
      </c>
      <c r="AA860" s="8">
        <f t="shared" si="424"/>
        <v>0.55445097153185718</v>
      </c>
      <c r="AB860" s="6" t="s">
        <v>9275</v>
      </c>
      <c r="AC860" s="6" t="str">
        <f t="shared" si="408"/>
        <v>=4.426*100000000</v>
      </c>
      <c r="AD860" s="1">
        <f>4.426*100000000</f>
        <v>442600000</v>
      </c>
      <c r="AE860" s="8">
        <f t="shared" si="425"/>
        <v>2.9237588652482271</v>
      </c>
      <c r="AF860" s="6" t="s">
        <v>6245</v>
      </c>
      <c r="AG860" s="6" t="str">
        <f t="shared" si="409"/>
        <v>=1.128*100000000</v>
      </c>
      <c r="AH860" s="1">
        <f>1.128*100000000</f>
        <v>112799999.99999999</v>
      </c>
      <c r="AI860" s="8">
        <f t="shared" si="426"/>
        <v>-0.92268677176148051</v>
      </c>
      <c r="AJ860" s="6" t="s">
        <v>9259</v>
      </c>
      <c r="AK860" s="6" t="str">
        <f t="shared" si="410"/>
        <v>=14.59*100000000</v>
      </c>
      <c r="AL860" s="1">
        <f>14.59*100000000</f>
        <v>1459000000</v>
      </c>
      <c r="AM860" s="8">
        <f t="shared" si="427"/>
        <v>0.12838360402165508</v>
      </c>
      <c r="AN860" s="6" t="s">
        <v>3068</v>
      </c>
      <c r="AO860" s="6" t="str">
        <f t="shared" si="411"/>
        <v>=12.93*100000000</v>
      </c>
      <c r="AP860" s="1">
        <f>12.93*100000000</f>
        <v>1293000000</v>
      </c>
      <c r="AQ860" s="8">
        <f t="shared" si="428"/>
        <v>0.30672056594239516</v>
      </c>
      <c r="AR860" s="6" t="s">
        <v>1417</v>
      </c>
      <c r="AS860" s="6" t="str">
        <f t="shared" si="412"/>
        <v>=9.895*100000000</v>
      </c>
      <c r="AT860" s="1">
        <f>9.895*100000000</f>
        <v>989500000</v>
      </c>
      <c r="AU860" s="8">
        <f t="shared" si="429"/>
        <v>0.63445655764783615</v>
      </c>
      <c r="AV860" s="6" t="s">
        <v>9483</v>
      </c>
      <c r="AW860" s="6" t="str">
        <f t="shared" si="413"/>
        <v>=6.054*100000000</v>
      </c>
      <c r="AX860" s="1">
        <f>6.054*100000000</f>
        <v>605400000</v>
      </c>
      <c r="AY860" s="10">
        <f t="shared" si="430"/>
        <v>-0.62652683528685993</v>
      </c>
      <c r="AZ860" s="6" t="s">
        <v>2441</v>
      </c>
      <c r="BA860" s="6" t="str">
        <f t="shared" si="414"/>
        <v>=16.21*100000000</v>
      </c>
      <c r="BB860" s="1">
        <f>16.21*100000000</f>
        <v>1621000000</v>
      </c>
      <c r="BC860" s="8">
        <f t="shared" si="431"/>
        <v>0.30620467365028203</v>
      </c>
      <c r="BD860" s="6" t="s">
        <v>1813</v>
      </c>
      <c r="BE860" s="6" t="str">
        <f t="shared" si="415"/>
        <v>=12.41*100000000</v>
      </c>
      <c r="BF860" s="1">
        <f>12.41*100000000</f>
        <v>1241000000</v>
      </c>
      <c r="BG860" s="8">
        <f t="shared" si="432"/>
        <v>0.30549126867241744</v>
      </c>
      <c r="BH860" s="6" t="s">
        <v>9484</v>
      </c>
      <c r="BI860" s="6" t="str">
        <f t="shared" si="416"/>
        <v>=9.506*100000000</v>
      </c>
      <c r="BJ860" s="1">
        <f>9.506*100000000</f>
        <v>950600000</v>
      </c>
      <c r="BK860" s="6" t="s">
        <v>2568</v>
      </c>
      <c r="BL860" s="1" t="str">
        <f t="shared" si="418"/>
        <v>=5.372*100000000</v>
      </c>
      <c r="BM860" s="16">
        <f t="shared" si="433"/>
        <v>0.76954579300074455</v>
      </c>
      <c r="BN860" s="1">
        <f>5.372*100000000</f>
        <v>537200000</v>
      </c>
    </row>
    <row r="861" spans="1:66">
      <c r="A861" s="19"/>
      <c r="B861">
        <v>600694</v>
      </c>
      <c r="C861" t="s">
        <v>68</v>
      </c>
      <c r="D861" s="6" t="s">
        <v>9485</v>
      </c>
      <c r="E861" s="7" t="str">
        <f t="shared" si="417"/>
        <v>=7.670*100000000</v>
      </c>
      <c r="F861" s="1">
        <f>7.67*100000000</f>
        <v>767000000</v>
      </c>
      <c r="G861" s="8">
        <f t="shared" si="419"/>
        <v>8.7326339665438055E-2</v>
      </c>
      <c r="H861" s="6" t="s">
        <v>9486</v>
      </c>
      <c r="I861" s="6" t="str">
        <f t="shared" si="403"/>
        <v>=7.054*100000000</v>
      </c>
      <c r="J861" s="1">
        <f>7.054*100000000</f>
        <v>705400000</v>
      </c>
      <c r="K861" s="10">
        <f t="shared" si="420"/>
        <v>0.30993500464252555</v>
      </c>
      <c r="L861" s="6" t="s">
        <v>7872</v>
      </c>
      <c r="M861" s="6" t="str">
        <f t="shared" si="404"/>
        <v>=5.385*100000000</v>
      </c>
      <c r="N861" s="1">
        <f>5.385*100000000</f>
        <v>538500000</v>
      </c>
      <c r="O861" s="8">
        <f t="shared" si="421"/>
        <v>0.7144221585482331</v>
      </c>
      <c r="P861" s="6" t="s">
        <v>6554</v>
      </c>
      <c r="Q861" s="6" t="str">
        <f t="shared" si="405"/>
        <v>=3.141*100000000</v>
      </c>
      <c r="R861" s="11">
        <f>3.141*100000000</f>
        <v>314100000</v>
      </c>
      <c r="S861" s="8">
        <f t="shared" si="422"/>
        <v>-0.41124648547328962</v>
      </c>
      <c r="T861" s="6" t="s">
        <v>4820</v>
      </c>
      <c r="U861" s="6" t="str">
        <f t="shared" si="406"/>
        <v>=5.335*100000000</v>
      </c>
      <c r="V861" s="1">
        <f>5.335*100000000</f>
        <v>533500000</v>
      </c>
      <c r="W861" s="8">
        <f t="shared" si="423"/>
        <v>0.12886161658908168</v>
      </c>
      <c r="X861" s="6" t="s">
        <v>5153</v>
      </c>
      <c r="Y861" s="6" t="str">
        <f t="shared" si="407"/>
        <v>=4.726*100000000</v>
      </c>
      <c r="Z861" s="1">
        <f>4.726*100000000</f>
        <v>472600000</v>
      </c>
      <c r="AA861" s="8">
        <f t="shared" si="424"/>
        <v>0.56853634251576501</v>
      </c>
      <c r="AB861" s="6" t="s">
        <v>9238</v>
      </c>
      <c r="AC861" s="6" t="str">
        <f t="shared" si="408"/>
        <v>=3.013*100000000</v>
      </c>
      <c r="AD861" s="1">
        <f>3.013*100000000</f>
        <v>301300000</v>
      </c>
      <c r="AE861" s="8">
        <f t="shared" si="425"/>
        <v>4.0083111702127656</v>
      </c>
      <c r="AF861" s="7" t="s">
        <v>9487</v>
      </c>
      <c r="AG861" s="6" t="str">
        <f t="shared" si="409"/>
        <v>=6016*10000</v>
      </c>
      <c r="AH861" s="1">
        <f>6016*10000</f>
        <v>60160000</v>
      </c>
      <c r="AI861" s="8">
        <f t="shared" si="426"/>
        <v>-0.93759336099585067</v>
      </c>
      <c r="AJ861" s="6" t="s">
        <v>9488</v>
      </c>
      <c r="AK861" s="6" t="str">
        <f t="shared" si="410"/>
        <v>=9.640*100000000</v>
      </c>
      <c r="AL861" s="1">
        <f>9.64*100000000</f>
        <v>964000000</v>
      </c>
      <c r="AM861" s="8">
        <f t="shared" si="427"/>
        <v>6.4958020326999558E-2</v>
      </c>
      <c r="AN861" s="6" t="s">
        <v>9489</v>
      </c>
      <c r="AO861" s="6" t="str">
        <f t="shared" si="411"/>
        <v>=9.052*100000000</v>
      </c>
      <c r="AP861" s="1">
        <f>9.052*100000000</f>
        <v>905200000</v>
      </c>
      <c r="AQ861" s="8">
        <f t="shared" si="428"/>
        <v>0.31972590756670066</v>
      </c>
      <c r="AR861" s="6" t="s">
        <v>9490</v>
      </c>
      <c r="AS861" s="6" t="str">
        <f t="shared" si="412"/>
        <v>=6.859*100000000</v>
      </c>
      <c r="AT861" s="1">
        <f>6.859*100000000</f>
        <v>685900000</v>
      </c>
      <c r="AU861" s="8">
        <f t="shared" si="429"/>
        <v>0.64169459071325996</v>
      </c>
      <c r="AV861" s="6" t="s">
        <v>1710</v>
      </c>
      <c r="AW861" s="6" t="str">
        <f t="shared" si="413"/>
        <v>=4.178*100000000</v>
      </c>
      <c r="AX861" s="1">
        <f>4.178*100000000</f>
        <v>417800000</v>
      </c>
      <c r="AY861" s="10">
        <f t="shared" si="430"/>
        <v>-0.6024738344433872</v>
      </c>
      <c r="AZ861" s="6" t="s">
        <v>7500</v>
      </c>
      <c r="BA861" s="6" t="str">
        <f t="shared" si="414"/>
        <v>=10.51*100000000</v>
      </c>
      <c r="BB861" s="1">
        <f>10.51*100000000</f>
        <v>1051000000</v>
      </c>
      <c r="BC861" s="8">
        <f t="shared" si="431"/>
        <v>0.26246246246246263</v>
      </c>
      <c r="BD861" s="6" t="s">
        <v>9491</v>
      </c>
      <c r="BE861" s="6" t="str">
        <f t="shared" si="415"/>
        <v>=8.325*100000000</v>
      </c>
      <c r="BF861" s="1">
        <f>8.325*100000000</f>
        <v>832499999.99999988</v>
      </c>
      <c r="BG861" s="8">
        <f t="shared" si="432"/>
        <v>0.27390971690895161</v>
      </c>
      <c r="BH861" s="6" t="s">
        <v>9492</v>
      </c>
      <c r="BI861" s="6" t="str">
        <f t="shared" si="416"/>
        <v>=6.535*100000000</v>
      </c>
      <c r="BJ861" s="1">
        <f>6.535*100000000</f>
        <v>653500000</v>
      </c>
      <c r="BK861" s="6" t="s">
        <v>4995</v>
      </c>
      <c r="BL861" s="1" t="str">
        <f t="shared" si="418"/>
        <v>=3.757*100000000</v>
      </c>
      <c r="BM861" s="16">
        <f t="shared" si="433"/>
        <v>0.73941974980037262</v>
      </c>
      <c r="BN861" s="1">
        <f>3.757*100000000</f>
        <v>375700000</v>
      </c>
    </row>
    <row r="862" spans="1:66">
      <c r="A862" s="17">
        <v>217</v>
      </c>
      <c r="B862">
        <v>600697</v>
      </c>
      <c r="C862" t="s">
        <v>31</v>
      </c>
      <c r="D862" s="6" t="s">
        <v>5808</v>
      </c>
      <c r="E862" s="7" t="str">
        <f t="shared" si="417"/>
        <v>=83.52*100000000</v>
      </c>
      <c r="F862" s="1">
        <f>83.52*100000000</f>
        <v>8352000000</v>
      </c>
      <c r="G862" s="8">
        <f t="shared" si="419"/>
        <v>0.32761087267525035</v>
      </c>
      <c r="H862" s="6" t="s">
        <v>9493</v>
      </c>
      <c r="I862" s="6" t="str">
        <f t="shared" si="403"/>
        <v>=62.91*100000000</v>
      </c>
      <c r="J862" s="1">
        <f>62.91*100000000</f>
        <v>6291000000</v>
      </c>
      <c r="K862" s="10">
        <f t="shared" si="420"/>
        <v>0.47780126849894294</v>
      </c>
      <c r="L862" s="6" t="s">
        <v>9494</v>
      </c>
      <c r="M862" s="6" t="str">
        <f t="shared" si="404"/>
        <v>=42.57*100000000</v>
      </c>
      <c r="N862" s="1">
        <f>42.57*100000000</f>
        <v>4257000000</v>
      </c>
      <c r="O862" s="8">
        <f t="shared" si="421"/>
        <v>1.1053412462908012</v>
      </c>
      <c r="P862" s="6" t="s">
        <v>1503</v>
      </c>
      <c r="Q862" s="6" t="str">
        <f t="shared" si="405"/>
        <v>=20.22*100000000</v>
      </c>
      <c r="R862" s="11">
        <f>20.22*100000000</f>
        <v>2022000000</v>
      </c>
      <c r="S862" s="8">
        <f t="shared" si="422"/>
        <v>-0.74731317170707323</v>
      </c>
      <c r="T862" s="6" t="s">
        <v>9495</v>
      </c>
      <c r="U862" s="6" t="str">
        <f t="shared" si="406"/>
        <v>=80.02*100000000</v>
      </c>
      <c r="V862" s="1">
        <f>80.02*100000000</f>
        <v>8002000000</v>
      </c>
      <c r="W862" s="8">
        <f t="shared" si="423"/>
        <v>0.41653389980527528</v>
      </c>
      <c r="X862" s="6" t="s">
        <v>9496</v>
      </c>
      <c r="Y862" s="6" t="str">
        <f t="shared" si="407"/>
        <v>=56.49*100000000</v>
      </c>
      <c r="Z862" s="1">
        <f>56.49*100000000</f>
        <v>5649000000</v>
      </c>
      <c r="AA862" s="8">
        <f t="shared" si="424"/>
        <v>0.47840879350955245</v>
      </c>
      <c r="AB862" s="6" t="s">
        <v>9497</v>
      </c>
      <c r="AC862" s="6" t="str">
        <f t="shared" si="408"/>
        <v>=38.21*100000000</v>
      </c>
      <c r="AD862" s="1">
        <f>38.21*100000000</f>
        <v>3821000000</v>
      </c>
      <c r="AE862" s="8">
        <f t="shared" si="425"/>
        <v>1.1587570621468926</v>
      </c>
      <c r="AF862" s="6" t="s">
        <v>5239</v>
      </c>
      <c r="AG862" s="6" t="str">
        <f t="shared" si="409"/>
        <v>=17.70*100000000</v>
      </c>
      <c r="AH862" s="1">
        <f>17.7*100000000</f>
        <v>1770000000</v>
      </c>
      <c r="AI862" s="8">
        <f t="shared" si="426"/>
        <v>-0.89420203227734607</v>
      </c>
      <c r="AJ862" s="6" t="s">
        <v>7840</v>
      </c>
      <c r="AK862" s="6" t="str">
        <f t="shared" si="410"/>
        <v>=167.3*100000000</v>
      </c>
      <c r="AL862" s="1">
        <f>167.3*100000000</f>
        <v>16730000000.000002</v>
      </c>
      <c r="AM862" s="8">
        <f t="shared" si="427"/>
        <v>0.34377510040160658</v>
      </c>
      <c r="AN862" s="6" t="s">
        <v>9498</v>
      </c>
      <c r="AO862" s="6" t="str">
        <f t="shared" si="411"/>
        <v>=124.5*100000000</v>
      </c>
      <c r="AP862" s="1">
        <f>124.5*100000000</f>
        <v>12450000000</v>
      </c>
      <c r="AQ862" s="8">
        <f t="shared" si="428"/>
        <v>0.45443925233644877</v>
      </c>
      <c r="AR862" s="6" t="s">
        <v>3002</v>
      </c>
      <c r="AS862" s="6" t="str">
        <f t="shared" si="412"/>
        <v>=85.60*100000000</v>
      </c>
      <c r="AT862" s="1">
        <f>85.6*100000000</f>
        <v>8559999999.999999</v>
      </c>
      <c r="AU862" s="8">
        <f t="shared" si="429"/>
        <v>1.0923979467122955</v>
      </c>
      <c r="AV862" s="6" t="s">
        <v>2776</v>
      </c>
      <c r="AW862" s="6" t="str">
        <f t="shared" si="413"/>
        <v>=40.91*100000000</v>
      </c>
      <c r="AX862" s="1">
        <f>40.91*100000000</f>
        <v>4090999999.9999995</v>
      </c>
      <c r="AY862" s="10">
        <f t="shared" si="430"/>
        <v>-0.73775641025641026</v>
      </c>
      <c r="AZ862" s="6" t="s">
        <v>3592</v>
      </c>
      <c r="BA862" s="6" t="str">
        <f t="shared" si="414"/>
        <v>=156.0*100000000</v>
      </c>
      <c r="BB862" s="1">
        <f>156*100000000</f>
        <v>15600000000</v>
      </c>
      <c r="BC862" s="8">
        <f t="shared" si="431"/>
        <v>0.37566137566137564</v>
      </c>
      <c r="BD862" s="6" t="s">
        <v>9499</v>
      </c>
      <c r="BE862" s="6" t="str">
        <f t="shared" si="415"/>
        <v>=113.4*100000000</v>
      </c>
      <c r="BF862" s="1">
        <f>113.4*100000000</f>
        <v>11340000000</v>
      </c>
      <c r="BG862" s="8">
        <f t="shared" si="432"/>
        <v>0.48779847808974025</v>
      </c>
      <c r="BH862" s="6" t="s">
        <v>9500</v>
      </c>
      <c r="BI862" s="6" t="str">
        <f t="shared" si="416"/>
        <v>=76.22*100000000</v>
      </c>
      <c r="BJ862" s="1">
        <f>76.22*100000000</f>
        <v>7622000000</v>
      </c>
      <c r="BK862" s="6" t="s">
        <v>9501</v>
      </c>
      <c r="BL862" s="1" t="str">
        <f t="shared" si="418"/>
        <v>=36.60*100000000</v>
      </c>
      <c r="BM862" s="16">
        <f t="shared" si="433"/>
        <v>1.0825136612021857</v>
      </c>
      <c r="BN862" s="1">
        <f>36.6*100000000</f>
        <v>3660000000</v>
      </c>
    </row>
    <row r="863" spans="1:66">
      <c r="A863" s="18"/>
      <c r="B863">
        <v>600697</v>
      </c>
      <c r="C863" t="s">
        <v>48</v>
      </c>
      <c r="D863" s="6" t="s">
        <v>1725</v>
      </c>
      <c r="E863" s="7" t="str">
        <f t="shared" si="417"/>
        <v>=3.610*100000000</v>
      </c>
      <c r="F863" s="1">
        <f>3.61*100000000</f>
        <v>361000000</v>
      </c>
      <c r="G863" s="8">
        <f t="shared" si="419"/>
        <v>0.14821882951653945</v>
      </c>
      <c r="H863" s="6" t="s">
        <v>7127</v>
      </c>
      <c r="I863" s="6" t="str">
        <f t="shared" si="403"/>
        <v>=3.144*100000000</v>
      </c>
      <c r="J863" s="1">
        <f>3.144*100000000</f>
        <v>314400000</v>
      </c>
      <c r="K863" s="10">
        <f t="shared" si="420"/>
        <v>0.61479198767334364</v>
      </c>
      <c r="L863" s="6" t="s">
        <v>5129</v>
      </c>
      <c r="M863" s="6" t="str">
        <f t="shared" si="404"/>
        <v>=1.947*100000000</v>
      </c>
      <c r="N863" s="1">
        <f>1.947*100000000</f>
        <v>194700000</v>
      </c>
      <c r="O863" s="8">
        <f t="shared" si="421"/>
        <v>1.1269390430412933</v>
      </c>
      <c r="P863" s="7" t="s">
        <v>9502</v>
      </c>
      <c r="Q863" s="6" t="str">
        <f t="shared" si="405"/>
        <v>=9154*10000</v>
      </c>
      <c r="R863" s="11">
        <f>9154*10000</f>
        <v>91540000</v>
      </c>
      <c r="S863" s="8">
        <f t="shared" si="422"/>
        <v>-0.74934282584884992</v>
      </c>
      <c r="T863" s="6" t="s">
        <v>9503</v>
      </c>
      <c r="U863" s="6" t="str">
        <f t="shared" si="406"/>
        <v>=3.652*100000000</v>
      </c>
      <c r="V863" s="1">
        <f>3.652*100000000</f>
        <v>365200000</v>
      </c>
      <c r="W863" s="8">
        <f t="shared" si="423"/>
        <v>0.24854700854700854</v>
      </c>
      <c r="X863" s="6" t="s">
        <v>9504</v>
      </c>
      <c r="Y863" s="6" t="str">
        <f t="shared" si="407"/>
        <v>=2.925*100000000</v>
      </c>
      <c r="Z863" s="1">
        <f>2.925*100000000</f>
        <v>292500000</v>
      </c>
      <c r="AA863" s="8">
        <f t="shared" si="424"/>
        <v>0.96440564137004703</v>
      </c>
      <c r="AB863" s="6" t="s">
        <v>5850</v>
      </c>
      <c r="AC863" s="6" t="str">
        <f t="shared" si="408"/>
        <v>=1.489*100000000</v>
      </c>
      <c r="AD863" s="1">
        <f>1.489*100000000</f>
        <v>148900000</v>
      </c>
      <c r="AE863" s="8">
        <f t="shared" si="425"/>
        <v>57.691367757193532</v>
      </c>
      <c r="AF863" s="7" t="s">
        <v>9505</v>
      </c>
      <c r="AG863" s="6" t="str">
        <f t="shared" si="409"/>
        <v>=253.7*10000</v>
      </c>
      <c r="AH863" s="1">
        <f>253.7*10000</f>
        <v>2537000</v>
      </c>
      <c r="AI863" s="8">
        <f t="shared" si="426"/>
        <v>-0.99687369069624154</v>
      </c>
      <c r="AJ863" s="6" t="s">
        <v>9506</v>
      </c>
      <c r="AK863" s="6" t="str">
        <f t="shared" si="410"/>
        <v>=8.115*100000000</v>
      </c>
      <c r="AL863" s="1">
        <f>8.115*100000000</f>
        <v>811500000</v>
      </c>
      <c r="AM863" s="8">
        <f t="shared" si="427"/>
        <v>0.33646245059288538</v>
      </c>
      <c r="AN863" s="6" t="s">
        <v>3791</v>
      </c>
      <c r="AO863" s="6" t="str">
        <f t="shared" si="411"/>
        <v>=6.072*100000000</v>
      </c>
      <c r="AP863" s="1">
        <f>6.072*100000000</f>
        <v>607200000</v>
      </c>
      <c r="AQ863" s="8">
        <f t="shared" si="428"/>
        <v>0.4645441389290883</v>
      </c>
      <c r="AR863" s="6" t="s">
        <v>7170</v>
      </c>
      <c r="AS863" s="6" t="str">
        <f t="shared" si="412"/>
        <v>=4.146*100000000</v>
      </c>
      <c r="AT863" s="1">
        <f>4.146*100000000</f>
        <v>414600000</v>
      </c>
      <c r="AU863" s="8">
        <f t="shared" si="429"/>
        <v>1.3732112192329708</v>
      </c>
      <c r="AV863" s="6" t="s">
        <v>2329</v>
      </c>
      <c r="AW863" s="6" t="str">
        <f t="shared" si="413"/>
        <v>=1.747*100000000</v>
      </c>
      <c r="AX863" s="1">
        <f>1.747*100000000</f>
        <v>174700000</v>
      </c>
      <c r="AY863" s="10">
        <f t="shared" si="430"/>
        <v>-0.79025093048385164</v>
      </c>
      <c r="AZ863" s="6" t="s">
        <v>9507</v>
      </c>
      <c r="BA863" s="6" t="str">
        <f t="shared" si="414"/>
        <v>=8.329*100000000</v>
      </c>
      <c r="BB863" s="1">
        <f>8.329*100000000</f>
        <v>832900000.00000012</v>
      </c>
      <c r="BC863" s="8">
        <f t="shared" si="431"/>
        <v>0.39141329769462097</v>
      </c>
      <c r="BD863" s="6" t="s">
        <v>9508</v>
      </c>
      <c r="BE863" s="6" t="str">
        <f t="shared" si="415"/>
        <v>=5.986*100000000</v>
      </c>
      <c r="BF863" s="1">
        <f>5.986*100000000</f>
        <v>598600000</v>
      </c>
      <c r="BG863" s="8">
        <f t="shared" si="432"/>
        <v>0.52121982210927575</v>
      </c>
      <c r="BH863" s="6" t="s">
        <v>3267</v>
      </c>
      <c r="BI863" s="6" t="str">
        <f t="shared" si="416"/>
        <v>=3.935*100000000</v>
      </c>
      <c r="BJ863" s="1">
        <f>3.935*100000000</f>
        <v>393500000</v>
      </c>
      <c r="BK863" s="6" t="s">
        <v>9509</v>
      </c>
      <c r="BL863" s="1" t="str">
        <f t="shared" si="418"/>
        <v>=1.690*100000000</v>
      </c>
      <c r="BM863" s="16">
        <f t="shared" si="433"/>
        <v>1.3284023668639053</v>
      </c>
      <c r="BN863" s="1">
        <f>1.69*100000000</f>
        <v>169000000</v>
      </c>
    </row>
    <row r="864" spans="1:66">
      <c r="A864" s="18"/>
      <c r="B864">
        <v>600697</v>
      </c>
      <c r="C864" t="s">
        <v>58</v>
      </c>
      <c r="D864" s="6" t="s">
        <v>6958</v>
      </c>
      <c r="E864" s="7" t="str">
        <f t="shared" si="417"/>
        <v>=3.599*100000000</v>
      </c>
      <c r="F864" s="1">
        <f>3.599*100000000</f>
        <v>359900000</v>
      </c>
      <c r="G864" s="8">
        <f t="shared" si="419"/>
        <v>0.14072900158478605</v>
      </c>
      <c r="H864" s="6" t="s">
        <v>1759</v>
      </c>
      <c r="I864" s="6" t="str">
        <f t="shared" si="403"/>
        <v>=3.155*100000000</v>
      </c>
      <c r="J864" s="1">
        <f>3.155*100000000</f>
        <v>315500000</v>
      </c>
      <c r="K864" s="10">
        <f t="shared" si="420"/>
        <v>0.59746835443037971</v>
      </c>
      <c r="L864" s="6" t="s">
        <v>5193</v>
      </c>
      <c r="M864" s="6" t="str">
        <f t="shared" si="404"/>
        <v>=1.975*100000000</v>
      </c>
      <c r="N864" s="1">
        <f>1.975*100000000</f>
        <v>197500000</v>
      </c>
      <c r="O864" s="8">
        <f t="shared" si="421"/>
        <v>1.1055437100213219</v>
      </c>
      <c r="P864" s="7" t="s">
        <v>9510</v>
      </c>
      <c r="Q864" s="6" t="str">
        <f t="shared" si="405"/>
        <v>=9380*10000</v>
      </c>
      <c r="R864" s="11">
        <f>9380*10000</f>
        <v>93800000</v>
      </c>
      <c r="S864" s="8">
        <f t="shared" si="422"/>
        <v>-0.73007194244604312</v>
      </c>
      <c r="T864" s="6" t="s">
        <v>9511</v>
      </c>
      <c r="U864" s="6" t="str">
        <f t="shared" si="406"/>
        <v>=3.475*100000000</v>
      </c>
      <c r="V864" s="1">
        <f>3.475*100000000</f>
        <v>347500000</v>
      </c>
      <c r="W864" s="8">
        <f t="shared" si="423"/>
        <v>0.17796610169491525</v>
      </c>
      <c r="X864" s="6" t="s">
        <v>2186</v>
      </c>
      <c r="Y864" s="6" t="str">
        <f t="shared" si="407"/>
        <v>=2.950*100000000</v>
      </c>
      <c r="Z864" s="1">
        <f>2.95*100000000</f>
        <v>295000000</v>
      </c>
      <c r="AA864" s="8">
        <f t="shared" si="424"/>
        <v>0.96797865243495662</v>
      </c>
      <c r="AB864" s="6" t="s">
        <v>3547</v>
      </c>
      <c r="AC864" s="6" t="str">
        <f t="shared" si="408"/>
        <v>=1.499*100000000</v>
      </c>
      <c r="AD864" s="1">
        <f>1.499*100000000</f>
        <v>149900000</v>
      </c>
      <c r="AE864" s="8">
        <f t="shared" si="425"/>
        <v>46.51188589540412</v>
      </c>
      <c r="AF864" s="7" t="s">
        <v>9512</v>
      </c>
      <c r="AG864" s="6" t="str">
        <f t="shared" si="409"/>
        <v>=315.5*10000</v>
      </c>
      <c r="AH864" s="1">
        <f>315.5*10000</f>
        <v>3155000</v>
      </c>
      <c r="AI864" s="8">
        <f t="shared" si="426"/>
        <v>-0.99607342874922211</v>
      </c>
      <c r="AJ864" s="6" t="s">
        <v>9513</v>
      </c>
      <c r="AK864" s="6" t="str">
        <f t="shared" si="410"/>
        <v>=8.035*100000000</v>
      </c>
      <c r="AL864" s="1">
        <f>8.035*100000000</f>
        <v>803500000</v>
      </c>
      <c r="AM864" s="8">
        <f t="shared" si="427"/>
        <v>0.32678335535006603</v>
      </c>
      <c r="AN864" s="6" t="s">
        <v>5084</v>
      </c>
      <c r="AO864" s="6" t="str">
        <f t="shared" si="411"/>
        <v>=6.056*100000000</v>
      </c>
      <c r="AP864" s="1">
        <f>6.056*100000000</f>
        <v>605600000</v>
      </c>
      <c r="AQ864" s="8">
        <f t="shared" si="428"/>
        <v>0.47168894289185903</v>
      </c>
      <c r="AR864" s="6" t="s">
        <v>9514</v>
      </c>
      <c r="AS864" s="6" t="str">
        <f t="shared" si="412"/>
        <v>=4.115*100000000</v>
      </c>
      <c r="AT864" s="1">
        <f>4.115*100000000</f>
        <v>411500000</v>
      </c>
      <c r="AU864" s="8">
        <f t="shared" si="429"/>
        <v>1.3367404883588869</v>
      </c>
      <c r="AV864" s="6" t="s">
        <v>5194</v>
      </c>
      <c r="AW864" s="6" t="str">
        <f t="shared" si="413"/>
        <v>=1.761*100000000</v>
      </c>
      <c r="AX864" s="1">
        <f>1.761*100000000</f>
        <v>176100000</v>
      </c>
      <c r="AY864" s="10">
        <f t="shared" si="430"/>
        <v>-0.78529626920263351</v>
      </c>
      <c r="AZ864" s="6" t="s">
        <v>7821</v>
      </c>
      <c r="BA864" s="6" t="str">
        <f t="shared" si="414"/>
        <v>=8.202*100000000</v>
      </c>
      <c r="BB864" s="1">
        <f>8.202*100000000</f>
        <v>820200000</v>
      </c>
      <c r="BC864" s="8">
        <f t="shared" si="431"/>
        <v>0.38805212387882893</v>
      </c>
      <c r="BD864" s="6" t="s">
        <v>4963</v>
      </c>
      <c r="BE864" s="6" t="str">
        <f t="shared" si="415"/>
        <v>=5.909*100000000</v>
      </c>
      <c r="BF864" s="1">
        <f>5.909*100000000</f>
        <v>590900000</v>
      </c>
      <c r="BG864" s="8">
        <f t="shared" si="432"/>
        <v>0.50012693577050016</v>
      </c>
      <c r="BH864" s="6" t="s">
        <v>8879</v>
      </c>
      <c r="BI864" s="6" t="str">
        <f t="shared" si="416"/>
        <v>=3.939*100000000</v>
      </c>
      <c r="BJ864" s="1">
        <f>3.939*100000000</f>
        <v>393900000</v>
      </c>
      <c r="BK864" s="6" t="s">
        <v>9515</v>
      </c>
      <c r="BL864" s="1" t="str">
        <f t="shared" si="418"/>
        <v>=1.683*100000000</v>
      </c>
      <c r="BM864" s="16">
        <f t="shared" si="433"/>
        <v>1.340463458110517</v>
      </c>
      <c r="BN864" s="1">
        <f>1.683*100000000</f>
        <v>168300000</v>
      </c>
    </row>
    <row r="865" spans="1:66">
      <c r="A865" s="19"/>
      <c r="B865">
        <v>600697</v>
      </c>
      <c r="C865" t="s">
        <v>68</v>
      </c>
      <c r="D865" s="6" t="s">
        <v>2795</v>
      </c>
      <c r="E865" s="7" t="str">
        <f t="shared" si="417"/>
        <v>=1.744*100000000</v>
      </c>
      <c r="F865" s="1">
        <f>1.744*100000000</f>
        <v>174400000</v>
      </c>
      <c r="G865" s="8">
        <f t="shared" si="419"/>
        <v>-0.13190642110502737</v>
      </c>
      <c r="H865" s="6" t="s">
        <v>9516</v>
      </c>
      <c r="I865" s="6" t="str">
        <f t="shared" si="403"/>
        <v>=2.009*100000000</v>
      </c>
      <c r="J865" s="1">
        <f>2.009*100000000</f>
        <v>200900000</v>
      </c>
      <c r="K865" s="10">
        <f t="shared" si="420"/>
        <v>0.72891566265060259</v>
      </c>
      <c r="L865" s="6" t="s">
        <v>5579</v>
      </c>
      <c r="M865" s="6" t="str">
        <f t="shared" si="404"/>
        <v>=1.162*100000000</v>
      </c>
      <c r="N865" s="1">
        <f>1.162*100000000</f>
        <v>116199999.99999999</v>
      </c>
      <c r="O865" s="8">
        <f t="shared" si="421"/>
        <v>1.1046911791342144</v>
      </c>
      <c r="P865" s="7" t="s">
        <v>8720</v>
      </c>
      <c r="Q865" s="6" t="str">
        <f t="shared" si="405"/>
        <v>=5521*10000</v>
      </c>
      <c r="R865" s="11">
        <f>5521*10000</f>
        <v>55210000</v>
      </c>
      <c r="S865" s="8">
        <f t="shared" si="422"/>
        <v>-0.71946138211382116</v>
      </c>
      <c r="T865" s="6" t="s">
        <v>4968</v>
      </c>
      <c r="U865" s="6" t="str">
        <f t="shared" si="406"/>
        <v>=1.968*100000000</v>
      </c>
      <c r="V865" s="1">
        <f>1.968*100000000</f>
        <v>196800000</v>
      </c>
      <c r="W865" s="8">
        <f t="shared" si="423"/>
        <v>-9.8075160403299722E-2</v>
      </c>
      <c r="X865" s="6" t="s">
        <v>6096</v>
      </c>
      <c r="Y865" s="6" t="str">
        <f t="shared" si="407"/>
        <v>=2.182*100000000</v>
      </c>
      <c r="Z865" s="1">
        <f>2.182*100000000</f>
        <v>218200000</v>
      </c>
      <c r="AA865" s="8">
        <f t="shared" si="424"/>
        <v>1.0761179828734539</v>
      </c>
      <c r="AB865" s="6" t="s">
        <v>3980</v>
      </c>
      <c r="AC865" s="6" t="str">
        <f t="shared" si="408"/>
        <v>=1.051*100000000</v>
      </c>
      <c r="AD865" s="1">
        <f>1.051*100000000</f>
        <v>105100000</v>
      </c>
      <c r="AE865" s="8">
        <f t="shared" si="425"/>
        <v>2283.2860247772223</v>
      </c>
      <c r="AF865" s="7" t="s">
        <v>9517</v>
      </c>
      <c r="AG865" s="6" t="str">
        <f t="shared" si="409"/>
        <v>=4.601*10000</v>
      </c>
      <c r="AH865" s="1">
        <f>4.601*10000</f>
        <v>46010</v>
      </c>
      <c r="AI865" s="8">
        <f t="shared" si="426"/>
        <v>-0.99992326551034028</v>
      </c>
      <c r="AJ865" s="6" t="s">
        <v>9478</v>
      </c>
      <c r="AK865" s="6" t="str">
        <f t="shared" si="410"/>
        <v>=5.996*100000000</v>
      </c>
      <c r="AL865" s="1">
        <f>5.996*100000000</f>
        <v>599600000</v>
      </c>
      <c r="AM865" s="8">
        <f t="shared" si="427"/>
        <v>0.31983270966321814</v>
      </c>
      <c r="AN865" s="6" t="s">
        <v>9518</v>
      </c>
      <c r="AO865" s="6" t="str">
        <f t="shared" si="411"/>
        <v>=4.543*100000000</v>
      </c>
      <c r="AP865" s="1">
        <f>4.543*100000000</f>
        <v>454300000</v>
      </c>
      <c r="AQ865" s="8">
        <f t="shared" si="428"/>
        <v>0.4812520378219759</v>
      </c>
      <c r="AR865" s="6" t="s">
        <v>9519</v>
      </c>
      <c r="AS865" s="6" t="str">
        <f t="shared" si="412"/>
        <v>=3.067*100000000</v>
      </c>
      <c r="AT865" s="1">
        <f>3.067*100000000</f>
        <v>306700000</v>
      </c>
      <c r="AU865" s="8">
        <f t="shared" si="429"/>
        <v>1.4073783359497645</v>
      </c>
      <c r="AV865" s="6" t="s">
        <v>9520</v>
      </c>
      <c r="AW865" s="6" t="str">
        <f t="shared" si="413"/>
        <v>=1.274*100000000</v>
      </c>
      <c r="AX865" s="1">
        <f>1.274*100000000</f>
        <v>127400000</v>
      </c>
      <c r="AY865" s="10">
        <f t="shared" si="430"/>
        <v>-0.79101049868766404</v>
      </c>
      <c r="AZ865" s="6" t="s">
        <v>225</v>
      </c>
      <c r="BA865" s="6" t="str">
        <f t="shared" si="414"/>
        <v>=6.096*100000000</v>
      </c>
      <c r="BB865" s="1">
        <f>6.096*100000000</f>
        <v>609600000</v>
      </c>
      <c r="BC865" s="8">
        <f t="shared" si="431"/>
        <v>0.41307371349095967</v>
      </c>
      <c r="BD865" s="6" t="s">
        <v>1444</v>
      </c>
      <c r="BE865" s="6" t="str">
        <f t="shared" si="415"/>
        <v>=4.314*100000000</v>
      </c>
      <c r="BF865" s="1">
        <f>4.314*100000000</f>
        <v>431400000</v>
      </c>
      <c r="BG865" s="8">
        <f t="shared" si="432"/>
        <v>0.50681103737338451</v>
      </c>
      <c r="BH865" s="6" t="s">
        <v>9521</v>
      </c>
      <c r="BI865" s="6" t="str">
        <f t="shared" si="416"/>
        <v>=2.863*100000000</v>
      </c>
      <c r="BJ865" s="1">
        <f>2.863*100000000</f>
        <v>286300000</v>
      </c>
      <c r="BK865" s="6" t="s">
        <v>3562</v>
      </c>
      <c r="BL865" s="1" t="str">
        <f t="shared" si="418"/>
        <v>=1.233*100000000</v>
      </c>
      <c r="BM865" s="16">
        <f t="shared" si="433"/>
        <v>1.321978913219789</v>
      </c>
      <c r="BN865" s="1">
        <f>1.233*100000000</f>
        <v>123300000.00000001</v>
      </c>
    </row>
    <row r="866" spans="1:66">
      <c r="A866" s="17">
        <v>218</v>
      </c>
      <c r="B866">
        <v>600702</v>
      </c>
      <c r="C866" t="s">
        <v>31</v>
      </c>
      <c r="D866" s="6" t="s">
        <v>9522</v>
      </c>
      <c r="E866" s="7" t="str">
        <f t="shared" si="417"/>
        <v>=49.69*100000000</v>
      </c>
      <c r="F866" s="1">
        <f>49.69*100000000</f>
        <v>4969000000</v>
      </c>
      <c r="G866" s="8">
        <f t="shared" si="419"/>
        <v>0.37759911283615194</v>
      </c>
      <c r="H866" s="6" t="s">
        <v>9255</v>
      </c>
      <c r="I866" s="6" t="str">
        <f t="shared" si="403"/>
        <v>=36.07*100000000</v>
      </c>
      <c r="J866" s="1">
        <f>36.07*100000000</f>
        <v>3607000000</v>
      </c>
      <c r="K866" s="10">
        <f t="shared" si="420"/>
        <v>0.50857381848598915</v>
      </c>
      <c r="L866" s="6" t="s">
        <v>9523</v>
      </c>
      <c r="M866" s="6" t="str">
        <f t="shared" si="404"/>
        <v>=23.91*100000000</v>
      </c>
      <c r="N866" s="1">
        <f>23.91*100000000</f>
        <v>2391000000</v>
      </c>
      <c r="O866" s="8">
        <f t="shared" si="421"/>
        <v>1.3258754863813231</v>
      </c>
      <c r="P866" s="6" t="s">
        <v>3466</v>
      </c>
      <c r="Q866" s="6" t="str">
        <f t="shared" si="405"/>
        <v>=10.28*100000000</v>
      </c>
      <c r="R866" s="11">
        <f>10.28*100000000</f>
        <v>1027999999.9999999</v>
      </c>
      <c r="S866" s="8">
        <f t="shared" si="422"/>
        <v>-0.61982248520710059</v>
      </c>
      <c r="T866" s="6" t="s">
        <v>5634</v>
      </c>
      <c r="U866" s="6" t="str">
        <f t="shared" si="406"/>
        <v>=27.04*100000000</v>
      </c>
      <c r="V866" s="1">
        <f>27.04*100000000</f>
        <v>2704000000</v>
      </c>
      <c r="W866" s="8">
        <f t="shared" si="423"/>
        <v>0.53374929098128188</v>
      </c>
      <c r="X866" s="6" t="s">
        <v>9524</v>
      </c>
      <c r="Y866" s="6" t="str">
        <f t="shared" si="407"/>
        <v>=17.63*100000000</v>
      </c>
      <c r="Z866" s="1">
        <f>17.63*100000000</f>
        <v>1763000000</v>
      </c>
      <c r="AA866" s="8">
        <f t="shared" si="424"/>
        <v>0.71832358674463936</v>
      </c>
      <c r="AB866" s="6" t="s">
        <v>1683</v>
      </c>
      <c r="AC866" s="6" t="str">
        <f t="shared" si="408"/>
        <v>=10.26*100000000</v>
      </c>
      <c r="AD866" s="1">
        <f>10.26*100000000</f>
        <v>1026000000</v>
      </c>
      <c r="AE866" s="8">
        <f t="shared" si="425"/>
        <v>1.537091988130564</v>
      </c>
      <c r="AF866" s="6" t="s">
        <v>1747</v>
      </c>
      <c r="AG866" s="6" t="str">
        <f t="shared" si="409"/>
        <v>=4.044*100000000</v>
      </c>
      <c r="AH866" s="1">
        <f>4.044*100000000</f>
        <v>404399999.99999994</v>
      </c>
      <c r="AI866" s="8">
        <f t="shared" si="426"/>
        <v>-0.84739622641509438</v>
      </c>
      <c r="AJ866" s="6" t="s">
        <v>5259</v>
      </c>
      <c r="AK866" s="6" t="str">
        <f t="shared" si="410"/>
        <v>=26.50*100000000</v>
      </c>
      <c r="AL866" s="1">
        <f>26.5*100000000</f>
        <v>2650000000</v>
      </c>
      <c r="AM866" s="8">
        <f t="shared" si="427"/>
        <v>0.43787303309820946</v>
      </c>
      <c r="AN866" s="6" t="s">
        <v>2137</v>
      </c>
      <c r="AO866" s="6" t="str">
        <f t="shared" si="411"/>
        <v>=18.43*100000000</v>
      </c>
      <c r="AP866" s="1">
        <f>18.43*100000000</f>
        <v>1843000000</v>
      </c>
      <c r="AQ866" s="8">
        <f t="shared" si="428"/>
        <v>0.50941850941850941</v>
      </c>
      <c r="AR866" s="6" t="s">
        <v>7912</v>
      </c>
      <c r="AS866" s="6" t="str">
        <f t="shared" si="412"/>
        <v>=12.21*100000000</v>
      </c>
      <c r="AT866" s="1">
        <f>12.21*100000000</f>
        <v>1221000000</v>
      </c>
      <c r="AU866" s="8">
        <f t="shared" si="429"/>
        <v>0.75053763440860211</v>
      </c>
      <c r="AV866" s="6" t="s">
        <v>8369</v>
      </c>
      <c r="AW866" s="6" t="str">
        <f t="shared" si="413"/>
        <v>=6.975*100000000</v>
      </c>
      <c r="AX866" s="1">
        <f>6.975*100000000</f>
        <v>697500000</v>
      </c>
      <c r="AY866" s="10">
        <f t="shared" si="430"/>
        <v>-0.68467450271247743</v>
      </c>
      <c r="AZ866" s="6" t="s">
        <v>1969</v>
      </c>
      <c r="BA866" s="6" t="str">
        <f t="shared" si="414"/>
        <v>=22.12*100000000</v>
      </c>
      <c r="BB866" s="1">
        <f>22.12*100000000</f>
        <v>2212000000</v>
      </c>
      <c r="BC866" s="8">
        <f t="shared" si="431"/>
        <v>0.39207048458149779</v>
      </c>
      <c r="BD866" s="6" t="s">
        <v>4531</v>
      </c>
      <c r="BE866" s="6" t="str">
        <f t="shared" si="415"/>
        <v>=15.89*100000000</v>
      </c>
      <c r="BF866" s="1">
        <f>15.89*100000000</f>
        <v>1589000000</v>
      </c>
      <c r="BG866" s="8">
        <f t="shared" si="432"/>
        <v>0.56090373280943029</v>
      </c>
      <c r="BH866" s="6" t="s">
        <v>9525</v>
      </c>
      <c r="BI866" s="6" t="str">
        <f t="shared" si="416"/>
        <v>=10.18*100000000</v>
      </c>
      <c r="BJ866" s="1">
        <f>10.18*100000000</f>
        <v>1018000000</v>
      </c>
      <c r="BK866" s="6" t="s">
        <v>8587</v>
      </c>
      <c r="BL866" s="1" t="str">
        <f t="shared" si="418"/>
        <v>=5.203*100000000</v>
      </c>
      <c r="BM866" s="16">
        <f t="shared" si="433"/>
        <v>0.95656352104555065</v>
      </c>
      <c r="BN866" s="1">
        <f>5.203*100000000</f>
        <v>520300000</v>
      </c>
    </row>
    <row r="867" spans="1:66">
      <c r="A867" s="18"/>
      <c r="B867">
        <v>600702</v>
      </c>
      <c r="C867" t="s">
        <v>48</v>
      </c>
      <c r="D867" s="6" t="s">
        <v>5638</v>
      </c>
      <c r="E867" s="7" t="str">
        <f t="shared" si="417"/>
        <v>=16.74*100000000</v>
      </c>
      <c r="F867" s="1">
        <f>16.74*100000000</f>
        <v>1673999999.9999998</v>
      </c>
      <c r="G867" s="8">
        <f t="shared" si="419"/>
        <v>0.28769230769230753</v>
      </c>
      <c r="H867" s="6" t="s">
        <v>3870</v>
      </c>
      <c r="I867" s="6" t="str">
        <f t="shared" si="403"/>
        <v>=13.00*100000000</v>
      </c>
      <c r="J867" s="1">
        <f>13*100000000</f>
        <v>1300000000</v>
      </c>
      <c r="K867" s="10">
        <f t="shared" si="420"/>
        <v>0.33374371601518416</v>
      </c>
      <c r="L867" s="6" t="s">
        <v>9526</v>
      </c>
      <c r="M867" s="6" t="str">
        <f t="shared" si="404"/>
        <v>=9.747*100000000</v>
      </c>
      <c r="N867" s="1">
        <f>9.747*100000000</f>
        <v>974700000</v>
      </c>
      <c r="O867" s="8">
        <f t="shared" si="421"/>
        <v>1.3995568685376663</v>
      </c>
      <c r="P867" s="6" t="s">
        <v>502</v>
      </c>
      <c r="Q867" s="6" t="str">
        <f t="shared" si="405"/>
        <v>=4.062*100000000</v>
      </c>
      <c r="R867" s="11">
        <f>4.062*100000000</f>
        <v>406200000</v>
      </c>
      <c r="S867" s="8">
        <f t="shared" si="422"/>
        <v>-0.47130027333073016</v>
      </c>
      <c r="T867" s="6" t="s">
        <v>9527</v>
      </c>
      <c r="U867" s="6" t="str">
        <f t="shared" si="406"/>
        <v>=7.683*100000000</v>
      </c>
      <c r="V867" s="1">
        <f>7.683*100000000</f>
        <v>768300000</v>
      </c>
      <c r="W867" s="8">
        <f t="shared" si="423"/>
        <v>0.59696528788193726</v>
      </c>
      <c r="X867" s="6" t="s">
        <v>9528</v>
      </c>
      <c r="Y867" s="6" t="str">
        <f t="shared" si="407"/>
        <v>=4.811*100000000</v>
      </c>
      <c r="Z867" s="1">
        <f>4.811*100000000</f>
        <v>481100000</v>
      </c>
      <c r="AA867" s="8">
        <f t="shared" si="424"/>
        <v>0.97902097902097907</v>
      </c>
      <c r="AB867" s="6" t="s">
        <v>9529</v>
      </c>
      <c r="AC867" s="6" t="str">
        <f t="shared" si="408"/>
        <v>=2.431*100000000</v>
      </c>
      <c r="AD867" s="1">
        <f>2.431*100000000</f>
        <v>243100000</v>
      </c>
      <c r="AE867" s="8">
        <f t="shared" si="425"/>
        <v>2.9483514698716906</v>
      </c>
      <c r="AF867" s="7" t="s">
        <v>9530</v>
      </c>
      <c r="AG867" s="6" t="str">
        <f t="shared" si="409"/>
        <v>=6157*10000</v>
      </c>
      <c r="AH867" s="1">
        <f>6157*10000</f>
        <v>61570000</v>
      </c>
      <c r="AI867" s="8">
        <f t="shared" si="426"/>
        <v>-0.91352528089887641</v>
      </c>
      <c r="AJ867" s="6" t="s">
        <v>9531</v>
      </c>
      <c r="AK867" s="6" t="str">
        <f t="shared" si="410"/>
        <v>=7.120*100000000</v>
      </c>
      <c r="AL867" s="1">
        <f>7.12*100000000</f>
        <v>712000000</v>
      </c>
      <c r="AM867" s="8">
        <f t="shared" si="427"/>
        <v>0.55866900175131373</v>
      </c>
      <c r="AN867" s="6" t="s">
        <v>9532</v>
      </c>
      <c r="AO867" s="6" t="str">
        <f t="shared" si="411"/>
        <v>=4.568*100000000</v>
      </c>
      <c r="AP867" s="1">
        <f>4.568*100000000</f>
        <v>456799999.99999994</v>
      </c>
      <c r="AQ867" s="8">
        <f t="shared" si="428"/>
        <v>0.7211755840241143</v>
      </c>
      <c r="AR867" s="6" t="s">
        <v>9533</v>
      </c>
      <c r="AS867" s="6" t="str">
        <f t="shared" si="412"/>
        <v>=2.654*100000000</v>
      </c>
      <c r="AT867" s="1">
        <f>2.654*100000000</f>
        <v>265400000</v>
      </c>
      <c r="AU867" s="8">
        <f t="shared" si="429"/>
        <v>0.73124592302674496</v>
      </c>
      <c r="AV867" s="6" t="s">
        <v>4289</v>
      </c>
      <c r="AW867" s="6" t="str">
        <f t="shared" si="413"/>
        <v>=1.533*100000000</v>
      </c>
      <c r="AX867" s="1">
        <f>1.533*100000000</f>
        <v>153300000</v>
      </c>
      <c r="AY867" s="10">
        <f t="shared" si="430"/>
        <v>-0.65340266787248469</v>
      </c>
      <c r="AZ867" s="6" t="s">
        <v>9534</v>
      </c>
      <c r="BA867" s="6" t="str">
        <f t="shared" si="414"/>
        <v>=4.423*100000000</v>
      </c>
      <c r="BB867" s="1">
        <f>4.423*100000000</f>
        <v>442300000</v>
      </c>
      <c r="BC867" s="8">
        <f t="shared" si="431"/>
        <v>0.23066221480244853</v>
      </c>
      <c r="BD867" s="6" t="s">
        <v>9535</v>
      </c>
      <c r="BE867" s="6" t="str">
        <f t="shared" si="415"/>
        <v>=3.594*100000000</v>
      </c>
      <c r="BF867" s="1">
        <f>3.594*100000000</f>
        <v>359400000</v>
      </c>
      <c r="BG867" s="8">
        <f t="shared" si="432"/>
        <v>0.5619295958279007</v>
      </c>
      <c r="BH867" s="6" t="s">
        <v>9066</v>
      </c>
      <c r="BI867" s="6" t="str">
        <f t="shared" si="416"/>
        <v>=2.301*100000000</v>
      </c>
      <c r="BJ867" s="1">
        <f>2.301*100000000</f>
        <v>230100000.00000003</v>
      </c>
      <c r="BK867" s="6" t="s">
        <v>7392</v>
      </c>
      <c r="BL867" s="1" t="str">
        <f t="shared" si="418"/>
        <v>=1.016*100000000</v>
      </c>
      <c r="BM867" s="16">
        <f t="shared" si="433"/>
        <v>1.2647637795275593</v>
      </c>
      <c r="BN867" s="1">
        <f>1.016*100000000</f>
        <v>101600000</v>
      </c>
    </row>
    <row r="868" spans="1:66">
      <c r="A868" s="18"/>
      <c r="B868">
        <v>600702</v>
      </c>
      <c r="C868" t="s">
        <v>58</v>
      </c>
      <c r="D868" s="6" t="s">
        <v>9222</v>
      </c>
      <c r="E868" s="7" t="str">
        <f t="shared" si="417"/>
        <v>=16.85*100000000</v>
      </c>
      <c r="F868" s="1">
        <f>16.85*100000000</f>
        <v>1685000000.0000002</v>
      </c>
      <c r="G868" s="8">
        <f t="shared" si="419"/>
        <v>0.29316960859554891</v>
      </c>
      <c r="H868" s="6" t="s">
        <v>4253</v>
      </c>
      <c r="I868" s="6" t="str">
        <f t="shared" si="403"/>
        <v>=13.03*100000000</v>
      </c>
      <c r="J868" s="1">
        <f>13.03*100000000</f>
        <v>1303000000</v>
      </c>
      <c r="K868" s="10">
        <f t="shared" si="420"/>
        <v>0.33163004598875828</v>
      </c>
      <c r="L868" s="6" t="s">
        <v>4495</v>
      </c>
      <c r="M868" s="6" t="str">
        <f t="shared" si="404"/>
        <v>=9.785*100000000</v>
      </c>
      <c r="N868" s="1">
        <f>9.785*100000000</f>
        <v>978500000</v>
      </c>
      <c r="O868" s="8">
        <f t="shared" si="421"/>
        <v>1.4024060888779768</v>
      </c>
      <c r="P868" s="6" t="s">
        <v>9536</v>
      </c>
      <c r="Q868" s="6" t="str">
        <f t="shared" si="405"/>
        <v>=4.073*100000000</v>
      </c>
      <c r="R868" s="11">
        <f>4.073*100000000</f>
        <v>407300000.00000006</v>
      </c>
      <c r="S868" s="8">
        <f t="shared" si="422"/>
        <v>-0.49144712198776369</v>
      </c>
      <c r="T868" s="6" t="s">
        <v>9537</v>
      </c>
      <c r="U868" s="6" t="str">
        <f t="shared" si="406"/>
        <v>=8.009*100000000</v>
      </c>
      <c r="V868" s="1">
        <f>8.009*100000000</f>
        <v>800900000</v>
      </c>
      <c r="W868" s="8">
        <f t="shared" si="423"/>
        <v>0.69073253113785094</v>
      </c>
      <c r="X868" s="6" t="s">
        <v>9538</v>
      </c>
      <c r="Y868" s="6" t="str">
        <f t="shared" si="407"/>
        <v>=4.737*100000000</v>
      </c>
      <c r="Z868" s="1">
        <f>4.737*100000000</f>
        <v>473700000</v>
      </c>
      <c r="AA868" s="8">
        <f t="shared" si="424"/>
        <v>1.0166028097062578</v>
      </c>
      <c r="AB868" s="6" t="s">
        <v>9539</v>
      </c>
      <c r="AC868" s="6" t="str">
        <f t="shared" si="408"/>
        <v>=2.349*100000000</v>
      </c>
      <c r="AD868" s="1">
        <f>2.349*100000000</f>
        <v>234900000.00000003</v>
      </c>
      <c r="AE868" s="8">
        <f t="shared" si="425"/>
        <v>3.5426416553858062</v>
      </c>
      <c r="AF868" s="7" t="s">
        <v>9540</v>
      </c>
      <c r="AG868" s="6" t="str">
        <f t="shared" si="409"/>
        <v>=5171*10000</v>
      </c>
      <c r="AH868" s="1">
        <f>5171*10000</f>
        <v>51710000</v>
      </c>
      <c r="AI868" s="8">
        <f t="shared" si="426"/>
        <v>-0.92685997171145684</v>
      </c>
      <c r="AJ868" s="6" t="s">
        <v>9541</v>
      </c>
      <c r="AK868" s="6" t="str">
        <f t="shared" si="410"/>
        <v>=7.070*100000000</v>
      </c>
      <c r="AL868" s="1">
        <f>7.07*100000000</f>
        <v>707000000</v>
      </c>
      <c r="AM868" s="8">
        <f t="shared" si="427"/>
        <v>0.56762749445676275</v>
      </c>
      <c r="AN868" s="6" t="s">
        <v>9542</v>
      </c>
      <c r="AO868" s="6" t="str">
        <f t="shared" si="411"/>
        <v>=4.510*100000000</v>
      </c>
      <c r="AP868" s="1">
        <f>4.51*100000000</f>
        <v>451000000</v>
      </c>
      <c r="AQ868" s="8">
        <f t="shared" si="428"/>
        <v>0.68158090976882924</v>
      </c>
      <c r="AR868" s="6" t="s">
        <v>3903</v>
      </c>
      <c r="AS868" s="6" t="str">
        <f t="shared" si="412"/>
        <v>=2.682*100000000</v>
      </c>
      <c r="AT868" s="1">
        <f>2.682*100000000</f>
        <v>268200000</v>
      </c>
      <c r="AU868" s="8">
        <f t="shared" si="429"/>
        <v>0.73367808661926304</v>
      </c>
      <c r="AV868" s="6" t="s">
        <v>9543</v>
      </c>
      <c r="AW868" s="6" t="str">
        <f t="shared" si="413"/>
        <v>=1.547*100000000</v>
      </c>
      <c r="AX868" s="1">
        <f>1.547*100000000</f>
        <v>154700000</v>
      </c>
      <c r="AY868" s="10">
        <f t="shared" si="430"/>
        <v>-0.64896755162241893</v>
      </c>
      <c r="AZ868" s="6" t="s">
        <v>9544</v>
      </c>
      <c r="BA868" s="6" t="str">
        <f t="shared" si="414"/>
        <v>=4.407*100000000</v>
      </c>
      <c r="BB868" s="1">
        <f>4.407*100000000</f>
        <v>440700000</v>
      </c>
      <c r="BC868" s="8">
        <f t="shared" si="431"/>
        <v>0.22416666666666665</v>
      </c>
      <c r="BD868" s="6" t="s">
        <v>7430</v>
      </c>
      <c r="BE868" s="6" t="str">
        <f t="shared" si="415"/>
        <v>=3.600*100000000</v>
      </c>
      <c r="BF868" s="1">
        <f>3.6*100000000</f>
        <v>360000000</v>
      </c>
      <c r="BG868" s="8">
        <f t="shared" si="432"/>
        <v>0.53649167733674774</v>
      </c>
      <c r="BH868" s="6" t="s">
        <v>6591</v>
      </c>
      <c r="BI868" s="6" t="str">
        <f t="shared" si="416"/>
        <v>=2.343*100000000</v>
      </c>
      <c r="BJ868" s="1">
        <f>2.343*100000000</f>
        <v>234300000</v>
      </c>
      <c r="BK868" s="6" t="s">
        <v>2179</v>
      </c>
      <c r="BL868" s="1" t="str">
        <f t="shared" si="418"/>
        <v>=1.034*100000000</v>
      </c>
      <c r="BM868" s="16">
        <f t="shared" si="433"/>
        <v>1.2659574468085106</v>
      </c>
      <c r="BN868" s="1">
        <f>1.034*100000000</f>
        <v>103400000</v>
      </c>
    </row>
    <row r="869" spans="1:66">
      <c r="A869" s="19"/>
      <c r="B869">
        <v>600702</v>
      </c>
      <c r="C869" t="s">
        <v>68</v>
      </c>
      <c r="D869" s="6" t="s">
        <v>3952</v>
      </c>
      <c r="E869" s="7" t="str">
        <f t="shared" si="417"/>
        <v>=12.71*100000000</v>
      </c>
      <c r="F869" s="1">
        <f>12.71*100000000</f>
        <v>1271000000</v>
      </c>
      <c r="G869" s="8">
        <f t="shared" si="419"/>
        <v>0.28344945975966879</v>
      </c>
      <c r="H869" s="6" t="s">
        <v>9545</v>
      </c>
      <c r="I869" s="6" t="str">
        <f t="shared" si="403"/>
        <v>=9.903*100000000</v>
      </c>
      <c r="J869" s="1">
        <f>9.903*100000000</f>
        <v>990300000</v>
      </c>
      <c r="K869" s="10">
        <f t="shared" si="420"/>
        <v>0.32092837134853941</v>
      </c>
      <c r="L869" s="6" t="s">
        <v>9546</v>
      </c>
      <c r="M869" s="6" t="str">
        <f t="shared" si="404"/>
        <v>=7.497*100000000</v>
      </c>
      <c r="N869" s="1">
        <f>7.497*100000000</f>
        <v>749700000</v>
      </c>
      <c r="O869" s="8">
        <f t="shared" si="421"/>
        <v>1.4262135922330097</v>
      </c>
      <c r="P869" s="6" t="s">
        <v>7817</v>
      </c>
      <c r="Q869" s="6" t="str">
        <f t="shared" si="405"/>
        <v>=3.090*100000000</v>
      </c>
      <c r="R869" s="11">
        <f>3.09*100000000</f>
        <v>309000000</v>
      </c>
      <c r="S869" s="8">
        <f t="shared" si="422"/>
        <v>-0.49119051539601516</v>
      </c>
      <c r="T869" s="6" t="s">
        <v>9547</v>
      </c>
      <c r="U869" s="6" t="str">
        <f t="shared" si="406"/>
        <v>=6.073*100000000</v>
      </c>
      <c r="V869" s="1">
        <f>6.073*100000000</f>
        <v>607300000</v>
      </c>
      <c r="W869" s="8">
        <f t="shared" si="423"/>
        <v>0.85661877101803729</v>
      </c>
      <c r="X869" s="6" t="s">
        <v>8684</v>
      </c>
      <c r="Y869" s="6" t="str">
        <f t="shared" si="407"/>
        <v>=3.271*100000000</v>
      </c>
      <c r="Z869" s="1">
        <f>3.271*100000000</f>
        <v>327100000</v>
      </c>
      <c r="AA869" s="8">
        <f t="shared" si="424"/>
        <v>0.89403590040532721</v>
      </c>
      <c r="AB869" s="6" t="s">
        <v>2980</v>
      </c>
      <c r="AC869" s="6" t="str">
        <f t="shared" si="408"/>
        <v>=1.727*100000000</v>
      </c>
      <c r="AD869" s="1">
        <f>1.727*100000000</f>
        <v>172700000</v>
      </c>
      <c r="AE869" s="8">
        <f t="shared" si="425"/>
        <v>4.5299391610630808</v>
      </c>
      <c r="AF869" s="7" t="s">
        <v>9548</v>
      </c>
      <c r="AG869" s="6" t="str">
        <f t="shared" si="409"/>
        <v>=3123*10000</v>
      </c>
      <c r="AH869" s="1">
        <f>3123*10000</f>
        <v>31230000</v>
      </c>
      <c r="AI869" s="8">
        <f t="shared" si="426"/>
        <v>-0.94199479940564634</v>
      </c>
      <c r="AJ869" s="6" t="s">
        <v>9549</v>
      </c>
      <c r="AK869" s="6" t="str">
        <f t="shared" si="410"/>
        <v>=5.384*100000000</v>
      </c>
      <c r="AL869" s="1">
        <f>5.384*100000000</f>
        <v>538400000</v>
      </c>
      <c r="AM869" s="8">
        <f t="shared" si="427"/>
        <v>0.64749082007343939</v>
      </c>
      <c r="AN869" s="6" t="s">
        <v>180</v>
      </c>
      <c r="AO869" s="6" t="str">
        <f t="shared" si="411"/>
        <v>=3.268*100000000</v>
      </c>
      <c r="AP869" s="1">
        <f>3.268*100000000</f>
        <v>326800000</v>
      </c>
      <c r="AQ869" s="8">
        <f t="shared" si="428"/>
        <v>0.62103174603174605</v>
      </c>
      <c r="AR869" s="6" t="s">
        <v>2003</v>
      </c>
      <c r="AS869" s="6" t="str">
        <f t="shared" si="412"/>
        <v>=2.016*100000000</v>
      </c>
      <c r="AT869" s="1">
        <f>2.016*100000000</f>
        <v>201600000</v>
      </c>
      <c r="AU869" s="8">
        <f t="shared" si="429"/>
        <v>0.8666666666666667</v>
      </c>
      <c r="AV869" s="6" t="s">
        <v>9550</v>
      </c>
      <c r="AW869" s="6" t="str">
        <f t="shared" si="413"/>
        <v>=1.080*100000000</v>
      </c>
      <c r="AX869" s="1">
        <f>1.08*100000000</f>
        <v>108000000</v>
      </c>
      <c r="AY869" s="10">
        <f t="shared" si="430"/>
        <v>-0.71037811745776347</v>
      </c>
      <c r="AZ869" s="6" t="s">
        <v>9551</v>
      </c>
      <c r="BA869" s="6" t="str">
        <f t="shared" si="414"/>
        <v>=3.729*100000000</v>
      </c>
      <c r="BB869" s="1">
        <f>3.729*100000000</f>
        <v>372900000</v>
      </c>
      <c r="BC869" s="8">
        <f t="shared" si="431"/>
        <v>0.26064908722109531</v>
      </c>
      <c r="BD869" s="6" t="s">
        <v>6814</v>
      </c>
      <c r="BE869" s="6" t="str">
        <f t="shared" si="415"/>
        <v>=2.958*100000000</v>
      </c>
      <c r="BF869" s="1">
        <f>2.958*100000000</f>
        <v>295800000</v>
      </c>
      <c r="BG869" s="8">
        <f t="shared" si="432"/>
        <v>0.64333333333333331</v>
      </c>
      <c r="BH869" s="6" t="s">
        <v>4281</v>
      </c>
      <c r="BI869" s="6" t="str">
        <f t="shared" si="416"/>
        <v>=1.800*100000000</v>
      </c>
      <c r="BJ869" s="1">
        <f>1.8*100000000</f>
        <v>180000000</v>
      </c>
      <c r="BK869" s="7" t="s">
        <v>9552</v>
      </c>
      <c r="BL869" s="1" t="str">
        <f t="shared" si="418"/>
        <v>=8638*10000</v>
      </c>
      <c r="BM869" s="16">
        <f t="shared" si="433"/>
        <v>1.0838156980782589</v>
      </c>
      <c r="BN869" s="1">
        <f>8638*10000</f>
        <v>86380000</v>
      </c>
    </row>
    <row r="870" spans="1:66">
      <c r="A870" s="17">
        <v>219</v>
      </c>
      <c r="B870">
        <v>600705</v>
      </c>
      <c r="C870" t="s">
        <v>31</v>
      </c>
      <c r="D870" s="6" t="s">
        <v>9553</v>
      </c>
      <c r="E870" s="7" t="str">
        <f t="shared" si="417"/>
        <v>=105.6*100000000</v>
      </c>
      <c r="F870" s="1">
        <f>105.6*100000000</f>
        <v>10560000000</v>
      </c>
      <c r="G870" s="8">
        <f t="shared" si="419"/>
        <v>0.39941690962099141</v>
      </c>
      <c r="H870" s="6" t="s">
        <v>9554</v>
      </c>
      <c r="I870" s="6" t="str">
        <f t="shared" si="403"/>
        <v>=75.46*100000000</v>
      </c>
      <c r="J870" s="1">
        <f>75.46*100000000</f>
        <v>7545999999.999999</v>
      </c>
      <c r="K870" s="10">
        <f t="shared" si="420"/>
        <v>0.57602339181286533</v>
      </c>
      <c r="L870" s="6" t="s">
        <v>9555</v>
      </c>
      <c r="M870" s="6" t="str">
        <f t="shared" si="404"/>
        <v>=47.88*100000000</v>
      </c>
      <c r="N870" s="1">
        <f>47.88*100000000</f>
        <v>4788000000</v>
      </c>
      <c r="O870" s="8">
        <f t="shared" si="421"/>
        <v>1.1694608065246941</v>
      </c>
      <c r="P870" s="6" t="s">
        <v>9556</v>
      </c>
      <c r="Q870" s="6" t="str">
        <f t="shared" si="405"/>
        <v>=22.07*100000000</v>
      </c>
      <c r="R870" s="11">
        <f>22.07*100000000</f>
        <v>2207000000</v>
      </c>
      <c r="S870" s="8">
        <f t="shared" si="422"/>
        <v>-0.78635043562439499</v>
      </c>
      <c r="T870" s="6" t="s">
        <v>9557</v>
      </c>
      <c r="U870" s="6" t="str">
        <f t="shared" si="406"/>
        <v>=103.3*100000000</v>
      </c>
      <c r="V870" s="1">
        <f>103.3*100000000</f>
        <v>10330000000</v>
      </c>
      <c r="W870" s="8">
        <f t="shared" si="423"/>
        <v>0.37495008651670436</v>
      </c>
      <c r="X870" s="6" t="s">
        <v>9558</v>
      </c>
      <c r="Y870" s="6" t="str">
        <f t="shared" si="407"/>
        <v>=75.13*100000000</v>
      </c>
      <c r="Z870" s="1">
        <f>75.13*100000000</f>
        <v>7513000000</v>
      </c>
      <c r="AA870" s="8">
        <f t="shared" si="424"/>
        <v>0.51931243680485339</v>
      </c>
      <c r="AB870" s="6" t="s">
        <v>6947</v>
      </c>
      <c r="AC870" s="6" t="str">
        <f t="shared" si="408"/>
        <v>=49.45*100000000</v>
      </c>
      <c r="AD870" s="1">
        <f>49.45*100000000</f>
        <v>4945000000</v>
      </c>
      <c r="AE870" s="8">
        <f t="shared" si="425"/>
        <v>1.2405980969642048</v>
      </c>
      <c r="AF870" s="6" t="s">
        <v>9556</v>
      </c>
      <c r="AG870" s="6" t="str">
        <f t="shared" si="409"/>
        <v>=22.07*100000000</v>
      </c>
      <c r="AH870" s="1">
        <f>22.07*100000000</f>
        <v>2207000000</v>
      </c>
      <c r="AI870" s="8">
        <f t="shared" si="426"/>
        <v>-0.78860153256704979</v>
      </c>
      <c r="AJ870" s="6" t="s">
        <v>9559</v>
      </c>
      <c r="AK870" s="6" t="str">
        <f t="shared" si="410"/>
        <v>=104.4*100000000</v>
      </c>
      <c r="AL870" s="1">
        <f>104.4*100000000</f>
        <v>10440000000</v>
      </c>
      <c r="AM870" s="8">
        <f t="shared" si="427"/>
        <v>0.413102328099621</v>
      </c>
      <c r="AN870" s="6" t="s">
        <v>9560</v>
      </c>
      <c r="AO870" s="6" t="str">
        <f t="shared" si="411"/>
        <v>=73.88*100000000</v>
      </c>
      <c r="AP870" s="1">
        <f>73.88*100000000</f>
        <v>7388000000</v>
      </c>
      <c r="AQ870" s="8">
        <f t="shared" si="428"/>
        <v>0.50284784377542713</v>
      </c>
      <c r="AR870" s="6" t="s">
        <v>9561</v>
      </c>
      <c r="AS870" s="6" t="str">
        <f t="shared" si="412"/>
        <v>=49.16*100000000</v>
      </c>
      <c r="AT870" s="1">
        <f>49.16*100000000</f>
        <v>4916000000</v>
      </c>
      <c r="AU870" s="8">
        <f t="shared" si="429"/>
        <v>1.3589251439539347</v>
      </c>
      <c r="AV870" s="6" t="s">
        <v>9230</v>
      </c>
      <c r="AW870" s="6" t="str">
        <f t="shared" si="413"/>
        <v>=20.84*100000000</v>
      </c>
      <c r="AX870" s="1">
        <f>20.84*100000000</f>
        <v>2084000000</v>
      </c>
      <c r="AY870" s="10">
        <f t="shared" si="430"/>
        <v>-0.72023090347697671</v>
      </c>
      <c r="AZ870" s="6" t="s">
        <v>9562</v>
      </c>
      <c r="BA870" s="6" t="str">
        <f t="shared" si="414"/>
        <v>=74.49*100000000</v>
      </c>
      <c r="BB870" s="1">
        <f>74.49*100000000</f>
        <v>7448999999.999999</v>
      </c>
      <c r="BC870" s="8">
        <f t="shared" si="431"/>
        <v>0.4413699690402475</v>
      </c>
      <c r="BD870" s="6" t="s">
        <v>8145</v>
      </c>
      <c r="BE870" s="6" t="str">
        <f t="shared" si="415"/>
        <v>=51.68*100000000</v>
      </c>
      <c r="BF870" s="1">
        <f>51.68*100000000</f>
        <v>5168000000</v>
      </c>
      <c r="BG870" s="8">
        <f t="shared" si="432"/>
        <v>0.59015384615384614</v>
      </c>
      <c r="BH870" s="6" t="s">
        <v>8222</v>
      </c>
      <c r="BI870" s="6" t="str">
        <f t="shared" si="416"/>
        <v>=32.50*100000000</v>
      </c>
      <c r="BJ870" s="1">
        <f>32.5*100000000</f>
        <v>3250000000</v>
      </c>
      <c r="BK870" s="6" t="s">
        <v>9563</v>
      </c>
      <c r="BL870" s="1" t="str">
        <f t="shared" si="418"/>
        <v>=14.71*100000000</v>
      </c>
      <c r="BM870" s="16">
        <f t="shared" si="433"/>
        <v>1.2093813732154997</v>
      </c>
      <c r="BN870" s="1">
        <f>14.71*100000000</f>
        <v>1471000000</v>
      </c>
    </row>
    <row r="871" spans="1:66">
      <c r="A871" s="18"/>
      <c r="B871">
        <v>600705</v>
      </c>
      <c r="C871" t="s">
        <v>48</v>
      </c>
      <c r="D871" s="6" t="s">
        <v>9564</v>
      </c>
      <c r="E871" s="7" t="str">
        <f t="shared" si="417"/>
        <v>=74.16*100000000</v>
      </c>
      <c r="F871" s="1">
        <f>74.16*100000000</f>
        <v>7416000000</v>
      </c>
      <c r="G871" s="8">
        <f t="shared" si="419"/>
        <v>0.28749999999999998</v>
      </c>
      <c r="H871" s="6" t="s">
        <v>9565</v>
      </c>
      <c r="I871" s="6" t="str">
        <f t="shared" si="403"/>
        <v>=57.60*100000000</v>
      </c>
      <c r="J871" s="1">
        <f>57.6*100000000</f>
        <v>5760000000</v>
      </c>
      <c r="K871" s="10">
        <f t="shared" si="420"/>
        <v>0.58984267181893479</v>
      </c>
      <c r="L871" s="6" t="s">
        <v>9566</v>
      </c>
      <c r="M871" s="6" t="str">
        <f t="shared" si="404"/>
        <v>=36.23*100000000</v>
      </c>
      <c r="N871" s="1">
        <f>36.23*100000000</f>
        <v>3622999999.9999995</v>
      </c>
      <c r="O871" s="8">
        <f t="shared" si="421"/>
        <v>1.421791443850267</v>
      </c>
      <c r="P871" s="6" t="s">
        <v>7094</v>
      </c>
      <c r="Q871" s="6" t="str">
        <f t="shared" si="405"/>
        <v>=14.96*100000000</v>
      </c>
      <c r="R871" s="11">
        <f>14.96*100000000</f>
        <v>1496000000</v>
      </c>
      <c r="S871" s="8">
        <f t="shared" si="422"/>
        <v>-0.78058081548841307</v>
      </c>
      <c r="T871" s="6" t="s">
        <v>9567</v>
      </c>
      <c r="U871" s="6" t="str">
        <f t="shared" si="406"/>
        <v>=68.18*100000000</v>
      </c>
      <c r="V871" s="1">
        <f>68.18*100000000</f>
        <v>6818000000.000001</v>
      </c>
      <c r="W871" s="8">
        <f t="shared" si="423"/>
        <v>0.25816571323122367</v>
      </c>
      <c r="X871" s="6" t="s">
        <v>9568</v>
      </c>
      <c r="Y871" s="6" t="str">
        <f t="shared" si="407"/>
        <v>=54.19*100000000</v>
      </c>
      <c r="Z871" s="1">
        <f>54.19*100000000</f>
        <v>5419000000</v>
      </c>
      <c r="AA871" s="8">
        <f t="shared" si="424"/>
        <v>0.6137581893984515</v>
      </c>
      <c r="AB871" s="6" t="s">
        <v>4074</v>
      </c>
      <c r="AC871" s="6" t="str">
        <f t="shared" si="408"/>
        <v>=33.58*100000000</v>
      </c>
      <c r="AD871" s="1">
        <f>33.58*100000000</f>
        <v>3358000000</v>
      </c>
      <c r="AE871" s="8">
        <f t="shared" si="425"/>
        <v>1.2416555407209613</v>
      </c>
      <c r="AF871" s="6" t="s">
        <v>9569</v>
      </c>
      <c r="AG871" s="6" t="str">
        <f t="shared" si="409"/>
        <v>=14.98*100000000</v>
      </c>
      <c r="AH871" s="1">
        <f>14.98*100000000</f>
        <v>1498000000</v>
      </c>
      <c r="AI871" s="8">
        <f t="shared" si="426"/>
        <v>-0.76372239747634074</v>
      </c>
      <c r="AJ871" s="6" t="s">
        <v>9570</v>
      </c>
      <c r="AK871" s="6" t="str">
        <f t="shared" si="410"/>
        <v>=63.40*100000000</v>
      </c>
      <c r="AL871" s="1">
        <f>63.4*100000000</f>
        <v>6340000000</v>
      </c>
      <c r="AM871" s="8">
        <f t="shared" si="427"/>
        <v>0.34864922356945333</v>
      </c>
      <c r="AN871" s="6" t="s">
        <v>9571</v>
      </c>
      <c r="AO871" s="6" t="str">
        <f t="shared" si="411"/>
        <v>=47.01*100000000</v>
      </c>
      <c r="AP871" s="1">
        <f>47.01*100000000</f>
        <v>4701000000</v>
      </c>
      <c r="AQ871" s="8">
        <f t="shared" si="428"/>
        <v>0.48907190370605003</v>
      </c>
      <c r="AR871" s="6" t="s">
        <v>5411</v>
      </c>
      <c r="AS871" s="6" t="str">
        <f t="shared" si="412"/>
        <v>=31.57*100000000</v>
      </c>
      <c r="AT871" s="1">
        <f>31.57*100000000</f>
        <v>3157000000</v>
      </c>
      <c r="AU871" s="8">
        <f t="shared" si="429"/>
        <v>1.1216397849462365</v>
      </c>
      <c r="AV871" s="6" t="s">
        <v>9572</v>
      </c>
      <c r="AW871" s="6" t="str">
        <f t="shared" si="413"/>
        <v>=14.88*100000000</v>
      </c>
      <c r="AX871" s="1">
        <f>14.88*100000000</f>
        <v>1488000000</v>
      </c>
      <c r="AY871" s="10">
        <f t="shared" si="430"/>
        <v>-0.72030075187969922</v>
      </c>
      <c r="AZ871" s="6" t="s">
        <v>5851</v>
      </c>
      <c r="BA871" s="6" t="str">
        <f t="shared" si="414"/>
        <v>=53.20*100000000</v>
      </c>
      <c r="BB871" s="1">
        <f>53.2*100000000</f>
        <v>5320000000</v>
      </c>
      <c r="BC871" s="8">
        <f t="shared" si="431"/>
        <v>0.36096188283448438</v>
      </c>
      <c r="BD871" s="6" t="s">
        <v>9573</v>
      </c>
      <c r="BE871" s="6" t="str">
        <f t="shared" si="415"/>
        <v>=39.09*100000000</v>
      </c>
      <c r="BF871" s="1">
        <f>39.09*100000000</f>
        <v>3909000000.0000005</v>
      </c>
      <c r="BG871" s="8">
        <f t="shared" si="432"/>
        <v>0.44084039808330278</v>
      </c>
      <c r="BH871" s="6" t="s">
        <v>8122</v>
      </c>
      <c r="BI871" s="6" t="str">
        <f t="shared" si="416"/>
        <v>=27.13*100000000</v>
      </c>
      <c r="BJ871" s="1">
        <f>27.13*100000000</f>
        <v>2713000000</v>
      </c>
      <c r="BK871" s="6" t="s">
        <v>5912</v>
      </c>
      <c r="BL871" s="1" t="str">
        <f t="shared" si="418"/>
        <v>=13.56*100000000</v>
      </c>
      <c r="BM871" s="16">
        <f t="shared" si="433"/>
        <v>1.0007374631268438</v>
      </c>
      <c r="BN871" s="1">
        <f>13.56*100000000</f>
        <v>1356000000</v>
      </c>
    </row>
    <row r="872" spans="1:66">
      <c r="A872" s="18"/>
      <c r="B872">
        <v>600705</v>
      </c>
      <c r="C872" t="s">
        <v>58</v>
      </c>
      <c r="D872" s="6" t="s">
        <v>9574</v>
      </c>
      <c r="E872" s="7" t="str">
        <f t="shared" si="417"/>
        <v>=74.90*100000000</v>
      </c>
      <c r="F872" s="1">
        <f>74.9*100000000</f>
        <v>7490000000.000001</v>
      </c>
      <c r="G872" s="8">
        <f t="shared" si="419"/>
        <v>0.2851750171585451</v>
      </c>
      <c r="H872" s="6" t="s">
        <v>9575</v>
      </c>
      <c r="I872" s="6" t="str">
        <f t="shared" si="403"/>
        <v>=58.28*100000000</v>
      </c>
      <c r="J872" s="1">
        <f>58.28*100000000</f>
        <v>5828000000</v>
      </c>
      <c r="K872" s="10">
        <f t="shared" si="420"/>
        <v>0.59540104024089791</v>
      </c>
      <c r="L872" s="6" t="s">
        <v>9576</v>
      </c>
      <c r="M872" s="6" t="str">
        <f t="shared" si="404"/>
        <v>=36.53*100000000</v>
      </c>
      <c r="N872" s="1">
        <f>36.53*100000000</f>
        <v>3653000000</v>
      </c>
      <c r="O872" s="8">
        <f t="shared" si="421"/>
        <v>1.3907068062827226</v>
      </c>
      <c r="P872" s="6" t="s">
        <v>54</v>
      </c>
      <c r="Q872" s="6" t="str">
        <f t="shared" si="405"/>
        <v>=15.28*100000000</v>
      </c>
      <c r="R872" s="11">
        <f>15.28*100000000</f>
        <v>1528000000</v>
      </c>
      <c r="S872" s="8">
        <f t="shared" si="422"/>
        <v>-0.77624835261385272</v>
      </c>
      <c r="T872" s="6" t="s">
        <v>5085</v>
      </c>
      <c r="U872" s="6" t="str">
        <f t="shared" si="406"/>
        <v>=68.29*100000000</v>
      </c>
      <c r="V872" s="1">
        <f>68.29*100000000</f>
        <v>6829000000.000001</v>
      </c>
      <c r="W872" s="8">
        <f t="shared" si="423"/>
        <v>0.25903392330383496</v>
      </c>
      <c r="X872" s="6" t="s">
        <v>6352</v>
      </c>
      <c r="Y872" s="6" t="str">
        <f t="shared" si="407"/>
        <v>=54.24*100000000</v>
      </c>
      <c r="Z872" s="1">
        <f>54.24*100000000</f>
        <v>5424000000</v>
      </c>
      <c r="AA872" s="8">
        <f t="shared" si="424"/>
        <v>0.61332540154669857</v>
      </c>
      <c r="AB872" s="6" t="s">
        <v>9577</v>
      </c>
      <c r="AC872" s="6" t="str">
        <f t="shared" si="408"/>
        <v>=33.62*100000000</v>
      </c>
      <c r="AD872" s="1">
        <f>33.62*100000000</f>
        <v>3361999999.9999995</v>
      </c>
      <c r="AE872" s="8">
        <f t="shared" si="425"/>
        <v>1.2458249832999329</v>
      </c>
      <c r="AF872" s="6" t="s">
        <v>1738</v>
      </c>
      <c r="AG872" s="6" t="str">
        <f t="shared" si="409"/>
        <v>=14.97*100000000</v>
      </c>
      <c r="AH872" s="1">
        <f>14.97*100000000</f>
        <v>1497000000</v>
      </c>
      <c r="AI872" s="8">
        <f t="shared" si="426"/>
        <v>-0.76649508656995791</v>
      </c>
      <c r="AJ872" s="6" t="s">
        <v>9578</v>
      </c>
      <c r="AK872" s="6" t="str">
        <f t="shared" si="410"/>
        <v>=64.11*100000000</v>
      </c>
      <c r="AL872" s="1">
        <f>64.11*100000000</f>
        <v>6411000000</v>
      </c>
      <c r="AM872" s="8">
        <f t="shared" si="427"/>
        <v>0.34233668341708545</v>
      </c>
      <c r="AN872" s="6" t="s">
        <v>9579</v>
      </c>
      <c r="AO872" s="6" t="str">
        <f t="shared" si="411"/>
        <v>=47.76*100000000</v>
      </c>
      <c r="AP872" s="1">
        <f>47.76*100000000</f>
        <v>4776000000</v>
      </c>
      <c r="AQ872" s="8">
        <f t="shared" si="428"/>
        <v>0.49156777014365999</v>
      </c>
      <c r="AR872" s="6" t="s">
        <v>808</v>
      </c>
      <c r="AS872" s="6" t="str">
        <f t="shared" si="412"/>
        <v>=32.02*100000000</v>
      </c>
      <c r="AT872" s="1">
        <f>32.02*100000000</f>
        <v>3202000000.0000005</v>
      </c>
      <c r="AU872" s="8">
        <f t="shared" si="429"/>
        <v>1.0900783289817235</v>
      </c>
      <c r="AV872" s="6" t="s">
        <v>4231</v>
      </c>
      <c r="AW872" s="6" t="str">
        <f t="shared" si="413"/>
        <v>=15.32*100000000</v>
      </c>
      <c r="AX872" s="1">
        <f>15.32*100000000</f>
        <v>1532000000</v>
      </c>
      <c r="AY872" s="10">
        <f t="shared" si="430"/>
        <v>-0.71267816954238561</v>
      </c>
      <c r="AZ872" s="6" t="s">
        <v>9580</v>
      </c>
      <c r="BA872" s="6" t="str">
        <f t="shared" si="414"/>
        <v>=53.32*100000000</v>
      </c>
      <c r="BB872" s="1">
        <f>53.32*100000000</f>
        <v>5332000000</v>
      </c>
      <c r="BC872" s="8">
        <f t="shared" si="431"/>
        <v>0.36089841755997959</v>
      </c>
      <c r="BD872" s="6" t="s">
        <v>4219</v>
      </c>
      <c r="BE872" s="6" t="str">
        <f t="shared" si="415"/>
        <v>=39.18*100000000</v>
      </c>
      <c r="BF872" s="1">
        <f>39.18*100000000</f>
        <v>3918000000</v>
      </c>
      <c r="BG872" s="8">
        <f t="shared" si="432"/>
        <v>0.43938280675973551</v>
      </c>
      <c r="BH872" s="6" t="s">
        <v>9581</v>
      </c>
      <c r="BI872" s="6" t="str">
        <f t="shared" si="416"/>
        <v>=27.22*100000000</v>
      </c>
      <c r="BJ872" s="1">
        <f>27.22*100000000</f>
        <v>2722000000</v>
      </c>
      <c r="BK872" s="6" t="s">
        <v>2283</v>
      </c>
      <c r="BL872" s="1" t="str">
        <f t="shared" si="418"/>
        <v>=13.57*100000000</v>
      </c>
      <c r="BM872" s="16">
        <f t="shared" si="433"/>
        <v>1.0058953574060427</v>
      </c>
      <c r="BN872" s="1">
        <f>13.57*100000000</f>
        <v>1357000000</v>
      </c>
    </row>
    <row r="873" spans="1:66">
      <c r="A873" s="19"/>
      <c r="B873">
        <v>600705</v>
      </c>
      <c r="C873" t="s">
        <v>68</v>
      </c>
      <c r="D873" s="6" t="s">
        <v>9582</v>
      </c>
      <c r="E873" s="7" t="str">
        <f t="shared" si="417"/>
        <v>=61.17*100000000</v>
      </c>
      <c r="F873" s="1">
        <f>61.17*100000000</f>
        <v>6117000000</v>
      </c>
      <c r="G873" s="8">
        <f t="shared" si="419"/>
        <v>0.39657534246575343</v>
      </c>
      <c r="H873" s="6" t="s">
        <v>9583</v>
      </c>
      <c r="I873" s="6" t="str">
        <f t="shared" si="403"/>
        <v>=43.80*100000000</v>
      </c>
      <c r="J873" s="1">
        <f>43.8*100000000</f>
        <v>4380000000</v>
      </c>
      <c r="K873" s="10">
        <f t="shared" si="420"/>
        <v>0.61862527716186255</v>
      </c>
      <c r="L873" s="6" t="s">
        <v>9584</v>
      </c>
      <c r="M873" s="6" t="str">
        <f t="shared" si="404"/>
        <v>=27.06*100000000</v>
      </c>
      <c r="N873" s="1">
        <f>27.06*100000000</f>
        <v>2706000000</v>
      </c>
      <c r="O873" s="8">
        <f t="shared" si="421"/>
        <v>1.3820422535211268</v>
      </c>
      <c r="P873" s="6" t="s">
        <v>5038</v>
      </c>
      <c r="Q873" s="6" t="str">
        <f t="shared" si="405"/>
        <v>=11.36*100000000</v>
      </c>
      <c r="R873" s="11">
        <f>11.36*100000000</f>
        <v>1136000000</v>
      </c>
      <c r="S873" s="8">
        <f t="shared" si="422"/>
        <v>-0.7844402277039848</v>
      </c>
      <c r="T873" s="6" t="s">
        <v>9585</v>
      </c>
      <c r="U873" s="6" t="str">
        <f t="shared" si="406"/>
        <v>=52.70*100000000</v>
      </c>
      <c r="V873" s="1">
        <f>52.7*100000000</f>
        <v>5270000000</v>
      </c>
      <c r="W873" s="8">
        <f t="shared" si="423"/>
        <v>0.32080200501253131</v>
      </c>
      <c r="X873" s="6" t="s">
        <v>3958</v>
      </c>
      <c r="Y873" s="6" t="str">
        <f t="shared" si="407"/>
        <v>=39.90*100000000</v>
      </c>
      <c r="Z873" s="1">
        <f>39.9*100000000</f>
        <v>3990000000</v>
      </c>
      <c r="AA873" s="8">
        <f t="shared" si="424"/>
        <v>0.6088709677419355</v>
      </c>
      <c r="AB873" s="6" t="s">
        <v>9586</v>
      </c>
      <c r="AC873" s="6" t="str">
        <f t="shared" si="408"/>
        <v>=24.80*100000000</v>
      </c>
      <c r="AD873" s="1">
        <f>24.8*100000000</f>
        <v>2480000000</v>
      </c>
      <c r="AE873" s="8">
        <f t="shared" si="425"/>
        <v>1.2024866785079928</v>
      </c>
      <c r="AF873" s="6" t="s">
        <v>4245</v>
      </c>
      <c r="AG873" s="6" t="str">
        <f t="shared" si="409"/>
        <v>=11.26*100000000</v>
      </c>
      <c r="AH873" s="1">
        <f>11.26*100000000</f>
        <v>1126000000</v>
      </c>
      <c r="AI873" s="8">
        <f t="shared" si="426"/>
        <v>-0.76164267569856059</v>
      </c>
      <c r="AJ873" s="6" t="s">
        <v>9587</v>
      </c>
      <c r="AK873" s="6" t="str">
        <f t="shared" si="410"/>
        <v>=47.24*100000000</v>
      </c>
      <c r="AL873" s="1">
        <f>47.24*100000000</f>
        <v>4724000000</v>
      </c>
      <c r="AM873" s="8">
        <f t="shared" si="427"/>
        <v>0.36492343253394971</v>
      </c>
      <c r="AN873" s="6" t="s">
        <v>9588</v>
      </c>
      <c r="AO873" s="6" t="str">
        <f t="shared" si="411"/>
        <v>=34.61*100000000</v>
      </c>
      <c r="AP873" s="1">
        <f>34.61*100000000</f>
        <v>3461000000</v>
      </c>
      <c r="AQ873" s="8">
        <f t="shared" si="428"/>
        <v>0.43908523908523911</v>
      </c>
      <c r="AR873" s="6" t="s">
        <v>830</v>
      </c>
      <c r="AS873" s="6" t="str">
        <f t="shared" si="412"/>
        <v>=24.05*100000000</v>
      </c>
      <c r="AT873" s="1">
        <f>24.05*100000000</f>
        <v>2405000000</v>
      </c>
      <c r="AU873" s="8">
        <f t="shared" si="429"/>
        <v>1.0949477351916377</v>
      </c>
      <c r="AV873" s="6" t="s">
        <v>7424</v>
      </c>
      <c r="AW873" s="6" t="str">
        <f t="shared" si="413"/>
        <v>=11.48*100000000</v>
      </c>
      <c r="AX873" s="1">
        <f>11.48*100000000</f>
        <v>1148000000</v>
      </c>
      <c r="AY873" s="10">
        <f t="shared" si="430"/>
        <v>-0.70855547093170856</v>
      </c>
      <c r="AZ873" s="6" t="s">
        <v>9158</v>
      </c>
      <c r="BA873" s="6" t="str">
        <f t="shared" si="414"/>
        <v>=39.39*100000000</v>
      </c>
      <c r="BB873" s="1">
        <f>39.39*100000000</f>
        <v>3939000000</v>
      </c>
      <c r="BC873" s="8">
        <f t="shared" si="431"/>
        <v>0.36865879082696318</v>
      </c>
      <c r="BD873" s="6" t="s">
        <v>9589</v>
      </c>
      <c r="BE873" s="6" t="str">
        <f t="shared" si="415"/>
        <v>=28.78*100000000</v>
      </c>
      <c r="BF873" s="1">
        <f>28.78*100000000</f>
        <v>2878000000</v>
      </c>
      <c r="BG873" s="8">
        <f t="shared" si="432"/>
        <v>0.40390243902439027</v>
      </c>
      <c r="BH873" s="6" t="s">
        <v>4476</v>
      </c>
      <c r="BI873" s="6" t="str">
        <f t="shared" si="416"/>
        <v>=20.50*100000000</v>
      </c>
      <c r="BJ873" s="1">
        <f>20.5*100000000</f>
        <v>2050000000</v>
      </c>
      <c r="BK873" s="6" t="s">
        <v>1188</v>
      </c>
      <c r="BL873" s="1" t="str">
        <f t="shared" si="418"/>
        <v>=10.38*100000000</v>
      </c>
      <c r="BM873" s="16">
        <f t="shared" si="433"/>
        <v>0.97495183044315969</v>
      </c>
      <c r="BN873" s="1">
        <f>10.38*100000000</f>
        <v>1038000000.0000001</v>
      </c>
    </row>
    <row r="874" spans="1:66">
      <c r="A874" s="17">
        <v>220</v>
      </c>
      <c r="B874">
        <v>600710</v>
      </c>
      <c r="C874" t="s">
        <v>31</v>
      </c>
      <c r="D874" s="6" t="s">
        <v>947</v>
      </c>
      <c r="E874" s="7" t="str">
        <f t="shared" si="417"/>
        <v>=1687*100000000</v>
      </c>
      <c r="F874" s="1">
        <f>1687*100000000</f>
        <v>168700000000</v>
      </c>
      <c r="G874" s="8">
        <f t="shared" si="419"/>
        <v>0.35829307568438001</v>
      </c>
      <c r="H874" s="6" t="s">
        <v>9590</v>
      </c>
      <c r="I874" s="6" t="str">
        <f t="shared" si="403"/>
        <v>=1242*100000000</v>
      </c>
      <c r="J874" s="1">
        <f>1242*100000000</f>
        <v>124200000000</v>
      </c>
      <c r="K874" s="10">
        <f t="shared" si="420"/>
        <v>0.56818181818181823</v>
      </c>
      <c r="L874" s="6" t="s">
        <v>9591</v>
      </c>
      <c r="M874" s="6" t="str">
        <f t="shared" si="404"/>
        <v>=792.0*100000000</v>
      </c>
      <c r="N874" s="1">
        <f>792*100000000</f>
        <v>79200000000</v>
      </c>
      <c r="O874" s="8">
        <f t="shared" si="421"/>
        <v>1.4</v>
      </c>
      <c r="P874" s="6" t="s">
        <v>9592</v>
      </c>
      <c r="Q874" s="6" t="str">
        <f t="shared" si="405"/>
        <v>=330.0*100000000</v>
      </c>
      <c r="R874" s="11">
        <f>330*100000000</f>
        <v>33000000000</v>
      </c>
      <c r="S874" s="8">
        <f t="shared" si="422"/>
        <v>-0.66528045440714068</v>
      </c>
      <c r="T874" s="6" t="s">
        <v>9593</v>
      </c>
      <c r="U874" s="6" t="str">
        <f t="shared" si="406"/>
        <v>=985.9*100000000</v>
      </c>
      <c r="V874" s="1">
        <f>985.9*100000000</f>
        <v>98590000000</v>
      </c>
      <c r="W874" s="8">
        <f t="shared" si="423"/>
        <v>0.39943222143364088</v>
      </c>
      <c r="X874" s="6" t="s">
        <v>9594</v>
      </c>
      <c r="Y874" s="6" t="str">
        <f t="shared" si="407"/>
        <v>=704.5*100000000</v>
      </c>
      <c r="Z874" s="1">
        <f>704.5*100000000</f>
        <v>70450000000</v>
      </c>
      <c r="AA874" s="8">
        <f t="shared" si="424"/>
        <v>0.61249713893339441</v>
      </c>
      <c r="AB874" s="6" t="s">
        <v>9595</v>
      </c>
      <c r="AC874" s="6" t="str">
        <f t="shared" si="408"/>
        <v>=436.9*100000000</v>
      </c>
      <c r="AD874" s="1">
        <f>436.9*100000000</f>
        <v>43690000000</v>
      </c>
      <c r="AE874" s="8">
        <f t="shared" si="425"/>
        <v>1.7136645962732919</v>
      </c>
      <c r="AF874" s="6" t="s">
        <v>9596</v>
      </c>
      <c r="AG874" s="6" t="str">
        <f t="shared" si="409"/>
        <v>=161.0*100000000</v>
      </c>
      <c r="AH874" s="1">
        <f>161*100000000</f>
        <v>16100000000</v>
      </c>
      <c r="AI874" s="8">
        <f t="shared" si="426"/>
        <v>-0.81206956927745999</v>
      </c>
      <c r="AJ874" s="6" t="s">
        <v>9597</v>
      </c>
      <c r="AK874" s="6" t="str">
        <f t="shared" si="410"/>
        <v>=856.7*100000000</v>
      </c>
      <c r="AL874" s="1">
        <f>856.7*100000000</f>
        <v>85670000000</v>
      </c>
      <c r="AM874" s="8">
        <f t="shared" si="427"/>
        <v>0.32288449660284124</v>
      </c>
      <c r="AN874" s="6" t="s">
        <v>9598</v>
      </c>
      <c r="AO874" s="6" t="str">
        <f t="shared" si="411"/>
        <v>=647.6*100000000</v>
      </c>
      <c r="AP874" s="1">
        <f>647.6*100000000</f>
        <v>64760000000</v>
      </c>
      <c r="AQ874" s="8">
        <f t="shared" si="428"/>
        <v>0.58298704473233931</v>
      </c>
      <c r="AR874" s="6" t="s">
        <v>9599</v>
      </c>
      <c r="AS874" s="6" t="str">
        <f t="shared" si="412"/>
        <v>=409.1*100000000</v>
      </c>
      <c r="AT874" s="1">
        <f>409.1*100000000</f>
        <v>40910000000</v>
      </c>
      <c r="AU874" s="8">
        <f t="shared" si="429"/>
        <v>1.1841964762413242</v>
      </c>
      <c r="AV874" s="6" t="s">
        <v>9600</v>
      </c>
      <c r="AW874" s="6" t="str">
        <f t="shared" si="413"/>
        <v>=187.3*100000000</v>
      </c>
      <c r="AX874" s="1">
        <f>187.3*100000000</f>
        <v>18730000000</v>
      </c>
      <c r="AY874" s="10">
        <f t="shared" si="430"/>
        <v>-0.7714738897022938</v>
      </c>
      <c r="AZ874" s="6" t="s">
        <v>9601</v>
      </c>
      <c r="BA874" s="6" t="str">
        <f t="shared" si="414"/>
        <v>=819.6*100000000</v>
      </c>
      <c r="BB874" s="1">
        <f>819.6*100000000</f>
        <v>81960000000</v>
      </c>
      <c r="BC874" s="8">
        <f t="shared" si="431"/>
        <v>0.38586405140344943</v>
      </c>
      <c r="BD874" s="6" t="s">
        <v>9602</v>
      </c>
      <c r="BE874" s="6" t="str">
        <f t="shared" si="415"/>
        <v>=591.4*100000000</v>
      </c>
      <c r="BF874" s="1">
        <f>591.4*100000000</f>
        <v>59140000000</v>
      </c>
      <c r="BG874" s="8">
        <f t="shared" si="432"/>
        <v>0.49456659085165527</v>
      </c>
      <c r="BH874" s="6" t="s">
        <v>7224</v>
      </c>
      <c r="BI874" s="6" t="str">
        <f t="shared" si="416"/>
        <v>=395.7*100000000</v>
      </c>
      <c r="BJ874" s="1">
        <f>395.7*100000000</f>
        <v>39570000000</v>
      </c>
      <c r="BK874" s="6" t="s">
        <v>9603</v>
      </c>
      <c r="BL874" s="1" t="str">
        <f t="shared" si="418"/>
        <v>=173.3*100000000</v>
      </c>
      <c r="BM874" s="16">
        <f t="shared" si="433"/>
        <v>1.2833237160992499</v>
      </c>
      <c r="BN874" s="1">
        <f>173.3*100000000</f>
        <v>17330000000</v>
      </c>
    </row>
    <row r="875" spans="1:66">
      <c r="A875" s="18"/>
      <c r="B875">
        <v>600710</v>
      </c>
      <c r="C875" t="s">
        <v>48</v>
      </c>
      <c r="D875" s="6" t="s">
        <v>9604</v>
      </c>
      <c r="E875" s="7" t="str">
        <f t="shared" si="417"/>
        <v>=31.90*100000000</v>
      </c>
      <c r="F875" s="1">
        <f>31.9*100000000</f>
        <v>3190000000</v>
      </c>
      <c r="G875" s="8">
        <f t="shared" si="419"/>
        <v>0.24366471734892786</v>
      </c>
      <c r="H875" s="6" t="s">
        <v>8180</v>
      </c>
      <c r="I875" s="6" t="str">
        <f t="shared" si="403"/>
        <v>=25.65*100000000</v>
      </c>
      <c r="J875" s="1">
        <f>25.65*100000000</f>
        <v>2565000000</v>
      </c>
      <c r="K875" s="10">
        <f t="shared" si="420"/>
        <v>0.77385892116182575</v>
      </c>
      <c r="L875" s="6" t="s">
        <v>7955</v>
      </c>
      <c r="M875" s="6" t="str">
        <f t="shared" si="404"/>
        <v>=14.46*100000000</v>
      </c>
      <c r="N875" s="1">
        <f>14.46*100000000</f>
        <v>1446000000</v>
      </c>
      <c r="O875" s="8">
        <f t="shared" si="421"/>
        <v>1.0938314509122502</v>
      </c>
      <c r="P875" s="6" t="s">
        <v>9605</v>
      </c>
      <c r="Q875" s="6" t="str">
        <f t="shared" si="405"/>
        <v>=6.906*100000000</v>
      </c>
      <c r="R875" s="11">
        <f>6.906*100000000</f>
        <v>690600000</v>
      </c>
      <c r="S875" s="8">
        <f t="shared" si="422"/>
        <v>-0.69934697431432302</v>
      </c>
      <c r="T875" s="6" t="s">
        <v>7498</v>
      </c>
      <c r="U875" s="6" t="str">
        <f t="shared" si="406"/>
        <v>=22.97*100000000</v>
      </c>
      <c r="V875" s="1">
        <f>22.97*100000000</f>
        <v>2297000000</v>
      </c>
      <c r="W875" s="8">
        <f t="shared" si="423"/>
        <v>0.30808656036446486</v>
      </c>
      <c r="X875" s="6" t="s">
        <v>8461</v>
      </c>
      <c r="Y875" s="6" t="str">
        <f t="shared" si="407"/>
        <v>=17.56*100000000</v>
      </c>
      <c r="Z875" s="1">
        <f>17.56*100000000</f>
        <v>1755999999.9999998</v>
      </c>
      <c r="AA875" s="8">
        <f t="shared" si="424"/>
        <v>0.93264362755888153</v>
      </c>
      <c r="AB875" s="6" t="s">
        <v>9606</v>
      </c>
      <c r="AC875" s="6" t="str">
        <f t="shared" si="408"/>
        <v>=9.086*100000000</v>
      </c>
      <c r="AD875" s="1">
        <f>9.086*100000000</f>
        <v>908600000</v>
      </c>
      <c r="AE875" s="8">
        <f t="shared" si="425"/>
        <v>3.1469648562300323</v>
      </c>
      <c r="AF875" s="6" t="s">
        <v>8376</v>
      </c>
      <c r="AG875" s="6" t="str">
        <f t="shared" si="409"/>
        <v>=2.191*100000000</v>
      </c>
      <c r="AH875" s="1">
        <f>2.191*100000000</f>
        <v>219099999.99999997</v>
      </c>
      <c r="AI875" s="8">
        <f t="shared" si="426"/>
        <v>-0.88939929328621903</v>
      </c>
      <c r="AJ875" s="6" t="s">
        <v>7519</v>
      </c>
      <c r="AK875" s="6" t="str">
        <f t="shared" si="410"/>
        <v>=19.81*100000000</v>
      </c>
      <c r="AL875" s="1">
        <f>19.81*100000000</f>
        <v>1980999999.9999998</v>
      </c>
      <c r="AM875" s="8">
        <f t="shared" si="427"/>
        <v>0.34670292318150903</v>
      </c>
      <c r="AN875" s="6" t="s">
        <v>9563</v>
      </c>
      <c r="AO875" s="6" t="str">
        <f t="shared" si="411"/>
        <v>=14.71*100000000</v>
      </c>
      <c r="AP875" s="1">
        <f>14.71*100000000</f>
        <v>1471000000</v>
      </c>
      <c r="AQ875" s="8">
        <f t="shared" si="428"/>
        <v>0.86533096626933803</v>
      </c>
      <c r="AR875" s="6" t="s">
        <v>2902</v>
      </c>
      <c r="AS875" s="6" t="str">
        <f t="shared" si="412"/>
        <v>=7.886*100000000</v>
      </c>
      <c r="AT875" s="1">
        <f>7.886*100000000</f>
        <v>788600000</v>
      </c>
      <c r="AU875" s="8">
        <f t="shared" si="429"/>
        <v>1.1371273712737127</v>
      </c>
      <c r="AV875" s="6" t="s">
        <v>3033</v>
      </c>
      <c r="AW875" s="6" t="str">
        <f t="shared" si="413"/>
        <v>=3.690*100000000</v>
      </c>
      <c r="AX875" s="1">
        <f>3.69*100000000</f>
        <v>369000000</v>
      </c>
      <c r="AY875" s="10">
        <f t="shared" si="430"/>
        <v>-0.77500000000000002</v>
      </c>
      <c r="AZ875" s="6" t="s">
        <v>2440</v>
      </c>
      <c r="BA875" s="6" t="str">
        <f t="shared" si="414"/>
        <v>=16.40*100000000</v>
      </c>
      <c r="BB875" s="1">
        <f>16.4*100000000</f>
        <v>1639999999.9999998</v>
      </c>
      <c r="BC875" s="8">
        <f t="shared" si="431"/>
        <v>0.43733567046450461</v>
      </c>
      <c r="BD875" s="6" t="s">
        <v>2444</v>
      </c>
      <c r="BE875" s="6" t="str">
        <f t="shared" si="415"/>
        <v>=11.41*100000000</v>
      </c>
      <c r="BF875" s="1">
        <f>11.41*100000000</f>
        <v>1141000000</v>
      </c>
      <c r="BG875" s="8">
        <f t="shared" si="432"/>
        <v>0.77642846022108047</v>
      </c>
      <c r="BH875" s="6" t="s">
        <v>6469</v>
      </c>
      <c r="BI875" s="6" t="str">
        <f t="shared" si="416"/>
        <v>=6.423*100000000</v>
      </c>
      <c r="BJ875" s="1">
        <f>6.423*100000000</f>
        <v>642300000</v>
      </c>
      <c r="BK875" s="6" t="s">
        <v>4412</v>
      </c>
      <c r="BL875" s="1" t="str">
        <f t="shared" si="418"/>
        <v>=2.530*100000000</v>
      </c>
      <c r="BM875" s="16">
        <f t="shared" si="433"/>
        <v>1.5387351778656129</v>
      </c>
      <c r="BN875" s="1">
        <f>2.53*100000000</f>
        <v>252999999.99999997</v>
      </c>
    </row>
    <row r="876" spans="1:66">
      <c r="A876" s="18"/>
      <c r="B876">
        <v>600710</v>
      </c>
      <c r="C876" t="s">
        <v>58</v>
      </c>
      <c r="D876" s="6" t="s">
        <v>9607</v>
      </c>
      <c r="E876" s="7" t="str">
        <f t="shared" si="417"/>
        <v>=31.59*100000000</v>
      </c>
      <c r="F876" s="1">
        <f>31.59*100000000</f>
        <v>3159000000</v>
      </c>
      <c r="G876" s="8">
        <f t="shared" si="419"/>
        <v>0.28886168910648713</v>
      </c>
      <c r="H876" s="6" t="s">
        <v>9608</v>
      </c>
      <c r="I876" s="6" t="str">
        <f t="shared" si="403"/>
        <v>=24.51*100000000</v>
      </c>
      <c r="J876" s="1">
        <f>24.51*100000000</f>
        <v>2451000000</v>
      </c>
      <c r="K876" s="10">
        <f t="shared" si="420"/>
        <v>0.70801393728222994</v>
      </c>
      <c r="L876" s="6" t="s">
        <v>9609</v>
      </c>
      <c r="M876" s="6" t="str">
        <f t="shared" si="404"/>
        <v>=14.35*100000000</v>
      </c>
      <c r="N876" s="1">
        <f>14.35*100000000</f>
        <v>1435000000</v>
      </c>
      <c r="O876" s="8">
        <f t="shared" si="421"/>
        <v>1.1871665904587716</v>
      </c>
      <c r="P876" s="6" t="s">
        <v>9610</v>
      </c>
      <c r="Q876" s="6" t="str">
        <f t="shared" si="405"/>
        <v>=6.561*100000000</v>
      </c>
      <c r="R876" s="11">
        <f>6.561*100000000</f>
        <v>656100000</v>
      </c>
      <c r="S876" s="8">
        <f t="shared" si="422"/>
        <v>-0.70552064631956912</v>
      </c>
      <c r="T876" s="6" t="s">
        <v>315</v>
      </c>
      <c r="U876" s="6" t="str">
        <f t="shared" si="406"/>
        <v>=22.28*100000000</v>
      </c>
      <c r="V876" s="1">
        <f>22.28*100000000</f>
        <v>2228000000</v>
      </c>
      <c r="W876" s="8">
        <f t="shared" si="423"/>
        <v>0.26232294617563756</v>
      </c>
      <c r="X876" s="6" t="s">
        <v>1120</v>
      </c>
      <c r="Y876" s="6" t="str">
        <f t="shared" si="407"/>
        <v>=17.65*100000000</v>
      </c>
      <c r="Z876" s="1">
        <f>17.65*100000000</f>
        <v>1764999999.9999998</v>
      </c>
      <c r="AA876" s="8">
        <f t="shared" si="424"/>
        <v>0.92559458869735955</v>
      </c>
      <c r="AB876" s="6" t="s">
        <v>9611</v>
      </c>
      <c r="AC876" s="6" t="str">
        <f t="shared" si="408"/>
        <v>=9.166*100000000</v>
      </c>
      <c r="AD876" s="1">
        <f>9.166*100000000</f>
        <v>916600000</v>
      </c>
      <c r="AE876" s="8">
        <f t="shared" si="425"/>
        <v>3.1531490711372907</v>
      </c>
      <c r="AF876" s="6" t="s">
        <v>4817</v>
      </c>
      <c r="AG876" s="6" t="str">
        <f t="shared" si="409"/>
        <v>=2.207*100000000</v>
      </c>
      <c r="AH876" s="1">
        <f>2.207*100000000</f>
        <v>220699999.99999997</v>
      </c>
      <c r="AI876" s="8">
        <f t="shared" si="426"/>
        <v>-0.88606091894682504</v>
      </c>
      <c r="AJ876" s="6" t="s">
        <v>4376</v>
      </c>
      <c r="AK876" s="6" t="str">
        <f t="shared" si="410"/>
        <v>=19.37*100000000</v>
      </c>
      <c r="AL876" s="1">
        <f>19.37*100000000</f>
        <v>1937000000</v>
      </c>
      <c r="AM876" s="8">
        <f t="shared" si="427"/>
        <v>0.28789893617021278</v>
      </c>
      <c r="AN876" s="6" t="s">
        <v>9320</v>
      </c>
      <c r="AO876" s="6" t="str">
        <f t="shared" si="411"/>
        <v>=15.04*100000000</v>
      </c>
      <c r="AP876" s="1">
        <f>15.04*100000000</f>
        <v>1504000000</v>
      </c>
      <c r="AQ876" s="8">
        <f t="shared" si="428"/>
        <v>0.85564466378778536</v>
      </c>
      <c r="AR876" s="6" t="s">
        <v>9612</v>
      </c>
      <c r="AS876" s="6" t="str">
        <f t="shared" si="412"/>
        <v>=8.105*100000000</v>
      </c>
      <c r="AT876" s="1">
        <f>8.105*100000000</f>
        <v>810500000</v>
      </c>
      <c r="AU876" s="8">
        <f t="shared" si="429"/>
        <v>1.0840833119053741</v>
      </c>
      <c r="AV876" s="6" t="s">
        <v>7814</v>
      </c>
      <c r="AW876" s="6" t="str">
        <f t="shared" si="413"/>
        <v>=3.889*100000000</v>
      </c>
      <c r="AX876" s="1">
        <f>3.889*100000000</f>
        <v>388900000</v>
      </c>
      <c r="AY876" s="10">
        <f t="shared" si="430"/>
        <v>-0.77941009642654568</v>
      </c>
      <c r="AZ876" s="6" t="s">
        <v>9524</v>
      </c>
      <c r="BA876" s="6" t="str">
        <f t="shared" si="414"/>
        <v>=17.63*100000000</v>
      </c>
      <c r="BB876" s="1">
        <f>17.63*100000000</f>
        <v>1763000000</v>
      </c>
      <c r="BC876" s="8">
        <f t="shared" si="431"/>
        <v>0.484006734006734</v>
      </c>
      <c r="BD876" s="6" t="s">
        <v>342</v>
      </c>
      <c r="BE876" s="6" t="str">
        <f t="shared" si="415"/>
        <v>=11.88*100000000</v>
      </c>
      <c r="BF876" s="1">
        <f>11.88*100000000</f>
        <v>1188000000</v>
      </c>
      <c r="BG876" s="8">
        <f t="shared" si="432"/>
        <v>0.72624237140366177</v>
      </c>
      <c r="BH876" s="6" t="s">
        <v>8182</v>
      </c>
      <c r="BI876" s="6" t="str">
        <f t="shared" si="416"/>
        <v>=6.882*100000000</v>
      </c>
      <c r="BJ876" s="1">
        <f>6.882*100000000</f>
        <v>688200000</v>
      </c>
      <c r="BK876" s="6" t="s">
        <v>9613</v>
      </c>
      <c r="BL876" s="1" t="str">
        <f t="shared" si="418"/>
        <v>=2.804*100000000</v>
      </c>
      <c r="BM876" s="16">
        <f t="shared" si="433"/>
        <v>1.4543509272467903</v>
      </c>
      <c r="BN876" s="1">
        <f>2.804*100000000</f>
        <v>280400000</v>
      </c>
    </row>
    <row r="877" spans="1:66">
      <c r="A877" s="19"/>
      <c r="B877">
        <v>600710</v>
      </c>
      <c r="C877" t="s">
        <v>68</v>
      </c>
      <c r="D877" s="6" t="s">
        <v>1894</v>
      </c>
      <c r="E877" s="7" t="str">
        <f t="shared" si="417"/>
        <v>=23.90*100000000</v>
      </c>
      <c r="F877" s="1">
        <f>23.9*100000000</f>
        <v>2390000000</v>
      </c>
      <c r="G877" s="8">
        <f t="shared" si="419"/>
        <v>0.32190265486725683</v>
      </c>
      <c r="H877" s="6" t="s">
        <v>4250</v>
      </c>
      <c r="I877" s="6" t="str">
        <f t="shared" si="403"/>
        <v>=18.08*100000000</v>
      </c>
      <c r="J877" s="1">
        <f>18.08*100000000</f>
        <v>1807999999.9999998</v>
      </c>
      <c r="K877" s="10">
        <f t="shared" si="420"/>
        <v>0.68814192343604064</v>
      </c>
      <c r="L877" s="6" t="s">
        <v>588</v>
      </c>
      <c r="M877" s="6" t="str">
        <f t="shared" si="404"/>
        <v>=10.71*100000000</v>
      </c>
      <c r="N877" s="1">
        <f>10.71*100000000</f>
        <v>1071000000.0000001</v>
      </c>
      <c r="O877" s="8">
        <f t="shared" si="421"/>
        <v>1.0403886454562778</v>
      </c>
      <c r="P877" s="6" t="s">
        <v>6377</v>
      </c>
      <c r="Q877" s="6" t="str">
        <f t="shared" si="405"/>
        <v>=5.249*100000000</v>
      </c>
      <c r="R877" s="11">
        <f>5.249*100000000</f>
        <v>524899999.99999994</v>
      </c>
      <c r="S877" s="8">
        <f t="shared" si="422"/>
        <v>-0.68681384248210031</v>
      </c>
      <c r="T877" s="6" t="s">
        <v>9614</v>
      </c>
      <c r="U877" s="6" t="str">
        <f t="shared" si="406"/>
        <v>=16.76*100000000</v>
      </c>
      <c r="V877" s="1">
        <f>16.76*100000000</f>
        <v>1676000000.0000002</v>
      </c>
      <c r="W877" s="8">
        <f t="shared" si="423"/>
        <v>0.24981357196122314</v>
      </c>
      <c r="X877" s="6" t="s">
        <v>9615</v>
      </c>
      <c r="Y877" s="6" t="str">
        <f t="shared" si="407"/>
        <v>=13.41*100000000</v>
      </c>
      <c r="Z877" s="1">
        <f>13.41*100000000</f>
        <v>1341000000</v>
      </c>
      <c r="AA877" s="8">
        <f t="shared" si="424"/>
        <v>0.87999439226132059</v>
      </c>
      <c r="AB877" s="6" t="s">
        <v>9616</v>
      </c>
      <c r="AC877" s="6" t="str">
        <f t="shared" si="408"/>
        <v>=7.133*100000000</v>
      </c>
      <c r="AD877" s="1">
        <f>7.133*100000000</f>
        <v>713300000</v>
      </c>
      <c r="AE877" s="8">
        <f t="shared" si="425"/>
        <v>3.5231452124286622</v>
      </c>
      <c r="AF877" s="6" t="s">
        <v>1705</v>
      </c>
      <c r="AG877" s="6" t="str">
        <f t="shared" si="409"/>
        <v>=1.577*100000000</v>
      </c>
      <c r="AH877" s="1">
        <f>1.577*100000000</f>
        <v>157700000</v>
      </c>
      <c r="AI877" s="8">
        <f t="shared" si="426"/>
        <v>-0.8940188172043011</v>
      </c>
      <c r="AJ877" s="6" t="s">
        <v>9572</v>
      </c>
      <c r="AK877" s="6" t="str">
        <f t="shared" si="410"/>
        <v>=14.88*100000000</v>
      </c>
      <c r="AL877" s="1">
        <f>14.88*100000000</f>
        <v>1488000000</v>
      </c>
      <c r="AM877" s="8">
        <f t="shared" si="427"/>
        <v>0.24207011686143573</v>
      </c>
      <c r="AN877" s="6" t="s">
        <v>9617</v>
      </c>
      <c r="AO877" s="6" t="str">
        <f t="shared" si="411"/>
        <v>=11.98*100000000</v>
      </c>
      <c r="AP877" s="1">
        <f>11.98*100000000</f>
        <v>1198000000</v>
      </c>
      <c r="AQ877" s="8">
        <f t="shared" si="428"/>
        <v>0.83770516950452523</v>
      </c>
      <c r="AR877" s="6" t="s">
        <v>9618</v>
      </c>
      <c r="AS877" s="6" t="str">
        <f t="shared" si="412"/>
        <v>=6.519*100000000</v>
      </c>
      <c r="AT877" s="1">
        <f>6.519*100000000</f>
        <v>651900000</v>
      </c>
      <c r="AU877" s="8">
        <f t="shared" si="429"/>
        <v>1.2203678474114441</v>
      </c>
      <c r="AV877" s="6" t="s">
        <v>2573</v>
      </c>
      <c r="AW877" s="6" t="str">
        <f t="shared" si="413"/>
        <v>=2.936*100000000</v>
      </c>
      <c r="AX877" s="1">
        <f>2.936*100000000</f>
        <v>293600000</v>
      </c>
      <c r="AY877" s="10">
        <f t="shared" si="430"/>
        <v>-0.76284329563812603</v>
      </c>
      <c r="AZ877" s="6" t="s">
        <v>6194</v>
      </c>
      <c r="BA877" s="6" t="str">
        <f t="shared" si="414"/>
        <v>=12.38*100000000</v>
      </c>
      <c r="BB877" s="1">
        <f>12.38*100000000</f>
        <v>1238000000</v>
      </c>
      <c r="BC877" s="8">
        <f t="shared" si="431"/>
        <v>0.32989579976366973</v>
      </c>
      <c r="BD877" s="6" t="s">
        <v>9619</v>
      </c>
      <c r="BE877" s="6" t="str">
        <f t="shared" si="415"/>
        <v>=9.309*100000000</v>
      </c>
      <c r="BF877" s="1">
        <f>9.309*100000000</f>
        <v>930899999.99999988</v>
      </c>
      <c r="BG877" s="8">
        <f t="shared" si="432"/>
        <v>0.70682068206820658</v>
      </c>
      <c r="BH877" s="6" t="s">
        <v>8662</v>
      </c>
      <c r="BI877" s="6" t="str">
        <f t="shared" si="416"/>
        <v>=5.454*100000000</v>
      </c>
      <c r="BJ877" s="1">
        <f>5.454*100000000</f>
        <v>545400000</v>
      </c>
      <c r="BK877" s="6" t="s">
        <v>3395</v>
      </c>
      <c r="BL877" s="1" t="str">
        <f t="shared" si="418"/>
        <v>=2.111*100000000</v>
      </c>
      <c r="BM877" s="16">
        <f t="shared" si="433"/>
        <v>1.5836096636665085</v>
      </c>
      <c r="BN877" s="1">
        <f>2.111*100000000</f>
        <v>211100000.00000003</v>
      </c>
    </row>
    <row r="878" spans="1:66">
      <c r="A878" s="17">
        <v>221</v>
      </c>
      <c r="B878">
        <v>600713</v>
      </c>
      <c r="C878" t="s">
        <v>31</v>
      </c>
      <c r="D878" s="6" t="s">
        <v>9620</v>
      </c>
      <c r="E878" s="7" t="str">
        <f t="shared" si="417"/>
        <v>=451.2*100000000</v>
      </c>
      <c r="F878" s="1">
        <f>451.2*100000000</f>
        <v>45120000000</v>
      </c>
      <c r="G878" s="8">
        <f t="shared" si="419"/>
        <v>0.35089820359281437</v>
      </c>
      <c r="H878" s="6" t="s">
        <v>7192</v>
      </c>
      <c r="I878" s="6" t="str">
        <f t="shared" si="403"/>
        <v>=334.0*100000000</v>
      </c>
      <c r="J878" s="1">
        <f>334*100000000</f>
        <v>33400000000</v>
      </c>
      <c r="K878" s="10">
        <f t="shared" si="420"/>
        <v>0.52511415525114158</v>
      </c>
      <c r="L878" s="6" t="s">
        <v>9621</v>
      </c>
      <c r="M878" s="6" t="str">
        <f t="shared" si="404"/>
        <v>=219.0*100000000</v>
      </c>
      <c r="N878" s="1">
        <f>219*100000000</f>
        <v>21900000000</v>
      </c>
      <c r="O878" s="8">
        <f t="shared" si="421"/>
        <v>0.97653429602888087</v>
      </c>
      <c r="P878" s="6" t="s">
        <v>9622</v>
      </c>
      <c r="Q878" s="6" t="str">
        <f t="shared" si="405"/>
        <v>=110.8*100000000</v>
      </c>
      <c r="R878" s="11">
        <f>110.8*100000000</f>
        <v>11080000000</v>
      </c>
      <c r="S878" s="8">
        <f t="shared" si="422"/>
        <v>-0.72174786539427427</v>
      </c>
      <c r="T878" s="6" t="s">
        <v>9623</v>
      </c>
      <c r="U878" s="6" t="str">
        <f t="shared" si="406"/>
        <v>=398.2*100000000</v>
      </c>
      <c r="V878" s="1">
        <f>398.2*100000000</f>
        <v>39820000000</v>
      </c>
      <c r="W878" s="8">
        <f t="shared" si="423"/>
        <v>0.369797041623667</v>
      </c>
      <c r="X878" s="6" t="s">
        <v>8891</v>
      </c>
      <c r="Y878" s="6" t="str">
        <f t="shared" si="407"/>
        <v>=290.7*100000000</v>
      </c>
      <c r="Z878" s="1">
        <f>290.7*100000000</f>
        <v>29070000000</v>
      </c>
      <c r="AA878" s="8">
        <f t="shared" si="424"/>
        <v>0.59113300492610843</v>
      </c>
      <c r="AB878" s="6" t="s">
        <v>408</v>
      </c>
      <c r="AC878" s="6" t="str">
        <f t="shared" si="408"/>
        <v>=182.7*100000000</v>
      </c>
      <c r="AD878" s="1">
        <f>182.7*100000000</f>
        <v>18270000000</v>
      </c>
      <c r="AE878" s="8">
        <f t="shared" si="425"/>
        <v>1.0787347821140061</v>
      </c>
      <c r="AF878" s="6" t="s">
        <v>9624</v>
      </c>
      <c r="AG878" s="6" t="str">
        <f t="shared" si="409"/>
        <v>=87.89*100000000</v>
      </c>
      <c r="AH878" s="1">
        <f>87.89*100000000</f>
        <v>8789000000</v>
      </c>
      <c r="AI878" s="8">
        <f t="shared" si="426"/>
        <v>-0.76348223896663081</v>
      </c>
      <c r="AJ878" s="6" t="s">
        <v>9625</v>
      </c>
      <c r="AK878" s="6" t="str">
        <f t="shared" si="410"/>
        <v>=371.6*100000000</v>
      </c>
      <c r="AL878" s="1">
        <f>371.6*100000000</f>
        <v>37160000000</v>
      </c>
      <c r="AM878" s="8">
        <f t="shared" si="427"/>
        <v>0.34200072228241263</v>
      </c>
      <c r="AN878" s="6" t="s">
        <v>9626</v>
      </c>
      <c r="AO878" s="6" t="str">
        <f t="shared" si="411"/>
        <v>=276.9*100000000</v>
      </c>
      <c r="AP878" s="1">
        <f>276.9*100000000</f>
        <v>27689999999.999996</v>
      </c>
      <c r="AQ878" s="8">
        <f t="shared" si="428"/>
        <v>0.54606365159128956</v>
      </c>
      <c r="AR878" s="6" t="s">
        <v>9627</v>
      </c>
      <c r="AS878" s="6" t="str">
        <f t="shared" si="412"/>
        <v>=179.1*100000000</v>
      </c>
      <c r="AT878" s="1">
        <f>179.1*100000000</f>
        <v>17910000000</v>
      </c>
      <c r="AU878" s="8">
        <f t="shared" si="429"/>
        <v>1.0501373626373627</v>
      </c>
      <c r="AV878" s="6" t="s">
        <v>9628</v>
      </c>
      <c r="AW878" s="6" t="str">
        <f t="shared" si="413"/>
        <v>=87.36*100000000</v>
      </c>
      <c r="AX878" s="1">
        <f>87.36*100000000</f>
        <v>8736000000</v>
      </c>
      <c r="AY878" s="10">
        <f t="shared" si="430"/>
        <v>-0.72089456869009583</v>
      </c>
      <c r="AZ878" s="6" t="s">
        <v>9629</v>
      </c>
      <c r="BA878" s="6" t="str">
        <f t="shared" si="414"/>
        <v>=313.0*100000000</v>
      </c>
      <c r="BB878" s="1">
        <f>313*100000000</f>
        <v>31300000000</v>
      </c>
      <c r="BC878" s="8">
        <f t="shared" si="431"/>
        <v>0.34623655913978496</v>
      </c>
      <c r="BD878" s="6" t="s">
        <v>9630</v>
      </c>
      <c r="BE878" s="6" t="str">
        <f t="shared" si="415"/>
        <v>=232.5*100000000</v>
      </c>
      <c r="BF878" s="1">
        <f>232.5*100000000</f>
        <v>23250000000</v>
      </c>
      <c r="BG878" s="8">
        <f t="shared" si="432"/>
        <v>0.53465346534653468</v>
      </c>
      <c r="BH878" s="6" t="s">
        <v>8220</v>
      </c>
      <c r="BI878" s="6" t="str">
        <f t="shared" si="416"/>
        <v>=151.5*100000000</v>
      </c>
      <c r="BJ878" s="1">
        <f>151.5*100000000</f>
        <v>15150000000</v>
      </c>
      <c r="BK878" s="6" t="s">
        <v>9631</v>
      </c>
      <c r="BL878" s="1" t="str">
        <f t="shared" si="418"/>
        <v>=77.57*100000000</v>
      </c>
      <c r="BM878" s="16">
        <f t="shared" si="433"/>
        <v>0.95307464225860539</v>
      </c>
      <c r="BN878" s="1">
        <f>77.57*100000000</f>
        <v>7756999999.999999</v>
      </c>
    </row>
    <row r="879" spans="1:66">
      <c r="A879" s="18"/>
      <c r="B879">
        <v>600713</v>
      </c>
      <c r="C879" t="s">
        <v>48</v>
      </c>
      <c r="D879" s="6" t="s">
        <v>9632</v>
      </c>
      <c r="E879" s="7" t="str">
        <f t="shared" si="417"/>
        <v>=8.457*100000000</v>
      </c>
      <c r="F879" s="1">
        <f>8.457*100000000</f>
        <v>845700000.00000012</v>
      </c>
      <c r="G879" s="8">
        <f t="shared" si="419"/>
        <v>0.43436227951153344</v>
      </c>
      <c r="H879" s="6" t="s">
        <v>2762</v>
      </c>
      <c r="I879" s="6" t="str">
        <f t="shared" si="403"/>
        <v>=5.896*100000000</v>
      </c>
      <c r="J879" s="1">
        <f>5.896*100000000</f>
        <v>589600000</v>
      </c>
      <c r="K879" s="10">
        <f t="shared" si="420"/>
        <v>0.55362318840579705</v>
      </c>
      <c r="L879" s="6" t="s">
        <v>9633</v>
      </c>
      <c r="M879" s="6" t="str">
        <f t="shared" si="404"/>
        <v>=3.795*100000000</v>
      </c>
      <c r="N879" s="1">
        <f>3.795*100000000</f>
        <v>379500000</v>
      </c>
      <c r="O879" s="8">
        <f t="shared" si="421"/>
        <v>1.3411474398519432</v>
      </c>
      <c r="P879" s="6" t="s">
        <v>9634</v>
      </c>
      <c r="Q879" s="6" t="str">
        <f t="shared" si="405"/>
        <v>=1.621*100000000</v>
      </c>
      <c r="R879" s="11">
        <f>1.621*100000000</f>
        <v>162100000</v>
      </c>
      <c r="S879" s="8">
        <f t="shared" si="422"/>
        <v>-0.76031347035339347</v>
      </c>
      <c r="T879" s="6" t="s">
        <v>9235</v>
      </c>
      <c r="U879" s="6" t="str">
        <f t="shared" si="406"/>
        <v>=6.763*100000000</v>
      </c>
      <c r="V879" s="1">
        <f>6.763*100000000</f>
        <v>676300000</v>
      </c>
      <c r="W879" s="8">
        <f t="shared" si="423"/>
        <v>0.35531062124248497</v>
      </c>
      <c r="X879" s="6" t="s">
        <v>9635</v>
      </c>
      <c r="Y879" s="6" t="str">
        <f t="shared" si="407"/>
        <v>=4.990*100000000</v>
      </c>
      <c r="Z879" s="1">
        <f>4.99*100000000</f>
        <v>499000000</v>
      </c>
      <c r="AA879" s="8">
        <f t="shared" si="424"/>
        <v>0.61645610625202463</v>
      </c>
      <c r="AB879" s="6" t="s">
        <v>3124</v>
      </c>
      <c r="AC879" s="6" t="str">
        <f t="shared" si="408"/>
        <v>=3.087*100000000</v>
      </c>
      <c r="AD879" s="1">
        <f>3.087*100000000</f>
        <v>308700000</v>
      </c>
      <c r="AE879" s="8">
        <f t="shared" si="425"/>
        <v>1.3986013986013988</v>
      </c>
      <c r="AF879" s="6" t="s">
        <v>9636</v>
      </c>
      <c r="AG879" s="6" t="str">
        <f t="shared" si="409"/>
        <v>=1.287*100000000</v>
      </c>
      <c r="AH879" s="1">
        <f>1.287*100000000</f>
        <v>128699999.99999999</v>
      </c>
      <c r="AI879" s="8">
        <f t="shared" si="426"/>
        <v>-0.75657272555324384</v>
      </c>
      <c r="AJ879" s="6" t="s">
        <v>9637</v>
      </c>
      <c r="AK879" s="6" t="str">
        <f t="shared" si="410"/>
        <v>=5.287*100000000</v>
      </c>
      <c r="AL879" s="1">
        <f>5.287*100000000</f>
        <v>528700000</v>
      </c>
      <c r="AM879" s="8">
        <f t="shared" si="427"/>
        <v>0.24840613931523006</v>
      </c>
      <c r="AN879" s="6" t="s">
        <v>9638</v>
      </c>
      <c r="AO879" s="6" t="str">
        <f t="shared" si="411"/>
        <v>=4.235*100000000</v>
      </c>
      <c r="AP879" s="1">
        <f>4.235*100000000</f>
        <v>423500000.00000006</v>
      </c>
      <c r="AQ879" s="8">
        <f t="shared" si="428"/>
        <v>0.48025166025865101</v>
      </c>
      <c r="AR879" s="6" t="s">
        <v>8846</v>
      </c>
      <c r="AS879" s="6" t="str">
        <f t="shared" si="412"/>
        <v>=2.861*100000000</v>
      </c>
      <c r="AT879" s="1">
        <f>2.861*100000000</f>
        <v>286100000</v>
      </c>
      <c r="AU879" s="8">
        <f t="shared" si="429"/>
        <v>1.29983922829582</v>
      </c>
      <c r="AV879" s="6" t="s">
        <v>9639</v>
      </c>
      <c r="AW879" s="6" t="str">
        <f t="shared" si="413"/>
        <v>=1.244*100000000</v>
      </c>
      <c r="AX879" s="1">
        <f>1.244*100000000</f>
        <v>124400000</v>
      </c>
      <c r="AY879" s="10">
        <f t="shared" si="430"/>
        <v>-0.74067125286637481</v>
      </c>
      <c r="AZ879" s="6" t="s">
        <v>1468</v>
      </c>
      <c r="BA879" s="6" t="str">
        <f t="shared" si="414"/>
        <v>=4.797*100000000</v>
      </c>
      <c r="BB879" s="1">
        <f>4.797*100000000</f>
        <v>479700000</v>
      </c>
      <c r="BC879" s="8">
        <f t="shared" si="431"/>
        <v>0.27308917197452232</v>
      </c>
      <c r="BD879" s="6" t="s">
        <v>9640</v>
      </c>
      <c r="BE879" s="6" t="str">
        <f t="shared" si="415"/>
        <v>=3.768*100000000</v>
      </c>
      <c r="BF879" s="1">
        <f>3.768*100000000</f>
        <v>376800000</v>
      </c>
      <c r="BG879" s="8">
        <f t="shared" si="432"/>
        <v>0.51751913008457506</v>
      </c>
      <c r="BH879" s="6" t="s">
        <v>9641</v>
      </c>
      <c r="BI879" s="6" t="str">
        <f t="shared" si="416"/>
        <v>=2.483*100000000</v>
      </c>
      <c r="BJ879" s="1">
        <f>2.483*100000000</f>
        <v>248300000</v>
      </c>
      <c r="BK879" s="6" t="s">
        <v>1995</v>
      </c>
      <c r="BL879" s="1" t="str">
        <f t="shared" si="418"/>
        <v>=1.085*100000000</v>
      </c>
      <c r="BM879" s="16">
        <f t="shared" si="433"/>
        <v>1.288479262672811</v>
      </c>
      <c r="BN879" s="1">
        <f>1.085*100000000</f>
        <v>108500000</v>
      </c>
    </row>
    <row r="880" spans="1:66">
      <c r="A880" s="18"/>
      <c r="B880">
        <v>600713</v>
      </c>
      <c r="C880" t="s">
        <v>58</v>
      </c>
      <c r="D880" s="6" t="s">
        <v>7164</v>
      </c>
      <c r="E880" s="7" t="str">
        <f t="shared" si="417"/>
        <v>=8.389*100000000</v>
      </c>
      <c r="F880" s="1">
        <f>8.389*100000000</f>
        <v>838899999.99999988</v>
      </c>
      <c r="G880" s="8">
        <f t="shared" si="419"/>
        <v>0.43721089600822322</v>
      </c>
      <c r="H880" s="6" t="s">
        <v>7148</v>
      </c>
      <c r="I880" s="6" t="str">
        <f t="shared" si="403"/>
        <v>=5.837*100000000</v>
      </c>
      <c r="J880" s="1">
        <f>5.837*100000000</f>
        <v>583700000</v>
      </c>
      <c r="K880" s="10">
        <f t="shared" si="420"/>
        <v>0.56404072883172562</v>
      </c>
      <c r="L880" s="6" t="s">
        <v>361</v>
      </c>
      <c r="M880" s="6" t="str">
        <f t="shared" si="404"/>
        <v>=3.732*100000000</v>
      </c>
      <c r="N880" s="1">
        <f>3.732*100000000</f>
        <v>373200000</v>
      </c>
      <c r="O880" s="8">
        <f t="shared" si="421"/>
        <v>1.341279799247177</v>
      </c>
      <c r="P880" s="6" t="s">
        <v>6810</v>
      </c>
      <c r="Q880" s="6" t="str">
        <f t="shared" si="405"/>
        <v>=1.594*100000000</v>
      </c>
      <c r="R880" s="11">
        <f>1.594*100000000</f>
        <v>159400000</v>
      </c>
      <c r="S880" s="8">
        <f t="shared" si="422"/>
        <v>-0.7648273827087636</v>
      </c>
      <c r="T880" s="6" t="s">
        <v>9642</v>
      </c>
      <c r="U880" s="6" t="str">
        <f t="shared" si="406"/>
        <v>=6.778*100000000</v>
      </c>
      <c r="V880" s="1">
        <f>6.778*100000000</f>
        <v>677800000</v>
      </c>
      <c r="W880" s="8">
        <f t="shared" si="423"/>
        <v>0.38950389503895039</v>
      </c>
      <c r="X880" s="6" t="s">
        <v>9643</v>
      </c>
      <c r="Y880" s="6" t="str">
        <f t="shared" si="407"/>
        <v>=4.878*100000000</v>
      </c>
      <c r="Z880" s="1">
        <f>4.878*100000000</f>
        <v>487800000</v>
      </c>
      <c r="AA880" s="8">
        <f t="shared" si="424"/>
        <v>0.61844724618447244</v>
      </c>
      <c r="AB880" s="6" t="s">
        <v>9644</v>
      </c>
      <c r="AC880" s="6" t="str">
        <f t="shared" si="408"/>
        <v>=3.014*100000000</v>
      </c>
      <c r="AD880" s="1">
        <f>3.014*100000000</f>
        <v>301400000</v>
      </c>
      <c r="AE880" s="8">
        <f t="shared" si="425"/>
        <v>1.4073482428115016</v>
      </c>
      <c r="AF880" s="6" t="s">
        <v>9645</v>
      </c>
      <c r="AG880" s="6" t="str">
        <f t="shared" si="409"/>
        <v>=1.252*100000000</v>
      </c>
      <c r="AH880" s="1">
        <f>1.252*100000000</f>
        <v>125200000</v>
      </c>
      <c r="AI880" s="8">
        <f t="shared" si="426"/>
        <v>-0.78740023773136358</v>
      </c>
      <c r="AJ880" s="6" t="s">
        <v>9646</v>
      </c>
      <c r="AK880" s="6" t="str">
        <f t="shared" si="410"/>
        <v>=5.889*100000000</v>
      </c>
      <c r="AL880" s="1">
        <f>5.889*100000000</f>
        <v>588900000</v>
      </c>
      <c r="AM880" s="8">
        <f t="shared" si="427"/>
        <v>0.20924024640657085</v>
      </c>
      <c r="AN880" s="6" t="s">
        <v>2652</v>
      </c>
      <c r="AO880" s="6" t="str">
        <f t="shared" si="411"/>
        <v>=4.870*100000000</v>
      </c>
      <c r="AP880" s="1">
        <f>4.87*100000000</f>
        <v>487000000</v>
      </c>
      <c r="AQ880" s="8">
        <f t="shared" si="428"/>
        <v>0.73063255152807394</v>
      </c>
      <c r="AR880" s="6" t="s">
        <v>6956</v>
      </c>
      <c r="AS880" s="6" t="str">
        <f t="shared" si="412"/>
        <v>=2.814*100000000</v>
      </c>
      <c r="AT880" s="1">
        <f>2.814*100000000</f>
        <v>281400000</v>
      </c>
      <c r="AU880" s="8">
        <f t="shared" si="429"/>
        <v>1.2822384428223843</v>
      </c>
      <c r="AV880" s="6" t="s">
        <v>3562</v>
      </c>
      <c r="AW880" s="6" t="str">
        <f t="shared" si="413"/>
        <v>=1.233*100000000</v>
      </c>
      <c r="AX880" s="1">
        <f>1.233*100000000</f>
        <v>123300000.00000001</v>
      </c>
      <c r="AY880" s="10">
        <f t="shared" si="430"/>
        <v>-0.74085750315258514</v>
      </c>
      <c r="AZ880" s="6" t="s">
        <v>2782</v>
      </c>
      <c r="BA880" s="6" t="str">
        <f t="shared" si="414"/>
        <v>=4.758*100000000</v>
      </c>
      <c r="BB880" s="1">
        <f>4.758*100000000</f>
        <v>475800000</v>
      </c>
      <c r="BC880" s="8">
        <f t="shared" si="431"/>
        <v>0.28978042830035239</v>
      </c>
      <c r="BD880" s="6" t="s">
        <v>6678</v>
      </c>
      <c r="BE880" s="6" t="str">
        <f t="shared" si="415"/>
        <v>=3.689*100000000</v>
      </c>
      <c r="BF880" s="1">
        <f>3.689*100000000</f>
        <v>368900000</v>
      </c>
      <c r="BG880" s="8">
        <f t="shared" si="432"/>
        <v>0.52186468646864681</v>
      </c>
      <c r="BH880" s="6" t="s">
        <v>9647</v>
      </c>
      <c r="BI880" s="6" t="str">
        <f t="shared" si="416"/>
        <v>=2.424*100000000</v>
      </c>
      <c r="BJ880" s="1">
        <f>2.424*100000000</f>
        <v>242400000</v>
      </c>
      <c r="BK880" s="6" t="s">
        <v>5203</v>
      </c>
      <c r="BL880" s="1" t="str">
        <f t="shared" si="418"/>
        <v>=1.061*100000000</v>
      </c>
      <c r="BM880" s="16">
        <f t="shared" si="433"/>
        <v>1.2846371347785108</v>
      </c>
      <c r="BN880" s="1">
        <f>1.061*100000000</f>
        <v>106100000</v>
      </c>
    </row>
    <row r="881" spans="1:66">
      <c r="A881" s="19"/>
      <c r="B881">
        <v>600713</v>
      </c>
      <c r="C881" t="s">
        <v>68</v>
      </c>
      <c r="D881" s="6" t="s">
        <v>9648</v>
      </c>
      <c r="E881" s="7" t="str">
        <f t="shared" si="417"/>
        <v>=6.106*100000000</v>
      </c>
      <c r="F881" s="1">
        <f>6.106*100000000</f>
        <v>610600000</v>
      </c>
      <c r="G881" s="8">
        <f t="shared" si="419"/>
        <v>0.44179456906729614</v>
      </c>
      <c r="H881" s="6" t="s">
        <v>9638</v>
      </c>
      <c r="I881" s="6" t="str">
        <f t="shared" si="403"/>
        <v>=4.235*100000000</v>
      </c>
      <c r="J881" s="1">
        <f>4.235*100000000</f>
        <v>423500000.00000006</v>
      </c>
      <c r="K881" s="10">
        <f t="shared" si="420"/>
        <v>0.57904548844146186</v>
      </c>
      <c r="L881" s="6" t="s">
        <v>3903</v>
      </c>
      <c r="M881" s="6" t="str">
        <f t="shared" si="404"/>
        <v>=2.682*100000000</v>
      </c>
      <c r="N881" s="1">
        <f>2.682*100000000</f>
        <v>268200000</v>
      </c>
      <c r="O881" s="8">
        <f t="shared" si="421"/>
        <v>1.3080895008605853</v>
      </c>
      <c r="P881" s="6" t="s">
        <v>5579</v>
      </c>
      <c r="Q881" s="6" t="str">
        <f t="shared" si="405"/>
        <v>=1.162*100000000</v>
      </c>
      <c r="R881" s="11">
        <f>1.162*100000000</f>
        <v>116199999.99999999</v>
      </c>
      <c r="S881" s="8">
        <f t="shared" si="422"/>
        <v>-0.75276595744680852</v>
      </c>
      <c r="T881" s="6" t="s">
        <v>9649</v>
      </c>
      <c r="U881" s="6" t="str">
        <f t="shared" si="406"/>
        <v>=4.700*100000000</v>
      </c>
      <c r="V881" s="1">
        <f>4.7*100000000</f>
        <v>470000000</v>
      </c>
      <c r="W881" s="8">
        <f t="shared" si="423"/>
        <v>0.35681293302540418</v>
      </c>
      <c r="X881" s="6" t="s">
        <v>9650</v>
      </c>
      <c r="Y881" s="6" t="str">
        <f t="shared" si="407"/>
        <v>=3.464*100000000</v>
      </c>
      <c r="Z881" s="1">
        <f>3.464*100000000</f>
        <v>346400000</v>
      </c>
      <c r="AA881" s="8">
        <f t="shared" si="424"/>
        <v>0.65267175572519087</v>
      </c>
      <c r="AB881" s="6" t="s">
        <v>9651</v>
      </c>
      <c r="AC881" s="6" t="str">
        <f t="shared" si="408"/>
        <v>=2.096*100000000</v>
      </c>
      <c r="AD881" s="1">
        <f>2.096*100000000</f>
        <v>209600000</v>
      </c>
      <c r="AE881" s="8">
        <f t="shared" si="425"/>
        <v>1.4022922636103152</v>
      </c>
      <c r="AF881" s="7" t="s">
        <v>9652</v>
      </c>
      <c r="AG881" s="6" t="str">
        <f t="shared" si="409"/>
        <v>=8725*10000</v>
      </c>
      <c r="AH881" s="1">
        <f>8725*10000</f>
        <v>87250000</v>
      </c>
      <c r="AI881" s="8">
        <f t="shared" si="426"/>
        <v>-0.79784522706209449</v>
      </c>
      <c r="AJ881" s="6" t="s">
        <v>6282</v>
      </c>
      <c r="AK881" s="6" t="str">
        <f t="shared" si="410"/>
        <v>=4.316*100000000</v>
      </c>
      <c r="AL881" s="1">
        <f>4.316*100000000</f>
        <v>431600000</v>
      </c>
      <c r="AM881" s="8">
        <f t="shared" si="427"/>
        <v>0.19623059866962306</v>
      </c>
      <c r="AN881" s="6" t="s">
        <v>9653</v>
      </c>
      <c r="AO881" s="6" t="str">
        <f t="shared" si="411"/>
        <v>=3.608*100000000</v>
      </c>
      <c r="AP881" s="1">
        <f>3.608*100000000</f>
        <v>360800000</v>
      </c>
      <c r="AQ881" s="8">
        <f t="shared" si="428"/>
        <v>0.74890935530780389</v>
      </c>
      <c r="AR881" s="6" t="s">
        <v>9654</v>
      </c>
      <c r="AS881" s="6" t="str">
        <f t="shared" si="412"/>
        <v>=2.063*100000000</v>
      </c>
      <c r="AT881" s="1">
        <f>2.063*100000000</f>
        <v>206300000.00000003</v>
      </c>
      <c r="AU881" s="8">
        <f t="shared" si="429"/>
        <v>1.3073481713454873</v>
      </c>
      <c r="AV881" s="7" t="s">
        <v>9655</v>
      </c>
      <c r="AW881" s="6" t="str">
        <f t="shared" si="413"/>
        <v>=8941*10000</v>
      </c>
      <c r="AX881" s="1">
        <f>8941*10000</f>
        <v>89410000</v>
      </c>
      <c r="AY881" s="10">
        <f t="shared" si="430"/>
        <v>-0.74144013880855986</v>
      </c>
      <c r="AZ881" s="6" t="s">
        <v>9656</v>
      </c>
      <c r="BA881" s="6" t="str">
        <f t="shared" si="414"/>
        <v>=3.458*100000000</v>
      </c>
      <c r="BB881" s="1">
        <f>3.458*100000000</f>
        <v>345800000</v>
      </c>
      <c r="BC881" s="8">
        <f t="shared" si="431"/>
        <v>0.32490421455938695</v>
      </c>
      <c r="BD881" s="6" t="s">
        <v>9657</v>
      </c>
      <c r="BE881" s="6" t="str">
        <f t="shared" si="415"/>
        <v>=2.610*100000000</v>
      </c>
      <c r="BF881" s="1">
        <f>2.61*100000000</f>
        <v>261000000</v>
      </c>
      <c r="BG881" s="8">
        <f t="shared" si="432"/>
        <v>0.47624434389140269</v>
      </c>
      <c r="BH881" s="6" t="s">
        <v>242</v>
      </c>
      <c r="BI881" s="6" t="str">
        <f t="shared" si="416"/>
        <v>=1.768*100000000</v>
      </c>
      <c r="BJ881" s="1">
        <f>1.768*100000000</f>
        <v>176800000</v>
      </c>
      <c r="BK881" s="7" t="s">
        <v>9658</v>
      </c>
      <c r="BL881" s="1" t="str">
        <f t="shared" si="418"/>
        <v>=7383*10000</v>
      </c>
      <c r="BM881" s="16">
        <f t="shared" si="433"/>
        <v>1.3946905052146823</v>
      </c>
      <c r="BN881" s="1">
        <f>7383*10000</f>
        <v>73830000</v>
      </c>
    </row>
    <row r="882" spans="1:66">
      <c r="A882" s="17">
        <v>222</v>
      </c>
      <c r="B882">
        <v>600714</v>
      </c>
      <c r="C882" t="s">
        <v>31</v>
      </c>
      <c r="D882" s="6" t="s">
        <v>9659</v>
      </c>
      <c r="E882" s="7" t="str">
        <f t="shared" si="417"/>
        <v>=3.614*100000000</v>
      </c>
      <c r="F882" s="1">
        <f>3.614*100000000</f>
        <v>361400000</v>
      </c>
      <c r="G882" s="8">
        <f t="shared" si="419"/>
        <v>0.49524203558129931</v>
      </c>
      <c r="H882" s="6" t="s">
        <v>7595</v>
      </c>
      <c r="I882" s="6" t="str">
        <f t="shared" si="403"/>
        <v>=2.417*100000000</v>
      </c>
      <c r="J882" s="1">
        <f>2.417*100000000</f>
        <v>241699999.99999997</v>
      </c>
      <c r="K882" s="10">
        <f t="shared" si="420"/>
        <v>0.72150997150997132</v>
      </c>
      <c r="L882" s="6" t="s">
        <v>5578</v>
      </c>
      <c r="M882" s="6" t="str">
        <f t="shared" si="404"/>
        <v>=1.404*100000000</v>
      </c>
      <c r="N882" s="1">
        <f>1.404*100000000</f>
        <v>140400000</v>
      </c>
      <c r="O882" s="8">
        <f t="shared" si="421"/>
        <v>1.7036395147313692</v>
      </c>
      <c r="P882" s="7" t="s">
        <v>9660</v>
      </c>
      <c r="Q882" s="6" t="str">
        <f t="shared" si="405"/>
        <v>=5193*10000</v>
      </c>
      <c r="R882" s="11">
        <f>5193*10000</f>
        <v>51930000</v>
      </c>
      <c r="S882" s="8">
        <f t="shared" si="422"/>
        <v>-0.68141104294478527</v>
      </c>
      <c r="T882" s="6" t="s">
        <v>9661</v>
      </c>
      <c r="U882" s="6" t="str">
        <f t="shared" si="406"/>
        <v>=1.630*100000000</v>
      </c>
      <c r="V882" s="1">
        <f>1.63*100000000</f>
        <v>163000000</v>
      </c>
      <c r="W882" s="8">
        <f t="shared" si="423"/>
        <v>0.44375553587245348</v>
      </c>
      <c r="X882" s="6" t="s">
        <v>6383</v>
      </c>
      <c r="Y882" s="6" t="str">
        <f t="shared" si="407"/>
        <v>=1.129*100000000</v>
      </c>
      <c r="Z882" s="1">
        <f>1.129*100000000</f>
        <v>112900000</v>
      </c>
      <c r="AA882" s="8">
        <f t="shared" si="424"/>
        <v>0.82096774193548383</v>
      </c>
      <c r="AB882" s="7" t="s">
        <v>6761</v>
      </c>
      <c r="AC882" s="6" t="str">
        <f t="shared" si="408"/>
        <v>=6200*10000</v>
      </c>
      <c r="AD882" s="1">
        <f>6200*10000</f>
        <v>62000000</v>
      </c>
      <c r="AE882" s="8">
        <f t="shared" si="425"/>
        <v>1.1038344078724127</v>
      </c>
      <c r="AF882" s="7" t="s">
        <v>9662</v>
      </c>
      <c r="AG882" s="6" t="str">
        <f t="shared" si="409"/>
        <v>=2947*10000</v>
      </c>
      <c r="AH882" s="1">
        <f>2947*10000</f>
        <v>29470000</v>
      </c>
      <c r="AI882" s="8">
        <f t="shared" si="426"/>
        <v>-0.82321535692861425</v>
      </c>
      <c r="AJ882" s="6" t="s">
        <v>1562</v>
      </c>
      <c r="AK882" s="6" t="str">
        <f t="shared" si="410"/>
        <v>=1.667*100000000</v>
      </c>
      <c r="AL882" s="1">
        <f>1.667*100000000</f>
        <v>166700000</v>
      </c>
      <c r="AM882" s="8">
        <f t="shared" si="427"/>
        <v>0.33573717948717946</v>
      </c>
      <c r="AN882" s="6" t="s">
        <v>9663</v>
      </c>
      <c r="AO882" s="6" t="str">
        <f t="shared" si="411"/>
        <v>=1.248*100000000</v>
      </c>
      <c r="AP882" s="1">
        <f>1.248*100000000</f>
        <v>124800000</v>
      </c>
      <c r="AQ882" s="8">
        <f t="shared" si="428"/>
        <v>0.38497392076351128</v>
      </c>
      <c r="AR882" s="7" t="s">
        <v>9664</v>
      </c>
      <c r="AS882" s="6" t="str">
        <f t="shared" si="412"/>
        <v>=9011*10000</v>
      </c>
      <c r="AT882" s="1">
        <f>9011*10000</f>
        <v>90110000</v>
      </c>
      <c r="AU882" s="8">
        <f t="shared" si="429"/>
        <v>0.58282100825575267</v>
      </c>
      <c r="AV882" s="7" t="s">
        <v>9665</v>
      </c>
      <c r="AW882" s="6" t="str">
        <f t="shared" si="413"/>
        <v>=5693*10000</v>
      </c>
      <c r="AX882" s="1">
        <f>5693*10000</f>
        <v>56930000</v>
      </c>
      <c r="AY882" s="10">
        <f t="shared" si="430"/>
        <v>-0.63784987277353689</v>
      </c>
      <c r="AZ882" s="6" t="s">
        <v>9666</v>
      </c>
      <c r="BA882" s="6" t="str">
        <f t="shared" si="414"/>
        <v>=1.572*100000000</v>
      </c>
      <c r="BB882" s="1">
        <f>1.572*100000000</f>
        <v>157200000</v>
      </c>
      <c r="BC882" s="8">
        <f t="shared" si="431"/>
        <v>0.71074110349330721</v>
      </c>
      <c r="BD882" s="7" t="s">
        <v>9667</v>
      </c>
      <c r="BE882" s="6" t="str">
        <f t="shared" si="415"/>
        <v>=9189*10000</v>
      </c>
      <c r="BF882" s="1">
        <f>9189*10000</f>
        <v>91890000</v>
      </c>
      <c r="BG882" s="8">
        <f t="shared" si="432"/>
        <v>0.53945384486513659</v>
      </c>
      <c r="BH882" s="7" t="s">
        <v>9668</v>
      </c>
      <c r="BI882" s="6" t="str">
        <f t="shared" si="416"/>
        <v>=5969*10000</v>
      </c>
      <c r="BJ882" s="1">
        <f>5969*10000</f>
        <v>59690000</v>
      </c>
      <c r="BK882" s="7" t="s">
        <v>9669</v>
      </c>
      <c r="BL882" s="1" t="str">
        <f t="shared" si="418"/>
        <v>=3010*10000</v>
      </c>
      <c r="BM882" s="16">
        <f t="shared" si="433"/>
        <v>0.98305647840531563</v>
      </c>
      <c r="BN882" s="1">
        <f>3010*10000</f>
        <v>30100000</v>
      </c>
    </row>
    <row r="883" spans="1:66">
      <c r="A883" s="18"/>
      <c r="B883">
        <v>600714</v>
      </c>
      <c r="C883" t="s">
        <v>48</v>
      </c>
      <c r="D883" s="7" t="s">
        <v>9670</v>
      </c>
      <c r="E883" s="7" t="str">
        <f t="shared" si="417"/>
        <v>=9318*10000</v>
      </c>
      <c r="F883" s="1">
        <f>9318*10000</f>
        <v>93180000</v>
      </c>
      <c r="G883" s="8">
        <f t="shared" si="419"/>
        <v>0.59418306244653551</v>
      </c>
      <c r="H883" s="7" t="s">
        <v>2834</v>
      </c>
      <c r="I883" s="6" t="str">
        <f t="shared" si="403"/>
        <v>=5845*10000</v>
      </c>
      <c r="J883" s="1">
        <f>5845*10000</f>
        <v>58450000</v>
      </c>
      <c r="K883" s="10">
        <f t="shared" si="420"/>
        <v>1.3464472099558411</v>
      </c>
      <c r="L883" s="7" t="s">
        <v>9671</v>
      </c>
      <c r="M883" s="6" t="str">
        <f t="shared" si="404"/>
        <v>=2491*10000</v>
      </c>
      <c r="N883" s="1">
        <f>2491*10000</f>
        <v>24910000</v>
      </c>
      <c r="O883" s="8">
        <f t="shared" si="421"/>
        <v>5.3287601626016263</v>
      </c>
      <c r="P883" s="7" t="s">
        <v>9672</v>
      </c>
      <c r="Q883" s="6" t="str">
        <f t="shared" si="405"/>
        <v>=393.6*10000</v>
      </c>
      <c r="R883" s="11">
        <f>393.6*10000</f>
        <v>3936000</v>
      </c>
      <c r="S883" s="8">
        <f t="shared" si="422"/>
        <v>1.355475763016158</v>
      </c>
      <c r="T883" s="7" t="s">
        <v>9673</v>
      </c>
      <c r="U883" s="6" t="str">
        <f t="shared" si="406"/>
        <v>=167.1*10000</v>
      </c>
      <c r="V883" s="1">
        <f>167.1*10000</f>
        <v>1671000</v>
      </c>
      <c r="W883" s="8">
        <f t="shared" si="423"/>
        <v>6.0655391120507396</v>
      </c>
      <c r="X883" s="7" t="s">
        <v>9674</v>
      </c>
      <c r="Y883" s="6" t="str">
        <f t="shared" si="407"/>
        <v>=23.65*10000</v>
      </c>
      <c r="Z883" s="1">
        <f>23.65*10000</f>
        <v>236500</v>
      </c>
      <c r="AA883" s="8">
        <f t="shared" si="424"/>
        <v>-4.3858267716535435</v>
      </c>
      <c r="AB883" s="7">
        <f>-6.985*10000</f>
        <v>-69850</v>
      </c>
      <c r="AC883" s="6" t="str">
        <f t="shared" si="408"/>
        <v>=-69850</v>
      </c>
      <c r="AD883" s="1">
        <f>-69850</f>
        <v>-69850</v>
      </c>
      <c r="AE883" s="8">
        <f t="shared" si="425"/>
        <v>-0.97567896935933152</v>
      </c>
      <c r="AF883" s="7">
        <f>-287.2*10000</f>
        <v>-2872000</v>
      </c>
      <c r="AG883" s="6" t="str">
        <f t="shared" si="409"/>
        <v>=-2872000</v>
      </c>
      <c r="AH883" s="1">
        <f>-2872000</f>
        <v>-2872000</v>
      </c>
      <c r="AI883" s="8">
        <f t="shared" si="426"/>
        <v>-0.66144052811505361</v>
      </c>
      <c r="AJ883" s="7">
        <f>-848.3*10000</f>
        <v>-8483000</v>
      </c>
      <c r="AK883" s="6" t="str">
        <f t="shared" si="410"/>
        <v>=-8483000</v>
      </c>
      <c r="AL883" s="1">
        <f>-8483000</f>
        <v>-8483000</v>
      </c>
      <c r="AM883" s="8">
        <f t="shared" si="427"/>
        <v>-5.4670879410215907</v>
      </c>
      <c r="AN883" s="7" t="s">
        <v>9675</v>
      </c>
      <c r="AO883" s="6" t="str">
        <f t="shared" si="411"/>
        <v>=189.9*10000</v>
      </c>
      <c r="AP883" s="1">
        <f>189.9*10000</f>
        <v>1899000</v>
      </c>
      <c r="AQ883" s="8">
        <f t="shared" si="428"/>
        <v>-0.2839366515837104</v>
      </c>
      <c r="AR883" s="7" t="s">
        <v>9676</v>
      </c>
      <c r="AS883" s="6" t="str">
        <f t="shared" si="412"/>
        <v>=265.2*10000</v>
      </c>
      <c r="AT883" s="1">
        <f>265.2*10000</f>
        <v>2652000</v>
      </c>
      <c r="AU883" s="8">
        <f t="shared" si="429"/>
        <v>-4.2631967515688443</v>
      </c>
      <c r="AV883" s="7">
        <f>-81.27*10000</f>
        <v>-812700</v>
      </c>
      <c r="AW883" s="6" t="str">
        <f t="shared" si="413"/>
        <v>=-812700</v>
      </c>
      <c r="AX883" s="1">
        <f>-812700</f>
        <v>-812700</v>
      </c>
      <c r="AY883" s="10">
        <f t="shared" si="430"/>
        <v>-1.0304268064395357</v>
      </c>
      <c r="AZ883" s="7" t="s">
        <v>9677</v>
      </c>
      <c r="BA883" s="6" t="str">
        <f t="shared" si="414"/>
        <v>=2671*10000</v>
      </c>
      <c r="BB883" s="1">
        <f>2671*10000</f>
        <v>26710000</v>
      </c>
      <c r="BC883" s="8">
        <f t="shared" si="431"/>
        <v>0.39769754055468343</v>
      </c>
      <c r="BD883" s="7" t="s">
        <v>9678</v>
      </c>
      <c r="BE883" s="6" t="str">
        <f t="shared" si="415"/>
        <v>=1911*10000</v>
      </c>
      <c r="BF883" s="1">
        <f>1911*10000</f>
        <v>19110000</v>
      </c>
      <c r="BG883" s="8">
        <f t="shared" si="432"/>
        <v>1.0390524967989756</v>
      </c>
      <c r="BH883" s="7" t="s">
        <v>9679</v>
      </c>
      <c r="BI883" s="6" t="str">
        <f t="shared" si="416"/>
        <v>=937.2*10000</v>
      </c>
      <c r="BJ883" s="1">
        <f>937.2*10000</f>
        <v>9372000</v>
      </c>
      <c r="BK883" s="7" t="s">
        <v>9680</v>
      </c>
      <c r="BL883" s="1" t="str">
        <f t="shared" si="418"/>
        <v>=570.0*10000</v>
      </c>
      <c r="BM883" s="16">
        <f t="shared" si="433"/>
        <v>0.64421052631578946</v>
      </c>
      <c r="BN883" s="1">
        <f>570*10000</f>
        <v>5700000</v>
      </c>
    </row>
    <row r="884" spans="1:66">
      <c r="A884" s="18"/>
      <c r="B884">
        <v>600714</v>
      </c>
      <c r="C884" t="s">
        <v>58</v>
      </c>
      <c r="D884" s="7" t="s">
        <v>9681</v>
      </c>
      <c r="E884" s="7" t="str">
        <f t="shared" si="417"/>
        <v>=9104*10000</v>
      </c>
      <c r="F884" s="1">
        <f>9104*10000</f>
        <v>91040000</v>
      </c>
      <c r="G884" s="8">
        <f t="shared" si="419"/>
        <v>0.55703779716093726</v>
      </c>
      <c r="H884" s="7" t="s">
        <v>9682</v>
      </c>
      <c r="I884" s="6" t="str">
        <f t="shared" si="403"/>
        <v>=5847*10000</v>
      </c>
      <c r="J884" s="1">
        <f>5847*10000</f>
        <v>58470000</v>
      </c>
      <c r="K884" s="10">
        <f t="shared" si="420"/>
        <v>1.3434869739478958</v>
      </c>
      <c r="L884" s="7" t="s">
        <v>6507</v>
      </c>
      <c r="M884" s="6" t="str">
        <f t="shared" si="404"/>
        <v>=2495*10000</v>
      </c>
      <c r="N884" s="1">
        <f>2495*10000</f>
        <v>24950000</v>
      </c>
      <c r="O884" s="8">
        <f t="shared" si="421"/>
        <v>5.3260649087221097</v>
      </c>
      <c r="P884" s="7" t="s">
        <v>9683</v>
      </c>
      <c r="Q884" s="6" t="str">
        <f t="shared" si="405"/>
        <v>=394.4*10000</v>
      </c>
      <c r="R884" s="11">
        <f>394.4*10000</f>
        <v>3944000</v>
      </c>
      <c r="S884" s="8">
        <f t="shared" si="422"/>
        <v>-0.11430496294632832</v>
      </c>
      <c r="T884" s="7" t="s">
        <v>9684</v>
      </c>
      <c r="U884" s="6" t="str">
        <f t="shared" si="406"/>
        <v>=445.3*10000</v>
      </c>
      <c r="V884" s="1">
        <f>445.3*10000</f>
        <v>4453000</v>
      </c>
      <c r="W884" s="8">
        <f t="shared" si="423"/>
        <v>4.8095238095238093</v>
      </c>
      <c r="X884" s="7" t="s">
        <v>9685</v>
      </c>
      <c r="Y884" s="6" t="str">
        <f t="shared" si="407"/>
        <v>=76.65*10000</v>
      </c>
      <c r="Z884" s="1">
        <f>76.65*10000</f>
        <v>766500</v>
      </c>
      <c r="AA884" s="8">
        <f t="shared" si="424"/>
        <v>-47.680876979293544</v>
      </c>
      <c r="AB884" s="7">
        <f>-1.642*10000</f>
        <v>-16420</v>
      </c>
      <c r="AC884" s="6" t="str">
        <f t="shared" si="408"/>
        <v>=-16420</v>
      </c>
      <c r="AD884" s="1">
        <f>-16420</f>
        <v>-16420</v>
      </c>
      <c r="AE884" s="8">
        <f t="shared" si="425"/>
        <v>-0.99413152251608294</v>
      </c>
      <c r="AF884" s="7">
        <f>-279.8*10000</f>
        <v>-2798000</v>
      </c>
      <c r="AG884" s="6" t="str">
        <f t="shared" si="409"/>
        <v>=-2798000</v>
      </c>
      <c r="AH884" s="1">
        <f>-2798000</f>
        <v>-2798000</v>
      </c>
      <c r="AI884" s="8">
        <f t="shared" si="426"/>
        <v>-0.58786271910443366</v>
      </c>
      <c r="AJ884" s="7">
        <f>-678.9*10000</f>
        <v>-6789000</v>
      </c>
      <c r="AK884" s="6" t="str">
        <f t="shared" si="410"/>
        <v>=-6789000</v>
      </c>
      <c r="AL884" s="1">
        <f>-6789000</f>
        <v>-6789000</v>
      </c>
      <c r="AM884" s="8">
        <f t="shared" si="427"/>
        <v>-3.5436493068565005</v>
      </c>
      <c r="AN884" s="7" t="s">
        <v>9686</v>
      </c>
      <c r="AO884" s="6" t="str">
        <f t="shared" si="411"/>
        <v>=266.9*10000</v>
      </c>
      <c r="AP884" s="1">
        <f>266.9*10000</f>
        <v>2669000</v>
      </c>
      <c r="AQ884" s="8">
        <f t="shared" si="428"/>
        <v>-0.10526315789473684</v>
      </c>
      <c r="AR884" s="7" t="s">
        <v>9687</v>
      </c>
      <c r="AS884" s="6" t="str">
        <f t="shared" si="412"/>
        <v>=298.3*10000</v>
      </c>
      <c r="AT884" s="1">
        <f>298.3*10000</f>
        <v>2983000</v>
      </c>
      <c r="AU884" s="8">
        <f t="shared" si="429"/>
        <v>-6.5746589422537847</v>
      </c>
      <c r="AV884" s="7">
        <f>-53.51*10000</f>
        <v>-535100</v>
      </c>
      <c r="AW884" s="6" t="str">
        <f t="shared" si="413"/>
        <v>=-535100</v>
      </c>
      <c r="AX884" s="1">
        <f>-535100</f>
        <v>-535100</v>
      </c>
      <c r="AY884" s="10">
        <f t="shared" si="430"/>
        <v>-1.0198995909259947</v>
      </c>
      <c r="AZ884" s="7" t="s">
        <v>9688</v>
      </c>
      <c r="BA884" s="6" t="str">
        <f t="shared" si="414"/>
        <v>=2689*10000</v>
      </c>
      <c r="BB884" s="1">
        <f>2689*10000</f>
        <v>26890000</v>
      </c>
      <c r="BC884" s="8">
        <f t="shared" si="431"/>
        <v>0.39688311688311689</v>
      </c>
      <c r="BD884" s="7" t="s">
        <v>4182</v>
      </c>
      <c r="BE884" s="6" t="str">
        <f t="shared" si="415"/>
        <v>=1925*10000</v>
      </c>
      <c r="BF884" s="1">
        <f>1925*10000</f>
        <v>19250000</v>
      </c>
      <c r="BG884" s="8">
        <f t="shared" si="432"/>
        <v>1.0303765425588018</v>
      </c>
      <c r="BH884" s="7" t="s">
        <v>9689</v>
      </c>
      <c r="BI884" s="6" t="str">
        <f t="shared" si="416"/>
        <v>=948.1*10000</v>
      </c>
      <c r="BJ884" s="1">
        <f>948.1*10000</f>
        <v>9481000</v>
      </c>
      <c r="BK884" s="7" t="s">
        <v>9690</v>
      </c>
      <c r="BL884" s="1" t="str">
        <f t="shared" si="418"/>
        <v>=572.1*10000</v>
      </c>
      <c r="BM884" s="16">
        <f t="shared" si="433"/>
        <v>0.65722775738507255</v>
      </c>
      <c r="BN884" s="1">
        <f>572.1*10000</f>
        <v>5721000</v>
      </c>
    </row>
    <row r="885" spans="1:66">
      <c r="A885" s="19"/>
      <c r="B885">
        <v>600714</v>
      </c>
      <c r="C885" t="s">
        <v>68</v>
      </c>
      <c r="D885" s="7" t="s">
        <v>9691</v>
      </c>
      <c r="E885" s="7" t="str">
        <f t="shared" si="417"/>
        <v>=7736*10000</v>
      </c>
      <c r="F885" s="1">
        <f>7736*10000</f>
        <v>77360000</v>
      </c>
      <c r="G885" s="8">
        <f t="shared" si="419"/>
        <v>0.50946341463414635</v>
      </c>
      <c r="H885" s="7" t="s">
        <v>9692</v>
      </c>
      <c r="I885" s="6" t="str">
        <f t="shared" si="403"/>
        <v>=5125*10000</v>
      </c>
      <c r="J885" s="1">
        <f>5125*10000</f>
        <v>51250000</v>
      </c>
      <c r="K885" s="10">
        <f t="shared" si="420"/>
        <v>1.4545019157088122</v>
      </c>
      <c r="L885" s="7" t="s">
        <v>9693</v>
      </c>
      <c r="M885" s="6" t="str">
        <f t="shared" si="404"/>
        <v>=2088*10000</v>
      </c>
      <c r="N885" s="1">
        <f>2088*10000</f>
        <v>20880000</v>
      </c>
      <c r="O885" s="8">
        <f t="shared" si="421"/>
        <v>6.3547023599859109</v>
      </c>
      <c r="P885" s="7" t="s">
        <v>9694</v>
      </c>
      <c r="Q885" s="6" t="str">
        <f t="shared" si="405"/>
        <v>=283.9*10000</v>
      </c>
      <c r="R885" s="11">
        <f>283.9*10000</f>
        <v>2839000</v>
      </c>
      <c r="S885" s="8">
        <f t="shared" si="422"/>
        <v>-0.20698324022346368</v>
      </c>
      <c r="T885" s="7" t="s">
        <v>9695</v>
      </c>
      <c r="U885" s="6" t="str">
        <f t="shared" si="406"/>
        <v>=358.0*10000</v>
      </c>
      <c r="V885" s="1">
        <f>358*10000</f>
        <v>3580000</v>
      </c>
      <c r="W885" s="8">
        <f t="shared" si="423"/>
        <v>8.6678368890089121</v>
      </c>
      <c r="X885" s="7" t="s">
        <v>9696</v>
      </c>
      <c r="Y885" s="6" t="str">
        <f t="shared" si="407"/>
        <v>=37.03*10000</v>
      </c>
      <c r="Z885" s="1">
        <f>37.03*10000</f>
        <v>370300</v>
      </c>
      <c r="AA885" s="8">
        <f t="shared" si="424"/>
        <v>-1.8974793989335919</v>
      </c>
      <c r="AB885" s="7">
        <f>-41.26*10000</f>
        <v>-412600</v>
      </c>
      <c r="AC885" s="6" t="str">
        <f t="shared" si="408"/>
        <v>=-412600</v>
      </c>
      <c r="AD885" s="1">
        <f>-412600</f>
        <v>-412600</v>
      </c>
      <c r="AE885" s="8">
        <f t="shared" si="425"/>
        <v>-0.85980292218824328</v>
      </c>
      <c r="AF885" s="7">
        <f>-294.3*10000</f>
        <v>-2943000</v>
      </c>
      <c r="AG885" s="6" t="str">
        <f t="shared" si="409"/>
        <v>=-2943000</v>
      </c>
      <c r="AH885" s="1">
        <f>-2943000</f>
        <v>-2943000</v>
      </c>
      <c r="AI885" s="8">
        <f t="shared" si="426"/>
        <v>-0.68767908309455583</v>
      </c>
      <c r="AJ885" s="7">
        <f>-942.3*10000</f>
        <v>-9423000</v>
      </c>
      <c r="AK885" s="6" t="str">
        <f t="shared" si="410"/>
        <v>=-9423000</v>
      </c>
      <c r="AL885" s="1">
        <f>-9423000</f>
        <v>-9423000</v>
      </c>
      <c r="AM885" s="8">
        <f t="shared" si="427"/>
        <v>-8.1278366111951588</v>
      </c>
      <c r="AN885" s="7" t="s">
        <v>9697</v>
      </c>
      <c r="AO885" s="6" t="str">
        <f t="shared" si="411"/>
        <v>=132.2*10000</v>
      </c>
      <c r="AP885" s="1">
        <f>132.2*10000</f>
        <v>1322000</v>
      </c>
      <c r="AQ885" s="8">
        <f t="shared" si="428"/>
        <v>-0.27995642701525053</v>
      </c>
      <c r="AR885" s="7" t="s">
        <v>9698</v>
      </c>
      <c r="AS885" s="6" t="str">
        <f t="shared" si="412"/>
        <v>=183.6*10000</v>
      </c>
      <c r="AT885" s="1">
        <f>183.6*10000</f>
        <v>1836000</v>
      </c>
      <c r="AU885" s="8">
        <f t="shared" si="429"/>
        <v>-2.8506198971877836</v>
      </c>
      <c r="AV885" s="7">
        <f>-99.21*10000</f>
        <v>-992099.99999999988</v>
      </c>
      <c r="AW885" s="6" t="str">
        <f t="shared" si="413"/>
        <v>=-992100</v>
      </c>
      <c r="AX885" s="1">
        <f>-992100</f>
        <v>-992100</v>
      </c>
      <c r="AY885" s="10">
        <f t="shared" si="430"/>
        <v>-1.043627968337731</v>
      </c>
      <c r="AZ885" s="7" t="s">
        <v>9699</v>
      </c>
      <c r="BA885" s="6" t="str">
        <f t="shared" si="414"/>
        <v>=2274*10000</v>
      </c>
      <c r="BB885" s="1">
        <f>2274*10000</f>
        <v>22740000</v>
      </c>
      <c r="BC885" s="8">
        <f t="shared" si="431"/>
        <v>0.4595635430038511</v>
      </c>
      <c r="BD885" s="7" t="s">
        <v>9700</v>
      </c>
      <c r="BE885" s="6" t="str">
        <f t="shared" si="415"/>
        <v>=1558*10000</v>
      </c>
      <c r="BF885" s="1">
        <f>1558*10000</f>
        <v>15580000</v>
      </c>
      <c r="BG885" s="8">
        <f t="shared" si="432"/>
        <v>1.148372862658577</v>
      </c>
      <c r="BH885" s="7" t="s">
        <v>9701</v>
      </c>
      <c r="BI885" s="6" t="str">
        <f t="shared" si="416"/>
        <v>=725.2*10000</v>
      </c>
      <c r="BJ885" s="1">
        <f>725.2*10000</f>
        <v>7252000</v>
      </c>
      <c r="BK885" s="7" t="s">
        <v>9702</v>
      </c>
      <c r="BL885" s="1" t="str">
        <f t="shared" si="418"/>
        <v>=445.0*10000</v>
      </c>
      <c r="BM885" s="16">
        <f t="shared" si="433"/>
        <v>0.62966292134831459</v>
      </c>
      <c r="BN885" s="1">
        <f>445*10000</f>
        <v>4450000</v>
      </c>
    </row>
    <row r="886" spans="1:66">
      <c r="A886" s="17">
        <v>223</v>
      </c>
      <c r="B886">
        <v>600717</v>
      </c>
      <c r="C886" t="s">
        <v>31</v>
      </c>
      <c r="D886" s="6" t="s">
        <v>4943</v>
      </c>
      <c r="E886" s="7" t="str">
        <f t="shared" si="417"/>
        <v>=144.7*100000000</v>
      </c>
      <c r="F886" s="1">
        <f>144.7*100000000</f>
        <v>14469999999.999998</v>
      </c>
      <c r="G886" s="8">
        <f t="shared" si="419"/>
        <v>0.34230055658627068</v>
      </c>
      <c r="H886" s="6" t="s">
        <v>4719</v>
      </c>
      <c r="I886" s="6" t="str">
        <f t="shared" si="403"/>
        <v>=107.8*100000000</v>
      </c>
      <c r="J886" s="1">
        <f>107.8*100000000</f>
        <v>10780000000</v>
      </c>
      <c r="K886" s="10">
        <f t="shared" si="420"/>
        <v>0.51681440832981584</v>
      </c>
      <c r="L886" s="6" t="s">
        <v>9703</v>
      </c>
      <c r="M886" s="6" t="str">
        <f t="shared" si="404"/>
        <v>=71.07*100000000</v>
      </c>
      <c r="N886" s="1">
        <f>71.07*100000000</f>
        <v>7106999999.999999</v>
      </c>
      <c r="O886" s="8">
        <f t="shared" si="421"/>
        <v>1.2272015042306483</v>
      </c>
      <c r="P886" s="6" t="s">
        <v>9704</v>
      </c>
      <c r="Q886" s="6" t="str">
        <f t="shared" si="405"/>
        <v>=31.91*100000000</v>
      </c>
      <c r="R886" s="11">
        <f>31.91*100000000</f>
        <v>3191000000</v>
      </c>
      <c r="S886" s="8">
        <f t="shared" si="422"/>
        <v>-0.76960288808664257</v>
      </c>
      <c r="T886" s="6" t="s">
        <v>9705</v>
      </c>
      <c r="U886" s="6" t="str">
        <f t="shared" si="406"/>
        <v>=138.5*100000000</v>
      </c>
      <c r="V886" s="1">
        <f>138.5*100000000</f>
        <v>13850000000</v>
      </c>
      <c r="W886" s="8">
        <f t="shared" si="423"/>
        <v>0.44255806686803456</v>
      </c>
      <c r="X886" s="6" t="s">
        <v>9706</v>
      </c>
      <c r="Y886" s="6" t="str">
        <f t="shared" si="407"/>
        <v>=96.01*100000000</v>
      </c>
      <c r="Z886" s="1">
        <f>96.01*100000000</f>
        <v>9601000000</v>
      </c>
      <c r="AA886" s="8">
        <f t="shared" si="424"/>
        <v>0.71354631447438877</v>
      </c>
      <c r="AB886" s="6" t="s">
        <v>1539</v>
      </c>
      <c r="AC886" s="6" t="str">
        <f t="shared" si="408"/>
        <v>=56.03*100000000</v>
      </c>
      <c r="AD886" s="1">
        <f>56.03*100000000</f>
        <v>5603000000</v>
      </c>
      <c r="AE886" s="8">
        <f t="shared" si="425"/>
        <v>1.0698189878093831</v>
      </c>
      <c r="AF886" s="6" t="s">
        <v>9707</v>
      </c>
      <c r="AG886" s="6" t="str">
        <f t="shared" si="409"/>
        <v>=27.07*100000000</v>
      </c>
      <c r="AH886" s="1">
        <f>27.07*100000000</f>
        <v>2707000000</v>
      </c>
      <c r="AI886" s="8">
        <f t="shared" si="426"/>
        <v>-0.7898291925465839</v>
      </c>
      <c r="AJ886" s="6" t="s">
        <v>9708</v>
      </c>
      <c r="AK886" s="6" t="str">
        <f t="shared" si="410"/>
        <v>=128.8*100000000</v>
      </c>
      <c r="AL886" s="1">
        <f>128.8*100000000</f>
        <v>12880000000.000002</v>
      </c>
      <c r="AM886" s="8">
        <f t="shared" si="427"/>
        <v>0.36672325976230918</v>
      </c>
      <c r="AN886" s="6" t="s">
        <v>4733</v>
      </c>
      <c r="AO886" s="6" t="str">
        <f t="shared" si="411"/>
        <v>=94.24*100000000</v>
      </c>
      <c r="AP886" s="1">
        <f>94.24*100000000</f>
        <v>9424000000</v>
      </c>
      <c r="AQ886" s="8">
        <f t="shared" si="428"/>
        <v>0.58200436461306027</v>
      </c>
      <c r="AR886" s="6" t="s">
        <v>9709</v>
      </c>
      <c r="AS886" s="6" t="str">
        <f t="shared" si="412"/>
        <v>=59.57*100000000</v>
      </c>
      <c r="AT886" s="1">
        <f>59.57*100000000</f>
        <v>5957000000</v>
      </c>
      <c r="AU886" s="8">
        <f t="shared" si="429"/>
        <v>1.1139105748757985</v>
      </c>
      <c r="AV886" s="6" t="s">
        <v>314</v>
      </c>
      <c r="AW886" s="6" t="str">
        <f t="shared" si="413"/>
        <v>=28.18*100000000</v>
      </c>
      <c r="AX886" s="1">
        <f>28.18*100000000</f>
        <v>2818000000</v>
      </c>
      <c r="AY886" s="10">
        <f t="shared" si="430"/>
        <v>-0.7842266462480858</v>
      </c>
      <c r="AZ886" s="6" t="s">
        <v>9710</v>
      </c>
      <c r="BA886" s="6" t="str">
        <f t="shared" si="414"/>
        <v>=130.6*100000000</v>
      </c>
      <c r="BB886" s="1">
        <f>130.6*100000000</f>
        <v>13060000000</v>
      </c>
      <c r="BC886" s="8">
        <f t="shared" si="431"/>
        <v>0.38552938680246129</v>
      </c>
      <c r="BD886" s="6" t="s">
        <v>9711</v>
      </c>
      <c r="BE886" s="6" t="str">
        <f t="shared" si="415"/>
        <v>=94.26*100000000</v>
      </c>
      <c r="BF886" s="1">
        <f>94.26*100000000</f>
        <v>9426000000</v>
      </c>
      <c r="BG886" s="8">
        <f t="shared" si="432"/>
        <v>0.59034924919858278</v>
      </c>
      <c r="BH886" s="6" t="s">
        <v>9712</v>
      </c>
      <c r="BI886" s="6" t="str">
        <f t="shared" si="416"/>
        <v>=59.27*100000000</v>
      </c>
      <c r="BJ886" s="1">
        <f>59.27*100000000</f>
        <v>5927000000</v>
      </c>
      <c r="BK886" s="6" t="s">
        <v>9713</v>
      </c>
      <c r="BL886" s="1" t="str">
        <f t="shared" si="418"/>
        <v>=27.58*100000000</v>
      </c>
      <c r="BM886" s="16">
        <f t="shared" si="433"/>
        <v>1.1490210297316896</v>
      </c>
      <c r="BN886" s="1">
        <f>27.58*100000000</f>
        <v>2758000000</v>
      </c>
    </row>
    <row r="887" spans="1:66">
      <c r="A887" s="18"/>
      <c r="B887">
        <v>600717</v>
      </c>
      <c r="C887" t="s">
        <v>48</v>
      </c>
      <c r="D887" s="6" t="s">
        <v>8366</v>
      </c>
      <c r="E887" s="7" t="str">
        <f t="shared" si="417"/>
        <v>=18.26*100000000</v>
      </c>
      <c r="F887" s="1">
        <f>18.26*100000000</f>
        <v>1826000000.0000002</v>
      </c>
      <c r="G887" s="8">
        <f t="shared" si="419"/>
        <v>0.45846645367412159</v>
      </c>
      <c r="H887" s="6" t="s">
        <v>8066</v>
      </c>
      <c r="I887" s="6" t="str">
        <f t="shared" si="403"/>
        <v>=12.52*100000000</v>
      </c>
      <c r="J887" s="1">
        <f>12.52*100000000</f>
        <v>1252000000</v>
      </c>
      <c r="K887" s="10">
        <f t="shared" si="420"/>
        <v>0.40959243413645574</v>
      </c>
      <c r="L887" s="6" t="s">
        <v>9714</v>
      </c>
      <c r="M887" s="6" t="str">
        <f t="shared" si="404"/>
        <v>=8.882*100000000</v>
      </c>
      <c r="N887" s="1">
        <f>8.882*100000000</f>
        <v>888200000</v>
      </c>
      <c r="O887" s="8">
        <f t="shared" si="421"/>
        <v>1.4031385281385282</v>
      </c>
      <c r="P887" s="6" t="s">
        <v>5702</v>
      </c>
      <c r="Q887" s="6" t="str">
        <f t="shared" si="405"/>
        <v>=3.696*100000000</v>
      </c>
      <c r="R887" s="11">
        <f>3.696*100000000</f>
        <v>369600000</v>
      </c>
      <c r="S887" s="8">
        <f t="shared" si="422"/>
        <v>-0.74942372881355934</v>
      </c>
      <c r="T887" s="6" t="s">
        <v>6742</v>
      </c>
      <c r="U887" s="6" t="str">
        <f t="shared" si="406"/>
        <v>=14.75*100000000</v>
      </c>
      <c r="V887" s="1">
        <f>14.75*100000000</f>
        <v>1475000000</v>
      </c>
      <c r="W887" s="8">
        <f t="shared" si="423"/>
        <v>0.25212224108658743</v>
      </c>
      <c r="X887" s="6" t="s">
        <v>2035</v>
      </c>
      <c r="Y887" s="6" t="str">
        <f t="shared" si="407"/>
        <v>=11.78*100000000</v>
      </c>
      <c r="Z887" s="1">
        <f>11.78*100000000</f>
        <v>1178000000</v>
      </c>
      <c r="AA887" s="8">
        <f t="shared" si="424"/>
        <v>0.61436206660271342</v>
      </c>
      <c r="AB887" s="6" t="s">
        <v>9715</v>
      </c>
      <c r="AC887" s="6" t="str">
        <f t="shared" si="408"/>
        <v>=7.297*100000000</v>
      </c>
      <c r="AD887" s="1">
        <f>7.297*100000000</f>
        <v>729700000</v>
      </c>
      <c r="AE887" s="8">
        <f t="shared" si="425"/>
        <v>1.8076183147364369</v>
      </c>
      <c r="AF887" s="6" t="s">
        <v>9716</v>
      </c>
      <c r="AG887" s="6" t="str">
        <f t="shared" si="409"/>
        <v>=2.599*100000000</v>
      </c>
      <c r="AH887" s="1">
        <f>2.599*100000000</f>
        <v>259900000.00000003</v>
      </c>
      <c r="AI887" s="8">
        <f t="shared" si="426"/>
        <v>-0.81382521489971349</v>
      </c>
      <c r="AJ887" s="6" t="s">
        <v>4228</v>
      </c>
      <c r="AK887" s="6" t="str">
        <f t="shared" si="410"/>
        <v>=13.96*100000000</v>
      </c>
      <c r="AL887" s="1">
        <f>13.96*100000000</f>
        <v>1396000000</v>
      </c>
      <c r="AM887" s="8">
        <f t="shared" si="427"/>
        <v>0.12580645161290321</v>
      </c>
      <c r="AN887" s="6" t="s">
        <v>3689</v>
      </c>
      <c r="AO887" s="6" t="str">
        <f t="shared" si="411"/>
        <v>=12.40*100000000</v>
      </c>
      <c r="AP887" s="1">
        <f>12.4*100000000</f>
        <v>1240000000</v>
      </c>
      <c r="AQ887" s="8">
        <f t="shared" si="428"/>
        <v>0.70306276610355722</v>
      </c>
      <c r="AR887" s="6" t="s">
        <v>9717</v>
      </c>
      <c r="AS887" s="6" t="str">
        <f t="shared" si="412"/>
        <v>=7.281*100000000</v>
      </c>
      <c r="AT887" s="1">
        <f>7.281*100000000</f>
        <v>728100000</v>
      </c>
      <c r="AU887" s="8">
        <f t="shared" si="429"/>
        <v>1.7950095969289828</v>
      </c>
      <c r="AV887" s="6" t="s">
        <v>9718</v>
      </c>
      <c r="AW887" s="6" t="str">
        <f t="shared" si="413"/>
        <v>=2.605*100000000</v>
      </c>
      <c r="AX887" s="1">
        <f>2.605*100000000</f>
        <v>260500000</v>
      </c>
      <c r="AY887" s="10">
        <f t="shared" si="430"/>
        <v>-0.818086592178771</v>
      </c>
      <c r="AZ887" s="6" t="s">
        <v>4340</v>
      </c>
      <c r="BA887" s="6" t="str">
        <f t="shared" si="414"/>
        <v>=14.32*100000000</v>
      </c>
      <c r="BB887" s="1">
        <f>14.32*100000000</f>
        <v>1432000000</v>
      </c>
      <c r="BC887" s="8">
        <f t="shared" si="431"/>
        <v>7.6691729323308269E-2</v>
      </c>
      <c r="BD887" s="6" t="s">
        <v>3535</v>
      </c>
      <c r="BE887" s="6" t="str">
        <f t="shared" si="415"/>
        <v>=13.30*100000000</v>
      </c>
      <c r="BF887" s="1">
        <f>13.3*100000000</f>
        <v>1330000000</v>
      </c>
      <c r="BG887" s="8">
        <f t="shared" si="432"/>
        <v>0.48205928237129486</v>
      </c>
      <c r="BH887" s="6" t="s">
        <v>9719</v>
      </c>
      <c r="BI887" s="6" t="str">
        <f t="shared" si="416"/>
        <v>=8.974*100000000</v>
      </c>
      <c r="BJ887" s="1">
        <f>8.974*100000000</f>
        <v>897400000</v>
      </c>
      <c r="BK887" s="6" t="s">
        <v>9720</v>
      </c>
      <c r="BL887" s="1" t="str">
        <f t="shared" si="418"/>
        <v>=4.932*100000000</v>
      </c>
      <c r="BM887" s="16">
        <f t="shared" si="433"/>
        <v>0.81954582319545799</v>
      </c>
      <c r="BN887" s="1">
        <f>4.932*100000000</f>
        <v>493200000.00000006</v>
      </c>
    </row>
    <row r="888" spans="1:66">
      <c r="A888" s="18"/>
      <c r="B888">
        <v>600717</v>
      </c>
      <c r="C888" t="s">
        <v>58</v>
      </c>
      <c r="D888" s="6" t="s">
        <v>8652</v>
      </c>
      <c r="E888" s="7" t="str">
        <f t="shared" si="417"/>
        <v>=18.09*100000000</v>
      </c>
      <c r="F888" s="1">
        <f>18.09*100000000</f>
        <v>1809000000</v>
      </c>
      <c r="G888" s="8">
        <f t="shared" si="419"/>
        <v>0.43685464654487688</v>
      </c>
      <c r="H888" s="6" t="s">
        <v>5263</v>
      </c>
      <c r="I888" s="6" t="str">
        <f t="shared" si="403"/>
        <v>=12.59*100000000</v>
      </c>
      <c r="J888" s="1">
        <f>12.59*100000000</f>
        <v>1259000000</v>
      </c>
      <c r="K888" s="10">
        <f t="shared" si="420"/>
        <v>0.41048622003136903</v>
      </c>
      <c r="L888" s="6" t="s">
        <v>9721</v>
      </c>
      <c r="M888" s="6" t="str">
        <f t="shared" si="404"/>
        <v>=8.926*100000000</v>
      </c>
      <c r="N888" s="1">
        <f>8.926*100000000</f>
        <v>892600000</v>
      </c>
      <c r="O888" s="8">
        <f t="shared" si="421"/>
        <v>1.4130846174641796</v>
      </c>
      <c r="P888" s="6" t="s">
        <v>9722</v>
      </c>
      <c r="Q888" s="6" t="str">
        <f t="shared" si="405"/>
        <v>=3.699*100000000</v>
      </c>
      <c r="R888" s="11">
        <f>3.699*100000000</f>
        <v>369900000</v>
      </c>
      <c r="S888" s="8">
        <f t="shared" si="422"/>
        <v>-0.74853840924541126</v>
      </c>
      <c r="T888" s="6" t="s">
        <v>9563</v>
      </c>
      <c r="U888" s="6" t="str">
        <f t="shared" si="406"/>
        <v>=14.71*100000000</v>
      </c>
      <c r="V888" s="1">
        <f>14.71*100000000</f>
        <v>1471000000</v>
      </c>
      <c r="W888" s="8">
        <f t="shared" si="423"/>
        <v>0.24450084602368866</v>
      </c>
      <c r="X888" s="6" t="s">
        <v>4221</v>
      </c>
      <c r="Y888" s="6" t="str">
        <f t="shared" si="407"/>
        <v>=11.82*100000000</v>
      </c>
      <c r="Z888" s="1">
        <f>11.82*100000000</f>
        <v>1182000000</v>
      </c>
      <c r="AA888" s="8">
        <f t="shared" si="424"/>
        <v>0.61123227917121048</v>
      </c>
      <c r="AB888" s="6" t="s">
        <v>5099</v>
      </c>
      <c r="AC888" s="6" t="str">
        <f t="shared" si="408"/>
        <v>=7.336*100000000</v>
      </c>
      <c r="AD888" s="1">
        <f>7.336*100000000</f>
        <v>733600000</v>
      </c>
      <c r="AE888" s="8">
        <f t="shared" si="425"/>
        <v>1.8193697156033821</v>
      </c>
      <c r="AF888" s="6" t="s">
        <v>2324</v>
      </c>
      <c r="AG888" s="6" t="str">
        <f t="shared" si="409"/>
        <v>=2.602*100000000</v>
      </c>
      <c r="AH888" s="1">
        <f>2.602*100000000</f>
        <v>260200000</v>
      </c>
      <c r="AI888" s="8">
        <f t="shared" si="426"/>
        <v>-0.80287878787878786</v>
      </c>
      <c r="AJ888" s="6" t="s">
        <v>1819</v>
      </c>
      <c r="AK888" s="6" t="str">
        <f t="shared" si="410"/>
        <v>=13.20*100000000</v>
      </c>
      <c r="AL888" s="1">
        <f>13.2*100000000</f>
        <v>1320000000</v>
      </c>
      <c r="AM888" s="8">
        <f t="shared" si="427"/>
        <v>0.12149532710280374</v>
      </c>
      <c r="AN888" s="6" t="s">
        <v>7426</v>
      </c>
      <c r="AO888" s="6" t="str">
        <f t="shared" si="411"/>
        <v>=11.77*100000000</v>
      </c>
      <c r="AP888" s="1">
        <f>11.77*100000000</f>
        <v>1177000000</v>
      </c>
      <c r="AQ888" s="8">
        <f t="shared" si="428"/>
        <v>0.69182118729337361</v>
      </c>
      <c r="AR888" s="6" t="s">
        <v>9723</v>
      </c>
      <c r="AS888" s="6" t="str">
        <f t="shared" si="412"/>
        <v>=6.957*100000000</v>
      </c>
      <c r="AT888" s="1">
        <f>6.957*100000000</f>
        <v>695700000</v>
      </c>
      <c r="AU888" s="8">
        <f t="shared" si="429"/>
        <v>1.8629629629629627</v>
      </c>
      <c r="AV888" s="6" t="s">
        <v>9724</v>
      </c>
      <c r="AW888" s="6" t="str">
        <f t="shared" si="413"/>
        <v>=2.430*100000000</v>
      </c>
      <c r="AX888" s="1">
        <f>2.43*100000000</f>
        <v>243000000.00000003</v>
      </c>
      <c r="AY888" s="10">
        <f t="shared" si="430"/>
        <v>-0.81743050338091661</v>
      </c>
      <c r="AZ888" s="6" t="s">
        <v>2291</v>
      </c>
      <c r="BA888" s="6" t="str">
        <f t="shared" si="414"/>
        <v>=13.31*100000000</v>
      </c>
      <c r="BB888" s="1">
        <f>13.31*100000000</f>
        <v>1331000000</v>
      </c>
      <c r="BC888" s="8">
        <f t="shared" si="431"/>
        <v>2.5423728813559324E-2</v>
      </c>
      <c r="BD888" s="6" t="s">
        <v>9725</v>
      </c>
      <c r="BE888" s="6" t="str">
        <f t="shared" si="415"/>
        <v>=12.98*100000000</v>
      </c>
      <c r="BF888" s="1">
        <f>12.98*100000000</f>
        <v>1298000000</v>
      </c>
      <c r="BG888" s="8">
        <f t="shared" si="432"/>
        <v>0.45483075543600071</v>
      </c>
      <c r="BH888" s="6" t="s">
        <v>9726</v>
      </c>
      <c r="BI888" s="6" t="str">
        <f t="shared" si="416"/>
        <v>=8.922*100000000</v>
      </c>
      <c r="BJ888" s="1">
        <f>8.922*100000000</f>
        <v>892200000.00000012</v>
      </c>
      <c r="BK888" s="6" t="s">
        <v>4871</v>
      </c>
      <c r="BL888" s="1" t="str">
        <f t="shared" si="418"/>
        <v>=4.922*100000000</v>
      </c>
      <c r="BM888" s="16">
        <f t="shared" si="433"/>
        <v>0.81267777326290147</v>
      </c>
      <c r="BN888" s="1">
        <f>4.922*100000000</f>
        <v>492200000</v>
      </c>
    </row>
    <row r="889" spans="1:66">
      <c r="A889" s="19"/>
      <c r="B889">
        <v>600717</v>
      </c>
      <c r="C889" t="s">
        <v>68</v>
      </c>
      <c r="D889" s="6" t="s">
        <v>6211</v>
      </c>
      <c r="E889" s="7" t="str">
        <f t="shared" si="417"/>
        <v>=13.78*100000000</v>
      </c>
      <c r="F889" s="1">
        <f>13.78*100000000</f>
        <v>1378000000</v>
      </c>
      <c r="G889" s="8">
        <f t="shared" si="419"/>
        <v>0.42414220752377013</v>
      </c>
      <c r="H889" s="6" t="s">
        <v>9727</v>
      </c>
      <c r="I889" s="6" t="str">
        <f t="shared" si="403"/>
        <v>=9.676*100000000</v>
      </c>
      <c r="J889" s="1">
        <f>9.676*100000000</f>
        <v>967600000</v>
      </c>
      <c r="K889" s="10">
        <f t="shared" si="420"/>
        <v>0.3960467465012264</v>
      </c>
      <c r="L889" s="6" t="s">
        <v>1037</v>
      </c>
      <c r="M889" s="6" t="str">
        <f t="shared" si="404"/>
        <v>=6.931*100000000</v>
      </c>
      <c r="N889" s="1">
        <f>6.931*100000000</f>
        <v>693100000</v>
      </c>
      <c r="O889" s="8">
        <f t="shared" si="421"/>
        <v>1.4259712985649282</v>
      </c>
      <c r="P889" s="6" t="s">
        <v>459</v>
      </c>
      <c r="Q889" s="6" t="str">
        <f t="shared" si="405"/>
        <v>=2.857*100000000</v>
      </c>
      <c r="R889" s="11">
        <f>2.857*100000000</f>
        <v>285700000</v>
      </c>
      <c r="S889" s="8">
        <f t="shared" si="422"/>
        <v>-0.7464951197870453</v>
      </c>
      <c r="T889" s="6" t="s">
        <v>4842</v>
      </c>
      <c r="U889" s="6" t="str">
        <f t="shared" si="406"/>
        <v>=11.27*100000000</v>
      </c>
      <c r="V889" s="1">
        <f>11.27*100000000</f>
        <v>1127000000</v>
      </c>
      <c r="W889" s="8">
        <f t="shared" si="423"/>
        <v>0.2070258112884224</v>
      </c>
      <c r="X889" s="6" t="s">
        <v>9728</v>
      </c>
      <c r="Y889" s="6" t="str">
        <f t="shared" si="407"/>
        <v>=9.337*100000000</v>
      </c>
      <c r="Z889" s="1">
        <f>9.337*100000000</f>
        <v>933700000</v>
      </c>
      <c r="AA889" s="8">
        <f t="shared" si="424"/>
        <v>0.67630161579892278</v>
      </c>
      <c r="AB889" s="6" t="s">
        <v>9729</v>
      </c>
      <c r="AC889" s="6" t="str">
        <f t="shared" si="408"/>
        <v>=5.570*100000000</v>
      </c>
      <c r="AD889" s="1">
        <f>5.57*100000000</f>
        <v>557000000</v>
      </c>
      <c r="AE889" s="8">
        <f t="shared" si="425"/>
        <v>1.8288471305231082</v>
      </c>
      <c r="AF889" s="6" t="s">
        <v>9730</v>
      </c>
      <c r="AG889" s="6" t="str">
        <f t="shared" si="409"/>
        <v>=1.969*100000000</v>
      </c>
      <c r="AH889" s="1">
        <f>1.969*100000000</f>
        <v>196900000</v>
      </c>
      <c r="AI889" s="8">
        <f t="shared" si="426"/>
        <v>-0.80111111111111111</v>
      </c>
      <c r="AJ889" s="6" t="s">
        <v>9731</v>
      </c>
      <c r="AK889" s="6" t="str">
        <f t="shared" si="410"/>
        <v>=9.900*100000000</v>
      </c>
      <c r="AL889" s="1">
        <f>9.9*100000000</f>
        <v>990000000</v>
      </c>
      <c r="AM889" s="8">
        <f t="shared" si="427"/>
        <v>8.5764422022373332E-2</v>
      </c>
      <c r="AN889" s="6" t="s">
        <v>9732</v>
      </c>
      <c r="AO889" s="6" t="str">
        <f t="shared" si="411"/>
        <v>=9.118*100000000</v>
      </c>
      <c r="AP889" s="1">
        <f>9.118*100000000</f>
        <v>911800000</v>
      </c>
      <c r="AQ889" s="8">
        <f t="shared" si="428"/>
        <v>0.71390977443609027</v>
      </c>
      <c r="AR889" s="6" t="s">
        <v>9733</v>
      </c>
      <c r="AS889" s="6" t="str">
        <f t="shared" si="412"/>
        <v>=5.320*100000000</v>
      </c>
      <c r="AT889" s="1">
        <f>5.32*100000000</f>
        <v>532000000</v>
      </c>
      <c r="AU889" s="8">
        <f t="shared" si="429"/>
        <v>2.0930232558139537</v>
      </c>
      <c r="AV889" s="6" t="s">
        <v>6133</v>
      </c>
      <c r="AW889" s="6" t="str">
        <f t="shared" si="413"/>
        <v>=1.720*100000000</v>
      </c>
      <c r="AX889" s="1">
        <f>1.72*100000000</f>
        <v>172000000</v>
      </c>
      <c r="AY889" s="10">
        <f t="shared" si="430"/>
        <v>-0.81202185792349724</v>
      </c>
      <c r="AZ889" s="6" t="s">
        <v>9734</v>
      </c>
      <c r="BA889" s="6" t="str">
        <f t="shared" si="414"/>
        <v>=9.150*100000000</v>
      </c>
      <c r="BB889" s="1">
        <f>9.15*100000000</f>
        <v>915000000</v>
      </c>
      <c r="BC889" s="8">
        <f t="shared" si="431"/>
        <v>-7.2948328267477089E-2</v>
      </c>
      <c r="BD889" s="6" t="s">
        <v>9735</v>
      </c>
      <c r="BE889" s="6" t="str">
        <f t="shared" si="415"/>
        <v>=9.870*100000000</v>
      </c>
      <c r="BF889" s="1">
        <f>9.87*100000000</f>
        <v>986999999.99999988</v>
      </c>
      <c r="BG889" s="8">
        <f t="shared" si="432"/>
        <v>0.45382235969951373</v>
      </c>
      <c r="BH889" s="6" t="s">
        <v>9736</v>
      </c>
      <c r="BI889" s="6" t="str">
        <f t="shared" si="416"/>
        <v>=6.789*100000000</v>
      </c>
      <c r="BJ889" s="1">
        <f>6.789*100000000</f>
        <v>678900000</v>
      </c>
      <c r="BK889" s="6" t="s">
        <v>5770</v>
      </c>
      <c r="BL889" s="1" t="str">
        <f t="shared" si="418"/>
        <v>=3.633*100000000</v>
      </c>
      <c r="BM889" s="16">
        <f t="shared" si="433"/>
        <v>0.86870355078447559</v>
      </c>
      <c r="BN889" s="1">
        <f>3.633*100000000</f>
        <v>363300000</v>
      </c>
    </row>
    <row r="890" spans="1:66">
      <c r="A890" s="17">
        <v>224</v>
      </c>
      <c r="B890">
        <v>600720</v>
      </c>
      <c r="C890" t="s">
        <v>31</v>
      </c>
      <c r="D890" s="6" t="s">
        <v>9737</v>
      </c>
      <c r="E890" s="7" t="str">
        <f t="shared" si="417"/>
        <v>=76.73*100000000</v>
      </c>
      <c r="F890" s="1">
        <f>76.73*100000000</f>
        <v>7673000000</v>
      </c>
      <c r="G890" s="8">
        <f t="shared" si="419"/>
        <v>0.3179319821367228</v>
      </c>
      <c r="H890" s="6" t="s">
        <v>8095</v>
      </c>
      <c r="I890" s="6" t="str">
        <f t="shared" si="403"/>
        <v>=58.22*100000000</v>
      </c>
      <c r="J890" s="1">
        <f>58.22*100000000</f>
        <v>5822000000</v>
      </c>
      <c r="K890" s="10">
        <f t="shared" si="420"/>
        <v>0.76370796728264168</v>
      </c>
      <c r="L890" s="6" t="s">
        <v>9738</v>
      </c>
      <c r="M890" s="6" t="str">
        <f t="shared" si="404"/>
        <v>=33.01*100000000</v>
      </c>
      <c r="N890" s="1">
        <f>33.01*100000000</f>
        <v>3301000000</v>
      </c>
      <c r="O890" s="8">
        <f t="shared" si="421"/>
        <v>3.2434760251960406</v>
      </c>
      <c r="P890" s="6" t="s">
        <v>9739</v>
      </c>
      <c r="Q890" s="6" t="str">
        <f t="shared" si="405"/>
        <v>=7.779*100000000</v>
      </c>
      <c r="R890" s="11">
        <f>7.779*100000000</f>
        <v>777900000</v>
      </c>
      <c r="S890" s="8">
        <f t="shared" si="422"/>
        <v>-0.90042242703533026</v>
      </c>
      <c r="T890" s="6" t="s">
        <v>9740</v>
      </c>
      <c r="U890" s="6" t="str">
        <f t="shared" si="406"/>
        <v>=78.12*100000000</v>
      </c>
      <c r="V890" s="1">
        <f>78.12*100000000</f>
        <v>7812000000</v>
      </c>
      <c r="W890" s="8">
        <f t="shared" si="423"/>
        <v>0.29832142263586503</v>
      </c>
      <c r="X890" s="6" t="s">
        <v>9741</v>
      </c>
      <c r="Y890" s="6" t="str">
        <f t="shared" si="407"/>
        <v>=60.17*100000000</v>
      </c>
      <c r="Z890" s="1">
        <f>60.17*100000000</f>
        <v>6017000000</v>
      </c>
      <c r="AA890" s="8">
        <f t="shared" si="424"/>
        <v>0.77387971698113212</v>
      </c>
      <c r="AB890" s="6" t="s">
        <v>6090</v>
      </c>
      <c r="AC890" s="6" t="str">
        <f t="shared" si="408"/>
        <v>=33.92*100000000</v>
      </c>
      <c r="AD890" s="1">
        <f>33.92*100000000</f>
        <v>3392000000</v>
      </c>
      <c r="AE890" s="8">
        <f t="shared" si="425"/>
        <v>4.8888888888888893</v>
      </c>
      <c r="AF890" s="6" t="s">
        <v>9742</v>
      </c>
      <c r="AG890" s="6" t="str">
        <f t="shared" si="409"/>
        <v>=5.760*100000000</v>
      </c>
      <c r="AH890" s="1">
        <f>5.76*100000000</f>
        <v>576000000</v>
      </c>
      <c r="AI890" s="8">
        <f t="shared" si="426"/>
        <v>-0.91689510893089021</v>
      </c>
      <c r="AJ890" s="6" t="s">
        <v>9743</v>
      </c>
      <c r="AK890" s="6" t="str">
        <f t="shared" si="410"/>
        <v>=69.31*100000000</v>
      </c>
      <c r="AL890" s="1">
        <f>69.31*100000000</f>
        <v>6931000000</v>
      </c>
      <c r="AM890" s="8">
        <f t="shared" si="427"/>
        <v>0.32803219007472695</v>
      </c>
      <c r="AN890" s="6" t="s">
        <v>9744</v>
      </c>
      <c r="AO890" s="6" t="str">
        <f t="shared" si="411"/>
        <v>=52.19*100000000</v>
      </c>
      <c r="AP890" s="1">
        <f>52.19*100000000</f>
        <v>5219000000</v>
      </c>
      <c r="AQ890" s="8">
        <f t="shared" si="428"/>
        <v>0.79347079037800683</v>
      </c>
      <c r="AR890" s="6" t="s">
        <v>9745</v>
      </c>
      <c r="AS890" s="6" t="str">
        <f t="shared" si="412"/>
        <v>=29.10*100000000</v>
      </c>
      <c r="AT890" s="1">
        <f>29.1*100000000</f>
        <v>2910000000</v>
      </c>
      <c r="AU890" s="8">
        <f t="shared" si="429"/>
        <v>3.8825503355704698</v>
      </c>
      <c r="AV890" s="6" t="s">
        <v>497</v>
      </c>
      <c r="AW890" s="6" t="str">
        <f t="shared" si="413"/>
        <v>=5.960*100000000</v>
      </c>
      <c r="AX890" s="1">
        <f>5.96*100000000</f>
        <v>596000000</v>
      </c>
      <c r="AY890" s="10">
        <f t="shared" si="430"/>
        <v>-0.89679653679653681</v>
      </c>
      <c r="AZ890" s="6" t="s">
        <v>9746</v>
      </c>
      <c r="BA890" s="6" t="str">
        <f t="shared" si="414"/>
        <v>=57.75*100000000</v>
      </c>
      <c r="BB890" s="1">
        <f>57.75*100000000</f>
        <v>5775000000</v>
      </c>
      <c r="BC890" s="8">
        <f t="shared" si="431"/>
        <v>0.33773453787352326</v>
      </c>
      <c r="BD890" s="6" t="s">
        <v>9747</v>
      </c>
      <c r="BE890" s="6" t="str">
        <f t="shared" si="415"/>
        <v>=43.17*100000000</v>
      </c>
      <c r="BF890" s="1">
        <f>43.17*100000000</f>
        <v>4317000000</v>
      </c>
      <c r="BG890" s="8">
        <f t="shared" si="432"/>
        <v>0.83702127659574466</v>
      </c>
      <c r="BH890" s="6" t="s">
        <v>4770</v>
      </c>
      <c r="BI890" s="6" t="str">
        <f t="shared" si="416"/>
        <v>=23.50*100000000</v>
      </c>
      <c r="BJ890" s="1">
        <f>23.5*100000000</f>
        <v>2350000000</v>
      </c>
      <c r="BK890" s="6" t="s">
        <v>1770</v>
      </c>
      <c r="BL890" s="1" t="str">
        <f t="shared" si="418"/>
        <v>=4.352*100000000</v>
      </c>
      <c r="BM890" s="16">
        <f t="shared" si="433"/>
        <v>4.3998161764705879</v>
      </c>
      <c r="BN890" s="1">
        <f>4.352*100000000</f>
        <v>435200000.00000006</v>
      </c>
    </row>
    <row r="891" spans="1:66">
      <c r="A891" s="18"/>
      <c r="B891">
        <v>600720</v>
      </c>
      <c r="C891" t="s">
        <v>48</v>
      </c>
      <c r="D891" s="6" t="s">
        <v>9161</v>
      </c>
      <c r="E891" s="7" t="str">
        <f t="shared" si="417"/>
        <v>=12.78*100000000</v>
      </c>
      <c r="F891" s="1">
        <f>12.78*100000000</f>
        <v>1278000000</v>
      </c>
      <c r="G891" s="8">
        <f t="shared" si="419"/>
        <v>4.3265306122448978E-2</v>
      </c>
      <c r="H891" s="6" t="s">
        <v>9748</v>
      </c>
      <c r="I891" s="6" t="str">
        <f t="shared" si="403"/>
        <v>=12.25*100000000</v>
      </c>
      <c r="J891" s="1">
        <f>12.25*100000000</f>
        <v>1225000000</v>
      </c>
      <c r="K891" s="10">
        <f t="shared" si="420"/>
        <v>0.61929940515532056</v>
      </c>
      <c r="L891" s="6" t="s">
        <v>7797</v>
      </c>
      <c r="M891" s="6" t="str">
        <f t="shared" si="404"/>
        <v>=7.565*100000000</v>
      </c>
      <c r="N891" s="1">
        <f>7.565*100000000</f>
        <v>756500000</v>
      </c>
      <c r="O891" s="8">
        <f t="shared" si="421"/>
        <v>12.451280227596017</v>
      </c>
      <c r="P891" s="7" t="s">
        <v>9749</v>
      </c>
      <c r="Q891" s="6" t="str">
        <f t="shared" si="405"/>
        <v>=5624*10000</v>
      </c>
      <c r="R891" s="11">
        <f>5624*10000</f>
        <v>56240000</v>
      </c>
      <c r="S891" s="8">
        <f t="shared" si="422"/>
        <v>-0.97073881373569204</v>
      </c>
      <c r="T891" s="6" t="s">
        <v>1884</v>
      </c>
      <c r="U891" s="6" t="str">
        <f t="shared" si="406"/>
        <v>=19.22*100000000</v>
      </c>
      <c r="V891" s="1">
        <f>19.22*100000000</f>
        <v>1922000000</v>
      </c>
      <c r="W891" s="8">
        <f t="shared" si="423"/>
        <v>5.430608886450905E-2</v>
      </c>
      <c r="X891" s="6" t="s">
        <v>1837</v>
      </c>
      <c r="Y891" s="6" t="str">
        <f t="shared" si="407"/>
        <v>=18.23*100000000</v>
      </c>
      <c r="Z891" s="1">
        <f>18.23*100000000</f>
        <v>1823000000</v>
      </c>
      <c r="AA891" s="8">
        <f t="shared" si="424"/>
        <v>0.98216809829292184</v>
      </c>
      <c r="AB891" s="6" t="s">
        <v>6122</v>
      </c>
      <c r="AC891" s="6" t="str">
        <f t="shared" si="408"/>
        <v>=9.197*100000000</v>
      </c>
      <c r="AD891" s="1">
        <f>9.197*100000000</f>
        <v>919699999.99999988</v>
      </c>
      <c r="AE891" s="8">
        <f t="shared" si="425"/>
        <v>50.726659167604041</v>
      </c>
      <c r="AF891" s="7" t="s">
        <v>9750</v>
      </c>
      <c r="AG891" s="6" t="str">
        <f t="shared" si="409"/>
        <v>=1778*10000</v>
      </c>
      <c r="AH891" s="1">
        <f>1778*10000</f>
        <v>17780000</v>
      </c>
      <c r="AI891" s="8">
        <f t="shared" si="426"/>
        <v>-0.98792119565217396</v>
      </c>
      <c r="AJ891" s="6" t="s">
        <v>7419</v>
      </c>
      <c r="AK891" s="6" t="str">
        <f t="shared" si="410"/>
        <v>=14.72*100000000</v>
      </c>
      <c r="AL891" s="1">
        <f>14.72*100000000</f>
        <v>1472000000</v>
      </c>
      <c r="AM891" s="8">
        <f t="shared" si="427"/>
        <v>0.17384370015948963</v>
      </c>
      <c r="AN891" s="6" t="s">
        <v>5024</v>
      </c>
      <c r="AO891" s="6" t="str">
        <f t="shared" si="411"/>
        <v>=12.54*100000000</v>
      </c>
      <c r="AP891" s="1">
        <f>12.54*100000000</f>
        <v>1254000000</v>
      </c>
      <c r="AQ891" s="8">
        <f t="shared" si="428"/>
        <v>1.0476812540822991</v>
      </c>
      <c r="AR891" s="6" t="s">
        <v>9751</v>
      </c>
      <c r="AS891" s="6" t="str">
        <f t="shared" si="412"/>
        <v>=6.124*100000000</v>
      </c>
      <c r="AT891" s="1">
        <f>6.124*100000000</f>
        <v>612400000</v>
      </c>
      <c r="AU891" s="8">
        <f t="shared" si="429"/>
        <v>23.763445208249092</v>
      </c>
      <c r="AV891" s="7" t="s">
        <v>5694</v>
      </c>
      <c r="AW891" s="6" t="str">
        <f t="shared" si="413"/>
        <v>=2473*10000</v>
      </c>
      <c r="AX891" s="1">
        <f>2473*10000</f>
        <v>24730000</v>
      </c>
      <c r="AY891" s="10">
        <f t="shared" si="430"/>
        <v>-0.9729519851252324</v>
      </c>
      <c r="AZ891" s="6" t="s">
        <v>9752</v>
      </c>
      <c r="BA891" s="6" t="str">
        <f t="shared" si="414"/>
        <v>=9.143*100000000</v>
      </c>
      <c r="BB891" s="1">
        <f>9.143*100000000</f>
        <v>914300000.00000012</v>
      </c>
      <c r="BC891" s="8">
        <f t="shared" si="431"/>
        <v>0.36748429554292572</v>
      </c>
      <c r="BD891" s="6" t="s">
        <v>9753</v>
      </c>
      <c r="BE891" s="6" t="str">
        <f t="shared" si="415"/>
        <v>=6.686*100000000</v>
      </c>
      <c r="BF891" s="1">
        <f>6.686*100000000</f>
        <v>668600000</v>
      </c>
      <c r="BG891" s="8">
        <f t="shared" si="432"/>
        <v>1.6500198176773682</v>
      </c>
      <c r="BH891" s="6" t="s">
        <v>8403</v>
      </c>
      <c r="BI891" s="6" t="str">
        <f t="shared" si="416"/>
        <v>=2.523*100000000</v>
      </c>
      <c r="BJ891" s="1">
        <f>2.523*100000000</f>
        <v>252300000</v>
      </c>
      <c r="BK891" s="6">
        <f>-1.626*100000000</f>
        <v>-162600000</v>
      </c>
      <c r="BL891" s="1" t="str">
        <f t="shared" si="418"/>
        <v>=-162600000</v>
      </c>
      <c r="BM891" s="16">
        <f t="shared" si="433"/>
        <v>-2.5516605166051662</v>
      </c>
      <c r="BN891" s="1">
        <f>-162600000</f>
        <v>-162600000</v>
      </c>
    </row>
    <row r="892" spans="1:66">
      <c r="A892" s="18"/>
      <c r="B892">
        <v>600720</v>
      </c>
      <c r="C892" t="s">
        <v>58</v>
      </c>
      <c r="D892" s="6" t="s">
        <v>2082</v>
      </c>
      <c r="E892" s="7" t="str">
        <f t="shared" si="417"/>
        <v>=12.14*100000000</v>
      </c>
      <c r="F892" s="1">
        <f>12.14*100000000</f>
        <v>1214000000</v>
      </c>
      <c r="G892" s="8">
        <f t="shared" si="419"/>
        <v>-1.6447368421052631E-3</v>
      </c>
      <c r="H892" s="6" t="s">
        <v>4080</v>
      </c>
      <c r="I892" s="6" t="str">
        <f t="shared" si="403"/>
        <v>=12.16*100000000</v>
      </c>
      <c r="J892" s="1">
        <f>12.16*100000000</f>
        <v>1216000000</v>
      </c>
      <c r="K892" s="10">
        <f t="shared" si="420"/>
        <v>0.61594684385382059</v>
      </c>
      <c r="L892" s="6" t="s">
        <v>9754</v>
      </c>
      <c r="M892" s="6" t="str">
        <f t="shared" si="404"/>
        <v>=7.525*100000000</v>
      </c>
      <c r="N892" s="1">
        <f>7.525*100000000</f>
        <v>752500000</v>
      </c>
      <c r="O892" s="8">
        <f t="shared" si="421"/>
        <v>11.109752172513678</v>
      </c>
      <c r="P892" s="7" t="s">
        <v>9755</v>
      </c>
      <c r="Q892" s="6" t="str">
        <f t="shared" si="405"/>
        <v>=6214*10000</v>
      </c>
      <c r="R892" s="11">
        <f>6214*10000</f>
        <v>62140000</v>
      </c>
      <c r="S892" s="8">
        <f t="shared" si="422"/>
        <v>-0.96598795840175156</v>
      </c>
      <c r="T892" s="6" t="s">
        <v>5111</v>
      </c>
      <c r="U892" s="6" t="str">
        <f t="shared" si="406"/>
        <v>=18.27*100000000</v>
      </c>
      <c r="V892" s="1">
        <f>18.27*100000000</f>
        <v>1827000000</v>
      </c>
      <c r="W892" s="8">
        <f t="shared" si="423"/>
        <v>1.1068068622025456E-2</v>
      </c>
      <c r="X892" s="6" t="s">
        <v>9756</v>
      </c>
      <c r="Y892" s="6" t="str">
        <f t="shared" si="407"/>
        <v>=18.07*100000000</v>
      </c>
      <c r="Z892" s="1">
        <f>18.07*100000000</f>
        <v>1807000000</v>
      </c>
      <c r="AA892" s="8">
        <f t="shared" si="424"/>
        <v>0.97486338797814209</v>
      </c>
      <c r="AB892" s="6" t="s">
        <v>9734</v>
      </c>
      <c r="AC892" s="6" t="str">
        <f t="shared" si="408"/>
        <v>=9.150*100000000</v>
      </c>
      <c r="AD892" s="1">
        <f>9.15*100000000</f>
        <v>915000000</v>
      </c>
      <c r="AE892" s="8">
        <f t="shared" si="425"/>
        <v>53.529201430274135</v>
      </c>
      <c r="AF892" s="7" t="s">
        <v>9757</v>
      </c>
      <c r="AG892" s="6" t="str">
        <f t="shared" si="409"/>
        <v>=1678*10000</v>
      </c>
      <c r="AH892" s="1">
        <f>1678*10000</f>
        <v>16780000</v>
      </c>
      <c r="AI892" s="8">
        <f t="shared" si="426"/>
        <v>-0.98903984323971261</v>
      </c>
      <c r="AJ892" s="6" t="s">
        <v>6182</v>
      </c>
      <c r="AK892" s="6" t="str">
        <f t="shared" si="410"/>
        <v>=15.31*100000000</v>
      </c>
      <c r="AL892" s="1">
        <f>15.31*100000000</f>
        <v>1531000000</v>
      </c>
      <c r="AM892" s="8">
        <f t="shared" si="427"/>
        <v>0.16337386018237082</v>
      </c>
      <c r="AN892" s="6" t="s">
        <v>9758</v>
      </c>
      <c r="AO892" s="6" t="str">
        <f t="shared" si="411"/>
        <v>=13.16*100000000</v>
      </c>
      <c r="AP892" s="1">
        <f>13.16*100000000</f>
        <v>1316000000</v>
      </c>
      <c r="AQ892" s="8">
        <f t="shared" si="428"/>
        <v>1.0358910891089108</v>
      </c>
      <c r="AR892" s="6" t="s">
        <v>9759</v>
      </c>
      <c r="AS892" s="6" t="str">
        <f t="shared" si="412"/>
        <v>=6.464*100000000</v>
      </c>
      <c r="AT892" s="1">
        <f>6.464*100000000</f>
        <v>646400000</v>
      </c>
      <c r="AU892" s="8">
        <f t="shared" si="429"/>
        <v>21.881415929203541</v>
      </c>
      <c r="AV892" s="7" t="s">
        <v>9760</v>
      </c>
      <c r="AW892" s="6" t="str">
        <f t="shared" si="413"/>
        <v>=2825*10000</v>
      </c>
      <c r="AX892" s="1">
        <f>2825*10000</f>
        <v>28250000</v>
      </c>
      <c r="AY892" s="10">
        <f t="shared" si="430"/>
        <v>-0.96622833233711891</v>
      </c>
      <c r="AZ892" s="6" t="s">
        <v>7760</v>
      </c>
      <c r="BA892" s="6" t="str">
        <f t="shared" si="414"/>
        <v>=8.365*100000000</v>
      </c>
      <c r="BB892" s="1">
        <f>8.365*100000000</f>
        <v>836500000</v>
      </c>
      <c r="BC892" s="8">
        <f t="shared" si="431"/>
        <v>0.23651145602365115</v>
      </c>
      <c r="BD892" s="6" t="s">
        <v>9761</v>
      </c>
      <c r="BE892" s="6" t="str">
        <f t="shared" si="415"/>
        <v>=6.765*100000000</v>
      </c>
      <c r="BF892" s="1">
        <f>6.765*100000000</f>
        <v>676500000</v>
      </c>
      <c r="BG892" s="8">
        <f t="shared" si="432"/>
        <v>1.636399064692128</v>
      </c>
      <c r="BH892" s="6" t="s">
        <v>9762</v>
      </c>
      <c r="BI892" s="6" t="str">
        <f t="shared" si="416"/>
        <v>=2.566*100000000</v>
      </c>
      <c r="BJ892" s="1">
        <f>2.566*100000000</f>
        <v>256599999.99999997</v>
      </c>
      <c r="BK892" s="6">
        <f>-1.621*100000000</f>
        <v>-162100000</v>
      </c>
      <c r="BL892" s="1" t="str">
        <f t="shared" si="418"/>
        <v>=-162100000</v>
      </c>
      <c r="BM892" s="16">
        <f t="shared" si="433"/>
        <v>-2.5829734731647132</v>
      </c>
      <c r="BN892" s="1">
        <f>-162100000</f>
        <v>-162100000</v>
      </c>
    </row>
    <row r="893" spans="1:66">
      <c r="A893" s="19"/>
      <c r="B893">
        <v>600720</v>
      </c>
      <c r="C893" t="s">
        <v>68</v>
      </c>
      <c r="D893" s="6" t="s">
        <v>3466</v>
      </c>
      <c r="E893" s="7" t="str">
        <f t="shared" si="417"/>
        <v>=10.28*100000000</v>
      </c>
      <c r="F893" s="1">
        <f>10.28*100000000</f>
        <v>1027999999.9999999</v>
      </c>
      <c r="G893" s="8">
        <f t="shared" si="419"/>
        <v>-1.2487992315081766E-2</v>
      </c>
      <c r="H893" s="6" t="s">
        <v>6326</v>
      </c>
      <c r="I893" s="6" t="str">
        <f t="shared" si="403"/>
        <v>=10.41*100000000</v>
      </c>
      <c r="J893" s="1">
        <f>10.41*100000000</f>
        <v>1041000000</v>
      </c>
      <c r="K893" s="10">
        <f t="shared" si="420"/>
        <v>0.59981558321807282</v>
      </c>
      <c r="L893" s="6" t="s">
        <v>179</v>
      </c>
      <c r="M893" s="6" t="str">
        <f t="shared" si="404"/>
        <v>=6.507*100000000</v>
      </c>
      <c r="N893" s="1">
        <f>6.507*100000000</f>
        <v>650700000</v>
      </c>
      <c r="O893" s="8">
        <f t="shared" si="421"/>
        <v>12.306748466257668</v>
      </c>
      <c r="P893" s="7" t="s">
        <v>9763</v>
      </c>
      <c r="Q893" s="6" t="str">
        <f t="shared" si="405"/>
        <v>=4890*10000</v>
      </c>
      <c r="R893" s="11">
        <f>4890*10000</f>
        <v>48900000</v>
      </c>
      <c r="S893" s="8">
        <f t="shared" si="422"/>
        <v>-0.96843124596513885</v>
      </c>
      <c r="T893" s="6" t="s">
        <v>9764</v>
      </c>
      <c r="U893" s="6" t="str">
        <f t="shared" si="406"/>
        <v>=15.49*100000000</v>
      </c>
      <c r="V893" s="1">
        <f>15.49*100000000</f>
        <v>1549000000</v>
      </c>
      <c r="W893" s="8">
        <f t="shared" si="423"/>
        <v>-3.8585209003215433E-3</v>
      </c>
      <c r="X893" s="6" t="s">
        <v>7354</v>
      </c>
      <c r="Y893" s="6" t="str">
        <f t="shared" si="407"/>
        <v>=15.55*100000000</v>
      </c>
      <c r="Z893" s="1">
        <f>15.55*100000000</f>
        <v>1555000000</v>
      </c>
      <c r="AA893" s="8">
        <f t="shared" si="424"/>
        <v>0.98671266130062607</v>
      </c>
      <c r="AB893" s="6" t="s">
        <v>9765</v>
      </c>
      <c r="AC893" s="6" t="str">
        <f t="shared" si="408"/>
        <v>=7.827*100000000</v>
      </c>
      <c r="AD893" s="1">
        <f>7.827*100000000</f>
        <v>782700000</v>
      </c>
      <c r="AE893" s="8">
        <f t="shared" si="425"/>
        <v>83.424549671017147</v>
      </c>
      <c r="AF893" s="7" t="s">
        <v>9766</v>
      </c>
      <c r="AG893" s="6" t="str">
        <f t="shared" si="409"/>
        <v>=927.1*10000</v>
      </c>
      <c r="AH893" s="1">
        <f>927.1*10000</f>
        <v>9271000</v>
      </c>
      <c r="AI893" s="8">
        <f t="shared" si="426"/>
        <v>-0.9929066564651875</v>
      </c>
      <c r="AJ893" s="6" t="s">
        <v>1559</v>
      </c>
      <c r="AK893" s="6" t="str">
        <f t="shared" si="410"/>
        <v>=13.07*100000000</v>
      </c>
      <c r="AL893" s="1">
        <f>13.07*100000000</f>
        <v>1307000000</v>
      </c>
      <c r="AM893" s="8">
        <f t="shared" si="427"/>
        <v>0.17114695340501793</v>
      </c>
      <c r="AN893" s="6" t="s">
        <v>5042</v>
      </c>
      <c r="AO893" s="6" t="str">
        <f t="shared" si="411"/>
        <v>=11.16*100000000</v>
      </c>
      <c r="AP893" s="1">
        <f>11.16*100000000</f>
        <v>1116000000</v>
      </c>
      <c r="AQ893" s="8">
        <f t="shared" si="428"/>
        <v>1.0891052040434295</v>
      </c>
      <c r="AR893" s="6" t="s">
        <v>9767</v>
      </c>
      <c r="AS893" s="6" t="str">
        <f t="shared" si="412"/>
        <v>=5.342*100000000</v>
      </c>
      <c r="AT893" s="1">
        <f>5.342*100000000</f>
        <v>534199999.99999994</v>
      </c>
      <c r="AU893" s="8">
        <f t="shared" si="429"/>
        <v>67.120377454730928</v>
      </c>
      <c r="AV893" s="7" t="s">
        <v>9768</v>
      </c>
      <c r="AW893" s="6" t="str">
        <f t="shared" si="413"/>
        <v>=784.2*10000</v>
      </c>
      <c r="AX893" s="1">
        <f>784.2*10000</f>
        <v>7842000</v>
      </c>
      <c r="AY893" s="10">
        <f t="shared" si="430"/>
        <v>-0.98861498257839719</v>
      </c>
      <c r="AZ893" s="6" t="s">
        <v>9769</v>
      </c>
      <c r="BA893" s="6" t="str">
        <f t="shared" si="414"/>
        <v>=6.888*100000000</v>
      </c>
      <c r="BB893" s="1">
        <f>6.888*100000000</f>
        <v>688800000</v>
      </c>
      <c r="BC893" s="8">
        <f t="shared" si="431"/>
        <v>0.20842105263157895</v>
      </c>
      <c r="BD893" s="6" t="s">
        <v>2371</v>
      </c>
      <c r="BE893" s="6" t="str">
        <f t="shared" si="415"/>
        <v>=5.700*100000000</v>
      </c>
      <c r="BF893" s="1">
        <f>5.7*100000000</f>
        <v>570000000</v>
      </c>
      <c r="BG893" s="8">
        <f t="shared" si="432"/>
        <v>1.7246653919694073</v>
      </c>
      <c r="BH893" s="6" t="s">
        <v>7607</v>
      </c>
      <c r="BI893" s="6" t="str">
        <f t="shared" si="416"/>
        <v>=2.092*100000000</v>
      </c>
      <c r="BJ893" s="1">
        <f>2.092*100000000</f>
        <v>209200000</v>
      </c>
      <c r="BK893" s="6">
        <f>-1.641*100000000</f>
        <v>-164100000</v>
      </c>
      <c r="BL893" s="1" t="str">
        <f t="shared" si="418"/>
        <v>=-164100000</v>
      </c>
      <c r="BM893" s="16">
        <f t="shared" si="433"/>
        <v>-2.2748324192565508</v>
      </c>
      <c r="BN893" s="1">
        <f>-164100000</f>
        <v>-164100000</v>
      </c>
    </row>
    <row r="894" spans="1:66">
      <c r="A894" s="17">
        <v>225</v>
      </c>
      <c r="B894">
        <v>600721</v>
      </c>
      <c r="C894" t="s">
        <v>31</v>
      </c>
      <c r="D894" s="6" t="s">
        <v>6956</v>
      </c>
      <c r="E894" s="7" t="str">
        <f t="shared" si="417"/>
        <v>=2.814*100000000</v>
      </c>
      <c r="F894" s="1">
        <f>2.814*100000000</f>
        <v>281400000</v>
      </c>
      <c r="G894" s="8">
        <f t="shared" si="419"/>
        <v>0.52603036876355747</v>
      </c>
      <c r="H894" s="6" t="s">
        <v>2325</v>
      </c>
      <c r="I894" s="6" t="str">
        <f t="shared" si="403"/>
        <v>=1.844*100000000</v>
      </c>
      <c r="J894" s="1">
        <f>1.844*100000000</f>
        <v>184400000</v>
      </c>
      <c r="K894" s="10">
        <f t="shared" si="420"/>
        <v>0.53923205342237057</v>
      </c>
      <c r="L894" s="6" t="s">
        <v>8840</v>
      </c>
      <c r="M894" s="6" t="str">
        <f t="shared" si="404"/>
        <v>=1.198*100000000</v>
      </c>
      <c r="N894" s="1">
        <f>1.198*100000000</f>
        <v>119800000</v>
      </c>
      <c r="O894" s="8">
        <f t="shared" si="421"/>
        <v>1.5349132458738892</v>
      </c>
      <c r="P894" s="7" t="s">
        <v>9770</v>
      </c>
      <c r="Q894" s="6" t="str">
        <f t="shared" si="405"/>
        <v>=4726*10000</v>
      </c>
      <c r="R894" s="11">
        <f>4726*10000</f>
        <v>47260000</v>
      </c>
      <c r="S894" s="8">
        <f t="shared" si="422"/>
        <v>-0.44090855317638711</v>
      </c>
      <c r="T894" s="7" t="s">
        <v>9771</v>
      </c>
      <c r="U894" s="6" t="str">
        <f t="shared" si="406"/>
        <v>=8453*10000</v>
      </c>
      <c r="V894" s="1">
        <f>8453*10000</f>
        <v>84530000</v>
      </c>
      <c r="W894" s="8">
        <f t="shared" si="423"/>
        <v>3.5653026219063952E-2</v>
      </c>
      <c r="X894" s="7" t="s">
        <v>9772</v>
      </c>
      <c r="Y894" s="6" t="str">
        <f t="shared" si="407"/>
        <v>=8162*10000</v>
      </c>
      <c r="Z894" s="1">
        <f>8162*10000</f>
        <v>81620000</v>
      </c>
      <c r="AA894" s="8">
        <f t="shared" si="424"/>
        <v>-0.17580531152176107</v>
      </c>
      <c r="AB894" s="7" t="s">
        <v>9773</v>
      </c>
      <c r="AC894" s="6" t="str">
        <f t="shared" si="408"/>
        <v>=9903*10000</v>
      </c>
      <c r="AD894" s="1">
        <f>9903*10000</f>
        <v>99030000</v>
      </c>
      <c r="AE894" s="8">
        <f t="shared" si="425"/>
        <v>1.1232847341337908</v>
      </c>
      <c r="AF894" s="7" t="s">
        <v>9774</v>
      </c>
      <c r="AG894" s="6" t="str">
        <f t="shared" si="409"/>
        <v>=4664*10000</v>
      </c>
      <c r="AH894" s="1">
        <f>4664*10000</f>
        <v>46640000</v>
      </c>
      <c r="AI894" s="8">
        <f t="shared" si="426"/>
        <v>-0.82198473282442752</v>
      </c>
      <c r="AJ894" s="6" t="s">
        <v>2879</v>
      </c>
      <c r="AK894" s="6" t="str">
        <f t="shared" si="410"/>
        <v>=2.620*100000000</v>
      </c>
      <c r="AL894" s="1">
        <f>2.62*100000000</f>
        <v>262000000</v>
      </c>
      <c r="AM894" s="8">
        <f t="shared" si="427"/>
        <v>0.29510627780523974</v>
      </c>
      <c r="AN894" s="6" t="s">
        <v>9775</v>
      </c>
      <c r="AO894" s="6" t="str">
        <f t="shared" si="411"/>
        <v>=2.023*100000000</v>
      </c>
      <c r="AP894" s="1">
        <f>2.023*100000000</f>
        <v>202300000</v>
      </c>
      <c r="AQ894" s="8">
        <f t="shared" si="428"/>
        <v>0.5199098422238918</v>
      </c>
      <c r="AR894" s="6" t="s">
        <v>6892</v>
      </c>
      <c r="AS894" s="6" t="str">
        <f t="shared" si="412"/>
        <v>=1.331*100000000</v>
      </c>
      <c r="AT894" s="1">
        <f>1.331*100000000</f>
        <v>133100000</v>
      </c>
      <c r="AU894" s="8">
        <f t="shared" si="429"/>
        <v>0.8892831795599716</v>
      </c>
      <c r="AV894" s="7" t="s">
        <v>9776</v>
      </c>
      <c r="AW894" s="6" t="str">
        <f t="shared" si="413"/>
        <v>=7045*10000</v>
      </c>
      <c r="AX894" s="1">
        <f>7045*10000</f>
        <v>70450000</v>
      </c>
      <c r="AY894" s="10">
        <f t="shared" si="430"/>
        <v>-0.83194179389312972</v>
      </c>
      <c r="AZ894" s="6" t="s">
        <v>9777</v>
      </c>
      <c r="BA894" s="6" t="str">
        <f t="shared" si="414"/>
        <v>=4.192*100000000</v>
      </c>
      <c r="BB894" s="1">
        <f>4.192*100000000</f>
        <v>419200000</v>
      </c>
      <c r="BC894" s="8">
        <f t="shared" si="431"/>
        <v>0.16282940360610262</v>
      </c>
      <c r="BD894" s="6" t="s">
        <v>1395</v>
      </c>
      <c r="BE894" s="6" t="str">
        <f t="shared" si="415"/>
        <v>=3.605*100000000</v>
      </c>
      <c r="BF894" s="1">
        <f>3.605*100000000</f>
        <v>360500000</v>
      </c>
      <c r="BG894" s="8">
        <f t="shared" si="432"/>
        <v>0.63863636363636345</v>
      </c>
      <c r="BH894" s="6" t="s">
        <v>7788</v>
      </c>
      <c r="BI894" s="6" t="str">
        <f t="shared" si="416"/>
        <v>=2.200*100000000</v>
      </c>
      <c r="BJ894" s="1">
        <f>2.2*100000000</f>
        <v>220000000.00000003</v>
      </c>
      <c r="BK894" s="6" t="s">
        <v>8716</v>
      </c>
      <c r="BL894" s="1" t="str">
        <f t="shared" si="418"/>
        <v>=1.119*100000000</v>
      </c>
      <c r="BM894" s="16">
        <f t="shared" si="433"/>
        <v>0.96604110813226118</v>
      </c>
      <c r="BN894" s="1">
        <f>1.119*100000000</f>
        <v>111900000</v>
      </c>
    </row>
    <row r="895" spans="1:66">
      <c r="A895" s="18"/>
      <c r="B895">
        <v>600721</v>
      </c>
      <c r="C895" t="s">
        <v>48</v>
      </c>
      <c r="D895" s="7" t="s">
        <v>9778</v>
      </c>
      <c r="E895" s="7" t="str">
        <f t="shared" si="417"/>
        <v>=6354*10000</v>
      </c>
      <c r="F895" s="1">
        <f>6354*10000</f>
        <v>63540000</v>
      </c>
      <c r="G895" s="8">
        <f t="shared" si="419"/>
        <v>0.33824768323504634</v>
      </c>
      <c r="H895" s="7" t="s">
        <v>9779</v>
      </c>
      <c r="I895" s="6" t="str">
        <f t="shared" ref="I895:I958" si="434">"="&amp;H895</f>
        <v>=4748*10000</v>
      </c>
      <c r="J895" s="1">
        <f>4748*10000</f>
        <v>47480000</v>
      </c>
      <c r="K895" s="10">
        <f t="shared" si="420"/>
        <v>0.14409638554216866</v>
      </c>
      <c r="L895" s="7" t="s">
        <v>9780</v>
      </c>
      <c r="M895" s="6" t="str">
        <f t="shared" ref="M895:M958" si="435">"="&amp;L895</f>
        <v>=4150*10000</v>
      </c>
      <c r="N895" s="1">
        <f>4150*10000</f>
        <v>41500000</v>
      </c>
      <c r="O895" s="8">
        <f t="shared" si="421"/>
        <v>25.585522101217169</v>
      </c>
      <c r="P895" s="7" t="s">
        <v>9781</v>
      </c>
      <c r="Q895" s="6" t="str">
        <f t="shared" ref="Q895:Q958" si="436">"="&amp;P895</f>
        <v>=156.1*10000</v>
      </c>
      <c r="R895" s="11">
        <f>156.1*10000</f>
        <v>1561000</v>
      </c>
      <c r="S895" s="8">
        <f t="shared" si="422"/>
        <v>-1.0042098166127293</v>
      </c>
      <c r="T895" s="6">
        <f>-3.708*100000000</f>
        <v>-370800000</v>
      </c>
      <c r="U895" s="6" t="str">
        <f t="shared" ref="U895:U958" si="437">"="&amp;T895</f>
        <v>=-370800000</v>
      </c>
      <c r="V895" s="1">
        <f>-370800000</f>
        <v>-370800000</v>
      </c>
      <c r="W895" s="8">
        <f t="shared" si="423"/>
        <v>2.6604146100691017</v>
      </c>
      <c r="X895" s="6">
        <f>-1.013*100000000</f>
        <v>-101299999.99999999</v>
      </c>
      <c r="Y895" s="6" t="str">
        <f t="shared" ref="Y895:Y958" si="438">"="&amp;X895</f>
        <v>=-101300000</v>
      </c>
      <c r="Z895" s="1">
        <f>-101300000</f>
        <v>-101300000</v>
      </c>
      <c r="AA895" s="8">
        <f t="shared" si="424"/>
        <v>2.8240845602114004</v>
      </c>
      <c r="AB895" s="7">
        <f>-2649*10000</f>
        <v>-26490000</v>
      </c>
      <c r="AC895" s="6" t="str">
        <f t="shared" ref="AC895:AC958" si="439">"="&amp;AB895</f>
        <v>=-26490000</v>
      </c>
      <c r="AD895" s="1">
        <f>-26490000</f>
        <v>-26490000</v>
      </c>
      <c r="AE895" s="8">
        <f t="shared" si="425"/>
        <v>-26.84390243902439</v>
      </c>
      <c r="AF895" s="7" t="s">
        <v>9782</v>
      </c>
      <c r="AG895" s="6" t="str">
        <f t="shared" ref="AG895:AG958" si="440">"="&amp;AF895</f>
        <v>=102.5*10000</v>
      </c>
      <c r="AH895" s="1">
        <f>102.5*10000</f>
        <v>1025000</v>
      </c>
      <c r="AI895" s="8">
        <f t="shared" si="426"/>
        <v>-0.9640603085553997</v>
      </c>
      <c r="AJ895" s="7" t="s">
        <v>9783</v>
      </c>
      <c r="AK895" s="6" t="str">
        <f t="shared" ref="AK895:AK958" si="441">"="&amp;AJ895</f>
        <v>=2852*10000</v>
      </c>
      <c r="AL895" s="1">
        <f>2852*10000</f>
        <v>28520000</v>
      </c>
      <c r="AM895" s="8">
        <f t="shared" si="427"/>
        <v>-0.52331606217616577</v>
      </c>
      <c r="AN895" s="7" t="s">
        <v>9784</v>
      </c>
      <c r="AO895" s="6" t="str">
        <f t="shared" ref="AO895:AO958" si="442">"="&amp;AN895</f>
        <v>=5983*10000</v>
      </c>
      <c r="AP895" s="1">
        <f>5983*10000</f>
        <v>59830000</v>
      </c>
      <c r="AQ895" s="8">
        <f t="shared" si="428"/>
        <v>0.34661264911096107</v>
      </c>
      <c r="AR895" s="7" t="s">
        <v>8710</v>
      </c>
      <c r="AS895" s="6" t="str">
        <f t="shared" ref="AS895:AS958" si="443">"="&amp;AR895</f>
        <v>=4443*10000</v>
      </c>
      <c r="AT895" s="1">
        <f>4443*10000</f>
        <v>44430000</v>
      </c>
      <c r="AU895" s="8">
        <f t="shared" si="429"/>
        <v>0.49144008056394761</v>
      </c>
      <c r="AV895" s="7" t="s">
        <v>9785</v>
      </c>
      <c r="AW895" s="6" t="str">
        <f t="shared" ref="AW895:AW958" si="444">"="&amp;AV895</f>
        <v>=2979*10000</v>
      </c>
      <c r="AX895" s="1">
        <f>2979*10000</f>
        <v>29790000</v>
      </c>
      <c r="AY895" s="10">
        <f t="shared" si="430"/>
        <v>-1.0375188916876574</v>
      </c>
      <c r="AZ895" s="6">
        <f>-7.94*100000000</f>
        <v>-794000000</v>
      </c>
      <c r="BA895" s="6" t="str">
        <f t="shared" ref="BA895:BA958" si="445">"="&amp;AZ895</f>
        <v>=-794000000</v>
      </c>
      <c r="BB895" s="1">
        <f>-794000000</f>
        <v>-794000000</v>
      </c>
      <c r="BC895" s="8">
        <f t="shared" si="431"/>
        <v>-10.654669260700389</v>
      </c>
      <c r="BD895" s="7" t="s">
        <v>9786</v>
      </c>
      <c r="BE895" s="6" t="str">
        <f t="shared" ref="BE895:BE958" si="446">"="&amp;BD895</f>
        <v>=8224*10000</v>
      </c>
      <c r="BF895" s="1">
        <f>8224*10000</f>
        <v>82240000</v>
      </c>
      <c r="BG895" s="8">
        <f t="shared" si="432"/>
        <v>0.29962073324905181</v>
      </c>
      <c r="BH895" s="7" t="s">
        <v>9787</v>
      </c>
      <c r="BI895" s="6" t="str">
        <f t="shared" ref="BI895:BI958" si="447">"="&amp;BH895</f>
        <v>=6328*10000</v>
      </c>
      <c r="BJ895" s="1">
        <f>6328*10000</f>
        <v>63280000</v>
      </c>
      <c r="BK895" s="7" t="s">
        <v>9788</v>
      </c>
      <c r="BL895" s="1" t="str">
        <f t="shared" si="418"/>
        <v>=3632*10000</v>
      </c>
      <c r="BM895" s="16">
        <f t="shared" si="433"/>
        <v>0.74229074889867841</v>
      </c>
      <c r="BN895" s="1">
        <f>3632*10000</f>
        <v>36320000</v>
      </c>
    </row>
    <row r="896" spans="1:66">
      <c r="A896" s="18"/>
      <c r="B896">
        <v>600721</v>
      </c>
      <c r="C896" t="s">
        <v>58</v>
      </c>
      <c r="D896" s="7" t="s">
        <v>9789</v>
      </c>
      <c r="E896" s="7" t="str">
        <f t="shared" si="417"/>
        <v>=6218*10000</v>
      </c>
      <c r="F896" s="1">
        <f>6218*10000</f>
        <v>62180000</v>
      </c>
      <c r="G896" s="8">
        <f t="shared" si="419"/>
        <v>0.1052257376466406</v>
      </c>
      <c r="H896" s="7" t="s">
        <v>9790</v>
      </c>
      <c r="I896" s="6" t="str">
        <f t="shared" si="434"/>
        <v>=5626*10000</v>
      </c>
      <c r="J896" s="1">
        <f>5626*10000</f>
        <v>56260000</v>
      </c>
      <c r="K896" s="10">
        <f t="shared" si="420"/>
        <v>0.11782237234253924</v>
      </c>
      <c r="L896" s="7" t="s">
        <v>9791</v>
      </c>
      <c r="M896" s="6" t="str">
        <f t="shared" si="435"/>
        <v>=5033*10000</v>
      </c>
      <c r="N896" s="1">
        <f>5033*10000</f>
        <v>50330000</v>
      </c>
      <c r="O896" s="8">
        <f t="shared" si="421"/>
        <v>27.547929665343165</v>
      </c>
      <c r="P896" s="7" t="s">
        <v>9792</v>
      </c>
      <c r="Q896" s="6" t="str">
        <f t="shared" si="436"/>
        <v>=176.3*10000</v>
      </c>
      <c r="R896" s="11">
        <f>176.3*10000</f>
        <v>1763000</v>
      </c>
      <c r="S896" s="8">
        <f t="shared" si="422"/>
        <v>-1.0055844155844156</v>
      </c>
      <c r="T896" s="6">
        <f>-3.157*100000000</f>
        <v>-315700000</v>
      </c>
      <c r="U896" s="6" t="str">
        <f t="shared" si="437"/>
        <v>=-315700000</v>
      </c>
      <c r="V896" s="1">
        <f>-315700000</f>
        <v>-315700000</v>
      </c>
      <c r="W896" s="8">
        <f t="shared" si="423"/>
        <v>6.3486964618249537</v>
      </c>
      <c r="X896" s="7">
        <f>-4296*10000</f>
        <v>-42960000</v>
      </c>
      <c r="Y896" s="6" t="str">
        <f t="shared" si="438"/>
        <v>=-42960000</v>
      </c>
      <c r="Z896" s="1">
        <f>-42960000</f>
        <v>-42960000</v>
      </c>
      <c r="AA896" s="8">
        <f t="shared" si="424"/>
        <v>0.12401883830455258</v>
      </c>
      <c r="AB896" s="7">
        <f>-3822*10000</f>
        <v>-38220000</v>
      </c>
      <c r="AC896" s="6" t="str">
        <f t="shared" si="439"/>
        <v>=-38220000</v>
      </c>
      <c r="AD896" s="1">
        <f>-38220000</f>
        <v>-38220000</v>
      </c>
      <c r="AE896" s="8">
        <f t="shared" si="425"/>
        <v>-18.801583605030274</v>
      </c>
      <c r="AF896" s="7" t="s">
        <v>9793</v>
      </c>
      <c r="AG896" s="6" t="str">
        <f t="shared" si="440"/>
        <v>=214.7*10000</v>
      </c>
      <c r="AH896" s="1">
        <f>214.7*10000</f>
        <v>2147000</v>
      </c>
      <c r="AI896" s="8">
        <f t="shared" si="426"/>
        <v>-0.94896600903256478</v>
      </c>
      <c r="AJ896" s="7" t="s">
        <v>9794</v>
      </c>
      <c r="AK896" s="6" t="str">
        <f t="shared" si="441"/>
        <v>=4207*10000</v>
      </c>
      <c r="AL896" s="1">
        <f>4207*10000</f>
        <v>42070000</v>
      </c>
      <c r="AM896" s="8">
        <f t="shared" si="427"/>
        <v>-0.29731084015366627</v>
      </c>
      <c r="AN896" s="7" t="s">
        <v>9795</v>
      </c>
      <c r="AO896" s="6" t="str">
        <f t="shared" si="442"/>
        <v>=5987*10000</v>
      </c>
      <c r="AP896" s="1">
        <f>5987*10000</f>
        <v>59870000</v>
      </c>
      <c r="AQ896" s="8">
        <f t="shared" si="428"/>
        <v>0.35085740072202165</v>
      </c>
      <c r="AR896" s="7" t="s">
        <v>1695</v>
      </c>
      <c r="AS896" s="6" t="str">
        <f t="shared" si="443"/>
        <v>=4432*10000</v>
      </c>
      <c r="AT896" s="1">
        <f>4432*10000</f>
        <v>44320000</v>
      </c>
      <c r="AU896" s="8">
        <f t="shared" si="429"/>
        <v>0.48974789915966388</v>
      </c>
      <c r="AV896" s="7" t="s">
        <v>3818</v>
      </c>
      <c r="AW896" s="6" t="str">
        <f t="shared" si="444"/>
        <v>=2975*10000</v>
      </c>
      <c r="AX896" s="1">
        <f>2975*10000</f>
        <v>29750000</v>
      </c>
      <c r="AY896" s="10">
        <f t="shared" si="430"/>
        <v>-1.0451373084509179</v>
      </c>
      <c r="AZ896" s="6">
        <f>-6.591*100000000</f>
        <v>-659100000</v>
      </c>
      <c r="BA896" s="6" t="str">
        <f t="shared" si="445"/>
        <v>=-659100000</v>
      </c>
      <c r="BB896" s="1">
        <f>-659100000</f>
        <v>-659100000</v>
      </c>
      <c r="BC896" s="8">
        <f t="shared" si="431"/>
        <v>-9.053519061583577</v>
      </c>
      <c r="BD896" s="7" t="s">
        <v>9796</v>
      </c>
      <c r="BE896" s="6" t="str">
        <f t="shared" si="446"/>
        <v>=8184*10000</v>
      </c>
      <c r="BF896" s="1">
        <f>8184*10000</f>
        <v>81840000</v>
      </c>
      <c r="BG896" s="8">
        <f t="shared" si="432"/>
        <v>0.29946014607812005</v>
      </c>
      <c r="BH896" s="7" t="s">
        <v>9797</v>
      </c>
      <c r="BI896" s="6" t="str">
        <f t="shared" si="447"/>
        <v>=6298*10000</v>
      </c>
      <c r="BJ896" s="1">
        <f>6298*10000</f>
        <v>62980000</v>
      </c>
      <c r="BK896" s="7" t="s">
        <v>5438</v>
      </c>
      <c r="BL896" s="1" t="str">
        <f t="shared" si="418"/>
        <v>=3699*10000</v>
      </c>
      <c r="BM896" s="16">
        <f t="shared" si="433"/>
        <v>0.70262233035955668</v>
      </c>
      <c r="BN896" s="1">
        <f>3699*10000</f>
        <v>36990000</v>
      </c>
    </row>
    <row r="897" spans="1:66">
      <c r="A897" s="19"/>
      <c r="B897">
        <v>600721</v>
      </c>
      <c r="C897" t="s">
        <v>68</v>
      </c>
      <c r="D897" s="7" t="s">
        <v>9795</v>
      </c>
      <c r="E897" s="7" t="str">
        <f t="shared" si="417"/>
        <v>=5987*10000</v>
      </c>
      <c r="F897" s="1">
        <f>5987*10000</f>
        <v>59870000</v>
      </c>
      <c r="G897" s="8">
        <f t="shared" si="419"/>
        <v>8.9932641543782998E-2</v>
      </c>
      <c r="H897" s="7" t="s">
        <v>9798</v>
      </c>
      <c r="I897" s="6" t="str">
        <f t="shared" si="434"/>
        <v>=5493*10000</v>
      </c>
      <c r="J897" s="1">
        <f>5493*10000</f>
        <v>54930000</v>
      </c>
      <c r="K897" s="10">
        <f t="shared" si="420"/>
        <v>9.9259555733440058E-2</v>
      </c>
      <c r="L897" s="7" t="s">
        <v>9799</v>
      </c>
      <c r="M897" s="6" t="str">
        <f t="shared" si="435"/>
        <v>=4997*10000</v>
      </c>
      <c r="N897" s="1">
        <f>4997*10000</f>
        <v>49970000</v>
      </c>
      <c r="O897" s="8">
        <f t="shared" si="421"/>
        <v>45.140350877192979</v>
      </c>
      <c r="P897" s="7" t="s">
        <v>9800</v>
      </c>
      <c r="Q897" s="6" t="str">
        <f t="shared" si="436"/>
        <v>=108.3*10000</v>
      </c>
      <c r="R897" s="11">
        <f>108.3*10000</f>
        <v>1083000</v>
      </c>
      <c r="S897" s="8">
        <f t="shared" si="422"/>
        <v>-1.0033864915572233</v>
      </c>
      <c r="T897" s="6">
        <f>-3.198*100000000</f>
        <v>-319800000</v>
      </c>
      <c r="U897" s="6" t="str">
        <f t="shared" si="437"/>
        <v>=-319800000</v>
      </c>
      <c r="V897" s="1">
        <f>-319800000</f>
        <v>-319800000</v>
      </c>
      <c r="W897" s="8">
        <f t="shared" si="423"/>
        <v>6.6361031518624642</v>
      </c>
      <c r="X897" s="7">
        <f>-4188*10000</f>
        <v>-41880000</v>
      </c>
      <c r="Y897" s="6" t="str">
        <f t="shared" si="438"/>
        <v>=-41880000</v>
      </c>
      <c r="Z897" s="1">
        <f>-41880000</f>
        <v>-41880000</v>
      </c>
      <c r="AA897" s="8">
        <f t="shared" si="424"/>
        <v>0.14021236046828206</v>
      </c>
      <c r="AB897" s="7">
        <f>-3673*10000</f>
        <v>-36730000</v>
      </c>
      <c r="AC897" s="6" t="str">
        <f t="shared" si="439"/>
        <v>=-36730000</v>
      </c>
      <c r="AD897" s="1">
        <f>-36730000</f>
        <v>-36730000</v>
      </c>
      <c r="AE897" s="8">
        <f t="shared" si="425"/>
        <v>-26.243986254295532</v>
      </c>
      <c r="AF897" s="7" t="s">
        <v>9801</v>
      </c>
      <c r="AG897" s="6" t="str">
        <f t="shared" si="440"/>
        <v>=145.5*10000</v>
      </c>
      <c r="AH897" s="1">
        <f>145.5*10000</f>
        <v>1455000</v>
      </c>
      <c r="AI897" s="8">
        <f t="shared" si="426"/>
        <v>-0.95690165876777256</v>
      </c>
      <c r="AJ897" s="7" t="s">
        <v>5495</v>
      </c>
      <c r="AK897" s="6" t="str">
        <f t="shared" si="441"/>
        <v>=3376*10000</v>
      </c>
      <c r="AL897" s="1">
        <f>3376*10000</f>
        <v>33760000</v>
      </c>
      <c r="AM897" s="8">
        <f t="shared" si="427"/>
        <v>-0.31784198828046067</v>
      </c>
      <c r="AN897" s="7" t="s">
        <v>9802</v>
      </c>
      <c r="AO897" s="6" t="str">
        <f t="shared" si="442"/>
        <v>=4949*10000</v>
      </c>
      <c r="AP897" s="1">
        <f>4949*10000</f>
        <v>49490000</v>
      </c>
      <c r="AQ897" s="8">
        <f t="shared" si="428"/>
        <v>0.32787764958411592</v>
      </c>
      <c r="AR897" s="7" t="s">
        <v>9803</v>
      </c>
      <c r="AS897" s="6" t="str">
        <f t="shared" si="443"/>
        <v>=3727*10000</v>
      </c>
      <c r="AT897" s="1">
        <f>3727*10000</f>
        <v>37270000</v>
      </c>
      <c r="AU897" s="8">
        <f t="shared" si="429"/>
        <v>0.41657164576206768</v>
      </c>
      <c r="AV897" s="7" t="s">
        <v>7835</v>
      </c>
      <c r="AW897" s="6" t="str">
        <f t="shared" si="444"/>
        <v>=2631*10000</v>
      </c>
      <c r="AX897" s="1">
        <f>2631*10000</f>
        <v>26310000</v>
      </c>
      <c r="AY897" s="10">
        <f t="shared" si="430"/>
        <v>-1.038668430335097</v>
      </c>
      <c r="AZ897" s="6">
        <f>-6.804*100000000</f>
        <v>-680400000</v>
      </c>
      <c r="BA897" s="6" t="str">
        <f t="shared" si="445"/>
        <v>=-680400000</v>
      </c>
      <c r="BB897" s="1">
        <f>-680400000</f>
        <v>-680400000</v>
      </c>
      <c r="BC897" s="8">
        <f t="shared" si="431"/>
        <v>-10.717223650385604</v>
      </c>
      <c r="BD897" s="7" t="s">
        <v>9804</v>
      </c>
      <c r="BE897" s="6" t="str">
        <f t="shared" si="446"/>
        <v>=7002*10000</v>
      </c>
      <c r="BF897" s="1">
        <f>7002*10000</f>
        <v>70020000</v>
      </c>
      <c r="BG897" s="8">
        <f t="shared" si="432"/>
        <v>0.3129570598162385</v>
      </c>
      <c r="BH897" s="7" t="s">
        <v>6055</v>
      </c>
      <c r="BI897" s="6" t="str">
        <f t="shared" si="447"/>
        <v>=5333*10000</v>
      </c>
      <c r="BJ897" s="1">
        <f>5333*10000</f>
        <v>53330000</v>
      </c>
      <c r="BK897" s="7" t="s">
        <v>9805</v>
      </c>
      <c r="BL897" s="1" t="str">
        <f t="shared" si="418"/>
        <v>=3157*10000</v>
      </c>
      <c r="BM897" s="16">
        <f t="shared" si="433"/>
        <v>0.68926195755464048</v>
      </c>
      <c r="BN897" s="1">
        <f>3157*10000</f>
        <v>31570000</v>
      </c>
    </row>
    <row r="898" spans="1:66">
      <c r="A898" s="17">
        <v>226</v>
      </c>
      <c r="B898">
        <v>600724</v>
      </c>
      <c r="C898" t="s">
        <v>31</v>
      </c>
      <c r="D898" s="6" t="s">
        <v>9806</v>
      </c>
      <c r="E898" s="7" t="str">
        <f t="shared" ref="E898:E961" si="448">"="&amp;D898</f>
        <v>=23.40*100000000</v>
      </c>
      <c r="F898" s="1">
        <f>23.4*100000000</f>
        <v>2340000000</v>
      </c>
      <c r="G898" s="8">
        <f t="shared" si="419"/>
        <v>0.64210526315789473</v>
      </c>
      <c r="H898" s="6" t="s">
        <v>8108</v>
      </c>
      <c r="I898" s="6" t="str">
        <f t="shared" si="434"/>
        <v>=14.25*100000000</v>
      </c>
      <c r="J898" s="1">
        <f>14.25*100000000</f>
        <v>1425000000</v>
      </c>
      <c r="K898" s="10">
        <f t="shared" si="420"/>
        <v>0.56250000000000022</v>
      </c>
      <c r="L898" s="6" t="s">
        <v>9807</v>
      </c>
      <c r="M898" s="6" t="str">
        <f t="shared" si="435"/>
        <v>=9.120*100000000</v>
      </c>
      <c r="N898" s="1">
        <f>9.12*100000000</f>
        <v>911999999.99999988</v>
      </c>
      <c r="O898" s="8">
        <f t="shared" si="421"/>
        <v>1.1673003802281365</v>
      </c>
      <c r="P898" s="6" t="s">
        <v>3675</v>
      </c>
      <c r="Q898" s="6" t="str">
        <f t="shared" si="436"/>
        <v>=4.208*100000000</v>
      </c>
      <c r="R898" s="11">
        <f>4.208*100000000</f>
        <v>420800000</v>
      </c>
      <c r="S898" s="8">
        <f t="shared" si="422"/>
        <v>-0.82017094017094017</v>
      </c>
      <c r="T898" s="6" t="s">
        <v>9806</v>
      </c>
      <c r="U898" s="6" t="str">
        <f t="shared" si="437"/>
        <v>=23.40*100000000</v>
      </c>
      <c r="V898" s="1">
        <f>23.4*100000000</f>
        <v>2340000000</v>
      </c>
      <c r="W898" s="8">
        <f t="shared" si="423"/>
        <v>0.40287769784172661</v>
      </c>
      <c r="X898" s="6" t="s">
        <v>2077</v>
      </c>
      <c r="Y898" s="6" t="str">
        <f t="shared" si="438"/>
        <v>=16.68*100000000</v>
      </c>
      <c r="Z898" s="1">
        <f>16.68*100000000</f>
        <v>1668000000</v>
      </c>
      <c r="AA898" s="8">
        <f t="shared" si="424"/>
        <v>0.55742296918767487</v>
      </c>
      <c r="AB898" s="6" t="s">
        <v>588</v>
      </c>
      <c r="AC898" s="6" t="str">
        <f t="shared" si="439"/>
        <v>=10.71*100000000</v>
      </c>
      <c r="AD898" s="1">
        <f>10.71*100000000</f>
        <v>1071000000.0000001</v>
      </c>
      <c r="AE898" s="8">
        <f t="shared" si="425"/>
        <v>2.0643776824034337</v>
      </c>
      <c r="AF898" s="6" t="s">
        <v>9808</v>
      </c>
      <c r="AG898" s="6" t="str">
        <f t="shared" si="440"/>
        <v>=3.495*100000000</v>
      </c>
      <c r="AH898" s="1">
        <f>3.495*100000000</f>
        <v>349500000</v>
      </c>
      <c r="AI898" s="8">
        <f t="shared" si="426"/>
        <v>-0.88887122416534181</v>
      </c>
      <c r="AJ898" s="6" t="s">
        <v>9809</v>
      </c>
      <c r="AK898" s="6" t="str">
        <f t="shared" si="441"/>
        <v>=31.45*100000000</v>
      </c>
      <c r="AL898" s="1">
        <f>31.45*100000000</f>
        <v>3145000000</v>
      </c>
      <c r="AM898" s="8">
        <f t="shared" si="427"/>
        <v>0.37878123629986848</v>
      </c>
      <c r="AN898" s="6" t="s">
        <v>2952</v>
      </c>
      <c r="AO898" s="6" t="str">
        <f t="shared" si="442"/>
        <v>=22.81*100000000</v>
      </c>
      <c r="AP898" s="1">
        <f>22.81*100000000</f>
        <v>2281000000</v>
      </c>
      <c r="AQ898" s="8">
        <f t="shared" si="428"/>
        <v>0.45286624203821657</v>
      </c>
      <c r="AR898" s="6" t="s">
        <v>6116</v>
      </c>
      <c r="AS898" s="6" t="str">
        <f t="shared" si="443"/>
        <v>=15.70*100000000</v>
      </c>
      <c r="AT898" s="1">
        <f>15.7*100000000</f>
        <v>1570000000</v>
      </c>
      <c r="AU898" s="8">
        <f t="shared" si="429"/>
        <v>1.1262188515709644</v>
      </c>
      <c r="AV898" s="6" t="s">
        <v>6802</v>
      </c>
      <c r="AW898" s="6" t="str">
        <f t="shared" si="444"/>
        <v>=7.384*100000000</v>
      </c>
      <c r="AX898" s="1">
        <f>7.384*100000000</f>
        <v>738400000</v>
      </c>
      <c r="AY898" s="10">
        <f t="shared" si="430"/>
        <v>-0.85698237458841764</v>
      </c>
      <c r="AZ898" s="6" t="s">
        <v>9810</v>
      </c>
      <c r="BA898" s="6" t="str">
        <f t="shared" si="445"/>
        <v>=51.63*100000000</v>
      </c>
      <c r="BB898" s="1">
        <f>51.63*100000000</f>
        <v>5163000000</v>
      </c>
      <c r="BC898" s="8">
        <f t="shared" si="431"/>
        <v>0.5114168618266981</v>
      </c>
      <c r="BD898" s="6" t="s">
        <v>7286</v>
      </c>
      <c r="BE898" s="6" t="str">
        <f t="shared" si="446"/>
        <v>=34.16*100000000</v>
      </c>
      <c r="BF898" s="1">
        <f>34.16*100000000</f>
        <v>3415999999.9999995</v>
      </c>
      <c r="BG898" s="8">
        <f t="shared" si="432"/>
        <v>0.41273779983457382</v>
      </c>
      <c r="BH898" s="6" t="s">
        <v>9811</v>
      </c>
      <c r="BI898" s="6" t="str">
        <f t="shared" si="447"/>
        <v>=24.18*100000000</v>
      </c>
      <c r="BJ898" s="1">
        <f>24.18*100000000</f>
        <v>2418000000</v>
      </c>
      <c r="BK898" s="6" t="s">
        <v>3631</v>
      </c>
      <c r="BL898" s="1" t="str">
        <f t="shared" ref="BL898:BL961" si="449">"="&amp;BK898</f>
        <v>=8.212*100000000</v>
      </c>
      <c r="BM898" s="16">
        <f t="shared" si="433"/>
        <v>1.9444715051144665</v>
      </c>
      <c r="BN898" s="1">
        <f>8.212*100000000</f>
        <v>821200000</v>
      </c>
    </row>
    <row r="899" spans="1:66">
      <c r="A899" s="18"/>
      <c r="B899">
        <v>600724</v>
      </c>
      <c r="C899" t="s">
        <v>48</v>
      </c>
      <c r="D899" s="6" t="s">
        <v>9203</v>
      </c>
      <c r="E899" s="7" t="str">
        <f t="shared" si="448"/>
        <v>=6.090*100000000</v>
      </c>
      <c r="F899" s="1">
        <f>6.09*100000000</f>
        <v>609000000</v>
      </c>
      <c r="G899" s="8">
        <f t="shared" ref="G899:G962" si="450">(F899-J899)/J899</f>
        <v>0.84266263237518912</v>
      </c>
      <c r="H899" s="6" t="s">
        <v>4380</v>
      </c>
      <c r="I899" s="6" t="str">
        <f t="shared" si="434"/>
        <v>=3.305*100000000</v>
      </c>
      <c r="J899" s="1">
        <f>3.305*100000000</f>
        <v>330500000</v>
      </c>
      <c r="K899" s="10">
        <f t="shared" ref="K899:K962" si="451">(J899-N899)/N899</f>
        <v>0.45402551693796744</v>
      </c>
      <c r="L899" s="6" t="s">
        <v>9812</v>
      </c>
      <c r="M899" s="6" t="str">
        <f t="shared" si="435"/>
        <v>=2.273*100000000</v>
      </c>
      <c r="N899" s="1">
        <f>2.273*100000000</f>
        <v>227300000</v>
      </c>
      <c r="O899" s="8">
        <f t="shared" ref="O899:O962" si="452">(N899-R899)/R899</f>
        <v>1.0132860938883967</v>
      </c>
      <c r="P899" s="6" t="s">
        <v>6383</v>
      </c>
      <c r="Q899" s="6" t="str">
        <f t="shared" si="436"/>
        <v>=1.129*100000000</v>
      </c>
      <c r="R899" s="11">
        <f>1.129*100000000</f>
        <v>112900000</v>
      </c>
      <c r="S899" s="8">
        <f t="shared" ref="S899:S962" si="453">(R899-V899)/V899</f>
        <v>-0.83746040886841344</v>
      </c>
      <c r="T899" s="6" t="s">
        <v>9813</v>
      </c>
      <c r="U899" s="6" t="str">
        <f t="shared" si="437"/>
        <v>=6.946*100000000</v>
      </c>
      <c r="V899" s="1">
        <f>6.946*100000000</f>
        <v>694600000</v>
      </c>
      <c r="W899" s="8">
        <f t="shared" ref="W899:W962" si="454">(V899-Z899)/Z899</f>
        <v>0.54837271511368701</v>
      </c>
      <c r="X899" s="6" t="s">
        <v>9814</v>
      </c>
      <c r="Y899" s="6" t="str">
        <f t="shared" si="438"/>
        <v>=4.486*100000000</v>
      </c>
      <c r="Z899" s="1">
        <f>4.486*100000000</f>
        <v>448600000</v>
      </c>
      <c r="AA899" s="8">
        <f t="shared" ref="AA899:AA962" si="455">(Z899-AD899)/AD899</f>
        <v>0.62477363274176023</v>
      </c>
      <c r="AB899" s="6" t="s">
        <v>9815</v>
      </c>
      <c r="AC899" s="6" t="str">
        <f t="shared" si="439"/>
        <v>=2.761*100000000</v>
      </c>
      <c r="AD899" s="1">
        <f>2.761*100000000</f>
        <v>276100000</v>
      </c>
      <c r="AE899" s="8">
        <f t="shared" ref="AE899:AE962" si="456">(AD899-AH899)/AH899</f>
        <v>3.4063198212575805</v>
      </c>
      <c r="AF899" s="7" t="s">
        <v>9816</v>
      </c>
      <c r="AG899" s="6" t="str">
        <f t="shared" si="440"/>
        <v>=6266*10000</v>
      </c>
      <c r="AH899" s="1">
        <f>6266*10000</f>
        <v>62660000</v>
      </c>
      <c r="AI899" s="8">
        <f t="shared" ref="AI899:AI962" si="457">(AH899-AL899)/AL899</f>
        <v>-0.92510160172125266</v>
      </c>
      <c r="AJ899" s="6" t="s">
        <v>7353</v>
      </c>
      <c r="AK899" s="6" t="str">
        <f t="shared" si="441"/>
        <v>=8.366*100000000</v>
      </c>
      <c r="AL899" s="1">
        <f>8.366*100000000</f>
        <v>836600000</v>
      </c>
      <c r="AM899" s="8">
        <f t="shared" ref="AM899:AM962" si="458">(AL899-AP899)/AP899</f>
        <v>0.28925874556942516</v>
      </c>
      <c r="AN899" s="6" t="s">
        <v>9817</v>
      </c>
      <c r="AO899" s="6" t="str">
        <f t="shared" si="442"/>
        <v>=6.489*100000000</v>
      </c>
      <c r="AP899" s="1">
        <f>6.489*100000000</f>
        <v>648900000</v>
      </c>
      <c r="AQ899" s="8">
        <f t="shared" ref="AQ899:AQ962" si="459">(AP899-AT899)/AT899</f>
        <v>0.39698600645855775</v>
      </c>
      <c r="AR899" s="6" t="s">
        <v>5149</v>
      </c>
      <c r="AS899" s="6" t="str">
        <f t="shared" si="443"/>
        <v>=4.645*100000000</v>
      </c>
      <c r="AT899" s="1">
        <f>4.645*100000000</f>
        <v>464499999.99999994</v>
      </c>
      <c r="AU899" s="8">
        <f t="shared" ref="AU899:AU962" si="460">(AT899-AX899)/AX899</f>
        <v>1.0408611599297013</v>
      </c>
      <c r="AV899" s="6" t="s">
        <v>2156</v>
      </c>
      <c r="AW899" s="6" t="str">
        <f t="shared" si="444"/>
        <v>=2.276*100000000</v>
      </c>
      <c r="AX899" s="1">
        <f>2.276*100000000</f>
        <v>227599999.99999997</v>
      </c>
      <c r="AY899" s="10">
        <f t="shared" ref="AY899:AY962" si="461">(AX899-BB899)/BB899</f>
        <v>-0.79929453262786598</v>
      </c>
      <c r="AZ899" s="6" t="s">
        <v>6069</v>
      </c>
      <c r="BA899" s="6" t="str">
        <f t="shared" si="445"/>
        <v>=11.34*100000000</v>
      </c>
      <c r="BB899" s="1">
        <f>11.34*100000000</f>
        <v>1134000000</v>
      </c>
      <c r="BC899" s="8">
        <f t="shared" ref="BC899:BC962" si="462">(BB899-BF899)/BF899</f>
        <v>0.94878845162399039</v>
      </c>
      <c r="BD899" s="6" t="s">
        <v>4500</v>
      </c>
      <c r="BE899" s="6" t="str">
        <f t="shared" si="446"/>
        <v>=5.819*100000000</v>
      </c>
      <c r="BF899" s="1">
        <f>5.819*100000000</f>
        <v>581900000</v>
      </c>
      <c r="BG899" s="8">
        <f t="shared" ref="BG899:BG962" si="463">(BF899-BJ899)/BJ899</f>
        <v>0.44034653465346535</v>
      </c>
      <c r="BH899" s="6" t="s">
        <v>2565</v>
      </c>
      <c r="BI899" s="6" t="str">
        <f t="shared" si="447"/>
        <v>=4.040*100000000</v>
      </c>
      <c r="BJ899" s="1">
        <f>4.04*100000000</f>
        <v>404000000</v>
      </c>
      <c r="BK899" s="6" t="s">
        <v>9818</v>
      </c>
      <c r="BL899" s="1" t="str">
        <f t="shared" si="449"/>
        <v>=1.184*100000000</v>
      </c>
      <c r="BM899" s="16">
        <f t="shared" ref="BM899:BM962" si="464">(BJ899-BN899)/BN899</f>
        <v>2.4121621621621623</v>
      </c>
      <c r="BN899" s="1">
        <f>1.184*100000000</f>
        <v>118400000</v>
      </c>
    </row>
    <row r="900" spans="1:66">
      <c r="A900" s="18"/>
      <c r="B900">
        <v>600724</v>
      </c>
      <c r="C900" t="s">
        <v>58</v>
      </c>
      <c r="D900" s="6" t="s">
        <v>9819</v>
      </c>
      <c r="E900" s="7" t="str">
        <f t="shared" si="448"/>
        <v>=6.168*100000000</v>
      </c>
      <c r="F900" s="1">
        <f>6.168*100000000</f>
        <v>616800000</v>
      </c>
      <c r="G900" s="8">
        <f t="shared" si="450"/>
        <v>0.81839622641509435</v>
      </c>
      <c r="H900" s="6" t="s">
        <v>8610</v>
      </c>
      <c r="I900" s="6" t="str">
        <f t="shared" si="434"/>
        <v>=3.392*100000000</v>
      </c>
      <c r="J900" s="1">
        <f>3.392*100000000</f>
        <v>339200000</v>
      </c>
      <c r="K900" s="10">
        <f t="shared" si="451"/>
        <v>0.46206896551724158</v>
      </c>
      <c r="L900" s="6" t="s">
        <v>7655</v>
      </c>
      <c r="M900" s="6" t="str">
        <f t="shared" si="435"/>
        <v>=2.320*100000000</v>
      </c>
      <c r="N900" s="1">
        <f>2.32*100000000</f>
        <v>231999999.99999997</v>
      </c>
      <c r="O900" s="8">
        <f t="shared" si="452"/>
        <v>1.0368744512730463</v>
      </c>
      <c r="P900" s="6" t="s">
        <v>2930</v>
      </c>
      <c r="Q900" s="6" t="str">
        <f t="shared" si="436"/>
        <v>=1.139*100000000</v>
      </c>
      <c r="R900" s="11">
        <f>1.139*100000000</f>
        <v>113900000</v>
      </c>
      <c r="S900" s="8">
        <f t="shared" si="453"/>
        <v>-0.83742506423065943</v>
      </c>
      <c r="T900" s="6" t="s">
        <v>9820</v>
      </c>
      <c r="U900" s="6" t="str">
        <f t="shared" si="437"/>
        <v>=7.006*100000000</v>
      </c>
      <c r="V900" s="1">
        <f>7.006*100000000</f>
        <v>700600000</v>
      </c>
      <c r="W900" s="8">
        <f t="shared" si="454"/>
        <v>0.55274822695035486</v>
      </c>
      <c r="X900" s="6" t="s">
        <v>9821</v>
      </c>
      <c r="Y900" s="6" t="str">
        <f t="shared" si="438"/>
        <v>=4.512*100000000</v>
      </c>
      <c r="Z900" s="1">
        <f>4.512*100000000</f>
        <v>451199999.99999994</v>
      </c>
      <c r="AA900" s="8">
        <f t="shared" si="455"/>
        <v>0.63300760043431037</v>
      </c>
      <c r="AB900" s="6" t="s">
        <v>9281</v>
      </c>
      <c r="AC900" s="6" t="str">
        <f t="shared" si="439"/>
        <v>=2.763*100000000</v>
      </c>
      <c r="AD900" s="1">
        <f>2.763*100000000</f>
        <v>276300000</v>
      </c>
      <c r="AE900" s="8">
        <f t="shared" si="456"/>
        <v>3.4399807166961271</v>
      </c>
      <c r="AF900" s="7" t="s">
        <v>9822</v>
      </c>
      <c r="AG900" s="6" t="str">
        <f t="shared" si="440"/>
        <v>=6223*10000</v>
      </c>
      <c r="AH900" s="1">
        <f>6223*10000</f>
        <v>62230000</v>
      </c>
      <c r="AI900" s="8">
        <f t="shared" si="457"/>
        <v>-0.92583720653080681</v>
      </c>
      <c r="AJ900" s="6" t="s">
        <v>9823</v>
      </c>
      <c r="AK900" s="6" t="str">
        <f t="shared" si="441"/>
        <v>=8.391*100000000</v>
      </c>
      <c r="AL900" s="1">
        <f>8.391*100000000</f>
        <v>839100000</v>
      </c>
      <c r="AM900" s="8">
        <f t="shared" si="458"/>
        <v>0.28814860300890388</v>
      </c>
      <c r="AN900" s="6" t="s">
        <v>3793</v>
      </c>
      <c r="AO900" s="6" t="str">
        <f t="shared" si="442"/>
        <v>=6.514*100000000</v>
      </c>
      <c r="AP900" s="1">
        <f>6.514*100000000</f>
        <v>651400000</v>
      </c>
      <c r="AQ900" s="8">
        <f t="shared" si="459"/>
        <v>0.39815411032410386</v>
      </c>
      <c r="AR900" s="6" t="s">
        <v>6689</v>
      </c>
      <c r="AS900" s="6" t="str">
        <f t="shared" si="443"/>
        <v>=4.659*100000000</v>
      </c>
      <c r="AT900" s="1">
        <f>4.659*100000000</f>
        <v>465900000</v>
      </c>
      <c r="AU900" s="8">
        <f t="shared" si="460"/>
        <v>1.0425252082419991</v>
      </c>
      <c r="AV900" s="6" t="s">
        <v>6389</v>
      </c>
      <c r="AW900" s="6" t="str">
        <f t="shared" si="444"/>
        <v>=2.281*100000000</v>
      </c>
      <c r="AX900" s="1">
        <f>2.281*100000000</f>
        <v>228100000</v>
      </c>
      <c r="AY900" s="10">
        <f t="shared" si="461"/>
        <v>-0.7997366110623354</v>
      </c>
      <c r="AZ900" s="6" t="s">
        <v>8295</v>
      </c>
      <c r="BA900" s="6" t="str">
        <f t="shared" si="445"/>
        <v>=11.39*100000000</v>
      </c>
      <c r="BB900" s="1">
        <f>11.39*100000000</f>
        <v>1139000000</v>
      </c>
      <c r="BC900" s="8">
        <f t="shared" si="462"/>
        <v>0.94136696778592122</v>
      </c>
      <c r="BD900" s="6" t="s">
        <v>9824</v>
      </c>
      <c r="BE900" s="6" t="str">
        <f t="shared" si="446"/>
        <v>=5.867*100000000</v>
      </c>
      <c r="BF900" s="1">
        <f>5.867*100000000</f>
        <v>586700000</v>
      </c>
      <c r="BG900" s="8">
        <f t="shared" si="463"/>
        <v>0.4436515748031496</v>
      </c>
      <c r="BH900" s="6" t="s">
        <v>114</v>
      </c>
      <c r="BI900" s="6" t="str">
        <f t="shared" si="447"/>
        <v>=4.064*100000000</v>
      </c>
      <c r="BJ900" s="1">
        <f>4.064*100000000</f>
        <v>406400000</v>
      </c>
      <c r="BK900" s="6" t="s">
        <v>2097</v>
      </c>
      <c r="BL900" s="1" t="str">
        <f t="shared" si="449"/>
        <v>=1.193*100000000</v>
      </c>
      <c r="BM900" s="16">
        <f t="shared" si="464"/>
        <v>2.4065381391450127</v>
      </c>
      <c r="BN900" s="1">
        <f>1.193*100000000</f>
        <v>119300000</v>
      </c>
    </row>
    <row r="901" spans="1:66">
      <c r="A901" s="19"/>
      <c r="B901">
        <v>600724</v>
      </c>
      <c r="C901" t="s">
        <v>68</v>
      </c>
      <c r="D901" s="6" t="s">
        <v>9825</v>
      </c>
      <c r="E901" s="7" t="str">
        <f t="shared" si="448"/>
        <v>=4.743*100000000</v>
      </c>
      <c r="F901" s="1">
        <f>4.743*100000000</f>
        <v>474300000.00000006</v>
      </c>
      <c r="G901" s="8">
        <f t="shared" si="450"/>
        <v>0.81724137931034502</v>
      </c>
      <c r="H901" s="6" t="s">
        <v>9657</v>
      </c>
      <c r="I901" s="6" t="str">
        <f t="shared" si="434"/>
        <v>=2.610*100000000</v>
      </c>
      <c r="J901" s="1">
        <f>2.61*100000000</f>
        <v>261000000</v>
      </c>
      <c r="K901" s="10">
        <f t="shared" si="451"/>
        <v>0.46546883773161146</v>
      </c>
      <c r="L901" s="6" t="s">
        <v>1271</v>
      </c>
      <c r="M901" s="6" t="str">
        <f t="shared" si="435"/>
        <v>=1.781*100000000</v>
      </c>
      <c r="N901" s="1">
        <f>1.781*100000000</f>
        <v>178100000</v>
      </c>
      <c r="O901" s="8">
        <f t="shared" si="452"/>
        <v>1.0494821634062141</v>
      </c>
      <c r="P901" s="7" t="s">
        <v>9826</v>
      </c>
      <c r="Q901" s="6" t="str">
        <f t="shared" si="436"/>
        <v>=8690*10000</v>
      </c>
      <c r="R901" s="11">
        <f>8690*10000</f>
        <v>86900000</v>
      </c>
      <c r="S901" s="8">
        <f t="shared" si="453"/>
        <v>-0.8455111111111111</v>
      </c>
      <c r="T901" s="6" t="s">
        <v>2421</v>
      </c>
      <c r="U901" s="6" t="str">
        <f t="shared" si="437"/>
        <v>=5.625*100000000</v>
      </c>
      <c r="V901" s="1">
        <f>5.625*100000000</f>
        <v>562500000</v>
      </c>
      <c r="W901" s="8">
        <f t="shared" si="454"/>
        <v>0.58183352080989881</v>
      </c>
      <c r="X901" s="6" t="s">
        <v>9827</v>
      </c>
      <c r="Y901" s="6" t="str">
        <f t="shared" si="438"/>
        <v>=3.556*100000000</v>
      </c>
      <c r="Z901" s="1">
        <f>3.556*100000000</f>
        <v>355600000</v>
      </c>
      <c r="AA901" s="8">
        <f t="shared" si="455"/>
        <v>0.64173591874422897</v>
      </c>
      <c r="AB901" s="6" t="s">
        <v>9828</v>
      </c>
      <c r="AC901" s="6" t="str">
        <f t="shared" si="439"/>
        <v>=2.166*100000000</v>
      </c>
      <c r="AD901" s="1">
        <f>2.166*100000000</f>
        <v>216600000</v>
      </c>
      <c r="AE901" s="8">
        <f t="shared" si="456"/>
        <v>3.5275919732441472</v>
      </c>
      <c r="AF901" s="7" t="s">
        <v>9829</v>
      </c>
      <c r="AG901" s="6" t="str">
        <f t="shared" si="440"/>
        <v>=4784*10000</v>
      </c>
      <c r="AH901" s="1">
        <f>4784*10000</f>
        <v>47840000</v>
      </c>
      <c r="AI901" s="8">
        <f t="shared" si="457"/>
        <v>-0.92823282328232826</v>
      </c>
      <c r="AJ901" s="6" t="s">
        <v>9830</v>
      </c>
      <c r="AK901" s="6" t="str">
        <f t="shared" si="441"/>
        <v>=6.666*100000000</v>
      </c>
      <c r="AL901" s="1">
        <f>6.666*100000000</f>
        <v>666600000</v>
      </c>
      <c r="AM901" s="8">
        <f t="shared" si="458"/>
        <v>0.27554535017221582</v>
      </c>
      <c r="AN901" s="6" t="s">
        <v>9831</v>
      </c>
      <c r="AO901" s="6" t="str">
        <f t="shared" si="442"/>
        <v>=5.226*100000000</v>
      </c>
      <c r="AP901" s="1">
        <f>5.226*100000000</f>
        <v>522600000</v>
      </c>
      <c r="AQ901" s="8">
        <f t="shared" si="459"/>
        <v>0.38253968253968251</v>
      </c>
      <c r="AR901" s="6" t="s">
        <v>9832</v>
      </c>
      <c r="AS901" s="6" t="str">
        <f t="shared" si="443"/>
        <v>=3.780*100000000</v>
      </c>
      <c r="AT901" s="1">
        <f>3.78*100000000</f>
        <v>378000000</v>
      </c>
      <c r="AU901" s="8">
        <f t="shared" si="460"/>
        <v>0.96465696465696471</v>
      </c>
      <c r="AV901" s="6" t="s">
        <v>9833</v>
      </c>
      <c r="AW901" s="6" t="str">
        <f t="shared" si="444"/>
        <v>=1.924*100000000</v>
      </c>
      <c r="AX901" s="1">
        <f>1.924*100000000</f>
        <v>192400000</v>
      </c>
      <c r="AY901" s="10">
        <f t="shared" si="461"/>
        <v>-0.78997925990612383</v>
      </c>
      <c r="AZ901" s="6" t="s">
        <v>9834</v>
      </c>
      <c r="BA901" s="6" t="str">
        <f t="shared" si="445"/>
        <v>=9.161*100000000</v>
      </c>
      <c r="BB901" s="1">
        <f>9.161*100000000</f>
        <v>916100000</v>
      </c>
      <c r="BC901" s="8">
        <f t="shared" si="462"/>
        <v>1.1404205607476636</v>
      </c>
      <c r="BD901" s="6" t="s">
        <v>3611</v>
      </c>
      <c r="BE901" s="6" t="str">
        <f t="shared" si="446"/>
        <v>=4.280*100000000</v>
      </c>
      <c r="BF901" s="1">
        <f>4.28*100000000</f>
        <v>428000000</v>
      </c>
      <c r="BG901" s="8">
        <f t="shared" si="463"/>
        <v>0.43383584589614738</v>
      </c>
      <c r="BH901" s="6" t="s">
        <v>9835</v>
      </c>
      <c r="BI901" s="6" t="str">
        <f t="shared" si="447"/>
        <v>=2.985*100000000</v>
      </c>
      <c r="BJ901" s="1">
        <f>2.985*100000000</f>
        <v>298500000</v>
      </c>
      <c r="BK901" s="7" t="s">
        <v>9836</v>
      </c>
      <c r="BL901" s="1" t="str">
        <f t="shared" si="449"/>
        <v>=8281*10000</v>
      </c>
      <c r="BM901" s="16">
        <f t="shared" si="464"/>
        <v>2.6046371211206374</v>
      </c>
      <c r="BN901" s="1">
        <f>8281*10000</f>
        <v>82810000</v>
      </c>
    </row>
    <row r="902" spans="1:66">
      <c r="A902" s="17">
        <v>227</v>
      </c>
      <c r="B902">
        <v>600727</v>
      </c>
      <c r="C902" t="s">
        <v>31</v>
      </c>
      <c r="D902" s="6" t="s">
        <v>9837</v>
      </c>
      <c r="E902" s="7" t="str">
        <f t="shared" si="448"/>
        <v>=45.31*100000000</v>
      </c>
      <c r="F902" s="1">
        <f>45.31*100000000</f>
        <v>4531000000</v>
      </c>
      <c r="G902" s="8">
        <f t="shared" si="450"/>
        <v>0.41328758577666874</v>
      </c>
      <c r="H902" s="6" t="s">
        <v>612</v>
      </c>
      <c r="I902" s="6" t="str">
        <f t="shared" si="434"/>
        <v>=32.06*100000000</v>
      </c>
      <c r="J902" s="1">
        <f>32.06*100000000</f>
        <v>3206000000</v>
      </c>
      <c r="K902" s="10">
        <f t="shared" si="451"/>
        <v>0.5101271785209609</v>
      </c>
      <c r="L902" s="6" t="s">
        <v>6456</v>
      </c>
      <c r="M902" s="6" t="str">
        <f t="shared" si="435"/>
        <v>=21.23*100000000</v>
      </c>
      <c r="N902" s="1">
        <f>21.23*100000000</f>
        <v>2123000000</v>
      </c>
      <c r="O902" s="8">
        <f t="shared" si="452"/>
        <v>1.2887020267356619</v>
      </c>
      <c r="P902" s="6" t="s">
        <v>9838</v>
      </c>
      <c r="Q902" s="6" t="str">
        <f t="shared" si="436"/>
        <v>=9.276*100000000</v>
      </c>
      <c r="R902" s="11">
        <f>9.276*100000000</f>
        <v>927600000</v>
      </c>
      <c r="S902" s="8">
        <f t="shared" si="453"/>
        <v>-0.68352098259979532</v>
      </c>
      <c r="T902" s="6" t="s">
        <v>607</v>
      </c>
      <c r="U902" s="6" t="str">
        <f t="shared" si="437"/>
        <v>=29.31*100000000</v>
      </c>
      <c r="V902" s="1">
        <f>29.31*100000000</f>
        <v>2931000000</v>
      </c>
      <c r="W902" s="8">
        <f t="shared" si="454"/>
        <v>0.3292517006802721</v>
      </c>
      <c r="X902" s="6" t="s">
        <v>9839</v>
      </c>
      <c r="Y902" s="6" t="str">
        <f t="shared" si="438"/>
        <v>=22.05*100000000</v>
      </c>
      <c r="Z902" s="1">
        <f>22.05*100000000</f>
        <v>2205000000</v>
      </c>
      <c r="AA902" s="8">
        <f t="shared" si="455"/>
        <v>0.68064024390243905</v>
      </c>
      <c r="AB902" s="6" t="s">
        <v>9840</v>
      </c>
      <c r="AC902" s="6" t="str">
        <f t="shared" si="439"/>
        <v>=13.12*100000000</v>
      </c>
      <c r="AD902" s="1">
        <f>13.12*100000000</f>
        <v>1312000000</v>
      </c>
      <c r="AE902" s="8">
        <f t="shared" si="456"/>
        <v>0.96201585165245995</v>
      </c>
      <c r="AF902" s="6" t="s">
        <v>9841</v>
      </c>
      <c r="AG902" s="6" t="str">
        <f t="shared" si="440"/>
        <v>=6.687*100000000</v>
      </c>
      <c r="AH902" s="1">
        <f>6.687*100000000</f>
        <v>668700000</v>
      </c>
      <c r="AI902" s="8">
        <f t="shared" si="457"/>
        <v>-0.75833032164799419</v>
      </c>
      <c r="AJ902" s="6" t="s">
        <v>9842</v>
      </c>
      <c r="AK902" s="6" t="str">
        <f t="shared" si="441"/>
        <v>=27.67*100000000</v>
      </c>
      <c r="AL902" s="1">
        <f>27.67*100000000</f>
        <v>2767000000</v>
      </c>
      <c r="AM902" s="8">
        <f t="shared" si="458"/>
        <v>0.3438562408936377</v>
      </c>
      <c r="AN902" s="6" t="s">
        <v>9843</v>
      </c>
      <c r="AO902" s="6" t="str">
        <f t="shared" si="442"/>
        <v>=20.59*100000000</v>
      </c>
      <c r="AP902" s="1">
        <f>20.59*100000000</f>
        <v>2059000000</v>
      </c>
      <c r="AQ902" s="8">
        <f t="shared" si="459"/>
        <v>2.5506121745128469</v>
      </c>
      <c r="AR902" s="6" t="s">
        <v>9844</v>
      </c>
      <c r="AS902" s="6" t="str">
        <f t="shared" si="443"/>
        <v>=5.799*100000000</v>
      </c>
      <c r="AT902" s="1">
        <f>5.799*100000000</f>
        <v>579900000</v>
      </c>
      <c r="AU902" s="8">
        <f t="shared" si="460"/>
        <v>1.3030182684670375</v>
      </c>
      <c r="AV902" s="6" t="s">
        <v>4967</v>
      </c>
      <c r="AW902" s="6" t="str">
        <f t="shared" si="444"/>
        <v>=2.518*100000000</v>
      </c>
      <c r="AX902" s="1">
        <f>2.518*100000000</f>
        <v>251799999.99999997</v>
      </c>
      <c r="AY902" s="10">
        <f t="shared" si="461"/>
        <v>-0.61732522796352585</v>
      </c>
      <c r="AZ902" s="6" t="s">
        <v>5907</v>
      </c>
      <c r="BA902" s="6" t="str">
        <f t="shared" si="445"/>
        <v>=6.580*100000000</v>
      </c>
      <c r="BB902" s="1">
        <f>6.58*100000000</f>
        <v>658000000</v>
      </c>
      <c r="BC902" s="8">
        <f t="shared" si="462"/>
        <v>0.36147320504862407</v>
      </c>
      <c r="BD902" s="6" t="s">
        <v>2951</v>
      </c>
      <c r="BE902" s="6" t="str">
        <f t="shared" si="446"/>
        <v>=4.833*100000000</v>
      </c>
      <c r="BF902" s="1">
        <f>4.833*100000000</f>
        <v>483300000</v>
      </c>
      <c r="BG902" s="8">
        <f t="shared" si="463"/>
        <v>0.59399736147757254</v>
      </c>
      <c r="BH902" s="6" t="s">
        <v>9845</v>
      </c>
      <c r="BI902" s="6" t="str">
        <f t="shared" si="447"/>
        <v>=3.032*100000000</v>
      </c>
      <c r="BJ902" s="1">
        <f>3.032*100000000</f>
        <v>303200000</v>
      </c>
      <c r="BK902" s="6" t="s">
        <v>7620</v>
      </c>
      <c r="BL902" s="1" t="str">
        <f t="shared" si="449"/>
        <v>=1.147*100000000</v>
      </c>
      <c r="BM902" s="16">
        <f t="shared" si="464"/>
        <v>1.6434176111595467</v>
      </c>
      <c r="BN902" s="1">
        <f>1.147*100000000</f>
        <v>114700000</v>
      </c>
    </row>
    <row r="903" spans="1:66">
      <c r="A903" s="18"/>
      <c r="B903">
        <v>600727</v>
      </c>
      <c r="C903" t="s">
        <v>48</v>
      </c>
      <c r="D903" s="6" t="s">
        <v>9846</v>
      </c>
      <c r="E903" s="7" t="str">
        <f t="shared" si="448"/>
        <v>=7.520*100000000</v>
      </c>
      <c r="F903" s="1">
        <f>7.52*100000000</f>
        <v>752000000</v>
      </c>
      <c r="G903" s="8">
        <f t="shared" si="450"/>
        <v>0.29209621993127149</v>
      </c>
      <c r="H903" s="6" t="s">
        <v>9847</v>
      </c>
      <c r="I903" s="6" t="str">
        <f t="shared" si="434"/>
        <v>=5.820*100000000</v>
      </c>
      <c r="J903" s="1">
        <f>5.82*100000000</f>
        <v>582000000</v>
      </c>
      <c r="K903" s="10">
        <f t="shared" si="451"/>
        <v>0.49154279856483857</v>
      </c>
      <c r="L903" s="6" t="s">
        <v>9848</v>
      </c>
      <c r="M903" s="6" t="str">
        <f t="shared" si="435"/>
        <v>=3.902*100000000</v>
      </c>
      <c r="N903" s="1">
        <f>3.902*100000000</f>
        <v>390200000</v>
      </c>
      <c r="O903" s="8">
        <f t="shared" si="452"/>
        <v>1.5012820512820513</v>
      </c>
      <c r="P903" s="6" t="s">
        <v>4885</v>
      </c>
      <c r="Q903" s="6" t="str">
        <f t="shared" si="436"/>
        <v>=1.560*100000000</v>
      </c>
      <c r="R903" s="11">
        <f>1.56*100000000</f>
        <v>156000000</v>
      </c>
      <c r="S903" s="8">
        <f t="shared" si="453"/>
        <v>-0.59721146398140978</v>
      </c>
      <c r="T903" s="6" t="s">
        <v>6698</v>
      </c>
      <c r="U903" s="6" t="str">
        <f t="shared" si="437"/>
        <v>=3.873*100000000</v>
      </c>
      <c r="V903" s="1">
        <f>3.873*100000000</f>
        <v>387300000</v>
      </c>
      <c r="W903" s="8">
        <f t="shared" si="454"/>
        <v>0.36277269528501055</v>
      </c>
      <c r="X903" s="6" t="s">
        <v>9849</v>
      </c>
      <c r="Y903" s="6" t="str">
        <f t="shared" si="438"/>
        <v>=2.842*100000000</v>
      </c>
      <c r="Z903" s="1">
        <f>2.842*100000000</f>
        <v>284200000</v>
      </c>
      <c r="AA903" s="8">
        <f t="shared" si="455"/>
        <v>0.53455723542116629</v>
      </c>
      <c r="AB903" s="6" t="s">
        <v>1783</v>
      </c>
      <c r="AC903" s="6" t="str">
        <f t="shared" si="439"/>
        <v>=1.852*100000000</v>
      </c>
      <c r="AD903" s="1">
        <f>1.852*100000000</f>
        <v>185200000</v>
      </c>
      <c r="AE903" s="8">
        <f t="shared" si="456"/>
        <v>1.3327875047235169</v>
      </c>
      <c r="AF903" s="7" t="s">
        <v>9850</v>
      </c>
      <c r="AG903" s="6" t="str">
        <f t="shared" si="440"/>
        <v>=7939*10000</v>
      </c>
      <c r="AH903" s="1">
        <f>7939*10000</f>
        <v>79390000</v>
      </c>
      <c r="AI903" s="8">
        <f t="shared" si="457"/>
        <v>-0.80479468895992134</v>
      </c>
      <c r="AJ903" s="6" t="s">
        <v>9851</v>
      </c>
      <c r="AK903" s="6" t="str">
        <f t="shared" si="441"/>
        <v>=4.067*100000000</v>
      </c>
      <c r="AL903" s="1">
        <f>4.067*100000000</f>
        <v>406700000</v>
      </c>
      <c r="AM903" s="8">
        <f t="shared" si="458"/>
        <v>0.31874189364461736</v>
      </c>
      <c r="AN903" s="6" t="s">
        <v>9852</v>
      </c>
      <c r="AO903" s="6" t="str">
        <f t="shared" si="442"/>
        <v>=3.084*100000000</v>
      </c>
      <c r="AP903" s="1">
        <f>3.084*100000000</f>
        <v>308400000</v>
      </c>
      <c r="AQ903" s="8">
        <f t="shared" si="459"/>
        <v>1.0823767724510467</v>
      </c>
      <c r="AR903" s="6" t="s">
        <v>1994</v>
      </c>
      <c r="AS903" s="6" t="str">
        <f t="shared" si="443"/>
        <v>=1.481*100000000</v>
      </c>
      <c r="AT903" s="1">
        <f>1.481*100000000</f>
        <v>148100000</v>
      </c>
      <c r="AU903" s="8">
        <f t="shared" si="460"/>
        <v>1.4978917186709395</v>
      </c>
      <c r="AV903" s="7" t="s">
        <v>9853</v>
      </c>
      <c r="AW903" s="6" t="str">
        <f t="shared" si="444"/>
        <v>=5929*10000</v>
      </c>
      <c r="AX903" s="1">
        <f>5929*10000</f>
        <v>59290000</v>
      </c>
      <c r="AY903" s="10">
        <f t="shared" si="461"/>
        <v>-0.47344582593250439</v>
      </c>
      <c r="AZ903" s="6" t="s">
        <v>3574</v>
      </c>
      <c r="BA903" s="6" t="str">
        <f t="shared" si="445"/>
        <v>=1.126*100000000</v>
      </c>
      <c r="BB903" s="1">
        <f>1.126*100000000</f>
        <v>112599999.99999999</v>
      </c>
      <c r="BC903" s="8">
        <f t="shared" si="462"/>
        <v>0.23722667838699027</v>
      </c>
      <c r="BD903" s="7" t="s">
        <v>9854</v>
      </c>
      <c r="BE903" s="6" t="str">
        <f t="shared" si="446"/>
        <v>=9101*10000</v>
      </c>
      <c r="BF903" s="1">
        <f>9101*10000</f>
        <v>91010000</v>
      </c>
      <c r="BG903" s="8">
        <f t="shared" si="463"/>
        <v>0.7448236196319018</v>
      </c>
      <c r="BH903" s="7" t="s">
        <v>5964</v>
      </c>
      <c r="BI903" s="6" t="str">
        <f t="shared" si="447"/>
        <v>=5216*10000</v>
      </c>
      <c r="BJ903" s="1">
        <f>5216*10000</f>
        <v>52160000</v>
      </c>
      <c r="BK903" s="7" t="s">
        <v>4181</v>
      </c>
      <c r="BL903" s="1" t="str">
        <f t="shared" si="449"/>
        <v>=2593*10000</v>
      </c>
      <c r="BM903" s="16">
        <f t="shared" si="464"/>
        <v>1.0115696104897802</v>
      </c>
      <c r="BN903" s="1">
        <f>2593*10000</f>
        <v>25930000</v>
      </c>
    </row>
    <row r="904" spans="1:66">
      <c r="A904" s="18"/>
      <c r="B904">
        <v>600727</v>
      </c>
      <c r="C904" t="s">
        <v>58</v>
      </c>
      <c r="D904" s="6" t="s">
        <v>9855</v>
      </c>
      <c r="E904" s="7" t="str">
        <f t="shared" si="448"/>
        <v>=7.563*100000000</v>
      </c>
      <c r="F904" s="1">
        <f>7.563*100000000</f>
        <v>756300000</v>
      </c>
      <c r="G904" s="8">
        <f t="shared" si="450"/>
        <v>0.29681069958847739</v>
      </c>
      <c r="H904" s="6" t="s">
        <v>9856</v>
      </c>
      <c r="I904" s="6" t="str">
        <f t="shared" si="434"/>
        <v>=5.832*100000000</v>
      </c>
      <c r="J904" s="1">
        <f>5.832*100000000</f>
        <v>583200000</v>
      </c>
      <c r="K904" s="10">
        <f t="shared" si="451"/>
        <v>0.49156010230179026</v>
      </c>
      <c r="L904" s="6" t="s">
        <v>9857</v>
      </c>
      <c r="M904" s="6" t="str">
        <f t="shared" si="435"/>
        <v>=3.910*100000000</v>
      </c>
      <c r="N904" s="1">
        <f>3.91*100000000</f>
        <v>391000000</v>
      </c>
      <c r="O904" s="8">
        <f t="shared" si="452"/>
        <v>1.5015994881637875</v>
      </c>
      <c r="P904" s="6" t="s">
        <v>6794</v>
      </c>
      <c r="Q904" s="6" t="str">
        <f t="shared" si="436"/>
        <v>=1.563*100000000</v>
      </c>
      <c r="R904" s="11">
        <f>1.563*100000000</f>
        <v>156300000</v>
      </c>
      <c r="S904" s="8">
        <f t="shared" si="453"/>
        <v>-0.59030144167758847</v>
      </c>
      <c r="T904" s="6" t="s">
        <v>9858</v>
      </c>
      <c r="U904" s="6" t="str">
        <f t="shared" si="437"/>
        <v>=3.815*100000000</v>
      </c>
      <c r="V904" s="1">
        <f>3.815*100000000</f>
        <v>381500000</v>
      </c>
      <c r="W904" s="8">
        <f t="shared" si="454"/>
        <v>0.33906633906633904</v>
      </c>
      <c r="X904" s="6" t="s">
        <v>9859</v>
      </c>
      <c r="Y904" s="6" t="str">
        <f t="shared" si="438"/>
        <v>=2.849*100000000</v>
      </c>
      <c r="Z904" s="1">
        <f>2.849*100000000</f>
        <v>284900000</v>
      </c>
      <c r="AA904" s="8">
        <f t="shared" si="455"/>
        <v>0.54</v>
      </c>
      <c r="AB904" s="6" t="s">
        <v>9860</v>
      </c>
      <c r="AC904" s="6" t="str">
        <f t="shared" si="439"/>
        <v>=1.850*100000000</v>
      </c>
      <c r="AD904" s="1">
        <f>1.85*100000000</f>
        <v>185000000</v>
      </c>
      <c r="AE904" s="8">
        <f t="shared" si="456"/>
        <v>1.3402909550917141</v>
      </c>
      <c r="AF904" s="7" t="s">
        <v>9861</v>
      </c>
      <c r="AG904" s="6" t="str">
        <f t="shared" si="440"/>
        <v>=7905*10000</v>
      </c>
      <c r="AH904" s="1">
        <f>7905*10000</f>
        <v>79050000</v>
      </c>
      <c r="AI904" s="8">
        <f t="shared" si="457"/>
        <v>-0.80529556650246303</v>
      </c>
      <c r="AJ904" s="6" t="s">
        <v>2569</v>
      </c>
      <c r="AK904" s="6" t="str">
        <f t="shared" si="441"/>
        <v>=4.060*100000000</v>
      </c>
      <c r="AL904" s="1">
        <f>4.06*100000000</f>
        <v>405999999.99999994</v>
      </c>
      <c r="AM904" s="8">
        <f t="shared" si="458"/>
        <v>0.31903833658219605</v>
      </c>
      <c r="AN904" s="6" t="s">
        <v>9862</v>
      </c>
      <c r="AO904" s="6" t="str">
        <f t="shared" si="442"/>
        <v>=3.078*100000000</v>
      </c>
      <c r="AP904" s="1">
        <f>3.078*100000000</f>
        <v>307800000</v>
      </c>
      <c r="AQ904" s="8">
        <f t="shared" si="459"/>
        <v>1.0967302452316077</v>
      </c>
      <c r="AR904" s="6" t="s">
        <v>5209</v>
      </c>
      <c r="AS904" s="6" t="str">
        <f t="shared" si="443"/>
        <v>=1.468*100000000</v>
      </c>
      <c r="AT904" s="1">
        <f>1.468*100000000</f>
        <v>146800000</v>
      </c>
      <c r="AU904" s="8">
        <f t="shared" si="460"/>
        <v>1.538913870632999</v>
      </c>
      <c r="AV904" s="7" t="s">
        <v>9184</v>
      </c>
      <c r="AW904" s="6" t="str">
        <f t="shared" si="444"/>
        <v>=5782*10000</v>
      </c>
      <c r="AX904" s="1">
        <f>5782*10000</f>
        <v>57820000</v>
      </c>
      <c r="AY904" s="10">
        <f t="shared" si="461"/>
        <v>-0.41889447236180904</v>
      </c>
      <c r="AZ904" s="7" t="s">
        <v>9863</v>
      </c>
      <c r="BA904" s="6" t="str">
        <f t="shared" si="445"/>
        <v>=9950*10000</v>
      </c>
      <c r="BB904" s="1">
        <f>9950*10000</f>
        <v>99500000</v>
      </c>
      <c r="BC904" s="8">
        <f t="shared" si="462"/>
        <v>9.7023153252480704E-2</v>
      </c>
      <c r="BD904" s="7" t="s">
        <v>9864</v>
      </c>
      <c r="BE904" s="6" t="str">
        <f t="shared" si="446"/>
        <v>=9070*10000</v>
      </c>
      <c r="BF904" s="1">
        <f>9070*10000</f>
        <v>90700000</v>
      </c>
      <c r="BG904" s="8">
        <f t="shared" si="463"/>
        <v>0.75333462207616475</v>
      </c>
      <c r="BH904" s="7" t="s">
        <v>9865</v>
      </c>
      <c r="BI904" s="6" t="str">
        <f t="shared" si="447"/>
        <v>=5173*10000</v>
      </c>
      <c r="BJ904" s="1">
        <f>5173*10000</f>
        <v>51730000</v>
      </c>
      <c r="BK904" s="7" t="s">
        <v>9866</v>
      </c>
      <c r="BL904" s="1" t="str">
        <f t="shared" si="449"/>
        <v>=2498*10000</v>
      </c>
      <c r="BM904" s="16">
        <f t="shared" si="464"/>
        <v>1.0708566853482786</v>
      </c>
      <c r="BN904" s="1">
        <f>2498*10000</f>
        <v>24980000</v>
      </c>
    </row>
    <row r="905" spans="1:66">
      <c r="A905" s="19"/>
      <c r="B905">
        <v>600727</v>
      </c>
      <c r="C905" t="s">
        <v>68</v>
      </c>
      <c r="D905" s="6" t="s">
        <v>9867</v>
      </c>
      <c r="E905" s="7" t="str">
        <f t="shared" si="448"/>
        <v>=6.016*100000000</v>
      </c>
      <c r="F905" s="1">
        <f>6.016*100000000</f>
        <v>601600000</v>
      </c>
      <c r="G905" s="8">
        <f t="shared" si="450"/>
        <v>0.27241962774957701</v>
      </c>
      <c r="H905" s="6" t="s">
        <v>9868</v>
      </c>
      <c r="I905" s="6" t="str">
        <f t="shared" si="434"/>
        <v>=4.728*100000000</v>
      </c>
      <c r="J905" s="1">
        <f>4.728*100000000</f>
        <v>472800000</v>
      </c>
      <c r="K905" s="10">
        <f t="shared" si="451"/>
        <v>0.50238322211630126</v>
      </c>
      <c r="L905" s="6" t="s">
        <v>9869</v>
      </c>
      <c r="M905" s="6" t="str">
        <f t="shared" si="435"/>
        <v>=3.147*100000000</v>
      </c>
      <c r="N905" s="1">
        <f>3.147*100000000</f>
        <v>314700000</v>
      </c>
      <c r="O905" s="8">
        <f t="shared" si="452"/>
        <v>1.5216346153846154</v>
      </c>
      <c r="P905" s="6" t="s">
        <v>9663</v>
      </c>
      <c r="Q905" s="6" t="str">
        <f t="shared" si="436"/>
        <v>=1.248*100000000</v>
      </c>
      <c r="R905" s="11">
        <f>1.248*100000000</f>
        <v>124800000</v>
      </c>
      <c r="S905" s="8">
        <f t="shared" si="453"/>
        <v>-0.60431198478123016</v>
      </c>
      <c r="T905" s="6" t="s">
        <v>9870</v>
      </c>
      <c r="U905" s="6" t="str">
        <f t="shared" si="437"/>
        <v>=3.154*100000000</v>
      </c>
      <c r="V905" s="1">
        <f>3.154*100000000</f>
        <v>315400000</v>
      </c>
      <c r="W905" s="8">
        <f t="shared" si="454"/>
        <v>0.3600689952565761</v>
      </c>
      <c r="X905" s="6" t="s">
        <v>1997</v>
      </c>
      <c r="Y905" s="6" t="str">
        <f t="shared" si="438"/>
        <v>=2.319*100000000</v>
      </c>
      <c r="Z905" s="1">
        <f>2.319*100000000</f>
        <v>231900000</v>
      </c>
      <c r="AA905" s="8">
        <f t="shared" si="455"/>
        <v>0.56477732793522262</v>
      </c>
      <c r="AB905" s="6" t="s">
        <v>2204</v>
      </c>
      <c r="AC905" s="6" t="str">
        <f t="shared" si="439"/>
        <v>=1.482*100000000</v>
      </c>
      <c r="AD905" s="1">
        <f>1.482*100000000</f>
        <v>148200000</v>
      </c>
      <c r="AE905" s="8">
        <f t="shared" si="456"/>
        <v>1.2588020118884315</v>
      </c>
      <c r="AF905" s="7" t="s">
        <v>9871</v>
      </c>
      <c r="AG905" s="6" t="str">
        <f t="shared" si="440"/>
        <v>=6561*10000</v>
      </c>
      <c r="AH905" s="1">
        <f>6561*10000</f>
        <v>65610000</v>
      </c>
      <c r="AI905" s="8">
        <f t="shared" si="457"/>
        <v>-0.80420769919427038</v>
      </c>
      <c r="AJ905" s="6" t="s">
        <v>9237</v>
      </c>
      <c r="AK905" s="6" t="str">
        <f t="shared" si="441"/>
        <v>=3.351*100000000</v>
      </c>
      <c r="AL905" s="1">
        <f>3.351*100000000</f>
        <v>335100000</v>
      </c>
      <c r="AM905" s="8">
        <f t="shared" si="458"/>
        <v>0.28292496171516079</v>
      </c>
      <c r="AN905" s="6" t="s">
        <v>3512</v>
      </c>
      <c r="AO905" s="6" t="str">
        <f t="shared" si="442"/>
        <v>=2.612*100000000</v>
      </c>
      <c r="AP905" s="1">
        <f>2.612*100000000</f>
        <v>261200000</v>
      </c>
      <c r="AQ905" s="8">
        <f t="shared" si="459"/>
        <v>0.91355311355311353</v>
      </c>
      <c r="AR905" s="6" t="s">
        <v>2187</v>
      </c>
      <c r="AS905" s="6" t="str">
        <f t="shared" si="443"/>
        <v>=1.365*100000000</v>
      </c>
      <c r="AT905" s="1">
        <f>1.365*100000000</f>
        <v>136500000</v>
      </c>
      <c r="AU905" s="8">
        <f t="shared" si="460"/>
        <v>1.5105756851204708</v>
      </c>
      <c r="AV905" s="7" t="s">
        <v>9872</v>
      </c>
      <c r="AW905" s="6" t="str">
        <f t="shared" si="444"/>
        <v>=5437*10000</v>
      </c>
      <c r="AX905" s="1">
        <f>5437*10000</f>
        <v>54370000</v>
      </c>
      <c r="AY905" s="10">
        <f t="shared" si="461"/>
        <v>-0.4220261507388115</v>
      </c>
      <c r="AZ905" s="7" t="s">
        <v>9873</v>
      </c>
      <c r="BA905" s="6" t="str">
        <f t="shared" si="445"/>
        <v>=9407*10000</v>
      </c>
      <c r="BB905" s="1">
        <f>9407*10000</f>
        <v>94070000</v>
      </c>
      <c r="BC905" s="8">
        <f t="shared" si="462"/>
        <v>9.4218913574502738E-2</v>
      </c>
      <c r="BD905" s="7" t="s">
        <v>9874</v>
      </c>
      <c r="BE905" s="6" t="str">
        <f t="shared" si="446"/>
        <v>=8597*10000</v>
      </c>
      <c r="BF905" s="1">
        <f>8597*10000</f>
        <v>85970000</v>
      </c>
      <c r="BG905" s="8">
        <f t="shared" si="463"/>
        <v>0.66189831819060507</v>
      </c>
      <c r="BH905" s="7" t="s">
        <v>9865</v>
      </c>
      <c r="BI905" s="6" t="str">
        <f t="shared" si="447"/>
        <v>=5173*10000</v>
      </c>
      <c r="BJ905" s="1">
        <f>5173*10000</f>
        <v>51730000</v>
      </c>
      <c r="BK905" s="7" t="s">
        <v>9866</v>
      </c>
      <c r="BL905" s="1" t="str">
        <f t="shared" si="449"/>
        <v>=2498*10000</v>
      </c>
      <c r="BM905" s="16">
        <f t="shared" si="464"/>
        <v>1.0708566853482786</v>
      </c>
      <c r="BN905" s="1">
        <f>2498*10000</f>
        <v>24980000</v>
      </c>
    </row>
    <row r="906" spans="1:66">
      <c r="A906" s="17">
        <v>228</v>
      </c>
      <c r="B906">
        <v>600728</v>
      </c>
      <c r="C906" t="s">
        <v>31</v>
      </c>
      <c r="D906" s="6" t="s">
        <v>724</v>
      </c>
      <c r="E906" s="7" t="str">
        <f t="shared" si="448"/>
        <v>=62.24*100000000</v>
      </c>
      <c r="F906" s="1">
        <f>62.24*100000000</f>
        <v>6224000000</v>
      </c>
      <c r="G906" s="8">
        <f t="shared" si="450"/>
        <v>0.57569620253164555</v>
      </c>
      <c r="H906" s="6" t="s">
        <v>9875</v>
      </c>
      <c r="I906" s="6" t="str">
        <f t="shared" si="434"/>
        <v>=39.50*100000000</v>
      </c>
      <c r="J906" s="1">
        <f>39.5*100000000</f>
        <v>3950000000</v>
      </c>
      <c r="K906" s="10">
        <f t="shared" si="451"/>
        <v>0.64514785506039152</v>
      </c>
      <c r="L906" s="6" t="s">
        <v>9876</v>
      </c>
      <c r="M906" s="6" t="str">
        <f t="shared" si="435"/>
        <v>=24.01*100000000</v>
      </c>
      <c r="N906" s="1">
        <f>24.01*100000000</f>
        <v>2401000000</v>
      </c>
      <c r="O906" s="8">
        <f t="shared" si="452"/>
        <v>1.3447265625</v>
      </c>
      <c r="P906" s="6" t="s">
        <v>6314</v>
      </c>
      <c r="Q906" s="6" t="str">
        <f t="shared" si="436"/>
        <v>=10.24*100000000</v>
      </c>
      <c r="R906" s="11">
        <f>10.24*100000000</f>
        <v>1024000000</v>
      </c>
      <c r="S906" s="8">
        <f t="shared" si="453"/>
        <v>-0.76108259449370042</v>
      </c>
      <c r="T906" s="6" t="s">
        <v>9877</v>
      </c>
      <c r="U906" s="6" t="str">
        <f t="shared" si="437"/>
        <v>=42.86*100000000</v>
      </c>
      <c r="V906" s="1">
        <f>42.86*100000000</f>
        <v>4286000000</v>
      </c>
      <c r="W906" s="8">
        <f t="shared" si="454"/>
        <v>0.47844084166954121</v>
      </c>
      <c r="X906" s="6" t="s">
        <v>6446</v>
      </c>
      <c r="Y906" s="6" t="str">
        <f t="shared" si="438"/>
        <v>=28.99*100000000</v>
      </c>
      <c r="Z906" s="1">
        <f>28.99*100000000</f>
        <v>2899000000</v>
      </c>
      <c r="AA906" s="8">
        <f t="shared" si="455"/>
        <v>0.70529411764705885</v>
      </c>
      <c r="AB906" s="6" t="s">
        <v>1424</v>
      </c>
      <c r="AC906" s="6" t="str">
        <f t="shared" si="439"/>
        <v>=17.00*100000000</v>
      </c>
      <c r="AD906" s="1">
        <f>17*100000000</f>
        <v>1700000000</v>
      </c>
      <c r="AE906" s="8">
        <f t="shared" si="456"/>
        <v>2.8689121529358217</v>
      </c>
      <c r="AF906" s="6" t="s">
        <v>7718</v>
      </c>
      <c r="AG906" s="6" t="str">
        <f t="shared" si="440"/>
        <v>=4.394*100000000</v>
      </c>
      <c r="AH906" s="1">
        <f>4.394*100000000</f>
        <v>439400000</v>
      </c>
      <c r="AI906" s="8">
        <f t="shared" si="457"/>
        <v>-0.9123304070231445</v>
      </c>
      <c r="AJ906" s="6" t="s">
        <v>9878</v>
      </c>
      <c r="AK906" s="6" t="str">
        <f t="shared" si="441"/>
        <v>=50.12*100000000</v>
      </c>
      <c r="AL906" s="1">
        <f>50.12*100000000</f>
        <v>5012000000</v>
      </c>
      <c r="AM906" s="8">
        <f t="shared" si="458"/>
        <v>1.0719305498139726</v>
      </c>
      <c r="AN906" s="6" t="s">
        <v>3137</v>
      </c>
      <c r="AO906" s="6" t="str">
        <f t="shared" si="442"/>
        <v>=24.19*100000000</v>
      </c>
      <c r="AP906" s="1">
        <f>24.19*100000000</f>
        <v>2419000000</v>
      </c>
      <c r="AQ906" s="8">
        <f t="shared" si="459"/>
        <v>0.4642857142857143</v>
      </c>
      <c r="AR906" s="6" t="s">
        <v>9879</v>
      </c>
      <c r="AS906" s="6" t="str">
        <f t="shared" si="443"/>
        <v>=16.52*100000000</v>
      </c>
      <c r="AT906" s="1">
        <f>16.52*100000000</f>
        <v>1652000000</v>
      </c>
      <c r="AU906" s="8">
        <f t="shared" si="460"/>
        <v>0.94444444444444442</v>
      </c>
      <c r="AV906" s="6" t="s">
        <v>9880</v>
      </c>
      <c r="AW906" s="6" t="str">
        <f t="shared" si="444"/>
        <v>=8.496*100000000</v>
      </c>
      <c r="AX906" s="1">
        <f>8.496*100000000</f>
        <v>849600000</v>
      </c>
      <c r="AY906" s="10">
        <f t="shared" si="461"/>
        <v>-0.81846153846153846</v>
      </c>
      <c r="AZ906" s="6" t="s">
        <v>9881</v>
      </c>
      <c r="BA906" s="6" t="str">
        <f t="shared" si="445"/>
        <v>=46.80*100000000</v>
      </c>
      <c r="BB906" s="1">
        <f>46.8*100000000</f>
        <v>4680000000</v>
      </c>
      <c r="BC906" s="8">
        <f t="shared" si="462"/>
        <v>0.67741935483870963</v>
      </c>
      <c r="BD906" s="6" t="s">
        <v>9882</v>
      </c>
      <c r="BE906" s="6" t="str">
        <f t="shared" si="446"/>
        <v>=27.90*100000000</v>
      </c>
      <c r="BF906" s="1">
        <f>27.9*100000000</f>
        <v>2790000000</v>
      </c>
      <c r="BG906" s="8">
        <f t="shared" si="463"/>
        <v>0.6071428571428571</v>
      </c>
      <c r="BH906" s="6" t="s">
        <v>3629</v>
      </c>
      <c r="BI906" s="6" t="str">
        <f t="shared" si="447"/>
        <v>=17.36*100000000</v>
      </c>
      <c r="BJ906" s="1">
        <f>17.36*100000000</f>
        <v>1736000000</v>
      </c>
      <c r="BK906" s="6" t="s">
        <v>1920</v>
      </c>
      <c r="BL906" s="1" t="str">
        <f t="shared" si="449"/>
        <v>=6.736*100000000</v>
      </c>
      <c r="BM906" s="16">
        <f t="shared" si="464"/>
        <v>1.5771971496437054</v>
      </c>
      <c r="BN906" s="1">
        <f>6.736*100000000</f>
        <v>673600000</v>
      </c>
    </row>
    <row r="907" spans="1:66">
      <c r="A907" s="18"/>
      <c r="B907">
        <v>600728</v>
      </c>
      <c r="C907" t="s">
        <v>48</v>
      </c>
      <c r="D907" s="6" t="s">
        <v>5479</v>
      </c>
      <c r="E907" s="7" t="str">
        <f t="shared" si="448"/>
        <v>=3.566*100000000</v>
      </c>
      <c r="F907" s="1">
        <f>3.566*100000000</f>
        <v>356600000</v>
      </c>
      <c r="G907" s="8">
        <f t="shared" si="450"/>
        <v>0.54238754325259531</v>
      </c>
      <c r="H907" s="6" t="s">
        <v>9883</v>
      </c>
      <c r="I907" s="6" t="str">
        <f t="shared" si="434"/>
        <v>=2.312*100000000</v>
      </c>
      <c r="J907" s="1">
        <f>2.312*100000000</f>
        <v>231199999.99999997</v>
      </c>
      <c r="K907" s="10">
        <f t="shared" si="451"/>
        <v>1.3798250128667007</v>
      </c>
      <c r="L907" s="7" t="s">
        <v>9884</v>
      </c>
      <c r="M907" s="6" t="str">
        <f t="shared" si="435"/>
        <v>=9715*10000</v>
      </c>
      <c r="N907" s="1">
        <f>9715*10000</f>
        <v>97150000</v>
      </c>
      <c r="O907" s="8">
        <f t="shared" si="452"/>
        <v>4.245680345572354</v>
      </c>
      <c r="P907" s="7" t="s">
        <v>3276</v>
      </c>
      <c r="Q907" s="6" t="str">
        <f t="shared" si="436"/>
        <v>=1852*10000</v>
      </c>
      <c r="R907" s="11">
        <f>1852*10000</f>
        <v>18520000</v>
      </c>
      <c r="S907" s="8">
        <f t="shared" si="453"/>
        <v>-0.76494478994796289</v>
      </c>
      <c r="T907" s="7" t="s">
        <v>9885</v>
      </c>
      <c r="U907" s="6" t="str">
        <f t="shared" si="437"/>
        <v>=7879*10000</v>
      </c>
      <c r="V907" s="1">
        <f>7879*10000</f>
        <v>78790000</v>
      </c>
      <c r="W907" s="8">
        <f t="shared" si="454"/>
        <v>0.15901735804648426</v>
      </c>
      <c r="X907" s="7" t="s">
        <v>9886</v>
      </c>
      <c r="Y907" s="6" t="str">
        <f t="shared" si="438"/>
        <v>=6798*10000</v>
      </c>
      <c r="Z907" s="1">
        <f>6798*10000</f>
        <v>67980000</v>
      </c>
      <c r="AA907" s="8">
        <f t="shared" si="455"/>
        <v>4.2332563510392607</v>
      </c>
      <c r="AB907" s="7" t="s">
        <v>9887</v>
      </c>
      <c r="AC907" s="6" t="str">
        <f t="shared" si="439"/>
        <v>=1299*10000</v>
      </c>
      <c r="AD907" s="1">
        <f>1299*10000</f>
        <v>12990000</v>
      </c>
      <c r="AE907" s="8">
        <f t="shared" si="456"/>
        <v>-1.2688884288967088</v>
      </c>
      <c r="AF907" s="7">
        <f>-4831*10000</f>
        <v>-48310000</v>
      </c>
      <c r="AG907" s="6" t="str">
        <f t="shared" si="440"/>
        <v>=-48310000</v>
      </c>
      <c r="AH907" s="1">
        <f>-48310000</f>
        <v>-48310000</v>
      </c>
      <c r="AI907" s="8">
        <f t="shared" si="457"/>
        <v>-1.061612039280704</v>
      </c>
      <c r="AJ907" s="6" t="s">
        <v>1869</v>
      </c>
      <c r="AK907" s="6" t="str">
        <f t="shared" si="441"/>
        <v>=7.841*100000000</v>
      </c>
      <c r="AL907" s="1">
        <f>7.841*100000000</f>
        <v>784100000</v>
      </c>
      <c r="AM907" s="8">
        <f t="shared" si="458"/>
        <v>0.1410069848661234</v>
      </c>
      <c r="AN907" s="6" t="s">
        <v>9888</v>
      </c>
      <c r="AO907" s="6" t="str">
        <f t="shared" si="442"/>
        <v>=6.872*100000000</v>
      </c>
      <c r="AP907" s="1">
        <f>6.872*100000000</f>
        <v>687200000</v>
      </c>
      <c r="AQ907" s="8">
        <f t="shared" si="459"/>
        <v>1.8026101141924959</v>
      </c>
      <c r="AR907" s="6" t="s">
        <v>194</v>
      </c>
      <c r="AS907" s="6" t="str">
        <f t="shared" si="443"/>
        <v>=2.452*100000000</v>
      </c>
      <c r="AT907" s="1">
        <f>2.452*100000000</f>
        <v>245200000</v>
      </c>
      <c r="AU907" s="8">
        <f t="shared" si="460"/>
        <v>7.1678321678321819E-2</v>
      </c>
      <c r="AV907" s="6" t="s">
        <v>2999</v>
      </c>
      <c r="AW907" s="6" t="str">
        <f t="shared" si="444"/>
        <v>=2.288*100000000</v>
      </c>
      <c r="AX907" s="1">
        <f>2.288*100000000</f>
        <v>228799999.99999997</v>
      </c>
      <c r="AY907" s="10">
        <f t="shared" si="461"/>
        <v>-0.15882352941176481</v>
      </c>
      <c r="AZ907" s="6" t="s">
        <v>1700</v>
      </c>
      <c r="BA907" s="6" t="str">
        <f t="shared" si="445"/>
        <v>=2.720*100000000</v>
      </c>
      <c r="BB907" s="1">
        <f>2.72*100000000</f>
        <v>272000000</v>
      </c>
      <c r="BC907" s="8">
        <f t="shared" si="462"/>
        <v>1.3776223776223777</v>
      </c>
      <c r="BD907" s="6" t="s">
        <v>9069</v>
      </c>
      <c r="BE907" s="6" t="str">
        <f t="shared" si="446"/>
        <v>=1.144*100000000</v>
      </c>
      <c r="BF907" s="1">
        <f>1.144*100000000</f>
        <v>114399999.99999999</v>
      </c>
      <c r="BG907" s="8">
        <f t="shared" si="463"/>
        <v>0.64320597529445545</v>
      </c>
      <c r="BH907" s="7" t="s">
        <v>4976</v>
      </c>
      <c r="BI907" s="6" t="str">
        <f t="shared" si="447"/>
        <v>=6962*10000</v>
      </c>
      <c r="BJ907" s="1">
        <f>6962*10000</f>
        <v>69620000</v>
      </c>
      <c r="BK907" s="7" t="s">
        <v>9889</v>
      </c>
      <c r="BL907" s="1" t="str">
        <f t="shared" si="449"/>
        <v>=2533*10000</v>
      </c>
      <c r="BM907" s="16">
        <f t="shared" si="464"/>
        <v>1.7485195420450059</v>
      </c>
      <c r="BN907" s="1">
        <f>2533*10000</f>
        <v>25330000</v>
      </c>
    </row>
    <row r="908" spans="1:66">
      <c r="A908" s="18"/>
      <c r="B908">
        <v>600728</v>
      </c>
      <c r="C908" t="s">
        <v>58</v>
      </c>
      <c r="D908" s="6" t="s">
        <v>3620</v>
      </c>
      <c r="E908" s="7" t="str">
        <f t="shared" si="448"/>
        <v>=3.525*100000000</v>
      </c>
      <c r="F908" s="1">
        <f>3.525*100000000</f>
        <v>352500000</v>
      </c>
      <c r="G908" s="8">
        <f t="shared" si="450"/>
        <v>0.55081390233172023</v>
      </c>
      <c r="H908" s="6" t="s">
        <v>9812</v>
      </c>
      <c r="I908" s="6" t="str">
        <f t="shared" si="434"/>
        <v>=2.273*100000000</v>
      </c>
      <c r="J908" s="1">
        <f>2.273*100000000</f>
        <v>227300000</v>
      </c>
      <c r="K908" s="10">
        <f t="shared" si="451"/>
        <v>1.4367495711835334</v>
      </c>
      <c r="L908" s="7" t="s">
        <v>9890</v>
      </c>
      <c r="M908" s="6" t="str">
        <f t="shared" si="435"/>
        <v>=9328*10000</v>
      </c>
      <c r="N908" s="1">
        <f>9328*10000</f>
        <v>93280000</v>
      </c>
      <c r="O908" s="8">
        <f t="shared" si="452"/>
        <v>4.0204520990312167</v>
      </c>
      <c r="P908" s="7" t="s">
        <v>5546</v>
      </c>
      <c r="Q908" s="6" t="str">
        <f t="shared" si="436"/>
        <v>=1858*10000</v>
      </c>
      <c r="R908" s="11">
        <f>1858*10000</f>
        <v>18580000</v>
      </c>
      <c r="S908" s="8">
        <f t="shared" si="453"/>
        <v>-0.74129768866610968</v>
      </c>
      <c r="T908" s="7" t="s">
        <v>9891</v>
      </c>
      <c r="U908" s="6" t="str">
        <f t="shared" si="437"/>
        <v>=7182*10000</v>
      </c>
      <c r="V908" s="1">
        <f>7182*10000</f>
        <v>71820000</v>
      </c>
      <c r="W908" s="8">
        <f t="shared" si="454"/>
        <v>0.16496350364963502</v>
      </c>
      <c r="X908" s="7" t="s">
        <v>6755</v>
      </c>
      <c r="Y908" s="6" t="str">
        <f t="shared" si="438"/>
        <v>=6165*10000</v>
      </c>
      <c r="Z908" s="1">
        <f>6165*10000</f>
        <v>61650000</v>
      </c>
      <c r="AA908" s="8">
        <f t="shared" si="455"/>
        <v>3.81640625</v>
      </c>
      <c r="AB908" s="7" t="s">
        <v>3780</v>
      </c>
      <c r="AC908" s="6" t="str">
        <f t="shared" si="439"/>
        <v>=1280*10000</v>
      </c>
      <c r="AD908" s="1">
        <f>1280*10000</f>
        <v>12800000</v>
      </c>
      <c r="AE908" s="8">
        <f t="shared" si="456"/>
        <v>-1.2650103519668736</v>
      </c>
      <c r="AF908" s="7">
        <f>-4830*10000</f>
        <v>-48300000</v>
      </c>
      <c r="AG908" s="6" t="str">
        <f t="shared" si="440"/>
        <v>=-48300000</v>
      </c>
      <c r="AH908" s="1">
        <f>-48300000</f>
        <v>-48300000</v>
      </c>
      <c r="AI908" s="8">
        <f t="shared" si="457"/>
        <v>-1.0616700715015321</v>
      </c>
      <c r="AJ908" s="6" t="s">
        <v>9892</v>
      </c>
      <c r="AK908" s="6" t="str">
        <f t="shared" si="441"/>
        <v>=7.832*100000000</v>
      </c>
      <c r="AL908" s="1">
        <f>7.832*100000000</f>
        <v>783200000</v>
      </c>
      <c r="AM908" s="8">
        <f t="shared" si="458"/>
        <v>0.13886869274392905</v>
      </c>
      <c r="AN908" s="6" t="s">
        <v>9893</v>
      </c>
      <c r="AO908" s="6" t="str">
        <f t="shared" si="442"/>
        <v>=6.877*100000000</v>
      </c>
      <c r="AP908" s="1">
        <f>6.877*100000000</f>
        <v>687700000</v>
      </c>
      <c r="AQ908" s="8">
        <f t="shared" si="459"/>
        <v>1.7909902597402598</v>
      </c>
      <c r="AR908" s="6" t="s">
        <v>9231</v>
      </c>
      <c r="AS908" s="6" t="str">
        <f t="shared" si="443"/>
        <v>=2.464*100000000</v>
      </c>
      <c r="AT908" s="1">
        <f>2.464*100000000</f>
        <v>246400000</v>
      </c>
      <c r="AU908" s="8">
        <f t="shared" si="460"/>
        <v>7.45747928477975E-2</v>
      </c>
      <c r="AV908" s="6" t="s">
        <v>1670</v>
      </c>
      <c r="AW908" s="6" t="str">
        <f t="shared" si="444"/>
        <v>=2.293*100000000</v>
      </c>
      <c r="AX908" s="1">
        <f>2.293*100000000</f>
        <v>229300000.00000003</v>
      </c>
      <c r="AY908" s="10">
        <f t="shared" si="461"/>
        <v>-0.18107142857142847</v>
      </c>
      <c r="AZ908" s="6" t="s">
        <v>9894</v>
      </c>
      <c r="BA908" s="6" t="str">
        <f t="shared" si="445"/>
        <v>=2.800*100000000</v>
      </c>
      <c r="BB908" s="1">
        <f>2.8*100000000</f>
        <v>280000000</v>
      </c>
      <c r="BC908" s="8">
        <f t="shared" si="462"/>
        <v>1.2950819672131149</v>
      </c>
      <c r="BD908" s="6" t="s">
        <v>4573</v>
      </c>
      <c r="BE908" s="6" t="str">
        <f t="shared" si="446"/>
        <v>=1.220*100000000</v>
      </c>
      <c r="BF908" s="1">
        <f>1.22*100000000</f>
        <v>122000000</v>
      </c>
      <c r="BG908" s="8">
        <f t="shared" si="463"/>
        <v>0.58359293873312568</v>
      </c>
      <c r="BH908" s="7" t="s">
        <v>9895</v>
      </c>
      <c r="BI908" s="6" t="str">
        <f t="shared" si="447"/>
        <v>=7704*10000</v>
      </c>
      <c r="BJ908" s="1">
        <f>7704*10000</f>
        <v>77040000</v>
      </c>
      <c r="BK908" s="7" t="s">
        <v>9896</v>
      </c>
      <c r="BL908" s="1" t="str">
        <f t="shared" si="449"/>
        <v>=3288*10000</v>
      </c>
      <c r="BM908" s="16">
        <f t="shared" si="464"/>
        <v>1.3430656934306568</v>
      </c>
      <c r="BN908" s="1">
        <f>3288*10000</f>
        <v>32880000</v>
      </c>
    </row>
    <row r="909" spans="1:66">
      <c r="A909" s="19"/>
      <c r="B909">
        <v>600728</v>
      </c>
      <c r="C909" t="s">
        <v>68</v>
      </c>
      <c r="D909" s="6" t="s">
        <v>6506</v>
      </c>
      <c r="E909" s="7" t="str">
        <f t="shared" si="448"/>
        <v>=3.066*100000000</v>
      </c>
      <c r="F909" s="1">
        <f>3.066*100000000</f>
        <v>306600000</v>
      </c>
      <c r="G909" s="8">
        <f t="shared" si="450"/>
        <v>0.54380664652567978</v>
      </c>
      <c r="H909" s="6" t="s">
        <v>8148</v>
      </c>
      <c r="I909" s="6" t="str">
        <f t="shared" si="434"/>
        <v>=1.986*100000000</v>
      </c>
      <c r="J909" s="1">
        <f>1.986*100000000</f>
        <v>198600000</v>
      </c>
      <c r="K909" s="10">
        <f t="shared" si="451"/>
        <v>1.4437061646363971</v>
      </c>
      <c r="L909" s="7" t="s">
        <v>9897</v>
      </c>
      <c r="M909" s="6" t="str">
        <f t="shared" si="435"/>
        <v>=8127*10000</v>
      </c>
      <c r="N909" s="1">
        <f>8127*10000</f>
        <v>81270000</v>
      </c>
      <c r="O909" s="8">
        <f t="shared" si="452"/>
        <v>5.1289592760181</v>
      </c>
      <c r="P909" s="7" t="s">
        <v>9898</v>
      </c>
      <c r="Q909" s="6" t="str">
        <f t="shared" si="436"/>
        <v>=1326*10000</v>
      </c>
      <c r="R909" s="11">
        <f>1326*10000</f>
        <v>13260000</v>
      </c>
      <c r="S909" s="8">
        <f t="shared" si="453"/>
        <v>-0.83373040752351102</v>
      </c>
      <c r="T909" s="7" t="s">
        <v>9899</v>
      </c>
      <c r="U909" s="6" t="str">
        <f t="shared" si="437"/>
        <v>=7975*10000</v>
      </c>
      <c r="V909" s="1">
        <f>7975*10000</f>
        <v>79750000</v>
      </c>
      <c r="W909" s="8">
        <f t="shared" si="454"/>
        <v>0.61699107866991076</v>
      </c>
      <c r="X909" s="7" t="s">
        <v>9900</v>
      </c>
      <c r="Y909" s="6" t="str">
        <f t="shared" si="438"/>
        <v>=4932*10000</v>
      </c>
      <c r="Z909" s="1">
        <f>4932*10000</f>
        <v>49320000</v>
      </c>
      <c r="AA909" s="8">
        <f t="shared" si="455"/>
        <v>18.341176470588234</v>
      </c>
      <c r="AB909" s="7" t="s">
        <v>9901</v>
      </c>
      <c r="AC909" s="6" t="str">
        <f t="shared" si="439"/>
        <v>=255.0*10000</v>
      </c>
      <c r="AD909" s="1">
        <f>255*10000</f>
        <v>2550000</v>
      </c>
      <c r="AE909" s="8">
        <f t="shared" si="456"/>
        <v>-1.0523613963039014</v>
      </c>
      <c r="AF909" s="7">
        <f>-4870*10000</f>
        <v>-48700000</v>
      </c>
      <c r="AG909" s="6" t="str">
        <f t="shared" si="440"/>
        <v>=-48700000</v>
      </c>
      <c r="AH909" s="1">
        <f>-48700000</f>
        <v>-48700000</v>
      </c>
      <c r="AI909" s="8">
        <f t="shared" si="457"/>
        <v>-1.0715124816446402</v>
      </c>
      <c r="AJ909" s="6" t="s">
        <v>6333</v>
      </c>
      <c r="AK909" s="6" t="str">
        <f t="shared" si="441"/>
        <v>=6.810*100000000</v>
      </c>
      <c r="AL909" s="1">
        <f>6.81*100000000</f>
        <v>681000000</v>
      </c>
      <c r="AM909" s="8">
        <f t="shared" si="458"/>
        <v>0.14204259600872043</v>
      </c>
      <c r="AN909" s="6" t="s">
        <v>9902</v>
      </c>
      <c r="AO909" s="6" t="str">
        <f t="shared" si="442"/>
        <v>=5.963*100000000</v>
      </c>
      <c r="AP909" s="1">
        <f>5.963*100000000</f>
        <v>596300000</v>
      </c>
      <c r="AQ909" s="8">
        <f t="shared" si="459"/>
        <v>1.7006340579710142</v>
      </c>
      <c r="AR909" s="6" t="s">
        <v>4807</v>
      </c>
      <c r="AS909" s="6" t="str">
        <f t="shared" si="443"/>
        <v>=2.208*100000000</v>
      </c>
      <c r="AT909" s="1">
        <f>2.208*100000000</f>
        <v>220800000.00000003</v>
      </c>
      <c r="AU909" s="8">
        <f t="shared" si="460"/>
        <v>0.11627906976744201</v>
      </c>
      <c r="AV909" s="6" t="s">
        <v>9903</v>
      </c>
      <c r="AW909" s="6" t="str">
        <f t="shared" si="444"/>
        <v>=1.978*100000000</v>
      </c>
      <c r="AX909" s="1">
        <f>1.978*100000000</f>
        <v>197800000</v>
      </c>
      <c r="AY909" s="10">
        <f t="shared" si="461"/>
        <v>-0.24503816793893129</v>
      </c>
      <c r="AZ909" s="6" t="s">
        <v>2879</v>
      </c>
      <c r="BA909" s="6" t="str">
        <f t="shared" si="445"/>
        <v>=2.620*100000000</v>
      </c>
      <c r="BB909" s="1">
        <f>2.62*100000000</f>
        <v>262000000</v>
      </c>
      <c r="BC909" s="8">
        <f t="shared" si="462"/>
        <v>1.3774954627949181</v>
      </c>
      <c r="BD909" s="6" t="s">
        <v>9904</v>
      </c>
      <c r="BE909" s="6" t="str">
        <f t="shared" si="446"/>
        <v>=1.102*100000000</v>
      </c>
      <c r="BF909" s="1">
        <f>1.102*100000000</f>
        <v>110200000.00000001</v>
      </c>
      <c r="BG909" s="8">
        <f t="shared" si="463"/>
        <v>0.6379310344827589</v>
      </c>
      <c r="BH909" s="7" t="s">
        <v>9905</v>
      </c>
      <c r="BI909" s="6" t="str">
        <f t="shared" si="447"/>
        <v>=6728*10000</v>
      </c>
      <c r="BJ909" s="1">
        <f>6728*10000</f>
        <v>67280000</v>
      </c>
      <c r="BK909" s="7" t="s">
        <v>9906</v>
      </c>
      <c r="BL909" s="1" t="str">
        <f t="shared" si="449"/>
        <v>=2780*10000</v>
      </c>
      <c r="BM909" s="16">
        <f t="shared" si="464"/>
        <v>1.4201438848920864</v>
      </c>
      <c r="BN909" s="1">
        <f>2780*10000</f>
        <v>27800000</v>
      </c>
    </row>
    <row r="910" spans="1:66">
      <c r="A910" s="17">
        <v>229</v>
      </c>
      <c r="B910">
        <v>600729</v>
      </c>
      <c r="C910" t="s">
        <v>31</v>
      </c>
      <c r="D910" s="6" t="s">
        <v>3643</v>
      </c>
      <c r="E910" s="7" t="str">
        <f t="shared" si="448"/>
        <v>=211.2*100000000</v>
      </c>
      <c r="F910" s="1">
        <f>211.2*100000000</f>
        <v>21120000000</v>
      </c>
      <c r="G910" s="8">
        <f t="shared" si="450"/>
        <v>0.29095354523227385</v>
      </c>
      <c r="H910" s="6" t="s">
        <v>9907</v>
      </c>
      <c r="I910" s="6" t="str">
        <f t="shared" si="434"/>
        <v>=163.6*100000000</v>
      </c>
      <c r="J910" s="1">
        <f>163.6*100000000</f>
        <v>16360000000</v>
      </c>
      <c r="K910" s="10">
        <f t="shared" si="451"/>
        <v>0.38879456706281834</v>
      </c>
      <c r="L910" s="6" t="s">
        <v>5015</v>
      </c>
      <c r="M910" s="6" t="str">
        <f t="shared" si="435"/>
        <v>=117.8*100000000</v>
      </c>
      <c r="N910" s="1">
        <f>117.8*100000000</f>
        <v>11780000000</v>
      </c>
      <c r="O910" s="8">
        <f t="shared" si="452"/>
        <v>0.80924589156811555</v>
      </c>
      <c r="P910" s="6" t="s">
        <v>9908</v>
      </c>
      <c r="Q910" s="6" t="str">
        <f t="shared" si="436"/>
        <v>=65.11*100000000</v>
      </c>
      <c r="R910" s="11">
        <f>65.11*100000000</f>
        <v>6511000000</v>
      </c>
      <c r="S910" s="8">
        <f t="shared" si="453"/>
        <v>-0.69112903225806455</v>
      </c>
      <c r="T910" s="6" t="s">
        <v>9909</v>
      </c>
      <c r="U910" s="6" t="str">
        <f t="shared" si="437"/>
        <v>=210.8*100000000</v>
      </c>
      <c r="V910" s="1">
        <f>210.8*100000000</f>
        <v>21080000000</v>
      </c>
      <c r="W910" s="8">
        <f t="shared" si="454"/>
        <v>0.36440129449838188</v>
      </c>
      <c r="X910" s="6" t="s">
        <v>2252</v>
      </c>
      <c r="Y910" s="6" t="str">
        <f t="shared" si="438"/>
        <v>=154.5*100000000</v>
      </c>
      <c r="Z910" s="1">
        <f>154.5*100000000</f>
        <v>15450000000</v>
      </c>
      <c r="AA910" s="8">
        <f t="shared" si="455"/>
        <v>0.46584440227703983</v>
      </c>
      <c r="AB910" s="6" t="s">
        <v>9910</v>
      </c>
      <c r="AC910" s="6" t="str">
        <f t="shared" si="439"/>
        <v>=105.4*100000000</v>
      </c>
      <c r="AD910" s="1">
        <f>105.4*100000000</f>
        <v>10540000000</v>
      </c>
      <c r="AE910" s="8">
        <f t="shared" si="456"/>
        <v>1.0269230769230768</v>
      </c>
      <c r="AF910" s="6" t="s">
        <v>9911</v>
      </c>
      <c r="AG910" s="6" t="str">
        <f t="shared" si="440"/>
        <v>=52.00*100000000</v>
      </c>
      <c r="AH910" s="1">
        <f>52*100000000</f>
        <v>5200000000</v>
      </c>
      <c r="AI910" s="8">
        <f t="shared" si="457"/>
        <v>-0.84944991314418061</v>
      </c>
      <c r="AJ910" s="6" t="s">
        <v>9912</v>
      </c>
      <c r="AK910" s="6" t="str">
        <f t="shared" si="441"/>
        <v>=345.4*100000000</v>
      </c>
      <c r="AL910" s="1">
        <f>345.4*100000000</f>
        <v>34540000000</v>
      </c>
      <c r="AM910" s="8">
        <f t="shared" si="458"/>
        <v>0.35080172076652327</v>
      </c>
      <c r="AN910" s="6" t="s">
        <v>9913</v>
      </c>
      <c r="AO910" s="6" t="str">
        <f t="shared" si="442"/>
        <v>=255.7*100000000</v>
      </c>
      <c r="AP910" s="1">
        <f>255.7*100000000</f>
        <v>25570000000</v>
      </c>
      <c r="AQ910" s="8">
        <f t="shared" si="459"/>
        <v>0.40494505494505495</v>
      </c>
      <c r="AR910" s="6" t="s">
        <v>9914</v>
      </c>
      <c r="AS910" s="6" t="str">
        <f t="shared" si="443"/>
        <v>=182.0*100000000</v>
      </c>
      <c r="AT910" s="1">
        <f>182*100000000</f>
        <v>18200000000</v>
      </c>
      <c r="AU910" s="8">
        <f t="shared" si="460"/>
        <v>0.81636726546906191</v>
      </c>
      <c r="AV910" s="6" t="s">
        <v>4690</v>
      </c>
      <c r="AW910" s="6" t="str">
        <f t="shared" si="444"/>
        <v>=100.2*100000000</v>
      </c>
      <c r="AX910" s="1">
        <f>100.2*100000000</f>
        <v>10020000000</v>
      </c>
      <c r="AY910" s="10">
        <f t="shared" si="461"/>
        <v>-0.70598591549295775</v>
      </c>
      <c r="AZ910" s="6" t="s">
        <v>9915</v>
      </c>
      <c r="BA910" s="6" t="str">
        <f t="shared" si="445"/>
        <v>=340.8*100000000</v>
      </c>
      <c r="BB910" s="1">
        <f>340.8*100000000</f>
        <v>34080000000</v>
      </c>
      <c r="BC910" s="8">
        <f t="shared" si="462"/>
        <v>0.32658622031919055</v>
      </c>
      <c r="BD910" s="6" t="s">
        <v>6989</v>
      </c>
      <c r="BE910" s="6" t="str">
        <f t="shared" si="446"/>
        <v>=256.9*100000000</v>
      </c>
      <c r="BF910" s="1">
        <f>256.9*100000000</f>
        <v>25689999999.999996</v>
      </c>
      <c r="BG910" s="8">
        <f t="shared" si="463"/>
        <v>0.42326869806094164</v>
      </c>
      <c r="BH910" s="6" t="s">
        <v>5346</v>
      </c>
      <c r="BI910" s="6" t="str">
        <f t="shared" si="447"/>
        <v>=180.5*100000000</v>
      </c>
      <c r="BJ910" s="1">
        <f>180.5*100000000</f>
        <v>18050000000</v>
      </c>
      <c r="BK910" s="6" t="s">
        <v>9414</v>
      </c>
      <c r="BL910" s="1" t="str">
        <f t="shared" si="449"/>
        <v>=100.6*100000000</v>
      </c>
      <c r="BM910" s="16">
        <f t="shared" si="464"/>
        <v>0.79423459244532801</v>
      </c>
      <c r="BN910" s="1">
        <f>100.6*100000000</f>
        <v>10060000000</v>
      </c>
    </row>
    <row r="911" spans="1:66">
      <c r="A911" s="18"/>
      <c r="B911">
        <v>600729</v>
      </c>
      <c r="C911" t="s">
        <v>48</v>
      </c>
      <c r="D911" s="6" t="s">
        <v>9916</v>
      </c>
      <c r="E911" s="7" t="str">
        <f t="shared" si="448"/>
        <v>=11.18*100000000</v>
      </c>
      <c r="F911" s="1">
        <f>11.18*100000000</f>
        <v>1118000000</v>
      </c>
      <c r="G911" s="8">
        <f t="shared" si="450"/>
        <v>0.18144351685512008</v>
      </c>
      <c r="H911" s="6" t="s">
        <v>9917</v>
      </c>
      <c r="I911" s="6" t="str">
        <f t="shared" si="434"/>
        <v>=9.463*100000000</v>
      </c>
      <c r="J911" s="1">
        <f>9.463*100000000</f>
        <v>946299999.99999988</v>
      </c>
      <c r="K911" s="10">
        <f t="shared" si="451"/>
        <v>0.33056805399325068</v>
      </c>
      <c r="L911" s="6" t="s">
        <v>6996</v>
      </c>
      <c r="M911" s="6" t="str">
        <f t="shared" si="435"/>
        <v>=7.112*100000000</v>
      </c>
      <c r="N911" s="1">
        <f>7.112*100000000</f>
        <v>711200000</v>
      </c>
      <c r="O911" s="8">
        <f t="shared" si="452"/>
        <v>0.44201135442011336</v>
      </c>
      <c r="P911" s="6" t="s">
        <v>9720</v>
      </c>
      <c r="Q911" s="6" t="str">
        <f t="shared" si="436"/>
        <v>=4.932*100000000</v>
      </c>
      <c r="R911" s="11">
        <f>4.932*100000000</f>
        <v>493200000.00000006</v>
      </c>
      <c r="S911" s="8">
        <f t="shared" si="453"/>
        <v>-0.59407407407407409</v>
      </c>
      <c r="T911" s="6" t="s">
        <v>1396</v>
      </c>
      <c r="U911" s="6" t="str">
        <f t="shared" si="437"/>
        <v>=12.15*100000000</v>
      </c>
      <c r="V911" s="1">
        <f>12.15*100000000</f>
        <v>1215000000</v>
      </c>
      <c r="W911" s="8">
        <f t="shared" si="454"/>
        <v>8.7735004476275733E-2</v>
      </c>
      <c r="X911" s="6" t="s">
        <v>1597</v>
      </c>
      <c r="Y911" s="6" t="str">
        <f t="shared" si="438"/>
        <v>=11.17*100000000</v>
      </c>
      <c r="Z911" s="1">
        <f>11.17*100000000</f>
        <v>1117000000</v>
      </c>
      <c r="AA911" s="8">
        <f t="shared" si="455"/>
        <v>0.26989540700318343</v>
      </c>
      <c r="AB911" s="6" t="s">
        <v>9918</v>
      </c>
      <c r="AC911" s="6" t="str">
        <f t="shared" si="439"/>
        <v>=8.796*100000000</v>
      </c>
      <c r="AD911" s="1">
        <f>8.796*100000000</f>
        <v>879599999.99999988</v>
      </c>
      <c r="AE911" s="8">
        <f t="shared" si="456"/>
        <v>3.1706970128022753</v>
      </c>
      <c r="AF911" s="6" t="s">
        <v>9260</v>
      </c>
      <c r="AG911" s="6" t="str">
        <f t="shared" si="440"/>
        <v>=2.109*100000000</v>
      </c>
      <c r="AH911" s="1">
        <f>2.109*100000000</f>
        <v>210900000</v>
      </c>
      <c r="AI911" s="8">
        <f t="shared" si="457"/>
        <v>-0.82336683417085432</v>
      </c>
      <c r="AJ911" s="6" t="s">
        <v>8646</v>
      </c>
      <c r="AK911" s="6" t="str">
        <f t="shared" si="441"/>
        <v>=11.94*100000000</v>
      </c>
      <c r="AL911" s="1">
        <f>11.94*100000000</f>
        <v>1194000000</v>
      </c>
      <c r="AM911" s="8">
        <f t="shared" si="458"/>
        <v>0.13068181818181818</v>
      </c>
      <c r="AN911" s="6" t="s">
        <v>4083</v>
      </c>
      <c r="AO911" s="6" t="str">
        <f t="shared" si="442"/>
        <v>=10.56*100000000</v>
      </c>
      <c r="AP911" s="1">
        <f>10.56*100000000</f>
        <v>1056000000</v>
      </c>
      <c r="AQ911" s="8">
        <f t="shared" si="459"/>
        <v>0.31934032983508248</v>
      </c>
      <c r="AR911" s="6" t="s">
        <v>4648</v>
      </c>
      <c r="AS911" s="6" t="str">
        <f t="shared" si="443"/>
        <v>=8.004*100000000</v>
      </c>
      <c r="AT911" s="1">
        <f>8.004*100000000</f>
        <v>800400000</v>
      </c>
      <c r="AU911" s="8">
        <f t="shared" si="460"/>
        <v>0.43005181347150256</v>
      </c>
      <c r="AV911" s="6" t="s">
        <v>9213</v>
      </c>
      <c r="AW911" s="6" t="str">
        <f t="shared" si="444"/>
        <v>=5.597*100000000</v>
      </c>
      <c r="AX911" s="1">
        <f>5.597*100000000</f>
        <v>559700000</v>
      </c>
      <c r="AY911" s="10">
        <f t="shared" si="461"/>
        <v>-0.45448343079922027</v>
      </c>
      <c r="AZ911" s="6" t="s">
        <v>1683</v>
      </c>
      <c r="BA911" s="6" t="str">
        <f t="shared" si="445"/>
        <v>=10.26*100000000</v>
      </c>
      <c r="BB911" s="1">
        <f>10.26*100000000</f>
        <v>1026000000</v>
      </c>
      <c r="BC911" s="8">
        <f t="shared" si="462"/>
        <v>8.4108199492814881E-2</v>
      </c>
      <c r="BD911" s="6" t="s">
        <v>5041</v>
      </c>
      <c r="BE911" s="6" t="str">
        <f t="shared" si="446"/>
        <v>=9.464*100000000</v>
      </c>
      <c r="BF911" s="1">
        <f>9.464*100000000</f>
        <v>946400000</v>
      </c>
      <c r="BG911" s="8">
        <f t="shared" si="463"/>
        <v>0.13518052057094879</v>
      </c>
      <c r="BH911" s="6" t="s">
        <v>9919</v>
      </c>
      <c r="BI911" s="6" t="str">
        <f t="shared" si="447"/>
        <v>=8.337*100000000</v>
      </c>
      <c r="BJ911" s="1">
        <f>8.337*100000000</f>
        <v>833700000</v>
      </c>
      <c r="BK911" s="6" t="s">
        <v>9920</v>
      </c>
      <c r="BL911" s="1" t="str">
        <f t="shared" si="449"/>
        <v>=6.166*100000000</v>
      </c>
      <c r="BM911" s="16">
        <f t="shared" si="464"/>
        <v>0.35209211806681806</v>
      </c>
      <c r="BN911" s="1">
        <f>6.166*100000000</f>
        <v>616600000</v>
      </c>
    </row>
    <row r="912" spans="1:66">
      <c r="A912" s="18"/>
      <c r="B912">
        <v>600729</v>
      </c>
      <c r="C912" t="s">
        <v>58</v>
      </c>
      <c r="D912" s="6" t="s">
        <v>9921</v>
      </c>
      <c r="E912" s="7" t="str">
        <f t="shared" si="448"/>
        <v>=11.32*100000000</v>
      </c>
      <c r="F912" s="1">
        <f>11.32*100000000</f>
        <v>1132000000</v>
      </c>
      <c r="G912" s="8">
        <f t="shared" si="450"/>
        <v>0.16341212744090441</v>
      </c>
      <c r="H912" s="6" t="s">
        <v>9922</v>
      </c>
      <c r="I912" s="6" t="str">
        <f t="shared" si="434"/>
        <v>=9.730*100000000</v>
      </c>
      <c r="J912" s="1">
        <f>9.73*100000000</f>
        <v>973000000</v>
      </c>
      <c r="K912" s="10">
        <f t="shared" si="451"/>
        <v>0.33214676889375683</v>
      </c>
      <c r="L912" s="6" t="s">
        <v>2071</v>
      </c>
      <c r="M912" s="6" t="str">
        <f t="shared" si="435"/>
        <v>=7.304*100000000</v>
      </c>
      <c r="N912" s="1">
        <f>7.304*100000000</f>
        <v>730400000</v>
      </c>
      <c r="O912" s="8">
        <f t="shared" si="452"/>
        <v>0.4406311637080868</v>
      </c>
      <c r="P912" s="6" t="s">
        <v>3440</v>
      </c>
      <c r="Q912" s="6" t="str">
        <f t="shared" si="436"/>
        <v>=5.070*100000000</v>
      </c>
      <c r="R912" s="11">
        <f>5.07*100000000</f>
        <v>507000000</v>
      </c>
      <c r="S912" s="8">
        <f t="shared" si="453"/>
        <v>-0.59178743961352653</v>
      </c>
      <c r="T912" s="6" t="s">
        <v>1896</v>
      </c>
      <c r="U912" s="6" t="str">
        <f t="shared" si="437"/>
        <v>=12.42*100000000</v>
      </c>
      <c r="V912" s="1">
        <f>12.42*100000000</f>
        <v>1242000000</v>
      </c>
      <c r="W912" s="8">
        <f t="shared" si="454"/>
        <v>0.104</v>
      </c>
      <c r="X912" s="6" t="s">
        <v>9923</v>
      </c>
      <c r="Y912" s="6" t="str">
        <f t="shared" si="438"/>
        <v>=11.25*100000000</v>
      </c>
      <c r="Z912" s="1">
        <f>11.25*100000000</f>
        <v>1125000000</v>
      </c>
      <c r="AA912" s="8">
        <f t="shared" si="455"/>
        <v>0.26674923995045602</v>
      </c>
      <c r="AB912" s="6" t="s">
        <v>9924</v>
      </c>
      <c r="AC912" s="6" t="str">
        <f t="shared" si="439"/>
        <v>=8.881*100000000</v>
      </c>
      <c r="AD912" s="1">
        <f>8.881*100000000</f>
        <v>888100000</v>
      </c>
      <c r="AE912" s="8">
        <f t="shared" si="456"/>
        <v>3.1519401589527822</v>
      </c>
      <c r="AF912" s="6" t="s">
        <v>9925</v>
      </c>
      <c r="AG912" s="6" t="str">
        <f t="shared" si="440"/>
        <v>=2.139*100000000</v>
      </c>
      <c r="AH912" s="1">
        <f>2.139*100000000</f>
        <v>213899999.99999997</v>
      </c>
      <c r="AI912" s="8">
        <f t="shared" si="457"/>
        <v>-0.81857506361323151</v>
      </c>
      <c r="AJ912" s="6" t="s">
        <v>346</v>
      </c>
      <c r="AK912" s="6" t="str">
        <f t="shared" si="441"/>
        <v>=11.79*100000000</v>
      </c>
      <c r="AL912" s="1">
        <f>11.79*100000000</f>
        <v>1179000000</v>
      </c>
      <c r="AM912" s="8">
        <f t="shared" si="458"/>
        <v>0.11016949152542385</v>
      </c>
      <c r="AN912" s="6" t="s">
        <v>4923</v>
      </c>
      <c r="AO912" s="6" t="str">
        <f t="shared" si="442"/>
        <v>=10.62*100000000</v>
      </c>
      <c r="AP912" s="1">
        <f>10.62*100000000</f>
        <v>1061999999.9999999</v>
      </c>
      <c r="AQ912" s="8">
        <f t="shared" si="459"/>
        <v>0.31958250497017876</v>
      </c>
      <c r="AR912" s="6" t="s">
        <v>9926</v>
      </c>
      <c r="AS912" s="6" t="str">
        <f t="shared" si="443"/>
        <v>=8.048*100000000</v>
      </c>
      <c r="AT912" s="1">
        <f>8.048*100000000</f>
        <v>804800000</v>
      </c>
      <c r="AU912" s="8">
        <f t="shared" si="460"/>
        <v>0.43228332443495282</v>
      </c>
      <c r="AV912" s="6" t="s">
        <v>9927</v>
      </c>
      <c r="AW912" s="6" t="str">
        <f t="shared" si="444"/>
        <v>=5.619*100000000</v>
      </c>
      <c r="AX912" s="1">
        <f>5.619*100000000</f>
        <v>561900000</v>
      </c>
      <c r="AY912" s="10">
        <f t="shared" si="461"/>
        <v>-0.44585798816568045</v>
      </c>
      <c r="AZ912" s="6" t="s">
        <v>4629</v>
      </c>
      <c r="BA912" s="6" t="str">
        <f t="shared" si="445"/>
        <v>=10.14*100000000</v>
      </c>
      <c r="BB912" s="1">
        <f>10.14*100000000</f>
        <v>1014000000</v>
      </c>
      <c r="BC912" s="8">
        <f t="shared" si="462"/>
        <v>8.7282865108299384E-2</v>
      </c>
      <c r="BD912" s="6" t="s">
        <v>4544</v>
      </c>
      <c r="BE912" s="6" t="str">
        <f t="shared" si="446"/>
        <v>=9.326*100000000</v>
      </c>
      <c r="BF912" s="1">
        <f>9.326*100000000</f>
        <v>932600000</v>
      </c>
      <c r="BG912" s="8">
        <f t="shared" si="463"/>
        <v>0.11475017929715516</v>
      </c>
      <c r="BH912" s="6" t="s">
        <v>7353</v>
      </c>
      <c r="BI912" s="6" t="str">
        <f t="shared" si="447"/>
        <v>=8.366*100000000</v>
      </c>
      <c r="BJ912" s="1">
        <f>8.366*100000000</f>
        <v>836600000</v>
      </c>
      <c r="BK912" s="6" t="s">
        <v>9928</v>
      </c>
      <c r="BL912" s="1" t="str">
        <f t="shared" si="449"/>
        <v>=6.171*100000000</v>
      </c>
      <c r="BM912" s="16">
        <f t="shared" si="464"/>
        <v>0.35569599740722735</v>
      </c>
      <c r="BN912" s="1">
        <f>6.171*100000000</f>
        <v>617100000</v>
      </c>
    </row>
    <row r="913" spans="1:66">
      <c r="A913" s="19"/>
      <c r="B913">
        <v>600729</v>
      </c>
      <c r="C913" t="s">
        <v>68</v>
      </c>
      <c r="D913" s="6" t="s">
        <v>1036</v>
      </c>
      <c r="E913" s="7" t="str">
        <f t="shared" si="448"/>
        <v>=10.15*100000000</v>
      </c>
      <c r="F913" s="1">
        <f>10.15*100000000</f>
        <v>1015000000</v>
      </c>
      <c r="G913" s="8">
        <f t="shared" si="450"/>
        <v>0.17341040462427745</v>
      </c>
      <c r="H913" s="6" t="s">
        <v>9929</v>
      </c>
      <c r="I913" s="6" t="str">
        <f t="shared" si="434"/>
        <v>=8.650*100000000</v>
      </c>
      <c r="J913" s="1">
        <f>8.65*100000000</f>
        <v>865000000</v>
      </c>
      <c r="K913" s="10">
        <f t="shared" si="451"/>
        <v>0.35177371464291296</v>
      </c>
      <c r="L913" s="6" t="s">
        <v>9930</v>
      </c>
      <c r="M913" s="6" t="str">
        <f t="shared" si="435"/>
        <v>=6.399*100000000</v>
      </c>
      <c r="N913" s="1">
        <f>6.399*100000000</f>
        <v>639900000</v>
      </c>
      <c r="O913" s="8">
        <f t="shared" si="452"/>
        <v>0.45862776384773213</v>
      </c>
      <c r="P913" s="6" t="s">
        <v>9041</v>
      </c>
      <c r="Q913" s="6" t="str">
        <f t="shared" si="436"/>
        <v>=4.387*100000000</v>
      </c>
      <c r="R913" s="11">
        <f>4.387*100000000</f>
        <v>438699999.99999994</v>
      </c>
      <c r="S913" s="8">
        <f t="shared" si="453"/>
        <v>-0.58884723523898785</v>
      </c>
      <c r="T913" s="6" t="s">
        <v>3747</v>
      </c>
      <c r="U913" s="6" t="str">
        <f t="shared" si="437"/>
        <v>=10.67*100000000</v>
      </c>
      <c r="V913" s="1">
        <f>10.67*100000000</f>
        <v>1067000000</v>
      </c>
      <c r="W913" s="8">
        <f t="shared" si="454"/>
        <v>0.1007943877024657</v>
      </c>
      <c r="X913" s="6" t="s">
        <v>9931</v>
      </c>
      <c r="Y913" s="6" t="str">
        <f t="shared" si="438"/>
        <v>=9.693*100000000</v>
      </c>
      <c r="Z913" s="1">
        <f>9.693*100000000</f>
        <v>969300000</v>
      </c>
      <c r="AA913" s="8">
        <f t="shared" si="455"/>
        <v>0.2792662003431437</v>
      </c>
      <c r="AB913" s="6" t="s">
        <v>5655</v>
      </c>
      <c r="AC913" s="6" t="str">
        <f t="shared" si="439"/>
        <v>=7.577*100000000</v>
      </c>
      <c r="AD913" s="1">
        <f>7.577*100000000</f>
        <v>757700000</v>
      </c>
      <c r="AE913" s="8">
        <f t="shared" si="456"/>
        <v>3.4284044418468733</v>
      </c>
      <c r="AF913" s="6" t="s">
        <v>5705</v>
      </c>
      <c r="AG913" s="6" t="str">
        <f t="shared" si="440"/>
        <v>=1.711*100000000</v>
      </c>
      <c r="AH913" s="1">
        <f>1.711*100000000</f>
        <v>171100000</v>
      </c>
      <c r="AI913" s="8">
        <f t="shared" si="457"/>
        <v>-0.83291015624999998</v>
      </c>
      <c r="AJ913" s="6" t="s">
        <v>6314</v>
      </c>
      <c r="AK913" s="6" t="str">
        <f t="shared" si="441"/>
        <v>=10.24*100000000</v>
      </c>
      <c r="AL913" s="1">
        <f>10.24*100000000</f>
        <v>1024000000</v>
      </c>
      <c r="AM913" s="8">
        <f t="shared" si="458"/>
        <v>0.10475779479987053</v>
      </c>
      <c r="AN913" s="6" t="s">
        <v>9932</v>
      </c>
      <c r="AO913" s="6" t="str">
        <f t="shared" si="442"/>
        <v>=9.269*100000000</v>
      </c>
      <c r="AP913" s="1">
        <f>9.269*100000000</f>
        <v>926900000</v>
      </c>
      <c r="AQ913" s="8">
        <f t="shared" si="459"/>
        <v>0.3390638543773476</v>
      </c>
      <c r="AR913" s="6" t="s">
        <v>9933</v>
      </c>
      <c r="AS913" s="6" t="str">
        <f t="shared" si="443"/>
        <v>=6.922*100000000</v>
      </c>
      <c r="AT913" s="1">
        <f>6.922*100000000</f>
        <v>692200000</v>
      </c>
      <c r="AU913" s="8">
        <f t="shared" si="460"/>
        <v>0.43818824018283814</v>
      </c>
      <c r="AV913" s="6" t="s">
        <v>9934</v>
      </c>
      <c r="AW913" s="6" t="str">
        <f t="shared" si="444"/>
        <v>=4.813*100000000</v>
      </c>
      <c r="AX913" s="1">
        <f>4.813*100000000</f>
        <v>481300000</v>
      </c>
      <c r="AY913" s="10">
        <f t="shared" si="461"/>
        <v>-0.4494394875314574</v>
      </c>
      <c r="AZ913" s="6" t="s">
        <v>9935</v>
      </c>
      <c r="BA913" s="6" t="str">
        <f t="shared" si="445"/>
        <v>=8.742*100000000</v>
      </c>
      <c r="BB913" s="1">
        <f>8.742*100000000</f>
        <v>874200000.00000012</v>
      </c>
      <c r="BC913" s="8">
        <f t="shared" si="462"/>
        <v>8.1662954714179642E-2</v>
      </c>
      <c r="BD913" s="6" t="s">
        <v>9936</v>
      </c>
      <c r="BE913" s="6" t="str">
        <f t="shared" si="446"/>
        <v>=8.082*100000000</v>
      </c>
      <c r="BF913" s="1">
        <f>8.082*100000000</f>
        <v>808200000.00000012</v>
      </c>
      <c r="BG913" s="8">
        <f t="shared" si="463"/>
        <v>0.11352989804353833</v>
      </c>
      <c r="BH913" s="6" t="s">
        <v>9937</v>
      </c>
      <c r="BI913" s="6" t="str">
        <f t="shared" si="447"/>
        <v>=7.258*100000000</v>
      </c>
      <c r="BJ913" s="1">
        <f>7.258*100000000</f>
        <v>725800000</v>
      </c>
      <c r="BK913" s="6" t="s">
        <v>9767</v>
      </c>
      <c r="BL913" s="1" t="str">
        <f t="shared" si="449"/>
        <v>=5.342*100000000</v>
      </c>
      <c r="BM913" s="16">
        <f t="shared" si="464"/>
        <v>0.35866716585548497</v>
      </c>
      <c r="BN913" s="1">
        <f>5.342*100000000</f>
        <v>534199999.99999994</v>
      </c>
    </row>
    <row r="914" spans="1:66">
      <c r="A914" s="17">
        <v>230</v>
      </c>
      <c r="B914">
        <v>600730</v>
      </c>
      <c r="C914" t="s">
        <v>31</v>
      </c>
      <c r="D914" s="6" t="s">
        <v>1464</v>
      </c>
      <c r="E914" s="7" t="str">
        <f t="shared" si="448"/>
        <v>=1.042*100000000</v>
      </c>
      <c r="F914" s="1">
        <f>1.042*100000000</f>
        <v>104200000</v>
      </c>
      <c r="G914" s="8">
        <f t="shared" si="450"/>
        <v>0.30087390761548066</v>
      </c>
      <c r="H914" s="7" t="s">
        <v>9938</v>
      </c>
      <c r="I914" s="6" t="str">
        <f t="shared" si="434"/>
        <v>=8010*10000</v>
      </c>
      <c r="J914" s="1">
        <f>8010*10000</f>
        <v>80100000</v>
      </c>
      <c r="K914" s="10">
        <f t="shared" si="451"/>
        <v>0.29716599190283399</v>
      </c>
      <c r="L914" s="7" t="s">
        <v>9939</v>
      </c>
      <c r="M914" s="6" t="str">
        <f t="shared" si="435"/>
        <v>=6175*10000</v>
      </c>
      <c r="N914" s="1">
        <f>6175*10000</f>
        <v>61750000</v>
      </c>
      <c r="O914" s="8">
        <f t="shared" si="452"/>
        <v>1.1912704045422284</v>
      </c>
      <c r="P914" s="7" t="s">
        <v>2695</v>
      </c>
      <c r="Q914" s="6" t="str">
        <f t="shared" si="436"/>
        <v>=2818*10000</v>
      </c>
      <c r="R914" s="11">
        <f>2818*10000</f>
        <v>28180000</v>
      </c>
      <c r="S914" s="8">
        <f t="shared" si="453"/>
        <v>-0.7264077669902913</v>
      </c>
      <c r="T914" s="6" t="s">
        <v>9940</v>
      </c>
      <c r="U914" s="6" t="str">
        <f t="shared" si="437"/>
        <v>=1.030*100000000</v>
      </c>
      <c r="V914" s="1">
        <f>1.03*100000000</f>
        <v>103000000</v>
      </c>
      <c r="W914" s="8">
        <f t="shared" si="454"/>
        <v>0.38645847354960289</v>
      </c>
      <c r="X914" s="7" t="s">
        <v>9941</v>
      </c>
      <c r="Y914" s="6" t="str">
        <f t="shared" si="438"/>
        <v>=7429*10000</v>
      </c>
      <c r="Z914" s="1">
        <f>7429*10000</f>
        <v>74290000</v>
      </c>
      <c r="AA914" s="8">
        <f t="shared" si="455"/>
        <v>0.47021571343756186</v>
      </c>
      <c r="AB914" s="7" t="s">
        <v>9942</v>
      </c>
      <c r="AC914" s="6" t="str">
        <f t="shared" si="439"/>
        <v>=5053*10000</v>
      </c>
      <c r="AD914" s="1">
        <f>5053*10000</f>
        <v>50530000</v>
      </c>
      <c r="AE914" s="8">
        <f t="shared" si="456"/>
        <v>1.0811367380560131</v>
      </c>
      <c r="AF914" s="7" t="s">
        <v>9943</v>
      </c>
      <c r="AG914" s="6" t="str">
        <f t="shared" si="440"/>
        <v>=2428*10000</v>
      </c>
      <c r="AH914" s="1">
        <f>2428*10000</f>
        <v>24280000</v>
      </c>
      <c r="AI914" s="8">
        <f t="shared" si="457"/>
        <v>-0.7551678935161843</v>
      </c>
      <c r="AJ914" s="7" t="s">
        <v>9944</v>
      </c>
      <c r="AK914" s="6" t="str">
        <f t="shared" si="441"/>
        <v>=9917*10000</v>
      </c>
      <c r="AL914" s="1">
        <f>9917*10000</f>
        <v>99170000</v>
      </c>
      <c r="AM914" s="8">
        <f t="shared" si="458"/>
        <v>0.26589226448812869</v>
      </c>
      <c r="AN914" s="7" t="s">
        <v>9945</v>
      </c>
      <c r="AO914" s="6" t="str">
        <f t="shared" si="442"/>
        <v>=7834*10000</v>
      </c>
      <c r="AP914" s="1">
        <f>7834*10000</f>
        <v>78340000</v>
      </c>
      <c r="AQ914" s="8">
        <f t="shared" si="459"/>
        <v>0.34120869714090052</v>
      </c>
      <c r="AR914" s="7" t="s">
        <v>9946</v>
      </c>
      <c r="AS914" s="6" t="str">
        <f t="shared" si="443"/>
        <v>=5841*10000</v>
      </c>
      <c r="AT914" s="1">
        <f>5841*10000</f>
        <v>58410000</v>
      </c>
      <c r="AU914" s="8">
        <f t="shared" si="460"/>
        <v>0.84258675078864353</v>
      </c>
      <c r="AV914" s="7" t="s">
        <v>9947</v>
      </c>
      <c r="AW914" s="6" t="str">
        <f t="shared" si="444"/>
        <v>=3170*10000</v>
      </c>
      <c r="AX914" s="1">
        <f>3170*10000</f>
        <v>31700000</v>
      </c>
      <c r="AY914" s="10">
        <f t="shared" si="461"/>
        <v>-0.70566388115134637</v>
      </c>
      <c r="AZ914" s="6" t="s">
        <v>9948</v>
      </c>
      <c r="BA914" s="6" t="str">
        <f t="shared" si="445"/>
        <v>=1.077*100000000</v>
      </c>
      <c r="BB914" s="1">
        <f>1.077*100000000</f>
        <v>107700000</v>
      </c>
      <c r="BC914" s="8">
        <f t="shared" si="462"/>
        <v>0.45324517608959652</v>
      </c>
      <c r="BD914" s="7" t="s">
        <v>9949</v>
      </c>
      <c r="BE914" s="6" t="str">
        <f t="shared" si="446"/>
        <v>=7411*10000</v>
      </c>
      <c r="BF914" s="1">
        <f>7411*10000</f>
        <v>74110000</v>
      </c>
      <c r="BG914" s="8">
        <f t="shared" si="463"/>
        <v>0.4754130997411905</v>
      </c>
      <c r="BH914" s="7" t="s">
        <v>9950</v>
      </c>
      <c r="BI914" s="6" t="str">
        <f t="shared" si="447"/>
        <v>=5023*10000</v>
      </c>
      <c r="BJ914" s="1">
        <f>5023*10000</f>
        <v>50230000</v>
      </c>
      <c r="BK914" s="7" t="s">
        <v>9951</v>
      </c>
      <c r="BL914" s="1" t="str">
        <f t="shared" si="449"/>
        <v>=2932*10000</v>
      </c>
      <c r="BM914" s="16">
        <f t="shared" si="464"/>
        <v>0.71316507503410642</v>
      </c>
      <c r="BN914" s="1">
        <f>2932*10000</f>
        <v>29320000</v>
      </c>
    </row>
    <row r="915" spans="1:66">
      <c r="A915" s="18"/>
      <c r="B915">
        <v>600730</v>
      </c>
      <c r="C915" t="s">
        <v>48</v>
      </c>
      <c r="D915" s="7" t="s">
        <v>6630</v>
      </c>
      <c r="E915" s="7" t="str">
        <f t="shared" si="448"/>
        <v>=1030*10000</v>
      </c>
      <c r="F915" s="1">
        <f>1030*10000</f>
        <v>10300000</v>
      </c>
      <c r="G915" s="8">
        <f t="shared" si="450"/>
        <v>-0.60596786534047442</v>
      </c>
      <c r="H915" s="7" t="s">
        <v>3401</v>
      </c>
      <c r="I915" s="6" t="str">
        <f t="shared" si="434"/>
        <v>=2614*10000</v>
      </c>
      <c r="J915" s="1">
        <f>2614*10000</f>
        <v>26140000</v>
      </c>
      <c r="K915" s="10">
        <f t="shared" si="451"/>
        <v>-4.8416454313796868E-2</v>
      </c>
      <c r="L915" s="7" t="s">
        <v>9952</v>
      </c>
      <c r="M915" s="6" t="str">
        <f t="shared" si="435"/>
        <v>=2747*10000</v>
      </c>
      <c r="N915" s="1">
        <f>2747*10000</f>
        <v>27470000</v>
      </c>
      <c r="O915" s="8">
        <f t="shared" si="452"/>
        <v>2.8333798492883058</v>
      </c>
      <c r="P915" s="7" t="s">
        <v>9953</v>
      </c>
      <c r="Q915" s="6" t="str">
        <f t="shared" si="436"/>
        <v>=716.6*10000</v>
      </c>
      <c r="R915" s="11">
        <f>716.6*10000</f>
        <v>7166000</v>
      </c>
      <c r="S915" s="8">
        <f t="shared" si="453"/>
        <v>-0.90403107004151595</v>
      </c>
      <c r="T915" s="7" t="s">
        <v>9954</v>
      </c>
      <c r="U915" s="6" t="str">
        <f t="shared" si="437"/>
        <v>=7467*10000</v>
      </c>
      <c r="V915" s="1">
        <f>7467*10000</f>
        <v>74670000</v>
      </c>
      <c r="W915" s="8">
        <f t="shared" si="454"/>
        <v>1.1316014844419069</v>
      </c>
      <c r="X915" s="7" t="s">
        <v>9955</v>
      </c>
      <c r="Y915" s="6" t="str">
        <f t="shared" si="438"/>
        <v>=3503*10000</v>
      </c>
      <c r="Z915" s="1">
        <f>3503*10000</f>
        <v>35030000</v>
      </c>
      <c r="AA915" s="8">
        <f t="shared" si="455"/>
        <v>1.2170886075949368</v>
      </c>
      <c r="AB915" s="7" t="s">
        <v>2471</v>
      </c>
      <c r="AC915" s="6" t="str">
        <f t="shared" si="439"/>
        <v>=1580*10000</v>
      </c>
      <c r="AD915" s="1">
        <f>1580*10000</f>
        <v>15800000</v>
      </c>
      <c r="AE915" s="8">
        <f t="shared" si="456"/>
        <v>8.3676268861454045E-2</v>
      </c>
      <c r="AF915" s="7" t="s">
        <v>9956</v>
      </c>
      <c r="AG915" s="6" t="str">
        <f t="shared" si="440"/>
        <v>=1458*10000</v>
      </c>
      <c r="AH915" s="1">
        <f>1458*10000</f>
        <v>14580000</v>
      </c>
      <c r="AI915" s="8">
        <f t="shared" si="457"/>
        <v>-1.6867640131888837</v>
      </c>
      <c r="AJ915" s="7">
        <f>-2123*10000</f>
        <v>-21230000</v>
      </c>
      <c r="AK915" s="6" t="str">
        <f t="shared" si="441"/>
        <v>=-21230000</v>
      </c>
      <c r="AL915" s="1">
        <f>-21230000</f>
        <v>-21230000</v>
      </c>
      <c r="AM915" s="8">
        <f t="shared" si="458"/>
        <v>-2.97856477166822</v>
      </c>
      <c r="AN915" s="7" t="s">
        <v>7565</v>
      </c>
      <c r="AO915" s="6" t="str">
        <f t="shared" si="442"/>
        <v>=1073*10000</v>
      </c>
      <c r="AP915" s="1">
        <f>1073*10000</f>
        <v>10730000</v>
      </c>
      <c r="AQ915" s="8">
        <f t="shared" si="459"/>
        <v>-0.18216463414634146</v>
      </c>
      <c r="AR915" s="7" t="s">
        <v>9957</v>
      </c>
      <c r="AS915" s="6" t="str">
        <f t="shared" si="443"/>
        <v>=1312*10000</v>
      </c>
      <c r="AT915" s="1">
        <f>1312*10000</f>
        <v>13120000</v>
      </c>
      <c r="AU915" s="8">
        <f t="shared" si="460"/>
        <v>-0.41271262309758283</v>
      </c>
      <c r="AV915" s="7" t="s">
        <v>7737</v>
      </c>
      <c r="AW915" s="6" t="str">
        <f t="shared" si="444"/>
        <v>=2234*10000</v>
      </c>
      <c r="AX915" s="1">
        <f>2234*10000</f>
        <v>22340000</v>
      </c>
      <c r="AY915" s="10">
        <f t="shared" si="461"/>
        <v>-5.6986070071760236E-2</v>
      </c>
      <c r="AZ915" s="7" t="s">
        <v>6051</v>
      </c>
      <c r="BA915" s="6" t="str">
        <f t="shared" si="445"/>
        <v>=2369*10000</v>
      </c>
      <c r="BB915" s="1">
        <f>2369*10000</f>
        <v>23690000</v>
      </c>
      <c r="BC915" s="8">
        <f t="shared" si="462"/>
        <v>0.67302259887005644</v>
      </c>
      <c r="BD915" s="7" t="s">
        <v>9958</v>
      </c>
      <c r="BE915" s="6" t="str">
        <f t="shared" si="446"/>
        <v>=1416*10000</v>
      </c>
      <c r="BF915" s="1">
        <f>1416*10000</f>
        <v>14160000</v>
      </c>
      <c r="BG915" s="8">
        <f t="shared" si="463"/>
        <v>3.0877598152424941</v>
      </c>
      <c r="BH915" s="7" t="s">
        <v>9959</v>
      </c>
      <c r="BI915" s="6" t="str">
        <f t="shared" si="447"/>
        <v>=346.4*10000</v>
      </c>
      <c r="BJ915" s="1">
        <f>346.4*10000</f>
        <v>3464000</v>
      </c>
      <c r="BK915" s="7" t="s">
        <v>9960</v>
      </c>
      <c r="BL915" s="1" t="str">
        <f t="shared" si="449"/>
        <v>=1288*10000</v>
      </c>
      <c r="BM915" s="16">
        <f t="shared" si="464"/>
        <v>-0.73105590062111803</v>
      </c>
      <c r="BN915" s="1">
        <f>1288*10000</f>
        <v>12880000</v>
      </c>
    </row>
    <row r="916" spans="1:66">
      <c r="A916" s="18"/>
      <c r="B916">
        <v>600730</v>
      </c>
      <c r="C916" t="s">
        <v>58</v>
      </c>
      <c r="D916" s="7" t="s">
        <v>9961</v>
      </c>
      <c r="E916" s="7" t="str">
        <f t="shared" si="448"/>
        <v>=2527*10000</v>
      </c>
      <c r="F916" s="1">
        <f>2527*10000</f>
        <v>25270000</v>
      </c>
      <c r="G916" s="8">
        <f t="shared" si="450"/>
        <v>0.2906026557711951</v>
      </c>
      <c r="H916" s="7" t="s">
        <v>9962</v>
      </c>
      <c r="I916" s="6" t="str">
        <f t="shared" si="434"/>
        <v>=1958*10000</v>
      </c>
      <c r="J916" s="1">
        <f>1958*10000</f>
        <v>19580000</v>
      </c>
      <c r="K916" s="10">
        <f t="shared" si="451"/>
        <v>-0.29390551749008292</v>
      </c>
      <c r="L916" s="7" t="s">
        <v>9963</v>
      </c>
      <c r="M916" s="6" t="str">
        <f t="shared" si="435"/>
        <v>=2773*10000</v>
      </c>
      <c r="N916" s="1">
        <f>2773*10000</f>
        <v>27730000</v>
      </c>
      <c r="O916" s="8">
        <f t="shared" si="452"/>
        <v>2.5275410253148456</v>
      </c>
      <c r="P916" s="7" t="s">
        <v>9964</v>
      </c>
      <c r="Q916" s="6" t="str">
        <f t="shared" si="436"/>
        <v>=786.1*10000</v>
      </c>
      <c r="R916" s="11">
        <f>786.1*10000</f>
        <v>7861000</v>
      </c>
      <c r="S916" s="8">
        <f t="shared" si="453"/>
        <v>-0.83130901287553649</v>
      </c>
      <c r="T916" s="7" t="s">
        <v>8804</v>
      </c>
      <c r="U916" s="6" t="str">
        <f t="shared" si="437"/>
        <v>=4660*10000</v>
      </c>
      <c r="V916" s="1">
        <f>4660*10000</f>
        <v>46600000</v>
      </c>
      <c r="W916" s="8">
        <f t="shared" si="454"/>
        <v>0.81818181818181823</v>
      </c>
      <c r="X916" s="7" t="s">
        <v>9965</v>
      </c>
      <c r="Y916" s="6" t="str">
        <f t="shared" si="438"/>
        <v>=2563*10000</v>
      </c>
      <c r="Z916" s="1">
        <f>2563*10000</f>
        <v>25630000</v>
      </c>
      <c r="AA916" s="8">
        <f t="shared" si="455"/>
        <v>1.5527888446215139</v>
      </c>
      <c r="AB916" s="7" t="s">
        <v>9966</v>
      </c>
      <c r="AC916" s="6" t="str">
        <f t="shared" si="439"/>
        <v>=1004*10000</v>
      </c>
      <c r="AD916" s="1">
        <f>1004*10000</f>
        <v>10040000</v>
      </c>
      <c r="AE916" s="8">
        <f t="shared" si="456"/>
        <v>-0.31373889268626109</v>
      </c>
      <c r="AF916" s="7" t="s">
        <v>9967</v>
      </c>
      <c r="AG916" s="6" t="str">
        <f t="shared" si="440"/>
        <v>=1463*10000</v>
      </c>
      <c r="AH916" s="1">
        <f>1463*10000</f>
        <v>14630000</v>
      </c>
      <c r="AI916" s="8">
        <f t="shared" si="457"/>
        <v>-1.2347937730701333</v>
      </c>
      <c r="AJ916" s="7">
        <f>-6231*10000</f>
        <v>-62310000</v>
      </c>
      <c r="AK916" s="6" t="str">
        <f t="shared" si="441"/>
        <v>=-62310000</v>
      </c>
      <c r="AL916" s="1">
        <f>-62310000</f>
        <v>-62310000</v>
      </c>
      <c r="AM916" s="8">
        <f t="shared" si="458"/>
        <v>-6.9798464491362768</v>
      </c>
      <c r="AN916" s="7" t="s">
        <v>9968</v>
      </c>
      <c r="AO916" s="6" t="str">
        <f t="shared" si="442"/>
        <v>=1042*10000</v>
      </c>
      <c r="AP916" s="1">
        <f>1042*10000</f>
        <v>10420000</v>
      </c>
      <c r="AQ916" s="8">
        <f t="shared" si="459"/>
        <v>-0.19224806201550387</v>
      </c>
      <c r="AR916" s="7" t="s">
        <v>2484</v>
      </c>
      <c r="AS916" s="6" t="str">
        <f t="shared" si="443"/>
        <v>=1290*10000</v>
      </c>
      <c r="AT916" s="1">
        <f>1290*10000</f>
        <v>12900000</v>
      </c>
      <c r="AU916" s="8">
        <f t="shared" si="460"/>
        <v>-0.42307692307692307</v>
      </c>
      <c r="AV916" s="7" t="s">
        <v>2221</v>
      </c>
      <c r="AW916" s="6" t="str">
        <f t="shared" si="444"/>
        <v>=2236*10000</v>
      </c>
      <c r="AX916" s="1">
        <f>2236*10000</f>
        <v>22360000</v>
      </c>
      <c r="AY916" s="10">
        <f t="shared" si="461"/>
        <v>-0.15367146101438303</v>
      </c>
      <c r="AZ916" s="7" t="s">
        <v>8335</v>
      </c>
      <c r="BA916" s="6" t="str">
        <f t="shared" si="445"/>
        <v>=2642*10000</v>
      </c>
      <c r="BB916" s="1">
        <f>2642*10000</f>
        <v>26420000</v>
      </c>
      <c r="BC916" s="8">
        <f t="shared" si="462"/>
        <v>0.84626135569531791</v>
      </c>
      <c r="BD916" s="7" t="s">
        <v>9969</v>
      </c>
      <c r="BE916" s="6" t="str">
        <f t="shared" si="446"/>
        <v>=1431*10000</v>
      </c>
      <c r="BF916" s="1">
        <f>1431*10000</f>
        <v>14310000</v>
      </c>
      <c r="BG916" s="8">
        <f t="shared" si="463"/>
        <v>2.9972067039106145</v>
      </c>
      <c r="BH916" s="7" t="s">
        <v>9695</v>
      </c>
      <c r="BI916" s="6" t="str">
        <f t="shared" si="447"/>
        <v>=358.0*10000</v>
      </c>
      <c r="BJ916" s="1">
        <f>358*10000</f>
        <v>3580000</v>
      </c>
      <c r="BK916" s="7" t="s">
        <v>9970</v>
      </c>
      <c r="BL916" s="1" t="str">
        <f t="shared" si="449"/>
        <v>=1289*10000</v>
      </c>
      <c r="BM916" s="16">
        <f t="shared" si="464"/>
        <v>-0.72226532195500392</v>
      </c>
      <c r="BN916" s="1">
        <f>1289*10000</f>
        <v>12890000</v>
      </c>
    </row>
    <row r="917" spans="1:66">
      <c r="A917" s="19"/>
      <c r="B917">
        <v>600730</v>
      </c>
      <c r="C917" t="s">
        <v>68</v>
      </c>
      <c r="D917" s="7" t="s">
        <v>9971</v>
      </c>
      <c r="E917" s="7" t="str">
        <f t="shared" si="448"/>
        <v>=1492*10000</v>
      </c>
      <c r="F917" s="1">
        <f>1492*10000</f>
        <v>14920000</v>
      </c>
      <c r="G917" s="8">
        <f t="shared" si="450"/>
        <v>-2.8013029315960912E-2</v>
      </c>
      <c r="H917" s="7" t="s">
        <v>6563</v>
      </c>
      <c r="I917" s="6" t="str">
        <f t="shared" si="434"/>
        <v>=1535*10000</v>
      </c>
      <c r="J917" s="1">
        <f>1535*10000</f>
        <v>15350000</v>
      </c>
      <c r="K917" s="10">
        <f t="shared" si="451"/>
        <v>-0.39207920792079209</v>
      </c>
      <c r="L917" s="7" t="s">
        <v>2232</v>
      </c>
      <c r="M917" s="6" t="str">
        <f t="shared" si="435"/>
        <v>=2525*10000</v>
      </c>
      <c r="N917" s="1">
        <f>2525*10000</f>
        <v>25250000</v>
      </c>
      <c r="O917" s="8">
        <f t="shared" si="452"/>
        <v>3.2803865061874893</v>
      </c>
      <c r="P917" s="7" t="s">
        <v>9972</v>
      </c>
      <c r="Q917" s="6" t="str">
        <f t="shared" si="436"/>
        <v>=589.9*10000</v>
      </c>
      <c r="R917" s="11">
        <f>589.9*10000</f>
        <v>5899000</v>
      </c>
      <c r="S917" s="8">
        <f t="shared" si="453"/>
        <v>-0.81284898477157363</v>
      </c>
      <c r="T917" s="7" t="s">
        <v>8070</v>
      </c>
      <c r="U917" s="6" t="str">
        <f t="shared" si="437"/>
        <v>=3152*10000</v>
      </c>
      <c r="V917" s="1">
        <f>3152*10000</f>
        <v>31520000</v>
      </c>
      <c r="W917" s="8">
        <f t="shared" si="454"/>
        <v>0.53756097560975613</v>
      </c>
      <c r="X917" s="7" t="s">
        <v>9973</v>
      </c>
      <c r="Y917" s="6" t="str">
        <f t="shared" si="438"/>
        <v>=2050*10000</v>
      </c>
      <c r="Z917" s="1">
        <f>2050*10000</f>
        <v>20500000</v>
      </c>
      <c r="AA917" s="8">
        <f t="shared" si="455"/>
        <v>3.3258071323063936</v>
      </c>
      <c r="AB917" s="7" t="s">
        <v>9974</v>
      </c>
      <c r="AC917" s="6" t="str">
        <f t="shared" si="439"/>
        <v>=473.9*10000</v>
      </c>
      <c r="AD917" s="1">
        <f>473.9*10000</f>
        <v>4739000</v>
      </c>
      <c r="AE917" s="8">
        <f t="shared" si="456"/>
        <v>-0.64125662376987136</v>
      </c>
      <c r="AF917" s="7" t="s">
        <v>9975</v>
      </c>
      <c r="AG917" s="6" t="str">
        <f t="shared" si="440"/>
        <v>=1321*10000</v>
      </c>
      <c r="AH917" s="1">
        <f>1321*10000</f>
        <v>13210000</v>
      </c>
      <c r="AI917" s="8">
        <f t="shared" si="457"/>
        <v>-1.1870310066543961</v>
      </c>
      <c r="AJ917" s="7">
        <f>-7063*10000</f>
        <v>-70630000</v>
      </c>
      <c r="AK917" s="6" t="str">
        <f t="shared" si="441"/>
        <v>=-70630000</v>
      </c>
      <c r="AL917" s="1">
        <f>-70630000</f>
        <v>-70630000</v>
      </c>
      <c r="AM917" s="8">
        <f t="shared" si="458"/>
        <v>-15.529932112734006</v>
      </c>
      <c r="AN917" s="7" t="s">
        <v>9976</v>
      </c>
      <c r="AO917" s="6" t="str">
        <f t="shared" si="442"/>
        <v>=486.1*10000</v>
      </c>
      <c r="AP917" s="1">
        <f>486.1*10000</f>
        <v>4861000</v>
      </c>
      <c r="AQ917" s="8">
        <f t="shared" si="459"/>
        <v>-0.28059789847565486</v>
      </c>
      <c r="AR917" s="7" t="s">
        <v>9977</v>
      </c>
      <c r="AS917" s="6" t="str">
        <f t="shared" si="443"/>
        <v>=675.7*10000</v>
      </c>
      <c r="AT917" s="1">
        <f>675.7*10000</f>
        <v>6757000</v>
      </c>
      <c r="AU917" s="8">
        <f t="shared" si="460"/>
        <v>-0.60135693215339237</v>
      </c>
      <c r="AV917" s="7" t="s">
        <v>9978</v>
      </c>
      <c r="AW917" s="6" t="str">
        <f t="shared" si="444"/>
        <v>=1695*10000</v>
      </c>
      <c r="AX917" s="1">
        <f>1695*10000</f>
        <v>16950000</v>
      </c>
      <c r="AY917" s="10">
        <f t="shared" si="461"/>
        <v>0.89554909416237982</v>
      </c>
      <c r="AZ917" s="7" t="s">
        <v>9979</v>
      </c>
      <c r="BA917" s="6" t="str">
        <f t="shared" si="445"/>
        <v>=894.2*10000</v>
      </c>
      <c r="BB917" s="1">
        <f>894.2*10000</f>
        <v>8942000</v>
      </c>
      <c r="BC917" s="8">
        <f t="shared" si="462"/>
        <v>1.3372620126926565E-2</v>
      </c>
      <c r="BD917" s="7" t="s">
        <v>9980</v>
      </c>
      <c r="BE917" s="6" t="str">
        <f t="shared" si="446"/>
        <v>=882.4*10000</v>
      </c>
      <c r="BF917" s="1">
        <f>882.4*10000</f>
        <v>8824000</v>
      </c>
      <c r="BG917" s="8">
        <f t="shared" si="463"/>
        <v>-11.551237594164773</v>
      </c>
      <c r="BH917" s="7">
        <f>-83.63*10000</f>
        <v>-836300</v>
      </c>
      <c r="BI917" s="6" t="str">
        <f t="shared" si="447"/>
        <v>=-836300</v>
      </c>
      <c r="BJ917" s="1">
        <f>-836300</f>
        <v>-836300</v>
      </c>
      <c r="BK917" s="7" t="s">
        <v>9981</v>
      </c>
      <c r="BL917" s="1" t="str">
        <f t="shared" si="449"/>
        <v>=920.8*10000</v>
      </c>
      <c r="BM917" s="16">
        <f t="shared" si="464"/>
        <v>-1.0908231972198088</v>
      </c>
      <c r="BN917" s="1">
        <f>920.8*10000</f>
        <v>9208000</v>
      </c>
    </row>
    <row r="918" spans="1:66">
      <c r="A918" s="17">
        <v>231</v>
      </c>
      <c r="B918">
        <v>600731</v>
      </c>
      <c r="C918" t="s">
        <v>31</v>
      </c>
      <c r="D918" s="6" t="s">
        <v>9982</v>
      </c>
      <c r="E918" s="7" t="str">
        <f t="shared" si="448"/>
        <v>=27.02*100000000</v>
      </c>
      <c r="F918" s="1">
        <f>27.02*100000000</f>
        <v>2702000000</v>
      </c>
      <c r="G918" s="8">
        <f t="shared" si="450"/>
        <v>0.69937106918238989</v>
      </c>
      <c r="H918" s="6" t="s">
        <v>8363</v>
      </c>
      <c r="I918" s="6" t="str">
        <f t="shared" si="434"/>
        <v>=15.90*100000000</v>
      </c>
      <c r="J918" s="1">
        <f>15.9*100000000</f>
        <v>1590000000</v>
      </c>
      <c r="K918" s="10">
        <f t="shared" si="451"/>
        <v>0.4272890484739677</v>
      </c>
      <c r="L918" s="6" t="s">
        <v>6952</v>
      </c>
      <c r="M918" s="6" t="str">
        <f t="shared" si="435"/>
        <v>=11.14*100000000</v>
      </c>
      <c r="N918" s="1">
        <f>11.14*100000000</f>
        <v>1114000000</v>
      </c>
      <c r="O918" s="8">
        <f t="shared" si="452"/>
        <v>1.228891556622649</v>
      </c>
      <c r="P918" s="6" t="s">
        <v>9983</v>
      </c>
      <c r="Q918" s="6" t="str">
        <f t="shared" si="436"/>
        <v>=4.998*100000000</v>
      </c>
      <c r="R918" s="11">
        <f>4.998*100000000</f>
        <v>499800000</v>
      </c>
      <c r="S918" s="8">
        <f t="shared" si="453"/>
        <v>-0.77104901511681168</v>
      </c>
      <c r="T918" s="6" t="s">
        <v>7675</v>
      </c>
      <c r="U918" s="6" t="str">
        <f t="shared" si="437"/>
        <v>=21.83*100000000</v>
      </c>
      <c r="V918" s="1">
        <f>21.83*100000000</f>
        <v>2183000000</v>
      </c>
      <c r="W918" s="8">
        <f t="shared" si="454"/>
        <v>0.59226841721371259</v>
      </c>
      <c r="X918" s="6" t="s">
        <v>4089</v>
      </c>
      <c r="Y918" s="6" t="str">
        <f t="shared" si="438"/>
        <v>=13.71*100000000</v>
      </c>
      <c r="Z918" s="1">
        <f>13.71*100000000</f>
        <v>1371000000</v>
      </c>
      <c r="AA918" s="8">
        <f t="shared" si="455"/>
        <v>0.33236151603498559</v>
      </c>
      <c r="AB918" s="6" t="s">
        <v>9984</v>
      </c>
      <c r="AC918" s="6" t="str">
        <f t="shared" si="439"/>
        <v>=10.29*100000000</v>
      </c>
      <c r="AD918" s="1">
        <f>10.29*100000000</f>
        <v>1028999999.9999999</v>
      </c>
      <c r="AE918" s="8">
        <f t="shared" si="456"/>
        <v>1.3391679927256193</v>
      </c>
      <c r="AF918" s="6" t="s">
        <v>9985</v>
      </c>
      <c r="AG918" s="6" t="str">
        <f t="shared" si="440"/>
        <v>=4.399*100000000</v>
      </c>
      <c r="AH918" s="1">
        <f>4.399*100000000</f>
        <v>439900000</v>
      </c>
      <c r="AI918" s="8">
        <f t="shared" si="457"/>
        <v>-0.79530013959981383</v>
      </c>
      <c r="AJ918" s="6" t="s">
        <v>1200</v>
      </c>
      <c r="AK918" s="6" t="str">
        <f t="shared" si="441"/>
        <v>=21.49*100000000</v>
      </c>
      <c r="AL918" s="1">
        <f>21.49*100000000</f>
        <v>2149000000</v>
      </c>
      <c r="AM918" s="8">
        <f t="shared" si="458"/>
        <v>0.39364461738002593</v>
      </c>
      <c r="AN918" s="6" t="s">
        <v>6448</v>
      </c>
      <c r="AO918" s="6" t="str">
        <f t="shared" si="442"/>
        <v>=15.42*100000000</v>
      </c>
      <c r="AP918" s="1">
        <f>15.42*100000000</f>
        <v>1542000000</v>
      </c>
      <c r="AQ918" s="8">
        <f t="shared" si="459"/>
        <v>0.5629434421244679</v>
      </c>
      <c r="AR918" s="6" t="s">
        <v>2442</v>
      </c>
      <c r="AS918" s="6" t="str">
        <f t="shared" si="443"/>
        <v>=9.866*100000000</v>
      </c>
      <c r="AT918" s="1">
        <f>9.866*100000000</f>
        <v>986600000</v>
      </c>
      <c r="AU918" s="8">
        <f t="shared" si="460"/>
        <v>1.0354858675469361</v>
      </c>
      <c r="AV918" s="6" t="s">
        <v>7362</v>
      </c>
      <c r="AW918" s="6" t="str">
        <f t="shared" si="444"/>
        <v>=4.847*100000000</v>
      </c>
      <c r="AX918" s="1">
        <f>4.847*100000000</f>
        <v>484700000.00000006</v>
      </c>
      <c r="AY918" s="10">
        <f t="shared" si="461"/>
        <v>-0.70227272727272727</v>
      </c>
      <c r="AZ918" s="6" t="s">
        <v>1318</v>
      </c>
      <c r="BA918" s="6" t="str">
        <f t="shared" si="445"/>
        <v>=16.28*100000000</v>
      </c>
      <c r="BB918" s="1">
        <f>16.28*100000000</f>
        <v>1628000000</v>
      </c>
      <c r="BC918" s="8">
        <f t="shared" si="462"/>
        <v>0.54752851711026618</v>
      </c>
      <c r="BD918" s="6" t="s">
        <v>1971</v>
      </c>
      <c r="BE918" s="6" t="str">
        <f t="shared" si="446"/>
        <v>=10.52*100000000</v>
      </c>
      <c r="BF918" s="1">
        <f>10.52*100000000</f>
        <v>1052000000</v>
      </c>
      <c r="BG918" s="8">
        <f t="shared" si="463"/>
        <v>0.67649402390438251</v>
      </c>
      <c r="BH918" s="6" t="s">
        <v>9986</v>
      </c>
      <c r="BI918" s="6" t="str">
        <f t="shared" si="447"/>
        <v>=6.275*100000000</v>
      </c>
      <c r="BJ918" s="1">
        <f>6.275*100000000</f>
        <v>627500000</v>
      </c>
      <c r="BK918" s="6" t="s">
        <v>9835</v>
      </c>
      <c r="BL918" s="1" t="str">
        <f t="shared" si="449"/>
        <v>=2.985*100000000</v>
      </c>
      <c r="BM918" s="16">
        <f t="shared" si="464"/>
        <v>1.102177554438861</v>
      </c>
      <c r="BN918" s="1">
        <f>2.985*100000000</f>
        <v>298500000</v>
      </c>
    </row>
    <row r="919" spans="1:66">
      <c r="A919" s="18"/>
      <c r="B919">
        <v>600731</v>
      </c>
      <c r="C919" t="s">
        <v>48</v>
      </c>
      <c r="D919" s="6" t="s">
        <v>9987</v>
      </c>
      <c r="E919" s="7" t="str">
        <f t="shared" si="448"/>
        <v>=3.259*100000000</v>
      </c>
      <c r="F919" s="1">
        <f>3.259*100000000</f>
        <v>325900000</v>
      </c>
      <c r="G919" s="8">
        <f t="shared" si="450"/>
        <v>0.43126921387790951</v>
      </c>
      <c r="H919" s="6" t="s">
        <v>4997</v>
      </c>
      <c r="I919" s="6" t="str">
        <f t="shared" si="434"/>
        <v>=2.277*100000000</v>
      </c>
      <c r="J919" s="1">
        <f>2.277*100000000</f>
        <v>227700000</v>
      </c>
      <c r="K919" s="10">
        <f t="shared" si="451"/>
        <v>0.52716297786720323</v>
      </c>
      <c r="L919" s="6" t="s">
        <v>6889</v>
      </c>
      <c r="M919" s="6" t="str">
        <f t="shared" si="435"/>
        <v>=1.491*100000000</v>
      </c>
      <c r="N919" s="1">
        <f>1.491*100000000</f>
        <v>149100000</v>
      </c>
      <c r="O919" s="8">
        <f t="shared" si="452"/>
        <v>0.98508853681267472</v>
      </c>
      <c r="P919" s="7" t="s">
        <v>9988</v>
      </c>
      <c r="Q919" s="6" t="str">
        <f t="shared" si="436"/>
        <v>=7511*10000</v>
      </c>
      <c r="R919" s="11">
        <f>7511*10000</f>
        <v>75110000</v>
      </c>
      <c r="S919" s="8">
        <f t="shared" si="453"/>
        <v>-0.78698241633579125</v>
      </c>
      <c r="T919" s="6" t="s">
        <v>2955</v>
      </c>
      <c r="U919" s="6" t="str">
        <f t="shared" si="437"/>
        <v>=3.526*100000000</v>
      </c>
      <c r="V919" s="1">
        <f>3.526*100000000</f>
        <v>352600000</v>
      </c>
      <c r="W919" s="8">
        <f t="shared" si="454"/>
        <v>0.4008740564163687</v>
      </c>
      <c r="X919" s="6" t="s">
        <v>9989</v>
      </c>
      <c r="Y919" s="6" t="str">
        <f t="shared" si="438"/>
        <v>=2.517*100000000</v>
      </c>
      <c r="Z919" s="1">
        <f>2.517*100000000</f>
        <v>251700000</v>
      </c>
      <c r="AA919" s="8">
        <f t="shared" si="455"/>
        <v>0.51535219747140282</v>
      </c>
      <c r="AB919" s="6" t="s">
        <v>5214</v>
      </c>
      <c r="AC919" s="6" t="str">
        <f t="shared" si="439"/>
        <v>=1.661*100000000</v>
      </c>
      <c r="AD919" s="1">
        <f>1.661*100000000</f>
        <v>166100000</v>
      </c>
      <c r="AE919" s="8">
        <f t="shared" si="456"/>
        <v>1.0572207084468666</v>
      </c>
      <c r="AF919" s="7" t="s">
        <v>3947</v>
      </c>
      <c r="AG919" s="6" t="str">
        <f t="shared" si="440"/>
        <v>=8074*10000</v>
      </c>
      <c r="AH919" s="1">
        <f>8074*10000</f>
        <v>80740000</v>
      </c>
      <c r="AI919" s="8">
        <f t="shared" si="457"/>
        <v>-0.52783625730994155</v>
      </c>
      <c r="AJ919" s="6" t="s">
        <v>9990</v>
      </c>
      <c r="AK919" s="6" t="str">
        <f t="shared" si="441"/>
        <v>=1.710*100000000</v>
      </c>
      <c r="AL919" s="1">
        <f>1.71*100000000</f>
        <v>171000000</v>
      </c>
      <c r="AM919" s="8">
        <f t="shared" si="458"/>
        <v>0.3297045101088647</v>
      </c>
      <c r="AN919" s="6" t="s">
        <v>3548</v>
      </c>
      <c r="AO919" s="6" t="str">
        <f t="shared" si="442"/>
        <v>=1.286*100000000</v>
      </c>
      <c r="AP919" s="1">
        <f>1.286*100000000</f>
        <v>128600000</v>
      </c>
      <c r="AQ919" s="8">
        <f t="shared" si="459"/>
        <v>2.6482269503546099</v>
      </c>
      <c r="AR919" s="7" t="s">
        <v>7391</v>
      </c>
      <c r="AS919" s="6" t="str">
        <f t="shared" si="443"/>
        <v>=3525*10000</v>
      </c>
      <c r="AT919" s="1">
        <f>3525*10000</f>
        <v>35250000</v>
      </c>
      <c r="AU919" s="8">
        <f t="shared" si="460"/>
        <v>-0.2185768122367546</v>
      </c>
      <c r="AV919" s="7" t="s">
        <v>9991</v>
      </c>
      <c r="AW919" s="6" t="str">
        <f t="shared" si="444"/>
        <v>=4511*10000</v>
      </c>
      <c r="AX919" s="1">
        <f>4511*10000</f>
        <v>45110000</v>
      </c>
      <c r="AY919" s="10">
        <f t="shared" si="461"/>
        <v>-0.63414436334144364</v>
      </c>
      <c r="AZ919" s="6" t="s">
        <v>3562</v>
      </c>
      <c r="BA919" s="6" t="str">
        <f t="shared" si="445"/>
        <v>=1.233*100000000</v>
      </c>
      <c r="BB919" s="1">
        <f>1.233*100000000</f>
        <v>123300000.00000001</v>
      </c>
      <c r="BC919" s="8">
        <f t="shared" si="462"/>
        <v>1.8535061328396207</v>
      </c>
      <c r="BD919" s="7" t="s">
        <v>9992</v>
      </c>
      <c r="BE919" s="6" t="str">
        <f t="shared" si="446"/>
        <v>=4321*10000</v>
      </c>
      <c r="BF919" s="1">
        <f>4321*10000</f>
        <v>43210000</v>
      </c>
      <c r="BG919" s="8">
        <f t="shared" si="463"/>
        <v>0.16594711279007016</v>
      </c>
      <c r="BH919" s="7" t="s">
        <v>9993</v>
      </c>
      <c r="BI919" s="6" t="str">
        <f t="shared" si="447"/>
        <v>=3706*10000</v>
      </c>
      <c r="BJ919" s="1">
        <f>3706*10000</f>
        <v>37060000</v>
      </c>
      <c r="BK919" s="7" t="s">
        <v>9994</v>
      </c>
      <c r="BL919" s="1" t="str">
        <f t="shared" si="449"/>
        <v>=1383*10000</v>
      </c>
      <c r="BM919" s="16">
        <f t="shared" si="464"/>
        <v>1.6796818510484455</v>
      </c>
      <c r="BN919" s="1">
        <f>1383*10000</f>
        <v>13830000</v>
      </c>
    </row>
    <row r="920" spans="1:66">
      <c r="A920" s="18"/>
      <c r="B920">
        <v>600731</v>
      </c>
      <c r="C920" t="s">
        <v>58</v>
      </c>
      <c r="D920" s="6" t="s">
        <v>9077</v>
      </c>
      <c r="E920" s="7" t="str">
        <f t="shared" si="448"/>
        <v>=3.303*100000000</v>
      </c>
      <c r="F920" s="1">
        <f>3.303*100000000</f>
        <v>330300000</v>
      </c>
      <c r="G920" s="8">
        <f t="shared" si="450"/>
        <v>0.42125645438898468</v>
      </c>
      <c r="H920" s="6" t="s">
        <v>133</v>
      </c>
      <c r="I920" s="6" t="str">
        <f t="shared" si="434"/>
        <v>=2.324*100000000</v>
      </c>
      <c r="J920" s="1">
        <f>2.324*100000000</f>
        <v>232399999.99999997</v>
      </c>
      <c r="K920" s="10">
        <f t="shared" si="451"/>
        <v>0.53096179183135683</v>
      </c>
      <c r="L920" s="6" t="s">
        <v>9995</v>
      </c>
      <c r="M920" s="6" t="str">
        <f t="shared" si="435"/>
        <v>=1.518*100000000</v>
      </c>
      <c r="N920" s="1">
        <f>1.518*100000000</f>
        <v>151800000</v>
      </c>
      <c r="O920" s="8">
        <f t="shared" si="452"/>
        <v>1.0127287191726333</v>
      </c>
      <c r="P920" s="7" t="s">
        <v>4446</v>
      </c>
      <c r="Q920" s="6" t="str">
        <f t="shared" si="436"/>
        <v>=7542*10000</v>
      </c>
      <c r="R920" s="11">
        <f>7542*10000</f>
        <v>75420000</v>
      </c>
      <c r="S920" s="8">
        <f t="shared" si="453"/>
        <v>-0.79325657894736845</v>
      </c>
      <c r="T920" s="6" t="s">
        <v>9996</v>
      </c>
      <c r="U920" s="6" t="str">
        <f t="shared" si="437"/>
        <v>=3.648*100000000</v>
      </c>
      <c r="V920" s="1">
        <f>3.648*100000000</f>
        <v>364800000</v>
      </c>
      <c r="W920" s="8">
        <f t="shared" si="454"/>
        <v>0.44704482348274494</v>
      </c>
      <c r="X920" s="6" t="s">
        <v>3383</v>
      </c>
      <c r="Y920" s="6" t="str">
        <f t="shared" si="438"/>
        <v>=2.521*100000000</v>
      </c>
      <c r="Z920" s="1">
        <f>2.521*100000000</f>
        <v>252100000</v>
      </c>
      <c r="AA920" s="8">
        <f t="shared" si="455"/>
        <v>0.50238379022646007</v>
      </c>
      <c r="AB920" s="6" t="s">
        <v>9997</v>
      </c>
      <c r="AC920" s="6" t="str">
        <f t="shared" si="439"/>
        <v>=1.678*100000000</v>
      </c>
      <c r="AD920" s="1">
        <f>1.678*100000000</f>
        <v>167800000</v>
      </c>
      <c r="AE920" s="8">
        <f t="shared" si="456"/>
        <v>1.0251025826695632</v>
      </c>
      <c r="AF920" s="7" t="s">
        <v>9998</v>
      </c>
      <c r="AG920" s="6" t="str">
        <f t="shared" si="440"/>
        <v>=8286*10000</v>
      </c>
      <c r="AH920" s="1">
        <f>8286*10000</f>
        <v>82860000</v>
      </c>
      <c r="AI920" s="8">
        <f t="shared" si="457"/>
        <v>-0.47623261694058155</v>
      </c>
      <c r="AJ920" s="6" t="s">
        <v>9999</v>
      </c>
      <c r="AK920" s="6" t="str">
        <f t="shared" si="441"/>
        <v>=1.582*100000000</v>
      </c>
      <c r="AL920" s="1">
        <f>1.582*100000000</f>
        <v>158200000</v>
      </c>
      <c r="AM920" s="8">
        <f t="shared" si="458"/>
        <v>0.39506172839506193</v>
      </c>
      <c r="AN920" s="6" t="s">
        <v>10000</v>
      </c>
      <c r="AO920" s="6" t="str">
        <f t="shared" si="442"/>
        <v>=1.134*100000000</v>
      </c>
      <c r="AP920" s="1">
        <f>1.134*100000000</f>
        <v>113399999.99999999</v>
      </c>
      <c r="AQ920" s="8">
        <f t="shared" si="459"/>
        <v>2.0183657173276548</v>
      </c>
      <c r="AR920" s="7" t="s">
        <v>2595</v>
      </c>
      <c r="AS920" s="6" t="str">
        <f t="shared" si="443"/>
        <v>=3757*10000</v>
      </c>
      <c r="AT920" s="1">
        <f>3757*10000</f>
        <v>37570000</v>
      </c>
      <c r="AU920" s="8">
        <f t="shared" si="460"/>
        <v>-0.17464850615114236</v>
      </c>
      <c r="AV920" s="7" t="s">
        <v>10001</v>
      </c>
      <c r="AW920" s="6" t="str">
        <f t="shared" si="444"/>
        <v>=4552*10000</v>
      </c>
      <c r="AX920" s="1">
        <f>4552*10000</f>
        <v>45520000</v>
      </c>
      <c r="AY920" s="10">
        <f t="shared" si="461"/>
        <v>-0.57418147801683816</v>
      </c>
      <c r="AZ920" s="6" t="s">
        <v>4278</v>
      </c>
      <c r="BA920" s="6" t="str">
        <f t="shared" si="445"/>
        <v>=1.069*100000000</v>
      </c>
      <c r="BB920" s="1">
        <f>1.069*100000000</f>
        <v>106900000</v>
      </c>
      <c r="BC920" s="8">
        <f t="shared" si="462"/>
        <v>1.3676633444075303</v>
      </c>
      <c r="BD920" s="7" t="s">
        <v>10002</v>
      </c>
      <c r="BE920" s="6" t="str">
        <f t="shared" si="446"/>
        <v>=4515*10000</v>
      </c>
      <c r="BF920" s="1">
        <f>4515*10000</f>
        <v>45150000</v>
      </c>
      <c r="BG920" s="8">
        <f t="shared" si="463"/>
        <v>0.14101592115238817</v>
      </c>
      <c r="BH920" s="7" t="s">
        <v>4199</v>
      </c>
      <c r="BI920" s="6" t="str">
        <f t="shared" si="447"/>
        <v>=3957*10000</v>
      </c>
      <c r="BJ920" s="1">
        <f>3957*10000</f>
        <v>39570000</v>
      </c>
      <c r="BK920" s="7" t="s">
        <v>6655</v>
      </c>
      <c r="BL920" s="1" t="str">
        <f t="shared" si="449"/>
        <v>=1424*10000</v>
      </c>
      <c r="BM920" s="16">
        <f t="shared" si="464"/>
        <v>1.7787921348314606</v>
      </c>
      <c r="BN920" s="1">
        <f>1424*10000</f>
        <v>14240000</v>
      </c>
    </row>
    <row r="921" spans="1:66">
      <c r="A921" s="19"/>
      <c r="B921">
        <v>600731</v>
      </c>
      <c r="C921" t="s">
        <v>68</v>
      </c>
      <c r="D921" s="6" t="s">
        <v>6371</v>
      </c>
      <c r="E921" s="7" t="str">
        <f t="shared" si="448"/>
        <v>=2.891*100000000</v>
      </c>
      <c r="F921" s="1">
        <f>2.891*100000000</f>
        <v>289100000</v>
      </c>
      <c r="G921" s="8">
        <f t="shared" si="450"/>
        <v>0.38723608445297503</v>
      </c>
      <c r="H921" s="6" t="s">
        <v>8836</v>
      </c>
      <c r="I921" s="6" t="str">
        <f t="shared" si="434"/>
        <v>=2.084*100000000</v>
      </c>
      <c r="J921" s="1">
        <f>2.084*100000000</f>
        <v>208400000</v>
      </c>
      <c r="K921" s="10">
        <f t="shared" si="451"/>
        <v>0.53687315634218291</v>
      </c>
      <c r="L921" s="6" t="s">
        <v>4467</v>
      </c>
      <c r="M921" s="6" t="str">
        <f t="shared" si="435"/>
        <v>=1.356*100000000</v>
      </c>
      <c r="N921" s="1">
        <f>1.356*100000000</f>
        <v>135600000</v>
      </c>
      <c r="O921" s="8">
        <f t="shared" si="452"/>
        <v>1.2059541239629088</v>
      </c>
      <c r="P921" s="7" t="s">
        <v>10003</v>
      </c>
      <c r="Q921" s="6" t="str">
        <f t="shared" si="436"/>
        <v>=6147*10000</v>
      </c>
      <c r="R921" s="11">
        <f>6147*10000</f>
        <v>61470000</v>
      </c>
      <c r="S921" s="8">
        <f t="shared" si="453"/>
        <v>-0.80119663648124195</v>
      </c>
      <c r="T921" s="6" t="s">
        <v>4749</v>
      </c>
      <c r="U921" s="6" t="str">
        <f t="shared" si="437"/>
        <v>=3.092*100000000</v>
      </c>
      <c r="V921" s="1">
        <f>3.092*100000000</f>
        <v>309200000</v>
      </c>
      <c r="W921" s="8">
        <f t="shared" si="454"/>
        <v>0.4163994502977556</v>
      </c>
      <c r="X921" s="6" t="s">
        <v>10004</v>
      </c>
      <c r="Y921" s="6" t="str">
        <f t="shared" si="438"/>
        <v>=2.183*100000000</v>
      </c>
      <c r="Z921" s="1">
        <f>2.183*100000000</f>
        <v>218299999.99999997</v>
      </c>
      <c r="AA921" s="8">
        <f t="shared" si="455"/>
        <v>0.5024088093599447</v>
      </c>
      <c r="AB921" s="6" t="s">
        <v>3481</v>
      </c>
      <c r="AC921" s="6" t="str">
        <f t="shared" si="439"/>
        <v>=1.453*100000000</v>
      </c>
      <c r="AD921" s="1">
        <f>1.453*100000000</f>
        <v>145300000</v>
      </c>
      <c r="AE921" s="8">
        <f t="shared" si="456"/>
        <v>1.1932075471698114</v>
      </c>
      <c r="AF921" s="7" t="s">
        <v>10005</v>
      </c>
      <c r="AG921" s="6" t="str">
        <f t="shared" si="440"/>
        <v>=6625*10000</v>
      </c>
      <c r="AH921" s="1">
        <f>6625*10000</f>
        <v>66250000</v>
      </c>
      <c r="AI921" s="8">
        <f t="shared" si="457"/>
        <v>-0.40153568202348688</v>
      </c>
      <c r="AJ921" s="6" t="s">
        <v>10006</v>
      </c>
      <c r="AK921" s="6" t="str">
        <f t="shared" si="441"/>
        <v>=1.107*100000000</v>
      </c>
      <c r="AL921" s="1">
        <f>1.107*100000000</f>
        <v>110700000</v>
      </c>
      <c r="AM921" s="8">
        <f t="shared" si="458"/>
        <v>0.48192771084337349</v>
      </c>
      <c r="AN921" s="7" t="s">
        <v>10007</v>
      </c>
      <c r="AO921" s="6" t="str">
        <f t="shared" si="442"/>
        <v>=7470*10000</v>
      </c>
      <c r="AP921" s="1">
        <f>7470*10000</f>
        <v>74700000</v>
      </c>
      <c r="AQ921" s="8">
        <f t="shared" si="459"/>
        <v>4.3741007194244608</v>
      </c>
      <c r="AR921" s="7" t="s">
        <v>2489</v>
      </c>
      <c r="AS921" s="6" t="str">
        <f t="shared" si="443"/>
        <v>=1390*10000</v>
      </c>
      <c r="AT921" s="1">
        <f>1390*10000</f>
        <v>13900000</v>
      </c>
      <c r="AU921" s="8">
        <f t="shared" si="460"/>
        <v>-0.59177679882525702</v>
      </c>
      <c r="AV921" s="7" t="s">
        <v>10008</v>
      </c>
      <c r="AW921" s="6" t="str">
        <f t="shared" si="444"/>
        <v>=3405*10000</v>
      </c>
      <c r="AX921" s="1">
        <f>3405*10000</f>
        <v>34050000</v>
      </c>
      <c r="AY921" s="10">
        <f t="shared" si="461"/>
        <v>-0.56188883170355119</v>
      </c>
      <c r="AZ921" s="7" t="s">
        <v>10009</v>
      </c>
      <c r="BA921" s="6" t="str">
        <f t="shared" si="445"/>
        <v>=7772*10000</v>
      </c>
      <c r="BB921" s="1">
        <f>7772*10000</f>
        <v>77720000</v>
      </c>
      <c r="BC921" s="8">
        <f t="shared" si="462"/>
        <v>2.1826371826371824</v>
      </c>
      <c r="BD921" s="7" t="s">
        <v>10010</v>
      </c>
      <c r="BE921" s="6" t="str">
        <f t="shared" si="446"/>
        <v>=2442*10000</v>
      </c>
      <c r="BF921" s="1">
        <f>2442*10000</f>
        <v>24420000</v>
      </c>
      <c r="BG921" s="8">
        <f t="shared" si="463"/>
        <v>-3.2104637336504163E-2</v>
      </c>
      <c r="BH921" s="7" t="s">
        <v>10011</v>
      </c>
      <c r="BI921" s="6" t="str">
        <f t="shared" si="447"/>
        <v>=2523*10000</v>
      </c>
      <c r="BJ921" s="1">
        <f>2523*10000</f>
        <v>25230000</v>
      </c>
      <c r="BK921" s="7" t="s">
        <v>10012</v>
      </c>
      <c r="BL921" s="1" t="str">
        <f t="shared" si="449"/>
        <v>=908.1*10000</v>
      </c>
      <c r="BM921" s="16">
        <f t="shared" si="464"/>
        <v>1.7783283779319459</v>
      </c>
      <c r="BN921" s="1">
        <f>908.1*10000</f>
        <v>9081000</v>
      </c>
    </row>
    <row r="922" spans="1:66">
      <c r="A922" s="17">
        <v>232</v>
      </c>
      <c r="B922">
        <v>600738</v>
      </c>
      <c r="C922" t="s">
        <v>31</v>
      </c>
      <c r="D922" s="6" t="s">
        <v>164</v>
      </c>
      <c r="E922" s="7" t="str">
        <f t="shared" si="448"/>
        <v>=6.427*100000000</v>
      </c>
      <c r="F922" s="1">
        <f>6.427*100000000</f>
        <v>642700000</v>
      </c>
      <c r="G922" s="8">
        <f t="shared" si="450"/>
        <v>0.30127556185462645</v>
      </c>
      <c r="H922" s="6" t="s">
        <v>8606</v>
      </c>
      <c r="I922" s="6" t="str">
        <f t="shared" si="434"/>
        <v>=4.939*100000000</v>
      </c>
      <c r="J922" s="1">
        <f>4.939*100000000</f>
        <v>493900000</v>
      </c>
      <c r="K922" s="10">
        <f t="shared" si="451"/>
        <v>0.62734761120263594</v>
      </c>
      <c r="L922" s="6" t="s">
        <v>10013</v>
      </c>
      <c r="M922" s="6" t="str">
        <f t="shared" si="435"/>
        <v>=3.035*100000000</v>
      </c>
      <c r="N922" s="1">
        <f>3.035*100000000</f>
        <v>303500000</v>
      </c>
      <c r="O922" s="8">
        <f t="shared" si="452"/>
        <v>0.80762358546754021</v>
      </c>
      <c r="P922" s="6" t="s">
        <v>6249</v>
      </c>
      <c r="Q922" s="6" t="str">
        <f t="shared" si="436"/>
        <v>=1.679*100000000</v>
      </c>
      <c r="R922" s="11">
        <f>1.679*100000000</f>
        <v>167900000</v>
      </c>
      <c r="S922" s="8">
        <f t="shared" si="453"/>
        <v>-0.71983981311530121</v>
      </c>
      <c r="T922" s="6" t="s">
        <v>4124</v>
      </c>
      <c r="U922" s="6" t="str">
        <f t="shared" si="437"/>
        <v>=5.993*100000000</v>
      </c>
      <c r="V922" s="1">
        <f>5.993*100000000</f>
        <v>599300000</v>
      </c>
      <c r="W922" s="8">
        <f t="shared" si="454"/>
        <v>0.37265231333027959</v>
      </c>
      <c r="X922" s="6" t="s">
        <v>1267</v>
      </c>
      <c r="Y922" s="6" t="str">
        <f t="shared" si="438"/>
        <v>=4.366*100000000</v>
      </c>
      <c r="Z922" s="1">
        <f>4.366*100000000</f>
        <v>436599999.99999994</v>
      </c>
      <c r="AA922" s="8">
        <f t="shared" si="455"/>
        <v>0.46904441453566603</v>
      </c>
      <c r="AB922" s="6" t="s">
        <v>1408</v>
      </c>
      <c r="AC922" s="6" t="str">
        <f t="shared" si="439"/>
        <v>=2.972*100000000</v>
      </c>
      <c r="AD922" s="1">
        <f>2.972*100000000</f>
        <v>297200000</v>
      </c>
      <c r="AE922" s="8">
        <f t="shared" si="456"/>
        <v>0.78605769230769229</v>
      </c>
      <c r="AF922" s="6" t="s">
        <v>2059</v>
      </c>
      <c r="AG922" s="6" t="str">
        <f t="shared" si="440"/>
        <v>=1.664*100000000</v>
      </c>
      <c r="AH922" s="1">
        <f>1.664*100000000</f>
        <v>166400000</v>
      </c>
      <c r="AI922" s="8">
        <f t="shared" si="457"/>
        <v>-0.9116303770578863</v>
      </c>
      <c r="AJ922" s="6" t="s">
        <v>1692</v>
      </c>
      <c r="AK922" s="6" t="str">
        <f t="shared" si="441"/>
        <v>=18.83*100000000</v>
      </c>
      <c r="AL922" s="1">
        <f>18.83*100000000</f>
        <v>1882999999.9999998</v>
      </c>
      <c r="AM922" s="8">
        <f t="shared" si="458"/>
        <v>0.3794871794871793</v>
      </c>
      <c r="AN922" s="6" t="s">
        <v>155</v>
      </c>
      <c r="AO922" s="6" t="str">
        <f t="shared" si="442"/>
        <v>=13.65*100000000</v>
      </c>
      <c r="AP922" s="1">
        <f>13.65*100000000</f>
        <v>1365000000</v>
      </c>
      <c r="AQ922" s="8">
        <f t="shared" si="459"/>
        <v>0.31376323387872956</v>
      </c>
      <c r="AR922" s="6" t="s">
        <v>2056</v>
      </c>
      <c r="AS922" s="6" t="str">
        <f t="shared" si="443"/>
        <v>=10.39*100000000</v>
      </c>
      <c r="AT922" s="1">
        <f>10.39*100000000</f>
        <v>1039000000</v>
      </c>
      <c r="AU922" s="8">
        <f t="shared" si="460"/>
        <v>0.53857544794905965</v>
      </c>
      <c r="AV922" s="6" t="s">
        <v>3117</v>
      </c>
      <c r="AW922" s="6" t="str">
        <f t="shared" si="444"/>
        <v>=6.753*100000000</v>
      </c>
      <c r="AX922" s="1">
        <f>6.753*100000000</f>
        <v>675300000</v>
      </c>
      <c r="AY922" s="10">
        <f t="shared" si="461"/>
        <v>-0.5117136659436009</v>
      </c>
      <c r="AZ922" s="6" t="s">
        <v>9100</v>
      </c>
      <c r="BA922" s="6" t="str">
        <f t="shared" si="445"/>
        <v>=13.83*100000000</v>
      </c>
      <c r="BB922" s="1">
        <f>13.83*100000000</f>
        <v>1383000000</v>
      </c>
      <c r="BC922" s="8">
        <f t="shared" si="462"/>
        <v>0.29981203007518797</v>
      </c>
      <c r="BD922" s="6" t="s">
        <v>8695</v>
      </c>
      <c r="BE922" s="6" t="str">
        <f t="shared" si="446"/>
        <v>=10.64*100000000</v>
      </c>
      <c r="BF922" s="1">
        <f>10.64*100000000</f>
        <v>1064000000</v>
      </c>
      <c r="BG922" s="8">
        <f t="shared" si="463"/>
        <v>0.45534126658459856</v>
      </c>
      <c r="BH922" s="6" t="s">
        <v>10014</v>
      </c>
      <c r="BI922" s="6" t="str">
        <f t="shared" si="447"/>
        <v>=7.311*100000000</v>
      </c>
      <c r="BJ922" s="1">
        <f>7.311*100000000</f>
        <v>731100000</v>
      </c>
      <c r="BK922" s="6" t="s">
        <v>10015</v>
      </c>
      <c r="BL922" s="1" t="str">
        <f t="shared" si="449"/>
        <v>=4.215*100000000</v>
      </c>
      <c r="BM922" s="16">
        <f t="shared" si="464"/>
        <v>0.73451957295373671</v>
      </c>
      <c r="BN922" s="1">
        <f>4.215*100000000</f>
        <v>421500000</v>
      </c>
    </row>
    <row r="923" spans="1:66">
      <c r="A923" s="18"/>
      <c r="B923">
        <v>600738</v>
      </c>
      <c r="C923" t="s">
        <v>48</v>
      </c>
      <c r="D923" s="6" t="s">
        <v>10016</v>
      </c>
      <c r="E923" s="7" t="str">
        <f t="shared" si="448"/>
        <v>=2.185*100000000</v>
      </c>
      <c r="F923" s="1">
        <f>2.185*100000000</f>
        <v>218500000</v>
      </c>
      <c r="G923" s="8">
        <f t="shared" si="450"/>
        <v>0.19203491543917076</v>
      </c>
      <c r="H923" s="6" t="s">
        <v>5432</v>
      </c>
      <c r="I923" s="6" t="str">
        <f t="shared" si="434"/>
        <v>=1.833*100000000</v>
      </c>
      <c r="J923" s="1">
        <f>1.833*100000000</f>
        <v>183300000</v>
      </c>
      <c r="K923" s="10">
        <f t="shared" si="451"/>
        <v>0.68629254829806807</v>
      </c>
      <c r="L923" s="6" t="s">
        <v>4290</v>
      </c>
      <c r="M923" s="6" t="str">
        <f t="shared" si="435"/>
        <v>=1.087*100000000</v>
      </c>
      <c r="N923" s="1">
        <f>1.087*100000000</f>
        <v>108700000</v>
      </c>
      <c r="O923" s="8">
        <f t="shared" si="452"/>
        <v>0.64846830451925996</v>
      </c>
      <c r="P923" s="7" t="s">
        <v>10017</v>
      </c>
      <c r="Q923" s="6" t="str">
        <f t="shared" si="436"/>
        <v>=6594*10000</v>
      </c>
      <c r="R923" s="11">
        <f>6594*10000</f>
        <v>65940000</v>
      </c>
      <c r="S923" s="8">
        <f t="shared" si="453"/>
        <v>-0.57070312499999998</v>
      </c>
      <c r="T923" s="6" t="s">
        <v>10018</v>
      </c>
      <c r="U923" s="6" t="str">
        <f t="shared" si="437"/>
        <v>=1.536*100000000</v>
      </c>
      <c r="V923" s="1">
        <f>1.536*100000000</f>
        <v>153600000</v>
      </c>
      <c r="W923" s="8">
        <f t="shared" si="454"/>
        <v>0.26523887973640858</v>
      </c>
      <c r="X923" s="6" t="s">
        <v>4406</v>
      </c>
      <c r="Y923" s="6" t="str">
        <f t="shared" si="438"/>
        <v>=1.214*100000000</v>
      </c>
      <c r="Z923" s="1">
        <f>1.214*100000000</f>
        <v>121400000</v>
      </c>
      <c r="AA923" s="8">
        <f t="shared" si="455"/>
        <v>0.46177001806140877</v>
      </c>
      <c r="AB923" s="7" t="s">
        <v>10019</v>
      </c>
      <c r="AC923" s="6" t="str">
        <f t="shared" si="439"/>
        <v>=8305*10000</v>
      </c>
      <c r="AD923" s="1">
        <f>8305*10000</f>
        <v>83050000</v>
      </c>
      <c r="AE923" s="8">
        <f t="shared" si="456"/>
        <v>0.84023930866385999</v>
      </c>
      <c r="AF923" s="7" t="s">
        <v>3390</v>
      </c>
      <c r="AG923" s="6" t="str">
        <f t="shared" si="440"/>
        <v>=4513*10000</v>
      </c>
      <c r="AH923" s="1">
        <f>4513*10000</f>
        <v>45130000</v>
      </c>
      <c r="AI923" s="8">
        <f t="shared" si="457"/>
        <v>-0.87577759427470414</v>
      </c>
      <c r="AJ923" s="6" t="s">
        <v>5770</v>
      </c>
      <c r="AK923" s="6" t="str">
        <f t="shared" si="441"/>
        <v>=3.633*100000000</v>
      </c>
      <c r="AL923" s="1">
        <f>3.633*100000000</f>
        <v>363300000</v>
      </c>
      <c r="AM923" s="8">
        <f t="shared" si="458"/>
        <v>0.32494529540481398</v>
      </c>
      <c r="AN923" s="6" t="s">
        <v>10020</v>
      </c>
      <c r="AO923" s="6" t="str">
        <f t="shared" si="442"/>
        <v>=2.742*100000000</v>
      </c>
      <c r="AP923" s="1">
        <f>2.742*100000000</f>
        <v>274200000</v>
      </c>
      <c r="AQ923" s="8">
        <f t="shared" si="459"/>
        <v>0.68842364532019706</v>
      </c>
      <c r="AR923" s="6" t="s">
        <v>2541</v>
      </c>
      <c r="AS923" s="6" t="str">
        <f t="shared" si="443"/>
        <v>=1.624*100000000</v>
      </c>
      <c r="AT923" s="1">
        <f>1.624*100000000</f>
        <v>162400000</v>
      </c>
      <c r="AU923" s="8">
        <f t="shared" si="460"/>
        <v>0.46438232642019839</v>
      </c>
      <c r="AV923" s="6" t="s">
        <v>10021</v>
      </c>
      <c r="AW923" s="6" t="str">
        <f t="shared" si="444"/>
        <v>=1.109*100000000</v>
      </c>
      <c r="AX923" s="1">
        <f>1.109*100000000</f>
        <v>110900000</v>
      </c>
      <c r="AY923" s="10">
        <f t="shared" si="461"/>
        <v>-0.94566389024987751</v>
      </c>
      <c r="AZ923" s="6" t="s">
        <v>10022</v>
      </c>
      <c r="BA923" s="6" t="str">
        <f t="shared" si="445"/>
        <v>=20.41*100000000</v>
      </c>
      <c r="BB923" s="1">
        <f>20.41*100000000</f>
        <v>2041000000</v>
      </c>
      <c r="BC923" s="8">
        <f t="shared" si="462"/>
        <v>0.28042659974905898</v>
      </c>
      <c r="BD923" s="6" t="s">
        <v>5997</v>
      </c>
      <c r="BE923" s="6" t="str">
        <f t="shared" si="446"/>
        <v>=15.94*100000000</v>
      </c>
      <c r="BF923" s="1">
        <f>15.94*100000000</f>
        <v>1594000000</v>
      </c>
      <c r="BG923" s="8">
        <f t="shared" si="463"/>
        <v>13.995296331138288</v>
      </c>
      <c r="BH923" s="6" t="s">
        <v>5192</v>
      </c>
      <c r="BI923" s="6" t="str">
        <f t="shared" si="447"/>
        <v>=1.063*100000000</v>
      </c>
      <c r="BJ923" s="1">
        <f>1.063*100000000</f>
        <v>106300000</v>
      </c>
      <c r="BK923" s="7" t="s">
        <v>10023</v>
      </c>
      <c r="BL923" s="1" t="str">
        <f t="shared" si="449"/>
        <v>=8087*10000</v>
      </c>
      <c r="BM923" s="16">
        <f t="shared" si="464"/>
        <v>0.31445529862742672</v>
      </c>
      <c r="BN923" s="1">
        <f>8087*10000</f>
        <v>80870000</v>
      </c>
    </row>
    <row r="924" spans="1:66">
      <c r="A924" s="18"/>
      <c r="B924">
        <v>600738</v>
      </c>
      <c r="C924" t="s">
        <v>58</v>
      </c>
      <c r="D924" s="6" t="s">
        <v>3500</v>
      </c>
      <c r="E924" s="7" t="str">
        <f t="shared" si="448"/>
        <v>=2.181*100000000</v>
      </c>
      <c r="F924" s="1">
        <f>2.181*100000000</f>
        <v>218100000</v>
      </c>
      <c r="G924" s="8">
        <f t="shared" si="450"/>
        <v>0.19441401971522454</v>
      </c>
      <c r="H924" s="6" t="s">
        <v>5735</v>
      </c>
      <c r="I924" s="6" t="str">
        <f t="shared" si="434"/>
        <v>=1.826*100000000</v>
      </c>
      <c r="J924" s="1">
        <f>1.826*100000000</f>
        <v>182600000</v>
      </c>
      <c r="K924" s="10">
        <f t="shared" si="451"/>
        <v>0.68294930875576032</v>
      </c>
      <c r="L924" s="6" t="s">
        <v>1995</v>
      </c>
      <c r="M924" s="6" t="str">
        <f t="shared" si="435"/>
        <v>=1.085*100000000</v>
      </c>
      <c r="N924" s="1">
        <f>1.085*100000000</f>
        <v>108500000</v>
      </c>
      <c r="O924" s="8">
        <f t="shared" si="452"/>
        <v>0.66309012875536477</v>
      </c>
      <c r="P924" s="7" t="s">
        <v>10024</v>
      </c>
      <c r="Q924" s="6" t="str">
        <f t="shared" si="436"/>
        <v>=6524*10000</v>
      </c>
      <c r="R924" s="11">
        <f>6524*10000</f>
        <v>65240000</v>
      </c>
      <c r="S924" s="8">
        <f t="shared" si="453"/>
        <v>-0.53030957523398126</v>
      </c>
      <c r="T924" s="6" t="s">
        <v>2148</v>
      </c>
      <c r="U924" s="6" t="str">
        <f t="shared" si="437"/>
        <v>=1.389*100000000</v>
      </c>
      <c r="V924" s="1">
        <f>1.389*100000000</f>
        <v>138900000</v>
      </c>
      <c r="W924" s="8">
        <f t="shared" si="454"/>
        <v>0.19023136246786632</v>
      </c>
      <c r="X924" s="6" t="s">
        <v>2072</v>
      </c>
      <c r="Y924" s="6" t="str">
        <f t="shared" si="438"/>
        <v>=1.167*100000000</v>
      </c>
      <c r="Z924" s="1">
        <f>1.167*100000000</f>
        <v>116700000</v>
      </c>
      <c r="AA924" s="8">
        <f t="shared" si="455"/>
        <v>0.4437708771495732</v>
      </c>
      <c r="AB924" s="7" t="s">
        <v>10025</v>
      </c>
      <c r="AC924" s="6" t="str">
        <f t="shared" si="439"/>
        <v>=8083*10000</v>
      </c>
      <c r="AD924" s="1">
        <f>8083*10000</f>
        <v>80830000</v>
      </c>
      <c r="AE924" s="8">
        <f t="shared" si="456"/>
        <v>0.8086820317744462</v>
      </c>
      <c r="AF924" s="7" t="s">
        <v>10026</v>
      </c>
      <c r="AG924" s="6" t="str">
        <f t="shared" si="440"/>
        <v>=4469*10000</v>
      </c>
      <c r="AH924" s="1">
        <f>4469*10000</f>
        <v>44690000</v>
      </c>
      <c r="AI924" s="8">
        <f t="shared" si="457"/>
        <v>-0.87509782001117942</v>
      </c>
      <c r="AJ924" s="6" t="s">
        <v>10027</v>
      </c>
      <c r="AK924" s="6" t="str">
        <f t="shared" si="441"/>
        <v>=3.578*100000000</v>
      </c>
      <c r="AL924" s="1">
        <f>3.578*100000000</f>
        <v>357800000</v>
      </c>
      <c r="AM924" s="8">
        <f t="shared" si="458"/>
        <v>0.30441122858184472</v>
      </c>
      <c r="AN924" s="6" t="s">
        <v>3899</v>
      </c>
      <c r="AO924" s="6" t="str">
        <f t="shared" si="442"/>
        <v>=2.743*100000000</v>
      </c>
      <c r="AP924" s="1">
        <f>2.743*100000000</f>
        <v>274300000</v>
      </c>
      <c r="AQ924" s="8">
        <f t="shared" si="459"/>
        <v>0.68799999999999994</v>
      </c>
      <c r="AR924" s="6" t="s">
        <v>1463</v>
      </c>
      <c r="AS924" s="6" t="str">
        <f t="shared" si="443"/>
        <v>=1.625*100000000</v>
      </c>
      <c r="AT924" s="1">
        <f>1.625*100000000</f>
        <v>162500000</v>
      </c>
      <c r="AU924" s="8">
        <f t="shared" si="460"/>
        <v>0.46528403967538323</v>
      </c>
      <c r="AV924" s="6" t="s">
        <v>10021</v>
      </c>
      <c r="AW924" s="6" t="str">
        <f t="shared" si="444"/>
        <v>=1.109*100000000</v>
      </c>
      <c r="AX924" s="1">
        <f>1.109*100000000</f>
        <v>110900000</v>
      </c>
      <c r="AY924" s="10">
        <f t="shared" si="461"/>
        <v>-0.9455571919489445</v>
      </c>
      <c r="AZ924" s="6" t="s">
        <v>5397</v>
      </c>
      <c r="BA924" s="6" t="str">
        <f t="shared" si="445"/>
        <v>=20.37*100000000</v>
      </c>
      <c r="BB924" s="1">
        <f>20.37*100000000</f>
        <v>2037000000</v>
      </c>
      <c r="BC924" s="8">
        <f t="shared" si="462"/>
        <v>0.27952261306532661</v>
      </c>
      <c r="BD924" s="6" t="s">
        <v>7437</v>
      </c>
      <c r="BE924" s="6" t="str">
        <f t="shared" si="446"/>
        <v>=15.92*100000000</v>
      </c>
      <c r="BF924" s="1">
        <f>15.92*100000000</f>
        <v>1592000000</v>
      </c>
      <c r="BG924" s="8">
        <f t="shared" si="463"/>
        <v>14.075757575757576</v>
      </c>
      <c r="BH924" s="6" t="s">
        <v>2864</v>
      </c>
      <c r="BI924" s="6" t="str">
        <f t="shared" si="447"/>
        <v>=1.056*100000000</v>
      </c>
      <c r="BJ924" s="1">
        <f>1.056*100000000</f>
        <v>105600000</v>
      </c>
      <c r="BK924" s="7" t="s">
        <v>10028</v>
      </c>
      <c r="BL924" s="1" t="str">
        <f t="shared" si="449"/>
        <v>=8088*10000</v>
      </c>
      <c r="BM924" s="16">
        <f t="shared" si="464"/>
        <v>0.3056379821958457</v>
      </c>
      <c r="BN924" s="1">
        <f>8088*10000</f>
        <v>80880000</v>
      </c>
    </row>
    <row r="925" spans="1:66">
      <c r="A925" s="19"/>
      <c r="B925">
        <v>600738</v>
      </c>
      <c r="C925" t="s">
        <v>68</v>
      </c>
      <c r="D925" s="6" t="s">
        <v>10029</v>
      </c>
      <c r="E925" s="7" t="str">
        <f t="shared" si="448"/>
        <v>=1.539*100000000</v>
      </c>
      <c r="F925" s="1">
        <f>1.539*100000000</f>
        <v>153900000</v>
      </c>
      <c r="G925" s="8">
        <f t="shared" si="450"/>
        <v>0.16767830045523521</v>
      </c>
      <c r="H925" s="6" t="s">
        <v>10030</v>
      </c>
      <c r="I925" s="6" t="str">
        <f t="shared" si="434"/>
        <v>=1.318*100000000</v>
      </c>
      <c r="J925" s="1">
        <f>1.318*100000000</f>
        <v>131800000</v>
      </c>
      <c r="K925" s="10">
        <f t="shared" si="451"/>
        <v>0.82827021778332643</v>
      </c>
      <c r="L925" s="7" t="s">
        <v>10031</v>
      </c>
      <c r="M925" s="6" t="str">
        <f t="shared" si="435"/>
        <v>=7209*10000</v>
      </c>
      <c r="N925" s="1">
        <f>7209*10000</f>
        <v>72090000</v>
      </c>
      <c r="O925" s="8">
        <f t="shared" si="452"/>
        <v>0.63840909090909093</v>
      </c>
      <c r="P925" s="7" t="s">
        <v>10032</v>
      </c>
      <c r="Q925" s="6" t="str">
        <f t="shared" si="436"/>
        <v>=4400*10000</v>
      </c>
      <c r="R925" s="11">
        <f>4400*10000</f>
        <v>44000000</v>
      </c>
      <c r="S925" s="8">
        <f t="shared" si="453"/>
        <v>-0.49226863604892684</v>
      </c>
      <c r="T925" s="7" t="s">
        <v>10033</v>
      </c>
      <c r="U925" s="6" t="str">
        <f t="shared" si="437"/>
        <v>=8666*10000</v>
      </c>
      <c r="V925" s="1">
        <f>8666*10000</f>
        <v>86660000</v>
      </c>
      <c r="W925" s="8">
        <f t="shared" si="454"/>
        <v>9.0886203423967776E-2</v>
      </c>
      <c r="X925" s="7" t="s">
        <v>6246</v>
      </c>
      <c r="Y925" s="6" t="str">
        <f t="shared" si="438"/>
        <v>=7944*10000</v>
      </c>
      <c r="Z925" s="1">
        <f>7944*10000</f>
        <v>79440000</v>
      </c>
      <c r="AA925" s="8">
        <f t="shared" si="455"/>
        <v>0.4287769784172662</v>
      </c>
      <c r="AB925" s="7" t="s">
        <v>10034</v>
      </c>
      <c r="AC925" s="6" t="str">
        <f t="shared" si="439"/>
        <v>=5560*10000</v>
      </c>
      <c r="AD925" s="1">
        <f>5560*10000</f>
        <v>55600000</v>
      </c>
      <c r="AE925" s="8">
        <f t="shared" si="456"/>
        <v>0.69719169719169716</v>
      </c>
      <c r="AF925" s="7" t="s">
        <v>5681</v>
      </c>
      <c r="AG925" s="6" t="str">
        <f t="shared" si="440"/>
        <v>=3276*10000</v>
      </c>
      <c r="AH925" s="1">
        <f>3276*10000</f>
        <v>32760000</v>
      </c>
      <c r="AI925" s="8">
        <f t="shared" si="457"/>
        <v>-0.86693744922826976</v>
      </c>
      <c r="AJ925" s="6" t="s">
        <v>10035</v>
      </c>
      <c r="AK925" s="6" t="str">
        <f t="shared" si="441"/>
        <v>=2.462*100000000</v>
      </c>
      <c r="AL925" s="1">
        <f>2.462*100000000</f>
        <v>246200000.00000003</v>
      </c>
      <c r="AM925" s="8">
        <f t="shared" si="458"/>
        <v>0.21340561853129636</v>
      </c>
      <c r="AN925" s="6" t="s">
        <v>10036</v>
      </c>
      <c r="AO925" s="6" t="str">
        <f t="shared" si="442"/>
        <v>=2.029*100000000</v>
      </c>
      <c r="AP925" s="1">
        <f>2.029*100000000</f>
        <v>202900000</v>
      </c>
      <c r="AQ925" s="8">
        <f t="shared" si="459"/>
        <v>0.71223628691983121</v>
      </c>
      <c r="AR925" s="6" t="s">
        <v>4577</v>
      </c>
      <c r="AS925" s="6" t="str">
        <f t="shared" si="443"/>
        <v>=1.185*100000000</v>
      </c>
      <c r="AT925" s="1">
        <f>1.185*100000000</f>
        <v>118500000</v>
      </c>
      <c r="AU925" s="8">
        <f t="shared" si="460"/>
        <v>0.43375680580762249</v>
      </c>
      <c r="AV925" s="7" t="s">
        <v>10037</v>
      </c>
      <c r="AW925" s="6" t="str">
        <f t="shared" si="444"/>
        <v>=8265*10000</v>
      </c>
      <c r="AX925" s="1">
        <f>8265*10000</f>
        <v>82650000</v>
      </c>
      <c r="AY925" s="10">
        <f t="shared" si="461"/>
        <v>-0.94782196969696975</v>
      </c>
      <c r="AZ925" s="6" t="s">
        <v>8286</v>
      </c>
      <c r="BA925" s="6" t="str">
        <f t="shared" si="445"/>
        <v>=15.84*100000000</v>
      </c>
      <c r="BB925" s="1">
        <f>15.84*100000000</f>
        <v>1584000000</v>
      </c>
      <c r="BC925" s="8">
        <f t="shared" si="462"/>
        <v>0.26517571884984026</v>
      </c>
      <c r="BD925" s="6" t="s">
        <v>8066</v>
      </c>
      <c r="BE925" s="6" t="str">
        <f t="shared" si="446"/>
        <v>=12.52*100000000</v>
      </c>
      <c r="BF925" s="1">
        <f>12.52*100000000</f>
        <v>1252000000</v>
      </c>
      <c r="BG925" s="8">
        <f t="shared" si="463"/>
        <v>16.544843049327355</v>
      </c>
      <c r="BH925" s="7" t="s">
        <v>10038</v>
      </c>
      <c r="BI925" s="6" t="str">
        <f t="shared" si="447"/>
        <v>=7136*10000</v>
      </c>
      <c r="BJ925" s="1">
        <f>7136*10000</f>
        <v>71360000</v>
      </c>
      <c r="BK925" s="7" t="s">
        <v>10039</v>
      </c>
      <c r="BL925" s="1" t="str">
        <f t="shared" si="449"/>
        <v>=5691*10000</v>
      </c>
      <c r="BM925" s="16">
        <f t="shared" si="464"/>
        <v>0.25390968195396241</v>
      </c>
      <c r="BN925" s="1">
        <f>5691*10000</f>
        <v>56910000</v>
      </c>
    </row>
    <row r="926" spans="1:66">
      <c r="A926" s="17">
        <v>233</v>
      </c>
      <c r="B926">
        <v>600744</v>
      </c>
      <c r="C926" t="s">
        <v>31</v>
      </c>
      <c r="D926" s="6" t="s">
        <v>10040</v>
      </c>
      <c r="E926" s="7" t="str">
        <f t="shared" si="448"/>
        <v>=96.03*100000000</v>
      </c>
      <c r="F926" s="1">
        <f>96.03*100000000</f>
        <v>9603000000</v>
      </c>
      <c r="G926" s="8">
        <f t="shared" si="450"/>
        <v>0.42014196983141083</v>
      </c>
      <c r="H926" s="6" t="s">
        <v>10041</v>
      </c>
      <c r="I926" s="6" t="str">
        <f t="shared" si="434"/>
        <v>=67.62*100000000</v>
      </c>
      <c r="J926" s="1">
        <f>67.62*100000000</f>
        <v>6762000000</v>
      </c>
      <c r="K926" s="10">
        <f t="shared" si="451"/>
        <v>0.67128027681660896</v>
      </c>
      <c r="L926" s="6" t="s">
        <v>10042</v>
      </c>
      <c r="M926" s="6" t="str">
        <f t="shared" si="435"/>
        <v>=40.46*100000000</v>
      </c>
      <c r="N926" s="1">
        <f>40.46*100000000</f>
        <v>4046000000</v>
      </c>
      <c r="O926" s="8">
        <f t="shared" si="452"/>
        <v>0.83408884859474164</v>
      </c>
      <c r="P926" s="6" t="s">
        <v>10043</v>
      </c>
      <c r="Q926" s="6" t="str">
        <f t="shared" si="436"/>
        <v>=22.06*100000000</v>
      </c>
      <c r="R926" s="11">
        <f>22.06*100000000</f>
        <v>2206000000</v>
      </c>
      <c r="S926" s="8">
        <f t="shared" si="453"/>
        <v>-0.73280038759689925</v>
      </c>
      <c r="T926" s="6" t="s">
        <v>10044</v>
      </c>
      <c r="U926" s="6" t="str">
        <f t="shared" si="437"/>
        <v>=82.56*100000000</v>
      </c>
      <c r="V926" s="1">
        <f>82.56*100000000</f>
        <v>8256000000</v>
      </c>
      <c r="W926" s="8">
        <f t="shared" si="454"/>
        <v>0.45659844742413552</v>
      </c>
      <c r="X926" s="6" t="s">
        <v>3260</v>
      </c>
      <c r="Y926" s="6" t="str">
        <f t="shared" si="438"/>
        <v>=56.68*100000000</v>
      </c>
      <c r="Z926" s="1">
        <f>56.68*100000000</f>
        <v>5668000000</v>
      </c>
      <c r="AA926" s="8">
        <f t="shared" si="455"/>
        <v>0.70108043217286919</v>
      </c>
      <c r="AB926" s="6" t="s">
        <v>10045</v>
      </c>
      <c r="AC926" s="6" t="str">
        <f t="shared" si="439"/>
        <v>=33.32*100000000</v>
      </c>
      <c r="AD926" s="1">
        <f>33.32*100000000</f>
        <v>3332000000</v>
      </c>
      <c r="AE926" s="8">
        <f t="shared" si="456"/>
        <v>0.88248587570621473</v>
      </c>
      <c r="AF926" s="6" t="s">
        <v>5239</v>
      </c>
      <c r="AG926" s="6" t="str">
        <f t="shared" si="440"/>
        <v>=17.70*100000000</v>
      </c>
      <c r="AH926" s="1">
        <f>17.7*100000000</f>
        <v>1770000000</v>
      </c>
      <c r="AI926" s="8">
        <f t="shared" si="457"/>
        <v>-0.80318025130657178</v>
      </c>
      <c r="AJ926" s="6" t="s">
        <v>10046</v>
      </c>
      <c r="AK926" s="6" t="str">
        <f t="shared" si="441"/>
        <v>=89.93*100000000</v>
      </c>
      <c r="AL926" s="1">
        <f>89.93*100000000</f>
        <v>8993000000</v>
      </c>
      <c r="AM926" s="8">
        <f t="shared" si="458"/>
        <v>0.50661752387334558</v>
      </c>
      <c r="AN926" s="6" t="s">
        <v>10047</v>
      </c>
      <c r="AO926" s="6" t="str">
        <f t="shared" si="442"/>
        <v>=59.69*100000000</v>
      </c>
      <c r="AP926" s="1">
        <f>59.69*100000000</f>
        <v>5969000000</v>
      </c>
      <c r="AQ926" s="8">
        <f t="shared" si="459"/>
        <v>0.76649896419058894</v>
      </c>
      <c r="AR926" s="6" t="s">
        <v>10048</v>
      </c>
      <c r="AS926" s="6" t="str">
        <f t="shared" si="443"/>
        <v>=33.79*100000000</v>
      </c>
      <c r="AT926" s="1">
        <f>33.79*100000000</f>
        <v>3379000000</v>
      </c>
      <c r="AU926" s="8">
        <f t="shared" si="460"/>
        <v>0.60904761904761906</v>
      </c>
      <c r="AV926" s="6" t="s">
        <v>9142</v>
      </c>
      <c r="AW926" s="6" t="str">
        <f t="shared" si="444"/>
        <v>=21.00*100000000</v>
      </c>
      <c r="AX926" s="1">
        <f>21*100000000</f>
        <v>2100000000</v>
      </c>
      <c r="AY926" s="10">
        <f t="shared" si="461"/>
        <v>-0.78102189781021902</v>
      </c>
      <c r="AZ926" s="6" t="s">
        <v>10049</v>
      </c>
      <c r="BA926" s="6" t="str">
        <f t="shared" si="445"/>
        <v>=95.90*100000000</v>
      </c>
      <c r="BB926" s="1">
        <f>95.9*100000000</f>
        <v>9590000000</v>
      </c>
      <c r="BC926" s="8">
        <f t="shared" si="462"/>
        <v>0.40636456958498313</v>
      </c>
      <c r="BD926" s="6" t="s">
        <v>10050</v>
      </c>
      <c r="BE926" s="6" t="str">
        <f t="shared" si="446"/>
        <v>=68.19*100000000</v>
      </c>
      <c r="BF926" s="1">
        <f>68.19*100000000</f>
        <v>6819000000</v>
      </c>
      <c r="BG926" s="8">
        <f t="shared" si="463"/>
        <v>0.58140074211502779</v>
      </c>
      <c r="BH926" s="6" t="s">
        <v>10051</v>
      </c>
      <c r="BI926" s="6" t="str">
        <f t="shared" si="447"/>
        <v>=43.12*100000000</v>
      </c>
      <c r="BJ926" s="1">
        <f>43.12*100000000</f>
        <v>4312000000</v>
      </c>
      <c r="BK926" s="6" t="s">
        <v>10052</v>
      </c>
      <c r="BL926" s="1" t="str">
        <f t="shared" si="449"/>
        <v>=24.64*100000000</v>
      </c>
      <c r="BM926" s="16">
        <f t="shared" si="464"/>
        <v>0.75</v>
      </c>
      <c r="BN926" s="1">
        <f>24.64*100000000</f>
        <v>2464000000</v>
      </c>
    </row>
    <row r="927" spans="1:66">
      <c r="A927" s="18"/>
      <c r="B927">
        <v>600744</v>
      </c>
      <c r="C927" t="s">
        <v>48</v>
      </c>
      <c r="D927" s="6">
        <f>-21.72*100000000</f>
        <v>-2172000000</v>
      </c>
      <c r="E927" s="7" t="str">
        <f t="shared" si="448"/>
        <v>=-2172000000</v>
      </c>
      <c r="F927" s="1">
        <f>-2172000000</f>
        <v>-2172000000</v>
      </c>
      <c r="G927" s="8">
        <f t="shared" si="450"/>
        <v>1.5069252077562327</v>
      </c>
      <c r="H927" s="6">
        <f>-8.664*100000000</f>
        <v>-866400000</v>
      </c>
      <c r="I927" s="6" t="str">
        <f t="shared" si="434"/>
        <v>=-866400000</v>
      </c>
      <c r="J927" s="1">
        <f>-866400000</f>
        <v>-866400000</v>
      </c>
      <c r="K927" s="10">
        <f t="shared" si="451"/>
        <v>2.4795180722891565</v>
      </c>
      <c r="L927" s="6">
        <f>-2.49*100000000</f>
        <v>-249000000.00000003</v>
      </c>
      <c r="M927" s="6" t="str">
        <f t="shared" si="435"/>
        <v>=-249000000</v>
      </c>
      <c r="N927" s="1">
        <f>-249000000</f>
        <v>-249000000</v>
      </c>
      <c r="O927" s="8">
        <f t="shared" si="452"/>
        <v>1.8068988840040581</v>
      </c>
      <c r="P927" s="7">
        <f>-8871*10000</f>
        <v>-88710000</v>
      </c>
      <c r="Q927" s="6" t="str">
        <f t="shared" si="436"/>
        <v>=-88710000</v>
      </c>
      <c r="R927" s="11">
        <f>-88710000</f>
        <v>-88710000</v>
      </c>
      <c r="S927" s="8">
        <f t="shared" si="453"/>
        <v>-1.8629377431906615</v>
      </c>
      <c r="T927" s="6" t="s">
        <v>9151</v>
      </c>
      <c r="U927" s="6" t="str">
        <f t="shared" si="437"/>
        <v>=1.028*100000000</v>
      </c>
      <c r="V927" s="1">
        <f>1.028*100000000</f>
        <v>102800000</v>
      </c>
      <c r="W927" s="8">
        <f t="shared" si="454"/>
        <v>1.2231833910034602</v>
      </c>
      <c r="X927" s="7" t="s">
        <v>10053</v>
      </c>
      <c r="Y927" s="6" t="str">
        <f t="shared" si="438"/>
        <v>=4624*10000</v>
      </c>
      <c r="Z927" s="1">
        <f>4624*10000</f>
        <v>46240000</v>
      </c>
      <c r="AA927" s="8">
        <f t="shared" si="455"/>
        <v>-1.3277108433734939</v>
      </c>
      <c r="AB927" s="6">
        <f>-1.411*100000000</f>
        <v>-141100000</v>
      </c>
      <c r="AC927" s="6" t="str">
        <f t="shared" si="439"/>
        <v>=-141100000</v>
      </c>
      <c r="AD927" s="1">
        <f>-141100000</f>
        <v>-141100000</v>
      </c>
      <c r="AE927" s="8">
        <f t="shared" si="456"/>
        <v>6.6810016330974413</v>
      </c>
      <c r="AF927" s="7">
        <f>-1837*10000</f>
        <v>-18370000</v>
      </c>
      <c r="AG927" s="6" t="str">
        <f t="shared" si="440"/>
        <v>=-18370000</v>
      </c>
      <c r="AH927" s="1">
        <f>-18370000</f>
        <v>-18370000</v>
      </c>
      <c r="AI927" s="8">
        <f t="shared" si="457"/>
        <v>-1.3074476987447698</v>
      </c>
      <c r="AJ927" s="7" t="s">
        <v>10054</v>
      </c>
      <c r="AK927" s="6" t="str">
        <f t="shared" si="441"/>
        <v>=5975*10000</v>
      </c>
      <c r="AL927" s="1">
        <f>5975*10000</f>
        <v>59750000</v>
      </c>
      <c r="AM927" s="8">
        <f t="shared" si="458"/>
        <v>-1.8319409635199109</v>
      </c>
      <c r="AN927" s="7">
        <f>-7182*10000</f>
        <v>-71820000</v>
      </c>
      <c r="AO927" s="6" t="str">
        <f t="shared" si="442"/>
        <v>=-71820000</v>
      </c>
      <c r="AP927" s="1">
        <f>-71820000</f>
        <v>-71820000</v>
      </c>
      <c r="AQ927" s="8">
        <f t="shared" si="459"/>
        <v>-0.55280199252801987</v>
      </c>
      <c r="AR927" s="6">
        <f>-1.606*100000000</f>
        <v>-160600000</v>
      </c>
      <c r="AS927" s="6" t="str">
        <f t="shared" si="443"/>
        <v>=-160600000</v>
      </c>
      <c r="AT927" s="1">
        <f>-160600000</f>
        <v>-160600000</v>
      </c>
      <c r="AU927" s="8">
        <f t="shared" si="460"/>
        <v>-5.8725728155339807</v>
      </c>
      <c r="AV927" s="7" t="s">
        <v>936</v>
      </c>
      <c r="AW927" s="6" t="str">
        <f t="shared" si="444"/>
        <v>=3296*10000</v>
      </c>
      <c r="AX927" s="1">
        <f>3296*10000</f>
        <v>32960000</v>
      </c>
      <c r="AY927" s="10">
        <f t="shared" si="461"/>
        <v>19.664576802507838</v>
      </c>
      <c r="AZ927" s="7" t="s">
        <v>10055</v>
      </c>
      <c r="BA927" s="6" t="str">
        <f t="shared" si="445"/>
        <v>=159.5*10000</v>
      </c>
      <c r="BB927" s="1">
        <f>159.5*10000</f>
        <v>1595000</v>
      </c>
      <c r="BC927" s="8">
        <f t="shared" si="462"/>
        <v>-1.1279069767441861</v>
      </c>
      <c r="BD927" s="7">
        <f>-1247*10000</f>
        <v>-12470000</v>
      </c>
      <c r="BE927" s="6" t="str">
        <f t="shared" si="446"/>
        <v>=-12470000</v>
      </c>
      <c r="BF927" s="1">
        <f>-12470000</f>
        <v>-12470000</v>
      </c>
      <c r="BG927" s="8">
        <f t="shared" si="463"/>
        <v>-0.66351861845655691</v>
      </c>
      <c r="BH927" s="7">
        <f>-3706*10000</f>
        <v>-37060000</v>
      </c>
      <c r="BI927" s="6" t="str">
        <f t="shared" si="447"/>
        <v>=-37060000</v>
      </c>
      <c r="BJ927" s="1">
        <f>-37060000</f>
        <v>-37060000</v>
      </c>
      <c r="BK927" s="7" t="s">
        <v>10056</v>
      </c>
      <c r="BL927" s="1" t="str">
        <f t="shared" si="449"/>
        <v>=3182*10000</v>
      </c>
      <c r="BM927" s="16">
        <f t="shared" si="464"/>
        <v>-2.1646763042111878</v>
      </c>
      <c r="BN927" s="1">
        <f>3182*10000</f>
        <v>31820000</v>
      </c>
    </row>
    <row r="928" spans="1:66">
      <c r="A928" s="18"/>
      <c r="B928">
        <v>600744</v>
      </c>
      <c r="C928" t="s">
        <v>58</v>
      </c>
      <c r="D928" s="6">
        <f>-22.58*100000000</f>
        <v>-2258000000</v>
      </c>
      <c r="E928" s="7" t="str">
        <f t="shared" si="448"/>
        <v>=-2258000000</v>
      </c>
      <c r="F928" s="1">
        <f>-2258000000</f>
        <v>-2258000000</v>
      </c>
      <c r="G928" s="8">
        <f t="shared" si="450"/>
        <v>1.6289439981371521</v>
      </c>
      <c r="H928" s="6">
        <f>-8.589*100000000</f>
        <v>-858900000</v>
      </c>
      <c r="I928" s="6" t="str">
        <f t="shared" si="434"/>
        <v>=-858900000</v>
      </c>
      <c r="J928" s="1">
        <f>-858900000</f>
        <v>-858900000</v>
      </c>
      <c r="K928" s="10">
        <f t="shared" si="451"/>
        <v>2.5057142857142858</v>
      </c>
      <c r="L928" s="6">
        <f>-2.45*100000000</f>
        <v>-245000000.00000003</v>
      </c>
      <c r="M928" s="6" t="str">
        <f t="shared" si="435"/>
        <v>=-245000000</v>
      </c>
      <c r="N928" s="1">
        <f>-245000000</f>
        <v>-245000000</v>
      </c>
      <c r="O928" s="8">
        <f t="shared" si="452"/>
        <v>1.8019213174748399</v>
      </c>
      <c r="P928" s="7">
        <f>-8744*10000</f>
        <v>-87440000</v>
      </c>
      <c r="Q928" s="6" t="str">
        <f t="shared" si="436"/>
        <v>=-87440000</v>
      </c>
      <c r="R928" s="11">
        <f>-87440000</f>
        <v>-87440000</v>
      </c>
      <c r="S928" s="8">
        <f t="shared" si="453"/>
        <v>-1.9589822329458215</v>
      </c>
      <c r="T928" s="7" t="s">
        <v>10057</v>
      </c>
      <c r="U928" s="6" t="str">
        <f t="shared" si="437"/>
        <v>=9118*10000</v>
      </c>
      <c r="V928" s="1">
        <f>9118*10000</f>
        <v>91180000</v>
      </c>
      <c r="W928" s="8">
        <f t="shared" si="454"/>
        <v>0.79311701081612584</v>
      </c>
      <c r="X928" s="7" t="s">
        <v>10058</v>
      </c>
      <c r="Y928" s="6" t="str">
        <f t="shared" si="438"/>
        <v>=5085*10000</v>
      </c>
      <c r="Z928" s="1">
        <f>5085*10000</f>
        <v>50850000</v>
      </c>
      <c r="AA928" s="8">
        <f t="shared" si="455"/>
        <v>-1.3647776183644189</v>
      </c>
      <c r="AB928" s="6">
        <f>-1.394*100000000</f>
        <v>-139400000</v>
      </c>
      <c r="AC928" s="6" t="str">
        <f t="shared" si="439"/>
        <v>=-139400000</v>
      </c>
      <c r="AD928" s="1">
        <f>-139400000</f>
        <v>-139400000</v>
      </c>
      <c r="AE928" s="8">
        <f t="shared" si="456"/>
        <v>5.8132942326490715</v>
      </c>
      <c r="AF928" s="7">
        <f>-2046*10000</f>
        <v>-20460000</v>
      </c>
      <c r="AG928" s="6" t="str">
        <f t="shared" si="440"/>
        <v>=-20460000</v>
      </c>
      <c r="AH928" s="1">
        <f>-20460000</f>
        <v>-20460000</v>
      </c>
      <c r="AI928" s="8">
        <f t="shared" si="457"/>
        <v>-1.2727999999999999</v>
      </c>
      <c r="AJ928" s="7" t="s">
        <v>10059</v>
      </c>
      <c r="AK928" s="6" t="str">
        <f t="shared" si="441"/>
        <v>=7500*10000</v>
      </c>
      <c r="AL928" s="1">
        <f>7500*10000</f>
        <v>75000000</v>
      </c>
      <c r="AM928" s="8">
        <f t="shared" si="458"/>
        <v>-2.0507144858503783</v>
      </c>
      <c r="AN928" s="7">
        <f>-7138*10000</f>
        <v>-71380000</v>
      </c>
      <c r="AO928" s="6" t="str">
        <f t="shared" si="442"/>
        <v>=-71380000</v>
      </c>
      <c r="AP928" s="1">
        <f>-71380000</f>
        <v>-71380000</v>
      </c>
      <c r="AQ928" s="8">
        <f t="shared" si="459"/>
        <v>-0.5560945273631841</v>
      </c>
      <c r="AR928" s="6">
        <f>-1.608*100000000</f>
        <v>-160800000</v>
      </c>
      <c r="AS928" s="6" t="str">
        <f t="shared" si="443"/>
        <v>=-160800000</v>
      </c>
      <c r="AT928" s="1">
        <f>-160800000</f>
        <v>-160800000</v>
      </c>
      <c r="AU928" s="8">
        <f t="shared" si="460"/>
        <v>-5.8609431680773882</v>
      </c>
      <c r="AV928" s="7" t="s">
        <v>10060</v>
      </c>
      <c r="AW928" s="6" t="str">
        <f t="shared" si="444"/>
        <v>=3308*10000</v>
      </c>
      <c r="AX928" s="1">
        <f>3308*10000</f>
        <v>33080000</v>
      </c>
      <c r="AY928" s="10">
        <f t="shared" si="461"/>
        <v>-0.23194799164151381</v>
      </c>
      <c r="AZ928" s="7" t="s">
        <v>10061</v>
      </c>
      <c r="BA928" s="6" t="str">
        <f t="shared" si="445"/>
        <v>=4307*10000</v>
      </c>
      <c r="BB928" s="1">
        <f>4307*10000</f>
        <v>43070000</v>
      </c>
      <c r="BC928" s="8">
        <f t="shared" si="462"/>
        <v>1.6570018507094386</v>
      </c>
      <c r="BD928" s="7" t="s">
        <v>10062</v>
      </c>
      <c r="BE928" s="6" t="str">
        <f t="shared" si="446"/>
        <v>=1621*10000</v>
      </c>
      <c r="BF928" s="1">
        <f>1621*10000</f>
        <v>16210000</v>
      </c>
      <c r="BG928" s="8">
        <f t="shared" si="463"/>
        <v>-2.9281551088378732</v>
      </c>
      <c r="BH928" s="7">
        <f>-840.7*10000</f>
        <v>-8407000</v>
      </c>
      <c r="BI928" s="6" t="str">
        <f t="shared" si="447"/>
        <v>=-8407000</v>
      </c>
      <c r="BJ928" s="1">
        <f>-8407000</f>
        <v>-8407000</v>
      </c>
      <c r="BK928" s="7" t="s">
        <v>10063</v>
      </c>
      <c r="BL928" s="1" t="str">
        <f t="shared" si="449"/>
        <v>=3375*10000</v>
      </c>
      <c r="BM928" s="16">
        <f t="shared" si="464"/>
        <v>-1.2490962962962964</v>
      </c>
      <c r="BN928" s="1">
        <f>3375*10000</f>
        <v>33750000</v>
      </c>
    </row>
    <row r="929" spans="1:66">
      <c r="A929" s="19"/>
      <c r="B929">
        <v>600744</v>
      </c>
      <c r="C929" t="s">
        <v>68</v>
      </c>
      <c r="D929" s="6">
        <f>-22.84*100000000</f>
        <v>-2284000000</v>
      </c>
      <c r="E929" s="7" t="str">
        <f t="shared" si="448"/>
        <v>=-2284000000</v>
      </c>
      <c r="F929" s="1">
        <f>-2284000000</f>
        <v>-2284000000</v>
      </c>
      <c r="G929" s="8">
        <f t="shared" si="450"/>
        <v>1.5972253809415511</v>
      </c>
      <c r="H929" s="6">
        <f>-8.794*100000000</f>
        <v>-879400000</v>
      </c>
      <c r="I929" s="6" t="str">
        <f t="shared" si="434"/>
        <v>=-879400000</v>
      </c>
      <c r="J929" s="1">
        <f>-879400000</f>
        <v>-879400000</v>
      </c>
      <c r="K929" s="10">
        <f t="shared" si="451"/>
        <v>2.288706058339566</v>
      </c>
      <c r="L929" s="6">
        <f>-2.674*100000000</f>
        <v>-267400000</v>
      </c>
      <c r="M929" s="6" t="str">
        <f t="shared" si="435"/>
        <v>=-267400000</v>
      </c>
      <c r="N929" s="1">
        <f>-267400000</f>
        <v>-267400000</v>
      </c>
      <c r="O929" s="8">
        <f t="shared" si="452"/>
        <v>1.6633466135458168</v>
      </c>
      <c r="P929" s="6">
        <f>-1.004*100000000</f>
        <v>-100400000</v>
      </c>
      <c r="Q929" s="6" t="str">
        <f t="shared" si="436"/>
        <v>=-100400000</v>
      </c>
      <c r="R929" s="11">
        <f>-100400000</f>
        <v>-100400000</v>
      </c>
      <c r="S929" s="8">
        <f t="shared" si="453"/>
        <v>-3.5658062867365192</v>
      </c>
      <c r="T929" s="7" t="s">
        <v>3907</v>
      </c>
      <c r="U929" s="6" t="str">
        <f t="shared" si="437"/>
        <v>=3913*10000</v>
      </c>
      <c r="V929" s="1">
        <f>3913*10000</f>
        <v>39130000</v>
      </c>
      <c r="W929" s="8">
        <f t="shared" si="454"/>
        <v>-70.170938660067179</v>
      </c>
      <c r="X929" s="7">
        <f>-56.57*10000</f>
        <v>-565700</v>
      </c>
      <c r="Y929" s="6" t="str">
        <f t="shared" si="438"/>
        <v>=-565700</v>
      </c>
      <c r="Z929" s="1">
        <f>-565700</f>
        <v>-565700</v>
      </c>
      <c r="AA929" s="8">
        <f t="shared" si="455"/>
        <v>-0.99651876923076921</v>
      </c>
      <c r="AB929" s="6">
        <f>-1.625*100000000</f>
        <v>-162500000</v>
      </c>
      <c r="AC929" s="6" t="str">
        <f t="shared" si="439"/>
        <v>=-162500000</v>
      </c>
      <c r="AD929" s="1">
        <f>-162500000</f>
        <v>-162500000</v>
      </c>
      <c r="AE929" s="8">
        <f t="shared" si="456"/>
        <v>3.7626025791324738</v>
      </c>
      <c r="AF929" s="7">
        <f>-3412*10000</f>
        <v>-34120000</v>
      </c>
      <c r="AG929" s="6" t="str">
        <f t="shared" si="440"/>
        <v>=-34120000</v>
      </c>
      <c r="AH929" s="1">
        <f>-34120000</f>
        <v>-34120000</v>
      </c>
      <c r="AI929" s="8">
        <f t="shared" si="457"/>
        <v>-2.5803612783696157</v>
      </c>
      <c r="AJ929" s="7" t="s">
        <v>10064</v>
      </c>
      <c r="AK929" s="6" t="str">
        <f t="shared" si="441"/>
        <v>=2159*10000</v>
      </c>
      <c r="AL929" s="1">
        <f>2159*10000</f>
        <v>21590000</v>
      </c>
      <c r="AM929" s="8">
        <f t="shared" si="458"/>
        <v>-1.2284897872790772</v>
      </c>
      <c r="AN929" s="7">
        <f>-9449*10000</f>
        <v>-94490000</v>
      </c>
      <c r="AO929" s="6" t="str">
        <f t="shared" si="442"/>
        <v>=-94490000</v>
      </c>
      <c r="AP929" s="1">
        <f>-94490000</f>
        <v>-94490000</v>
      </c>
      <c r="AQ929" s="8">
        <f t="shared" si="459"/>
        <v>-0.47388641425389755</v>
      </c>
      <c r="AR929" s="6">
        <f>-1.796*100000000</f>
        <v>-179600000</v>
      </c>
      <c r="AS929" s="6" t="str">
        <f t="shared" si="443"/>
        <v>=-179600000</v>
      </c>
      <c r="AT929" s="1">
        <f>-179600000</f>
        <v>-179600000</v>
      </c>
      <c r="AU929" s="8">
        <f t="shared" si="460"/>
        <v>-8.2860040567951323</v>
      </c>
      <c r="AV929" s="7" t="s">
        <v>10065</v>
      </c>
      <c r="AW929" s="6" t="str">
        <f t="shared" si="444"/>
        <v>=2465*10000</v>
      </c>
      <c r="AX929" s="1">
        <f>2465*10000</f>
        <v>24650000</v>
      </c>
      <c r="AY929" s="10">
        <f t="shared" si="461"/>
        <v>-0.56716417910447758</v>
      </c>
      <c r="AZ929" s="7" t="s">
        <v>10066</v>
      </c>
      <c r="BA929" s="6" t="str">
        <f t="shared" si="445"/>
        <v>=5695*10000</v>
      </c>
      <c r="BB929" s="1">
        <f>5695*10000</f>
        <v>56950000</v>
      </c>
      <c r="BC929" s="8">
        <f t="shared" si="462"/>
        <v>-21.604196816208393</v>
      </c>
      <c r="BD929" s="7">
        <f>-276.4*10000</f>
        <v>-2764000</v>
      </c>
      <c r="BE929" s="6" t="str">
        <f t="shared" si="446"/>
        <v>=-2764000</v>
      </c>
      <c r="BF929" s="1">
        <f>-2764000</f>
        <v>-2764000</v>
      </c>
      <c r="BG929" s="8">
        <f t="shared" si="463"/>
        <v>-0.85723140495867767</v>
      </c>
      <c r="BH929" s="7">
        <f>-1936*10000</f>
        <v>-19360000</v>
      </c>
      <c r="BI929" s="6" t="str">
        <f t="shared" si="447"/>
        <v>=-19360000</v>
      </c>
      <c r="BJ929" s="1">
        <f>-19360000</f>
        <v>-19360000</v>
      </c>
      <c r="BK929" s="7" t="s">
        <v>10067</v>
      </c>
      <c r="BL929" s="1" t="str">
        <f t="shared" si="449"/>
        <v>=3008*10000</v>
      </c>
      <c r="BM929" s="16">
        <f t="shared" si="464"/>
        <v>-1.6436170212765957</v>
      </c>
      <c r="BN929" s="1">
        <f>3008*10000</f>
        <v>30080000</v>
      </c>
    </row>
    <row r="930" spans="1:66">
      <c r="A930" s="17">
        <v>234</v>
      </c>
      <c r="B930">
        <v>600746</v>
      </c>
      <c r="C930" t="s">
        <v>31</v>
      </c>
      <c r="D930" s="6" t="s">
        <v>10068</v>
      </c>
      <c r="E930" s="7" t="str">
        <f t="shared" si="448"/>
        <v>=80.04*100000000</v>
      </c>
      <c r="F930" s="1">
        <f>80.04*100000000</f>
        <v>8004000000.000001</v>
      </c>
      <c r="G930" s="8">
        <f t="shared" si="450"/>
        <v>0.3665699163394231</v>
      </c>
      <c r="H930" s="6" t="s">
        <v>1432</v>
      </c>
      <c r="I930" s="6" t="str">
        <f t="shared" si="434"/>
        <v>=58.57*100000000</v>
      </c>
      <c r="J930" s="1">
        <f>58.57*100000000</f>
        <v>5857000000</v>
      </c>
      <c r="K930" s="10">
        <f t="shared" si="451"/>
        <v>0.4948953547728433</v>
      </c>
      <c r="L930" s="6" t="s">
        <v>4219</v>
      </c>
      <c r="M930" s="6" t="str">
        <f t="shared" si="435"/>
        <v>=39.18*100000000</v>
      </c>
      <c r="N930" s="1">
        <f>39.18*100000000</f>
        <v>3918000000</v>
      </c>
      <c r="O930" s="8">
        <f t="shared" si="452"/>
        <v>1.3335318642048839</v>
      </c>
      <c r="P930" s="6" t="s">
        <v>7432</v>
      </c>
      <c r="Q930" s="6" t="str">
        <f t="shared" si="436"/>
        <v>=16.79*100000000</v>
      </c>
      <c r="R930" s="11">
        <f>16.79*100000000</f>
        <v>1679000000</v>
      </c>
      <c r="S930" s="8">
        <f t="shared" si="453"/>
        <v>-0.55757575757575761</v>
      </c>
      <c r="T930" s="6" t="s">
        <v>10069</v>
      </c>
      <c r="U930" s="6" t="str">
        <f t="shared" si="437"/>
        <v>=37.95*100000000</v>
      </c>
      <c r="V930" s="1">
        <f>37.95*100000000</f>
        <v>3795000000.0000005</v>
      </c>
      <c r="W930" s="8">
        <f t="shared" si="454"/>
        <v>0.50535501785005965</v>
      </c>
      <c r="X930" s="6" t="s">
        <v>5101</v>
      </c>
      <c r="Y930" s="6" t="str">
        <f t="shared" si="438"/>
        <v>=25.21*100000000</v>
      </c>
      <c r="Z930" s="1">
        <f>25.21*100000000</f>
        <v>2521000000</v>
      </c>
      <c r="AA930" s="8">
        <f t="shared" si="455"/>
        <v>0.67954696868754161</v>
      </c>
      <c r="AB930" s="6" t="s">
        <v>9328</v>
      </c>
      <c r="AC930" s="6" t="str">
        <f t="shared" si="439"/>
        <v>=15.01*100000000</v>
      </c>
      <c r="AD930" s="1">
        <f>15.01*100000000</f>
        <v>1501000000</v>
      </c>
      <c r="AE930" s="8">
        <f t="shared" si="456"/>
        <v>0.79138321995464855</v>
      </c>
      <c r="AF930" s="6" t="s">
        <v>3361</v>
      </c>
      <c r="AG930" s="6" t="str">
        <f t="shared" si="440"/>
        <v>=8.379*100000000</v>
      </c>
      <c r="AH930" s="1">
        <f>8.379*100000000</f>
        <v>837900000</v>
      </c>
      <c r="AI930" s="8">
        <f t="shared" si="457"/>
        <v>0.41896697713801861</v>
      </c>
      <c r="AJ930" s="6" t="s">
        <v>10070</v>
      </c>
      <c r="AK930" s="6" t="str">
        <f t="shared" si="441"/>
        <v>=5.905*100000000</v>
      </c>
      <c r="AL930" s="1">
        <f>5.905*100000000</f>
        <v>590500000</v>
      </c>
      <c r="AM930" s="8">
        <f t="shared" si="458"/>
        <v>1.2905352986811482</v>
      </c>
      <c r="AN930" s="6" t="s">
        <v>10071</v>
      </c>
      <c r="AO930" s="6" t="str">
        <f t="shared" si="442"/>
        <v>=2.578*100000000</v>
      </c>
      <c r="AP930" s="1">
        <f>2.578*100000000</f>
        <v>257799999.99999997</v>
      </c>
      <c r="AQ930" s="8">
        <f t="shared" si="459"/>
        <v>0.48246118458884402</v>
      </c>
      <c r="AR930" s="6" t="s">
        <v>10072</v>
      </c>
      <c r="AS930" s="6" t="str">
        <f t="shared" si="443"/>
        <v>=1.739*100000000</v>
      </c>
      <c r="AT930" s="1">
        <f>1.739*100000000</f>
        <v>173900000</v>
      </c>
      <c r="AU930" s="8">
        <f t="shared" si="460"/>
        <v>1.1852224176928876</v>
      </c>
      <c r="AV930" s="7" t="s">
        <v>10073</v>
      </c>
      <c r="AW930" s="6" t="str">
        <f t="shared" si="444"/>
        <v>=7958*10000</v>
      </c>
      <c r="AX930" s="1">
        <f>7958*10000</f>
        <v>79580000</v>
      </c>
      <c r="AY930" s="10">
        <f t="shared" si="461"/>
        <v>-0.83221589711153277</v>
      </c>
      <c r="AZ930" s="6" t="s">
        <v>9825</v>
      </c>
      <c r="BA930" s="6" t="str">
        <f t="shared" si="445"/>
        <v>=4.743*100000000</v>
      </c>
      <c r="BB930" s="1">
        <f>4.743*100000000</f>
        <v>474300000.00000006</v>
      </c>
      <c r="BC930" s="8">
        <f t="shared" si="462"/>
        <v>0.24914406110086926</v>
      </c>
      <c r="BD930" s="6" t="s">
        <v>7669</v>
      </c>
      <c r="BE930" s="6" t="str">
        <f t="shared" si="446"/>
        <v>=3.797*100000000</v>
      </c>
      <c r="BF930" s="1">
        <f>3.797*100000000</f>
        <v>379700000</v>
      </c>
      <c r="BG930" s="8">
        <f t="shared" si="463"/>
        <v>0.40421597633136097</v>
      </c>
      <c r="BH930" s="6" t="s">
        <v>10074</v>
      </c>
      <c r="BI930" s="6" t="str">
        <f t="shared" si="447"/>
        <v>=2.704*100000000</v>
      </c>
      <c r="BJ930" s="1">
        <f>2.704*100000000</f>
        <v>270400000</v>
      </c>
      <c r="BK930" s="6" t="s">
        <v>2447</v>
      </c>
      <c r="BL930" s="1" t="str">
        <f t="shared" si="449"/>
        <v>=1.403*100000000</v>
      </c>
      <c r="BM930" s="16">
        <f t="shared" si="464"/>
        <v>0.92729864575908771</v>
      </c>
      <c r="BN930" s="1">
        <f>1.403*100000000</f>
        <v>140300000</v>
      </c>
    </row>
    <row r="931" spans="1:66">
      <c r="A931" s="18"/>
      <c r="B931">
        <v>600746</v>
      </c>
      <c r="C931" t="s">
        <v>48</v>
      </c>
      <c r="D931" s="6" t="s">
        <v>10075</v>
      </c>
      <c r="E931" s="7" t="str">
        <f t="shared" si="448"/>
        <v>=28.42*100000000</v>
      </c>
      <c r="F931" s="1">
        <f>28.42*100000000</f>
        <v>2842000000</v>
      </c>
      <c r="G931" s="8">
        <f t="shared" si="450"/>
        <v>0.12867355043685463</v>
      </c>
      <c r="H931" s="6" t="s">
        <v>10076</v>
      </c>
      <c r="I931" s="6" t="str">
        <f t="shared" si="434"/>
        <v>=25.18*100000000</v>
      </c>
      <c r="J931" s="1">
        <f>25.18*100000000</f>
        <v>2518000000</v>
      </c>
      <c r="K931" s="10">
        <f t="shared" si="451"/>
        <v>0.42259887005649716</v>
      </c>
      <c r="L931" s="6" t="s">
        <v>5239</v>
      </c>
      <c r="M931" s="6" t="str">
        <f t="shared" si="435"/>
        <v>=17.70*100000000</v>
      </c>
      <c r="N931" s="1">
        <f>17.7*100000000</f>
        <v>1770000000</v>
      </c>
      <c r="O931" s="8">
        <f t="shared" si="452"/>
        <v>1.7578684948582113</v>
      </c>
      <c r="P931" s="6" t="s">
        <v>10077</v>
      </c>
      <c r="Q931" s="6" t="str">
        <f t="shared" si="436"/>
        <v>=6.418*100000000</v>
      </c>
      <c r="R931" s="11">
        <f>6.418*100000000</f>
        <v>641800000</v>
      </c>
      <c r="S931" s="8">
        <f t="shared" si="453"/>
        <v>1.1091028590207033</v>
      </c>
      <c r="T931" s="6" t="s">
        <v>5837</v>
      </c>
      <c r="U931" s="6" t="str">
        <f t="shared" si="437"/>
        <v>=3.043*100000000</v>
      </c>
      <c r="V931" s="1">
        <f>3.043*100000000</f>
        <v>304300000</v>
      </c>
      <c r="W931" s="8">
        <f t="shared" si="454"/>
        <v>3.4152640742890306</v>
      </c>
      <c r="X931" s="7" t="s">
        <v>10078</v>
      </c>
      <c r="Y931" s="6" t="str">
        <f t="shared" si="438"/>
        <v>=6892*10000</v>
      </c>
      <c r="Z931" s="1">
        <f>6892*10000</f>
        <v>68920000</v>
      </c>
      <c r="AA931" s="8">
        <f t="shared" si="455"/>
        <v>6.2877233795072431</v>
      </c>
      <c r="AB931" s="7" t="s">
        <v>10079</v>
      </c>
      <c r="AC931" s="6" t="str">
        <f t="shared" si="439"/>
        <v>=945.7*10000</v>
      </c>
      <c r="AD931" s="1">
        <f>945.7*10000</f>
        <v>9457000</v>
      </c>
      <c r="AE931" s="8">
        <f t="shared" si="456"/>
        <v>-0.85253391548417279</v>
      </c>
      <c r="AF931" s="7" t="s">
        <v>10080</v>
      </c>
      <c r="AG931" s="6" t="str">
        <f t="shared" si="440"/>
        <v>=6413*10000</v>
      </c>
      <c r="AH931" s="1">
        <f>6413*10000</f>
        <v>64130000</v>
      </c>
      <c r="AI931" s="8">
        <f t="shared" si="457"/>
        <v>-8.0736818883741446</v>
      </c>
      <c r="AJ931" s="7">
        <f>-906.6*10000</f>
        <v>-9066000</v>
      </c>
      <c r="AK931" s="6" t="str">
        <f t="shared" si="441"/>
        <v>=-9066000</v>
      </c>
      <c r="AL931" s="1">
        <f>-9066000</f>
        <v>-9066000</v>
      </c>
      <c r="AM931" s="8">
        <f t="shared" si="458"/>
        <v>-9.7011952191235054E-2</v>
      </c>
      <c r="AN931" s="7">
        <f>-1004*10000</f>
        <v>-10040000</v>
      </c>
      <c r="AO931" s="6" t="str">
        <f t="shared" si="442"/>
        <v>=-10040000</v>
      </c>
      <c r="AP931" s="1">
        <f>-10040000</f>
        <v>-10040000</v>
      </c>
      <c r="AQ931" s="8">
        <f t="shared" si="459"/>
        <v>3.5865692096847877</v>
      </c>
      <c r="AR931" s="7">
        <f>-218.9*10000</f>
        <v>-2189000</v>
      </c>
      <c r="AS931" s="6" t="str">
        <f t="shared" si="443"/>
        <v>=-2189000</v>
      </c>
      <c r="AT931" s="1">
        <f>-2189000</f>
        <v>-2189000</v>
      </c>
      <c r="AU931" s="8">
        <f t="shared" si="460"/>
        <v>-7.0754926450180404</v>
      </c>
      <c r="AV931" s="7" t="s">
        <v>10081</v>
      </c>
      <c r="AW931" s="6" t="str">
        <f t="shared" si="444"/>
        <v>=36.03*10000</v>
      </c>
      <c r="AX931" s="1">
        <f>36.03*10000</f>
        <v>360300</v>
      </c>
      <c r="AY931" s="10">
        <f t="shared" si="461"/>
        <v>-0.91431629013079663</v>
      </c>
      <c r="AZ931" s="7" t="s">
        <v>10082</v>
      </c>
      <c r="BA931" s="6" t="str">
        <f t="shared" si="445"/>
        <v>=420.5*10000</v>
      </c>
      <c r="BB931" s="1">
        <f>420.5*10000</f>
        <v>4205000</v>
      </c>
      <c r="BC931" s="8">
        <f t="shared" si="462"/>
        <v>-3.3206401766004414</v>
      </c>
      <c r="BD931" s="7">
        <f>-181.2*10000</f>
        <v>-1812000</v>
      </c>
      <c r="BE931" s="6" t="str">
        <f t="shared" si="446"/>
        <v>=-1812000</v>
      </c>
      <c r="BF931" s="1">
        <f>-1812000</f>
        <v>-1812000</v>
      </c>
      <c r="BG931" s="8">
        <f t="shared" si="463"/>
        <v>-0.5201271186440678</v>
      </c>
      <c r="BH931" s="7">
        <f>-377.6*10000</f>
        <v>-3776000</v>
      </c>
      <c r="BI931" s="6" t="str">
        <f t="shared" si="447"/>
        <v>=-3776000</v>
      </c>
      <c r="BJ931" s="1">
        <f>-3776000</f>
        <v>-3776000</v>
      </c>
      <c r="BK931" s="7">
        <f>-467*10000</f>
        <v>-4670000</v>
      </c>
      <c r="BL931" s="1" t="str">
        <f t="shared" si="449"/>
        <v>=-4670000</v>
      </c>
      <c r="BM931" s="16">
        <f t="shared" si="464"/>
        <v>-0.19143468950749465</v>
      </c>
      <c r="BN931" s="1">
        <f>-4670000</f>
        <v>-4670000</v>
      </c>
    </row>
    <row r="932" spans="1:66">
      <c r="A932" s="18"/>
      <c r="B932">
        <v>600746</v>
      </c>
      <c r="C932" t="s">
        <v>58</v>
      </c>
      <c r="D932" s="6" t="s">
        <v>3114</v>
      </c>
      <c r="E932" s="7" t="str">
        <f t="shared" si="448"/>
        <v>=28.28*100000000</v>
      </c>
      <c r="F932" s="1">
        <f>28.28*100000000</f>
        <v>2828000000</v>
      </c>
      <c r="G932" s="8">
        <f t="shared" si="450"/>
        <v>0.12266772528781263</v>
      </c>
      <c r="H932" s="6" t="s">
        <v>5916</v>
      </c>
      <c r="I932" s="6" t="str">
        <f t="shared" si="434"/>
        <v>=25.19*100000000</v>
      </c>
      <c r="J932" s="1">
        <f>25.19*100000000</f>
        <v>2519000000</v>
      </c>
      <c r="K932" s="10">
        <f t="shared" si="451"/>
        <v>0.42316384180790961</v>
      </c>
      <c r="L932" s="6" t="s">
        <v>5239</v>
      </c>
      <c r="M932" s="6" t="str">
        <f t="shared" si="435"/>
        <v>=17.70*100000000</v>
      </c>
      <c r="N932" s="1">
        <f>17.7*100000000</f>
        <v>1770000000</v>
      </c>
      <c r="O932" s="8">
        <f t="shared" si="452"/>
        <v>1.7574388534039571</v>
      </c>
      <c r="P932" s="6" t="s">
        <v>10083</v>
      </c>
      <c r="Q932" s="6" t="str">
        <f t="shared" si="436"/>
        <v>=6.419*100000000</v>
      </c>
      <c r="R932" s="11">
        <f>6.419*100000000</f>
        <v>641900000</v>
      </c>
      <c r="S932" s="8">
        <f t="shared" si="453"/>
        <v>1.1418084751418085</v>
      </c>
      <c r="T932" s="6" t="s">
        <v>10084</v>
      </c>
      <c r="U932" s="6" t="str">
        <f t="shared" si="437"/>
        <v>=2.997*100000000</v>
      </c>
      <c r="V932" s="1">
        <f>2.997*100000000</f>
        <v>299700000</v>
      </c>
      <c r="W932" s="8">
        <f t="shared" si="454"/>
        <v>3.2229110891926167</v>
      </c>
      <c r="X932" s="7" t="s">
        <v>10085</v>
      </c>
      <c r="Y932" s="6" t="str">
        <f t="shared" si="438"/>
        <v>=7097*10000</v>
      </c>
      <c r="Z932" s="1">
        <f>7097*10000</f>
        <v>70970000</v>
      </c>
      <c r="AA932" s="8">
        <f t="shared" si="455"/>
        <v>5.2583774250440918</v>
      </c>
      <c r="AB932" s="7" t="s">
        <v>4931</v>
      </c>
      <c r="AC932" s="6" t="str">
        <f t="shared" si="439"/>
        <v>=1134*10000</v>
      </c>
      <c r="AD932" s="1">
        <f>1134*10000</f>
        <v>11340000</v>
      </c>
      <c r="AE932" s="8">
        <f t="shared" si="456"/>
        <v>-0.82317168251988149</v>
      </c>
      <c r="AF932" s="7" t="s">
        <v>10080</v>
      </c>
      <c r="AG932" s="6" t="str">
        <f t="shared" si="440"/>
        <v>=6413*10000</v>
      </c>
      <c r="AH932" s="1">
        <f>6413*10000</f>
        <v>64130000</v>
      </c>
      <c r="AI932" s="8">
        <f t="shared" si="457"/>
        <v>-7.504056795131846</v>
      </c>
      <c r="AJ932" s="7">
        <f>-986*10000</f>
        <v>-9860000</v>
      </c>
      <c r="AK932" s="6" t="str">
        <f t="shared" si="441"/>
        <v>=-9860000</v>
      </c>
      <c r="AL932" s="1">
        <f>-9860000</f>
        <v>-9860000</v>
      </c>
      <c r="AM932" s="8">
        <f t="shared" si="458"/>
        <v>-1.9880715705765408E-2</v>
      </c>
      <c r="AN932" s="7">
        <f>-1006*10000</f>
        <v>-10060000</v>
      </c>
      <c r="AO932" s="6" t="str">
        <f t="shared" si="442"/>
        <v>=-10060000</v>
      </c>
      <c r="AP932" s="1">
        <f>-10060000</f>
        <v>-10060000</v>
      </c>
      <c r="AQ932" s="8">
        <f t="shared" si="459"/>
        <v>3.5602901178603807</v>
      </c>
      <c r="AR932" s="7">
        <f>-220.6*10000</f>
        <v>-2206000</v>
      </c>
      <c r="AS932" s="6" t="str">
        <f t="shared" si="443"/>
        <v>=-2206000</v>
      </c>
      <c r="AT932" s="1">
        <f>-2206000</f>
        <v>-2206000</v>
      </c>
      <c r="AU932" s="8">
        <f t="shared" si="460"/>
        <v>-7.0125374761515396</v>
      </c>
      <c r="AV932" s="7" t="s">
        <v>10086</v>
      </c>
      <c r="AW932" s="6" t="str">
        <f t="shared" si="444"/>
        <v>=36.69*10000</v>
      </c>
      <c r="AX932" s="1">
        <f>36.69*10000</f>
        <v>366900</v>
      </c>
      <c r="AY932" s="10">
        <f t="shared" si="461"/>
        <v>-0.91336481700118066</v>
      </c>
      <c r="AZ932" s="7" t="s">
        <v>10087</v>
      </c>
      <c r="BA932" s="6" t="str">
        <f t="shared" si="445"/>
        <v>=423.5*10000</v>
      </c>
      <c r="BB932" s="1">
        <f>423.5*10000</f>
        <v>4235000</v>
      </c>
      <c r="BC932" s="8">
        <f t="shared" si="462"/>
        <v>-3.5088862559241707</v>
      </c>
      <c r="BD932" s="7">
        <f>-168.8*10000</f>
        <v>-1688000</v>
      </c>
      <c r="BE932" s="6" t="str">
        <f t="shared" si="446"/>
        <v>=-1688000</v>
      </c>
      <c r="BF932" s="1">
        <f>-1688000</f>
        <v>-1688000</v>
      </c>
      <c r="BG932" s="8">
        <f t="shared" si="463"/>
        <v>-0.53111111111111109</v>
      </c>
      <c r="BH932" s="7">
        <f>-360*10000</f>
        <v>-3600000</v>
      </c>
      <c r="BI932" s="6" t="str">
        <f t="shared" si="447"/>
        <v>=-3600000</v>
      </c>
      <c r="BJ932" s="1">
        <f>-3600000</f>
        <v>-3600000</v>
      </c>
      <c r="BK932" s="7">
        <f>-467*10000</f>
        <v>-4670000</v>
      </c>
      <c r="BL932" s="1" t="str">
        <f t="shared" si="449"/>
        <v>=-4670000</v>
      </c>
      <c r="BM932" s="16">
        <f t="shared" si="464"/>
        <v>-0.22912205567451821</v>
      </c>
      <c r="BN932" s="1">
        <f>-4670000</f>
        <v>-4670000</v>
      </c>
    </row>
    <row r="933" spans="1:66">
      <c r="A933" s="19"/>
      <c r="B933">
        <v>600746</v>
      </c>
      <c r="C933" t="s">
        <v>68</v>
      </c>
      <c r="D933" s="6" t="s">
        <v>5106</v>
      </c>
      <c r="E933" s="7" t="str">
        <f t="shared" si="448"/>
        <v>=24.02*100000000</v>
      </c>
      <c r="F933" s="1">
        <f>24.02*100000000</f>
        <v>2402000000</v>
      </c>
      <c r="G933" s="8">
        <f t="shared" si="450"/>
        <v>0.11668991166899116</v>
      </c>
      <c r="H933" s="6" t="s">
        <v>8362</v>
      </c>
      <c r="I933" s="6" t="str">
        <f t="shared" si="434"/>
        <v>=21.51*100000000</v>
      </c>
      <c r="J933" s="1">
        <f>21.51*100000000</f>
        <v>2151000000</v>
      </c>
      <c r="K933" s="10">
        <f t="shared" si="451"/>
        <v>0.43018617021276595</v>
      </c>
      <c r="L933" s="6" t="s">
        <v>9320</v>
      </c>
      <c r="M933" s="6" t="str">
        <f t="shared" si="435"/>
        <v>=15.04*100000000</v>
      </c>
      <c r="N933" s="1">
        <f>15.04*100000000</f>
        <v>1504000000</v>
      </c>
      <c r="O933" s="8">
        <f t="shared" si="452"/>
        <v>1.7565982404692082</v>
      </c>
      <c r="P933" s="6" t="s">
        <v>10088</v>
      </c>
      <c r="Q933" s="6" t="str">
        <f t="shared" si="436"/>
        <v>=5.456*100000000</v>
      </c>
      <c r="R933" s="11">
        <f>5.456*100000000</f>
        <v>545600000</v>
      </c>
      <c r="S933" s="8">
        <f t="shared" si="453"/>
        <v>1.3588413316039774</v>
      </c>
      <c r="T933" s="6" t="s">
        <v>3900</v>
      </c>
      <c r="U933" s="6" t="str">
        <f t="shared" si="437"/>
        <v>=2.313*100000000</v>
      </c>
      <c r="V933" s="1">
        <f>2.313*100000000</f>
        <v>231300000.00000003</v>
      </c>
      <c r="W933" s="8">
        <f t="shared" si="454"/>
        <v>3.3452940071388322</v>
      </c>
      <c r="X933" s="7" t="s">
        <v>10089</v>
      </c>
      <c r="Y933" s="6" t="str">
        <f t="shared" si="438"/>
        <v>=5323*10000</v>
      </c>
      <c r="Z933" s="1">
        <f>5323*10000</f>
        <v>53230000</v>
      </c>
      <c r="AA933" s="8">
        <f t="shared" si="455"/>
        <v>5.2608797929898845</v>
      </c>
      <c r="AB933" s="7" t="s">
        <v>10090</v>
      </c>
      <c r="AC933" s="6" t="str">
        <f t="shared" si="439"/>
        <v>=850.2*10000</v>
      </c>
      <c r="AD933" s="1">
        <f>850.2*10000</f>
        <v>8502000</v>
      </c>
      <c r="AE933" s="8">
        <f t="shared" si="456"/>
        <v>-0.82324324324324327</v>
      </c>
      <c r="AF933" s="7" t="s">
        <v>3769</v>
      </c>
      <c r="AG933" s="6" t="str">
        <f t="shared" si="440"/>
        <v>=4810*10000</v>
      </c>
      <c r="AH933" s="1">
        <f>4810*10000</f>
        <v>48100000</v>
      </c>
      <c r="AI933" s="8">
        <f t="shared" si="457"/>
        <v>-9.5329075749512153</v>
      </c>
      <c r="AJ933" s="7">
        <f>-563.7*10000</f>
        <v>-5637000</v>
      </c>
      <c r="AK933" s="6" t="str">
        <f t="shared" si="441"/>
        <v>=-5637000</v>
      </c>
      <c r="AL933" s="1">
        <f>-5637000</f>
        <v>-5637000</v>
      </c>
      <c r="AM933" s="8">
        <f t="shared" si="458"/>
        <v>-0.19815078236130867</v>
      </c>
      <c r="AN933" s="7">
        <f>-703*10000</f>
        <v>-7030000</v>
      </c>
      <c r="AO933" s="6" t="str">
        <f t="shared" si="442"/>
        <v>=-7030000</v>
      </c>
      <c r="AP933" s="1">
        <f>-7030000</f>
        <v>-7030000</v>
      </c>
      <c r="AQ933" s="8">
        <f t="shared" si="459"/>
        <v>5.1558669001751314</v>
      </c>
      <c r="AR933" s="7">
        <f>-114.2*10000</f>
        <v>-1142000</v>
      </c>
      <c r="AS933" s="6" t="str">
        <f t="shared" si="443"/>
        <v>=-1142000</v>
      </c>
      <c r="AT933" s="1">
        <f>-1142000</f>
        <v>-1142000</v>
      </c>
      <c r="AU933" s="8">
        <f t="shared" si="460"/>
        <v>-2.4488708449632077</v>
      </c>
      <c r="AV933" s="7" t="s">
        <v>10091</v>
      </c>
      <c r="AW933" s="6" t="str">
        <f t="shared" si="444"/>
        <v>=78.82*10000</v>
      </c>
      <c r="AX933" s="1">
        <f>78.82*10000</f>
        <v>788199.99999999988</v>
      </c>
      <c r="AY933" s="10">
        <f t="shared" si="461"/>
        <v>-0.7800167457437901</v>
      </c>
      <c r="AZ933" s="7" t="s">
        <v>4203</v>
      </c>
      <c r="BA933" s="6" t="str">
        <f t="shared" si="445"/>
        <v>=358.3*10000</v>
      </c>
      <c r="BB933" s="1">
        <f>358.3*10000</f>
        <v>3583000</v>
      </c>
      <c r="BC933" s="8">
        <f t="shared" si="462"/>
        <v>-3.830173775671406</v>
      </c>
      <c r="BD933" s="7">
        <f>-126.6*10000</f>
        <v>-1266000</v>
      </c>
      <c r="BE933" s="6" t="str">
        <f t="shared" si="446"/>
        <v>=-1266000</v>
      </c>
      <c r="BF933" s="1">
        <f>-1266000</f>
        <v>-1266000</v>
      </c>
      <c r="BG933" s="8">
        <f t="shared" si="463"/>
        <v>-0.53111111111111109</v>
      </c>
      <c r="BH933" s="7">
        <f>-270*10000</f>
        <v>-2700000</v>
      </c>
      <c r="BI933" s="6" t="str">
        <f t="shared" si="447"/>
        <v>=-2700000</v>
      </c>
      <c r="BJ933" s="1">
        <f>-2700000</f>
        <v>-2700000</v>
      </c>
      <c r="BK933" s="7">
        <f>-346.3*10000</f>
        <v>-3463000</v>
      </c>
      <c r="BL933" s="1" t="str">
        <f t="shared" si="449"/>
        <v>=-3463000</v>
      </c>
      <c r="BM933" s="16">
        <f t="shared" si="464"/>
        <v>-0.22032919434016748</v>
      </c>
      <c r="BN933" s="1">
        <f>-3463000</f>
        <v>-3463000</v>
      </c>
    </row>
    <row r="934" spans="1:66">
      <c r="A934" s="17">
        <v>235</v>
      </c>
      <c r="B934">
        <v>600748</v>
      </c>
      <c r="C934" t="s">
        <v>31</v>
      </c>
      <c r="D934" s="6" t="s">
        <v>10092</v>
      </c>
      <c r="E934" s="7" t="str">
        <f t="shared" si="448"/>
        <v>=102.7*100000000</v>
      </c>
      <c r="F934" s="1">
        <f>102.7*100000000</f>
        <v>10270000000</v>
      </c>
      <c r="G934" s="8">
        <f t="shared" si="450"/>
        <v>1.0105716523101018</v>
      </c>
      <c r="H934" s="6" t="s">
        <v>8864</v>
      </c>
      <c r="I934" s="6" t="str">
        <f t="shared" si="434"/>
        <v>=51.08*100000000</v>
      </c>
      <c r="J934" s="1">
        <f>51.08*100000000</f>
        <v>5108000000</v>
      </c>
      <c r="K934" s="10">
        <f t="shared" si="451"/>
        <v>0.33124837112327354</v>
      </c>
      <c r="L934" s="6" t="s">
        <v>5086</v>
      </c>
      <c r="M934" s="6" t="str">
        <f t="shared" si="435"/>
        <v>=38.37*100000000</v>
      </c>
      <c r="N934" s="1">
        <f>38.37*100000000</f>
        <v>3836999999.9999995</v>
      </c>
      <c r="O934" s="8">
        <f t="shared" si="452"/>
        <v>1.4132075471698111</v>
      </c>
      <c r="P934" s="6" t="s">
        <v>8363</v>
      </c>
      <c r="Q934" s="6" t="str">
        <f t="shared" si="436"/>
        <v>=15.90*100000000</v>
      </c>
      <c r="R934" s="11">
        <f>15.9*100000000</f>
        <v>1590000000</v>
      </c>
      <c r="S934" s="8">
        <f t="shared" si="453"/>
        <v>-0.78672032193158958</v>
      </c>
      <c r="T934" s="6" t="s">
        <v>10093</v>
      </c>
      <c r="U934" s="6" t="str">
        <f t="shared" si="437"/>
        <v>=74.55*100000000</v>
      </c>
      <c r="V934" s="1">
        <f>74.55*100000000</f>
        <v>7455000000</v>
      </c>
      <c r="W934" s="8">
        <f t="shared" si="454"/>
        <v>0.40819795995466568</v>
      </c>
      <c r="X934" s="6" t="s">
        <v>10094</v>
      </c>
      <c r="Y934" s="6" t="str">
        <f t="shared" si="438"/>
        <v>=52.94*100000000</v>
      </c>
      <c r="Z934" s="1">
        <f>52.94*100000000</f>
        <v>5294000000</v>
      </c>
      <c r="AA934" s="8">
        <f t="shared" si="455"/>
        <v>0.17827732027598486</v>
      </c>
      <c r="AB934" s="6" t="s">
        <v>10095</v>
      </c>
      <c r="AC934" s="6" t="str">
        <f t="shared" si="439"/>
        <v>=44.93*100000000</v>
      </c>
      <c r="AD934" s="1">
        <f>44.93*100000000</f>
        <v>4493000000</v>
      </c>
      <c r="AE934" s="8">
        <f t="shared" si="456"/>
        <v>1.824010056568196</v>
      </c>
      <c r="AF934" s="6" t="s">
        <v>10096</v>
      </c>
      <c r="AG934" s="6" t="str">
        <f t="shared" si="440"/>
        <v>=15.91*100000000</v>
      </c>
      <c r="AH934" s="1">
        <f>15.91*100000000</f>
        <v>1591000000</v>
      </c>
      <c r="AI934" s="8">
        <f t="shared" si="457"/>
        <v>-0.81729444189251266</v>
      </c>
      <c r="AJ934" s="6" t="s">
        <v>10097</v>
      </c>
      <c r="AK934" s="6" t="str">
        <f t="shared" si="441"/>
        <v>=87.08*100000000</v>
      </c>
      <c r="AL934" s="1">
        <f>87.08*100000000</f>
        <v>8708000000</v>
      </c>
      <c r="AM934" s="8">
        <f t="shared" si="458"/>
        <v>0.59809139291613145</v>
      </c>
      <c r="AN934" s="6" t="s">
        <v>10098</v>
      </c>
      <c r="AO934" s="6" t="str">
        <f t="shared" si="442"/>
        <v>=54.49*100000000</v>
      </c>
      <c r="AP934" s="1">
        <f>54.49*100000000</f>
        <v>5449000000</v>
      </c>
      <c r="AQ934" s="8">
        <f t="shared" si="459"/>
        <v>0.25264367816091954</v>
      </c>
      <c r="AR934" s="6" t="s">
        <v>10099</v>
      </c>
      <c r="AS934" s="6" t="str">
        <f t="shared" si="443"/>
        <v>=43.50*100000000</v>
      </c>
      <c r="AT934" s="1">
        <f>43.5*100000000</f>
        <v>4350000000</v>
      </c>
      <c r="AU934" s="8">
        <f t="shared" si="460"/>
        <v>1.5028768699654775</v>
      </c>
      <c r="AV934" s="6" t="s">
        <v>3360</v>
      </c>
      <c r="AW934" s="6" t="str">
        <f t="shared" si="444"/>
        <v>=17.38*100000000</v>
      </c>
      <c r="AX934" s="1">
        <f>17.38*100000000</f>
        <v>1738000000</v>
      </c>
      <c r="AY934" s="10">
        <f t="shared" si="461"/>
        <v>-0.79939981532779314</v>
      </c>
      <c r="AZ934" s="6" t="s">
        <v>7517</v>
      </c>
      <c r="BA934" s="6" t="str">
        <f t="shared" si="445"/>
        <v>=86.64*100000000</v>
      </c>
      <c r="BB934" s="1">
        <f>86.64*100000000</f>
        <v>8664000000</v>
      </c>
      <c r="BC934" s="8">
        <f t="shared" si="462"/>
        <v>0.83209980968492281</v>
      </c>
      <c r="BD934" s="6" t="s">
        <v>10100</v>
      </c>
      <c r="BE934" s="6" t="str">
        <f t="shared" si="446"/>
        <v>=47.29*100000000</v>
      </c>
      <c r="BF934" s="1">
        <f>47.29*100000000</f>
        <v>4729000000</v>
      </c>
      <c r="BG934" s="8">
        <f t="shared" si="463"/>
        <v>0.25470947200849031</v>
      </c>
      <c r="BH934" s="6" t="s">
        <v>4371</v>
      </c>
      <c r="BI934" s="6" t="str">
        <f t="shared" si="447"/>
        <v>=37.69*100000000</v>
      </c>
      <c r="BJ934" s="1">
        <f>37.69*100000000</f>
        <v>3769000000</v>
      </c>
      <c r="BK934" s="6" t="s">
        <v>2034</v>
      </c>
      <c r="BL934" s="1" t="str">
        <f t="shared" si="449"/>
        <v>=13.18*100000000</v>
      </c>
      <c r="BM934" s="16">
        <f t="shared" si="464"/>
        <v>1.8596358118361154</v>
      </c>
      <c r="BN934" s="1">
        <f>13.18*100000000</f>
        <v>1318000000</v>
      </c>
    </row>
    <row r="935" spans="1:66">
      <c r="A935" s="18"/>
      <c r="B935">
        <v>600748</v>
      </c>
      <c r="C935" t="s">
        <v>48</v>
      </c>
      <c r="D935" s="6" t="s">
        <v>10101</v>
      </c>
      <c r="E935" s="7" t="str">
        <f t="shared" si="448"/>
        <v>=15.46*100000000</v>
      </c>
      <c r="F935" s="1">
        <f>15.46*100000000</f>
        <v>1546000000</v>
      </c>
      <c r="G935" s="8">
        <f t="shared" si="450"/>
        <v>0.85416166946509986</v>
      </c>
      <c r="H935" s="6" t="s">
        <v>10102</v>
      </c>
      <c r="I935" s="6" t="str">
        <f t="shared" si="434"/>
        <v>=8.338*100000000</v>
      </c>
      <c r="J935" s="1">
        <f>8.338*100000000</f>
        <v>833799999.99999988</v>
      </c>
      <c r="K935" s="10">
        <f t="shared" si="451"/>
        <v>0.15388873512316617</v>
      </c>
      <c r="L935" s="6" t="s">
        <v>10103</v>
      </c>
      <c r="M935" s="6" t="str">
        <f t="shared" si="435"/>
        <v>=7.226*100000000</v>
      </c>
      <c r="N935" s="1">
        <f>7.226*100000000</f>
        <v>722600000</v>
      </c>
      <c r="O935" s="8">
        <f t="shared" si="452"/>
        <v>2.0762026394210298</v>
      </c>
      <c r="P935" s="6" t="s">
        <v>9539</v>
      </c>
      <c r="Q935" s="6" t="str">
        <f t="shared" si="436"/>
        <v>=2.349*100000000</v>
      </c>
      <c r="R935" s="11">
        <f>2.349*100000000</f>
        <v>234900000.00000003</v>
      </c>
      <c r="S935" s="8">
        <f t="shared" si="453"/>
        <v>-0.23260372427311327</v>
      </c>
      <c r="T935" s="6" t="s">
        <v>10104</v>
      </c>
      <c r="U935" s="6" t="str">
        <f t="shared" si="437"/>
        <v>=3.061*100000000</v>
      </c>
      <c r="V935" s="1">
        <f>3.061*100000000</f>
        <v>306100000</v>
      </c>
      <c r="W935" s="8">
        <f t="shared" si="454"/>
        <v>-0.57574497574497574</v>
      </c>
      <c r="X935" s="6" t="s">
        <v>10105</v>
      </c>
      <c r="Y935" s="6" t="str">
        <f t="shared" si="438"/>
        <v>=7.215*100000000</v>
      </c>
      <c r="Z935" s="1">
        <f>7.215*100000000</f>
        <v>721500000</v>
      </c>
      <c r="AA935" s="8">
        <f t="shared" si="455"/>
        <v>6.1497719582168604E-2</v>
      </c>
      <c r="AB935" s="6" t="s">
        <v>5154</v>
      </c>
      <c r="AC935" s="6" t="str">
        <f t="shared" si="439"/>
        <v>=6.797*100000000</v>
      </c>
      <c r="AD935" s="1">
        <f>6.797*100000000</f>
        <v>679700000</v>
      </c>
      <c r="AE935" s="8">
        <f t="shared" si="456"/>
        <v>1.4388231072838178</v>
      </c>
      <c r="AF935" s="6" t="s">
        <v>8278</v>
      </c>
      <c r="AG935" s="6" t="str">
        <f t="shared" si="440"/>
        <v>=2.787*100000000</v>
      </c>
      <c r="AH935" s="1">
        <f>2.787*100000000</f>
        <v>278700000</v>
      </c>
      <c r="AI935" s="8">
        <f t="shared" si="457"/>
        <v>-0.78643678160919539</v>
      </c>
      <c r="AJ935" s="6" t="s">
        <v>10106</v>
      </c>
      <c r="AK935" s="6" t="str">
        <f t="shared" si="441"/>
        <v>=13.05*100000000</v>
      </c>
      <c r="AL935" s="1">
        <f>13.05*100000000</f>
        <v>1305000000</v>
      </c>
      <c r="AM935" s="8">
        <f t="shared" si="458"/>
        <v>0.5431003902092939</v>
      </c>
      <c r="AN935" s="6" t="s">
        <v>9632</v>
      </c>
      <c r="AO935" s="6" t="str">
        <f t="shared" si="442"/>
        <v>=8.457*100000000</v>
      </c>
      <c r="AP935" s="1">
        <f>8.457*100000000</f>
        <v>845700000.00000012</v>
      </c>
      <c r="AQ935" s="8">
        <f t="shared" si="459"/>
        <v>0.31014717273431469</v>
      </c>
      <c r="AR935" s="6" t="s">
        <v>10107</v>
      </c>
      <c r="AS935" s="6" t="str">
        <f t="shared" si="443"/>
        <v>=6.455*100000000</v>
      </c>
      <c r="AT935" s="1">
        <f>6.455*100000000</f>
        <v>645500000</v>
      </c>
      <c r="AU935" s="8">
        <f t="shared" si="460"/>
        <v>1.2506973500697349</v>
      </c>
      <c r="AV935" s="6" t="s">
        <v>10108</v>
      </c>
      <c r="AW935" s="6" t="str">
        <f t="shared" si="444"/>
        <v>=2.868*100000000</v>
      </c>
      <c r="AX935" s="1">
        <f>2.868*100000000</f>
        <v>286800000</v>
      </c>
      <c r="AY935" s="10">
        <f t="shared" si="461"/>
        <v>-0.76238608119304063</v>
      </c>
      <c r="AZ935" s="6" t="s">
        <v>1127</v>
      </c>
      <c r="BA935" s="6" t="str">
        <f t="shared" si="445"/>
        <v>=12.07*100000000</v>
      </c>
      <c r="BB935" s="1">
        <f>12.07*100000000</f>
        <v>1207000000</v>
      </c>
      <c r="BC935" s="8">
        <f t="shared" si="462"/>
        <v>0.89244277202884914</v>
      </c>
      <c r="BD935" s="6" t="s">
        <v>8815</v>
      </c>
      <c r="BE935" s="6" t="str">
        <f t="shared" si="446"/>
        <v>=6.378*100000000</v>
      </c>
      <c r="BF935" s="1">
        <f>6.378*100000000</f>
        <v>637800000</v>
      </c>
      <c r="BG935" s="8">
        <f t="shared" si="463"/>
        <v>3.7410540013012361E-2</v>
      </c>
      <c r="BH935" s="6" t="s">
        <v>10109</v>
      </c>
      <c r="BI935" s="6" t="str">
        <f t="shared" si="447"/>
        <v>=6.148*100000000</v>
      </c>
      <c r="BJ935" s="1">
        <f>6.148*100000000</f>
        <v>614800000</v>
      </c>
      <c r="BK935" s="6" t="s">
        <v>2889</v>
      </c>
      <c r="BL935" s="1" t="str">
        <f t="shared" si="449"/>
        <v>=1.974*100000000</v>
      </c>
      <c r="BM935" s="16">
        <f t="shared" si="464"/>
        <v>2.1144883485309016</v>
      </c>
      <c r="BN935" s="1">
        <f>1.974*100000000</f>
        <v>197400000</v>
      </c>
    </row>
    <row r="936" spans="1:66">
      <c r="A936" s="18"/>
      <c r="B936">
        <v>600748</v>
      </c>
      <c r="C936" t="s">
        <v>58</v>
      </c>
      <c r="D936" s="6" t="s">
        <v>362</v>
      </c>
      <c r="E936" s="7" t="str">
        <f t="shared" si="448"/>
        <v>=15.45*100000000</v>
      </c>
      <c r="F936" s="1">
        <f>15.45*100000000</f>
        <v>1545000000</v>
      </c>
      <c r="G936" s="8">
        <f t="shared" si="450"/>
        <v>0.83165382335506821</v>
      </c>
      <c r="H936" s="6" t="s">
        <v>10110</v>
      </c>
      <c r="I936" s="6" t="str">
        <f t="shared" si="434"/>
        <v>=8.435*100000000</v>
      </c>
      <c r="J936" s="1">
        <f>8.435*100000000</f>
        <v>843500000</v>
      </c>
      <c r="K936" s="10">
        <f t="shared" si="451"/>
        <v>0.1679590141235115</v>
      </c>
      <c r="L936" s="6" t="s">
        <v>10111</v>
      </c>
      <c r="M936" s="6" t="str">
        <f t="shared" si="435"/>
        <v>=7.222*100000000</v>
      </c>
      <c r="N936" s="1">
        <f>7.222*100000000</f>
        <v>722200000</v>
      </c>
      <c r="O936" s="8">
        <f t="shared" si="452"/>
        <v>2.0797441364605542</v>
      </c>
      <c r="P936" s="6" t="s">
        <v>10112</v>
      </c>
      <c r="Q936" s="6" t="str">
        <f t="shared" si="436"/>
        <v>=2.345*100000000</v>
      </c>
      <c r="R936" s="11">
        <f>2.345*100000000</f>
        <v>234500000.00000003</v>
      </c>
      <c r="S936" s="8">
        <f t="shared" si="453"/>
        <v>-0.2462230793956926</v>
      </c>
      <c r="T936" s="6" t="s">
        <v>10113</v>
      </c>
      <c r="U936" s="6" t="str">
        <f t="shared" si="437"/>
        <v>=3.111*100000000</v>
      </c>
      <c r="V936" s="1">
        <f>3.111*100000000</f>
        <v>311100000</v>
      </c>
      <c r="W936" s="8">
        <f t="shared" si="454"/>
        <v>-0.56568476895155662</v>
      </c>
      <c r="X936" s="6" t="s">
        <v>10114</v>
      </c>
      <c r="Y936" s="6" t="str">
        <f t="shared" si="438"/>
        <v>=7.163*100000000</v>
      </c>
      <c r="Z936" s="1">
        <f>7.163*100000000</f>
        <v>716300000</v>
      </c>
      <c r="AA936" s="8">
        <f t="shared" si="455"/>
        <v>6.2444378522693564E-2</v>
      </c>
      <c r="AB936" s="6" t="s">
        <v>9245</v>
      </c>
      <c r="AC936" s="6" t="str">
        <f t="shared" si="439"/>
        <v>=6.742*100000000</v>
      </c>
      <c r="AD936" s="1">
        <f>6.742*100000000</f>
        <v>674200000</v>
      </c>
      <c r="AE936" s="8">
        <f t="shared" si="456"/>
        <v>1.4216954022988506</v>
      </c>
      <c r="AF936" s="6" t="s">
        <v>3873</v>
      </c>
      <c r="AG936" s="6" t="str">
        <f t="shared" si="440"/>
        <v>=2.784*100000000</v>
      </c>
      <c r="AH936" s="1">
        <f>2.784*100000000</f>
        <v>278400000</v>
      </c>
      <c r="AI936" s="8">
        <f t="shared" si="457"/>
        <v>-0.78812785388127848</v>
      </c>
      <c r="AJ936" s="6" t="s">
        <v>39</v>
      </c>
      <c r="AK936" s="6" t="str">
        <f t="shared" si="441"/>
        <v>=13.14*100000000</v>
      </c>
      <c r="AL936" s="1">
        <f>13.14*100000000</f>
        <v>1314000000</v>
      </c>
      <c r="AM936" s="8">
        <f t="shared" si="458"/>
        <v>0.55595026642984013</v>
      </c>
      <c r="AN936" s="6" t="s">
        <v>10115</v>
      </c>
      <c r="AO936" s="6" t="str">
        <f t="shared" si="442"/>
        <v>=8.445*100000000</v>
      </c>
      <c r="AP936" s="1">
        <f>8.445*100000000</f>
        <v>844500000</v>
      </c>
      <c r="AQ936" s="8">
        <f t="shared" si="459"/>
        <v>0.30444856348470806</v>
      </c>
      <c r="AR936" s="6" t="s">
        <v>10116</v>
      </c>
      <c r="AS936" s="6" t="str">
        <f t="shared" si="443"/>
        <v>=6.474*100000000</v>
      </c>
      <c r="AT936" s="1">
        <f>6.474*100000000</f>
        <v>647400000</v>
      </c>
      <c r="AU936" s="8">
        <f t="shared" si="460"/>
        <v>1.258897418004187</v>
      </c>
      <c r="AV936" s="6" t="s">
        <v>10117</v>
      </c>
      <c r="AW936" s="6" t="str">
        <f t="shared" si="444"/>
        <v>=2.866*100000000</v>
      </c>
      <c r="AX936" s="1">
        <f>2.866*100000000</f>
        <v>286600000</v>
      </c>
      <c r="AY936" s="10">
        <f t="shared" si="461"/>
        <v>-0.77486252945797329</v>
      </c>
      <c r="AZ936" s="6" t="s">
        <v>1590</v>
      </c>
      <c r="BA936" s="6" t="str">
        <f t="shared" si="445"/>
        <v>=12.73*100000000</v>
      </c>
      <c r="BB936" s="1">
        <f>12.73*100000000</f>
        <v>1273000000</v>
      </c>
      <c r="BC936" s="8">
        <f t="shared" si="462"/>
        <v>0.99311100673242525</v>
      </c>
      <c r="BD936" s="6" t="s">
        <v>10118</v>
      </c>
      <c r="BE936" s="6" t="str">
        <f t="shared" si="446"/>
        <v>=6.387*100000000</v>
      </c>
      <c r="BF936" s="1">
        <f>6.387*100000000</f>
        <v>638700000</v>
      </c>
      <c r="BG936" s="8">
        <f t="shared" si="463"/>
        <v>3.7692932575142161E-2</v>
      </c>
      <c r="BH936" s="6" t="s">
        <v>10119</v>
      </c>
      <c r="BI936" s="6" t="str">
        <f t="shared" si="447"/>
        <v>=6.155*100000000</v>
      </c>
      <c r="BJ936" s="1">
        <f>6.155*100000000</f>
        <v>615500000</v>
      </c>
      <c r="BK936" s="6" t="s">
        <v>5327</v>
      </c>
      <c r="BL936" s="1" t="str">
        <f t="shared" si="449"/>
        <v>=1.990*100000000</v>
      </c>
      <c r="BM936" s="16">
        <f t="shared" si="464"/>
        <v>2.0929648241206031</v>
      </c>
      <c r="BN936" s="1">
        <f>1.99*100000000</f>
        <v>199000000</v>
      </c>
    </row>
    <row r="937" spans="1:66">
      <c r="A937" s="19"/>
      <c r="B937">
        <v>600748</v>
      </c>
      <c r="C937" t="s">
        <v>68</v>
      </c>
      <c r="D937" s="6" t="s">
        <v>10120</v>
      </c>
      <c r="E937" s="7" t="str">
        <f t="shared" si="448"/>
        <v>=5.769*100000000</v>
      </c>
      <c r="F937" s="1">
        <f>5.769*100000000</f>
        <v>576900000</v>
      </c>
      <c r="G937" s="8">
        <f t="shared" si="450"/>
        <v>-2.10419141354149E-2</v>
      </c>
      <c r="H937" s="6" t="s">
        <v>10121</v>
      </c>
      <c r="I937" s="6" t="str">
        <f t="shared" si="434"/>
        <v>=5.893*100000000</v>
      </c>
      <c r="J937" s="1">
        <f>5.893*100000000</f>
        <v>589300000</v>
      </c>
      <c r="K937" s="10">
        <f t="shared" si="451"/>
        <v>0.16072483750246208</v>
      </c>
      <c r="L937" s="6" t="s">
        <v>10122</v>
      </c>
      <c r="M937" s="6" t="str">
        <f t="shared" si="435"/>
        <v>=5.077*100000000</v>
      </c>
      <c r="N937" s="1">
        <f>5.077*100000000</f>
        <v>507700000</v>
      </c>
      <c r="O937" s="8">
        <f t="shared" si="452"/>
        <v>1.991750147318798</v>
      </c>
      <c r="P937" s="6" t="s">
        <v>3515</v>
      </c>
      <c r="Q937" s="6" t="str">
        <f t="shared" si="436"/>
        <v>=1.697*100000000</v>
      </c>
      <c r="R937" s="11">
        <f>1.697*100000000</f>
        <v>169700000</v>
      </c>
      <c r="S937" s="8">
        <f t="shared" si="453"/>
        <v>-2.0540372670807452</v>
      </c>
      <c r="T937" s="6">
        <f>-1.61*100000000</f>
        <v>-161000000</v>
      </c>
      <c r="U937" s="6" t="str">
        <f t="shared" si="437"/>
        <v>=-161000000</v>
      </c>
      <c r="V937" s="1">
        <f>-161000000</f>
        <v>-161000000</v>
      </c>
      <c r="W937" s="8">
        <f t="shared" si="454"/>
        <v>-1.3409572215163066</v>
      </c>
      <c r="X937" s="6" t="s">
        <v>10123</v>
      </c>
      <c r="Y937" s="6" t="str">
        <f t="shared" si="438"/>
        <v>=4.722*100000000</v>
      </c>
      <c r="Z937" s="1">
        <f>4.722*100000000</f>
        <v>472200000.00000006</v>
      </c>
      <c r="AA937" s="8">
        <f t="shared" si="455"/>
        <v>3.9401276689412415E-2</v>
      </c>
      <c r="AB937" s="6" t="s">
        <v>9518</v>
      </c>
      <c r="AC937" s="6" t="str">
        <f t="shared" si="439"/>
        <v>=4.543*100000000</v>
      </c>
      <c r="AD937" s="1">
        <f>4.543*100000000</f>
        <v>454300000</v>
      </c>
      <c r="AE937" s="8">
        <f t="shared" si="456"/>
        <v>1.2590750870213825</v>
      </c>
      <c r="AF937" s="6" t="s">
        <v>10124</v>
      </c>
      <c r="AG937" s="6" t="str">
        <f t="shared" si="440"/>
        <v>=2.011*100000000</v>
      </c>
      <c r="AH937" s="1">
        <f>2.011*100000000</f>
        <v>201100000</v>
      </c>
      <c r="AI937" s="8">
        <f t="shared" si="457"/>
        <v>-0.77258848806965963</v>
      </c>
      <c r="AJ937" s="6" t="s">
        <v>10125</v>
      </c>
      <c r="AK937" s="6" t="str">
        <f t="shared" si="441"/>
        <v>=8.843*100000000</v>
      </c>
      <c r="AL937" s="1">
        <f>8.843*100000000</f>
        <v>884300000</v>
      </c>
      <c r="AM937" s="8">
        <f t="shared" si="458"/>
        <v>0.58533524560774475</v>
      </c>
      <c r="AN937" s="6" t="s">
        <v>10126</v>
      </c>
      <c r="AO937" s="6" t="str">
        <f t="shared" si="442"/>
        <v>=5.578*100000000</v>
      </c>
      <c r="AP937" s="1">
        <f>5.578*100000000</f>
        <v>557800000</v>
      </c>
      <c r="AQ937" s="8">
        <f t="shared" si="459"/>
        <v>6.1667301103920942E-2</v>
      </c>
      <c r="AR937" s="6" t="s">
        <v>10127</v>
      </c>
      <c r="AS937" s="6" t="str">
        <f t="shared" si="443"/>
        <v>=5.254*100000000</v>
      </c>
      <c r="AT937" s="1">
        <f>5.254*100000000</f>
        <v>525399999.99999994</v>
      </c>
      <c r="AU937" s="8">
        <f t="shared" si="460"/>
        <v>1.4448580735225685</v>
      </c>
      <c r="AV937" s="6" t="s">
        <v>10128</v>
      </c>
      <c r="AW937" s="6" t="str">
        <f t="shared" si="444"/>
        <v>=2.149*100000000</v>
      </c>
      <c r="AX937" s="1">
        <f>2.149*100000000</f>
        <v>214900000</v>
      </c>
      <c r="AY937" s="10">
        <f t="shared" si="461"/>
        <v>-0.7675500270416441</v>
      </c>
      <c r="AZ937" s="6" t="s">
        <v>3628</v>
      </c>
      <c r="BA937" s="6" t="str">
        <f t="shared" si="445"/>
        <v>=9.245*100000000</v>
      </c>
      <c r="BB937" s="1">
        <f>9.245*100000000</f>
        <v>924499999.99999988</v>
      </c>
      <c r="BC937" s="8">
        <f t="shared" si="462"/>
        <v>0.9361256544502613</v>
      </c>
      <c r="BD937" s="6" t="s">
        <v>10129</v>
      </c>
      <c r="BE937" s="6" t="str">
        <f t="shared" si="446"/>
        <v>=4.775*100000000</v>
      </c>
      <c r="BF937" s="1">
        <f>4.775*100000000</f>
        <v>477500000.00000006</v>
      </c>
      <c r="BG937" s="8">
        <f t="shared" si="463"/>
        <v>2.3360480068581223E-2</v>
      </c>
      <c r="BH937" s="6" t="s">
        <v>10130</v>
      </c>
      <c r="BI937" s="6" t="str">
        <f t="shared" si="447"/>
        <v>=4.666*100000000</v>
      </c>
      <c r="BJ937" s="1">
        <f>4.666*100000000</f>
        <v>466600000.00000006</v>
      </c>
      <c r="BK937" s="6" t="s">
        <v>10131</v>
      </c>
      <c r="BL937" s="1" t="str">
        <f t="shared" si="449"/>
        <v>=1.652*100000000</v>
      </c>
      <c r="BM937" s="16">
        <f t="shared" si="464"/>
        <v>1.8244552058111383</v>
      </c>
      <c r="BN937" s="1">
        <f>1.652*100000000</f>
        <v>165200000</v>
      </c>
    </row>
    <row r="938" spans="1:66">
      <c r="A938" s="17">
        <v>236</v>
      </c>
      <c r="B938">
        <v>600750</v>
      </c>
      <c r="C938" t="s">
        <v>31</v>
      </c>
      <c r="D938" s="6" t="s">
        <v>10132</v>
      </c>
      <c r="E938" s="7" t="str">
        <f t="shared" si="448"/>
        <v>=28.74*100000000</v>
      </c>
      <c r="F938" s="1">
        <f>28.74*100000000</f>
        <v>2874000000</v>
      </c>
      <c r="G938" s="8">
        <f t="shared" si="450"/>
        <v>0.48297213622291024</v>
      </c>
      <c r="H938" s="6" t="s">
        <v>7529</v>
      </c>
      <c r="I938" s="6" t="str">
        <f t="shared" si="434"/>
        <v>=19.38*100000000</v>
      </c>
      <c r="J938" s="1">
        <f>19.38*100000000</f>
        <v>1938000000</v>
      </c>
      <c r="K938" s="10">
        <f t="shared" si="451"/>
        <v>0.53080568720379151</v>
      </c>
      <c r="L938" s="6" t="s">
        <v>3023</v>
      </c>
      <c r="M938" s="6" t="str">
        <f t="shared" si="435"/>
        <v>=12.66*100000000</v>
      </c>
      <c r="N938" s="1">
        <f>12.66*100000000</f>
        <v>1266000000</v>
      </c>
      <c r="O938" s="8">
        <f t="shared" si="452"/>
        <v>0.86863468634686347</v>
      </c>
      <c r="P938" s="6" t="s">
        <v>10133</v>
      </c>
      <c r="Q938" s="6" t="str">
        <f t="shared" si="436"/>
        <v>=6.775*100000000</v>
      </c>
      <c r="R938" s="11">
        <f>6.775*100000000</f>
        <v>677500000</v>
      </c>
      <c r="S938" s="8">
        <f t="shared" si="453"/>
        <v>-0.72244981564932409</v>
      </c>
      <c r="T938" s="6" t="s">
        <v>10134</v>
      </c>
      <c r="U938" s="6" t="str">
        <f t="shared" si="437"/>
        <v>=24.41*100000000</v>
      </c>
      <c r="V938" s="1">
        <f>24.41*100000000</f>
        <v>2441000000</v>
      </c>
      <c r="W938" s="8">
        <f t="shared" si="454"/>
        <v>0.40691642651296811</v>
      </c>
      <c r="X938" s="6" t="s">
        <v>6749</v>
      </c>
      <c r="Y938" s="6" t="str">
        <f t="shared" si="438"/>
        <v>=17.35*100000000</v>
      </c>
      <c r="Z938" s="1">
        <f>17.35*100000000</f>
        <v>1735000000.0000002</v>
      </c>
      <c r="AA938" s="8">
        <f t="shared" si="455"/>
        <v>0.49827288428324717</v>
      </c>
      <c r="AB938" s="6" t="s">
        <v>2669</v>
      </c>
      <c r="AC938" s="6" t="str">
        <f t="shared" si="439"/>
        <v>=11.58*100000000</v>
      </c>
      <c r="AD938" s="1">
        <f>11.58*100000000</f>
        <v>1158000000</v>
      </c>
      <c r="AE938" s="8">
        <f t="shared" si="456"/>
        <v>1.2044545973729297</v>
      </c>
      <c r="AF938" s="6" t="s">
        <v>10135</v>
      </c>
      <c r="AG938" s="6" t="str">
        <f t="shared" si="440"/>
        <v>=5.253*100000000</v>
      </c>
      <c r="AH938" s="1">
        <f>5.253*100000000</f>
        <v>525300000</v>
      </c>
      <c r="AI938" s="8">
        <f t="shared" si="457"/>
        <v>-0.78550428746427114</v>
      </c>
      <c r="AJ938" s="6" t="s">
        <v>10136</v>
      </c>
      <c r="AK938" s="6" t="str">
        <f t="shared" si="441"/>
        <v>=24.49*100000000</v>
      </c>
      <c r="AL938" s="1">
        <f>24.49*100000000</f>
        <v>2449000000</v>
      </c>
      <c r="AM938" s="8">
        <f t="shared" si="458"/>
        <v>0.43720657276995306</v>
      </c>
      <c r="AN938" s="6" t="s">
        <v>5260</v>
      </c>
      <c r="AO938" s="6" t="str">
        <f t="shared" si="442"/>
        <v>=17.04*100000000</v>
      </c>
      <c r="AP938" s="1">
        <f>17.04*100000000</f>
        <v>1704000000</v>
      </c>
      <c r="AQ938" s="8">
        <f t="shared" si="459"/>
        <v>0.49342681858019283</v>
      </c>
      <c r="AR938" s="6" t="s">
        <v>2444</v>
      </c>
      <c r="AS938" s="6" t="str">
        <f t="shared" si="443"/>
        <v>=11.41*100000000</v>
      </c>
      <c r="AT938" s="1">
        <f>11.41*100000000</f>
        <v>1141000000</v>
      </c>
      <c r="AU938" s="8">
        <f t="shared" si="460"/>
        <v>1.1235808672994603</v>
      </c>
      <c r="AV938" s="6" t="s">
        <v>10137</v>
      </c>
      <c r="AW938" s="6" t="str">
        <f t="shared" si="444"/>
        <v>=5.373*100000000</v>
      </c>
      <c r="AX938" s="1">
        <f>5.373*100000000</f>
        <v>537300000</v>
      </c>
      <c r="AY938" s="10">
        <f t="shared" si="461"/>
        <v>-0.69384615384615389</v>
      </c>
      <c r="AZ938" s="6" t="s">
        <v>10138</v>
      </c>
      <c r="BA938" s="6" t="str">
        <f t="shared" si="445"/>
        <v>=17.55*100000000</v>
      </c>
      <c r="BB938" s="1">
        <f>17.55*100000000</f>
        <v>1755000000</v>
      </c>
      <c r="BC938" s="8">
        <f t="shared" si="462"/>
        <v>0.35835913312693496</v>
      </c>
      <c r="BD938" s="6" t="s">
        <v>3269</v>
      </c>
      <c r="BE938" s="6" t="str">
        <f t="shared" si="446"/>
        <v>=12.92*100000000</v>
      </c>
      <c r="BF938" s="1">
        <f>12.92*100000000</f>
        <v>1292000000</v>
      </c>
      <c r="BG938" s="8">
        <f t="shared" si="463"/>
        <v>0.44325290437890974</v>
      </c>
      <c r="BH938" s="6" t="s">
        <v>10139</v>
      </c>
      <c r="BI938" s="6" t="str">
        <f t="shared" si="447"/>
        <v>=8.952*100000000</v>
      </c>
      <c r="BJ938" s="1">
        <f>8.952*100000000</f>
        <v>895200000</v>
      </c>
      <c r="BK938" s="6" t="s">
        <v>9250</v>
      </c>
      <c r="BL938" s="1" t="str">
        <f t="shared" si="449"/>
        <v>=4.603*100000000</v>
      </c>
      <c r="BM938" s="16">
        <f t="shared" si="464"/>
        <v>0.94481859656745604</v>
      </c>
      <c r="BN938" s="1">
        <f>4.603*100000000</f>
        <v>460300000</v>
      </c>
    </row>
    <row r="939" spans="1:66">
      <c r="A939" s="18"/>
      <c r="B939">
        <v>600750</v>
      </c>
      <c r="C939" t="s">
        <v>48</v>
      </c>
      <c r="D939" s="6" t="s">
        <v>2375</v>
      </c>
      <c r="E939" s="7" t="str">
        <f t="shared" si="448"/>
        <v>=6.260*100000000</v>
      </c>
      <c r="F939" s="1">
        <f>6.26*100000000</f>
        <v>626000000</v>
      </c>
      <c r="G939" s="8">
        <f t="shared" si="450"/>
        <v>0.12347451543431442</v>
      </c>
      <c r="H939" s="6" t="s">
        <v>5032</v>
      </c>
      <c r="I939" s="6" t="str">
        <f t="shared" si="434"/>
        <v>=5.572*100000000</v>
      </c>
      <c r="J939" s="1">
        <f>5.572*100000000</f>
        <v>557200000</v>
      </c>
      <c r="K939" s="10">
        <f t="shared" si="451"/>
        <v>0.50350782514840797</v>
      </c>
      <c r="L939" s="6" t="s">
        <v>10140</v>
      </c>
      <c r="M939" s="6" t="str">
        <f t="shared" si="435"/>
        <v>=3.706*100000000</v>
      </c>
      <c r="N939" s="1">
        <f>3.706*100000000</f>
        <v>370600000</v>
      </c>
      <c r="O939" s="8">
        <f t="shared" si="452"/>
        <v>0.95361096468107542</v>
      </c>
      <c r="P939" s="6" t="s">
        <v>4924</v>
      </c>
      <c r="Q939" s="6" t="str">
        <f t="shared" si="436"/>
        <v>=1.897*100000000</v>
      </c>
      <c r="R939" s="11">
        <f>1.897*100000000</f>
        <v>189700000</v>
      </c>
      <c r="S939" s="8">
        <f t="shared" si="453"/>
        <v>-0.66945460881686703</v>
      </c>
      <c r="T939" s="6" t="s">
        <v>10141</v>
      </c>
      <c r="U939" s="6" t="str">
        <f t="shared" si="437"/>
        <v>=5.739*100000000</v>
      </c>
      <c r="V939" s="1">
        <f>5.739*100000000</f>
        <v>573900000</v>
      </c>
      <c r="W939" s="8">
        <f t="shared" si="454"/>
        <v>0.17819749538082516</v>
      </c>
      <c r="X939" s="6" t="s">
        <v>1828</v>
      </c>
      <c r="Y939" s="6" t="str">
        <f t="shared" si="438"/>
        <v>=4.871*100000000</v>
      </c>
      <c r="Z939" s="1">
        <f>4.871*100000000</f>
        <v>487100000.00000006</v>
      </c>
      <c r="AA939" s="8">
        <f t="shared" si="455"/>
        <v>0.4649624060150378</v>
      </c>
      <c r="AB939" s="6" t="s">
        <v>1416</v>
      </c>
      <c r="AC939" s="6" t="str">
        <f t="shared" si="439"/>
        <v>=3.325*100000000</v>
      </c>
      <c r="AD939" s="1">
        <f>3.325*100000000</f>
        <v>332500000</v>
      </c>
      <c r="AE939" s="8">
        <f t="shared" si="456"/>
        <v>1.0613763174209547</v>
      </c>
      <c r="AF939" s="6" t="s">
        <v>10142</v>
      </c>
      <c r="AG939" s="6" t="str">
        <f t="shared" si="440"/>
        <v>=1.613*100000000</v>
      </c>
      <c r="AH939" s="1">
        <f>1.613*100000000</f>
        <v>161300000</v>
      </c>
      <c r="AI939" s="8">
        <f t="shared" si="457"/>
        <v>-0.71582100070472165</v>
      </c>
      <c r="AJ939" s="6" t="s">
        <v>1865</v>
      </c>
      <c r="AK939" s="6" t="str">
        <f t="shared" si="441"/>
        <v>=5.676*100000000</v>
      </c>
      <c r="AL939" s="1">
        <f>5.676*100000000</f>
        <v>567600000</v>
      </c>
      <c r="AM939" s="8">
        <f t="shared" si="458"/>
        <v>0.21411764705882352</v>
      </c>
      <c r="AN939" s="6" t="s">
        <v>10143</v>
      </c>
      <c r="AO939" s="6" t="str">
        <f t="shared" si="442"/>
        <v>=4.675*100000000</v>
      </c>
      <c r="AP939" s="1">
        <f>4.675*100000000</f>
        <v>467500000</v>
      </c>
      <c r="AQ939" s="8">
        <f t="shared" si="459"/>
        <v>0.51098901098901095</v>
      </c>
      <c r="AR939" s="6" t="s">
        <v>10144</v>
      </c>
      <c r="AS939" s="6" t="str">
        <f t="shared" si="443"/>
        <v>=3.094*100000000</v>
      </c>
      <c r="AT939" s="1">
        <f>3.094*100000000</f>
        <v>309400000</v>
      </c>
      <c r="AU939" s="8">
        <f t="shared" si="460"/>
        <v>0.98843187660668386</v>
      </c>
      <c r="AV939" s="6" t="s">
        <v>1284</v>
      </c>
      <c r="AW939" s="6" t="str">
        <f t="shared" si="444"/>
        <v>=1.556*100000000</v>
      </c>
      <c r="AX939" s="1">
        <f>1.556*100000000</f>
        <v>155600000</v>
      </c>
      <c r="AY939" s="10">
        <f t="shared" si="461"/>
        <v>-0.71616198467712511</v>
      </c>
      <c r="AZ939" s="6" t="s">
        <v>10145</v>
      </c>
      <c r="BA939" s="6" t="str">
        <f t="shared" si="445"/>
        <v>=5.482*100000000</v>
      </c>
      <c r="BB939" s="1">
        <f>5.482*100000000</f>
        <v>548200000</v>
      </c>
      <c r="BC939" s="8">
        <f t="shared" si="462"/>
        <v>0.33772571986334798</v>
      </c>
      <c r="BD939" s="6" t="s">
        <v>9047</v>
      </c>
      <c r="BE939" s="6" t="str">
        <f t="shared" si="446"/>
        <v>=4.098*100000000</v>
      </c>
      <c r="BF939" s="1">
        <f>4.098*100000000</f>
        <v>409800000</v>
      </c>
      <c r="BG939" s="8">
        <f t="shared" si="463"/>
        <v>0.53196261682243007</v>
      </c>
      <c r="BH939" s="6" t="s">
        <v>7642</v>
      </c>
      <c r="BI939" s="6" t="str">
        <f t="shared" si="447"/>
        <v>=2.675*100000000</v>
      </c>
      <c r="BJ939" s="1">
        <f>2.675*100000000</f>
        <v>267499999.99999997</v>
      </c>
      <c r="BK939" s="6" t="s">
        <v>10146</v>
      </c>
      <c r="BL939" s="1" t="str">
        <f t="shared" si="449"/>
        <v>=1.343*100000000</v>
      </c>
      <c r="BM939" s="16">
        <f t="shared" si="464"/>
        <v>0.99180938198064017</v>
      </c>
      <c r="BN939" s="1">
        <f>1.343*100000000</f>
        <v>134300000</v>
      </c>
    </row>
    <row r="940" spans="1:66">
      <c r="A940" s="18"/>
      <c r="B940">
        <v>600750</v>
      </c>
      <c r="C940" t="s">
        <v>58</v>
      </c>
      <c r="D940" s="6" t="s">
        <v>10147</v>
      </c>
      <c r="E940" s="7" t="str">
        <f t="shared" si="448"/>
        <v>=6.231*100000000</v>
      </c>
      <c r="F940" s="1">
        <f>6.231*100000000</f>
        <v>623100000</v>
      </c>
      <c r="G940" s="8">
        <f t="shared" si="450"/>
        <v>0.12007909401402121</v>
      </c>
      <c r="H940" s="6" t="s">
        <v>8575</v>
      </c>
      <c r="I940" s="6" t="str">
        <f t="shared" si="434"/>
        <v>=5.563*100000000</v>
      </c>
      <c r="J940" s="1">
        <f>5.563*100000000</f>
        <v>556300000</v>
      </c>
      <c r="K940" s="10">
        <f t="shared" si="451"/>
        <v>0.49824939402100726</v>
      </c>
      <c r="L940" s="6" t="s">
        <v>10148</v>
      </c>
      <c r="M940" s="6" t="str">
        <f t="shared" si="435"/>
        <v>=3.713*100000000</v>
      </c>
      <c r="N940" s="1">
        <f>3.713*100000000</f>
        <v>371300000</v>
      </c>
      <c r="O940" s="8">
        <f t="shared" si="452"/>
        <v>0.95215562565720291</v>
      </c>
      <c r="P940" s="6" t="s">
        <v>10149</v>
      </c>
      <c r="Q940" s="6" t="str">
        <f t="shared" si="436"/>
        <v>=1.902*100000000</v>
      </c>
      <c r="R940" s="11">
        <f>1.902*100000000</f>
        <v>190200000</v>
      </c>
      <c r="S940" s="8">
        <f t="shared" si="453"/>
        <v>-0.67172937521574039</v>
      </c>
      <c r="T940" s="6" t="s">
        <v>10150</v>
      </c>
      <c r="U940" s="6" t="str">
        <f t="shared" si="437"/>
        <v>=5.794*100000000</v>
      </c>
      <c r="V940" s="1">
        <f>5.794*100000000</f>
        <v>579400000</v>
      </c>
      <c r="W940" s="8">
        <f t="shared" si="454"/>
        <v>0.18851282051282051</v>
      </c>
      <c r="X940" s="6" t="s">
        <v>10151</v>
      </c>
      <c r="Y940" s="6" t="str">
        <f t="shared" si="438"/>
        <v>=4.875*100000000</v>
      </c>
      <c r="Z940" s="1">
        <f>4.875*100000000</f>
        <v>487500000</v>
      </c>
      <c r="AA940" s="8">
        <f t="shared" si="455"/>
        <v>0.46484375</v>
      </c>
      <c r="AB940" s="6" t="s">
        <v>2306</v>
      </c>
      <c r="AC940" s="6" t="str">
        <f t="shared" si="439"/>
        <v>=3.328*100000000</v>
      </c>
      <c r="AD940" s="1">
        <f>3.328*100000000</f>
        <v>332800000</v>
      </c>
      <c r="AE940" s="8">
        <f t="shared" si="456"/>
        <v>1.064516129032258</v>
      </c>
      <c r="AF940" s="6" t="s">
        <v>10152</v>
      </c>
      <c r="AG940" s="6" t="str">
        <f t="shared" si="440"/>
        <v>=1.612*100000000</v>
      </c>
      <c r="AH940" s="1">
        <f>1.612*100000000</f>
        <v>161200000</v>
      </c>
      <c r="AI940" s="8">
        <f t="shared" si="457"/>
        <v>-0.71519434628975265</v>
      </c>
      <c r="AJ940" s="6" t="s">
        <v>7878</v>
      </c>
      <c r="AK940" s="6" t="str">
        <f t="shared" si="441"/>
        <v>=5.660*100000000</v>
      </c>
      <c r="AL940" s="1">
        <f>5.66*100000000</f>
        <v>566000000</v>
      </c>
      <c r="AM940" s="8">
        <f t="shared" si="458"/>
        <v>0.21121335330622726</v>
      </c>
      <c r="AN940" s="6" t="s">
        <v>10153</v>
      </c>
      <c r="AO940" s="6" t="str">
        <f t="shared" si="442"/>
        <v>=4.673*100000000</v>
      </c>
      <c r="AP940" s="1">
        <f>4.673*100000000</f>
        <v>467300000</v>
      </c>
      <c r="AQ940" s="8">
        <f t="shared" si="459"/>
        <v>0.51622323166774819</v>
      </c>
      <c r="AR940" s="6" t="s">
        <v>10154</v>
      </c>
      <c r="AS940" s="6" t="str">
        <f t="shared" si="443"/>
        <v>=3.082*100000000</v>
      </c>
      <c r="AT940" s="1">
        <f>3.082*100000000</f>
        <v>308200000</v>
      </c>
      <c r="AU940" s="8">
        <f t="shared" si="460"/>
        <v>0.99224305106658051</v>
      </c>
      <c r="AV940" s="6" t="s">
        <v>9543</v>
      </c>
      <c r="AW940" s="6" t="str">
        <f t="shared" si="444"/>
        <v>=1.547*100000000</v>
      </c>
      <c r="AX940" s="1">
        <f>1.547*100000000</f>
        <v>154700000</v>
      </c>
      <c r="AY940" s="10">
        <f t="shared" si="461"/>
        <v>-0.71764920605949989</v>
      </c>
      <c r="AZ940" s="6" t="s">
        <v>10155</v>
      </c>
      <c r="BA940" s="6" t="str">
        <f t="shared" si="445"/>
        <v>=5.479*100000000</v>
      </c>
      <c r="BB940" s="1">
        <f>5.479*100000000</f>
        <v>547900000</v>
      </c>
      <c r="BC940" s="8">
        <f t="shared" si="462"/>
        <v>0.33895405669599238</v>
      </c>
      <c r="BD940" s="6" t="s">
        <v>8775</v>
      </c>
      <c r="BE940" s="6" t="str">
        <f t="shared" si="446"/>
        <v>=4.092*100000000</v>
      </c>
      <c r="BF940" s="1">
        <f>4.092*100000000</f>
        <v>409199999.99999994</v>
      </c>
      <c r="BG940" s="8">
        <f t="shared" si="463"/>
        <v>0.53029169783096464</v>
      </c>
      <c r="BH940" s="6" t="s">
        <v>4034</v>
      </c>
      <c r="BI940" s="6" t="str">
        <f t="shared" si="447"/>
        <v>=2.674*100000000</v>
      </c>
      <c r="BJ940" s="1">
        <f>2.674*100000000</f>
        <v>267400000</v>
      </c>
      <c r="BK940" s="6" t="s">
        <v>10156</v>
      </c>
      <c r="BL940" s="1" t="str">
        <f t="shared" si="449"/>
        <v>=1.346*100000000</v>
      </c>
      <c r="BM940" s="16">
        <f t="shared" si="464"/>
        <v>0.98662704309063898</v>
      </c>
      <c r="BN940" s="1">
        <f>1.346*100000000</f>
        <v>134600000</v>
      </c>
    </row>
    <row r="941" spans="1:66">
      <c r="A941" s="19"/>
      <c r="B941">
        <v>600750</v>
      </c>
      <c r="C941" t="s">
        <v>68</v>
      </c>
      <c r="D941" s="6" t="s">
        <v>10157</v>
      </c>
      <c r="E941" s="7" t="str">
        <f t="shared" si="448"/>
        <v>=5.309*100000000</v>
      </c>
      <c r="F941" s="1">
        <f>5.309*100000000</f>
        <v>530900000</v>
      </c>
      <c r="G941" s="8">
        <f t="shared" si="450"/>
        <v>0.13829331046312193</v>
      </c>
      <c r="H941" s="6" t="s">
        <v>4661</v>
      </c>
      <c r="I941" s="6" t="str">
        <f t="shared" si="434"/>
        <v>=4.664*100000000</v>
      </c>
      <c r="J941" s="1">
        <f>4.664*100000000</f>
        <v>466399999.99999994</v>
      </c>
      <c r="K941" s="10">
        <f t="shared" si="451"/>
        <v>0.47501581277672339</v>
      </c>
      <c r="L941" s="6" t="s">
        <v>10158</v>
      </c>
      <c r="M941" s="6" t="str">
        <f t="shared" si="435"/>
        <v>=3.162*100000000</v>
      </c>
      <c r="N941" s="1">
        <f>3.162*100000000</f>
        <v>316200000</v>
      </c>
      <c r="O941" s="8">
        <f t="shared" si="452"/>
        <v>0.95064774830351639</v>
      </c>
      <c r="P941" s="6" t="s">
        <v>9634</v>
      </c>
      <c r="Q941" s="6" t="str">
        <f t="shared" si="436"/>
        <v>=1.621*100000000</v>
      </c>
      <c r="R941" s="11">
        <f>1.621*100000000</f>
        <v>162100000</v>
      </c>
      <c r="S941" s="8">
        <f t="shared" si="453"/>
        <v>-0.66938609014888839</v>
      </c>
      <c r="T941" s="6" t="s">
        <v>10159</v>
      </c>
      <c r="U941" s="6" t="str">
        <f t="shared" si="437"/>
        <v>=4.903*100000000</v>
      </c>
      <c r="V941" s="1">
        <f>4.903*100000000</f>
        <v>490299999.99999994</v>
      </c>
      <c r="W941" s="8">
        <f t="shared" si="454"/>
        <v>0.19352482960077899</v>
      </c>
      <c r="X941" s="6" t="s">
        <v>10160</v>
      </c>
      <c r="Y941" s="6" t="str">
        <f t="shared" si="438"/>
        <v>=4.108*100000000</v>
      </c>
      <c r="Z941" s="1">
        <f>4.108*100000000</f>
        <v>410799999.99999994</v>
      </c>
      <c r="AA941" s="8">
        <f t="shared" si="455"/>
        <v>0.47240143369175608</v>
      </c>
      <c r="AB941" s="6" t="s">
        <v>5007</v>
      </c>
      <c r="AC941" s="6" t="str">
        <f t="shared" si="439"/>
        <v>=2.790*100000000</v>
      </c>
      <c r="AD941" s="1">
        <f>2.79*100000000</f>
        <v>279000000</v>
      </c>
      <c r="AE941" s="8">
        <f t="shared" si="456"/>
        <v>1.0774385703648548</v>
      </c>
      <c r="AF941" s="6" t="s">
        <v>10146</v>
      </c>
      <c r="AG941" s="6" t="str">
        <f t="shared" si="440"/>
        <v>=1.343*100000000</v>
      </c>
      <c r="AH941" s="1">
        <f>1.343*100000000</f>
        <v>134300000</v>
      </c>
      <c r="AI941" s="8">
        <f t="shared" si="457"/>
        <v>-0.71985815602836878</v>
      </c>
      <c r="AJ941" s="6" t="s">
        <v>10161</v>
      </c>
      <c r="AK941" s="6" t="str">
        <f t="shared" si="441"/>
        <v>=4.794*100000000</v>
      </c>
      <c r="AL941" s="1">
        <f>4.794*100000000</f>
        <v>479399999.99999994</v>
      </c>
      <c r="AM941" s="8">
        <f t="shared" si="458"/>
        <v>0.22109016811003551</v>
      </c>
      <c r="AN941" s="6" t="s">
        <v>10162</v>
      </c>
      <c r="AO941" s="6" t="str">
        <f t="shared" si="442"/>
        <v>=3.926*100000000</v>
      </c>
      <c r="AP941" s="1">
        <f>3.926*100000000</f>
        <v>392600000</v>
      </c>
      <c r="AQ941" s="8">
        <f t="shared" si="459"/>
        <v>0.5152450791200307</v>
      </c>
      <c r="AR941" s="6" t="s">
        <v>10163</v>
      </c>
      <c r="AS941" s="6" t="str">
        <f t="shared" si="443"/>
        <v>=2.591*100000000</v>
      </c>
      <c r="AT941" s="1">
        <f>2.591*100000000</f>
        <v>259100000.00000003</v>
      </c>
      <c r="AU941" s="8">
        <f t="shared" si="460"/>
        <v>0.98696319018404932</v>
      </c>
      <c r="AV941" s="6" t="s">
        <v>6899</v>
      </c>
      <c r="AW941" s="6" t="str">
        <f t="shared" si="444"/>
        <v>=1.304*100000000</v>
      </c>
      <c r="AX941" s="1">
        <f>1.304*100000000</f>
        <v>130400000</v>
      </c>
      <c r="AY941" s="10">
        <f t="shared" si="461"/>
        <v>-0.72267120374308802</v>
      </c>
      <c r="AZ941" s="6" t="s">
        <v>6751</v>
      </c>
      <c r="BA941" s="6" t="str">
        <f t="shared" si="445"/>
        <v>=4.702*100000000</v>
      </c>
      <c r="BB941" s="1">
        <f>4.702*100000000</f>
        <v>470200000</v>
      </c>
      <c r="BC941" s="8">
        <f t="shared" si="462"/>
        <v>0.32975113122171945</v>
      </c>
      <c r="BD941" s="6" t="s">
        <v>10164</v>
      </c>
      <c r="BE941" s="6" t="str">
        <f t="shared" si="446"/>
        <v>=3.536*100000000</v>
      </c>
      <c r="BF941" s="1">
        <f>3.536*100000000</f>
        <v>353600000</v>
      </c>
      <c r="BG941" s="8">
        <f t="shared" si="463"/>
        <v>0.54883924660534389</v>
      </c>
      <c r="BH941" s="6" t="s">
        <v>10165</v>
      </c>
      <c r="BI941" s="6" t="str">
        <f t="shared" si="447"/>
        <v>=2.283*100000000</v>
      </c>
      <c r="BJ941" s="1">
        <f>2.283*100000000</f>
        <v>228300000</v>
      </c>
      <c r="BK941" s="6" t="s">
        <v>2109</v>
      </c>
      <c r="BL941" s="1" t="str">
        <f t="shared" si="449"/>
        <v>=1.161*100000000</v>
      </c>
      <c r="BM941" s="16">
        <f t="shared" si="464"/>
        <v>0.96640826873385011</v>
      </c>
      <c r="BN941" s="1">
        <f>1.161*100000000</f>
        <v>116100000</v>
      </c>
    </row>
    <row r="942" spans="1:66">
      <c r="A942" s="17">
        <v>237</v>
      </c>
      <c r="B942">
        <v>600754</v>
      </c>
      <c r="C942" t="s">
        <v>31</v>
      </c>
      <c r="D942" s="6" t="s">
        <v>9499</v>
      </c>
      <c r="E942" s="7" t="str">
        <f t="shared" si="448"/>
        <v>=113.4*100000000</v>
      </c>
      <c r="F942" s="1">
        <f>113.4*100000000</f>
        <v>11340000000</v>
      </c>
      <c r="G942" s="8">
        <f t="shared" si="450"/>
        <v>0.35808383233532937</v>
      </c>
      <c r="H942" s="6" t="s">
        <v>10166</v>
      </c>
      <c r="I942" s="6" t="str">
        <f t="shared" si="434"/>
        <v>=83.50*100000000</v>
      </c>
      <c r="J942" s="1">
        <f>83.5*100000000</f>
        <v>8350000000</v>
      </c>
      <c r="K942" s="10">
        <f t="shared" si="451"/>
        <v>0.58654759642789289</v>
      </c>
      <c r="L942" s="6" t="s">
        <v>10167</v>
      </c>
      <c r="M942" s="6" t="str">
        <f t="shared" si="435"/>
        <v>=52.63*100000000</v>
      </c>
      <c r="N942" s="1">
        <f>52.63*100000000</f>
        <v>5263000000</v>
      </c>
      <c r="O942" s="8">
        <f t="shared" si="452"/>
        <v>1.2882608695652173</v>
      </c>
      <c r="P942" s="6" t="s">
        <v>5400</v>
      </c>
      <c r="Q942" s="6" t="str">
        <f t="shared" si="436"/>
        <v>=23.00*100000000</v>
      </c>
      <c r="R942" s="11">
        <f>23*100000000</f>
        <v>2300000000</v>
      </c>
      <c r="S942" s="8">
        <f t="shared" si="453"/>
        <v>-0.7676298242069105</v>
      </c>
      <c r="T942" s="6" t="s">
        <v>10168</v>
      </c>
      <c r="U942" s="6" t="str">
        <f t="shared" si="437"/>
        <v>=98.98*100000000</v>
      </c>
      <c r="V942" s="1">
        <f>98.98*100000000</f>
        <v>9898000000</v>
      </c>
      <c r="W942" s="8">
        <f t="shared" si="454"/>
        <v>0.41359611539560126</v>
      </c>
      <c r="X942" s="6" t="s">
        <v>10169</v>
      </c>
      <c r="Y942" s="6" t="str">
        <f t="shared" si="438"/>
        <v>=70.02*100000000</v>
      </c>
      <c r="Z942" s="1">
        <f>70.02*100000000</f>
        <v>7002000000</v>
      </c>
      <c r="AA942" s="8">
        <f t="shared" si="455"/>
        <v>0.71198044009779948</v>
      </c>
      <c r="AB942" s="6" t="s">
        <v>10170</v>
      </c>
      <c r="AC942" s="6" t="str">
        <f t="shared" si="439"/>
        <v>=40.90*100000000</v>
      </c>
      <c r="AD942" s="1">
        <f>40.9*100000000</f>
        <v>4090000000</v>
      </c>
      <c r="AE942" s="8">
        <f t="shared" si="456"/>
        <v>0.86843307446322526</v>
      </c>
      <c r="AF942" s="6" t="s">
        <v>3062</v>
      </c>
      <c r="AG942" s="6" t="str">
        <f t="shared" si="440"/>
        <v>=21.89*100000000</v>
      </c>
      <c r="AH942" s="1">
        <f>21.89*100000000</f>
        <v>2189000000</v>
      </c>
      <c r="AI942" s="8">
        <f t="shared" si="457"/>
        <v>-0.85503311258278147</v>
      </c>
      <c r="AJ942" s="6" t="s">
        <v>10171</v>
      </c>
      <c r="AK942" s="6" t="str">
        <f t="shared" si="441"/>
        <v>=151.0*100000000</v>
      </c>
      <c r="AL942" s="1">
        <f>151*100000000</f>
        <v>15100000000</v>
      </c>
      <c r="AM942" s="8">
        <f t="shared" si="458"/>
        <v>0.33865248226950356</v>
      </c>
      <c r="AN942" s="6" t="s">
        <v>10172</v>
      </c>
      <c r="AO942" s="6" t="str">
        <f t="shared" si="442"/>
        <v>=112.8*100000000</v>
      </c>
      <c r="AP942" s="1">
        <f>112.8*100000000</f>
        <v>11280000000</v>
      </c>
      <c r="AQ942" s="8">
        <f t="shared" si="459"/>
        <v>0.57916841663166718</v>
      </c>
      <c r="AR942" s="6" t="s">
        <v>10173</v>
      </c>
      <c r="AS942" s="6" t="str">
        <f t="shared" si="443"/>
        <v>=71.43*100000000</v>
      </c>
      <c r="AT942" s="1">
        <f>71.43*100000000</f>
        <v>7143000000.000001</v>
      </c>
      <c r="AU942" s="8">
        <f t="shared" si="460"/>
        <v>1.1405454000599347</v>
      </c>
      <c r="AV942" s="6" t="s">
        <v>10174</v>
      </c>
      <c r="AW942" s="6" t="str">
        <f t="shared" si="444"/>
        <v>=33.37*100000000</v>
      </c>
      <c r="AX942" s="1">
        <f>33.37*100000000</f>
        <v>3336999999.9999995</v>
      </c>
      <c r="AY942" s="10">
        <f t="shared" si="461"/>
        <v>-0.77299319727891158</v>
      </c>
      <c r="AZ942" s="6" t="s">
        <v>10175</v>
      </c>
      <c r="BA942" s="6" t="str">
        <f t="shared" si="445"/>
        <v>=147.0*100000000</v>
      </c>
      <c r="BB942" s="1">
        <f>147*100000000</f>
        <v>14700000000</v>
      </c>
      <c r="BC942" s="8">
        <f t="shared" si="462"/>
        <v>0.34124087591240876</v>
      </c>
      <c r="BD942" s="6" t="s">
        <v>10176</v>
      </c>
      <c r="BE942" s="6" t="str">
        <f t="shared" si="446"/>
        <v>=109.6*100000000</v>
      </c>
      <c r="BF942" s="1">
        <f>109.6*100000000</f>
        <v>10960000000</v>
      </c>
      <c r="BG942" s="8">
        <f t="shared" si="463"/>
        <v>0.5794783109958207</v>
      </c>
      <c r="BH942" s="6" t="s">
        <v>7338</v>
      </c>
      <c r="BI942" s="6" t="str">
        <f t="shared" si="447"/>
        <v>=69.39*100000000</v>
      </c>
      <c r="BJ942" s="1">
        <f>69.39*100000000</f>
        <v>6939000000</v>
      </c>
      <c r="BK942" s="6" t="s">
        <v>647</v>
      </c>
      <c r="BL942" s="1" t="str">
        <f t="shared" si="449"/>
        <v>=32.51*100000000</v>
      </c>
      <c r="BM942" s="16">
        <f t="shared" si="464"/>
        <v>1.1344201784066441</v>
      </c>
      <c r="BN942" s="1">
        <f>32.51*100000000</f>
        <v>3251000000</v>
      </c>
    </row>
    <row r="943" spans="1:66">
      <c r="A943" s="18"/>
      <c r="B943">
        <v>600754</v>
      </c>
      <c r="C943" t="s">
        <v>48</v>
      </c>
      <c r="D943" s="6" t="s">
        <v>10177</v>
      </c>
      <c r="E943" s="7" t="str">
        <f t="shared" si="448"/>
        <v>=5.774*100000000</v>
      </c>
      <c r="F943" s="1">
        <f>5.774*100000000</f>
        <v>577400000</v>
      </c>
      <c r="G943" s="8">
        <f t="shared" si="450"/>
        <v>0.41658488714425929</v>
      </c>
      <c r="H943" s="6" t="s">
        <v>6816</v>
      </c>
      <c r="I943" s="6" t="str">
        <f t="shared" si="434"/>
        <v>=4.076*100000000</v>
      </c>
      <c r="J943" s="1">
        <f>4.076*100000000</f>
        <v>407599999.99999994</v>
      </c>
      <c r="K943" s="10">
        <f t="shared" si="451"/>
        <v>0.93910561370123669</v>
      </c>
      <c r="L943" s="6" t="s">
        <v>8605</v>
      </c>
      <c r="M943" s="6" t="str">
        <f t="shared" si="435"/>
        <v>=2.102*100000000</v>
      </c>
      <c r="N943" s="1">
        <f>2.102*100000000</f>
        <v>210200000</v>
      </c>
      <c r="O943" s="8">
        <f t="shared" si="452"/>
        <v>-2.1264737406216505</v>
      </c>
      <c r="P943" s="6">
        <f>-1.866*100000000</f>
        <v>-186600000</v>
      </c>
      <c r="Q943" s="6" t="str">
        <f t="shared" si="436"/>
        <v>=-186600000</v>
      </c>
      <c r="R943" s="11">
        <f>-186600000</f>
        <v>-186600000</v>
      </c>
      <c r="S943" s="8">
        <f t="shared" si="453"/>
        <v>-1.6719481454807346</v>
      </c>
      <c r="T943" s="6" t="s">
        <v>9036</v>
      </c>
      <c r="U943" s="6" t="str">
        <f t="shared" si="437"/>
        <v>=2.777*100000000</v>
      </c>
      <c r="V943" s="1">
        <f>2.777*100000000</f>
        <v>277700000</v>
      </c>
      <c r="W943" s="8">
        <f t="shared" si="454"/>
        <v>-0.11136</v>
      </c>
      <c r="X943" s="6" t="s">
        <v>2299</v>
      </c>
      <c r="Y943" s="6" t="str">
        <f t="shared" si="438"/>
        <v>=3.125*100000000</v>
      </c>
      <c r="Z943" s="1">
        <f>3.125*100000000</f>
        <v>312500000</v>
      </c>
      <c r="AA943" s="8">
        <f t="shared" si="455"/>
        <v>0.63784067085953877</v>
      </c>
      <c r="AB943" s="6" t="s">
        <v>4756</v>
      </c>
      <c r="AC943" s="6" t="str">
        <f t="shared" si="439"/>
        <v>=1.908*100000000</v>
      </c>
      <c r="AD943" s="1">
        <f>1.908*100000000</f>
        <v>190800000</v>
      </c>
      <c r="AE943" s="8">
        <f t="shared" si="456"/>
        <v>2.2175379426644182</v>
      </c>
      <c r="AF943" s="7" t="s">
        <v>5686</v>
      </c>
      <c r="AG943" s="6" t="str">
        <f t="shared" si="440"/>
        <v>=5930*10000</v>
      </c>
      <c r="AH943" s="1">
        <f>5930*10000</f>
        <v>59300000</v>
      </c>
      <c r="AI943" s="8">
        <f t="shared" si="457"/>
        <v>-0.96636415201361314</v>
      </c>
      <c r="AJ943" s="6" t="s">
        <v>9524</v>
      </c>
      <c r="AK943" s="6" t="str">
        <f t="shared" si="441"/>
        <v>=17.63*100000000</v>
      </c>
      <c r="AL943" s="1">
        <f>17.63*100000000</f>
        <v>1763000000</v>
      </c>
      <c r="AM943" s="8">
        <f t="shared" si="458"/>
        <v>0.32059925093632957</v>
      </c>
      <c r="AN943" s="6" t="s">
        <v>227</v>
      </c>
      <c r="AO943" s="6" t="str">
        <f t="shared" si="442"/>
        <v>=13.35*100000000</v>
      </c>
      <c r="AP943" s="1">
        <f>13.35*100000000</f>
        <v>1335000000</v>
      </c>
      <c r="AQ943" s="8">
        <f t="shared" si="459"/>
        <v>0.5110356536502545</v>
      </c>
      <c r="AR943" s="6" t="s">
        <v>10178</v>
      </c>
      <c r="AS943" s="6" t="str">
        <f t="shared" si="443"/>
        <v>=8.835*100000000</v>
      </c>
      <c r="AT943" s="1">
        <f>8.835*100000000</f>
        <v>883500000.00000012</v>
      </c>
      <c r="AU943" s="8">
        <f t="shared" si="460"/>
        <v>1.0390030002307873</v>
      </c>
      <c r="AV943" s="6" t="s">
        <v>10179</v>
      </c>
      <c r="AW943" s="6" t="str">
        <f t="shared" si="444"/>
        <v>=4.333*100000000</v>
      </c>
      <c r="AX943" s="1">
        <f>4.333*100000000</f>
        <v>433300000</v>
      </c>
      <c r="AY943" s="10">
        <f t="shared" si="461"/>
        <v>-0.72045161290322579</v>
      </c>
      <c r="AZ943" s="6" t="s">
        <v>10180</v>
      </c>
      <c r="BA943" s="6" t="str">
        <f t="shared" si="445"/>
        <v>=15.50*100000000</v>
      </c>
      <c r="BB943" s="1">
        <f>15.5*100000000</f>
        <v>1550000000</v>
      </c>
      <c r="BC943" s="8">
        <f t="shared" si="462"/>
        <v>0.19414483821263481</v>
      </c>
      <c r="BD943" s="6" t="s">
        <v>9725</v>
      </c>
      <c r="BE943" s="6" t="str">
        <f t="shared" si="446"/>
        <v>=12.98*100000000</v>
      </c>
      <c r="BF943" s="1">
        <f>12.98*100000000</f>
        <v>1298000000</v>
      </c>
      <c r="BG943" s="8">
        <f t="shared" si="463"/>
        <v>0.81411600279524809</v>
      </c>
      <c r="BH943" s="6" t="s">
        <v>10181</v>
      </c>
      <c r="BI943" s="6" t="str">
        <f t="shared" si="447"/>
        <v>=7.155*100000000</v>
      </c>
      <c r="BJ943" s="1">
        <f>7.155*100000000</f>
        <v>715500000</v>
      </c>
      <c r="BK943" s="6" t="s">
        <v>1723</v>
      </c>
      <c r="BL943" s="1" t="str">
        <f t="shared" si="449"/>
        <v>=2.586*100000000</v>
      </c>
      <c r="BM943" s="16">
        <f t="shared" si="464"/>
        <v>1.7668213457076567</v>
      </c>
      <c r="BN943" s="1">
        <f>2.586*100000000</f>
        <v>258600000</v>
      </c>
    </row>
    <row r="944" spans="1:66">
      <c r="A944" s="18"/>
      <c r="B944">
        <v>600754</v>
      </c>
      <c r="C944" t="s">
        <v>58</v>
      </c>
      <c r="D944" s="6" t="s">
        <v>10182</v>
      </c>
      <c r="E944" s="7" t="str">
        <f t="shared" si="448"/>
        <v>=6.048*100000000</v>
      </c>
      <c r="F944" s="1">
        <f>6.048*100000000</f>
        <v>604800000</v>
      </c>
      <c r="G944" s="8">
        <f t="shared" si="450"/>
        <v>0.39741219963031421</v>
      </c>
      <c r="H944" s="6" t="s">
        <v>10183</v>
      </c>
      <c r="I944" s="6" t="str">
        <f t="shared" si="434"/>
        <v>=4.328*100000000</v>
      </c>
      <c r="J944" s="1">
        <f>4.328*100000000</f>
        <v>432800000</v>
      </c>
      <c r="K944" s="10">
        <f t="shared" si="451"/>
        <v>0.91929046563192907</v>
      </c>
      <c r="L944" s="6" t="s">
        <v>5202</v>
      </c>
      <c r="M944" s="6" t="str">
        <f t="shared" si="435"/>
        <v>=2.255*100000000</v>
      </c>
      <c r="N944" s="1">
        <f>2.255*100000000</f>
        <v>225500000</v>
      </c>
      <c r="O944" s="8">
        <f t="shared" si="452"/>
        <v>-2.2176025917926565</v>
      </c>
      <c r="P944" s="6">
        <f>-1.852*100000000</f>
        <v>-185200000</v>
      </c>
      <c r="Q944" s="6" t="str">
        <f t="shared" si="436"/>
        <v>=-185200000</v>
      </c>
      <c r="R944" s="11">
        <f>-185200000</f>
        <v>-185200000</v>
      </c>
      <c r="S944" s="8">
        <f t="shared" si="453"/>
        <v>-1.6100131752305666</v>
      </c>
      <c r="T944" s="6" t="s">
        <v>10184</v>
      </c>
      <c r="U944" s="6" t="str">
        <f t="shared" si="437"/>
        <v>=3.036*100000000</v>
      </c>
      <c r="V944" s="1">
        <f>3.036*100000000</f>
        <v>303600000</v>
      </c>
      <c r="W944" s="8">
        <f t="shared" si="454"/>
        <v>-0.10521662245800177</v>
      </c>
      <c r="X944" s="6" t="s">
        <v>10185</v>
      </c>
      <c r="Y944" s="6" t="str">
        <f t="shared" si="438"/>
        <v>=3.393*100000000</v>
      </c>
      <c r="Z944" s="1">
        <f>3.393*100000000</f>
        <v>339300000</v>
      </c>
      <c r="AA944" s="8">
        <f t="shared" si="455"/>
        <v>0.63124999999999998</v>
      </c>
      <c r="AB944" s="6" t="s">
        <v>8872</v>
      </c>
      <c r="AC944" s="6" t="str">
        <f t="shared" si="439"/>
        <v>=2.080*100000000</v>
      </c>
      <c r="AD944" s="1">
        <f>2.08*100000000</f>
        <v>208000000</v>
      </c>
      <c r="AE944" s="8">
        <f t="shared" si="456"/>
        <v>2.2781717888100865</v>
      </c>
      <c r="AF944" s="7" t="s">
        <v>9446</v>
      </c>
      <c r="AG944" s="6" t="str">
        <f t="shared" si="440"/>
        <v>=6345*10000</v>
      </c>
      <c r="AH944" s="1">
        <f>6345*10000</f>
        <v>63450000</v>
      </c>
      <c r="AI944" s="8">
        <f t="shared" si="457"/>
        <v>-0.96392836839113127</v>
      </c>
      <c r="AJ944" s="6" t="s">
        <v>9060</v>
      </c>
      <c r="AK944" s="6" t="str">
        <f t="shared" si="441"/>
        <v>=17.59*100000000</v>
      </c>
      <c r="AL944" s="1">
        <f>17.59*100000000</f>
        <v>1759000000</v>
      </c>
      <c r="AM944" s="8">
        <f t="shared" si="458"/>
        <v>0.30975428145941919</v>
      </c>
      <c r="AN944" s="6" t="s">
        <v>8942</v>
      </c>
      <c r="AO944" s="6" t="str">
        <f t="shared" si="442"/>
        <v>=13.43*100000000</v>
      </c>
      <c r="AP944" s="1">
        <f>13.43*100000000</f>
        <v>1343000000</v>
      </c>
      <c r="AQ944" s="8">
        <f t="shared" si="459"/>
        <v>0.5147755470336115</v>
      </c>
      <c r="AR944" s="6" t="s">
        <v>6693</v>
      </c>
      <c r="AS944" s="6" t="str">
        <f t="shared" si="443"/>
        <v>=8.866*100000000</v>
      </c>
      <c r="AT944" s="1">
        <f>8.866*100000000</f>
        <v>886600000</v>
      </c>
      <c r="AU944" s="8">
        <f t="shared" si="460"/>
        <v>1.0040687160940323</v>
      </c>
      <c r="AV944" s="6" t="s">
        <v>10186</v>
      </c>
      <c r="AW944" s="6" t="str">
        <f t="shared" si="444"/>
        <v>=4.424*100000000</v>
      </c>
      <c r="AX944" s="1">
        <f>4.424*100000000</f>
        <v>442400000.00000006</v>
      </c>
      <c r="AY944" s="10">
        <f t="shared" si="461"/>
        <v>-0.7171355498721228</v>
      </c>
      <c r="AZ944" s="6" t="s">
        <v>2424</v>
      </c>
      <c r="BA944" s="6" t="str">
        <f t="shared" si="445"/>
        <v>=15.64*100000000</v>
      </c>
      <c r="BB944" s="1">
        <f>15.64*100000000</f>
        <v>1564000000</v>
      </c>
      <c r="BC944" s="8">
        <f t="shared" si="462"/>
        <v>0.18574677786201668</v>
      </c>
      <c r="BD944" s="6" t="s">
        <v>1807</v>
      </c>
      <c r="BE944" s="6" t="str">
        <f t="shared" si="446"/>
        <v>=13.19*100000000</v>
      </c>
      <c r="BF944" s="1">
        <f>13.19*100000000</f>
        <v>1319000000</v>
      </c>
      <c r="BG944" s="8">
        <f t="shared" si="463"/>
        <v>0.78993079115212372</v>
      </c>
      <c r="BH944" s="6" t="s">
        <v>10187</v>
      </c>
      <c r="BI944" s="6" t="str">
        <f t="shared" si="447"/>
        <v>=7.369*100000000</v>
      </c>
      <c r="BJ944" s="1">
        <f>7.369*100000000</f>
        <v>736900000</v>
      </c>
      <c r="BK944" s="6" t="s">
        <v>330</v>
      </c>
      <c r="BL944" s="1" t="str">
        <f t="shared" si="449"/>
        <v>=2.724*100000000</v>
      </c>
      <c r="BM944" s="16">
        <f t="shared" si="464"/>
        <v>1.7052129221732746</v>
      </c>
      <c r="BN944" s="1">
        <f>2.724*100000000</f>
        <v>272400000</v>
      </c>
    </row>
    <row r="945" spans="1:66">
      <c r="A945" s="19"/>
      <c r="B945">
        <v>600754</v>
      </c>
      <c r="C945" t="s">
        <v>68</v>
      </c>
      <c r="D945" s="6" t="s">
        <v>9242</v>
      </c>
      <c r="E945" s="7" t="str">
        <f t="shared" si="448"/>
        <v>=2.993*100000000</v>
      </c>
      <c r="F945" s="1">
        <f>2.993*100000000</f>
        <v>299300000</v>
      </c>
      <c r="G945" s="8">
        <f t="shared" si="450"/>
        <v>0.15515245079120019</v>
      </c>
      <c r="H945" s="6" t="s">
        <v>10163</v>
      </c>
      <c r="I945" s="6" t="str">
        <f t="shared" si="434"/>
        <v>=2.591*100000000</v>
      </c>
      <c r="J945" s="1">
        <f>2.591*100000000</f>
        <v>259100000.00000003</v>
      </c>
      <c r="K945" s="10">
        <f t="shared" si="451"/>
        <v>1.3258527827648112</v>
      </c>
      <c r="L945" s="6" t="s">
        <v>5210</v>
      </c>
      <c r="M945" s="6" t="str">
        <f t="shared" si="435"/>
        <v>=1.114*100000000</v>
      </c>
      <c r="N945" s="1">
        <f>1.114*100000000</f>
        <v>111400000.00000001</v>
      </c>
      <c r="O945" s="8">
        <f t="shared" si="452"/>
        <v>-1.773611111111111</v>
      </c>
      <c r="P945" s="6">
        <f>-1.44*100000000</f>
        <v>-144000000</v>
      </c>
      <c r="Q945" s="6" t="str">
        <f t="shared" si="436"/>
        <v>=-144000000</v>
      </c>
      <c r="R945" s="11">
        <f>-144000000</f>
        <v>-144000000</v>
      </c>
      <c r="S945" s="8">
        <f t="shared" si="453"/>
        <v>-1.6002501042100876</v>
      </c>
      <c r="T945" s="6" t="s">
        <v>10188</v>
      </c>
      <c r="U945" s="6" t="str">
        <f t="shared" si="437"/>
        <v>=2.399*100000000</v>
      </c>
      <c r="V945" s="1">
        <f>2.399*100000000</f>
        <v>239900000</v>
      </c>
      <c r="W945" s="8">
        <f t="shared" si="454"/>
        <v>-0.34309967141292441</v>
      </c>
      <c r="X945" s="6" t="s">
        <v>9503</v>
      </c>
      <c r="Y945" s="6" t="str">
        <f t="shared" si="438"/>
        <v>=3.652*100000000</v>
      </c>
      <c r="Z945" s="1">
        <f>3.652*100000000</f>
        <v>365200000</v>
      </c>
      <c r="AA945" s="8">
        <f t="shared" si="455"/>
        <v>0.21855188521855187</v>
      </c>
      <c r="AB945" s="6" t="s">
        <v>10084</v>
      </c>
      <c r="AC945" s="6" t="str">
        <f t="shared" si="439"/>
        <v>=2.997*100000000</v>
      </c>
      <c r="AD945" s="1">
        <f>2.997*100000000</f>
        <v>299700000</v>
      </c>
      <c r="AE945" s="8">
        <f t="shared" si="456"/>
        <v>0.94232015554115356</v>
      </c>
      <c r="AF945" s="6" t="s">
        <v>10189</v>
      </c>
      <c r="AG945" s="6" t="str">
        <f t="shared" si="440"/>
        <v>=1.543*100000000</v>
      </c>
      <c r="AH945" s="1">
        <f>1.543*100000000</f>
        <v>154300000</v>
      </c>
      <c r="AI945" s="8">
        <f t="shared" si="457"/>
        <v>-0.87935887412040659</v>
      </c>
      <c r="AJ945" s="6" t="s">
        <v>243</v>
      </c>
      <c r="AK945" s="6" t="str">
        <f t="shared" si="441"/>
        <v>=12.79*100000000</v>
      </c>
      <c r="AL945" s="1">
        <f>12.79*100000000</f>
        <v>1279000000</v>
      </c>
      <c r="AM945" s="8">
        <f t="shared" si="458"/>
        <v>0.25762045231071778</v>
      </c>
      <c r="AN945" s="6" t="s">
        <v>6860</v>
      </c>
      <c r="AO945" s="6" t="str">
        <f t="shared" si="442"/>
        <v>=10.17*100000000</v>
      </c>
      <c r="AP945" s="1">
        <f>10.17*100000000</f>
        <v>1017000000</v>
      </c>
      <c r="AQ945" s="8">
        <f t="shared" si="459"/>
        <v>0.56437471158283337</v>
      </c>
      <c r="AR945" s="6" t="s">
        <v>10190</v>
      </c>
      <c r="AS945" s="6" t="str">
        <f t="shared" si="443"/>
        <v>=6.501*100000000</v>
      </c>
      <c r="AT945" s="1">
        <f>6.501*100000000</f>
        <v>650100000</v>
      </c>
      <c r="AU945" s="8">
        <f t="shared" si="460"/>
        <v>1.0009233610341643</v>
      </c>
      <c r="AV945" s="6" t="s">
        <v>10191</v>
      </c>
      <c r="AW945" s="6" t="str">
        <f t="shared" si="444"/>
        <v>=3.249*100000000</v>
      </c>
      <c r="AX945" s="1">
        <f>3.249*100000000</f>
        <v>324900000</v>
      </c>
      <c r="AY945" s="10">
        <f t="shared" si="461"/>
        <v>-0.73542345276872967</v>
      </c>
      <c r="AZ945" s="6" t="s">
        <v>6185</v>
      </c>
      <c r="BA945" s="6" t="str">
        <f t="shared" si="445"/>
        <v>=12.28*100000000</v>
      </c>
      <c r="BB945" s="1">
        <f>12.28*100000000</f>
        <v>1228000000</v>
      </c>
      <c r="BC945" s="8">
        <f t="shared" si="462"/>
        <v>0.24278919137739094</v>
      </c>
      <c r="BD945" s="6" t="s">
        <v>10192</v>
      </c>
      <c r="BE945" s="6" t="str">
        <f t="shared" si="446"/>
        <v>=9.881*100000000</v>
      </c>
      <c r="BF945" s="1">
        <f>9.881*100000000</f>
        <v>988100000</v>
      </c>
      <c r="BG945" s="8">
        <f t="shared" si="463"/>
        <v>0.72593886462882096</v>
      </c>
      <c r="BH945" s="6" t="s">
        <v>1128</v>
      </c>
      <c r="BI945" s="6" t="str">
        <f t="shared" si="447"/>
        <v>=5.725*100000000</v>
      </c>
      <c r="BJ945" s="1">
        <f>5.725*100000000</f>
        <v>572500000</v>
      </c>
      <c r="BK945" s="6" t="s">
        <v>10193</v>
      </c>
      <c r="BL945" s="1" t="str">
        <f t="shared" si="449"/>
        <v>=2.741*100000000</v>
      </c>
      <c r="BM945" s="16">
        <f t="shared" si="464"/>
        <v>1.0886537759941628</v>
      </c>
      <c r="BN945" s="1">
        <f>2.741*100000000</f>
        <v>274100000</v>
      </c>
    </row>
    <row r="946" spans="1:66">
      <c r="A946" s="17">
        <v>238</v>
      </c>
      <c r="B946">
        <v>600760</v>
      </c>
      <c r="C946" t="s">
        <v>31</v>
      </c>
      <c r="D946" s="6" t="s">
        <v>10194</v>
      </c>
      <c r="E946" s="7" t="str">
        <f t="shared" si="448"/>
        <v>=340.9*100000000</v>
      </c>
      <c r="F946" s="1">
        <f>340.9*100000000</f>
        <v>34089999999.999996</v>
      </c>
      <c r="G946" s="8">
        <f t="shared" si="450"/>
        <v>0.36797752808988748</v>
      </c>
      <c r="H946" s="6" t="s">
        <v>3319</v>
      </c>
      <c r="I946" s="6" t="str">
        <f t="shared" si="434"/>
        <v>=249.2*100000000</v>
      </c>
      <c r="J946" s="1">
        <f>249.2*100000000</f>
        <v>24920000000</v>
      </c>
      <c r="K946" s="10">
        <f t="shared" si="451"/>
        <v>0.56532663316582932</v>
      </c>
      <c r="L946" s="6" t="s">
        <v>9401</v>
      </c>
      <c r="M946" s="6" t="str">
        <f t="shared" si="435"/>
        <v>=159.2*100000000</v>
      </c>
      <c r="N946" s="1">
        <f>159.2*100000000</f>
        <v>15919999999.999998</v>
      </c>
      <c r="O946" s="8">
        <f t="shared" si="452"/>
        <v>1.7495682210708114</v>
      </c>
      <c r="P946" s="6" t="s">
        <v>528</v>
      </c>
      <c r="Q946" s="6" t="str">
        <f t="shared" si="436"/>
        <v>=57.90*100000000</v>
      </c>
      <c r="R946" s="11">
        <f>57.9*100000000</f>
        <v>5790000000</v>
      </c>
      <c r="S946" s="8">
        <f t="shared" si="453"/>
        <v>-0.7880673499267935</v>
      </c>
      <c r="T946" s="6" t="s">
        <v>10195</v>
      </c>
      <c r="U946" s="6" t="str">
        <f t="shared" si="437"/>
        <v>=273.2*100000000</v>
      </c>
      <c r="V946" s="1">
        <f>273.2*100000000</f>
        <v>27320000000</v>
      </c>
      <c r="W946" s="8">
        <f t="shared" si="454"/>
        <v>0.44473823373876253</v>
      </c>
      <c r="X946" s="6" t="s">
        <v>10196</v>
      </c>
      <c r="Y946" s="6" t="str">
        <f t="shared" si="438"/>
        <v>=189.1*100000000</v>
      </c>
      <c r="Z946" s="1">
        <f>189.1*100000000</f>
        <v>18910000000</v>
      </c>
      <c r="AA946" s="8">
        <f t="shared" si="455"/>
        <v>0.63157894736842102</v>
      </c>
      <c r="AB946" s="6" t="s">
        <v>10197</v>
      </c>
      <c r="AC946" s="6" t="str">
        <f t="shared" si="439"/>
        <v>=115.9*100000000</v>
      </c>
      <c r="AD946" s="1">
        <f>115.9*100000000</f>
        <v>11590000000</v>
      </c>
      <c r="AE946" s="8">
        <f t="shared" si="456"/>
        <v>1.0329766707595158</v>
      </c>
      <c r="AF946" s="6" t="s">
        <v>10198</v>
      </c>
      <c r="AG946" s="6" t="str">
        <f t="shared" si="440"/>
        <v>=57.01*100000000</v>
      </c>
      <c r="AH946" s="1">
        <f>57.01*100000000</f>
        <v>5701000000</v>
      </c>
      <c r="AI946" s="8">
        <f t="shared" si="457"/>
        <v>-0.7600589225589226</v>
      </c>
      <c r="AJ946" s="6" t="s">
        <v>10199</v>
      </c>
      <c r="AK946" s="6" t="str">
        <f t="shared" si="441"/>
        <v>=237.6*100000000</v>
      </c>
      <c r="AL946" s="1">
        <f>237.6*100000000</f>
        <v>23760000000</v>
      </c>
      <c r="AM946" s="8">
        <f t="shared" si="458"/>
        <v>0.49528005034612965</v>
      </c>
      <c r="AN946" s="6" t="s">
        <v>7218</v>
      </c>
      <c r="AO946" s="6" t="str">
        <f t="shared" si="442"/>
        <v>=158.9*100000000</v>
      </c>
      <c r="AP946" s="1">
        <f>158.9*100000000</f>
        <v>15890000000</v>
      </c>
      <c r="AQ946" s="8">
        <f t="shared" si="459"/>
        <v>0.40868794326241137</v>
      </c>
      <c r="AR946" s="6" t="s">
        <v>10172</v>
      </c>
      <c r="AS946" s="6" t="str">
        <f t="shared" si="443"/>
        <v>=112.8*100000000</v>
      </c>
      <c r="AT946" s="1">
        <f>112.8*100000000</f>
        <v>11280000000</v>
      </c>
      <c r="AU946" s="8">
        <f t="shared" si="460"/>
        <v>1.2182890855457227</v>
      </c>
      <c r="AV946" s="6" t="s">
        <v>10200</v>
      </c>
      <c r="AW946" s="6" t="str">
        <f t="shared" si="444"/>
        <v>=50.85*100000000</v>
      </c>
      <c r="AX946" s="1">
        <f>50.85*100000000</f>
        <v>5085000000</v>
      </c>
      <c r="AY946" s="10">
        <f t="shared" si="461"/>
        <v>-0.7476426799007444</v>
      </c>
      <c r="AZ946" s="6" t="s">
        <v>10201</v>
      </c>
      <c r="BA946" s="6" t="str">
        <f t="shared" si="445"/>
        <v>=201.5*100000000</v>
      </c>
      <c r="BB946" s="1">
        <f>201.5*100000000</f>
        <v>20150000000</v>
      </c>
      <c r="BC946" s="8">
        <f t="shared" si="462"/>
        <v>0.73856773080241589</v>
      </c>
      <c r="BD946" s="6" t="s">
        <v>10197</v>
      </c>
      <c r="BE946" s="6" t="str">
        <f t="shared" si="446"/>
        <v>=115.9*100000000</v>
      </c>
      <c r="BF946" s="1">
        <f>115.9*100000000</f>
        <v>11590000000</v>
      </c>
      <c r="BG946" s="8">
        <f t="shared" si="463"/>
        <v>0.85232539555697617</v>
      </c>
      <c r="BH946" s="6" t="s">
        <v>10202</v>
      </c>
      <c r="BI946" s="6" t="str">
        <f t="shared" si="447"/>
        <v>=62.57*100000000</v>
      </c>
      <c r="BJ946" s="1">
        <f>62.57*100000000</f>
        <v>6257000000</v>
      </c>
      <c r="BK946" s="6" t="s">
        <v>10203</v>
      </c>
      <c r="BL946" s="1" t="str">
        <f t="shared" si="449"/>
        <v>=17.46*100000000</v>
      </c>
      <c r="BM946" s="16">
        <f t="shared" si="464"/>
        <v>2.5836197021764034</v>
      </c>
      <c r="BN946" s="1">
        <f>17.46*100000000</f>
        <v>1746000000</v>
      </c>
    </row>
    <row r="947" spans="1:66">
      <c r="A947" s="18"/>
      <c r="B947">
        <v>600760</v>
      </c>
      <c r="C947" t="s">
        <v>48</v>
      </c>
      <c r="D947" s="6" t="s">
        <v>6522</v>
      </c>
      <c r="E947" s="7" t="str">
        <f t="shared" si="448"/>
        <v>=18.74*100000000</v>
      </c>
      <c r="F947" s="1">
        <f>18.74*100000000</f>
        <v>1873999999.9999998</v>
      </c>
      <c r="G947" s="8">
        <f t="shared" si="450"/>
        <v>0.12552552552552554</v>
      </c>
      <c r="H947" s="6" t="s">
        <v>2630</v>
      </c>
      <c r="I947" s="6" t="str">
        <f t="shared" si="434"/>
        <v>=16.65*100000000</v>
      </c>
      <c r="J947" s="1">
        <f>16.65*100000000</f>
        <v>1664999999.9999998</v>
      </c>
      <c r="K947" s="10">
        <f t="shared" si="451"/>
        <v>0.51363636363636345</v>
      </c>
      <c r="L947" s="6" t="s">
        <v>4155</v>
      </c>
      <c r="M947" s="6" t="str">
        <f t="shared" si="435"/>
        <v>=11.00*100000000</v>
      </c>
      <c r="N947" s="1">
        <f>11*100000000</f>
        <v>1100000000</v>
      </c>
      <c r="O947" s="8">
        <f t="shared" si="452"/>
        <v>1.6790063321967852</v>
      </c>
      <c r="P947" s="6" t="s">
        <v>6128</v>
      </c>
      <c r="Q947" s="6" t="str">
        <f t="shared" si="436"/>
        <v>=4.106*100000000</v>
      </c>
      <c r="R947" s="11">
        <f>4.106*100000000</f>
        <v>410600000</v>
      </c>
      <c r="S947" s="8">
        <f t="shared" si="453"/>
        <v>-0.76429391504018374</v>
      </c>
      <c r="T947" s="6" t="s">
        <v>4346</v>
      </c>
      <c r="U947" s="6" t="str">
        <f t="shared" si="437"/>
        <v>=17.42*100000000</v>
      </c>
      <c r="V947" s="1">
        <f>17.42*100000000</f>
        <v>1742000000.0000002</v>
      </c>
      <c r="W947" s="8">
        <f t="shared" si="454"/>
        <v>0.27153284671532862</v>
      </c>
      <c r="X947" s="6" t="s">
        <v>4226</v>
      </c>
      <c r="Y947" s="6" t="str">
        <f t="shared" si="438"/>
        <v>=13.70*100000000</v>
      </c>
      <c r="Z947" s="1">
        <f>13.7*100000000</f>
        <v>1370000000</v>
      </c>
      <c r="AA947" s="8">
        <f t="shared" si="455"/>
        <v>0.36047666335650447</v>
      </c>
      <c r="AB947" s="6" t="s">
        <v>5425</v>
      </c>
      <c r="AC947" s="6" t="str">
        <f t="shared" si="439"/>
        <v>=10.07*100000000</v>
      </c>
      <c r="AD947" s="1">
        <f>10.07*100000000</f>
        <v>1007000000</v>
      </c>
      <c r="AE947" s="8">
        <f t="shared" si="456"/>
        <v>0.42452963644079783</v>
      </c>
      <c r="AF947" s="6" t="s">
        <v>8287</v>
      </c>
      <c r="AG947" s="6" t="str">
        <f t="shared" si="440"/>
        <v>=7.069*100000000</v>
      </c>
      <c r="AH947" s="1">
        <f>7.069*100000000</f>
        <v>706900000</v>
      </c>
      <c r="AI947" s="8">
        <f t="shared" si="457"/>
        <v>-0.30354679802955664</v>
      </c>
      <c r="AJ947" s="6" t="s">
        <v>1036</v>
      </c>
      <c r="AK947" s="6" t="str">
        <f t="shared" si="441"/>
        <v>=10.15*100000000</v>
      </c>
      <c r="AL947" s="1">
        <f>10.15*100000000</f>
        <v>1015000000</v>
      </c>
      <c r="AM947" s="8">
        <f t="shared" si="458"/>
        <v>0.39576457645764579</v>
      </c>
      <c r="AN947" s="6" t="s">
        <v>10204</v>
      </c>
      <c r="AO947" s="6" t="str">
        <f t="shared" si="442"/>
        <v>=7.272*100000000</v>
      </c>
      <c r="AP947" s="1">
        <f>7.272*100000000</f>
        <v>727200000</v>
      </c>
      <c r="AQ947" s="8">
        <f t="shared" si="459"/>
        <v>0.41533670688984042</v>
      </c>
      <c r="AR947" s="6" t="s">
        <v>10205</v>
      </c>
      <c r="AS947" s="6" t="str">
        <f t="shared" si="443"/>
        <v>=5.138*100000000</v>
      </c>
      <c r="AT947" s="1">
        <f>5.138*100000000</f>
        <v>513800000</v>
      </c>
      <c r="AU947" s="8">
        <f t="shared" si="460"/>
        <v>1.1651917404129792</v>
      </c>
      <c r="AV947" s="6" t="s">
        <v>6365</v>
      </c>
      <c r="AW947" s="6" t="str">
        <f t="shared" si="444"/>
        <v>=2.373*100000000</v>
      </c>
      <c r="AX947" s="1">
        <f>2.373*100000000</f>
        <v>237300000.00000003</v>
      </c>
      <c r="AY947" s="10">
        <f t="shared" si="461"/>
        <v>-0.72569645127730897</v>
      </c>
      <c r="AZ947" s="6" t="s">
        <v>10206</v>
      </c>
      <c r="BA947" s="6" t="str">
        <f t="shared" si="445"/>
        <v>=8.651*100000000</v>
      </c>
      <c r="BB947" s="1">
        <f>8.651*100000000</f>
        <v>865100000</v>
      </c>
      <c r="BC947" s="8">
        <f t="shared" si="462"/>
        <v>1.3355831533477323</v>
      </c>
      <c r="BD947" s="6" t="s">
        <v>1506</v>
      </c>
      <c r="BE947" s="6" t="str">
        <f t="shared" si="446"/>
        <v>=3.704*100000000</v>
      </c>
      <c r="BF947" s="1">
        <f>3.704*100000000</f>
        <v>370400000</v>
      </c>
      <c r="BG947" s="8">
        <f t="shared" si="463"/>
        <v>1.9303797468354431</v>
      </c>
      <c r="BH947" s="6" t="s">
        <v>6275</v>
      </c>
      <c r="BI947" s="6" t="str">
        <f t="shared" si="447"/>
        <v>=1.264*100000000</v>
      </c>
      <c r="BJ947" s="1">
        <f>1.264*100000000</f>
        <v>126400000</v>
      </c>
      <c r="BK947" s="7">
        <f>-1918*10000</f>
        <v>-19180000</v>
      </c>
      <c r="BL947" s="1" t="str">
        <f t="shared" si="449"/>
        <v>=-19180000</v>
      </c>
      <c r="BM947" s="16">
        <f t="shared" si="464"/>
        <v>-7.5901981230448383</v>
      </c>
      <c r="BN947" s="1">
        <f>-19180000</f>
        <v>-19180000</v>
      </c>
    </row>
    <row r="948" spans="1:66">
      <c r="A948" s="18"/>
      <c r="B948">
        <v>600760</v>
      </c>
      <c r="C948" t="s">
        <v>58</v>
      </c>
      <c r="D948" s="6" t="s">
        <v>7350</v>
      </c>
      <c r="E948" s="7" t="str">
        <f t="shared" si="448"/>
        <v>=18.64*100000000</v>
      </c>
      <c r="F948" s="1">
        <f>18.64*100000000</f>
        <v>1864000000</v>
      </c>
      <c r="G948" s="8">
        <f t="shared" si="450"/>
        <v>0.12356841470765521</v>
      </c>
      <c r="H948" s="6" t="s">
        <v>10207</v>
      </c>
      <c r="I948" s="6" t="str">
        <f t="shared" si="434"/>
        <v>=16.59*100000000</v>
      </c>
      <c r="J948" s="1">
        <f>16.59*100000000</f>
        <v>1659000000</v>
      </c>
      <c r="K948" s="10">
        <f t="shared" si="451"/>
        <v>0.51645338208409508</v>
      </c>
      <c r="L948" s="6" t="s">
        <v>159</v>
      </c>
      <c r="M948" s="6" t="str">
        <f t="shared" si="435"/>
        <v>=10.94*100000000</v>
      </c>
      <c r="N948" s="1">
        <f>10.94*100000000</f>
        <v>1094000000</v>
      </c>
      <c r="O948" s="8">
        <f t="shared" si="452"/>
        <v>1.6999012833168807</v>
      </c>
      <c r="P948" s="6" t="s">
        <v>10208</v>
      </c>
      <c r="Q948" s="6" t="str">
        <f t="shared" si="436"/>
        <v>=4.052*100000000</v>
      </c>
      <c r="R948" s="11">
        <f>4.052*100000000</f>
        <v>405199999.99999994</v>
      </c>
      <c r="S948" s="8">
        <f t="shared" si="453"/>
        <v>-0.76685845799769847</v>
      </c>
      <c r="T948" s="6" t="s">
        <v>3360</v>
      </c>
      <c r="U948" s="6" t="str">
        <f t="shared" si="437"/>
        <v>=17.38*100000000</v>
      </c>
      <c r="V948" s="1">
        <f>17.38*100000000</f>
        <v>1738000000</v>
      </c>
      <c r="W948" s="8">
        <f t="shared" si="454"/>
        <v>0.27606461086637296</v>
      </c>
      <c r="X948" s="6" t="s">
        <v>8910</v>
      </c>
      <c r="Y948" s="6" t="str">
        <f t="shared" si="438"/>
        <v>=13.62*100000000</v>
      </c>
      <c r="Z948" s="1">
        <f>13.62*100000000</f>
        <v>1362000000</v>
      </c>
      <c r="AA948" s="8">
        <f t="shared" si="455"/>
        <v>0.3592814371257485</v>
      </c>
      <c r="AB948" s="6" t="s">
        <v>5088</v>
      </c>
      <c r="AC948" s="6" t="str">
        <f t="shared" si="439"/>
        <v>=10.02*100000000</v>
      </c>
      <c r="AD948" s="1">
        <f>10.02*100000000</f>
        <v>1002000000</v>
      </c>
      <c r="AE948" s="8">
        <f t="shared" si="456"/>
        <v>0.42674070909867579</v>
      </c>
      <c r="AF948" s="6" t="s">
        <v>10209</v>
      </c>
      <c r="AG948" s="6" t="str">
        <f t="shared" si="440"/>
        <v>=7.023*100000000</v>
      </c>
      <c r="AH948" s="1">
        <f>7.023*100000000</f>
        <v>702300000</v>
      </c>
      <c r="AI948" s="8">
        <f t="shared" si="457"/>
        <v>-0.30739644970414204</v>
      </c>
      <c r="AJ948" s="6" t="s">
        <v>4629</v>
      </c>
      <c r="AK948" s="6" t="str">
        <f t="shared" si="441"/>
        <v>=10.14*100000000</v>
      </c>
      <c r="AL948" s="1">
        <f>10.14*100000000</f>
        <v>1014000000</v>
      </c>
      <c r="AM948" s="8">
        <f t="shared" si="458"/>
        <v>0.39630955659597905</v>
      </c>
      <c r="AN948" s="6" t="s">
        <v>10210</v>
      </c>
      <c r="AO948" s="6" t="str">
        <f t="shared" si="442"/>
        <v>=7.262*100000000</v>
      </c>
      <c r="AP948" s="1">
        <f>7.262*100000000</f>
        <v>726200000</v>
      </c>
      <c r="AQ948" s="8">
        <f t="shared" si="459"/>
        <v>0.41449162446435511</v>
      </c>
      <c r="AR948" s="6" t="s">
        <v>7822</v>
      </c>
      <c r="AS948" s="6" t="str">
        <f t="shared" si="443"/>
        <v>=5.134*100000000</v>
      </c>
      <c r="AT948" s="1">
        <f>5.134*100000000</f>
        <v>513400000.00000006</v>
      </c>
      <c r="AU948" s="8">
        <f t="shared" si="460"/>
        <v>1.1662447257383968</v>
      </c>
      <c r="AV948" s="6" t="s">
        <v>10211</v>
      </c>
      <c r="AW948" s="6" t="str">
        <f t="shared" si="444"/>
        <v>=2.370*100000000</v>
      </c>
      <c r="AX948" s="1">
        <f>2.37*100000000</f>
        <v>237000000</v>
      </c>
      <c r="AY948" s="10">
        <f t="shared" si="461"/>
        <v>-0.7258213789912078</v>
      </c>
      <c r="AZ948" s="6" t="s">
        <v>10212</v>
      </c>
      <c r="BA948" s="6" t="str">
        <f t="shared" si="445"/>
        <v>=8.644*100000000</v>
      </c>
      <c r="BB948" s="1">
        <f>8.644*100000000</f>
        <v>864400000</v>
      </c>
      <c r="BC948" s="8">
        <f t="shared" si="462"/>
        <v>1.3355849770332342</v>
      </c>
      <c r="BD948" s="6" t="s">
        <v>1968</v>
      </c>
      <c r="BE948" s="6" t="str">
        <f t="shared" si="446"/>
        <v>=3.701*100000000</v>
      </c>
      <c r="BF948" s="1">
        <f>3.701*100000000</f>
        <v>370100000</v>
      </c>
      <c r="BG948" s="8">
        <f t="shared" si="463"/>
        <v>1.9303246239113225</v>
      </c>
      <c r="BH948" s="6" t="s">
        <v>7257</v>
      </c>
      <c r="BI948" s="6" t="str">
        <f t="shared" si="447"/>
        <v>=1.263*100000000</v>
      </c>
      <c r="BJ948" s="1">
        <f>1.263*100000000</f>
        <v>126299999.99999999</v>
      </c>
      <c r="BK948" s="7">
        <f>-1905*10000</f>
        <v>-19050000</v>
      </c>
      <c r="BL948" s="1" t="str">
        <f t="shared" si="449"/>
        <v>=-19050000</v>
      </c>
      <c r="BM948" s="16">
        <f t="shared" si="464"/>
        <v>-7.6299212598425195</v>
      </c>
      <c r="BN948" s="1">
        <f>-19050000</f>
        <v>-19050000</v>
      </c>
    </row>
    <row r="949" spans="1:66">
      <c r="A949" s="19"/>
      <c r="B949">
        <v>600760</v>
      </c>
      <c r="C949" t="s">
        <v>68</v>
      </c>
      <c r="D949" s="6" t="s">
        <v>7490</v>
      </c>
      <c r="E949" s="7" t="str">
        <f t="shared" si="448"/>
        <v>=16.96*100000000</v>
      </c>
      <c r="F949" s="1">
        <f>16.96*100000000</f>
        <v>1696000000</v>
      </c>
      <c r="G949" s="8">
        <f t="shared" si="450"/>
        <v>0.1672401927047488</v>
      </c>
      <c r="H949" s="6" t="s">
        <v>7428</v>
      </c>
      <c r="I949" s="6" t="str">
        <f t="shared" si="434"/>
        <v>=14.53*100000000</v>
      </c>
      <c r="J949" s="1">
        <f>14.53*100000000</f>
        <v>1453000000</v>
      </c>
      <c r="K949" s="10">
        <f t="shared" si="451"/>
        <v>0.5317309719586758</v>
      </c>
      <c r="L949" s="6" t="s">
        <v>10213</v>
      </c>
      <c r="M949" s="6" t="str">
        <f t="shared" si="435"/>
        <v>=9.486*100000000</v>
      </c>
      <c r="N949" s="1">
        <f>9.486*100000000</f>
        <v>948600000.00000012</v>
      </c>
      <c r="O949" s="8">
        <f t="shared" si="452"/>
        <v>1.7511600928074249</v>
      </c>
      <c r="P949" s="6" t="s">
        <v>6808</v>
      </c>
      <c r="Q949" s="6" t="str">
        <f t="shared" si="436"/>
        <v>=3.448*100000000</v>
      </c>
      <c r="R949" s="11">
        <f>3.448*100000000</f>
        <v>344800000</v>
      </c>
      <c r="S949" s="8">
        <f t="shared" si="453"/>
        <v>-0.76765498652291109</v>
      </c>
      <c r="T949" s="6" t="s">
        <v>6951</v>
      </c>
      <c r="U949" s="6" t="str">
        <f t="shared" si="437"/>
        <v>=14.84*100000000</v>
      </c>
      <c r="V949" s="1">
        <f>14.84*100000000</f>
        <v>1484000000</v>
      </c>
      <c r="W949" s="8">
        <f t="shared" si="454"/>
        <v>0.27710843373493976</v>
      </c>
      <c r="X949" s="6" t="s">
        <v>73</v>
      </c>
      <c r="Y949" s="6" t="str">
        <f t="shared" si="438"/>
        <v>=11.62*100000000</v>
      </c>
      <c r="Z949" s="1">
        <f>11.62*100000000</f>
        <v>1162000000</v>
      </c>
      <c r="AA949" s="8">
        <f t="shared" si="455"/>
        <v>0.36850783182192909</v>
      </c>
      <c r="AB949" s="6" t="s">
        <v>1645</v>
      </c>
      <c r="AC949" s="6" t="str">
        <f t="shared" si="439"/>
        <v>=8.491*100000000</v>
      </c>
      <c r="AD949" s="1">
        <f>8.491*100000000</f>
        <v>849100000</v>
      </c>
      <c r="AE949" s="8">
        <f t="shared" si="456"/>
        <v>0.41942494149114007</v>
      </c>
      <c r="AF949" s="6" t="s">
        <v>10214</v>
      </c>
      <c r="AG949" s="6" t="str">
        <f t="shared" si="440"/>
        <v>=5.982*100000000</v>
      </c>
      <c r="AH949" s="1">
        <f>5.982*100000000</f>
        <v>598200000</v>
      </c>
      <c r="AI949" s="8">
        <f t="shared" si="457"/>
        <v>-0.32069043833749705</v>
      </c>
      <c r="AJ949" s="6" t="s">
        <v>10215</v>
      </c>
      <c r="AK949" s="6" t="str">
        <f t="shared" si="441"/>
        <v>=8.806*100000000</v>
      </c>
      <c r="AL949" s="1">
        <f>8.806*100000000</f>
        <v>880599999.99999988</v>
      </c>
      <c r="AM949" s="8">
        <f t="shared" si="458"/>
        <v>0.41416412397623237</v>
      </c>
      <c r="AN949" s="6" t="s">
        <v>10216</v>
      </c>
      <c r="AO949" s="6" t="str">
        <f t="shared" si="442"/>
        <v>=6.227*100000000</v>
      </c>
      <c r="AP949" s="1">
        <f>6.227*100000000</f>
        <v>622700000</v>
      </c>
      <c r="AQ949" s="8">
        <f t="shared" si="459"/>
        <v>0.43810623556581985</v>
      </c>
      <c r="AR949" s="6" t="s">
        <v>1459</v>
      </c>
      <c r="AS949" s="6" t="str">
        <f t="shared" si="443"/>
        <v>=4.330*100000000</v>
      </c>
      <c r="AT949" s="1">
        <f>4.33*100000000</f>
        <v>433000000</v>
      </c>
      <c r="AU949" s="8">
        <f t="shared" si="460"/>
        <v>1.1835602622289461</v>
      </c>
      <c r="AV949" s="6" t="s">
        <v>10217</v>
      </c>
      <c r="AW949" s="6" t="str">
        <f t="shared" si="444"/>
        <v>=1.983*100000000</v>
      </c>
      <c r="AX949" s="1">
        <f>1.983*100000000</f>
        <v>198300000</v>
      </c>
      <c r="AY949" s="10">
        <f t="shared" si="461"/>
        <v>-0.7340040241448692</v>
      </c>
      <c r="AZ949" s="6" t="s">
        <v>10218</v>
      </c>
      <c r="BA949" s="6" t="str">
        <f t="shared" si="445"/>
        <v>=7.455*100000000</v>
      </c>
      <c r="BB949" s="1">
        <f>7.455*100000000</f>
        <v>745500000</v>
      </c>
      <c r="BC949" s="8">
        <f t="shared" si="462"/>
        <v>1.3681702668360864</v>
      </c>
      <c r="BD949" s="6" t="s">
        <v>10219</v>
      </c>
      <c r="BE949" s="6" t="str">
        <f t="shared" si="446"/>
        <v>=3.148*100000000</v>
      </c>
      <c r="BF949" s="1">
        <f>3.148*100000000</f>
        <v>314800000</v>
      </c>
      <c r="BG949" s="8">
        <f t="shared" si="463"/>
        <v>2.0953785644051135</v>
      </c>
      <c r="BH949" s="6" t="s">
        <v>10220</v>
      </c>
      <c r="BI949" s="6" t="str">
        <f t="shared" si="447"/>
        <v>=1.017*100000000</v>
      </c>
      <c r="BJ949" s="1">
        <f>1.017*100000000</f>
        <v>101699999.99999999</v>
      </c>
      <c r="BK949" s="7">
        <f>-2138*10000</f>
        <v>-21380000</v>
      </c>
      <c r="BL949" s="1" t="str">
        <f t="shared" si="449"/>
        <v>=-21380000</v>
      </c>
      <c r="BM949" s="16">
        <f t="shared" si="464"/>
        <v>-5.7567820392890541</v>
      </c>
      <c r="BN949" s="1">
        <f>-21380000</f>
        <v>-21380000</v>
      </c>
    </row>
    <row r="950" spans="1:66">
      <c r="A950" s="17">
        <v>239</v>
      </c>
      <c r="B950">
        <v>600761</v>
      </c>
      <c r="C950" t="s">
        <v>31</v>
      </c>
      <c r="D950" s="6" t="s">
        <v>10221</v>
      </c>
      <c r="E950" s="7" t="str">
        <f t="shared" si="448"/>
        <v>=154.2*100000000</v>
      </c>
      <c r="F950" s="1">
        <f>154.2*100000000</f>
        <v>15419999999.999998</v>
      </c>
      <c r="G950" s="8">
        <f t="shared" si="450"/>
        <v>0.30456852791878158</v>
      </c>
      <c r="H950" s="6" t="s">
        <v>539</v>
      </c>
      <c r="I950" s="6" t="str">
        <f t="shared" si="434"/>
        <v>=118.2*100000000</v>
      </c>
      <c r="J950" s="1">
        <f>118.2*100000000</f>
        <v>11820000000</v>
      </c>
      <c r="K950" s="10">
        <f t="shared" si="451"/>
        <v>0.48847752172270492</v>
      </c>
      <c r="L950" s="6" t="s">
        <v>10222</v>
      </c>
      <c r="M950" s="6" t="str">
        <f t="shared" si="435"/>
        <v>=79.41*100000000</v>
      </c>
      <c r="N950" s="1">
        <f>79.41*100000000</f>
        <v>7941000000</v>
      </c>
      <c r="O950" s="8">
        <f t="shared" si="452"/>
        <v>1.2871543778801844</v>
      </c>
      <c r="P950" s="6" t="s">
        <v>10223</v>
      </c>
      <c r="Q950" s="6" t="str">
        <f t="shared" si="436"/>
        <v>=34.72*100000000</v>
      </c>
      <c r="R950" s="11">
        <f>34.72*100000000</f>
        <v>3472000000</v>
      </c>
      <c r="S950" s="8">
        <f t="shared" si="453"/>
        <v>-0.72875000000000001</v>
      </c>
      <c r="T950" s="6" t="s">
        <v>9021</v>
      </c>
      <c r="U950" s="6" t="str">
        <f t="shared" si="437"/>
        <v>=128.0*100000000</v>
      </c>
      <c r="V950" s="1">
        <f>128*100000000</f>
        <v>12800000000</v>
      </c>
      <c r="W950" s="8">
        <f t="shared" si="454"/>
        <v>0.41109028773012896</v>
      </c>
      <c r="X950" s="6" t="s">
        <v>10224</v>
      </c>
      <c r="Y950" s="6" t="str">
        <f t="shared" si="438"/>
        <v>=90.71*100000000</v>
      </c>
      <c r="Z950" s="1">
        <f>90.71*100000000</f>
        <v>9071000000</v>
      </c>
      <c r="AA950" s="8">
        <f t="shared" si="455"/>
        <v>0.6699189985272459</v>
      </c>
      <c r="AB950" s="6" t="s">
        <v>10225</v>
      </c>
      <c r="AC950" s="6" t="str">
        <f t="shared" si="439"/>
        <v>=54.32*100000000</v>
      </c>
      <c r="AD950" s="1">
        <f>54.32*100000000</f>
        <v>5432000000</v>
      </c>
      <c r="AE950" s="8">
        <f t="shared" si="456"/>
        <v>1.8862911795961743</v>
      </c>
      <c r="AF950" s="6" t="s">
        <v>8675</v>
      </c>
      <c r="AG950" s="6" t="str">
        <f t="shared" si="440"/>
        <v>=18.82*100000000</v>
      </c>
      <c r="AH950" s="1">
        <f>18.82*100000000</f>
        <v>1882000000</v>
      </c>
      <c r="AI950" s="8">
        <f t="shared" si="457"/>
        <v>-0.81421520236920042</v>
      </c>
      <c r="AJ950" s="6" t="s">
        <v>10226</v>
      </c>
      <c r="AK950" s="6" t="str">
        <f t="shared" si="441"/>
        <v>=101.3*100000000</v>
      </c>
      <c r="AL950" s="1">
        <f>101.3*100000000</f>
        <v>10130000000</v>
      </c>
      <c r="AM950" s="8">
        <f t="shared" si="458"/>
        <v>0.35355424906467131</v>
      </c>
      <c r="AN950" s="6" t="s">
        <v>10227</v>
      </c>
      <c r="AO950" s="6" t="str">
        <f t="shared" si="442"/>
        <v>=74.84*100000000</v>
      </c>
      <c r="AP950" s="1">
        <f>74.84*100000000</f>
        <v>7484000000</v>
      </c>
      <c r="AQ950" s="8">
        <f t="shared" si="459"/>
        <v>0.49262066214599121</v>
      </c>
      <c r="AR950" s="6" t="s">
        <v>10228</v>
      </c>
      <c r="AS950" s="6" t="str">
        <f t="shared" si="443"/>
        <v>=50.14*100000000</v>
      </c>
      <c r="AT950" s="1">
        <f>50.14*100000000</f>
        <v>5014000000</v>
      </c>
      <c r="AU950" s="8">
        <f t="shared" si="460"/>
        <v>1.0185185185185186</v>
      </c>
      <c r="AV950" s="6" t="s">
        <v>10229</v>
      </c>
      <c r="AW950" s="6" t="str">
        <f t="shared" si="444"/>
        <v>=24.84*100000000</v>
      </c>
      <c r="AX950" s="1">
        <f>24.84*100000000</f>
        <v>2484000000</v>
      </c>
      <c r="AY950" s="10">
        <f t="shared" si="461"/>
        <v>-0.74304334333298849</v>
      </c>
      <c r="AZ950" s="6" t="s">
        <v>10230</v>
      </c>
      <c r="BA950" s="6" t="str">
        <f t="shared" si="445"/>
        <v>=96.67*100000000</v>
      </c>
      <c r="BB950" s="1">
        <f>96.67*100000000</f>
        <v>9667000000</v>
      </c>
      <c r="BC950" s="8">
        <f t="shared" si="462"/>
        <v>0.29567082160568287</v>
      </c>
      <c r="BD950" s="6" t="s">
        <v>10231</v>
      </c>
      <c r="BE950" s="6" t="str">
        <f t="shared" si="446"/>
        <v>=74.61*100000000</v>
      </c>
      <c r="BF950" s="1">
        <f>74.61*100000000</f>
        <v>7461000000</v>
      </c>
      <c r="BG950" s="8">
        <f t="shared" si="463"/>
        <v>0.4675452399685287</v>
      </c>
      <c r="BH950" s="6" t="s">
        <v>10232</v>
      </c>
      <c r="BI950" s="6" t="str">
        <f t="shared" si="447"/>
        <v>=50.84*100000000</v>
      </c>
      <c r="BJ950" s="1">
        <f>50.84*100000000</f>
        <v>5084000000</v>
      </c>
      <c r="BK950" s="6" t="s">
        <v>10233</v>
      </c>
      <c r="BL950" s="1" t="str">
        <f t="shared" si="449"/>
        <v>=22.85*100000000</v>
      </c>
      <c r="BM950" s="16">
        <f t="shared" si="464"/>
        <v>1.2249452954048139</v>
      </c>
      <c r="BN950" s="1">
        <f>22.85*100000000</f>
        <v>2285000000</v>
      </c>
    </row>
    <row r="951" spans="1:66">
      <c r="A951" s="18"/>
      <c r="B951">
        <v>600761</v>
      </c>
      <c r="C951" t="s">
        <v>48</v>
      </c>
      <c r="D951" s="6" t="s">
        <v>10234</v>
      </c>
      <c r="E951" s="7" t="str">
        <f t="shared" si="448"/>
        <v>=8.773*100000000</v>
      </c>
      <c r="F951" s="1">
        <f>8.773*100000000</f>
        <v>877300000</v>
      </c>
      <c r="G951" s="8">
        <f t="shared" si="450"/>
        <v>0.22596422582448294</v>
      </c>
      <c r="H951" s="6" t="s">
        <v>10235</v>
      </c>
      <c r="I951" s="6" t="str">
        <f t="shared" si="434"/>
        <v>=7.156*100000000</v>
      </c>
      <c r="J951" s="1">
        <f>7.156*100000000</f>
        <v>715600000</v>
      </c>
      <c r="K951" s="10">
        <f t="shared" si="451"/>
        <v>0.34866189219751226</v>
      </c>
      <c r="L951" s="6" t="s">
        <v>10236</v>
      </c>
      <c r="M951" s="6" t="str">
        <f t="shared" si="435"/>
        <v>=5.306*100000000</v>
      </c>
      <c r="N951" s="1">
        <f>5.306*100000000</f>
        <v>530600000</v>
      </c>
      <c r="O951" s="8">
        <f t="shared" si="452"/>
        <v>1.2694610778443114</v>
      </c>
      <c r="P951" s="6" t="s">
        <v>10237</v>
      </c>
      <c r="Q951" s="6" t="str">
        <f t="shared" si="436"/>
        <v>=2.338*100000000</v>
      </c>
      <c r="R951" s="11">
        <f>2.338*100000000</f>
        <v>233800000</v>
      </c>
      <c r="S951" s="8">
        <f t="shared" si="453"/>
        <v>-0.75469520512013433</v>
      </c>
      <c r="T951" s="6" t="s">
        <v>6410</v>
      </c>
      <c r="U951" s="6" t="str">
        <f t="shared" si="437"/>
        <v>=9.531*100000000</v>
      </c>
      <c r="V951" s="1">
        <f>9.531*100000000</f>
        <v>953100000</v>
      </c>
      <c r="W951" s="8">
        <f t="shared" si="454"/>
        <v>0.24474337207783728</v>
      </c>
      <c r="X951" s="6" t="s">
        <v>10238</v>
      </c>
      <c r="Y951" s="6" t="str">
        <f t="shared" si="438"/>
        <v>=7.657*100000000</v>
      </c>
      <c r="Z951" s="1">
        <f>7.657*100000000</f>
        <v>765700000</v>
      </c>
      <c r="AA951" s="8">
        <f t="shared" si="455"/>
        <v>0.45542672495723246</v>
      </c>
      <c r="AB951" s="6" t="s">
        <v>3977</v>
      </c>
      <c r="AC951" s="6" t="str">
        <f t="shared" si="439"/>
        <v>=5.261*100000000</v>
      </c>
      <c r="AD951" s="1">
        <f>5.261*100000000</f>
        <v>526100000</v>
      </c>
      <c r="AE951" s="8">
        <f t="shared" si="456"/>
        <v>4.1986166007905137</v>
      </c>
      <c r="AF951" s="6" t="s">
        <v>7654</v>
      </c>
      <c r="AG951" s="6" t="str">
        <f t="shared" si="440"/>
        <v>=1.012*100000000</v>
      </c>
      <c r="AH951" s="1">
        <f>1.012*100000000</f>
        <v>101200000</v>
      </c>
      <c r="AI951" s="8">
        <f t="shared" si="457"/>
        <v>-0.88519568916619396</v>
      </c>
      <c r="AJ951" s="6" t="s">
        <v>10239</v>
      </c>
      <c r="AK951" s="6" t="str">
        <f t="shared" si="441"/>
        <v>=8.815*100000000</v>
      </c>
      <c r="AL951" s="1">
        <f>8.815*100000000</f>
        <v>881500000</v>
      </c>
      <c r="AM951" s="8">
        <f t="shared" si="458"/>
        <v>0.32337486863834258</v>
      </c>
      <c r="AN951" s="6" t="s">
        <v>10240</v>
      </c>
      <c r="AO951" s="6" t="str">
        <f t="shared" si="442"/>
        <v>=6.661*100000000</v>
      </c>
      <c r="AP951" s="1">
        <f>6.661*100000000</f>
        <v>666100000</v>
      </c>
      <c r="AQ951" s="8">
        <f t="shared" si="459"/>
        <v>0.40054667788057191</v>
      </c>
      <c r="AR951" s="6" t="s">
        <v>10241</v>
      </c>
      <c r="AS951" s="6" t="str">
        <f t="shared" si="443"/>
        <v>=4.756*100000000</v>
      </c>
      <c r="AT951" s="1">
        <f>4.756*100000000</f>
        <v>475600000</v>
      </c>
      <c r="AU951" s="8">
        <f t="shared" si="460"/>
        <v>1.4056651492159837</v>
      </c>
      <c r="AV951" s="6" t="s">
        <v>10242</v>
      </c>
      <c r="AW951" s="6" t="str">
        <f t="shared" si="444"/>
        <v>=1.977*100000000</v>
      </c>
      <c r="AX951" s="1">
        <f>1.977*100000000</f>
        <v>197700000</v>
      </c>
      <c r="AY951" s="10">
        <f t="shared" si="461"/>
        <v>-0.76212248826855977</v>
      </c>
      <c r="AZ951" s="6" t="s">
        <v>10243</v>
      </c>
      <c r="BA951" s="6" t="str">
        <f t="shared" si="445"/>
        <v>=8.311*100000000</v>
      </c>
      <c r="BB951" s="1">
        <f>8.311*100000000</f>
        <v>831100000</v>
      </c>
      <c r="BC951" s="8">
        <f t="shared" si="462"/>
        <v>0.26019711902956788</v>
      </c>
      <c r="BD951" s="6" t="s">
        <v>10244</v>
      </c>
      <c r="BE951" s="6" t="str">
        <f t="shared" si="446"/>
        <v>=6.595*100000000</v>
      </c>
      <c r="BF951" s="1">
        <f>6.595*100000000</f>
        <v>659500000</v>
      </c>
      <c r="BG951" s="8">
        <f t="shared" si="463"/>
        <v>0.38288949465296707</v>
      </c>
      <c r="BH951" s="6" t="s">
        <v>2798</v>
      </c>
      <c r="BI951" s="6" t="str">
        <f t="shared" si="447"/>
        <v>=4.769*100000000</v>
      </c>
      <c r="BJ951" s="1">
        <f>4.769*100000000</f>
        <v>476900000</v>
      </c>
      <c r="BK951" s="6" t="s">
        <v>1269</v>
      </c>
      <c r="BL951" s="1" t="str">
        <f t="shared" si="449"/>
        <v>=1.810*100000000</v>
      </c>
      <c r="BM951" s="16">
        <f t="shared" si="464"/>
        <v>1.6348066298342541</v>
      </c>
      <c r="BN951" s="1">
        <f>1.81*100000000</f>
        <v>181000000</v>
      </c>
    </row>
    <row r="952" spans="1:66">
      <c r="A952" s="18"/>
      <c r="B952">
        <v>600761</v>
      </c>
      <c r="C952" t="s">
        <v>58</v>
      </c>
      <c r="D952" s="6" t="s">
        <v>10245</v>
      </c>
      <c r="E952" s="7" t="str">
        <f t="shared" si="448"/>
        <v>=9.001*100000000</v>
      </c>
      <c r="F952" s="1">
        <f>9.001*100000000</f>
        <v>900100000</v>
      </c>
      <c r="G952" s="8">
        <f t="shared" si="450"/>
        <v>0.23267597918378527</v>
      </c>
      <c r="H952" s="6" t="s">
        <v>10246</v>
      </c>
      <c r="I952" s="6" t="str">
        <f t="shared" si="434"/>
        <v>=7.302*100000000</v>
      </c>
      <c r="J952" s="1">
        <f>7.302*100000000</f>
        <v>730200000</v>
      </c>
      <c r="K952" s="10">
        <f t="shared" si="451"/>
        <v>0.35347544022242816</v>
      </c>
      <c r="L952" s="6" t="s">
        <v>9114</v>
      </c>
      <c r="M952" s="6" t="str">
        <f t="shared" si="435"/>
        <v>=5.395*100000000</v>
      </c>
      <c r="N952" s="1">
        <f>5.395*100000000</f>
        <v>539500000</v>
      </c>
      <c r="O952" s="8">
        <f t="shared" si="452"/>
        <v>1.2592127303182579</v>
      </c>
      <c r="P952" s="6" t="s">
        <v>2786</v>
      </c>
      <c r="Q952" s="6" t="str">
        <f t="shared" si="436"/>
        <v>=2.388*100000000</v>
      </c>
      <c r="R952" s="11">
        <f>2.388*100000000</f>
        <v>238800000</v>
      </c>
      <c r="S952" s="8">
        <f t="shared" si="453"/>
        <v>-0.75492610837438423</v>
      </c>
      <c r="T952" s="6" t="s">
        <v>9342</v>
      </c>
      <c r="U952" s="6" t="str">
        <f t="shared" si="437"/>
        <v>=9.744*100000000</v>
      </c>
      <c r="V952" s="1">
        <f>9.744*100000000</f>
        <v>974400000</v>
      </c>
      <c r="W952" s="8">
        <f t="shared" si="454"/>
        <v>0.25696594427244585</v>
      </c>
      <c r="X952" s="6" t="s">
        <v>10247</v>
      </c>
      <c r="Y952" s="6" t="str">
        <f t="shared" si="438"/>
        <v>=7.752*100000000</v>
      </c>
      <c r="Z952" s="1">
        <f>7.752*100000000</f>
        <v>775200000</v>
      </c>
      <c r="AA952" s="8">
        <f t="shared" si="455"/>
        <v>0.45933734939759036</v>
      </c>
      <c r="AB952" s="6" t="s">
        <v>10248</v>
      </c>
      <c r="AC952" s="6" t="str">
        <f t="shared" si="439"/>
        <v>=5.312*100000000</v>
      </c>
      <c r="AD952" s="1">
        <f>5.312*100000000</f>
        <v>531200000</v>
      </c>
      <c r="AE952" s="8">
        <f t="shared" si="456"/>
        <v>4.0783938814531551</v>
      </c>
      <c r="AF952" s="6" t="s">
        <v>10249</v>
      </c>
      <c r="AG952" s="6" t="str">
        <f t="shared" si="440"/>
        <v>=1.046*100000000</v>
      </c>
      <c r="AH952" s="1">
        <f>1.046*100000000</f>
        <v>104600000</v>
      </c>
      <c r="AI952" s="8">
        <f t="shared" si="457"/>
        <v>-0.88464931627701804</v>
      </c>
      <c r="AJ952" s="6" t="s">
        <v>10250</v>
      </c>
      <c r="AK952" s="6" t="str">
        <f t="shared" si="441"/>
        <v>=9.068*100000000</v>
      </c>
      <c r="AL952" s="1">
        <f>9.068*100000000</f>
        <v>906800000</v>
      </c>
      <c r="AM952" s="8">
        <f t="shared" si="458"/>
        <v>0.35850187265917605</v>
      </c>
      <c r="AN952" s="6" t="s">
        <v>10251</v>
      </c>
      <c r="AO952" s="6" t="str">
        <f t="shared" si="442"/>
        <v>=6.675*100000000</v>
      </c>
      <c r="AP952" s="1">
        <f>6.675*100000000</f>
        <v>667500000</v>
      </c>
      <c r="AQ952" s="8">
        <f t="shared" si="459"/>
        <v>0.40172196556068895</v>
      </c>
      <c r="AR952" s="6" t="s">
        <v>10252</v>
      </c>
      <c r="AS952" s="6" t="str">
        <f t="shared" si="443"/>
        <v>=4.762*100000000</v>
      </c>
      <c r="AT952" s="1">
        <f>4.762*100000000</f>
        <v>476199999.99999994</v>
      </c>
      <c r="AU952" s="8">
        <f t="shared" si="460"/>
        <v>1.394167923579688</v>
      </c>
      <c r="AV952" s="6" t="s">
        <v>10253</v>
      </c>
      <c r="AW952" s="6" t="str">
        <f t="shared" si="444"/>
        <v>=1.989*100000000</v>
      </c>
      <c r="AX952" s="1">
        <f>1.989*100000000</f>
        <v>198900000</v>
      </c>
      <c r="AY952" s="10">
        <f t="shared" si="461"/>
        <v>-0.76453178643305308</v>
      </c>
      <c r="AZ952" s="6" t="s">
        <v>10254</v>
      </c>
      <c r="BA952" s="6" t="str">
        <f t="shared" si="445"/>
        <v>=8.447*100000000</v>
      </c>
      <c r="BB952" s="1">
        <f>8.447*100000000</f>
        <v>844699999.99999988</v>
      </c>
      <c r="BC952" s="8">
        <f t="shared" si="462"/>
        <v>0.27849250794611757</v>
      </c>
      <c r="BD952" s="6" t="s">
        <v>10255</v>
      </c>
      <c r="BE952" s="6" t="str">
        <f t="shared" si="446"/>
        <v>=6.607*100000000</v>
      </c>
      <c r="BF952" s="1">
        <f>6.607*100000000</f>
        <v>660700000</v>
      </c>
      <c r="BG952" s="8">
        <f t="shared" si="463"/>
        <v>0.38744225115497705</v>
      </c>
      <c r="BH952" s="6" t="s">
        <v>10252</v>
      </c>
      <c r="BI952" s="6" t="str">
        <f t="shared" si="447"/>
        <v>=4.762*100000000</v>
      </c>
      <c r="BJ952" s="1">
        <f>4.762*100000000</f>
        <v>476199999.99999994</v>
      </c>
      <c r="BK952" s="6" t="s">
        <v>3396</v>
      </c>
      <c r="BL952" s="1" t="str">
        <f t="shared" si="449"/>
        <v>=1.823*100000000</v>
      </c>
      <c r="BM952" s="16">
        <f t="shared" si="464"/>
        <v>1.6121777290181016</v>
      </c>
      <c r="BN952" s="1">
        <f>1.823*100000000</f>
        <v>182300000</v>
      </c>
    </row>
    <row r="953" spans="1:66">
      <c r="A953" s="19"/>
      <c r="B953">
        <v>600761</v>
      </c>
      <c r="C953" t="s">
        <v>68</v>
      </c>
      <c r="D953" s="6" t="s">
        <v>5126</v>
      </c>
      <c r="E953" s="7" t="str">
        <f t="shared" si="448"/>
        <v>=7.852*100000000</v>
      </c>
      <c r="F953" s="1">
        <f>7.852*100000000</f>
        <v>785200000</v>
      </c>
      <c r="G953" s="8">
        <f t="shared" si="450"/>
        <v>0.25271218889597957</v>
      </c>
      <c r="H953" s="6" t="s">
        <v>10256</v>
      </c>
      <c r="I953" s="6" t="str">
        <f t="shared" si="434"/>
        <v>=6.268*100000000</v>
      </c>
      <c r="J953" s="1">
        <f>6.268*100000000</f>
        <v>626800000</v>
      </c>
      <c r="K953" s="10">
        <f t="shared" si="451"/>
        <v>0.368260205195372</v>
      </c>
      <c r="L953" s="6" t="s">
        <v>10257</v>
      </c>
      <c r="M953" s="6" t="str">
        <f t="shared" si="435"/>
        <v>=4.581*100000000</v>
      </c>
      <c r="N953" s="1">
        <f>4.581*100000000</f>
        <v>458100000.00000006</v>
      </c>
      <c r="O953" s="8">
        <f t="shared" si="452"/>
        <v>1.2270296548371418</v>
      </c>
      <c r="P953" s="6" t="s">
        <v>10258</v>
      </c>
      <c r="Q953" s="6" t="str">
        <f t="shared" si="436"/>
        <v>=2.057*100000000</v>
      </c>
      <c r="R953" s="11">
        <f>2.057*100000000</f>
        <v>205700000</v>
      </c>
      <c r="S953" s="8">
        <f t="shared" si="453"/>
        <v>-0.75344600263694117</v>
      </c>
      <c r="T953" s="6" t="s">
        <v>6214</v>
      </c>
      <c r="U953" s="6" t="str">
        <f t="shared" si="437"/>
        <v>=8.343*100000000</v>
      </c>
      <c r="V953" s="1">
        <f>8.343*100000000</f>
        <v>834300000</v>
      </c>
      <c r="W953" s="8">
        <f t="shared" si="454"/>
        <v>0.24652622142536978</v>
      </c>
      <c r="X953" s="6" t="s">
        <v>10259</v>
      </c>
      <c r="Y953" s="6" t="str">
        <f t="shared" si="438"/>
        <v>=6.693*100000000</v>
      </c>
      <c r="Z953" s="1">
        <f>6.693*100000000</f>
        <v>669300000</v>
      </c>
      <c r="AA953" s="8">
        <f t="shared" si="455"/>
        <v>0.46455142231947483</v>
      </c>
      <c r="AB953" s="6" t="s">
        <v>5049</v>
      </c>
      <c r="AC953" s="6" t="str">
        <f t="shared" si="439"/>
        <v>=4.570*100000000</v>
      </c>
      <c r="AD953" s="1">
        <f>4.57*100000000</f>
        <v>457000000</v>
      </c>
      <c r="AE953" s="8">
        <f t="shared" si="456"/>
        <v>4.0236341651093763</v>
      </c>
      <c r="AF953" s="7" t="s">
        <v>10260</v>
      </c>
      <c r="AG953" s="6" t="str">
        <f t="shared" si="440"/>
        <v>=9097*10000</v>
      </c>
      <c r="AH953" s="1">
        <f>9097*10000</f>
        <v>90970000</v>
      </c>
      <c r="AI953" s="8">
        <f t="shared" si="457"/>
        <v>-0.88292149292149291</v>
      </c>
      <c r="AJ953" s="6" t="s">
        <v>4246</v>
      </c>
      <c r="AK953" s="6" t="str">
        <f t="shared" si="441"/>
        <v>=7.770*100000000</v>
      </c>
      <c r="AL953" s="1">
        <f>7.77*100000000</f>
        <v>777000000</v>
      </c>
      <c r="AM953" s="8">
        <f t="shared" si="458"/>
        <v>0.36411516853932585</v>
      </c>
      <c r="AN953" s="6" t="s">
        <v>10261</v>
      </c>
      <c r="AO953" s="6" t="str">
        <f t="shared" si="442"/>
        <v>=5.696*100000000</v>
      </c>
      <c r="AP953" s="1">
        <f>5.696*100000000</f>
        <v>569600000</v>
      </c>
      <c r="AQ953" s="8">
        <f t="shared" si="459"/>
        <v>0.39676311917606671</v>
      </c>
      <c r="AR953" s="6" t="s">
        <v>10262</v>
      </c>
      <c r="AS953" s="6" t="str">
        <f t="shared" si="443"/>
        <v>=4.078*100000000</v>
      </c>
      <c r="AT953" s="1">
        <f>4.078*100000000</f>
        <v>407800000</v>
      </c>
      <c r="AU953" s="8">
        <f t="shared" si="460"/>
        <v>1.4259369422962522</v>
      </c>
      <c r="AV953" s="6" t="s">
        <v>8830</v>
      </c>
      <c r="AW953" s="6" t="str">
        <f t="shared" si="444"/>
        <v>=1.681*100000000</v>
      </c>
      <c r="AX953" s="1">
        <f>1.681*100000000</f>
        <v>168100000</v>
      </c>
      <c r="AY953" s="10">
        <f t="shared" si="461"/>
        <v>-0.76383815678561395</v>
      </c>
      <c r="AZ953" s="6" t="s">
        <v>10263</v>
      </c>
      <c r="BA953" s="6" t="str">
        <f t="shared" si="445"/>
        <v>=7.118*100000000</v>
      </c>
      <c r="BB953" s="1">
        <f>7.118*100000000</f>
        <v>711800000</v>
      </c>
      <c r="BC953" s="8">
        <f t="shared" si="462"/>
        <v>0.27357308999821078</v>
      </c>
      <c r="BD953" s="6" t="s">
        <v>10264</v>
      </c>
      <c r="BE953" s="6" t="str">
        <f t="shared" si="446"/>
        <v>=5.589*100000000</v>
      </c>
      <c r="BF953" s="1">
        <f>5.589*100000000</f>
        <v>558900000</v>
      </c>
      <c r="BG953" s="8">
        <f t="shared" si="463"/>
        <v>0.38170580964153278</v>
      </c>
      <c r="BH953" s="6" t="s">
        <v>136</v>
      </c>
      <c r="BI953" s="6" t="str">
        <f t="shared" si="447"/>
        <v>=4.045*100000000</v>
      </c>
      <c r="BJ953" s="1">
        <f>4.045*100000000</f>
        <v>404500000</v>
      </c>
      <c r="BK953" s="6" t="s">
        <v>4289</v>
      </c>
      <c r="BL953" s="1" t="str">
        <f t="shared" si="449"/>
        <v>=1.533*100000000</v>
      </c>
      <c r="BM953" s="16">
        <f t="shared" si="464"/>
        <v>1.6386170906718851</v>
      </c>
      <c r="BN953" s="1">
        <f>1.533*100000000</f>
        <v>153300000</v>
      </c>
    </row>
    <row r="954" spans="1:66">
      <c r="A954" s="17">
        <v>240</v>
      </c>
      <c r="B954">
        <v>600765</v>
      </c>
      <c r="C954" t="s">
        <v>31</v>
      </c>
      <c r="D954" s="6" t="s">
        <v>10265</v>
      </c>
      <c r="E954" s="7" t="str">
        <f t="shared" si="448"/>
        <v>=87.90*100000000</v>
      </c>
      <c r="F954" s="1">
        <f>87.9*100000000</f>
        <v>8790000000</v>
      </c>
      <c r="G954" s="8">
        <f t="shared" si="450"/>
        <v>0.34774609015639374</v>
      </c>
      <c r="H954" s="6" t="s">
        <v>10266</v>
      </c>
      <c r="I954" s="6" t="str">
        <f t="shared" si="434"/>
        <v>=65.22*100000000</v>
      </c>
      <c r="J954" s="1">
        <f>65.22*100000000</f>
        <v>6522000000</v>
      </c>
      <c r="K954" s="10">
        <f t="shared" si="451"/>
        <v>0.47157039711191334</v>
      </c>
      <c r="L954" s="6" t="s">
        <v>10267</v>
      </c>
      <c r="M954" s="6" t="str">
        <f t="shared" si="435"/>
        <v>=44.32*100000000</v>
      </c>
      <c r="N954" s="1">
        <f>44.32*100000000</f>
        <v>4432000000</v>
      </c>
      <c r="O954" s="8">
        <f t="shared" si="452"/>
        <v>1.4829131652661063</v>
      </c>
      <c r="P954" s="6" t="s">
        <v>608</v>
      </c>
      <c r="Q954" s="6" t="str">
        <f t="shared" si="436"/>
        <v>=17.85*100000000</v>
      </c>
      <c r="R954" s="11">
        <f>17.85*100000000</f>
        <v>1785000000.0000002</v>
      </c>
      <c r="S954" s="8">
        <f t="shared" si="453"/>
        <v>-0.73350253807106602</v>
      </c>
      <c r="T954" s="6" t="s">
        <v>10268</v>
      </c>
      <c r="U954" s="6" t="str">
        <f t="shared" si="437"/>
        <v>=66.98*100000000</v>
      </c>
      <c r="V954" s="1">
        <f>66.98*100000000</f>
        <v>6698000000</v>
      </c>
      <c r="W954" s="8">
        <f t="shared" si="454"/>
        <v>0.27702573879885606</v>
      </c>
      <c r="X954" s="6" t="s">
        <v>10269</v>
      </c>
      <c r="Y954" s="6" t="str">
        <f t="shared" si="438"/>
        <v>=52.45*100000000</v>
      </c>
      <c r="Z954" s="1">
        <f>52.45*100000000</f>
        <v>5245000000</v>
      </c>
      <c r="AA954" s="8">
        <f t="shared" si="455"/>
        <v>0.60741648789457536</v>
      </c>
      <c r="AB954" s="6" t="s">
        <v>7795</v>
      </c>
      <c r="AC954" s="6" t="str">
        <f t="shared" si="439"/>
        <v>=32.63*100000000</v>
      </c>
      <c r="AD954" s="1">
        <f>32.63*100000000</f>
        <v>3263000000.0000005</v>
      </c>
      <c r="AE954" s="8">
        <f t="shared" si="456"/>
        <v>1.4552294958615504</v>
      </c>
      <c r="AF954" s="6" t="s">
        <v>6222</v>
      </c>
      <c r="AG954" s="6" t="str">
        <f t="shared" si="440"/>
        <v>=13.29*100000000</v>
      </c>
      <c r="AH954" s="1">
        <f>13.29*100000000</f>
        <v>1329000000</v>
      </c>
      <c r="AI954" s="8">
        <f t="shared" si="457"/>
        <v>-0.77794486215538849</v>
      </c>
      <c r="AJ954" s="6" t="s">
        <v>560</v>
      </c>
      <c r="AK954" s="6" t="str">
        <f t="shared" si="441"/>
        <v>=59.85*100000000</v>
      </c>
      <c r="AL954" s="1">
        <f>59.85*100000000</f>
        <v>5985000000</v>
      </c>
      <c r="AM954" s="8">
        <f t="shared" si="458"/>
        <v>0.34827663888263122</v>
      </c>
      <c r="AN954" s="6" t="s">
        <v>728</v>
      </c>
      <c r="AO954" s="6" t="str">
        <f t="shared" si="442"/>
        <v>=44.39*100000000</v>
      </c>
      <c r="AP954" s="1">
        <f>44.39*100000000</f>
        <v>4439000000</v>
      </c>
      <c r="AQ954" s="8">
        <f t="shared" si="459"/>
        <v>0.53333333333333333</v>
      </c>
      <c r="AR954" s="6" t="s">
        <v>656</v>
      </c>
      <c r="AS954" s="6" t="str">
        <f t="shared" si="443"/>
        <v>=28.95*100000000</v>
      </c>
      <c r="AT954" s="1">
        <f>28.95*100000000</f>
        <v>2895000000</v>
      </c>
      <c r="AU954" s="8">
        <f t="shared" si="460"/>
        <v>1.4104912572855954</v>
      </c>
      <c r="AV954" s="6" t="s">
        <v>2731</v>
      </c>
      <c r="AW954" s="6" t="str">
        <f t="shared" si="444"/>
        <v>=12.01*100000000</v>
      </c>
      <c r="AX954" s="1">
        <f>12.01*100000000</f>
        <v>1201000000</v>
      </c>
      <c r="AY954" s="10">
        <f t="shared" si="461"/>
        <v>-0.77939015429831005</v>
      </c>
      <c r="AZ954" s="6" t="s">
        <v>10270</v>
      </c>
      <c r="BA954" s="6" t="str">
        <f t="shared" si="445"/>
        <v>=54.44*100000000</v>
      </c>
      <c r="BB954" s="1">
        <f>54.44*100000000</f>
        <v>5444000000</v>
      </c>
      <c r="BC954" s="8">
        <f t="shared" si="462"/>
        <v>0.42326797385620912</v>
      </c>
      <c r="BD954" s="6" t="s">
        <v>7637</v>
      </c>
      <c r="BE954" s="6" t="str">
        <f t="shared" si="446"/>
        <v>=38.25*100000000</v>
      </c>
      <c r="BF954" s="1">
        <f>38.25*100000000</f>
        <v>3825000000</v>
      </c>
      <c r="BG954" s="8">
        <f t="shared" si="463"/>
        <v>0.49589362534219789</v>
      </c>
      <c r="BH954" s="6" t="s">
        <v>10271</v>
      </c>
      <c r="BI954" s="6" t="str">
        <f t="shared" si="447"/>
        <v>=25.57*100000000</v>
      </c>
      <c r="BJ954" s="1">
        <f>25.57*100000000</f>
        <v>2557000000</v>
      </c>
      <c r="BK954" s="6" t="s">
        <v>166</v>
      </c>
      <c r="BL954" s="1" t="str">
        <f t="shared" si="449"/>
        <v>=10.61*100000000</v>
      </c>
      <c r="BM954" s="16">
        <f t="shared" si="464"/>
        <v>1.409990574929312</v>
      </c>
      <c r="BN954" s="1">
        <f>10.61*100000000</f>
        <v>1061000000</v>
      </c>
    </row>
    <row r="955" spans="1:66">
      <c r="A955" s="18"/>
      <c r="B955">
        <v>600765</v>
      </c>
      <c r="C955" t="s">
        <v>48</v>
      </c>
      <c r="D955" s="6" t="s">
        <v>6906</v>
      </c>
      <c r="E955" s="7" t="str">
        <f t="shared" si="448"/>
        <v>=11.40*100000000</v>
      </c>
      <c r="F955" s="1">
        <f>11.4*100000000</f>
        <v>1140000000</v>
      </c>
      <c r="G955" s="8">
        <f t="shared" si="450"/>
        <v>0.29398410896708288</v>
      </c>
      <c r="H955" s="6" t="s">
        <v>10272</v>
      </c>
      <c r="I955" s="6" t="str">
        <f t="shared" si="434"/>
        <v>=8.810*100000000</v>
      </c>
      <c r="J955" s="1">
        <f>8.81*100000000</f>
        <v>881000000</v>
      </c>
      <c r="K955" s="10">
        <f t="shared" si="451"/>
        <v>1.0891629120227653</v>
      </c>
      <c r="L955" s="6" t="s">
        <v>229</v>
      </c>
      <c r="M955" s="6" t="str">
        <f t="shared" si="435"/>
        <v>=4.217*100000000</v>
      </c>
      <c r="N955" s="1">
        <f>4.217*100000000</f>
        <v>421699999.99999994</v>
      </c>
      <c r="O955" s="8">
        <f t="shared" si="452"/>
        <v>2.2338957055214719</v>
      </c>
      <c r="P955" s="6" t="s">
        <v>6899</v>
      </c>
      <c r="Q955" s="6" t="str">
        <f t="shared" si="436"/>
        <v>=1.304*100000000</v>
      </c>
      <c r="R955" s="11">
        <f>1.304*100000000</f>
        <v>130400000</v>
      </c>
      <c r="S955" s="8">
        <f t="shared" si="453"/>
        <v>-0.7477268330431418</v>
      </c>
      <c r="T955" s="6" t="s">
        <v>10273</v>
      </c>
      <c r="U955" s="6" t="str">
        <f t="shared" si="437"/>
        <v>=5.169*100000000</v>
      </c>
      <c r="V955" s="1">
        <f>5.169*100000000</f>
        <v>516899999.99999994</v>
      </c>
      <c r="W955" s="8">
        <f t="shared" si="454"/>
        <v>0.23838045040728287</v>
      </c>
      <c r="X955" s="6" t="s">
        <v>10274</v>
      </c>
      <c r="Y955" s="6" t="str">
        <f t="shared" si="438"/>
        <v>=4.174*100000000</v>
      </c>
      <c r="Z955" s="1">
        <f>4.174*100000000</f>
        <v>417400000.00000006</v>
      </c>
      <c r="AA955" s="8">
        <f t="shared" si="455"/>
        <v>0.98478364241559679</v>
      </c>
      <c r="AB955" s="6" t="s">
        <v>10275</v>
      </c>
      <c r="AC955" s="6" t="str">
        <f t="shared" si="439"/>
        <v>=2.103*100000000</v>
      </c>
      <c r="AD955" s="1">
        <f>2.103*100000000</f>
        <v>210300000.00000003</v>
      </c>
      <c r="AE955" s="8">
        <f t="shared" si="456"/>
        <v>1.6396385088490024</v>
      </c>
      <c r="AF955" s="7" t="s">
        <v>10276</v>
      </c>
      <c r="AG955" s="6" t="str">
        <f t="shared" si="440"/>
        <v>=7967*10000</v>
      </c>
      <c r="AH955" s="1">
        <f>7967*10000</f>
        <v>79670000</v>
      </c>
      <c r="AI955" s="8">
        <f t="shared" si="457"/>
        <v>-0.80107365792759055</v>
      </c>
      <c r="AJ955" s="6" t="s">
        <v>10277</v>
      </c>
      <c r="AK955" s="6" t="str">
        <f t="shared" si="441"/>
        <v>=4.005*100000000</v>
      </c>
      <c r="AL955" s="1">
        <f>4.005*100000000</f>
        <v>400500000</v>
      </c>
      <c r="AM955" s="8">
        <f t="shared" si="458"/>
        <v>0.33901705115346037</v>
      </c>
      <c r="AN955" s="6" t="s">
        <v>8282</v>
      </c>
      <c r="AO955" s="6" t="str">
        <f t="shared" si="442"/>
        <v>=2.991*100000000</v>
      </c>
      <c r="AP955" s="1">
        <f>2.991*100000000</f>
        <v>299100000</v>
      </c>
      <c r="AQ955" s="8">
        <f t="shared" si="459"/>
        <v>0.8882575757575758</v>
      </c>
      <c r="AR955" s="6" t="s">
        <v>10278</v>
      </c>
      <c r="AS955" s="6" t="str">
        <f t="shared" si="443"/>
        <v>=1.584*100000000</v>
      </c>
      <c r="AT955" s="1">
        <f>1.584*100000000</f>
        <v>158400000</v>
      </c>
      <c r="AU955" s="8">
        <f t="shared" si="460"/>
        <v>1.9813664596273293</v>
      </c>
      <c r="AV955" s="7" t="s">
        <v>10279</v>
      </c>
      <c r="AW955" s="6" t="str">
        <f t="shared" si="444"/>
        <v>=5313*10000</v>
      </c>
      <c r="AX955" s="1">
        <f>5313*10000</f>
        <v>53130000</v>
      </c>
      <c r="AY955" s="10">
        <f t="shared" si="461"/>
        <v>-0.81119402985074629</v>
      </c>
      <c r="AZ955" s="6" t="s">
        <v>6956</v>
      </c>
      <c r="BA955" s="6" t="str">
        <f t="shared" si="445"/>
        <v>=2.814*100000000</v>
      </c>
      <c r="BB955" s="1">
        <f>2.814*100000000</f>
        <v>281400000</v>
      </c>
      <c r="BC955" s="8">
        <f t="shared" si="462"/>
        <v>0.2072072072072072</v>
      </c>
      <c r="BD955" s="6" t="s">
        <v>1984</v>
      </c>
      <c r="BE955" s="6" t="str">
        <f t="shared" si="446"/>
        <v>=2.331*100000000</v>
      </c>
      <c r="BF955" s="1">
        <f>2.331*100000000</f>
        <v>233100000</v>
      </c>
      <c r="BG955" s="8">
        <f t="shared" si="463"/>
        <v>2.1606779661016948</v>
      </c>
      <c r="BH955" s="7" t="s">
        <v>10280</v>
      </c>
      <c r="BI955" s="6" t="str">
        <f t="shared" si="447"/>
        <v>=7375*10000</v>
      </c>
      <c r="BJ955" s="1">
        <f>7375*10000</f>
        <v>73750000</v>
      </c>
      <c r="BK955" s="7" t="s">
        <v>10281</v>
      </c>
      <c r="BL955" s="1" t="str">
        <f t="shared" si="449"/>
        <v>=3137*10000</v>
      </c>
      <c r="BM955" s="16">
        <f t="shared" si="464"/>
        <v>1.3509722664966528</v>
      </c>
      <c r="BN955" s="1">
        <f>3137*10000</f>
        <v>31370000</v>
      </c>
    </row>
    <row r="956" spans="1:66">
      <c r="A956" s="18"/>
      <c r="B956">
        <v>600765</v>
      </c>
      <c r="C956" t="s">
        <v>58</v>
      </c>
      <c r="D956" s="6" t="s">
        <v>9336</v>
      </c>
      <c r="E956" s="7" t="str">
        <f t="shared" si="448"/>
        <v>=11.44*100000000</v>
      </c>
      <c r="F956" s="1">
        <f>11.44*100000000</f>
        <v>1144000000</v>
      </c>
      <c r="G956" s="8">
        <f t="shared" si="450"/>
        <v>0.29338609383832659</v>
      </c>
      <c r="H956" s="6" t="s">
        <v>10282</v>
      </c>
      <c r="I956" s="6" t="str">
        <f t="shared" si="434"/>
        <v>=8.845*100000000</v>
      </c>
      <c r="J956" s="1">
        <f>8.845*100000000</f>
        <v>884500000.00000012</v>
      </c>
      <c r="K956" s="10">
        <f t="shared" si="451"/>
        <v>1.0969653864390709</v>
      </c>
      <c r="L956" s="6" t="s">
        <v>10283</v>
      </c>
      <c r="M956" s="6" t="str">
        <f t="shared" si="435"/>
        <v>=4.218*100000000</v>
      </c>
      <c r="N956" s="1">
        <f>4.218*100000000</f>
        <v>421800000</v>
      </c>
      <c r="O956" s="8">
        <f t="shared" si="452"/>
        <v>2.2521202775636082</v>
      </c>
      <c r="P956" s="6" t="s">
        <v>10284</v>
      </c>
      <c r="Q956" s="6" t="str">
        <f t="shared" si="436"/>
        <v>=1.297*100000000</v>
      </c>
      <c r="R956" s="11">
        <f>1.297*100000000</f>
        <v>129700000</v>
      </c>
      <c r="S956" s="8">
        <f t="shared" si="453"/>
        <v>-0.7474688473520249</v>
      </c>
      <c r="T956" s="6" t="s">
        <v>2935</v>
      </c>
      <c r="U956" s="6" t="str">
        <f t="shared" si="437"/>
        <v>=5.136*100000000</v>
      </c>
      <c r="V956" s="1">
        <f>5.136*100000000</f>
        <v>513600000</v>
      </c>
      <c r="W956" s="8">
        <f t="shared" si="454"/>
        <v>0.24811664641555287</v>
      </c>
      <c r="X956" s="6" t="s">
        <v>9514</v>
      </c>
      <c r="Y956" s="6" t="str">
        <f t="shared" si="438"/>
        <v>=4.115*100000000</v>
      </c>
      <c r="Z956" s="1">
        <f>4.115*100000000</f>
        <v>411500000</v>
      </c>
      <c r="AA956" s="8">
        <f t="shared" si="455"/>
        <v>1.0112414467253179</v>
      </c>
      <c r="AB956" s="6" t="s">
        <v>10285</v>
      </c>
      <c r="AC956" s="6" t="str">
        <f t="shared" si="439"/>
        <v>=2.046*100000000</v>
      </c>
      <c r="AD956" s="1">
        <f>2.046*100000000</f>
        <v>204599999.99999997</v>
      </c>
      <c r="AE956" s="8">
        <f t="shared" si="456"/>
        <v>1.6100267891312663</v>
      </c>
      <c r="AF956" s="7" t="s">
        <v>10286</v>
      </c>
      <c r="AG956" s="6" t="str">
        <f t="shared" si="440"/>
        <v>=7839*10000</v>
      </c>
      <c r="AH956" s="1">
        <f>7839*10000</f>
        <v>78390000</v>
      </c>
      <c r="AI956" s="8">
        <f t="shared" si="457"/>
        <v>-0.80786764705882352</v>
      </c>
      <c r="AJ956" s="6" t="s">
        <v>10287</v>
      </c>
      <c r="AK956" s="6" t="str">
        <f t="shared" si="441"/>
        <v>=4.080*100000000</v>
      </c>
      <c r="AL956" s="1">
        <f>4.08*100000000</f>
        <v>408000000</v>
      </c>
      <c r="AM956" s="8">
        <f t="shared" si="458"/>
        <v>0.36136136136136138</v>
      </c>
      <c r="AN956" s="6" t="s">
        <v>10084</v>
      </c>
      <c r="AO956" s="6" t="str">
        <f t="shared" si="442"/>
        <v>=2.997*100000000</v>
      </c>
      <c r="AP956" s="1">
        <f>2.997*100000000</f>
        <v>299700000</v>
      </c>
      <c r="AQ956" s="8">
        <f t="shared" si="459"/>
        <v>0.89324068224889452</v>
      </c>
      <c r="AR956" s="6" t="s">
        <v>6280</v>
      </c>
      <c r="AS956" s="6" t="str">
        <f t="shared" si="443"/>
        <v>=1.583*100000000</v>
      </c>
      <c r="AT956" s="1">
        <f>1.583*100000000</f>
        <v>158300000</v>
      </c>
      <c r="AU956" s="8">
        <f t="shared" si="460"/>
        <v>1.9610924055368499</v>
      </c>
      <c r="AV956" s="7" t="s">
        <v>10288</v>
      </c>
      <c r="AW956" s="6" t="str">
        <f t="shared" si="444"/>
        <v>=5346*10000</v>
      </c>
      <c r="AX956" s="1">
        <f>5346*10000</f>
        <v>53460000</v>
      </c>
      <c r="AY956" s="10">
        <f t="shared" si="461"/>
        <v>-0.81834862385321105</v>
      </c>
      <c r="AZ956" s="6" t="s">
        <v>7866</v>
      </c>
      <c r="BA956" s="6" t="str">
        <f t="shared" si="445"/>
        <v>=2.943*100000000</v>
      </c>
      <c r="BB956" s="1">
        <f>2.943*100000000</f>
        <v>294300000</v>
      </c>
      <c r="BC956" s="8">
        <f t="shared" si="462"/>
        <v>0.27402597402597401</v>
      </c>
      <c r="BD956" s="6" t="s">
        <v>6276</v>
      </c>
      <c r="BE956" s="6" t="str">
        <f t="shared" si="446"/>
        <v>=2.310*100000000</v>
      </c>
      <c r="BF956" s="1">
        <f>2.31*100000000</f>
        <v>231000000</v>
      </c>
      <c r="BG956" s="8">
        <f t="shared" si="463"/>
        <v>2.2475748629270349</v>
      </c>
      <c r="BH956" s="7" t="s">
        <v>10289</v>
      </c>
      <c r="BI956" s="6" t="str">
        <f t="shared" si="447"/>
        <v>=7113*10000</v>
      </c>
      <c r="BJ956" s="1">
        <f>7113*10000</f>
        <v>71130000</v>
      </c>
      <c r="BK956" s="7" t="s">
        <v>10290</v>
      </c>
      <c r="BL956" s="1" t="str">
        <f t="shared" si="449"/>
        <v>=3279*10000</v>
      </c>
      <c r="BM956" s="16">
        <f t="shared" si="464"/>
        <v>1.1692589204025619</v>
      </c>
      <c r="BN956" s="1">
        <f>3279*10000</f>
        <v>32790000</v>
      </c>
    </row>
    <row r="957" spans="1:66">
      <c r="A957" s="19"/>
      <c r="B957">
        <v>600765</v>
      </c>
      <c r="C957" t="s">
        <v>68</v>
      </c>
      <c r="D957" s="6" t="s">
        <v>10291</v>
      </c>
      <c r="E957" s="7" t="str">
        <f t="shared" si="448"/>
        <v>=9.667*100000000</v>
      </c>
      <c r="F957" s="1">
        <f>9.667*100000000</f>
        <v>966700000</v>
      </c>
      <c r="G957" s="8">
        <f t="shared" si="450"/>
        <v>0.33080947136563876</v>
      </c>
      <c r="H957" s="6" t="s">
        <v>10292</v>
      </c>
      <c r="I957" s="6" t="str">
        <f t="shared" si="434"/>
        <v>=7.264*100000000</v>
      </c>
      <c r="J957" s="1">
        <f>7.264*100000000</f>
        <v>726400000</v>
      </c>
      <c r="K957" s="10">
        <f t="shared" si="451"/>
        <v>1.2146341463414634</v>
      </c>
      <c r="L957" s="6" t="s">
        <v>4404</v>
      </c>
      <c r="M957" s="6" t="str">
        <f t="shared" si="435"/>
        <v>=3.280*100000000</v>
      </c>
      <c r="N957" s="1">
        <f>3.28*100000000</f>
        <v>328000000</v>
      </c>
      <c r="O957" s="8">
        <f t="shared" si="452"/>
        <v>2.1660231660231659</v>
      </c>
      <c r="P957" s="6" t="s">
        <v>344</v>
      </c>
      <c r="Q957" s="6" t="str">
        <f t="shared" si="436"/>
        <v>=1.036*100000000</v>
      </c>
      <c r="R957" s="11">
        <f>1.036*100000000</f>
        <v>103600000</v>
      </c>
      <c r="S957" s="8">
        <f t="shared" si="453"/>
        <v>-0.75692163303613325</v>
      </c>
      <c r="T957" s="6" t="s">
        <v>5791</v>
      </c>
      <c r="U957" s="6" t="str">
        <f t="shared" si="437"/>
        <v>=4.262*100000000</v>
      </c>
      <c r="V957" s="1">
        <f>4.262*100000000</f>
        <v>426199999.99999994</v>
      </c>
      <c r="W957" s="8">
        <f t="shared" si="454"/>
        <v>0.28064903846153827</v>
      </c>
      <c r="X957" s="6" t="s">
        <v>2306</v>
      </c>
      <c r="Y957" s="6" t="str">
        <f t="shared" si="438"/>
        <v>=3.328*100000000</v>
      </c>
      <c r="Z957" s="1">
        <f>3.328*100000000</f>
        <v>332800000</v>
      </c>
      <c r="AA957" s="8">
        <f t="shared" si="455"/>
        <v>1.1251596424010217</v>
      </c>
      <c r="AB957" s="6" t="s">
        <v>10293</v>
      </c>
      <c r="AC957" s="6" t="str">
        <f t="shared" si="439"/>
        <v>=1.566*100000000</v>
      </c>
      <c r="AD957" s="1">
        <f>1.566*100000000</f>
        <v>156600000</v>
      </c>
      <c r="AE957" s="8">
        <f t="shared" si="456"/>
        <v>1.5991701244813279</v>
      </c>
      <c r="AF957" s="7" t="s">
        <v>8117</v>
      </c>
      <c r="AG957" s="6" t="str">
        <f t="shared" si="440"/>
        <v>=6025*10000</v>
      </c>
      <c r="AH957" s="1">
        <f>6025*10000</f>
        <v>60250000</v>
      </c>
      <c r="AI957" s="8">
        <f t="shared" si="457"/>
        <v>-0.81195380774032455</v>
      </c>
      <c r="AJ957" s="6" t="s">
        <v>10294</v>
      </c>
      <c r="AK957" s="6" t="str">
        <f t="shared" si="441"/>
        <v>=3.204*100000000</v>
      </c>
      <c r="AL957" s="1">
        <f>3.204*100000000</f>
        <v>320400000</v>
      </c>
      <c r="AM957" s="8">
        <f t="shared" si="458"/>
        <v>0.34170854271356782</v>
      </c>
      <c r="AN957" s="6" t="s">
        <v>2786</v>
      </c>
      <c r="AO957" s="6" t="str">
        <f t="shared" si="442"/>
        <v>=2.388*100000000</v>
      </c>
      <c r="AP957" s="1">
        <f>2.388*100000000</f>
        <v>238800000</v>
      </c>
      <c r="AQ957" s="8">
        <f t="shared" si="459"/>
        <v>0.96381578947368418</v>
      </c>
      <c r="AR957" s="6" t="s">
        <v>6536</v>
      </c>
      <c r="AS957" s="6" t="str">
        <f t="shared" si="443"/>
        <v>=1.216*100000000</v>
      </c>
      <c r="AT957" s="1">
        <f>1.216*100000000</f>
        <v>121600000</v>
      </c>
      <c r="AU957" s="8">
        <f t="shared" si="460"/>
        <v>2.2357637040979244</v>
      </c>
      <c r="AV957" s="7" t="s">
        <v>10295</v>
      </c>
      <c r="AW957" s="6" t="str">
        <f t="shared" si="444"/>
        <v>=3758*10000</v>
      </c>
      <c r="AX957" s="1">
        <f>3758*10000</f>
        <v>37580000</v>
      </c>
      <c r="AY957" s="10">
        <f t="shared" si="461"/>
        <v>-0.83575174825174825</v>
      </c>
      <c r="AZ957" s="6" t="s">
        <v>2999</v>
      </c>
      <c r="BA957" s="6" t="str">
        <f t="shared" si="445"/>
        <v>=2.288*100000000</v>
      </c>
      <c r="BB957" s="1">
        <f>2.288*100000000</f>
        <v>228799999.99999997</v>
      </c>
      <c r="BC957" s="8">
        <f t="shared" si="462"/>
        <v>0.32791642484039446</v>
      </c>
      <c r="BD957" s="6" t="s">
        <v>10296</v>
      </c>
      <c r="BE957" s="6" t="str">
        <f t="shared" si="446"/>
        <v>=1.723*100000000</v>
      </c>
      <c r="BF957" s="1">
        <f>1.723*100000000</f>
        <v>172300000</v>
      </c>
      <c r="BG957" s="8">
        <f t="shared" si="463"/>
        <v>3.7478644254615596</v>
      </c>
      <c r="BH957" s="7" t="s">
        <v>6099</v>
      </c>
      <c r="BI957" s="6" t="str">
        <f t="shared" si="447"/>
        <v>=3629*10000</v>
      </c>
      <c r="BJ957" s="1">
        <f>3629*10000</f>
        <v>36290000</v>
      </c>
      <c r="BK957" s="7" t="s">
        <v>10297</v>
      </c>
      <c r="BL957" s="1" t="str">
        <f t="shared" si="449"/>
        <v>=2244*10000</v>
      </c>
      <c r="BM957" s="16">
        <f t="shared" si="464"/>
        <v>0.61720142602495542</v>
      </c>
      <c r="BN957" s="1">
        <f>2244*10000</f>
        <v>22440000</v>
      </c>
    </row>
    <row r="958" spans="1:66">
      <c r="A958" s="17">
        <v>241</v>
      </c>
      <c r="B958">
        <v>600768</v>
      </c>
      <c r="C958" t="s">
        <v>31</v>
      </c>
      <c r="D958" s="6" t="s">
        <v>10298</v>
      </c>
      <c r="E958" s="7" t="str">
        <f t="shared" si="448"/>
        <v>=4.170*100000000</v>
      </c>
      <c r="F958" s="1">
        <f>4.17*100000000</f>
        <v>417000000</v>
      </c>
      <c r="G958" s="8">
        <f t="shared" si="450"/>
        <v>0.27992633517495397</v>
      </c>
      <c r="H958" s="6" t="s">
        <v>10299</v>
      </c>
      <c r="I958" s="6" t="str">
        <f t="shared" si="434"/>
        <v>=3.258*100000000</v>
      </c>
      <c r="J958" s="1">
        <f>3.258*100000000</f>
        <v>325800000</v>
      </c>
      <c r="K958" s="10">
        <f t="shared" si="451"/>
        <v>0.46756756756756734</v>
      </c>
      <c r="L958" s="6" t="s">
        <v>10300</v>
      </c>
      <c r="M958" s="6" t="str">
        <f t="shared" si="435"/>
        <v>=2.220*100000000</v>
      </c>
      <c r="N958" s="1">
        <f>2.22*100000000</f>
        <v>222000000.00000003</v>
      </c>
      <c r="O958" s="8">
        <f t="shared" si="452"/>
        <v>1.5377229080932788</v>
      </c>
      <c r="P958" s="7" t="s">
        <v>10301</v>
      </c>
      <c r="Q958" s="6" t="str">
        <f t="shared" si="436"/>
        <v>=8748*10000</v>
      </c>
      <c r="R958" s="11">
        <f>8748*10000</f>
        <v>87480000</v>
      </c>
      <c r="S958" s="8">
        <f t="shared" si="453"/>
        <v>-0.82320129345189974</v>
      </c>
      <c r="T958" s="6" t="s">
        <v>71</v>
      </c>
      <c r="U958" s="6" t="str">
        <f t="shared" si="437"/>
        <v>=4.948*100000000</v>
      </c>
      <c r="V958" s="1">
        <f>4.948*100000000</f>
        <v>494800000.00000006</v>
      </c>
      <c r="W958" s="8">
        <f t="shared" si="454"/>
        <v>0.45315712187958901</v>
      </c>
      <c r="X958" s="6" t="s">
        <v>2534</v>
      </c>
      <c r="Y958" s="6" t="str">
        <f t="shared" si="438"/>
        <v>=3.405*100000000</v>
      </c>
      <c r="Z958" s="1">
        <f>3.405*100000000</f>
        <v>340500000</v>
      </c>
      <c r="AA958" s="8">
        <f t="shared" si="455"/>
        <v>1.1911196911196911</v>
      </c>
      <c r="AB958" s="6" t="s">
        <v>3978</v>
      </c>
      <c r="AC958" s="6" t="str">
        <f t="shared" si="439"/>
        <v>=1.554*100000000</v>
      </c>
      <c r="AD958" s="1">
        <f>1.554*100000000</f>
        <v>155400000</v>
      </c>
      <c r="AE958" s="8">
        <f t="shared" si="456"/>
        <v>2.8869434717358677</v>
      </c>
      <c r="AF958" s="7" t="s">
        <v>10302</v>
      </c>
      <c r="AG958" s="6" t="str">
        <f t="shared" si="440"/>
        <v>=3998*10000</v>
      </c>
      <c r="AH958" s="1">
        <f>3998*10000</f>
        <v>39980000</v>
      </c>
      <c r="AI958" s="8">
        <f t="shared" si="457"/>
        <v>-0.92271409240286106</v>
      </c>
      <c r="AJ958" s="6" t="s">
        <v>7932</v>
      </c>
      <c r="AK958" s="6" t="str">
        <f t="shared" si="441"/>
        <v>=5.173*100000000</v>
      </c>
      <c r="AL958" s="1">
        <f>5.173*100000000</f>
        <v>517300000</v>
      </c>
      <c r="AM958" s="8">
        <f t="shared" si="458"/>
        <v>0.19551652415068177</v>
      </c>
      <c r="AN958" s="6" t="s">
        <v>8293</v>
      </c>
      <c r="AO958" s="6" t="str">
        <f t="shared" si="442"/>
        <v>=4.327*100000000</v>
      </c>
      <c r="AP958" s="1">
        <f>4.327*100000000</f>
        <v>432700000</v>
      </c>
      <c r="AQ958" s="8">
        <f t="shared" si="459"/>
        <v>0.40807028961926456</v>
      </c>
      <c r="AR958" s="6" t="s">
        <v>10303</v>
      </c>
      <c r="AS958" s="6" t="str">
        <f t="shared" si="443"/>
        <v>=3.073*100000000</v>
      </c>
      <c r="AT958" s="1">
        <f>3.073*100000000</f>
        <v>307300000</v>
      </c>
      <c r="AU958" s="8">
        <f t="shared" si="460"/>
        <v>1.0904761904761904</v>
      </c>
      <c r="AV958" s="6" t="s">
        <v>10304</v>
      </c>
      <c r="AW958" s="6" t="str">
        <f t="shared" si="444"/>
        <v>=1.470*100000000</v>
      </c>
      <c r="AX958" s="1">
        <f>1.47*100000000</f>
        <v>147000000</v>
      </c>
      <c r="AY958" s="10">
        <f t="shared" si="461"/>
        <v>-0.80092091007583965</v>
      </c>
      <c r="AZ958" s="6" t="s">
        <v>6802</v>
      </c>
      <c r="BA958" s="6" t="str">
        <f t="shared" si="445"/>
        <v>=7.384*100000000</v>
      </c>
      <c r="BB958" s="1">
        <f>7.384*100000000</f>
        <v>738400000</v>
      </c>
      <c r="BC958" s="8">
        <f t="shared" si="462"/>
        <v>0.33141002524341867</v>
      </c>
      <c r="BD958" s="6" t="s">
        <v>10305</v>
      </c>
      <c r="BE958" s="6" t="str">
        <f t="shared" si="446"/>
        <v>=5.546*100000000</v>
      </c>
      <c r="BF958" s="1">
        <f>5.546*100000000</f>
        <v>554600000</v>
      </c>
      <c r="BG958" s="8">
        <f t="shared" si="463"/>
        <v>0.52028508771929827</v>
      </c>
      <c r="BH958" s="6" t="s">
        <v>9996</v>
      </c>
      <c r="BI958" s="6" t="str">
        <f t="shared" si="447"/>
        <v>=3.648*100000000</v>
      </c>
      <c r="BJ958" s="1">
        <f>3.648*100000000</f>
        <v>364800000</v>
      </c>
      <c r="BK958" s="6" t="s">
        <v>9995</v>
      </c>
      <c r="BL958" s="1" t="str">
        <f t="shared" si="449"/>
        <v>=1.518*100000000</v>
      </c>
      <c r="BM958" s="16">
        <f t="shared" si="464"/>
        <v>1.4031620553359683</v>
      </c>
      <c r="BN958" s="1">
        <f>1.518*100000000</f>
        <v>151800000</v>
      </c>
    </row>
    <row r="959" spans="1:66">
      <c r="A959" s="18"/>
      <c r="B959">
        <v>600768</v>
      </c>
      <c r="C959" t="s">
        <v>48</v>
      </c>
      <c r="D959" s="7" t="s">
        <v>10306</v>
      </c>
      <c r="E959" s="7" t="str">
        <f t="shared" si="448"/>
        <v>=780.7*10000</v>
      </c>
      <c r="F959" s="1">
        <f>780.7*10000</f>
        <v>7807000</v>
      </c>
      <c r="G959" s="8">
        <f t="shared" si="450"/>
        <v>0.57082494969818909</v>
      </c>
      <c r="H959" s="7" t="s">
        <v>10307</v>
      </c>
      <c r="I959" s="6" t="str">
        <f t="shared" ref="I959:I1022" si="465">"="&amp;H959</f>
        <v>=497.0*10000</v>
      </c>
      <c r="J959" s="1">
        <f>497*10000</f>
        <v>4970000</v>
      </c>
      <c r="K959" s="10">
        <f t="shared" si="451"/>
        <v>0.31169173924518345</v>
      </c>
      <c r="L959" s="7" t="s">
        <v>10308</v>
      </c>
      <c r="M959" s="6" t="str">
        <f t="shared" ref="M959:M1022" si="466">"="&amp;L959</f>
        <v>=378.9*10000</v>
      </c>
      <c r="N959" s="1">
        <f>378.9*10000</f>
        <v>3789000</v>
      </c>
      <c r="O959" s="8">
        <f t="shared" si="452"/>
        <v>1.7258992805755395</v>
      </c>
      <c r="P959" s="7" t="s">
        <v>10309</v>
      </c>
      <c r="Q959" s="6" t="str">
        <f t="shared" ref="Q959:Q1022" si="467">"="&amp;P959</f>
        <v>=139.0*10000</v>
      </c>
      <c r="R959" s="11">
        <f>139*10000</f>
        <v>1390000</v>
      </c>
      <c r="S959" s="8">
        <f t="shared" si="453"/>
        <v>-0.81080713216278755</v>
      </c>
      <c r="T959" s="7" t="s">
        <v>10310</v>
      </c>
      <c r="U959" s="6" t="str">
        <f t="shared" ref="U959:U1022" si="468">"="&amp;T959</f>
        <v>=734.7*10000</v>
      </c>
      <c r="V959" s="1">
        <f>734.7*10000</f>
        <v>7347000</v>
      </c>
      <c r="W959" s="8">
        <f t="shared" si="454"/>
        <v>-0.3538258575197889</v>
      </c>
      <c r="X959" s="7" t="s">
        <v>10311</v>
      </c>
      <c r="Y959" s="6" t="str">
        <f t="shared" ref="Y959:Y1022" si="469">"="&amp;X959</f>
        <v>=1137*10000</v>
      </c>
      <c r="Z959" s="1">
        <f>1137*10000</f>
        <v>11370000</v>
      </c>
      <c r="AA959" s="8">
        <f t="shared" si="455"/>
        <v>0.23734900424420502</v>
      </c>
      <c r="AB959" s="7" t="s">
        <v>10312</v>
      </c>
      <c r="AC959" s="6" t="str">
        <f t="shared" ref="AC959:AC1022" si="470">"="&amp;AB959</f>
        <v>=918.9*10000</v>
      </c>
      <c r="AD959" s="1">
        <f>918.9*10000</f>
        <v>9189000</v>
      </c>
      <c r="AE959" s="8">
        <f t="shared" si="456"/>
        <v>-7.4802538787023973</v>
      </c>
      <c r="AF959" s="7">
        <f>-141.8*10000</f>
        <v>-1418000</v>
      </c>
      <c r="AG959" s="6" t="str">
        <f t="shared" ref="AG959:AG1022" si="471">"="&amp;AF959</f>
        <v>=-1418000</v>
      </c>
      <c r="AH959" s="1">
        <f>-1418000</f>
        <v>-1418000</v>
      </c>
      <c r="AI959" s="8">
        <f t="shared" si="457"/>
        <v>-1.0104959289415247</v>
      </c>
      <c r="AJ959" s="6" t="s">
        <v>4744</v>
      </c>
      <c r="AK959" s="6" t="str">
        <f t="shared" ref="AK959:AK1022" si="472">"="&amp;AJ959</f>
        <v>=1.351*100000000</v>
      </c>
      <c r="AL959" s="1">
        <f>1.351*100000000</f>
        <v>135100000</v>
      </c>
      <c r="AM959" s="8">
        <f t="shared" si="458"/>
        <v>-1.3868613138686132E-2</v>
      </c>
      <c r="AN959" s="6" t="s">
        <v>10313</v>
      </c>
      <c r="AO959" s="6" t="str">
        <f t="shared" ref="AO959:AO1022" si="473">"="&amp;AN959</f>
        <v>=1.370*100000000</v>
      </c>
      <c r="AP959" s="1">
        <f>1.37*100000000</f>
        <v>137000000</v>
      </c>
      <c r="AQ959" s="8">
        <f t="shared" si="459"/>
        <v>3.663003663003663E-3</v>
      </c>
      <c r="AR959" s="6" t="s">
        <v>2187</v>
      </c>
      <c r="AS959" s="6" t="str">
        <f t="shared" ref="AS959:AS1022" si="474">"="&amp;AR959</f>
        <v>=1.365*100000000</v>
      </c>
      <c r="AT959" s="1">
        <f>1.365*100000000</f>
        <v>136500000</v>
      </c>
      <c r="AU959" s="8">
        <f t="shared" si="460"/>
        <v>-25.091069537592659</v>
      </c>
      <c r="AV959" s="7">
        <f>-566.6*10000</f>
        <v>-5666000</v>
      </c>
      <c r="AW959" s="6" t="str">
        <f t="shared" ref="AW959:AW1022" si="475">"="&amp;AV959</f>
        <v>=-5666000</v>
      </c>
      <c r="AX959" s="1">
        <f>-5666000</f>
        <v>-5666000</v>
      </c>
      <c r="AY959" s="10">
        <f t="shared" si="461"/>
        <v>-0.80278454577097114</v>
      </c>
      <c r="AZ959" s="7">
        <f>-2873*10000</f>
        <v>-28730000</v>
      </c>
      <c r="BA959" s="6" t="str">
        <f t="shared" ref="BA959:BA1022" si="476">"="&amp;AZ959</f>
        <v>=-28730000</v>
      </c>
      <c r="BB959" s="1">
        <f>-28730000</f>
        <v>-28730000</v>
      </c>
      <c r="BC959" s="8">
        <f t="shared" si="462"/>
        <v>3.9645757732849489</v>
      </c>
      <c r="BD959" s="7">
        <f>-578.7*10000</f>
        <v>-5787000</v>
      </c>
      <c r="BE959" s="6" t="str">
        <f t="shared" ref="BE959:BE1022" si="477">"="&amp;BD959</f>
        <v>=-5787000</v>
      </c>
      <c r="BF959" s="1">
        <f>-5787000</f>
        <v>-5787000</v>
      </c>
      <c r="BG959" s="8">
        <f t="shared" si="463"/>
        <v>1.4072379367720467</v>
      </c>
      <c r="BH959" s="7">
        <f>-240.4*10000</f>
        <v>-2404000</v>
      </c>
      <c r="BI959" s="6" t="str">
        <f t="shared" ref="BI959:BI1022" si="478">"="&amp;BH959</f>
        <v>=-2404000</v>
      </c>
      <c r="BJ959" s="1">
        <f>-2404000</f>
        <v>-2404000</v>
      </c>
      <c r="BK959" s="7">
        <f>-549.9*10000</f>
        <v>-5499000</v>
      </c>
      <c r="BL959" s="1" t="str">
        <f t="shared" si="449"/>
        <v>=-5499000</v>
      </c>
      <c r="BM959" s="16">
        <f t="shared" si="464"/>
        <v>-0.56282960538279692</v>
      </c>
      <c r="BN959" s="1">
        <f>-5499000</f>
        <v>-5499000</v>
      </c>
    </row>
    <row r="960" spans="1:66">
      <c r="A960" s="18"/>
      <c r="B960">
        <v>600768</v>
      </c>
      <c r="C960" t="s">
        <v>58</v>
      </c>
      <c r="D960" s="7" t="s">
        <v>10314</v>
      </c>
      <c r="E960" s="7" t="str">
        <f t="shared" si="448"/>
        <v>=842.2*10000</v>
      </c>
      <c r="F960" s="1">
        <f>842.2*10000</f>
        <v>8422000</v>
      </c>
      <c r="G960" s="8">
        <f t="shared" si="450"/>
        <v>0.48798586572438163</v>
      </c>
      <c r="H960" s="7" t="s">
        <v>10315</v>
      </c>
      <c r="I960" s="6" t="str">
        <f t="shared" si="465"/>
        <v>=566.0*10000</v>
      </c>
      <c r="J960" s="1">
        <f>566*10000</f>
        <v>5660000</v>
      </c>
      <c r="K960" s="10">
        <f t="shared" si="451"/>
        <v>0.43910500889905923</v>
      </c>
      <c r="L960" s="7" t="s">
        <v>10316</v>
      </c>
      <c r="M960" s="6" t="str">
        <f t="shared" si="466"/>
        <v>=393.3*10000</v>
      </c>
      <c r="N960" s="1">
        <f>393.3*10000</f>
        <v>3933000</v>
      </c>
      <c r="O960" s="8">
        <f t="shared" si="452"/>
        <v>1.5357833655705997</v>
      </c>
      <c r="P960" s="7" t="s">
        <v>10317</v>
      </c>
      <c r="Q960" s="6" t="str">
        <f t="shared" si="467"/>
        <v>=155.1*10000</v>
      </c>
      <c r="R960" s="11">
        <f>155.1*10000</f>
        <v>1551000</v>
      </c>
      <c r="S960" s="8">
        <f t="shared" si="453"/>
        <v>-0.78863450531479973</v>
      </c>
      <c r="T960" s="7" t="s">
        <v>10318</v>
      </c>
      <c r="U960" s="6" t="str">
        <f t="shared" si="468"/>
        <v>=733.8*10000</v>
      </c>
      <c r="V960" s="1">
        <f>733.8*10000</f>
        <v>7338000</v>
      </c>
      <c r="W960" s="8">
        <f t="shared" si="454"/>
        <v>-0.35800524934383204</v>
      </c>
      <c r="X960" s="7" t="s">
        <v>4209</v>
      </c>
      <c r="Y960" s="6" t="str">
        <f t="shared" si="469"/>
        <v>=1143*10000</v>
      </c>
      <c r="Z960" s="1">
        <f>1143*10000</f>
        <v>11430000</v>
      </c>
      <c r="AA960" s="8">
        <f t="shared" si="455"/>
        <v>0.24266144814090018</v>
      </c>
      <c r="AB960" s="7" t="s">
        <v>10319</v>
      </c>
      <c r="AC960" s="6" t="str">
        <f t="shared" si="470"/>
        <v>=919.8*10000</v>
      </c>
      <c r="AD960" s="1">
        <f>919.8*10000</f>
        <v>9198000</v>
      </c>
      <c r="AE960" s="8">
        <f t="shared" si="456"/>
        <v>-7.8795811518324603</v>
      </c>
      <c r="AF960" s="7">
        <f>-133.7*10000</f>
        <v>-1337000</v>
      </c>
      <c r="AG960" s="6" t="str">
        <f t="shared" si="471"/>
        <v>=-1337000</v>
      </c>
      <c r="AH960" s="1">
        <f>-1337000</f>
        <v>-1337000</v>
      </c>
      <c r="AI960" s="8">
        <f t="shared" si="457"/>
        <v>-1.010594294770206</v>
      </c>
      <c r="AJ960" s="6" t="s">
        <v>7268</v>
      </c>
      <c r="AK960" s="6" t="str">
        <f t="shared" si="472"/>
        <v>=1.262*100000000</v>
      </c>
      <c r="AL960" s="1">
        <f>1.262*100000000</f>
        <v>126200000</v>
      </c>
      <c r="AM960" s="8">
        <f t="shared" si="458"/>
        <v>-1.4832162373145864E-2</v>
      </c>
      <c r="AN960" s="6" t="s">
        <v>10320</v>
      </c>
      <c r="AO960" s="6" t="str">
        <f t="shared" si="473"/>
        <v>=1.281*100000000</v>
      </c>
      <c r="AP960" s="1">
        <f>1.281*100000000</f>
        <v>128099999.99999999</v>
      </c>
      <c r="AQ960" s="8">
        <f t="shared" si="459"/>
        <v>-6.1538461538461646E-2</v>
      </c>
      <c r="AR960" s="6" t="s">
        <v>2187</v>
      </c>
      <c r="AS960" s="6" t="str">
        <f t="shared" si="474"/>
        <v>=1.365*100000000</v>
      </c>
      <c r="AT960" s="1">
        <f>1.365*100000000</f>
        <v>136500000</v>
      </c>
      <c r="AU960" s="8">
        <f t="shared" si="460"/>
        <v>-25.091069537592659</v>
      </c>
      <c r="AV960" s="7">
        <f>-566.6*10000</f>
        <v>-5666000</v>
      </c>
      <c r="AW960" s="6" t="str">
        <f t="shared" si="475"/>
        <v>=-5666000</v>
      </c>
      <c r="AX960" s="1">
        <f>-5666000</f>
        <v>-5666000</v>
      </c>
      <c r="AY960" s="10">
        <f t="shared" si="461"/>
        <v>-0.81798907805974941</v>
      </c>
      <c r="AZ960" s="7">
        <f>-3113*10000</f>
        <v>-31130000</v>
      </c>
      <c r="BA960" s="6" t="str">
        <f t="shared" si="476"/>
        <v>=-31130000</v>
      </c>
      <c r="BB960" s="1">
        <f>-31130000</f>
        <v>-31130000</v>
      </c>
      <c r="BC960" s="8">
        <f t="shared" si="462"/>
        <v>3.7389252549855381</v>
      </c>
      <c r="BD960" s="7">
        <f>-656.9*10000</f>
        <v>-6569000</v>
      </c>
      <c r="BE960" s="6" t="str">
        <f t="shared" si="477"/>
        <v>=-6569000</v>
      </c>
      <c r="BF960" s="1">
        <f>-6569000</f>
        <v>-6569000</v>
      </c>
      <c r="BG960" s="8">
        <f t="shared" si="463"/>
        <v>1.3203814906393501</v>
      </c>
      <c r="BH960" s="7">
        <f>-283.1*10000</f>
        <v>-2831000</v>
      </c>
      <c r="BI960" s="6" t="str">
        <f t="shared" si="478"/>
        <v>=-2831000</v>
      </c>
      <c r="BJ960" s="1">
        <f>-2831000</f>
        <v>-2831000</v>
      </c>
      <c r="BK960" s="7">
        <f>-549.8*10000</f>
        <v>-5498000</v>
      </c>
      <c r="BL960" s="1" t="str">
        <f t="shared" si="449"/>
        <v>=-5498000</v>
      </c>
      <c r="BM960" s="16">
        <f t="shared" si="464"/>
        <v>-0.48508548563113857</v>
      </c>
      <c r="BN960" s="1">
        <f>-5498000</f>
        <v>-5498000</v>
      </c>
    </row>
    <row r="961" spans="1:66">
      <c r="A961" s="19"/>
      <c r="B961">
        <v>600768</v>
      </c>
      <c r="C961" t="s">
        <v>68</v>
      </c>
      <c r="D961" s="7" t="s">
        <v>10321</v>
      </c>
      <c r="E961" s="7" t="str">
        <f t="shared" si="448"/>
        <v>=284.5*10000</v>
      </c>
      <c r="F961" s="1">
        <f>284.5*10000</f>
        <v>2845000</v>
      </c>
      <c r="G961" s="8">
        <f t="shared" si="450"/>
        <v>-10.101087651951376</v>
      </c>
      <c r="H961" s="7">
        <f>-31.26*10000</f>
        <v>-312600</v>
      </c>
      <c r="I961" s="6" t="str">
        <f t="shared" si="465"/>
        <v>=-312600</v>
      </c>
      <c r="J961" s="1">
        <f>-312600</f>
        <v>-312600</v>
      </c>
      <c r="K961" s="10">
        <f t="shared" si="451"/>
        <v>-0.84107778342653783</v>
      </c>
      <c r="L961" s="7">
        <f>-196.7*10000</f>
        <v>-1967000</v>
      </c>
      <c r="M961" s="6" t="str">
        <f t="shared" si="466"/>
        <v>=-1967000</v>
      </c>
      <c r="N961" s="1">
        <f>-1967000</f>
        <v>-1967000</v>
      </c>
      <c r="O961" s="8">
        <f t="shared" si="452"/>
        <v>9.3417455310199795</v>
      </c>
      <c r="P961" s="7">
        <f>-19.02*10000</f>
        <v>-190200</v>
      </c>
      <c r="Q961" s="6" t="str">
        <f t="shared" si="467"/>
        <v>=-190200</v>
      </c>
      <c r="R961" s="11">
        <f>-190200</f>
        <v>-190200</v>
      </c>
      <c r="S961" s="8">
        <f t="shared" si="453"/>
        <v>-1.1313535911602211</v>
      </c>
      <c r="T961" s="7" t="s">
        <v>10322</v>
      </c>
      <c r="U961" s="6" t="str">
        <f t="shared" si="468"/>
        <v>=144.8*10000</v>
      </c>
      <c r="V961" s="1">
        <f>144.8*10000</f>
        <v>1448000</v>
      </c>
      <c r="W961" s="8">
        <f t="shared" si="454"/>
        <v>-0.81380995242381382</v>
      </c>
      <c r="X961" s="7" t="s">
        <v>7728</v>
      </c>
      <c r="Y961" s="6" t="str">
        <f t="shared" si="469"/>
        <v>=777.7*10000</v>
      </c>
      <c r="Z961" s="1">
        <f>777.7*10000</f>
        <v>7777000</v>
      </c>
      <c r="AA961" s="8">
        <f t="shared" si="455"/>
        <v>0.20554952720508449</v>
      </c>
      <c r="AB961" s="7" t="s">
        <v>10323</v>
      </c>
      <c r="AC961" s="6" t="str">
        <f t="shared" si="470"/>
        <v>=645.1*10000</v>
      </c>
      <c r="AD961" s="1">
        <f>645.1*10000</f>
        <v>6451000</v>
      </c>
      <c r="AE961" s="8">
        <f t="shared" si="456"/>
        <v>-4.5040738728951659</v>
      </c>
      <c r="AF961" s="7">
        <f>-184.1*10000</f>
        <v>-1841000</v>
      </c>
      <c r="AG961" s="6" t="str">
        <f t="shared" si="471"/>
        <v>=-1841000</v>
      </c>
      <c r="AH961" s="1">
        <f>-1841000</f>
        <v>-1841000</v>
      </c>
      <c r="AI961" s="8">
        <f t="shared" si="457"/>
        <v>-1.0164964157706093</v>
      </c>
      <c r="AJ961" s="6" t="s">
        <v>3880</v>
      </c>
      <c r="AK961" s="6" t="str">
        <f t="shared" si="472"/>
        <v>=1.116*100000000</v>
      </c>
      <c r="AL961" s="1">
        <f>1.116*100000000</f>
        <v>111600000.00000001</v>
      </c>
      <c r="AM961" s="8">
        <f t="shared" si="458"/>
        <v>-1.4134275618374296E-2</v>
      </c>
      <c r="AN961" s="6" t="s">
        <v>4890</v>
      </c>
      <c r="AO961" s="6" t="str">
        <f t="shared" si="473"/>
        <v>=1.132*100000000</v>
      </c>
      <c r="AP961" s="1">
        <f>1.132*100000000</f>
        <v>113199999.99999999</v>
      </c>
      <c r="AQ961" s="8">
        <f t="shared" si="459"/>
        <v>-6.9843878389482569E-2</v>
      </c>
      <c r="AR961" s="6" t="s">
        <v>10324</v>
      </c>
      <c r="AS961" s="6" t="str">
        <f t="shared" si="474"/>
        <v>=1.217*100000000</v>
      </c>
      <c r="AT961" s="1">
        <f>1.217*100000000</f>
        <v>121700000.00000001</v>
      </c>
      <c r="AU961" s="8">
        <f t="shared" si="460"/>
        <v>-21.910652920962203</v>
      </c>
      <c r="AV961" s="7">
        <f>-582*10000</f>
        <v>-5820000</v>
      </c>
      <c r="AW961" s="6" t="str">
        <f t="shared" si="475"/>
        <v>=-5820000</v>
      </c>
      <c r="AX961" s="1">
        <f>-5820000</f>
        <v>-5820000</v>
      </c>
      <c r="AY961" s="10">
        <f t="shared" si="461"/>
        <v>-0.81268104280656583</v>
      </c>
      <c r="AZ961" s="7">
        <f>-3107*10000</f>
        <v>-31070000</v>
      </c>
      <c r="BA961" s="6" t="str">
        <f t="shared" si="476"/>
        <v>=-31070000</v>
      </c>
      <c r="BB961" s="1">
        <f>-31070000</f>
        <v>-31070000</v>
      </c>
      <c r="BC961" s="8">
        <f t="shared" si="462"/>
        <v>3.3182765809589991</v>
      </c>
      <c r="BD961" s="7">
        <f>-719.5*10000</f>
        <v>-7195000</v>
      </c>
      <c r="BE961" s="6" t="str">
        <f t="shared" si="477"/>
        <v>=-7195000</v>
      </c>
      <c r="BF961" s="1">
        <f>-7195000</f>
        <v>-7195000</v>
      </c>
      <c r="BG961" s="8">
        <f t="shared" si="463"/>
        <v>1.3097913322632424</v>
      </c>
      <c r="BH961" s="7">
        <f>-311.5*10000</f>
        <v>-3115000</v>
      </c>
      <c r="BI961" s="6" t="str">
        <f t="shared" si="478"/>
        <v>=-3115000</v>
      </c>
      <c r="BJ961" s="1">
        <f>-3115000</f>
        <v>-3115000</v>
      </c>
      <c r="BK961" s="7">
        <f>-554*10000</f>
        <v>-5540000</v>
      </c>
      <c r="BL961" s="1" t="str">
        <f t="shared" si="449"/>
        <v>=-5540000</v>
      </c>
      <c r="BM961" s="16">
        <f t="shared" si="464"/>
        <v>-0.43772563176895307</v>
      </c>
      <c r="BN961" s="1">
        <f>-5540000</f>
        <v>-5540000</v>
      </c>
    </row>
    <row r="962" spans="1:66">
      <c r="A962" s="17">
        <v>242</v>
      </c>
      <c r="B962">
        <v>600774</v>
      </c>
      <c r="C962" t="s">
        <v>31</v>
      </c>
      <c r="D962" s="6" t="s">
        <v>6742</v>
      </c>
      <c r="E962" s="7" t="str">
        <f t="shared" ref="E962:E1025" si="479">"="&amp;D962</f>
        <v>=14.75*100000000</v>
      </c>
      <c r="F962" s="1">
        <f>14.75*100000000</f>
        <v>1475000000</v>
      </c>
      <c r="G962" s="8">
        <f t="shared" si="450"/>
        <v>0.32882882882882886</v>
      </c>
      <c r="H962" s="6" t="s">
        <v>2287</v>
      </c>
      <c r="I962" s="6" t="str">
        <f t="shared" si="465"/>
        <v>=11.10*100000000</v>
      </c>
      <c r="J962" s="1">
        <f>11.1*100000000</f>
        <v>1110000000</v>
      </c>
      <c r="K962" s="10">
        <f t="shared" si="451"/>
        <v>0.5034538805363673</v>
      </c>
      <c r="L962" s="6" t="s">
        <v>10325</v>
      </c>
      <c r="M962" s="6" t="str">
        <f t="shared" si="466"/>
        <v>=7.383*100000000</v>
      </c>
      <c r="N962" s="1">
        <f>7.383*100000000</f>
        <v>738300000</v>
      </c>
      <c r="O962" s="8">
        <f t="shared" si="452"/>
        <v>1.0040716612377849</v>
      </c>
      <c r="P962" s="6" t="s">
        <v>6397</v>
      </c>
      <c r="Q962" s="6" t="str">
        <f t="shared" si="467"/>
        <v>=3.684*100000000</v>
      </c>
      <c r="R962" s="11">
        <f>3.684*100000000</f>
        <v>368400000</v>
      </c>
      <c r="S962" s="8">
        <f t="shared" si="453"/>
        <v>-0.25605815831987078</v>
      </c>
      <c r="T962" s="6" t="s">
        <v>129</v>
      </c>
      <c r="U962" s="6" t="str">
        <f t="shared" si="468"/>
        <v>=4.952*100000000</v>
      </c>
      <c r="V962" s="1">
        <f>4.952*100000000</f>
        <v>495200000</v>
      </c>
      <c r="W962" s="8">
        <f t="shared" si="454"/>
        <v>2.1321948134092348</v>
      </c>
      <c r="X962" s="6" t="s">
        <v>8264</v>
      </c>
      <c r="Y962" s="6" t="str">
        <f t="shared" si="469"/>
        <v>=1.581*100000000</v>
      </c>
      <c r="Z962" s="1">
        <f>1.581*100000000</f>
        <v>158100000</v>
      </c>
      <c r="AA962" s="8">
        <f t="shared" si="455"/>
        <v>0.76391833091598793</v>
      </c>
      <c r="AB962" s="7" t="s">
        <v>10326</v>
      </c>
      <c r="AC962" s="6" t="str">
        <f t="shared" si="470"/>
        <v>=8963*10000</v>
      </c>
      <c r="AD962" s="1">
        <f>8963*10000</f>
        <v>89630000</v>
      </c>
      <c r="AE962" s="8">
        <f t="shared" si="456"/>
        <v>1.4146012931034482</v>
      </c>
      <c r="AF962" s="7" t="s">
        <v>10327</v>
      </c>
      <c r="AG962" s="6" t="str">
        <f t="shared" si="471"/>
        <v>=3712*10000</v>
      </c>
      <c r="AH962" s="1">
        <f>3712*10000</f>
        <v>37120000</v>
      </c>
      <c r="AI962" s="8">
        <f t="shared" si="457"/>
        <v>-0.96791702679343128</v>
      </c>
      <c r="AJ962" s="6" t="s">
        <v>3152</v>
      </c>
      <c r="AK962" s="6" t="str">
        <f t="shared" si="472"/>
        <v>=11.57*100000000</v>
      </c>
      <c r="AL962" s="1">
        <f>11.57*100000000</f>
        <v>1157000000</v>
      </c>
      <c r="AM962" s="8">
        <f t="shared" si="458"/>
        <v>0.44751657700487929</v>
      </c>
      <c r="AN962" s="6" t="s">
        <v>10328</v>
      </c>
      <c r="AO962" s="6" t="str">
        <f t="shared" si="473"/>
        <v>=7.993*100000000</v>
      </c>
      <c r="AP962" s="1">
        <f>7.993*100000000</f>
        <v>799300000</v>
      </c>
      <c r="AQ962" s="8">
        <f t="shared" si="459"/>
        <v>0.42477718360071304</v>
      </c>
      <c r="AR962" s="6" t="s">
        <v>1877</v>
      </c>
      <c r="AS962" s="6" t="str">
        <f t="shared" si="474"/>
        <v>=5.610*100000000</v>
      </c>
      <c r="AT962" s="1">
        <f>5.61*100000000</f>
        <v>561000000</v>
      </c>
      <c r="AU962" s="8">
        <f t="shared" si="460"/>
        <v>0.89655172413793105</v>
      </c>
      <c r="AV962" s="6" t="s">
        <v>6814</v>
      </c>
      <c r="AW962" s="6" t="str">
        <f t="shared" si="475"/>
        <v>=2.958*100000000</v>
      </c>
      <c r="AX962" s="1">
        <f>2.958*100000000</f>
        <v>295800000</v>
      </c>
      <c r="AY962" s="10">
        <f t="shared" si="461"/>
        <v>-0.72661737523105363</v>
      </c>
      <c r="AZ962" s="6" t="s">
        <v>6016</v>
      </c>
      <c r="BA962" s="6" t="str">
        <f t="shared" si="476"/>
        <v>=10.82*100000000</v>
      </c>
      <c r="BB962" s="1">
        <f>10.82*100000000</f>
        <v>1082000000</v>
      </c>
      <c r="BC962" s="8">
        <f t="shared" si="462"/>
        <v>0.3957688338493292</v>
      </c>
      <c r="BD962" s="6" t="s">
        <v>10247</v>
      </c>
      <c r="BE962" s="6" t="str">
        <f t="shared" si="477"/>
        <v>=7.752*100000000</v>
      </c>
      <c r="BF962" s="1">
        <f>7.752*100000000</f>
        <v>775200000</v>
      </c>
      <c r="BG962" s="8">
        <f t="shared" si="463"/>
        <v>0.41900054914881935</v>
      </c>
      <c r="BH962" s="6" t="s">
        <v>10329</v>
      </c>
      <c r="BI962" s="6" t="str">
        <f t="shared" si="478"/>
        <v>=5.463*100000000</v>
      </c>
      <c r="BJ962" s="1">
        <f>5.463*100000000</f>
        <v>546300000</v>
      </c>
      <c r="BK962" s="6" t="s">
        <v>10330</v>
      </c>
      <c r="BL962" s="1" t="str">
        <f t="shared" ref="BL962:BL1025" si="480">"="&amp;BK962</f>
        <v>=2.967*100000000</v>
      </c>
      <c r="BM962" s="16">
        <f t="shared" si="464"/>
        <v>0.84125379170879677</v>
      </c>
      <c r="BN962" s="1">
        <f>2.967*100000000</f>
        <v>296700000</v>
      </c>
    </row>
    <row r="963" spans="1:66">
      <c r="A963" s="18"/>
      <c r="B963">
        <v>600774</v>
      </c>
      <c r="C963" t="s">
        <v>48</v>
      </c>
      <c r="D963" s="7" t="s">
        <v>10331</v>
      </c>
      <c r="E963" s="7" t="str">
        <f t="shared" si="479"/>
        <v>=9508*10000</v>
      </c>
      <c r="F963" s="1">
        <f>9508*10000</f>
        <v>95080000</v>
      </c>
      <c r="G963" s="8">
        <f t="shared" ref="G963:G1026" si="481">(F963-J963)/J963</f>
        <v>0.38017128755987806</v>
      </c>
      <c r="H963" s="7" t="s">
        <v>10332</v>
      </c>
      <c r="I963" s="6" t="str">
        <f t="shared" si="465"/>
        <v>=6889*10000</v>
      </c>
      <c r="J963" s="1">
        <f>6889*10000</f>
        <v>68890000</v>
      </c>
      <c r="K963" s="10">
        <f t="shared" ref="K963:K1026" si="482">(J963-N963)/N963</f>
        <v>0.39312436804853385</v>
      </c>
      <c r="L963" s="7" t="s">
        <v>8478</v>
      </c>
      <c r="M963" s="6" t="str">
        <f t="shared" si="466"/>
        <v>=4945*10000</v>
      </c>
      <c r="N963" s="1">
        <f>4945*10000</f>
        <v>49450000</v>
      </c>
      <c r="O963" s="8">
        <f t="shared" ref="O963:O1026" si="483">(N963-R963)/R963</f>
        <v>0.75916044112415515</v>
      </c>
      <c r="P963" s="7" t="s">
        <v>10333</v>
      </c>
      <c r="Q963" s="6" t="str">
        <f t="shared" si="467"/>
        <v>=2811*10000</v>
      </c>
      <c r="R963" s="11">
        <f>2811*10000</f>
        <v>28110000</v>
      </c>
      <c r="S963" s="8">
        <f t="shared" ref="S963:S1026" si="484">(R963-V963)/V963</f>
        <v>0.21059431524547803</v>
      </c>
      <c r="T963" s="7" t="s">
        <v>3717</v>
      </c>
      <c r="U963" s="6" t="str">
        <f t="shared" si="468"/>
        <v>=2322*10000</v>
      </c>
      <c r="V963" s="1">
        <f>2322*10000</f>
        <v>23220000</v>
      </c>
      <c r="W963" s="8">
        <f t="shared" ref="W963:W1026" si="485">(V963-Z963)/Z963</f>
        <v>-1.2289940828402366</v>
      </c>
      <c r="X963" s="6">
        <f>-1.014*100000000</f>
        <v>-101400000</v>
      </c>
      <c r="Y963" s="6" t="str">
        <f t="shared" si="469"/>
        <v>=-101400000</v>
      </c>
      <c r="Z963" s="1">
        <f>-101400000</f>
        <v>-101400000</v>
      </c>
      <c r="AA963" s="8">
        <f t="shared" ref="AA963:AA1026" si="486">(Z963-AD963)/AD963</f>
        <v>0.67992047713717696</v>
      </c>
      <c r="AB963" s="7">
        <f>-6036*10000</f>
        <v>-60360000</v>
      </c>
      <c r="AC963" s="6" t="str">
        <f t="shared" si="470"/>
        <v>=-60360000</v>
      </c>
      <c r="AD963" s="1">
        <f>-60360000</f>
        <v>-60360000</v>
      </c>
      <c r="AE963" s="8">
        <f t="shared" ref="AE963:AE1026" si="487">(AD963-AH963)/AH963</f>
        <v>0.83186646433990896</v>
      </c>
      <c r="AF963" s="7">
        <f>-3295*10000</f>
        <v>-32950000</v>
      </c>
      <c r="AG963" s="6" t="str">
        <f t="shared" si="471"/>
        <v>=-32950000</v>
      </c>
      <c r="AH963" s="1">
        <f>-32950000</f>
        <v>-32950000</v>
      </c>
      <c r="AI963" s="8">
        <f t="shared" ref="AI963:AI1026" si="488">(AH963-AL963)/AL963</f>
        <v>-2.2382562946260802</v>
      </c>
      <c r="AJ963" s="7" t="s">
        <v>10334</v>
      </c>
      <c r="AK963" s="6" t="str">
        <f t="shared" si="472"/>
        <v>=2661*10000</v>
      </c>
      <c r="AL963" s="1">
        <f>2661*10000</f>
        <v>26610000</v>
      </c>
      <c r="AM963" s="8">
        <f t="shared" ref="AM963:AM1026" si="489">(AL963-AP963)/AP963</f>
        <v>0.19703103913630229</v>
      </c>
      <c r="AN963" s="7" t="s">
        <v>10335</v>
      </c>
      <c r="AO963" s="6" t="str">
        <f t="shared" si="473"/>
        <v>=2223*10000</v>
      </c>
      <c r="AP963" s="1">
        <f>2223*10000</f>
        <v>22230000</v>
      </c>
      <c r="AQ963" s="8">
        <f t="shared" ref="AQ963:AQ1026" si="490">(AP963-AT963)/AT963</f>
        <v>0.2384401114206128</v>
      </c>
      <c r="AR963" s="7" t="s">
        <v>10336</v>
      </c>
      <c r="AS963" s="6" t="str">
        <f t="shared" si="474"/>
        <v>=1795*10000</v>
      </c>
      <c r="AT963" s="1">
        <f>1795*10000</f>
        <v>17950000</v>
      </c>
      <c r="AU963" s="8">
        <f t="shared" ref="AU963:AU1026" si="491">(AT963-AX963)/AX963</f>
        <v>0.66976744186046511</v>
      </c>
      <c r="AV963" s="7" t="s">
        <v>10337</v>
      </c>
      <c r="AW963" s="6" t="str">
        <f t="shared" si="475"/>
        <v>=1075*10000</v>
      </c>
      <c r="AX963" s="1">
        <f>1075*10000</f>
        <v>10750000</v>
      </c>
      <c r="AY963" s="10">
        <f t="shared" ref="AY963:AY1026" si="492">(AX963-BB963)/BB963</f>
        <v>0.15121010923109873</v>
      </c>
      <c r="AZ963" s="7" t="s">
        <v>10338</v>
      </c>
      <c r="BA963" s="6" t="str">
        <f t="shared" si="476"/>
        <v>=933.8*10000</v>
      </c>
      <c r="BB963" s="1">
        <f>933.8*10000</f>
        <v>9338000</v>
      </c>
      <c r="BC963" s="8">
        <f t="shared" ref="BC963:BC1026" si="493">(BB963-BF963)/BF963</f>
        <v>-0.3634628493524199</v>
      </c>
      <c r="BD963" s="7" t="s">
        <v>10339</v>
      </c>
      <c r="BE963" s="6" t="str">
        <f t="shared" si="477"/>
        <v>=1467*10000</v>
      </c>
      <c r="BF963" s="1">
        <f>1467*10000</f>
        <v>14670000</v>
      </c>
      <c r="BG963" s="8">
        <f t="shared" ref="BG963:BG1026" si="494">(BF963-BJ963)/BJ963</f>
        <v>7.0802919708029197E-2</v>
      </c>
      <c r="BH963" s="7" t="s">
        <v>10340</v>
      </c>
      <c r="BI963" s="6" t="str">
        <f t="shared" si="478"/>
        <v>=1370*10000</v>
      </c>
      <c r="BJ963" s="1">
        <f>1370*10000</f>
        <v>13700000</v>
      </c>
      <c r="BK963" s="7" t="s">
        <v>10341</v>
      </c>
      <c r="BL963" s="1" t="str">
        <f t="shared" si="480"/>
        <v>=957.7*10000</v>
      </c>
      <c r="BM963" s="16">
        <f t="shared" ref="BM963:BM1026" si="495">(BJ963-BN963)/BN963</f>
        <v>0.43051059830844735</v>
      </c>
      <c r="BN963" s="1">
        <f>957.7*10000</f>
        <v>9577000</v>
      </c>
    </row>
    <row r="964" spans="1:66">
      <c r="A964" s="18"/>
      <c r="B964">
        <v>600774</v>
      </c>
      <c r="C964" t="s">
        <v>58</v>
      </c>
      <c r="D964" s="7" t="s">
        <v>10342</v>
      </c>
      <c r="E964" s="7" t="str">
        <f t="shared" si="479"/>
        <v>=9969*10000</v>
      </c>
      <c r="F964" s="1">
        <f>9969*10000</f>
        <v>99690000</v>
      </c>
      <c r="G964" s="8">
        <f t="shared" si="481"/>
        <v>0.39563208735825284</v>
      </c>
      <c r="H964" s="7" t="s">
        <v>10343</v>
      </c>
      <c r="I964" s="6" t="str">
        <f t="shared" si="465"/>
        <v>=7143*10000</v>
      </c>
      <c r="J964" s="1">
        <f>7143*10000</f>
        <v>71430000</v>
      </c>
      <c r="K964" s="10">
        <f t="shared" si="482"/>
        <v>0.37497593840230992</v>
      </c>
      <c r="L964" s="7" t="s">
        <v>10344</v>
      </c>
      <c r="M964" s="6" t="str">
        <f t="shared" si="466"/>
        <v>=5195*10000</v>
      </c>
      <c r="N964" s="1">
        <f>5195*10000</f>
        <v>51950000</v>
      </c>
      <c r="O964" s="8">
        <f t="shared" si="483"/>
        <v>1.073024740622506</v>
      </c>
      <c r="P964" s="7" t="s">
        <v>8484</v>
      </c>
      <c r="Q964" s="6" t="str">
        <f t="shared" si="467"/>
        <v>=2506*10000</v>
      </c>
      <c r="R964" s="11">
        <f>2506*10000</f>
        <v>25060000</v>
      </c>
      <c r="S964" s="8">
        <f t="shared" si="484"/>
        <v>-0.46816638370118846</v>
      </c>
      <c r="T964" s="7" t="s">
        <v>10345</v>
      </c>
      <c r="U964" s="6" t="str">
        <f t="shared" si="468"/>
        <v>=4712*10000</v>
      </c>
      <c r="V964" s="1">
        <f>4712*10000</f>
        <v>47120000</v>
      </c>
      <c r="W964" s="8">
        <f t="shared" si="485"/>
        <v>-1.4885432866770347</v>
      </c>
      <c r="X964" s="7">
        <f>-9645*10000</f>
        <v>-96450000</v>
      </c>
      <c r="Y964" s="6" t="str">
        <f t="shared" si="469"/>
        <v>=-96450000</v>
      </c>
      <c r="Z964" s="1">
        <f>-96450000</f>
        <v>-96450000</v>
      </c>
      <c r="AA964" s="8">
        <f t="shared" si="486"/>
        <v>0.74128904134320273</v>
      </c>
      <c r="AB964" s="7">
        <f>-5539*10000</f>
        <v>-55390000</v>
      </c>
      <c r="AC964" s="6" t="str">
        <f t="shared" si="470"/>
        <v>=-55390000</v>
      </c>
      <c r="AD964" s="1">
        <f>-55390000</f>
        <v>-55390000</v>
      </c>
      <c r="AE964" s="8">
        <f t="shared" si="487"/>
        <v>0.68001213224143164</v>
      </c>
      <c r="AF964" s="7">
        <f>-3297*10000</f>
        <v>-32970000</v>
      </c>
      <c r="AG964" s="6" t="str">
        <f t="shared" si="471"/>
        <v>=-32970000</v>
      </c>
      <c r="AH964" s="1">
        <f>-32970000</f>
        <v>-32970000</v>
      </c>
      <c r="AI964" s="8">
        <f t="shared" si="488"/>
        <v>-1.6951296647691334</v>
      </c>
      <c r="AJ964" s="7" t="s">
        <v>10346</v>
      </c>
      <c r="AK964" s="6" t="str">
        <f t="shared" si="472"/>
        <v>=4743*10000</v>
      </c>
      <c r="AL964" s="1">
        <f>4743*10000</f>
        <v>47430000</v>
      </c>
      <c r="AM964" s="8">
        <f t="shared" si="489"/>
        <v>4.2646735546273906E-2</v>
      </c>
      <c r="AN964" s="7" t="s">
        <v>10347</v>
      </c>
      <c r="AO964" s="6" t="str">
        <f t="shared" si="473"/>
        <v>=4549*10000</v>
      </c>
      <c r="AP964" s="1">
        <f>4549*10000</f>
        <v>45490000</v>
      </c>
      <c r="AQ964" s="8">
        <f t="shared" si="490"/>
        <v>1.0226767452200978</v>
      </c>
      <c r="AR964" s="7" t="s">
        <v>10348</v>
      </c>
      <c r="AS964" s="6" t="str">
        <f t="shared" si="474"/>
        <v>=2249*10000</v>
      </c>
      <c r="AT964" s="1">
        <f>2249*10000</f>
        <v>22490000</v>
      </c>
      <c r="AU964" s="8">
        <f t="shared" si="491"/>
        <v>159.41369472182598</v>
      </c>
      <c r="AV964" s="7" t="s">
        <v>10349</v>
      </c>
      <c r="AW964" s="6" t="str">
        <f t="shared" si="475"/>
        <v>=14.02*10000</v>
      </c>
      <c r="AX964" s="1">
        <f>14.02*10000</f>
        <v>140200</v>
      </c>
      <c r="AY964" s="10">
        <f t="shared" si="492"/>
        <v>-0.99590417762196903</v>
      </c>
      <c r="AZ964" s="7" t="s">
        <v>10350</v>
      </c>
      <c r="BA964" s="6" t="str">
        <f t="shared" si="476"/>
        <v>=3423*10000</v>
      </c>
      <c r="BB964" s="1">
        <f>3423*10000</f>
        <v>34230000</v>
      </c>
      <c r="BC964" s="8">
        <f t="shared" si="493"/>
        <v>1.3737864077669903</v>
      </c>
      <c r="BD964" s="7" t="s">
        <v>7046</v>
      </c>
      <c r="BE964" s="6" t="str">
        <f t="shared" si="477"/>
        <v>=1442*10000</v>
      </c>
      <c r="BF964" s="1">
        <f>1442*10000</f>
        <v>14420000</v>
      </c>
      <c r="BG964" s="8">
        <f t="shared" si="494"/>
        <v>6.8939955522609342E-2</v>
      </c>
      <c r="BH964" s="7" t="s">
        <v>10351</v>
      </c>
      <c r="BI964" s="6" t="str">
        <f t="shared" si="478"/>
        <v>=1349*10000</v>
      </c>
      <c r="BJ964" s="1">
        <f>1349*10000</f>
        <v>13490000</v>
      </c>
      <c r="BK964" s="7" t="s">
        <v>10352</v>
      </c>
      <c r="BL964" s="1" t="str">
        <f t="shared" si="480"/>
        <v>=955.0*10000</v>
      </c>
      <c r="BM964" s="16">
        <f t="shared" si="495"/>
        <v>0.41256544502617803</v>
      </c>
      <c r="BN964" s="1">
        <f>955*10000</f>
        <v>9550000</v>
      </c>
    </row>
    <row r="965" spans="1:66">
      <c r="A965" s="19"/>
      <c r="B965">
        <v>600774</v>
      </c>
      <c r="C965" t="s">
        <v>68</v>
      </c>
      <c r="D965" s="7" t="s">
        <v>10353</v>
      </c>
      <c r="E965" s="7" t="str">
        <f t="shared" si="479"/>
        <v>=8048*10000</v>
      </c>
      <c r="F965" s="1">
        <f>8048*10000</f>
        <v>80480000</v>
      </c>
      <c r="G965" s="8">
        <f t="shared" si="481"/>
        <v>0.40896358543417366</v>
      </c>
      <c r="H965" s="7" t="s">
        <v>10354</v>
      </c>
      <c r="I965" s="6" t="str">
        <f t="shared" si="465"/>
        <v>=5712*10000</v>
      </c>
      <c r="J965" s="1">
        <f>5712*10000</f>
        <v>57120000</v>
      </c>
      <c r="K965" s="10">
        <f t="shared" si="482"/>
        <v>0.34685215751002124</v>
      </c>
      <c r="L965" s="7" t="s">
        <v>10355</v>
      </c>
      <c r="M965" s="6" t="str">
        <f t="shared" si="466"/>
        <v>=4241*10000</v>
      </c>
      <c r="N965" s="1">
        <f>4241*10000</f>
        <v>42410000</v>
      </c>
      <c r="O965" s="8">
        <f t="shared" si="483"/>
        <v>1.1089010442565888</v>
      </c>
      <c r="P965" s="7" t="s">
        <v>3303</v>
      </c>
      <c r="Q965" s="6" t="str">
        <f t="shared" si="467"/>
        <v>=2011*10000</v>
      </c>
      <c r="R965" s="11">
        <f>2011*10000</f>
        <v>20110000</v>
      </c>
      <c r="S965" s="8">
        <f t="shared" si="484"/>
        <v>-0.53950080146553703</v>
      </c>
      <c r="T965" s="7" t="s">
        <v>10356</v>
      </c>
      <c r="U965" s="6" t="str">
        <f t="shared" si="468"/>
        <v>=4367*10000</v>
      </c>
      <c r="V965" s="1">
        <f>4367*10000</f>
        <v>43670000</v>
      </c>
      <c r="W965" s="8">
        <f t="shared" si="485"/>
        <v>-1.4518832781456954</v>
      </c>
      <c r="X965" s="7">
        <f>-9664*10000</f>
        <v>-96640000</v>
      </c>
      <c r="Y965" s="6" t="str">
        <f t="shared" si="469"/>
        <v>=-96640000</v>
      </c>
      <c r="Z965" s="1">
        <f>-96640000</f>
        <v>-96640000</v>
      </c>
      <c r="AA965" s="8">
        <f t="shared" si="486"/>
        <v>0.75104185540858848</v>
      </c>
      <c r="AB965" s="7">
        <f>-5519*10000</f>
        <v>-55190000</v>
      </c>
      <c r="AC965" s="6" t="str">
        <f t="shared" si="470"/>
        <v>=-55190000</v>
      </c>
      <c r="AD965" s="1">
        <f>-55190000</f>
        <v>-55190000</v>
      </c>
      <c r="AE965" s="8">
        <f t="shared" si="487"/>
        <v>0.66989409984871406</v>
      </c>
      <c r="AF965" s="7">
        <f>-3305*10000</f>
        <v>-33050000</v>
      </c>
      <c r="AG965" s="6" t="str">
        <f t="shared" si="471"/>
        <v>=-33050000</v>
      </c>
      <c r="AH965" s="1">
        <f>-33050000</f>
        <v>-33050000</v>
      </c>
      <c r="AI965" s="8">
        <f t="shared" si="488"/>
        <v>-1.8450524162618256</v>
      </c>
      <c r="AJ965" s="7" t="s">
        <v>3842</v>
      </c>
      <c r="AK965" s="6" t="str">
        <f t="shared" si="472"/>
        <v>=3911*10000</v>
      </c>
      <c r="AL965" s="1">
        <f>3911*10000</f>
        <v>39110000</v>
      </c>
      <c r="AM965" s="8">
        <f t="shared" si="489"/>
        <v>9.7362514029180697E-2</v>
      </c>
      <c r="AN965" s="7" t="s">
        <v>10357</v>
      </c>
      <c r="AO965" s="6" t="str">
        <f t="shared" si="473"/>
        <v>=3564*10000</v>
      </c>
      <c r="AP965" s="1">
        <f>3564*10000</f>
        <v>35640000</v>
      </c>
      <c r="AQ965" s="8">
        <f t="shared" si="490"/>
        <v>1.6938775510204083</v>
      </c>
      <c r="AR965" s="7" t="s">
        <v>10358</v>
      </c>
      <c r="AS965" s="6" t="str">
        <f t="shared" si="474"/>
        <v>=1323*10000</v>
      </c>
      <c r="AT965" s="1">
        <f>1323*10000</f>
        <v>13230000</v>
      </c>
      <c r="AU965" s="8">
        <f t="shared" si="491"/>
        <v>-5.9090909090909092</v>
      </c>
      <c r="AV965" s="7">
        <f>-269.5*10000</f>
        <v>-2695000</v>
      </c>
      <c r="AW965" s="6" t="str">
        <f t="shared" si="475"/>
        <v>=-2695000</v>
      </c>
      <c r="AX965" s="1">
        <f>-2695000</f>
        <v>-2695000</v>
      </c>
      <c r="AY965" s="10">
        <f t="shared" si="492"/>
        <v>-1.0998148148148148</v>
      </c>
      <c r="AZ965" s="7" t="s">
        <v>10359</v>
      </c>
      <c r="BA965" s="6" t="str">
        <f t="shared" si="476"/>
        <v>=2700*10000</v>
      </c>
      <c r="BB965" s="1">
        <f>2700*10000</f>
        <v>27000000</v>
      </c>
      <c r="BC965" s="8">
        <f t="shared" si="493"/>
        <v>1.5787965616045845</v>
      </c>
      <c r="BD965" s="7" t="s">
        <v>10360</v>
      </c>
      <c r="BE965" s="6" t="str">
        <f t="shared" si="477"/>
        <v>=1047*10000</v>
      </c>
      <c r="BF965" s="1">
        <f>1047*10000</f>
        <v>10470000</v>
      </c>
      <c r="BG965" s="8">
        <f t="shared" si="494"/>
        <v>7.7603952243721699E-2</v>
      </c>
      <c r="BH965" s="7" t="s">
        <v>10361</v>
      </c>
      <c r="BI965" s="6" t="str">
        <f t="shared" si="478"/>
        <v>=971.6*10000</v>
      </c>
      <c r="BJ965" s="1">
        <f>971.6*10000</f>
        <v>9716000</v>
      </c>
      <c r="BK965" s="7" t="s">
        <v>10362</v>
      </c>
      <c r="BL965" s="1" t="str">
        <f t="shared" si="480"/>
        <v>=595.2*10000</v>
      </c>
      <c r="BM965" s="16">
        <f t="shared" si="495"/>
        <v>0.63239247311827962</v>
      </c>
      <c r="BN965" s="1">
        <f>595.2*10000</f>
        <v>5952000</v>
      </c>
    </row>
    <row r="966" spans="1:66">
      <c r="A966" s="17">
        <v>243</v>
      </c>
      <c r="B966">
        <v>600775</v>
      </c>
      <c r="C966" t="s">
        <v>31</v>
      </c>
      <c r="D966" s="6" t="s">
        <v>288</v>
      </c>
      <c r="E966" s="7" t="str">
        <f t="shared" si="479"/>
        <v>=45.32*100000000</v>
      </c>
      <c r="F966" s="1">
        <f>45.32*100000000</f>
        <v>4532000000</v>
      </c>
      <c r="G966" s="8">
        <f t="shared" si="481"/>
        <v>0.35851318944844124</v>
      </c>
      <c r="H966" s="6" t="s">
        <v>5643</v>
      </c>
      <c r="I966" s="6" t="str">
        <f t="shared" si="465"/>
        <v>=33.36*100000000</v>
      </c>
      <c r="J966" s="1">
        <f>33.36*100000000</f>
        <v>3336000000</v>
      </c>
      <c r="K966" s="10">
        <f t="shared" si="482"/>
        <v>0.53803596127247577</v>
      </c>
      <c r="L966" s="6" t="s">
        <v>3538</v>
      </c>
      <c r="M966" s="6" t="str">
        <f t="shared" si="466"/>
        <v>=21.69*100000000</v>
      </c>
      <c r="N966" s="1">
        <f>21.69*100000000</f>
        <v>2169000000</v>
      </c>
      <c r="O966" s="8">
        <f t="shared" si="483"/>
        <v>1.1867123701986086</v>
      </c>
      <c r="P966" s="6" t="s">
        <v>10363</v>
      </c>
      <c r="Q966" s="6" t="str">
        <f t="shared" si="467"/>
        <v>=9.919*100000000</v>
      </c>
      <c r="R966" s="11">
        <f>9.919*100000000</f>
        <v>991900000</v>
      </c>
      <c r="S966" s="8">
        <f t="shared" si="484"/>
        <v>-0.74901315789473688</v>
      </c>
      <c r="T966" s="6" t="s">
        <v>7418</v>
      </c>
      <c r="U966" s="6" t="str">
        <f t="shared" si="468"/>
        <v>=39.52*100000000</v>
      </c>
      <c r="V966" s="1">
        <f>39.52*100000000</f>
        <v>3952000000.0000005</v>
      </c>
      <c r="W966" s="8">
        <f t="shared" si="485"/>
        <v>0.42929475587703453</v>
      </c>
      <c r="X966" s="6" t="s">
        <v>10364</v>
      </c>
      <c r="Y966" s="6" t="str">
        <f t="shared" si="469"/>
        <v>=27.65*100000000</v>
      </c>
      <c r="Z966" s="1">
        <f>27.65*100000000</f>
        <v>2765000000</v>
      </c>
      <c r="AA966" s="8">
        <f t="shared" si="486"/>
        <v>0.61318553092182027</v>
      </c>
      <c r="AB966" s="6" t="s">
        <v>5990</v>
      </c>
      <c r="AC966" s="6" t="str">
        <f t="shared" si="470"/>
        <v>=17.14*100000000</v>
      </c>
      <c r="AD966" s="1">
        <f>17.14*100000000</f>
        <v>1714000000</v>
      </c>
      <c r="AE966" s="8">
        <f t="shared" si="487"/>
        <v>1.4110282740188493</v>
      </c>
      <c r="AF966" s="6" t="s">
        <v>10365</v>
      </c>
      <c r="AG966" s="6" t="str">
        <f t="shared" si="471"/>
        <v>=7.109*100000000</v>
      </c>
      <c r="AH966" s="1">
        <f>7.109*100000000</f>
        <v>710900000</v>
      </c>
      <c r="AI966" s="8">
        <f t="shared" si="488"/>
        <v>-0.84744635193133044</v>
      </c>
      <c r="AJ966" s="6" t="s">
        <v>10366</v>
      </c>
      <c r="AK966" s="6" t="str">
        <f t="shared" si="472"/>
        <v>=46.60*100000000</v>
      </c>
      <c r="AL966" s="1">
        <f>46.6*100000000</f>
        <v>4660000000</v>
      </c>
      <c r="AM966" s="8">
        <f t="shared" si="489"/>
        <v>0.45488604433343738</v>
      </c>
      <c r="AN966" s="6" t="s">
        <v>10367</v>
      </c>
      <c r="AO966" s="6" t="str">
        <f t="shared" si="473"/>
        <v>=32.03*100000000</v>
      </c>
      <c r="AP966" s="1">
        <f>32.03*100000000</f>
        <v>3203000000</v>
      </c>
      <c r="AQ966" s="8">
        <f t="shared" si="490"/>
        <v>0.50446218882104277</v>
      </c>
      <c r="AR966" s="6" t="s">
        <v>10368</v>
      </c>
      <c r="AS966" s="6" t="str">
        <f t="shared" si="474"/>
        <v>=21.29*100000000</v>
      </c>
      <c r="AT966" s="1">
        <f>21.29*100000000</f>
        <v>2129000000</v>
      </c>
      <c r="AU966" s="8">
        <f t="shared" si="491"/>
        <v>0.97862453531598514</v>
      </c>
      <c r="AV966" s="6" t="s">
        <v>649</v>
      </c>
      <c r="AW966" s="6" t="str">
        <f t="shared" si="475"/>
        <v>=10.76*100000000</v>
      </c>
      <c r="AX966" s="1">
        <f>10.76*100000000</f>
        <v>1076000000</v>
      </c>
      <c r="AY966" s="10">
        <f t="shared" si="492"/>
        <v>-0.76094201288602537</v>
      </c>
      <c r="AZ966" s="6" t="s">
        <v>10369</v>
      </c>
      <c r="BA966" s="6" t="str">
        <f t="shared" si="476"/>
        <v>=45.01*100000000</v>
      </c>
      <c r="BB966" s="1">
        <f>45.01*100000000</f>
        <v>4501000000</v>
      </c>
      <c r="BC966" s="8">
        <f t="shared" si="493"/>
        <v>0.45663430420711976</v>
      </c>
      <c r="BD966" s="6" t="s">
        <v>10370</v>
      </c>
      <c r="BE966" s="6" t="str">
        <f t="shared" si="477"/>
        <v>=30.90*100000000</v>
      </c>
      <c r="BF966" s="1">
        <f>30.9*100000000</f>
        <v>3090000000</v>
      </c>
      <c r="BG966" s="8">
        <f t="shared" si="494"/>
        <v>0.54964894684052135</v>
      </c>
      <c r="BH966" s="6" t="s">
        <v>10371</v>
      </c>
      <c r="BI966" s="6" t="str">
        <f t="shared" si="478"/>
        <v>=19.94*100000000</v>
      </c>
      <c r="BJ966" s="1">
        <f>19.94*100000000</f>
        <v>1994000000.0000002</v>
      </c>
      <c r="BK966" s="6" t="s">
        <v>8183</v>
      </c>
      <c r="BL966" s="1" t="str">
        <f t="shared" si="480"/>
        <v>=10.35*100000000</v>
      </c>
      <c r="BM966" s="16">
        <f t="shared" si="495"/>
        <v>0.926570048309179</v>
      </c>
      <c r="BN966" s="1">
        <f>10.35*100000000</f>
        <v>1035000000</v>
      </c>
    </row>
    <row r="967" spans="1:66">
      <c r="A967" s="18"/>
      <c r="B967">
        <v>600775</v>
      </c>
      <c r="C967" t="s">
        <v>48</v>
      </c>
      <c r="D967" s="6" t="s">
        <v>908</v>
      </c>
      <c r="E967" s="7" t="str">
        <f t="shared" si="479"/>
        <v>=1.010*100000000</v>
      </c>
      <c r="F967" s="1">
        <f>1.01*100000000</f>
        <v>101000000</v>
      </c>
      <c r="G967" s="8">
        <f t="shared" si="481"/>
        <v>0.81165919282511212</v>
      </c>
      <c r="H967" s="7" t="s">
        <v>10372</v>
      </c>
      <c r="I967" s="6" t="str">
        <f t="shared" si="465"/>
        <v>=5575*10000</v>
      </c>
      <c r="J967" s="1">
        <f>5575*10000</f>
        <v>55750000</v>
      </c>
      <c r="K967" s="10">
        <f t="shared" si="482"/>
        <v>5.8678313710596279E-2</v>
      </c>
      <c r="L967" s="7" t="s">
        <v>10373</v>
      </c>
      <c r="M967" s="6" t="str">
        <f t="shared" si="466"/>
        <v>=5266*10000</v>
      </c>
      <c r="N967" s="1">
        <f>5266*10000</f>
        <v>52660000</v>
      </c>
      <c r="O967" s="8">
        <f t="shared" si="483"/>
        <v>11.562022900763358</v>
      </c>
      <c r="P967" s="7" t="s">
        <v>6924</v>
      </c>
      <c r="Q967" s="6" t="str">
        <f t="shared" si="467"/>
        <v>=419.2*10000</v>
      </c>
      <c r="R967" s="11">
        <f>419.2*10000</f>
        <v>4192000</v>
      </c>
      <c r="S967" s="8">
        <f t="shared" si="484"/>
        <v>-0.97005714285714284</v>
      </c>
      <c r="T967" s="6" t="s">
        <v>10374</v>
      </c>
      <c r="U967" s="6" t="str">
        <f t="shared" si="468"/>
        <v>=1.400*100000000</v>
      </c>
      <c r="V967" s="1">
        <f>1.4*100000000</f>
        <v>140000000</v>
      </c>
      <c r="W967" s="8">
        <f t="shared" si="485"/>
        <v>0.98468953785086477</v>
      </c>
      <c r="X967" s="7" t="s">
        <v>10375</v>
      </c>
      <c r="Y967" s="6" t="str">
        <f t="shared" si="469"/>
        <v>=7054*10000</v>
      </c>
      <c r="Z967" s="1">
        <f>7054*10000</f>
        <v>70540000</v>
      </c>
      <c r="AA967" s="8">
        <f t="shared" si="486"/>
        <v>0.69282457403407727</v>
      </c>
      <c r="AB967" s="7" t="s">
        <v>10376</v>
      </c>
      <c r="AC967" s="6" t="str">
        <f t="shared" si="470"/>
        <v>=4167*10000</v>
      </c>
      <c r="AD967" s="1">
        <f>4167*10000</f>
        <v>41670000</v>
      </c>
      <c r="AE967" s="8">
        <f t="shared" si="487"/>
        <v>-2.448383733055266</v>
      </c>
      <c r="AF967" s="7">
        <f>-2877*10000</f>
        <v>-28770000</v>
      </c>
      <c r="AG967" s="6" t="str">
        <f t="shared" si="471"/>
        <v>=-28770000</v>
      </c>
      <c r="AH967" s="1">
        <f>-28770000</f>
        <v>-28770000</v>
      </c>
      <c r="AI967" s="8">
        <f t="shared" si="488"/>
        <v>-1.2006276150627615</v>
      </c>
      <c r="AJ967" s="6" t="s">
        <v>1099</v>
      </c>
      <c r="AK967" s="6" t="str">
        <f t="shared" si="472"/>
        <v>=1.434*100000000</v>
      </c>
      <c r="AL967" s="1">
        <f>1.434*100000000</f>
        <v>143400000</v>
      </c>
      <c r="AM967" s="8">
        <f t="shared" si="489"/>
        <v>0.1870860927152318</v>
      </c>
      <c r="AN967" s="6" t="s">
        <v>10377</v>
      </c>
      <c r="AO967" s="6" t="str">
        <f t="shared" si="473"/>
        <v>=1.208*100000000</v>
      </c>
      <c r="AP967" s="1">
        <f>1.208*100000000</f>
        <v>120800000</v>
      </c>
      <c r="AQ967" s="8">
        <f t="shared" si="490"/>
        <v>0.36682507354605115</v>
      </c>
      <c r="AR967" s="7" t="s">
        <v>10378</v>
      </c>
      <c r="AS967" s="6" t="str">
        <f t="shared" si="474"/>
        <v>=8838*10000</v>
      </c>
      <c r="AT967" s="1">
        <f>8838*10000</f>
        <v>88380000</v>
      </c>
      <c r="AU967" s="8">
        <f t="shared" si="491"/>
        <v>1.6009417304296645</v>
      </c>
      <c r="AV967" s="7" t="s">
        <v>10379</v>
      </c>
      <c r="AW967" s="6" t="str">
        <f t="shared" si="475"/>
        <v>=3398*10000</v>
      </c>
      <c r="AX967" s="1">
        <f>3398*10000</f>
        <v>33980000</v>
      </c>
      <c r="AY967" s="10">
        <f t="shared" si="492"/>
        <v>-0.84348226623675726</v>
      </c>
      <c r="AZ967" s="6" t="s">
        <v>6421</v>
      </c>
      <c r="BA967" s="6" t="str">
        <f t="shared" si="476"/>
        <v>=2.171*100000000</v>
      </c>
      <c r="BB967" s="1">
        <f>2.171*100000000</f>
        <v>217099999.99999997</v>
      </c>
      <c r="BC967" s="8">
        <f t="shared" si="493"/>
        <v>0.55071428571428549</v>
      </c>
      <c r="BD967" s="6" t="s">
        <v>10374</v>
      </c>
      <c r="BE967" s="6" t="str">
        <f t="shared" si="477"/>
        <v>=1.400*100000000</v>
      </c>
      <c r="BF967" s="1">
        <f>1.4*100000000</f>
        <v>140000000</v>
      </c>
      <c r="BG967" s="8">
        <f t="shared" si="494"/>
        <v>0.59326277455331744</v>
      </c>
      <c r="BH967" s="7" t="s">
        <v>10380</v>
      </c>
      <c r="BI967" s="6" t="str">
        <f t="shared" si="478"/>
        <v>=8787*10000</v>
      </c>
      <c r="BJ967" s="1">
        <f>8787*10000</f>
        <v>87870000</v>
      </c>
      <c r="BK967" s="7" t="s">
        <v>10381</v>
      </c>
      <c r="BL967" s="1" t="str">
        <f t="shared" si="480"/>
        <v>=4028*10000</v>
      </c>
      <c r="BM967" s="16">
        <f t="shared" si="495"/>
        <v>1.1814796425024827</v>
      </c>
      <c r="BN967" s="1">
        <f>4028*10000</f>
        <v>40280000</v>
      </c>
    </row>
    <row r="968" spans="1:66">
      <c r="A968" s="18"/>
      <c r="B968">
        <v>600775</v>
      </c>
      <c r="C968" t="s">
        <v>58</v>
      </c>
      <c r="D968" s="6" t="s">
        <v>8494</v>
      </c>
      <c r="E968" s="7" t="str">
        <f t="shared" si="479"/>
        <v>=1.057*100000000</v>
      </c>
      <c r="F968" s="1">
        <f>1.057*100000000</f>
        <v>105700000</v>
      </c>
      <c r="G968" s="8">
        <f t="shared" si="481"/>
        <v>0.86881188118811881</v>
      </c>
      <c r="H968" s="7" t="s">
        <v>10382</v>
      </c>
      <c r="I968" s="6" t="str">
        <f t="shared" si="465"/>
        <v>=5656*10000</v>
      </c>
      <c r="J968" s="1">
        <f>5656*10000</f>
        <v>56560000</v>
      </c>
      <c r="K968" s="10">
        <f t="shared" si="482"/>
        <v>5.8779483339573196E-2</v>
      </c>
      <c r="L968" s="7" t="s">
        <v>10383</v>
      </c>
      <c r="M968" s="6" t="str">
        <f t="shared" si="466"/>
        <v>=5342*10000</v>
      </c>
      <c r="N968" s="1">
        <f>5342*10000</f>
        <v>53420000</v>
      </c>
      <c r="O968" s="8">
        <f t="shared" si="483"/>
        <v>11.135393003180372</v>
      </c>
      <c r="P968" s="7" t="s">
        <v>10384</v>
      </c>
      <c r="Q968" s="6" t="str">
        <f t="shared" si="467"/>
        <v>=440.2*10000</v>
      </c>
      <c r="R968" s="11">
        <f>440.2*10000</f>
        <v>4402000</v>
      </c>
      <c r="S968" s="8">
        <f t="shared" si="484"/>
        <v>-0.97103947368421051</v>
      </c>
      <c r="T968" s="6" t="s">
        <v>3676</v>
      </c>
      <c r="U968" s="6" t="str">
        <f t="shared" si="468"/>
        <v>=1.520*100000000</v>
      </c>
      <c r="V968" s="1">
        <f>1.52*100000000</f>
        <v>152000000</v>
      </c>
      <c r="W968" s="8">
        <f t="shared" si="485"/>
        <v>0.9524727039177906</v>
      </c>
      <c r="X968" s="7" t="s">
        <v>10385</v>
      </c>
      <c r="Y968" s="6" t="str">
        <f t="shared" si="469"/>
        <v>=7785*10000</v>
      </c>
      <c r="Z968" s="1">
        <f>7785*10000</f>
        <v>77850000</v>
      </c>
      <c r="AA968" s="8">
        <f t="shared" si="486"/>
        <v>0.61548039012243205</v>
      </c>
      <c r="AB968" s="7" t="s">
        <v>10386</v>
      </c>
      <c r="AC968" s="6" t="str">
        <f t="shared" si="470"/>
        <v>=4819*10000</v>
      </c>
      <c r="AD968" s="1">
        <f>4819*10000</f>
        <v>48190000</v>
      </c>
      <c r="AE968" s="8">
        <f t="shared" si="487"/>
        <v>-2.6826117318435756</v>
      </c>
      <c r="AF968" s="7">
        <f>-2864*10000</f>
        <v>-28640000</v>
      </c>
      <c r="AG968" s="6" t="str">
        <f t="shared" si="471"/>
        <v>=-28640000</v>
      </c>
      <c r="AH968" s="1">
        <f>-28640000</f>
        <v>-28640000</v>
      </c>
      <c r="AI968" s="8">
        <f t="shared" si="488"/>
        <v>-1.1943012211668929</v>
      </c>
      <c r="AJ968" s="6" t="s">
        <v>10387</v>
      </c>
      <c r="AK968" s="6" t="str">
        <f t="shared" si="472"/>
        <v>=1.474*100000000</v>
      </c>
      <c r="AL968" s="1">
        <f>1.474*100000000</f>
        <v>147400000</v>
      </c>
      <c r="AM968" s="8">
        <f t="shared" si="489"/>
        <v>0.17543859649122806</v>
      </c>
      <c r="AN968" s="6" t="s">
        <v>10388</v>
      </c>
      <c r="AO968" s="6" t="str">
        <f t="shared" si="473"/>
        <v>=1.254*100000000</v>
      </c>
      <c r="AP968" s="1">
        <f>1.254*100000000</f>
        <v>125400000</v>
      </c>
      <c r="AQ968" s="8">
        <f t="shared" si="490"/>
        <v>0.38288486987207765</v>
      </c>
      <c r="AR968" s="7" t="s">
        <v>10389</v>
      </c>
      <c r="AS968" s="6" t="str">
        <f t="shared" si="474"/>
        <v>=9068*10000</v>
      </c>
      <c r="AT968" s="1">
        <f>9068*10000</f>
        <v>90680000</v>
      </c>
      <c r="AU968" s="8">
        <f t="shared" si="491"/>
        <v>1.6592375366568914</v>
      </c>
      <c r="AV968" s="7" t="s">
        <v>8509</v>
      </c>
      <c r="AW968" s="6" t="str">
        <f t="shared" si="475"/>
        <v>=3410*10000</v>
      </c>
      <c r="AX968" s="1">
        <f>3410*10000</f>
        <v>34100000</v>
      </c>
      <c r="AY968" s="10">
        <f t="shared" si="492"/>
        <v>-0.86414342629482066</v>
      </c>
      <c r="AZ968" s="6" t="s">
        <v>10390</v>
      </c>
      <c r="BA968" s="6" t="str">
        <f t="shared" si="476"/>
        <v>=2.510*100000000</v>
      </c>
      <c r="BB968" s="1">
        <f>2.51*100000000</f>
        <v>250999999.99999997</v>
      </c>
      <c r="BC968" s="8">
        <f t="shared" si="493"/>
        <v>0.73103448275862049</v>
      </c>
      <c r="BD968" s="6" t="s">
        <v>2178</v>
      </c>
      <c r="BE968" s="6" t="str">
        <f t="shared" si="477"/>
        <v>=1.450*100000000</v>
      </c>
      <c r="BF968" s="1">
        <f>1.45*100000000</f>
        <v>145000000</v>
      </c>
      <c r="BG968" s="8">
        <f t="shared" si="494"/>
        <v>0.60736060303735728</v>
      </c>
      <c r="BH968" s="7" t="s">
        <v>10391</v>
      </c>
      <c r="BI968" s="6" t="str">
        <f t="shared" si="478"/>
        <v>=9021*10000</v>
      </c>
      <c r="BJ968" s="1">
        <f>9021*10000</f>
        <v>90210000</v>
      </c>
      <c r="BK968" s="7" t="s">
        <v>10392</v>
      </c>
      <c r="BL968" s="1" t="str">
        <f t="shared" si="480"/>
        <v>=4213*10000</v>
      </c>
      <c r="BM968" s="16">
        <f t="shared" si="495"/>
        <v>1.1412295276525042</v>
      </c>
      <c r="BN968" s="1">
        <f>4213*10000</f>
        <v>42130000</v>
      </c>
    </row>
    <row r="969" spans="1:66">
      <c r="A969" s="19"/>
      <c r="B969">
        <v>600775</v>
      </c>
      <c r="C969" t="s">
        <v>68</v>
      </c>
      <c r="D969" s="7" t="s">
        <v>7609</v>
      </c>
      <c r="E969" s="7" t="str">
        <f t="shared" si="479"/>
        <v>=8013*10000</v>
      </c>
      <c r="F969" s="1">
        <f>8013*10000</f>
        <v>80130000</v>
      </c>
      <c r="G969" s="8">
        <f t="shared" si="481"/>
        <v>1.4121011438892233</v>
      </c>
      <c r="H969" s="7" t="s">
        <v>10393</v>
      </c>
      <c r="I969" s="6" t="str">
        <f t="shared" si="465"/>
        <v>=3322*10000</v>
      </c>
      <c r="J969" s="1">
        <f>3322*10000</f>
        <v>33220000</v>
      </c>
      <c r="K969" s="10">
        <f t="shared" si="482"/>
        <v>-0.13803840166061235</v>
      </c>
      <c r="L969" s="7" t="s">
        <v>10394</v>
      </c>
      <c r="M969" s="6" t="str">
        <f t="shared" si="466"/>
        <v>=3854*10000</v>
      </c>
      <c r="N969" s="1">
        <f>3854*10000</f>
        <v>38540000</v>
      </c>
      <c r="O969" s="8">
        <f t="shared" si="483"/>
        <v>-11.441614738553238</v>
      </c>
      <c r="P969" s="7">
        <f>-369.1*10000</f>
        <v>-3691000</v>
      </c>
      <c r="Q969" s="6" t="str">
        <f t="shared" si="467"/>
        <v>=-3691000</v>
      </c>
      <c r="R969" s="11">
        <f>-3691000</f>
        <v>-3691000</v>
      </c>
      <c r="S969" s="8">
        <f t="shared" si="484"/>
        <v>-1.0313327674023769</v>
      </c>
      <c r="T969" s="6" t="s">
        <v>4587</v>
      </c>
      <c r="U969" s="6" t="str">
        <f t="shared" si="468"/>
        <v>=1.178*100000000</v>
      </c>
      <c r="V969" s="1">
        <f>1.178*100000000</f>
        <v>117800000</v>
      </c>
      <c r="W969" s="8">
        <f t="shared" si="485"/>
        <v>1.2268431001890359</v>
      </c>
      <c r="X969" s="7" t="s">
        <v>10395</v>
      </c>
      <c r="Y969" s="6" t="str">
        <f t="shared" si="469"/>
        <v>=5290*10000</v>
      </c>
      <c r="Z969" s="1">
        <f>5290*10000</f>
        <v>52900000</v>
      </c>
      <c r="AA969" s="8">
        <f t="shared" si="486"/>
        <v>0.64081885856079401</v>
      </c>
      <c r="AB969" s="7" t="s">
        <v>3720</v>
      </c>
      <c r="AC969" s="6" t="str">
        <f t="shared" si="470"/>
        <v>=3224*10000</v>
      </c>
      <c r="AD969" s="1">
        <f>3224*10000</f>
        <v>32240000</v>
      </c>
      <c r="AE969" s="8">
        <f t="shared" si="487"/>
        <v>-1.904601571268238</v>
      </c>
      <c r="AF969" s="7">
        <f>-3564*10000</f>
        <v>-35640000</v>
      </c>
      <c r="AG969" s="6" t="str">
        <f t="shared" si="471"/>
        <v>=-35640000</v>
      </c>
      <c r="AH969" s="1">
        <f>-35640000</f>
        <v>-35640000</v>
      </c>
      <c r="AI969" s="8">
        <f t="shared" si="488"/>
        <v>-1.3134564643799471</v>
      </c>
      <c r="AJ969" s="6" t="s">
        <v>2916</v>
      </c>
      <c r="AK969" s="6" t="str">
        <f t="shared" si="472"/>
        <v>=1.137*100000000</v>
      </c>
      <c r="AL969" s="1">
        <f>1.137*100000000</f>
        <v>113700000</v>
      </c>
      <c r="AM969" s="8">
        <f t="shared" si="489"/>
        <v>0.20893141945773525</v>
      </c>
      <c r="AN969" s="7" t="s">
        <v>10396</v>
      </c>
      <c r="AO969" s="6" t="str">
        <f t="shared" si="473"/>
        <v>=9405*10000</v>
      </c>
      <c r="AP969" s="1">
        <f>9405*10000</f>
        <v>94050000</v>
      </c>
      <c r="AQ969" s="8">
        <f t="shared" si="490"/>
        <v>0.34800057331231188</v>
      </c>
      <c r="AR969" s="7" t="s">
        <v>5446</v>
      </c>
      <c r="AS969" s="6" t="str">
        <f t="shared" si="474"/>
        <v>=6977*10000</v>
      </c>
      <c r="AT969" s="1">
        <f>6977*10000</f>
        <v>69770000</v>
      </c>
      <c r="AU969" s="8">
        <f t="shared" si="491"/>
        <v>1.8065164923572004</v>
      </c>
      <c r="AV969" s="7" t="s">
        <v>10397</v>
      </c>
      <c r="AW969" s="6" t="str">
        <f t="shared" si="475"/>
        <v>=2486*10000</v>
      </c>
      <c r="AX969" s="1">
        <f>2486*10000</f>
        <v>24860000</v>
      </c>
      <c r="AY969" s="10">
        <f t="shared" si="492"/>
        <v>-0.88301176470588238</v>
      </c>
      <c r="AZ969" s="6" t="s">
        <v>4024</v>
      </c>
      <c r="BA969" s="6" t="str">
        <f t="shared" si="476"/>
        <v>=2.125*100000000</v>
      </c>
      <c r="BB969" s="1">
        <f>2.125*100000000</f>
        <v>212500000</v>
      </c>
      <c r="BC969" s="8">
        <f t="shared" si="493"/>
        <v>0.74323215750615235</v>
      </c>
      <c r="BD969" s="6" t="s">
        <v>9050</v>
      </c>
      <c r="BE969" s="6" t="str">
        <f t="shared" si="477"/>
        <v>=1.219*100000000</v>
      </c>
      <c r="BF969" s="1">
        <f>1.219*100000000</f>
        <v>121900000.00000001</v>
      </c>
      <c r="BG969" s="8">
        <f t="shared" si="494"/>
        <v>0.60310362966859565</v>
      </c>
      <c r="BH969" s="7" t="s">
        <v>10398</v>
      </c>
      <c r="BI969" s="6" t="str">
        <f t="shared" si="478"/>
        <v>=7604*10000</v>
      </c>
      <c r="BJ969" s="1">
        <f>7604*10000</f>
        <v>76040000</v>
      </c>
      <c r="BK969" s="7" t="s">
        <v>10399</v>
      </c>
      <c r="BL969" s="1" t="str">
        <f t="shared" si="480"/>
        <v>=3422*10000</v>
      </c>
      <c r="BM969" s="16">
        <f t="shared" si="495"/>
        <v>1.222092343658679</v>
      </c>
      <c r="BN969" s="1">
        <f>3422*10000</f>
        <v>34220000</v>
      </c>
    </row>
    <row r="970" spans="1:66">
      <c r="A970" s="17">
        <v>244</v>
      </c>
      <c r="B970">
        <v>600784</v>
      </c>
      <c r="C970" t="s">
        <v>31</v>
      </c>
      <c r="D970" s="6" t="s">
        <v>3359</v>
      </c>
      <c r="E970" s="7" t="str">
        <f t="shared" si="479"/>
        <v>=30.20*100000000</v>
      </c>
      <c r="F970" s="1">
        <f>30.2*100000000</f>
        <v>3020000000</v>
      </c>
      <c r="G970" s="8">
        <f t="shared" si="481"/>
        <v>0.39234670355002305</v>
      </c>
      <c r="H970" s="6" t="s">
        <v>3538</v>
      </c>
      <c r="I970" s="6" t="str">
        <f t="shared" si="465"/>
        <v>=21.69*100000000</v>
      </c>
      <c r="J970" s="1">
        <f>21.69*100000000</f>
        <v>2169000000</v>
      </c>
      <c r="K970" s="10">
        <f t="shared" si="482"/>
        <v>0.46951219512195119</v>
      </c>
      <c r="L970" s="6" t="s">
        <v>7893</v>
      </c>
      <c r="M970" s="6" t="str">
        <f t="shared" si="466"/>
        <v>=14.76*100000000</v>
      </c>
      <c r="N970" s="1">
        <f>14.76*100000000</f>
        <v>1476000000</v>
      </c>
      <c r="O970" s="8">
        <f t="shared" si="483"/>
        <v>1.1712268314210061</v>
      </c>
      <c r="P970" s="6" t="s">
        <v>8163</v>
      </c>
      <c r="Q970" s="6" t="str">
        <f t="shared" si="467"/>
        <v>=6.798*100000000</v>
      </c>
      <c r="R970" s="11">
        <f>6.798*100000000</f>
        <v>679800000</v>
      </c>
      <c r="S970" s="8">
        <f t="shared" si="484"/>
        <v>-0.73236220472440949</v>
      </c>
      <c r="T970" s="6" t="s">
        <v>10400</v>
      </c>
      <c r="U970" s="6" t="str">
        <f t="shared" si="468"/>
        <v>=25.40*100000000</v>
      </c>
      <c r="V970" s="1">
        <f>25.4*100000000</f>
        <v>2540000000</v>
      </c>
      <c r="W970" s="8">
        <f t="shared" si="485"/>
        <v>0.30390143737166325</v>
      </c>
      <c r="X970" s="6" t="s">
        <v>5669</v>
      </c>
      <c r="Y970" s="6" t="str">
        <f t="shared" si="469"/>
        <v>=19.48*100000000</v>
      </c>
      <c r="Z970" s="1">
        <f>19.48*100000000</f>
        <v>1948000000</v>
      </c>
      <c r="AA970" s="8">
        <f t="shared" si="486"/>
        <v>0.60726072607260728</v>
      </c>
      <c r="AB970" s="6" t="s">
        <v>1532</v>
      </c>
      <c r="AC970" s="6" t="str">
        <f t="shared" si="470"/>
        <v>=12.12*100000000</v>
      </c>
      <c r="AD970" s="1">
        <f>12.12*100000000</f>
        <v>1212000000</v>
      </c>
      <c r="AE970" s="8">
        <f t="shared" si="487"/>
        <v>1.5853242320819112</v>
      </c>
      <c r="AF970" s="6" t="s">
        <v>1928</v>
      </c>
      <c r="AG970" s="6" t="str">
        <f t="shared" si="471"/>
        <v>=4.688*100000000</v>
      </c>
      <c r="AH970" s="1">
        <f>4.688*100000000</f>
        <v>468800000</v>
      </c>
      <c r="AI970" s="8">
        <f t="shared" si="488"/>
        <v>-0.79274977895667553</v>
      </c>
      <c r="AJ970" s="6" t="s">
        <v>10401</v>
      </c>
      <c r="AK970" s="6" t="str">
        <f t="shared" si="472"/>
        <v>=22.62*100000000</v>
      </c>
      <c r="AL970" s="1">
        <f>22.62*100000000</f>
        <v>2262000000</v>
      </c>
      <c r="AM970" s="8">
        <f t="shared" si="489"/>
        <v>0.5884831460674157</v>
      </c>
      <c r="AN970" s="6" t="s">
        <v>1103</v>
      </c>
      <c r="AO970" s="6" t="str">
        <f t="shared" si="473"/>
        <v>=14.24*100000000</v>
      </c>
      <c r="AP970" s="1">
        <f>14.24*100000000</f>
        <v>1424000000</v>
      </c>
      <c r="AQ970" s="8">
        <f t="shared" si="490"/>
        <v>0.91887885729686025</v>
      </c>
      <c r="AR970" s="6" t="s">
        <v>10402</v>
      </c>
      <c r="AS970" s="6" t="str">
        <f t="shared" si="474"/>
        <v>=7.421*100000000</v>
      </c>
      <c r="AT970" s="1">
        <f>7.421*100000000</f>
        <v>742100000</v>
      </c>
      <c r="AU970" s="8">
        <f t="shared" si="491"/>
        <v>0.74611764705882355</v>
      </c>
      <c r="AV970" s="6" t="s">
        <v>8038</v>
      </c>
      <c r="AW970" s="6" t="str">
        <f t="shared" si="475"/>
        <v>=4.250*100000000</v>
      </c>
      <c r="AX970" s="1">
        <f>4.25*100000000</f>
        <v>425000000</v>
      </c>
      <c r="AY970" s="10">
        <f t="shared" si="492"/>
        <v>-0.78578629032258063</v>
      </c>
      <c r="AZ970" s="6" t="s">
        <v>3607</v>
      </c>
      <c r="BA970" s="6" t="str">
        <f t="shared" si="476"/>
        <v>=19.84*100000000</v>
      </c>
      <c r="BB970" s="1">
        <f>19.84*100000000</f>
        <v>1984000000</v>
      </c>
      <c r="BC970" s="8">
        <f t="shared" si="493"/>
        <v>0.41009239516702201</v>
      </c>
      <c r="BD970" s="6" t="s">
        <v>4920</v>
      </c>
      <c r="BE970" s="6" t="str">
        <f t="shared" si="477"/>
        <v>=14.07*100000000</v>
      </c>
      <c r="BF970" s="1">
        <f>14.07*100000000</f>
        <v>1407000000</v>
      </c>
      <c r="BG970" s="8">
        <f t="shared" si="494"/>
        <v>0.88001068947087124</v>
      </c>
      <c r="BH970" s="6" t="s">
        <v>1553</v>
      </c>
      <c r="BI970" s="6" t="str">
        <f t="shared" si="478"/>
        <v>=7.484*100000000</v>
      </c>
      <c r="BJ970" s="1">
        <f>7.484*100000000</f>
        <v>748400000</v>
      </c>
      <c r="BK970" s="6" t="s">
        <v>10403</v>
      </c>
      <c r="BL970" s="1" t="str">
        <f t="shared" si="480"/>
        <v>=3.593*100000000</v>
      </c>
      <c r="BM970" s="16">
        <f t="shared" si="495"/>
        <v>1.082939048149179</v>
      </c>
      <c r="BN970" s="1">
        <f>3.593*100000000</f>
        <v>359300000</v>
      </c>
    </row>
    <row r="971" spans="1:66">
      <c r="A971" s="18"/>
      <c r="B971">
        <v>600784</v>
      </c>
      <c r="C971" t="s">
        <v>48</v>
      </c>
      <c r="D971" s="6" t="s">
        <v>10404</v>
      </c>
      <c r="E971" s="7" t="str">
        <f t="shared" si="479"/>
        <v>=2.626*100000000</v>
      </c>
      <c r="F971" s="1">
        <f>2.626*100000000</f>
        <v>262600000</v>
      </c>
      <c r="G971" s="8">
        <f t="shared" si="481"/>
        <v>0.61998766193707588</v>
      </c>
      <c r="H971" s="6" t="s">
        <v>9634</v>
      </c>
      <c r="I971" s="6" t="str">
        <f t="shared" si="465"/>
        <v>=1.621*100000000</v>
      </c>
      <c r="J971" s="1">
        <f>1.621*100000000</f>
        <v>162100000</v>
      </c>
      <c r="K971" s="10">
        <f t="shared" si="482"/>
        <v>1.2220699108978752</v>
      </c>
      <c r="L971" s="7" t="s">
        <v>10405</v>
      </c>
      <c r="M971" s="6" t="str">
        <f t="shared" si="466"/>
        <v>=7295*10000</v>
      </c>
      <c r="N971" s="1">
        <f>7295*10000</f>
        <v>72950000</v>
      </c>
      <c r="O971" s="8">
        <f t="shared" si="483"/>
        <v>1.6090844062947067</v>
      </c>
      <c r="P971" s="7" t="s">
        <v>10406</v>
      </c>
      <c r="Q971" s="6" t="str">
        <f t="shared" si="467"/>
        <v>=2796*10000</v>
      </c>
      <c r="R971" s="11">
        <f>2796*10000</f>
        <v>27960000</v>
      </c>
      <c r="S971" s="8">
        <f t="shared" si="484"/>
        <v>-0.841586402266289</v>
      </c>
      <c r="T971" s="6" t="s">
        <v>4441</v>
      </c>
      <c r="U971" s="6" t="str">
        <f t="shared" si="468"/>
        <v>=1.765*100000000</v>
      </c>
      <c r="V971" s="1">
        <f>1.765*100000000</f>
        <v>176500000</v>
      </c>
      <c r="W971" s="8">
        <f t="shared" si="485"/>
        <v>0.27253064167267482</v>
      </c>
      <c r="X971" s="6" t="s">
        <v>2160</v>
      </c>
      <c r="Y971" s="6" t="str">
        <f t="shared" si="469"/>
        <v>=1.387*100000000</v>
      </c>
      <c r="Z971" s="1">
        <f>1.387*100000000</f>
        <v>138700000</v>
      </c>
      <c r="AA971" s="8">
        <f t="shared" si="486"/>
        <v>2.0184983677910773</v>
      </c>
      <c r="AB971" s="7" t="s">
        <v>10407</v>
      </c>
      <c r="AC971" s="6" t="str">
        <f t="shared" si="470"/>
        <v>=4595*10000</v>
      </c>
      <c r="AD971" s="1">
        <f>4595*10000</f>
        <v>45950000</v>
      </c>
      <c r="AE971" s="8">
        <f t="shared" si="487"/>
        <v>-7.1488023551451896</v>
      </c>
      <c r="AF971" s="7">
        <f>-747.3*10000</f>
        <v>-7473000</v>
      </c>
      <c r="AG971" s="6" t="str">
        <f t="shared" si="471"/>
        <v>=-7473000</v>
      </c>
      <c r="AH971" s="1">
        <f>-7473000</f>
        <v>-7473000</v>
      </c>
      <c r="AI971" s="8">
        <f t="shared" si="488"/>
        <v>-1.513961485557084</v>
      </c>
      <c r="AJ971" s="7" t="s">
        <v>10408</v>
      </c>
      <c r="AK971" s="6" t="str">
        <f t="shared" si="472"/>
        <v>=1454*10000</v>
      </c>
      <c r="AL971" s="1">
        <f>1454*10000</f>
        <v>14540000</v>
      </c>
      <c r="AM971" s="8">
        <f t="shared" si="489"/>
        <v>-0.28795298726738494</v>
      </c>
      <c r="AN971" s="7" t="s">
        <v>10409</v>
      </c>
      <c r="AO971" s="6" t="str">
        <f t="shared" si="473"/>
        <v>=2042*10000</v>
      </c>
      <c r="AP971" s="1">
        <f>2042*10000</f>
        <v>20420000</v>
      </c>
      <c r="AQ971" s="8">
        <f t="shared" si="490"/>
        <v>-1.7676691729323308</v>
      </c>
      <c r="AR971" s="7">
        <f>-2660*10000</f>
        <v>-26600000</v>
      </c>
      <c r="AS971" s="6" t="str">
        <f t="shared" si="474"/>
        <v>=-26600000</v>
      </c>
      <c r="AT971" s="1">
        <f>-26600000</f>
        <v>-26600000</v>
      </c>
      <c r="AU971" s="8">
        <f t="shared" si="491"/>
        <v>-4.5786358132651692</v>
      </c>
      <c r="AV971" s="7" t="s">
        <v>10410</v>
      </c>
      <c r="AW971" s="6" t="str">
        <f t="shared" si="475"/>
        <v>=743.3*10000</v>
      </c>
      <c r="AX971" s="1">
        <f>743.3*10000</f>
        <v>7433000</v>
      </c>
      <c r="AY971" s="10">
        <f t="shared" si="492"/>
        <v>-0.92880268199233718</v>
      </c>
      <c r="AZ971" s="6" t="s">
        <v>10411</v>
      </c>
      <c r="BA971" s="6" t="str">
        <f t="shared" si="476"/>
        <v>=1.044*100000000</v>
      </c>
      <c r="BB971" s="1">
        <f>1.044*100000000</f>
        <v>104400000</v>
      </c>
      <c r="BC971" s="8">
        <f t="shared" si="493"/>
        <v>-0.10077519379844961</v>
      </c>
      <c r="BD971" s="6" t="s">
        <v>2109</v>
      </c>
      <c r="BE971" s="6" t="str">
        <f t="shared" si="477"/>
        <v>=1.161*100000000</v>
      </c>
      <c r="BF971" s="1">
        <f>1.161*100000000</f>
        <v>116100000</v>
      </c>
      <c r="BG971" s="8">
        <f t="shared" si="494"/>
        <v>-5.9157212317666123E-2</v>
      </c>
      <c r="BH971" s="6" t="s">
        <v>6043</v>
      </c>
      <c r="BI971" s="6" t="str">
        <f t="shared" si="478"/>
        <v>=1.234*100000000</v>
      </c>
      <c r="BJ971" s="1">
        <f>1.234*100000000</f>
        <v>123400000</v>
      </c>
      <c r="BK971" s="7" t="s">
        <v>10412</v>
      </c>
      <c r="BL971" s="1" t="str">
        <f t="shared" si="480"/>
        <v>=9952*10000</v>
      </c>
      <c r="BM971" s="16">
        <f t="shared" si="495"/>
        <v>0.23995176848874597</v>
      </c>
      <c r="BN971" s="1">
        <f>9952*10000</f>
        <v>99520000</v>
      </c>
    </row>
    <row r="972" spans="1:66">
      <c r="A972" s="18"/>
      <c r="B972">
        <v>600784</v>
      </c>
      <c r="C972" t="s">
        <v>58</v>
      </c>
      <c r="D972" s="6" t="s">
        <v>10413</v>
      </c>
      <c r="E972" s="7" t="str">
        <f t="shared" si="479"/>
        <v>=2.573*100000000</v>
      </c>
      <c r="F972" s="1">
        <f>2.573*100000000</f>
        <v>257300000</v>
      </c>
      <c r="G972" s="8">
        <f t="shared" si="481"/>
        <v>0.58241082410824108</v>
      </c>
      <c r="H972" s="6" t="s">
        <v>5818</v>
      </c>
      <c r="I972" s="6" t="str">
        <f t="shared" si="465"/>
        <v>=1.626*100000000</v>
      </c>
      <c r="J972" s="1">
        <f>1.626*100000000</f>
        <v>162600000</v>
      </c>
      <c r="K972" s="10">
        <f t="shared" si="482"/>
        <v>1.2143538063461801</v>
      </c>
      <c r="L972" s="7" t="s">
        <v>10414</v>
      </c>
      <c r="M972" s="6" t="str">
        <f t="shared" si="466"/>
        <v>=7343*10000</v>
      </c>
      <c r="N972" s="1">
        <f>7343*10000</f>
        <v>73430000</v>
      </c>
      <c r="O972" s="8">
        <f t="shared" si="483"/>
        <v>1.5612138123474015</v>
      </c>
      <c r="P972" s="7" t="s">
        <v>10415</v>
      </c>
      <c r="Q972" s="6" t="str">
        <f t="shared" si="467"/>
        <v>=2867*10000</v>
      </c>
      <c r="R972" s="11">
        <f>2867*10000</f>
        <v>28670000</v>
      </c>
      <c r="S972" s="8">
        <f t="shared" si="484"/>
        <v>-0.84854727945060748</v>
      </c>
      <c r="T972" s="6" t="s">
        <v>2359</v>
      </c>
      <c r="U972" s="6" t="str">
        <f t="shared" si="468"/>
        <v>=1.893*100000000</v>
      </c>
      <c r="V972" s="1">
        <f>1.893*100000000</f>
        <v>189300000</v>
      </c>
      <c r="W972" s="8">
        <f t="shared" si="485"/>
        <v>0.26961770623742454</v>
      </c>
      <c r="X972" s="6" t="s">
        <v>6889</v>
      </c>
      <c r="Y972" s="6" t="str">
        <f t="shared" si="469"/>
        <v>=1.491*100000000</v>
      </c>
      <c r="Z972" s="1">
        <f>1.491*100000000</f>
        <v>149100000</v>
      </c>
      <c r="AA972" s="8">
        <f t="shared" si="486"/>
        <v>1.7806788511749347</v>
      </c>
      <c r="AB972" s="7" t="s">
        <v>10416</v>
      </c>
      <c r="AC972" s="6" t="str">
        <f t="shared" si="470"/>
        <v>=5362*10000</v>
      </c>
      <c r="AD972" s="1">
        <f>5362*10000</f>
        <v>53620000</v>
      </c>
      <c r="AE972" s="8">
        <f t="shared" si="487"/>
        <v>-12.479340612288588</v>
      </c>
      <c r="AF972" s="7">
        <f>-467.1*10000</f>
        <v>-4671000</v>
      </c>
      <c r="AG972" s="6" t="str">
        <f t="shared" si="471"/>
        <v>=-4671000</v>
      </c>
      <c r="AH972" s="1">
        <f>-4671000</f>
        <v>-4671000</v>
      </c>
      <c r="AI972" s="8">
        <f t="shared" si="488"/>
        <v>-1.3988898377455166</v>
      </c>
      <c r="AJ972" s="7" t="s">
        <v>10417</v>
      </c>
      <c r="AK972" s="6" t="str">
        <f t="shared" si="472"/>
        <v>=1171*10000</v>
      </c>
      <c r="AL972" s="1">
        <f>1171*10000</f>
        <v>11710000</v>
      </c>
      <c r="AM972" s="8">
        <f t="shared" si="489"/>
        <v>-0.57325072886297379</v>
      </c>
      <c r="AN972" s="7" t="s">
        <v>1694</v>
      </c>
      <c r="AO972" s="6" t="str">
        <f t="shared" si="473"/>
        <v>=2744*10000</v>
      </c>
      <c r="AP972" s="1">
        <f>2744*10000</f>
        <v>27440000</v>
      </c>
      <c r="AQ972" s="8">
        <f t="shared" si="490"/>
        <v>-2.2703703703703701</v>
      </c>
      <c r="AR972" s="7">
        <f>-2160*10000</f>
        <v>-21600000</v>
      </c>
      <c r="AS972" s="6" t="str">
        <f t="shared" si="474"/>
        <v>=-21600000</v>
      </c>
      <c r="AT972" s="1">
        <f>-21600000</f>
        <v>-21600000</v>
      </c>
      <c r="AU972" s="8">
        <f t="shared" si="491"/>
        <v>-3.8205797858448682</v>
      </c>
      <c r="AV972" s="7" t="s">
        <v>10418</v>
      </c>
      <c r="AW972" s="6" t="str">
        <f t="shared" si="475"/>
        <v>=765.8*10000</v>
      </c>
      <c r="AX972" s="1">
        <f>765.8*10000</f>
        <v>7658000</v>
      </c>
      <c r="AY972" s="10">
        <f t="shared" si="492"/>
        <v>-0.92328959230692176</v>
      </c>
      <c r="AZ972" s="7" t="s">
        <v>10419</v>
      </c>
      <c r="BA972" s="6" t="str">
        <f t="shared" si="476"/>
        <v>=9983*10000</v>
      </c>
      <c r="BB972" s="1">
        <f>9983*10000</f>
        <v>99830000</v>
      </c>
      <c r="BC972" s="8">
        <f t="shared" si="493"/>
        <v>-0.11419698314108252</v>
      </c>
      <c r="BD972" s="6" t="s">
        <v>2877</v>
      </c>
      <c r="BE972" s="6" t="str">
        <f t="shared" si="477"/>
        <v>=1.127*100000000</v>
      </c>
      <c r="BF972" s="1">
        <f>1.127*100000000</f>
        <v>112700000</v>
      </c>
      <c r="BG972" s="8">
        <f t="shared" si="494"/>
        <v>-6.0050041701417846E-2</v>
      </c>
      <c r="BH972" s="6" t="s">
        <v>7938</v>
      </c>
      <c r="BI972" s="6" t="str">
        <f t="shared" si="478"/>
        <v>=1.199*100000000</v>
      </c>
      <c r="BJ972" s="1">
        <f>1.199*100000000</f>
        <v>119900000</v>
      </c>
      <c r="BK972" s="6" t="s">
        <v>10420</v>
      </c>
      <c r="BL972" s="1" t="str">
        <f t="shared" si="480"/>
        <v>=1.000*100000000</v>
      </c>
      <c r="BM972" s="16">
        <f t="shared" si="495"/>
        <v>0.19900000000000001</v>
      </c>
      <c r="BN972" s="1">
        <f>1*100000000</f>
        <v>100000000</v>
      </c>
    </row>
    <row r="973" spans="1:66">
      <c r="A973" s="19"/>
      <c r="B973">
        <v>600784</v>
      </c>
      <c r="C973" t="s">
        <v>68</v>
      </c>
      <c r="D973" s="6" t="s">
        <v>10421</v>
      </c>
      <c r="E973" s="7" t="str">
        <f t="shared" si="479"/>
        <v>=2.341*100000000</v>
      </c>
      <c r="F973" s="1">
        <f>2.341*100000000</f>
        <v>234100000.00000003</v>
      </c>
      <c r="G973" s="8">
        <f t="shared" si="481"/>
        <v>0.62231462231462253</v>
      </c>
      <c r="H973" s="6" t="s">
        <v>1930</v>
      </c>
      <c r="I973" s="6" t="str">
        <f t="shared" si="465"/>
        <v>=1.443*100000000</v>
      </c>
      <c r="J973" s="1">
        <f>1.443*100000000</f>
        <v>144300000</v>
      </c>
      <c r="K973" s="10">
        <f t="shared" si="482"/>
        <v>1.2771027299984219</v>
      </c>
      <c r="L973" s="7" t="s">
        <v>10422</v>
      </c>
      <c r="M973" s="6" t="str">
        <f t="shared" si="466"/>
        <v>=6337*10000</v>
      </c>
      <c r="N973" s="1">
        <f>6337*10000</f>
        <v>63370000</v>
      </c>
      <c r="O973" s="8">
        <f t="shared" si="483"/>
        <v>1.7612200435729848</v>
      </c>
      <c r="P973" s="7" t="s">
        <v>10423</v>
      </c>
      <c r="Q973" s="6" t="str">
        <f t="shared" si="467"/>
        <v>=2295*10000</v>
      </c>
      <c r="R973" s="11">
        <f>2295*10000</f>
        <v>22950000</v>
      </c>
      <c r="S973" s="8">
        <f t="shared" si="484"/>
        <v>-0.87019230769230771</v>
      </c>
      <c r="T973" s="6" t="s">
        <v>242</v>
      </c>
      <c r="U973" s="6" t="str">
        <f t="shared" si="468"/>
        <v>=1.768*100000000</v>
      </c>
      <c r="V973" s="1">
        <f>1.768*100000000</f>
        <v>176800000</v>
      </c>
      <c r="W973" s="8">
        <f t="shared" si="485"/>
        <v>0.22437673130193905</v>
      </c>
      <c r="X973" s="6" t="s">
        <v>1114</v>
      </c>
      <c r="Y973" s="6" t="str">
        <f t="shared" si="469"/>
        <v>=1.444*100000000</v>
      </c>
      <c r="Z973" s="1">
        <f>1.444*100000000</f>
        <v>144400000</v>
      </c>
      <c r="AA973" s="8">
        <f t="shared" si="486"/>
        <v>1.6990654205607476</v>
      </c>
      <c r="AB973" s="7" t="s">
        <v>10424</v>
      </c>
      <c r="AC973" s="6" t="str">
        <f t="shared" si="470"/>
        <v>=5350*10000</v>
      </c>
      <c r="AD973" s="1">
        <f>5350*10000</f>
        <v>53500000</v>
      </c>
      <c r="AE973" s="8">
        <f t="shared" si="487"/>
        <v>-9.6401808785529717</v>
      </c>
      <c r="AF973" s="7">
        <f>-619.2*10000</f>
        <v>-6192000</v>
      </c>
      <c r="AG973" s="6" t="str">
        <f t="shared" si="471"/>
        <v>=-6192000</v>
      </c>
      <c r="AH973" s="1">
        <f>-6192000</f>
        <v>-6192000</v>
      </c>
      <c r="AI973" s="8">
        <f t="shared" si="488"/>
        <v>-3.3797079169869333</v>
      </c>
      <c r="AJ973" s="7" t="s">
        <v>10425</v>
      </c>
      <c r="AK973" s="6" t="str">
        <f t="shared" si="472"/>
        <v>=260.2*10000</v>
      </c>
      <c r="AL973" s="1">
        <f>260.2*10000</f>
        <v>2602000</v>
      </c>
      <c r="AM973" s="8">
        <f t="shared" si="489"/>
        <v>-0.88295096716149346</v>
      </c>
      <c r="AN973" s="7" t="s">
        <v>10335</v>
      </c>
      <c r="AO973" s="6" t="str">
        <f t="shared" si="473"/>
        <v>=2223*10000</v>
      </c>
      <c r="AP973" s="1">
        <f>2223*10000</f>
        <v>22230000</v>
      </c>
      <c r="AQ973" s="8">
        <f t="shared" si="490"/>
        <v>-2.0672107537205955</v>
      </c>
      <c r="AR973" s="7">
        <f>-2083*10000</f>
        <v>-20830000</v>
      </c>
      <c r="AS973" s="6" t="str">
        <f t="shared" si="474"/>
        <v>=-20830000</v>
      </c>
      <c r="AT973" s="1">
        <f>-20830000</f>
        <v>-20830000</v>
      </c>
      <c r="AU973" s="8">
        <f t="shared" si="491"/>
        <v>-3.8632302405498282</v>
      </c>
      <c r="AV973" s="7" t="s">
        <v>10426</v>
      </c>
      <c r="AW973" s="6" t="str">
        <f t="shared" si="475"/>
        <v>=727.5*10000</v>
      </c>
      <c r="AX973" s="1">
        <f>727.5*10000</f>
        <v>7275000</v>
      </c>
      <c r="AY973" s="10">
        <f t="shared" si="492"/>
        <v>-0.8835813730196832</v>
      </c>
      <c r="AZ973" s="7" t="s">
        <v>3192</v>
      </c>
      <c r="BA973" s="6" t="str">
        <f t="shared" si="476"/>
        <v>=6249*10000</v>
      </c>
      <c r="BB973" s="1">
        <f>6249*10000</f>
        <v>62490000</v>
      </c>
      <c r="BC973" s="8">
        <f t="shared" si="493"/>
        <v>-3.3410672853828309E-2</v>
      </c>
      <c r="BD973" s="7" t="s">
        <v>10427</v>
      </c>
      <c r="BE973" s="6" t="str">
        <f t="shared" si="477"/>
        <v>=6465*10000</v>
      </c>
      <c r="BF973" s="1">
        <f>6465*10000</f>
        <v>64650000</v>
      </c>
      <c r="BG973" s="8">
        <f t="shared" si="494"/>
        <v>-0.10913600661430344</v>
      </c>
      <c r="BH973" s="7" t="s">
        <v>10428</v>
      </c>
      <c r="BI973" s="6" t="str">
        <f t="shared" si="478"/>
        <v>=7257*10000</v>
      </c>
      <c r="BJ973" s="1">
        <f>7257*10000</f>
        <v>72570000</v>
      </c>
      <c r="BK973" s="7" t="s">
        <v>10429</v>
      </c>
      <c r="BL973" s="1" t="str">
        <f t="shared" si="480"/>
        <v>=7765*10000</v>
      </c>
      <c r="BM973" s="16">
        <f t="shared" si="495"/>
        <v>-6.542176432710882E-2</v>
      </c>
      <c r="BN973" s="1">
        <f>7765*10000</f>
        <v>77650000</v>
      </c>
    </row>
    <row r="974" spans="1:66">
      <c r="A974" s="17">
        <v>245</v>
      </c>
      <c r="B974">
        <v>600785</v>
      </c>
      <c r="C974" t="s">
        <v>31</v>
      </c>
      <c r="D974" s="6" t="s">
        <v>10430</v>
      </c>
      <c r="E974" s="7" t="str">
        <f t="shared" si="479"/>
        <v>=57.05*100000000</v>
      </c>
      <c r="F974" s="1">
        <f>57.05*100000000</f>
        <v>5705000000</v>
      </c>
      <c r="G974" s="8">
        <f t="shared" si="481"/>
        <v>0.29247847757136386</v>
      </c>
      <c r="H974" s="6" t="s">
        <v>10431</v>
      </c>
      <c r="I974" s="6" t="str">
        <f t="shared" si="465"/>
        <v>=44.14*100000000</v>
      </c>
      <c r="J974" s="1">
        <f>44.14*100000000</f>
        <v>4414000000</v>
      </c>
      <c r="K974" s="10">
        <f t="shared" si="482"/>
        <v>0.4524514642974663</v>
      </c>
      <c r="L974" s="6" t="s">
        <v>10432</v>
      </c>
      <c r="M974" s="6" t="str">
        <f t="shared" si="466"/>
        <v>=30.39*100000000</v>
      </c>
      <c r="N974" s="1">
        <f>30.39*100000000</f>
        <v>3039000000</v>
      </c>
      <c r="O974" s="8">
        <f t="shared" si="483"/>
        <v>0.81432835820895522</v>
      </c>
      <c r="P974" s="6" t="s">
        <v>3127</v>
      </c>
      <c r="Q974" s="6" t="str">
        <f t="shared" si="467"/>
        <v>=16.75*100000000</v>
      </c>
      <c r="R974" s="11">
        <f>16.75*100000000</f>
        <v>1675000000</v>
      </c>
      <c r="S974" s="8">
        <f t="shared" si="484"/>
        <v>-0.70583069898138395</v>
      </c>
      <c r="T974" s="6" t="s">
        <v>1115</v>
      </c>
      <c r="U974" s="6" t="str">
        <f t="shared" si="468"/>
        <v>=56.94*100000000</v>
      </c>
      <c r="V974" s="1">
        <f>56.94*100000000</f>
        <v>5694000000</v>
      </c>
      <c r="W974" s="8">
        <f t="shared" si="485"/>
        <v>0.33224145999064109</v>
      </c>
      <c r="X974" s="6" t="s">
        <v>4329</v>
      </c>
      <c r="Y974" s="6" t="str">
        <f t="shared" si="469"/>
        <v>=42.74*100000000</v>
      </c>
      <c r="Z974" s="1">
        <f>42.74*100000000</f>
        <v>4274000000</v>
      </c>
      <c r="AA974" s="8">
        <f t="shared" si="486"/>
        <v>0.45621805792163544</v>
      </c>
      <c r="AB974" s="6" t="s">
        <v>10433</v>
      </c>
      <c r="AC974" s="6" t="str">
        <f t="shared" si="470"/>
        <v>=29.35*100000000</v>
      </c>
      <c r="AD974" s="1">
        <f>29.35*100000000</f>
        <v>2935000000</v>
      </c>
      <c r="AE974" s="8">
        <f t="shared" si="487"/>
        <v>0.78854357099329675</v>
      </c>
      <c r="AF974" s="6" t="s">
        <v>10434</v>
      </c>
      <c r="AG974" s="6" t="str">
        <f t="shared" si="471"/>
        <v>=16.41*100000000</v>
      </c>
      <c r="AH974" s="1">
        <f>16.41*100000000</f>
        <v>1641000000</v>
      </c>
      <c r="AI974" s="8">
        <f t="shared" si="488"/>
        <v>-0.78599374021909241</v>
      </c>
      <c r="AJ974" s="6" t="s">
        <v>10435</v>
      </c>
      <c r="AK974" s="6" t="str">
        <f t="shared" si="472"/>
        <v>=76.68*100000000</v>
      </c>
      <c r="AL974" s="1">
        <f>76.68*100000000</f>
        <v>7668000000.000001</v>
      </c>
      <c r="AM974" s="8">
        <f t="shared" si="489"/>
        <v>0.34455549710678607</v>
      </c>
      <c r="AN974" s="6" t="s">
        <v>10436</v>
      </c>
      <c r="AO974" s="6" t="str">
        <f t="shared" si="473"/>
        <v>=57.03*100000000</v>
      </c>
      <c r="AP974" s="1">
        <f>57.03*100000000</f>
        <v>5703000000</v>
      </c>
      <c r="AQ974" s="8">
        <f t="shared" si="490"/>
        <v>0.44489485685330632</v>
      </c>
      <c r="AR974" s="6" t="s">
        <v>8974</v>
      </c>
      <c r="AS974" s="6" t="str">
        <f t="shared" si="474"/>
        <v>=39.47*100000000</v>
      </c>
      <c r="AT974" s="1">
        <f>39.47*100000000</f>
        <v>3947000000</v>
      </c>
      <c r="AU974" s="8">
        <f t="shared" si="491"/>
        <v>0.75969683459652249</v>
      </c>
      <c r="AV974" s="6" t="s">
        <v>10437</v>
      </c>
      <c r="AW974" s="6" t="str">
        <f t="shared" si="475"/>
        <v>=22.43*100000000</v>
      </c>
      <c r="AX974" s="1">
        <f>22.43*100000000</f>
        <v>2243000000</v>
      </c>
      <c r="AY974" s="10">
        <f t="shared" si="492"/>
        <v>-0.70587463939155526</v>
      </c>
      <c r="AZ974" s="6" t="s">
        <v>10438</v>
      </c>
      <c r="BA974" s="6" t="str">
        <f t="shared" si="476"/>
        <v>=76.26*100000000</v>
      </c>
      <c r="BB974" s="1">
        <f>76.26*100000000</f>
        <v>7626000000.000001</v>
      </c>
      <c r="BC974" s="8">
        <f t="shared" si="493"/>
        <v>0.33508403361344552</v>
      </c>
      <c r="BD974" s="6" t="s">
        <v>10439</v>
      </c>
      <c r="BE974" s="6" t="str">
        <f t="shared" si="477"/>
        <v>=57.12*100000000</v>
      </c>
      <c r="BF974" s="1">
        <f>57.12*100000000</f>
        <v>5712000000</v>
      </c>
      <c r="BG974" s="8">
        <f t="shared" si="494"/>
        <v>0.44497849734378953</v>
      </c>
      <c r="BH974" s="6" t="s">
        <v>7411</v>
      </c>
      <c r="BI974" s="6" t="str">
        <f t="shared" si="478"/>
        <v>=39.53*100000000</v>
      </c>
      <c r="BJ974" s="1">
        <f>39.53*100000000</f>
        <v>3953000000</v>
      </c>
      <c r="BK974" s="6" t="s">
        <v>2144</v>
      </c>
      <c r="BL974" s="1" t="str">
        <f t="shared" si="480"/>
        <v>=22.60*100000000</v>
      </c>
      <c r="BM974" s="16">
        <f t="shared" si="495"/>
        <v>0.74911504424778763</v>
      </c>
      <c r="BN974" s="1">
        <f>22.6*100000000</f>
        <v>2260000000</v>
      </c>
    </row>
    <row r="975" spans="1:66">
      <c r="A975" s="18"/>
      <c r="B975">
        <v>600785</v>
      </c>
      <c r="C975" t="s">
        <v>48</v>
      </c>
      <c r="D975" s="7" t="s">
        <v>10440</v>
      </c>
      <c r="E975" s="7" t="str">
        <f t="shared" si="479"/>
        <v>=6831*10000</v>
      </c>
      <c r="F975" s="1">
        <f>6831*10000</f>
        <v>68310000</v>
      </c>
      <c r="G975" s="8">
        <f t="shared" si="481"/>
        <v>3.5814889336016096</v>
      </c>
      <c r="H975" s="7" t="s">
        <v>2597</v>
      </c>
      <c r="I975" s="6" t="str">
        <f t="shared" si="465"/>
        <v>=1491*10000</v>
      </c>
      <c r="J975" s="1">
        <f>1491*10000</f>
        <v>14910000</v>
      </c>
      <c r="K975" s="10">
        <f t="shared" si="482"/>
        <v>-0.61282783692547393</v>
      </c>
      <c r="L975" s="7" t="s">
        <v>10441</v>
      </c>
      <c r="M975" s="6" t="str">
        <f t="shared" si="466"/>
        <v>=3851*10000</v>
      </c>
      <c r="N975" s="1">
        <f>3851*10000</f>
        <v>38510000</v>
      </c>
      <c r="O975" s="8">
        <f t="shared" si="483"/>
        <v>-0.3269835721775603</v>
      </c>
      <c r="P975" s="7" t="s">
        <v>10442</v>
      </c>
      <c r="Q975" s="6" t="str">
        <f t="shared" si="467"/>
        <v>=5722*10000</v>
      </c>
      <c r="R975" s="11">
        <f>5722*10000</f>
        <v>57220000</v>
      </c>
      <c r="S975" s="8">
        <f t="shared" si="484"/>
        <v>1.5352237483385025</v>
      </c>
      <c r="T975" s="7" t="s">
        <v>10443</v>
      </c>
      <c r="U975" s="6" t="str">
        <f t="shared" si="468"/>
        <v>=2257*10000</v>
      </c>
      <c r="V975" s="1">
        <f>2257*10000</f>
        <v>22570000</v>
      </c>
      <c r="W975" s="8">
        <f t="shared" si="485"/>
        <v>1.1653966831017481E-2</v>
      </c>
      <c r="X975" s="7" t="s">
        <v>1210</v>
      </c>
      <c r="Y975" s="6" t="str">
        <f t="shared" si="469"/>
        <v>=2231*10000</v>
      </c>
      <c r="Z975" s="1">
        <f>2231*10000</f>
        <v>22310000</v>
      </c>
      <c r="AA975" s="8">
        <f t="shared" si="486"/>
        <v>-0.54700507614213201</v>
      </c>
      <c r="AB975" s="7" t="s">
        <v>10444</v>
      </c>
      <c r="AC975" s="6" t="str">
        <f t="shared" si="470"/>
        <v>=4925*10000</v>
      </c>
      <c r="AD975" s="1">
        <f>4925*10000</f>
        <v>49250000</v>
      </c>
      <c r="AE975" s="8">
        <f t="shared" si="487"/>
        <v>-0.13001236530648294</v>
      </c>
      <c r="AF975" s="7" t="s">
        <v>10445</v>
      </c>
      <c r="AG975" s="6" t="str">
        <f t="shared" si="471"/>
        <v>=5661*10000</v>
      </c>
      <c r="AH975" s="1">
        <f>5661*10000</f>
        <v>56610000</v>
      </c>
      <c r="AI975" s="8">
        <f t="shared" si="488"/>
        <v>-0.68567462520821765</v>
      </c>
      <c r="AJ975" s="6" t="s">
        <v>10446</v>
      </c>
      <c r="AK975" s="6" t="str">
        <f t="shared" si="472"/>
        <v>=1.801*100000000</v>
      </c>
      <c r="AL975" s="1">
        <f>1.801*100000000</f>
        <v>180100000</v>
      </c>
      <c r="AM975" s="8">
        <f t="shared" si="489"/>
        <v>7.9089275014979032E-2</v>
      </c>
      <c r="AN975" s="6" t="s">
        <v>2431</v>
      </c>
      <c r="AO975" s="6" t="str">
        <f t="shared" si="473"/>
        <v>=1.669*100000000</v>
      </c>
      <c r="AP975" s="1">
        <f>1.669*100000000</f>
        <v>166900000</v>
      </c>
      <c r="AQ975" s="8">
        <f t="shared" si="490"/>
        <v>3.7290242386575516E-2</v>
      </c>
      <c r="AR975" s="6" t="s">
        <v>3386</v>
      </c>
      <c r="AS975" s="6" t="str">
        <f t="shared" si="474"/>
        <v>=1.609*100000000</v>
      </c>
      <c r="AT975" s="1">
        <f>1.609*100000000</f>
        <v>160900000</v>
      </c>
      <c r="AU975" s="8">
        <f t="shared" si="491"/>
        <v>0.28003182179793173</v>
      </c>
      <c r="AV975" s="6" t="s">
        <v>6033</v>
      </c>
      <c r="AW975" s="6" t="str">
        <f t="shared" si="475"/>
        <v>=1.257*100000000</v>
      </c>
      <c r="AX975" s="1">
        <f>1.257*100000000</f>
        <v>125699999.99999999</v>
      </c>
      <c r="AY975" s="10">
        <f t="shared" si="492"/>
        <v>-0.41343910405972933</v>
      </c>
      <c r="AZ975" s="6" t="s">
        <v>4896</v>
      </c>
      <c r="BA975" s="6" t="str">
        <f t="shared" si="476"/>
        <v>=2.143*100000000</v>
      </c>
      <c r="BB975" s="1">
        <f>2.143*100000000</f>
        <v>214299999.99999997</v>
      </c>
      <c r="BC975" s="8">
        <f t="shared" si="493"/>
        <v>0.17039868924085183</v>
      </c>
      <c r="BD975" s="6" t="s">
        <v>4409</v>
      </c>
      <c r="BE975" s="6" t="str">
        <f t="shared" si="477"/>
        <v>=1.831*100000000</v>
      </c>
      <c r="BF975" s="1">
        <f>1.831*100000000</f>
        <v>183100000</v>
      </c>
      <c r="BG975" s="8">
        <f t="shared" si="494"/>
        <v>0.16922094508301405</v>
      </c>
      <c r="BH975" s="6" t="s">
        <v>10293</v>
      </c>
      <c r="BI975" s="6" t="str">
        <f t="shared" si="478"/>
        <v>=1.566*100000000</v>
      </c>
      <c r="BJ975" s="1">
        <f>1.566*100000000</f>
        <v>156600000</v>
      </c>
      <c r="BK975" s="6" t="s">
        <v>3516</v>
      </c>
      <c r="BL975" s="1" t="str">
        <f t="shared" si="480"/>
        <v>=1.099*100000000</v>
      </c>
      <c r="BM975" s="16">
        <f t="shared" si="495"/>
        <v>0.42493175614194723</v>
      </c>
      <c r="BN975" s="1">
        <f>1.099*100000000</f>
        <v>109900000</v>
      </c>
    </row>
    <row r="976" spans="1:66">
      <c r="A976" s="18"/>
      <c r="B976">
        <v>600785</v>
      </c>
      <c r="C976" t="s">
        <v>58</v>
      </c>
      <c r="D976" s="7" t="s">
        <v>10447</v>
      </c>
      <c r="E976" s="7" t="str">
        <f t="shared" si="479"/>
        <v>=5843*10000</v>
      </c>
      <c r="F976" s="1">
        <f>5843*10000</f>
        <v>58430000</v>
      </c>
      <c r="G976" s="8">
        <f t="shared" si="481"/>
        <v>1.4991445680068434</v>
      </c>
      <c r="H976" s="7" t="s">
        <v>10448</v>
      </c>
      <c r="I976" s="6" t="str">
        <f t="shared" si="465"/>
        <v>=2338*10000</v>
      </c>
      <c r="J976" s="1">
        <f>2338*10000</f>
        <v>23380000</v>
      </c>
      <c r="K976" s="10">
        <f t="shared" si="482"/>
        <v>-0.46191024165707711</v>
      </c>
      <c r="L976" s="7" t="s">
        <v>10449</v>
      </c>
      <c r="M976" s="6" t="str">
        <f t="shared" si="466"/>
        <v>=4345*10000</v>
      </c>
      <c r="N976" s="1">
        <f>4345*10000</f>
        <v>43450000</v>
      </c>
      <c r="O976" s="8">
        <f t="shared" si="483"/>
        <v>-0.26305970149253732</v>
      </c>
      <c r="P976" s="7" t="s">
        <v>10450</v>
      </c>
      <c r="Q976" s="6" t="str">
        <f t="shared" si="467"/>
        <v>=5896*10000</v>
      </c>
      <c r="R976" s="11">
        <f>5896*10000</f>
        <v>58960000</v>
      </c>
      <c r="S976" s="8">
        <f t="shared" si="484"/>
        <v>0.35415709692237024</v>
      </c>
      <c r="T976" s="7" t="s">
        <v>10451</v>
      </c>
      <c r="U976" s="6" t="str">
        <f t="shared" si="468"/>
        <v>=4354*10000</v>
      </c>
      <c r="V976" s="1">
        <f>4354*10000</f>
        <v>43540000</v>
      </c>
      <c r="W976" s="8">
        <f t="shared" si="485"/>
        <v>0.42334096109839819</v>
      </c>
      <c r="X976" s="7" t="s">
        <v>10452</v>
      </c>
      <c r="Y976" s="6" t="str">
        <f t="shared" si="469"/>
        <v>=3059*10000</v>
      </c>
      <c r="Z976" s="1">
        <f>3059*10000</f>
        <v>30590000</v>
      </c>
      <c r="AA976" s="8">
        <f t="shared" si="486"/>
        <v>-0.3996074582924436</v>
      </c>
      <c r="AB976" s="7" t="s">
        <v>10453</v>
      </c>
      <c r="AC976" s="6" t="str">
        <f t="shared" si="470"/>
        <v>=5095*10000</v>
      </c>
      <c r="AD976" s="1">
        <f>5095*10000</f>
        <v>50950000</v>
      </c>
      <c r="AE976" s="8">
        <f t="shared" si="487"/>
        <v>-0.11004366812227075</v>
      </c>
      <c r="AF976" s="7" t="s">
        <v>10454</v>
      </c>
      <c r="AG976" s="6" t="str">
        <f t="shared" si="471"/>
        <v>=5725*10000</v>
      </c>
      <c r="AH976" s="1">
        <f>5725*10000</f>
        <v>57250000</v>
      </c>
      <c r="AI976" s="8">
        <f t="shared" si="488"/>
        <v>-0.72982538933459185</v>
      </c>
      <c r="AJ976" s="6" t="s">
        <v>9277</v>
      </c>
      <c r="AK976" s="6" t="str">
        <f t="shared" si="472"/>
        <v>=2.119*100000000</v>
      </c>
      <c r="AL976" s="1">
        <f>2.119*100000000</f>
        <v>211900000.00000003</v>
      </c>
      <c r="AM976" s="8">
        <f t="shared" si="489"/>
        <v>7.2368421052631735E-2</v>
      </c>
      <c r="AN976" s="6" t="s">
        <v>8158</v>
      </c>
      <c r="AO976" s="6" t="str">
        <f t="shared" si="473"/>
        <v>=1.976*100000000</v>
      </c>
      <c r="AP976" s="1">
        <f>1.976*100000000</f>
        <v>197600000</v>
      </c>
      <c r="AQ976" s="8">
        <f t="shared" si="490"/>
        <v>3.3472803347280332E-2</v>
      </c>
      <c r="AR976" s="6" t="s">
        <v>3789</v>
      </c>
      <c r="AS976" s="6" t="str">
        <f t="shared" si="474"/>
        <v>=1.912*100000000</v>
      </c>
      <c r="AT976" s="1">
        <f>1.912*100000000</f>
        <v>191200000</v>
      </c>
      <c r="AU976" s="8">
        <f t="shared" si="491"/>
        <v>0.49141965678627147</v>
      </c>
      <c r="AV976" s="6" t="s">
        <v>138</v>
      </c>
      <c r="AW976" s="6" t="str">
        <f t="shared" si="475"/>
        <v>=1.282*100000000</v>
      </c>
      <c r="AX976" s="1">
        <f>1.282*100000000</f>
        <v>128200000</v>
      </c>
      <c r="AY976" s="10">
        <f t="shared" si="492"/>
        <v>-0.20422098075729361</v>
      </c>
      <c r="AZ976" s="6" t="s">
        <v>7271</v>
      </c>
      <c r="BA976" s="6" t="str">
        <f t="shared" si="476"/>
        <v>=1.611*100000000</v>
      </c>
      <c r="BB976" s="1">
        <f>1.611*100000000</f>
        <v>161100000</v>
      </c>
      <c r="BC976" s="8">
        <f t="shared" si="493"/>
        <v>-0.15654450261780103</v>
      </c>
      <c r="BD976" s="6" t="s">
        <v>8268</v>
      </c>
      <c r="BE976" s="6" t="str">
        <f t="shared" si="477"/>
        <v>=1.910*100000000</v>
      </c>
      <c r="BF976" s="1">
        <f>1.91*100000000</f>
        <v>191000000</v>
      </c>
      <c r="BG976" s="8">
        <f t="shared" si="494"/>
        <v>0.17755856966707767</v>
      </c>
      <c r="BH976" s="6" t="s">
        <v>2912</v>
      </c>
      <c r="BI976" s="6" t="str">
        <f t="shared" si="478"/>
        <v>=1.622*100000000</v>
      </c>
      <c r="BJ976" s="1">
        <f>1.622*100000000</f>
        <v>162200000</v>
      </c>
      <c r="BK976" s="6" t="s">
        <v>7002</v>
      </c>
      <c r="BL976" s="1" t="str">
        <f t="shared" si="480"/>
        <v>=1.135*100000000</v>
      </c>
      <c r="BM976" s="16">
        <f t="shared" si="495"/>
        <v>0.42907488986784142</v>
      </c>
      <c r="BN976" s="1">
        <f>1.135*100000000</f>
        <v>113500000</v>
      </c>
    </row>
    <row r="977" spans="1:66">
      <c r="A977" s="19"/>
      <c r="B977">
        <v>600785</v>
      </c>
      <c r="C977" t="s">
        <v>68</v>
      </c>
      <c r="D977" s="7" t="s">
        <v>10455</v>
      </c>
      <c r="E977" s="7" t="str">
        <f t="shared" si="479"/>
        <v>=2336*10000</v>
      </c>
      <c r="F977" s="1">
        <f>2336*10000</f>
        <v>23360000</v>
      </c>
      <c r="G977" s="8">
        <f t="shared" si="481"/>
        <v>4.1205611573871108</v>
      </c>
      <c r="H977" s="7" t="s">
        <v>10456</v>
      </c>
      <c r="I977" s="6" t="str">
        <f t="shared" si="465"/>
        <v>=456.2*10000</v>
      </c>
      <c r="J977" s="1">
        <f>456.2*10000</f>
        <v>4562000</v>
      </c>
      <c r="K977" s="10">
        <f t="shared" si="482"/>
        <v>-0.81295612956129559</v>
      </c>
      <c r="L977" s="7" t="s">
        <v>8886</v>
      </c>
      <c r="M977" s="6" t="str">
        <f t="shared" si="466"/>
        <v>=2439*10000</v>
      </c>
      <c r="N977" s="1">
        <f>2439*10000</f>
        <v>24390000</v>
      </c>
      <c r="O977" s="8">
        <f t="shared" si="483"/>
        <v>-0.44123711340206184</v>
      </c>
      <c r="P977" s="7" t="s">
        <v>10457</v>
      </c>
      <c r="Q977" s="6" t="str">
        <f t="shared" si="467"/>
        <v>=4365*10000</v>
      </c>
      <c r="R977" s="11">
        <f>4365*10000</f>
        <v>43650000</v>
      </c>
      <c r="S977" s="8">
        <f t="shared" si="484"/>
        <v>1.2419106317411401</v>
      </c>
      <c r="T977" s="7" t="s">
        <v>10458</v>
      </c>
      <c r="U977" s="6" t="str">
        <f t="shared" si="468"/>
        <v>=1947*10000</v>
      </c>
      <c r="V977" s="1">
        <f>1947*10000</f>
        <v>19470000</v>
      </c>
      <c r="W977" s="8">
        <f t="shared" si="485"/>
        <v>0.18358662613981763</v>
      </c>
      <c r="X977" s="7" t="s">
        <v>10459</v>
      </c>
      <c r="Y977" s="6" t="str">
        <f t="shared" si="469"/>
        <v>=1645*10000</v>
      </c>
      <c r="Z977" s="1">
        <f>1645*10000</f>
        <v>16450000</v>
      </c>
      <c r="AA977" s="8">
        <f t="shared" si="486"/>
        <v>-0.58259325044404975</v>
      </c>
      <c r="AB977" s="7" t="s">
        <v>7041</v>
      </c>
      <c r="AC977" s="6" t="str">
        <f t="shared" si="470"/>
        <v>=3941*10000</v>
      </c>
      <c r="AD977" s="1">
        <f>3941*10000</f>
        <v>39410000</v>
      </c>
      <c r="AE977" s="8">
        <f t="shared" si="487"/>
        <v>-0.17223272421760136</v>
      </c>
      <c r="AF977" s="7" t="s">
        <v>10460</v>
      </c>
      <c r="AG977" s="6" t="str">
        <f t="shared" si="471"/>
        <v>=4761*10000</v>
      </c>
      <c r="AH977" s="1">
        <f>4761*10000</f>
        <v>47610000</v>
      </c>
      <c r="AI977" s="8">
        <f t="shared" si="488"/>
        <v>-0.69461193072482363</v>
      </c>
      <c r="AJ977" s="6" t="s">
        <v>2870</v>
      </c>
      <c r="AK977" s="6" t="str">
        <f t="shared" si="472"/>
        <v>=1.559*100000000</v>
      </c>
      <c r="AL977" s="1">
        <f>1.559*100000000</f>
        <v>155900000</v>
      </c>
      <c r="AM977" s="8">
        <f t="shared" si="489"/>
        <v>2.2965879265091863E-2</v>
      </c>
      <c r="AN977" s="6" t="s">
        <v>10461</v>
      </c>
      <c r="AO977" s="6" t="str">
        <f t="shared" si="473"/>
        <v>=1.524*100000000</v>
      </c>
      <c r="AP977" s="1">
        <f>1.524*100000000</f>
        <v>152400000</v>
      </c>
      <c r="AQ977" s="8">
        <f t="shared" si="490"/>
        <v>-9.7465886939571145E-3</v>
      </c>
      <c r="AR977" s="6" t="s">
        <v>10029</v>
      </c>
      <c r="AS977" s="6" t="str">
        <f t="shared" si="474"/>
        <v>=1.539*100000000</v>
      </c>
      <c r="AT977" s="1">
        <f>1.539*100000000</f>
        <v>153900000</v>
      </c>
      <c r="AU977" s="8">
        <f t="shared" si="491"/>
        <v>0.43429636533084809</v>
      </c>
      <c r="AV977" s="6" t="s">
        <v>2110</v>
      </c>
      <c r="AW977" s="6" t="str">
        <f t="shared" si="475"/>
        <v>=1.073*100000000</v>
      </c>
      <c r="AX977" s="1">
        <f>1.073*100000000</f>
        <v>107300000</v>
      </c>
      <c r="AY977" s="10">
        <f t="shared" si="492"/>
        <v>-4.5373665480427171E-2</v>
      </c>
      <c r="AZ977" s="6" t="s">
        <v>6891</v>
      </c>
      <c r="BA977" s="6" t="str">
        <f t="shared" si="476"/>
        <v>=1.124*100000000</v>
      </c>
      <c r="BB977" s="1">
        <f>1.124*100000000</f>
        <v>112400000.00000001</v>
      </c>
      <c r="BC977" s="8">
        <f t="shared" si="493"/>
        <v>-0.22855181880576517</v>
      </c>
      <c r="BD977" s="6" t="s">
        <v>10462</v>
      </c>
      <c r="BE977" s="6" t="str">
        <f t="shared" si="477"/>
        <v>=1.457*100000000</v>
      </c>
      <c r="BF977" s="1">
        <f>1.457*100000000</f>
        <v>145700000</v>
      </c>
      <c r="BG977" s="8">
        <f t="shared" si="494"/>
        <v>0.15634920634920635</v>
      </c>
      <c r="BH977" s="6" t="s">
        <v>6386</v>
      </c>
      <c r="BI977" s="6" t="str">
        <f t="shared" si="478"/>
        <v>=1.260*100000000</v>
      </c>
      <c r="BJ977" s="1">
        <f>1.26*100000000</f>
        <v>126000000</v>
      </c>
      <c r="BK977" s="7" t="s">
        <v>10463</v>
      </c>
      <c r="BL977" s="1" t="str">
        <f t="shared" si="480"/>
        <v>=9083*10000</v>
      </c>
      <c r="BM977" s="16">
        <f t="shared" si="495"/>
        <v>0.38720686997687986</v>
      </c>
      <c r="BN977" s="1">
        <f>9083*10000</f>
        <v>90830000</v>
      </c>
    </row>
    <row r="978" spans="1:66">
      <c r="A978" s="17">
        <v>246</v>
      </c>
      <c r="B978">
        <v>600787</v>
      </c>
      <c r="C978" t="s">
        <v>31</v>
      </c>
      <c r="D978" s="6" t="s">
        <v>10464</v>
      </c>
      <c r="E978" s="7" t="str">
        <f t="shared" si="479"/>
        <v>=752.3*100000000</v>
      </c>
      <c r="F978" s="1">
        <f>752.3*100000000</f>
        <v>75230000000</v>
      </c>
      <c r="G978" s="8">
        <f t="shared" si="481"/>
        <v>0.40827405466117539</v>
      </c>
      <c r="H978" s="6" t="s">
        <v>10465</v>
      </c>
      <c r="I978" s="6" t="str">
        <f t="shared" si="465"/>
        <v>=534.2*100000000</v>
      </c>
      <c r="J978" s="1">
        <f>534.2*100000000</f>
        <v>53420000000.000008</v>
      </c>
      <c r="K978" s="10">
        <f t="shared" si="482"/>
        <v>0.61243585873830386</v>
      </c>
      <c r="L978" s="6" t="s">
        <v>10466</v>
      </c>
      <c r="M978" s="6" t="str">
        <f t="shared" si="466"/>
        <v>=331.3*100000000</v>
      </c>
      <c r="N978" s="1">
        <f>331.3*100000000</f>
        <v>33130000000</v>
      </c>
      <c r="O978" s="8">
        <f t="shared" si="483"/>
        <v>1.513657056145675</v>
      </c>
      <c r="P978" s="6" t="s">
        <v>2410</v>
      </c>
      <c r="Q978" s="6" t="str">
        <f t="shared" si="467"/>
        <v>=131.8*100000000</v>
      </c>
      <c r="R978" s="11">
        <f>131.8*100000000</f>
        <v>13180000000.000002</v>
      </c>
      <c r="S978" s="8">
        <f t="shared" si="484"/>
        <v>-0.73002867677181482</v>
      </c>
      <c r="T978" s="6" t="s">
        <v>10467</v>
      </c>
      <c r="U978" s="6" t="str">
        <f t="shared" si="468"/>
        <v>=488.2*100000000</v>
      </c>
      <c r="V978" s="1">
        <f>488.2*100000000</f>
        <v>48820000000</v>
      </c>
      <c r="W978" s="8">
        <f t="shared" si="485"/>
        <v>0.46782922429344542</v>
      </c>
      <c r="X978" s="6" t="s">
        <v>10468</v>
      </c>
      <c r="Y978" s="6" t="str">
        <f t="shared" si="469"/>
        <v>=332.6*100000000</v>
      </c>
      <c r="Z978" s="1">
        <f>332.6*100000000</f>
        <v>33260000000.000004</v>
      </c>
      <c r="AA978" s="8">
        <f t="shared" si="486"/>
        <v>0.69693877551020422</v>
      </c>
      <c r="AB978" s="6" t="s">
        <v>4693</v>
      </c>
      <c r="AC978" s="6" t="str">
        <f t="shared" si="470"/>
        <v>=196.0*100000000</v>
      </c>
      <c r="AD978" s="1">
        <f>196*100000000</f>
        <v>19600000000</v>
      </c>
      <c r="AE978" s="8">
        <f t="shared" si="487"/>
        <v>1.6482907715173623</v>
      </c>
      <c r="AF978" s="6" t="s">
        <v>6088</v>
      </c>
      <c r="AG978" s="6" t="str">
        <f t="shared" si="471"/>
        <v>=74.01*100000000</v>
      </c>
      <c r="AH978" s="1">
        <f>74.01*100000000</f>
        <v>7401000000.000001</v>
      </c>
      <c r="AI978" s="8">
        <f t="shared" si="488"/>
        <v>-0.81662537165510407</v>
      </c>
      <c r="AJ978" s="6" t="s">
        <v>10469</v>
      </c>
      <c r="AK978" s="6" t="str">
        <f t="shared" si="472"/>
        <v>=403.6*100000000</v>
      </c>
      <c r="AL978" s="1">
        <f>403.6*100000000</f>
        <v>40360000000</v>
      </c>
      <c r="AM978" s="8">
        <f t="shared" si="489"/>
        <v>0.21419975932611326</v>
      </c>
      <c r="AN978" s="6" t="s">
        <v>10470</v>
      </c>
      <c r="AO978" s="6" t="str">
        <f t="shared" si="473"/>
        <v>=332.4*100000000</v>
      </c>
      <c r="AP978" s="1">
        <f>332.4*100000000</f>
        <v>33239999999.999996</v>
      </c>
      <c r="AQ978" s="8">
        <f t="shared" si="490"/>
        <v>0.55690866510538628</v>
      </c>
      <c r="AR978" s="6" t="s">
        <v>10471</v>
      </c>
      <c r="AS978" s="6" t="str">
        <f t="shared" si="474"/>
        <v>=213.5*100000000</v>
      </c>
      <c r="AT978" s="1">
        <f>213.5*100000000</f>
        <v>21350000000</v>
      </c>
      <c r="AU978" s="8">
        <f t="shared" si="491"/>
        <v>1.150700110808905</v>
      </c>
      <c r="AV978" s="6" t="s">
        <v>10472</v>
      </c>
      <c r="AW978" s="6" t="str">
        <f t="shared" si="475"/>
        <v>=99.27*100000000</v>
      </c>
      <c r="AX978" s="1">
        <f>99.27*100000000</f>
        <v>9927000000</v>
      </c>
      <c r="AY978" s="10">
        <f t="shared" si="492"/>
        <v>-0.70820105820105816</v>
      </c>
      <c r="AZ978" s="6" t="s">
        <v>10473</v>
      </c>
      <c r="BA978" s="6" t="str">
        <f t="shared" si="476"/>
        <v>=340.2*100000000</v>
      </c>
      <c r="BB978" s="1">
        <f>340.2*100000000</f>
        <v>34020000000</v>
      </c>
      <c r="BC978" s="8">
        <f t="shared" si="493"/>
        <v>0.24115286391827784</v>
      </c>
      <c r="BD978" s="6" t="s">
        <v>10474</v>
      </c>
      <c r="BE978" s="6" t="str">
        <f t="shared" si="477"/>
        <v>=274.1*100000000</v>
      </c>
      <c r="BF978" s="1">
        <f>274.1*100000000</f>
        <v>27410000000.000004</v>
      </c>
      <c r="BG978" s="8">
        <f t="shared" si="494"/>
        <v>0.56807780320366152</v>
      </c>
      <c r="BH978" s="6" t="s">
        <v>10475</v>
      </c>
      <c r="BI978" s="6" t="str">
        <f t="shared" si="478"/>
        <v>=174.8*100000000</v>
      </c>
      <c r="BJ978" s="1">
        <f>174.8*100000000</f>
        <v>17480000000</v>
      </c>
      <c r="BK978" s="6" t="s">
        <v>9166</v>
      </c>
      <c r="BL978" s="1" t="str">
        <f t="shared" si="480"/>
        <v>=71.68*100000000</v>
      </c>
      <c r="BM978" s="16">
        <f t="shared" si="495"/>
        <v>1.4386160714285712</v>
      </c>
      <c r="BN978" s="1">
        <f>71.68*100000000</f>
        <v>7168000000.000001</v>
      </c>
    </row>
    <row r="979" spans="1:66">
      <c r="A979" s="18"/>
      <c r="B979">
        <v>600787</v>
      </c>
      <c r="C979" t="s">
        <v>48</v>
      </c>
      <c r="D979" s="6" t="s">
        <v>10476</v>
      </c>
      <c r="E979" s="7" t="str">
        <f t="shared" si="479"/>
        <v>=8.971*100000000</v>
      </c>
      <c r="F979" s="1">
        <f>8.971*100000000</f>
        <v>897100000</v>
      </c>
      <c r="G979" s="8">
        <f t="shared" si="481"/>
        <v>0.22621651175505741</v>
      </c>
      <c r="H979" s="6" t="s">
        <v>3742</v>
      </c>
      <c r="I979" s="6" t="str">
        <f t="shared" si="465"/>
        <v>=7.316*100000000</v>
      </c>
      <c r="J979" s="1">
        <f>7.316*100000000</f>
        <v>731600000</v>
      </c>
      <c r="K979" s="10">
        <f t="shared" si="482"/>
        <v>2.595085995085995</v>
      </c>
      <c r="L979" s="6" t="s">
        <v>2863</v>
      </c>
      <c r="M979" s="6" t="str">
        <f t="shared" si="466"/>
        <v>=2.035*100000000</v>
      </c>
      <c r="N979" s="1">
        <f>2.035*100000000</f>
        <v>203500000</v>
      </c>
      <c r="O979" s="8">
        <f t="shared" si="483"/>
        <v>1.7021643871995751</v>
      </c>
      <c r="P979" s="7" t="s">
        <v>10477</v>
      </c>
      <c r="Q979" s="6" t="str">
        <f t="shared" si="467"/>
        <v>=7531*10000</v>
      </c>
      <c r="R979" s="11">
        <f>7531*10000</f>
        <v>75310000</v>
      </c>
      <c r="S979" s="8">
        <f t="shared" si="484"/>
        <v>-0.91129564193168433</v>
      </c>
      <c r="T979" s="6" t="s">
        <v>10478</v>
      </c>
      <c r="U979" s="6" t="str">
        <f t="shared" si="468"/>
        <v>=8.490*100000000</v>
      </c>
      <c r="V979" s="1">
        <f>8.49*100000000</f>
        <v>849000000</v>
      </c>
      <c r="W979" s="8">
        <f t="shared" si="485"/>
        <v>3.2663316582914574</v>
      </c>
      <c r="X979" s="6" t="s">
        <v>5327</v>
      </c>
      <c r="Y979" s="6" t="str">
        <f t="shared" si="469"/>
        <v>=1.990*100000000</v>
      </c>
      <c r="Z979" s="1">
        <f>1.99*100000000</f>
        <v>199000000</v>
      </c>
      <c r="AA979" s="8">
        <f t="shared" si="486"/>
        <v>0.66248955722639935</v>
      </c>
      <c r="AB979" s="6" t="s">
        <v>3933</v>
      </c>
      <c r="AC979" s="6" t="str">
        <f t="shared" si="470"/>
        <v>=1.197*100000000</v>
      </c>
      <c r="AD979" s="1">
        <f>1.197*100000000</f>
        <v>119700000</v>
      </c>
      <c r="AE979" s="8">
        <f t="shared" si="487"/>
        <v>7.1207598371777472</v>
      </c>
      <c r="AF979" s="7" t="s">
        <v>3298</v>
      </c>
      <c r="AG979" s="6" t="str">
        <f t="shared" si="471"/>
        <v>=1474*10000</v>
      </c>
      <c r="AH979" s="1">
        <f>1474*10000</f>
        <v>14740000</v>
      </c>
      <c r="AI979" s="8">
        <f t="shared" si="488"/>
        <v>-0.97235558889722429</v>
      </c>
      <c r="AJ979" s="6" t="s">
        <v>10479</v>
      </c>
      <c r="AK979" s="6" t="str">
        <f t="shared" si="472"/>
        <v>=5.332*100000000</v>
      </c>
      <c r="AL979" s="1">
        <f>5.332*100000000</f>
        <v>533200000</v>
      </c>
      <c r="AM979" s="8">
        <f t="shared" si="489"/>
        <v>0.52082144894466631</v>
      </c>
      <c r="AN979" s="6" t="s">
        <v>10480</v>
      </c>
      <c r="AO979" s="6" t="str">
        <f t="shared" si="473"/>
        <v>=3.506*100000000</v>
      </c>
      <c r="AP979" s="1">
        <f>3.506*100000000</f>
        <v>350600000</v>
      </c>
      <c r="AQ979" s="8">
        <f t="shared" si="490"/>
        <v>0.3808586057502954</v>
      </c>
      <c r="AR979" s="6" t="s">
        <v>2660</v>
      </c>
      <c r="AS979" s="6" t="str">
        <f t="shared" si="474"/>
        <v>=2.539*100000000</v>
      </c>
      <c r="AT979" s="1">
        <f>2.539*100000000</f>
        <v>253900000</v>
      </c>
      <c r="AU979" s="8">
        <f t="shared" si="491"/>
        <v>11.934284258787571</v>
      </c>
      <c r="AV979" s="7" t="s">
        <v>10481</v>
      </c>
      <c r="AW979" s="6" t="str">
        <f t="shared" si="475"/>
        <v>=1963*10000</v>
      </c>
      <c r="AX979" s="1">
        <f>1963*10000</f>
        <v>19630000</v>
      </c>
      <c r="AY979" s="10">
        <f t="shared" si="492"/>
        <v>-0.96403444485159395</v>
      </c>
      <c r="AZ979" s="6" t="s">
        <v>10482</v>
      </c>
      <c r="BA979" s="6" t="str">
        <f t="shared" si="476"/>
        <v>=5.458*100000000</v>
      </c>
      <c r="BB979" s="1">
        <f>5.458*100000000</f>
        <v>545800000</v>
      </c>
      <c r="BC979" s="8">
        <f t="shared" si="493"/>
        <v>3.4016129032258067</v>
      </c>
      <c r="BD979" s="6" t="s">
        <v>10483</v>
      </c>
      <c r="BE979" s="6" t="str">
        <f t="shared" si="477"/>
        <v>=1.240*100000000</v>
      </c>
      <c r="BF979" s="1">
        <f>1.24*100000000</f>
        <v>124000000</v>
      </c>
      <c r="BG979" s="8">
        <f t="shared" si="494"/>
        <v>-0.21618204804045513</v>
      </c>
      <c r="BH979" s="6" t="s">
        <v>9999</v>
      </c>
      <c r="BI979" s="6" t="str">
        <f t="shared" si="478"/>
        <v>=1.582*100000000</v>
      </c>
      <c r="BJ979" s="1">
        <f>1.582*100000000</f>
        <v>158200000</v>
      </c>
      <c r="BK979" s="7" t="s">
        <v>10484</v>
      </c>
      <c r="BL979" s="1" t="str">
        <f t="shared" si="480"/>
        <v>=1023*10000</v>
      </c>
      <c r="BM979" s="16">
        <f t="shared" si="495"/>
        <v>14.464320625610949</v>
      </c>
      <c r="BN979" s="1">
        <f>1023*10000</f>
        <v>10230000</v>
      </c>
    </row>
    <row r="980" spans="1:66">
      <c r="A980" s="18"/>
      <c r="B980">
        <v>600787</v>
      </c>
      <c r="C980" t="s">
        <v>58</v>
      </c>
      <c r="D980" s="6" t="s">
        <v>3619</v>
      </c>
      <c r="E980" s="7" t="str">
        <f t="shared" si="479"/>
        <v>=9.888*100000000</v>
      </c>
      <c r="F980" s="1">
        <f>9.888*100000000</f>
        <v>988800000</v>
      </c>
      <c r="G980" s="8">
        <f t="shared" si="481"/>
        <v>0.35229759299781183</v>
      </c>
      <c r="H980" s="6" t="s">
        <v>10485</v>
      </c>
      <c r="I980" s="6" t="str">
        <f t="shared" si="465"/>
        <v>=7.312*100000000</v>
      </c>
      <c r="J980" s="1">
        <f>7.312*100000000</f>
        <v>731200000</v>
      </c>
      <c r="K980" s="10">
        <f t="shared" si="482"/>
        <v>2.5103216514642339</v>
      </c>
      <c r="L980" s="6" t="s">
        <v>8460</v>
      </c>
      <c r="M980" s="6" t="str">
        <f t="shared" si="466"/>
        <v>=2.083*100000000</v>
      </c>
      <c r="N980" s="1">
        <f>2.083*100000000</f>
        <v>208300000.00000003</v>
      </c>
      <c r="O980" s="8">
        <f t="shared" si="483"/>
        <v>1.7386273994215098</v>
      </c>
      <c r="P980" s="7" t="s">
        <v>10486</v>
      </c>
      <c r="Q980" s="6" t="str">
        <f t="shared" si="467"/>
        <v>=7606*10000</v>
      </c>
      <c r="R980" s="11">
        <f>7606*10000</f>
        <v>76060000</v>
      </c>
      <c r="S980" s="8">
        <f t="shared" si="484"/>
        <v>-0.90005256241787124</v>
      </c>
      <c r="T980" s="6" t="s">
        <v>10487</v>
      </c>
      <c r="U980" s="6" t="str">
        <f t="shared" si="468"/>
        <v>=7.610*100000000</v>
      </c>
      <c r="V980" s="1">
        <f>7.61*100000000</f>
        <v>761000000</v>
      </c>
      <c r="W980" s="8">
        <f t="shared" si="485"/>
        <v>1.2791254866726565</v>
      </c>
      <c r="X980" s="6" t="s">
        <v>10488</v>
      </c>
      <c r="Y980" s="6" t="str">
        <f t="shared" si="469"/>
        <v>=3.339*100000000</v>
      </c>
      <c r="Z980" s="1">
        <f>3.339*100000000</f>
        <v>333900000</v>
      </c>
      <c r="AA980" s="8">
        <f t="shared" si="486"/>
        <v>1.5783783783783785</v>
      </c>
      <c r="AB980" s="6" t="s">
        <v>10489</v>
      </c>
      <c r="AC980" s="6" t="str">
        <f t="shared" si="470"/>
        <v>=1.295*100000000</v>
      </c>
      <c r="AD980" s="1">
        <f>1.295*100000000</f>
        <v>129500000</v>
      </c>
      <c r="AE980" s="8">
        <f t="shared" si="487"/>
        <v>7.8820301783264748</v>
      </c>
      <c r="AF980" s="7" t="s">
        <v>9956</v>
      </c>
      <c r="AG980" s="6" t="str">
        <f t="shared" si="471"/>
        <v>=1458*10000</v>
      </c>
      <c r="AH980" s="1">
        <f>1458*10000</f>
        <v>14580000</v>
      </c>
      <c r="AI980" s="8">
        <f t="shared" si="488"/>
        <v>-0.95560292326431184</v>
      </c>
      <c r="AJ980" s="6" t="s">
        <v>10490</v>
      </c>
      <c r="AK980" s="6" t="str">
        <f t="shared" si="472"/>
        <v>=3.284*100000000</v>
      </c>
      <c r="AL980" s="1">
        <f>3.284*100000000</f>
        <v>328400000</v>
      </c>
      <c r="AM980" s="8">
        <f t="shared" si="489"/>
        <v>9.7226862679585704E-2</v>
      </c>
      <c r="AN980" s="6" t="s">
        <v>9242</v>
      </c>
      <c r="AO980" s="6" t="str">
        <f t="shared" si="473"/>
        <v>=2.993*100000000</v>
      </c>
      <c r="AP980" s="1">
        <f>2.993*100000000</f>
        <v>299300000</v>
      </c>
      <c r="AQ980" s="8">
        <f t="shared" si="490"/>
        <v>0.56210855949895611</v>
      </c>
      <c r="AR980" s="6" t="s">
        <v>5160</v>
      </c>
      <c r="AS980" s="6" t="str">
        <f t="shared" si="474"/>
        <v>=1.916*100000000</v>
      </c>
      <c r="AT980" s="1">
        <f>1.916*100000000</f>
        <v>191600000</v>
      </c>
      <c r="AU980" s="8">
        <f t="shared" si="491"/>
        <v>5.4598786244099795</v>
      </c>
      <c r="AV980" s="7" t="s">
        <v>7739</v>
      </c>
      <c r="AW980" s="6" t="str">
        <f t="shared" si="475"/>
        <v>=2966*10000</v>
      </c>
      <c r="AX980" s="1">
        <f>2966*10000</f>
        <v>29660000</v>
      </c>
      <c r="AY980" s="10">
        <f t="shared" si="492"/>
        <v>-0.95232277768847451</v>
      </c>
      <c r="AZ980" s="6" t="s">
        <v>10491</v>
      </c>
      <c r="BA980" s="6" t="str">
        <f t="shared" si="476"/>
        <v>=6.221*100000000</v>
      </c>
      <c r="BB980" s="1">
        <f>6.221*100000000</f>
        <v>622100000</v>
      </c>
      <c r="BC980" s="8">
        <f t="shared" si="493"/>
        <v>5.8961312493071718</v>
      </c>
      <c r="BD980" s="7" t="s">
        <v>10391</v>
      </c>
      <c r="BE980" s="6" t="str">
        <f t="shared" si="477"/>
        <v>=9021*10000</v>
      </c>
      <c r="BF980" s="1">
        <f>9021*10000</f>
        <v>90210000</v>
      </c>
      <c r="BG980" s="8">
        <f t="shared" si="494"/>
        <v>-0.17465690759377858</v>
      </c>
      <c r="BH980" s="6" t="s">
        <v>10492</v>
      </c>
      <c r="BI980" s="6" t="str">
        <f t="shared" si="478"/>
        <v>=1.093*100000000</v>
      </c>
      <c r="BJ980" s="1">
        <f>1.093*100000000</f>
        <v>109300000</v>
      </c>
      <c r="BK980" s="7" t="s">
        <v>7867</v>
      </c>
      <c r="BL980" s="1" t="str">
        <f t="shared" si="480"/>
        <v>=1371*10000</v>
      </c>
      <c r="BM980" s="16">
        <f t="shared" si="495"/>
        <v>6.972283005105762</v>
      </c>
      <c r="BN980" s="1">
        <f>1371*10000</f>
        <v>13710000</v>
      </c>
    </row>
    <row r="981" spans="1:66">
      <c r="A981" s="19"/>
      <c r="B981">
        <v>600787</v>
      </c>
      <c r="C981" t="s">
        <v>68</v>
      </c>
      <c r="D981" s="6" t="s">
        <v>10493</v>
      </c>
      <c r="E981" s="7" t="str">
        <f t="shared" si="479"/>
        <v>=8.057*100000000</v>
      </c>
      <c r="F981" s="1">
        <f>8.057*100000000</f>
        <v>805700000</v>
      </c>
      <c r="G981" s="8">
        <f t="shared" si="481"/>
        <v>0.48434045689019894</v>
      </c>
      <c r="H981" s="6" t="s">
        <v>10494</v>
      </c>
      <c r="I981" s="6" t="str">
        <f t="shared" si="465"/>
        <v>=5.428*100000000</v>
      </c>
      <c r="J981" s="1">
        <f>5.428*100000000</f>
        <v>542800000</v>
      </c>
      <c r="K981" s="10">
        <f t="shared" si="482"/>
        <v>2.4181360201511337</v>
      </c>
      <c r="L981" s="6" t="s">
        <v>2207</v>
      </c>
      <c r="M981" s="6" t="str">
        <f t="shared" si="466"/>
        <v>=1.588*100000000</v>
      </c>
      <c r="N981" s="1">
        <f>1.588*100000000</f>
        <v>158800000</v>
      </c>
      <c r="O981" s="8">
        <f t="shared" si="483"/>
        <v>1.8742081447963801</v>
      </c>
      <c r="P981" s="7" t="s">
        <v>10495</v>
      </c>
      <c r="Q981" s="6" t="str">
        <f t="shared" si="467"/>
        <v>=5525*10000</v>
      </c>
      <c r="R981" s="11">
        <f>5525*10000</f>
        <v>55250000</v>
      </c>
      <c r="S981" s="8">
        <f t="shared" si="484"/>
        <v>-0.89890210430009154</v>
      </c>
      <c r="T981" s="6" t="s">
        <v>10496</v>
      </c>
      <c r="U981" s="6" t="str">
        <f t="shared" si="468"/>
        <v>=5.465*100000000</v>
      </c>
      <c r="V981" s="1">
        <f>5.465*100000000</f>
        <v>546500000</v>
      </c>
      <c r="W981" s="8">
        <f t="shared" si="485"/>
        <v>1.0819047619047619</v>
      </c>
      <c r="X981" s="6" t="s">
        <v>10497</v>
      </c>
      <c r="Y981" s="6" t="str">
        <f t="shared" si="469"/>
        <v>=2.625*100000000</v>
      </c>
      <c r="Z981" s="1">
        <f>2.625*100000000</f>
        <v>262500000</v>
      </c>
      <c r="AA981" s="8">
        <f t="shared" si="486"/>
        <v>1.6067527308838137</v>
      </c>
      <c r="AB981" s="6" t="s">
        <v>2125</v>
      </c>
      <c r="AC981" s="6" t="str">
        <f t="shared" si="470"/>
        <v>=1.007*100000000</v>
      </c>
      <c r="AD981" s="1">
        <f>1.007*100000000</f>
        <v>100699999.99999999</v>
      </c>
      <c r="AE981" s="8">
        <f t="shared" si="487"/>
        <v>8.6455938697317993</v>
      </c>
      <c r="AF981" s="7" t="s">
        <v>8361</v>
      </c>
      <c r="AG981" s="6" t="str">
        <f t="shared" si="471"/>
        <v>=1044*10000</v>
      </c>
      <c r="AH981" s="1">
        <f>1044*10000</f>
        <v>10440000</v>
      </c>
      <c r="AI981" s="8">
        <f t="shared" si="488"/>
        <v>-0.95478562148116064</v>
      </c>
      <c r="AJ981" s="6" t="s">
        <v>10498</v>
      </c>
      <c r="AK981" s="6" t="str">
        <f t="shared" si="472"/>
        <v>=2.309*100000000</v>
      </c>
      <c r="AL981" s="1">
        <f>2.309*100000000</f>
        <v>230900000.00000003</v>
      </c>
      <c r="AM981" s="8">
        <f t="shared" si="489"/>
        <v>2.258635961027471E-2</v>
      </c>
      <c r="AN981" s="6" t="s">
        <v>10499</v>
      </c>
      <c r="AO981" s="6" t="str">
        <f t="shared" si="473"/>
        <v>=2.258*100000000</v>
      </c>
      <c r="AP981" s="1">
        <f>2.258*100000000</f>
        <v>225800000</v>
      </c>
      <c r="AQ981" s="8">
        <f t="shared" si="490"/>
        <v>0.51645399597044994</v>
      </c>
      <c r="AR981" s="6" t="s">
        <v>5850</v>
      </c>
      <c r="AS981" s="6" t="str">
        <f t="shared" si="474"/>
        <v>=1.489*100000000</v>
      </c>
      <c r="AT981" s="1">
        <f>1.489*100000000</f>
        <v>148900000</v>
      </c>
      <c r="AU981" s="8">
        <f t="shared" si="491"/>
        <v>5.6148378498445135</v>
      </c>
      <c r="AV981" s="7" t="s">
        <v>10500</v>
      </c>
      <c r="AW981" s="6" t="str">
        <f t="shared" si="475"/>
        <v>=2251*10000</v>
      </c>
      <c r="AX981" s="1">
        <f>2251*10000</f>
        <v>22510000</v>
      </c>
      <c r="AY981" s="10">
        <f t="shared" si="492"/>
        <v>-0.95094791893658748</v>
      </c>
      <c r="AZ981" s="6" t="s">
        <v>10501</v>
      </c>
      <c r="BA981" s="6" t="str">
        <f t="shared" si="476"/>
        <v>=4.589*100000000</v>
      </c>
      <c r="BB981" s="1">
        <f>4.589*100000000</f>
        <v>458900000.00000006</v>
      </c>
      <c r="BC981" s="8">
        <f t="shared" si="493"/>
        <v>5.8278529980657652</v>
      </c>
      <c r="BD981" s="7" t="s">
        <v>10502</v>
      </c>
      <c r="BE981" s="6" t="str">
        <f t="shared" si="477"/>
        <v>=6721*10000</v>
      </c>
      <c r="BF981" s="1">
        <f>6721*10000</f>
        <v>67210000</v>
      </c>
      <c r="BG981" s="8">
        <f t="shared" si="494"/>
        <v>-0.18216110975906546</v>
      </c>
      <c r="BH981" s="7" t="s">
        <v>10503</v>
      </c>
      <c r="BI981" s="6" t="str">
        <f t="shared" si="478"/>
        <v>=8218*10000</v>
      </c>
      <c r="BJ981" s="1">
        <f>8218*10000</f>
        <v>82180000</v>
      </c>
      <c r="BK981" s="7" t="s">
        <v>7561</v>
      </c>
      <c r="BL981" s="1" t="str">
        <f t="shared" si="480"/>
        <v>=1026*10000</v>
      </c>
      <c r="BM981" s="16">
        <f t="shared" si="495"/>
        <v>7.0097465886939574</v>
      </c>
      <c r="BN981" s="1">
        <f>1026*10000</f>
        <v>10260000</v>
      </c>
    </row>
    <row r="982" spans="1:66">
      <c r="A982" s="17">
        <v>247</v>
      </c>
      <c r="B982">
        <v>600792</v>
      </c>
      <c r="C982" t="s">
        <v>31</v>
      </c>
      <c r="D982" s="6" t="s">
        <v>10504</v>
      </c>
      <c r="E982" s="7" t="str">
        <f t="shared" si="479"/>
        <v>=61.01*100000000</v>
      </c>
      <c r="F982" s="1">
        <f>61.01*100000000</f>
        <v>6101000000</v>
      </c>
      <c r="G982" s="8">
        <f t="shared" si="481"/>
        <v>0.39802933088909259</v>
      </c>
      <c r="H982" s="6" t="s">
        <v>2285</v>
      </c>
      <c r="I982" s="6" t="str">
        <f t="shared" si="465"/>
        <v>=43.64*100000000</v>
      </c>
      <c r="J982" s="1">
        <f>43.64*100000000</f>
        <v>4364000000</v>
      </c>
      <c r="K982" s="10">
        <f t="shared" si="482"/>
        <v>0.59502923976608191</v>
      </c>
      <c r="L982" s="6" t="s">
        <v>10505</v>
      </c>
      <c r="M982" s="6" t="str">
        <f t="shared" si="466"/>
        <v>=27.36*100000000</v>
      </c>
      <c r="N982" s="1">
        <f>27.36*100000000</f>
        <v>2736000000</v>
      </c>
      <c r="O982" s="8">
        <f t="shared" si="483"/>
        <v>1.0043956043956044</v>
      </c>
      <c r="P982" s="6" t="s">
        <v>155</v>
      </c>
      <c r="Q982" s="6" t="str">
        <f t="shared" si="467"/>
        <v>=13.65*100000000</v>
      </c>
      <c r="R982" s="11">
        <f>13.65*100000000</f>
        <v>1365000000</v>
      </c>
      <c r="S982" s="8">
        <f t="shared" si="484"/>
        <v>-0.71080508474576276</v>
      </c>
      <c r="T982" s="6" t="s">
        <v>10506</v>
      </c>
      <c r="U982" s="6" t="str">
        <f t="shared" si="468"/>
        <v>=47.20*100000000</v>
      </c>
      <c r="V982" s="1">
        <f>47.2*100000000</f>
        <v>4720000000</v>
      </c>
      <c r="W982" s="8">
        <f t="shared" si="485"/>
        <v>0.38578978273634762</v>
      </c>
      <c r="X982" s="6" t="s">
        <v>10507</v>
      </c>
      <c r="Y982" s="6" t="str">
        <f t="shared" si="469"/>
        <v>=34.06*100000000</v>
      </c>
      <c r="Z982" s="1">
        <f>34.06*100000000</f>
        <v>3406000000</v>
      </c>
      <c r="AA982" s="8">
        <f t="shared" si="486"/>
        <v>0.55383211678832112</v>
      </c>
      <c r="AB982" s="6" t="s">
        <v>2467</v>
      </c>
      <c r="AC982" s="6" t="str">
        <f t="shared" si="470"/>
        <v>=21.92*100000000</v>
      </c>
      <c r="AD982" s="1">
        <f>21.92*100000000</f>
        <v>2192000000</v>
      </c>
      <c r="AE982" s="8">
        <f t="shared" si="487"/>
        <v>1.0562851782363978</v>
      </c>
      <c r="AF982" s="6" t="s">
        <v>1413</v>
      </c>
      <c r="AG982" s="6" t="str">
        <f t="shared" si="471"/>
        <v>=10.66*100000000</v>
      </c>
      <c r="AH982" s="1">
        <f>10.66*100000000</f>
        <v>1066000000</v>
      </c>
      <c r="AI982" s="8">
        <f t="shared" si="488"/>
        <v>-0.81383164512748862</v>
      </c>
      <c r="AJ982" s="6" t="s">
        <v>10508</v>
      </c>
      <c r="AK982" s="6" t="str">
        <f t="shared" si="472"/>
        <v>=57.26*100000000</v>
      </c>
      <c r="AL982" s="1">
        <f>57.26*100000000</f>
        <v>5726000000</v>
      </c>
      <c r="AM982" s="8">
        <f t="shared" si="489"/>
        <v>0.35174693106704435</v>
      </c>
      <c r="AN982" s="6" t="s">
        <v>202</v>
      </c>
      <c r="AO982" s="6" t="str">
        <f t="shared" si="473"/>
        <v>=42.36*100000000</v>
      </c>
      <c r="AP982" s="1">
        <f>42.36*100000000</f>
        <v>4236000000</v>
      </c>
      <c r="AQ982" s="8">
        <f t="shared" si="490"/>
        <v>0.53645266594124053</v>
      </c>
      <c r="AR982" s="6" t="s">
        <v>10509</v>
      </c>
      <c r="AS982" s="6" t="str">
        <f t="shared" si="474"/>
        <v>=27.57*100000000</v>
      </c>
      <c r="AT982" s="1">
        <f>27.57*100000000</f>
        <v>2757000000</v>
      </c>
      <c r="AU982" s="8">
        <f t="shared" si="491"/>
        <v>0.98202731847591662</v>
      </c>
      <c r="AV982" s="6" t="s">
        <v>10510</v>
      </c>
      <c r="AW982" s="6" t="str">
        <f t="shared" si="475"/>
        <v>=13.91*100000000</v>
      </c>
      <c r="AX982" s="1">
        <f>13.91*100000000</f>
        <v>1391000000</v>
      </c>
      <c r="AY982" s="10">
        <f t="shared" si="492"/>
        <v>-0.7423596962400445</v>
      </c>
      <c r="AZ982" s="6" t="s">
        <v>510</v>
      </c>
      <c r="BA982" s="6" t="str">
        <f t="shared" si="476"/>
        <v>=53.99*100000000</v>
      </c>
      <c r="BB982" s="1">
        <f>53.99*100000000</f>
        <v>5399000000</v>
      </c>
      <c r="BC982" s="8">
        <f t="shared" si="493"/>
        <v>0.41039707419017762</v>
      </c>
      <c r="BD982" s="6" t="s">
        <v>10511</v>
      </c>
      <c r="BE982" s="6" t="str">
        <f t="shared" si="477"/>
        <v>=38.28*100000000</v>
      </c>
      <c r="BF982" s="1">
        <f>38.28*100000000</f>
        <v>3828000000</v>
      </c>
      <c r="BG982" s="8">
        <f t="shared" si="494"/>
        <v>0.55231143552311435</v>
      </c>
      <c r="BH982" s="6" t="s">
        <v>10512</v>
      </c>
      <c r="BI982" s="6" t="str">
        <f t="shared" si="478"/>
        <v>=24.66*100000000</v>
      </c>
      <c r="BJ982" s="1">
        <f>24.66*100000000</f>
        <v>2466000000</v>
      </c>
      <c r="BK982" s="6" t="s">
        <v>2050</v>
      </c>
      <c r="BL982" s="1" t="str">
        <f t="shared" si="480"/>
        <v>=12.11*100000000</v>
      </c>
      <c r="BM982" s="16">
        <f t="shared" si="495"/>
        <v>1.0363336085879438</v>
      </c>
      <c r="BN982" s="1">
        <f>12.11*100000000</f>
        <v>1211000000</v>
      </c>
    </row>
    <row r="983" spans="1:66">
      <c r="A983" s="18"/>
      <c r="B983">
        <v>600792</v>
      </c>
      <c r="C983" t="s">
        <v>48</v>
      </c>
      <c r="D983" s="7">
        <f>-777.1*10000</f>
        <v>-7771000</v>
      </c>
      <c r="E983" s="7" t="str">
        <f t="shared" si="479"/>
        <v>=-7771000</v>
      </c>
      <c r="F983" s="1">
        <f>-7771000</f>
        <v>-7771000</v>
      </c>
      <c r="G983" s="8">
        <f t="shared" si="481"/>
        <v>-1.0490593434343434</v>
      </c>
      <c r="H983" s="6" t="s">
        <v>10278</v>
      </c>
      <c r="I983" s="6" t="str">
        <f t="shared" si="465"/>
        <v>=1.584*100000000</v>
      </c>
      <c r="J983" s="1">
        <f>1.584*100000000</f>
        <v>158400000</v>
      </c>
      <c r="K983" s="10">
        <f t="shared" si="482"/>
        <v>0.12820512820512819</v>
      </c>
      <c r="L983" s="6" t="s">
        <v>5578</v>
      </c>
      <c r="M983" s="6" t="str">
        <f t="shared" si="466"/>
        <v>=1.404*100000000</v>
      </c>
      <c r="N983" s="1">
        <f>1.404*100000000</f>
        <v>140400000</v>
      </c>
      <c r="O983" s="8">
        <f t="shared" si="483"/>
        <v>1.3198942498347654</v>
      </c>
      <c r="P983" s="7" t="s">
        <v>5492</v>
      </c>
      <c r="Q983" s="6" t="str">
        <f t="shared" si="467"/>
        <v>=6052*10000</v>
      </c>
      <c r="R983" s="11">
        <f>6052*10000</f>
        <v>60520000</v>
      </c>
      <c r="S983" s="8">
        <f t="shared" si="484"/>
        <v>-0.33879602316180485</v>
      </c>
      <c r="T983" s="7" t="s">
        <v>10513</v>
      </c>
      <c r="U983" s="6" t="str">
        <f t="shared" si="468"/>
        <v>=9153*10000</v>
      </c>
      <c r="V983" s="1">
        <f>9153*10000</f>
        <v>91530000</v>
      </c>
      <c r="W983" s="8">
        <f t="shared" si="485"/>
        <v>2.6451612903225805</v>
      </c>
      <c r="X983" s="7" t="s">
        <v>1219</v>
      </c>
      <c r="Y983" s="6" t="str">
        <f t="shared" si="469"/>
        <v>=2511*10000</v>
      </c>
      <c r="Z983" s="1">
        <f>2511*10000</f>
        <v>25110000</v>
      </c>
      <c r="AA983" s="8">
        <f t="shared" si="486"/>
        <v>-2.2798165137614679</v>
      </c>
      <c r="AB983" s="7">
        <f>-1962*10000</f>
        <v>-19620000</v>
      </c>
      <c r="AC983" s="6" t="str">
        <f t="shared" si="470"/>
        <v>=-19620000</v>
      </c>
      <c r="AD983" s="1">
        <f>-19620000</f>
        <v>-19620000</v>
      </c>
      <c r="AE983" s="8">
        <f t="shared" si="487"/>
        <v>-5.8348940364711677</v>
      </c>
      <c r="AF983" s="7" t="s">
        <v>10514</v>
      </c>
      <c r="AG983" s="6" t="str">
        <f t="shared" si="471"/>
        <v>=405.8*10000</v>
      </c>
      <c r="AH983" s="1">
        <f>405.8*10000</f>
        <v>4058000</v>
      </c>
      <c r="AI983" s="8">
        <f t="shared" si="488"/>
        <v>-0.98652274991697109</v>
      </c>
      <c r="AJ983" s="6" t="s">
        <v>1475</v>
      </c>
      <c r="AK983" s="6" t="str">
        <f t="shared" si="472"/>
        <v>=3.011*100000000</v>
      </c>
      <c r="AL983" s="1">
        <f>3.011*100000000</f>
        <v>301100000</v>
      </c>
      <c r="AM983" s="8">
        <f t="shared" si="489"/>
        <v>0.26353336130927402</v>
      </c>
      <c r="AN983" s="6" t="s">
        <v>10515</v>
      </c>
      <c r="AO983" s="6" t="str">
        <f t="shared" si="473"/>
        <v>=2.383*100000000</v>
      </c>
      <c r="AP983" s="1">
        <f>2.383*100000000</f>
        <v>238300000</v>
      </c>
      <c r="AQ983" s="8">
        <f t="shared" si="490"/>
        <v>1.0280851063829788</v>
      </c>
      <c r="AR983" s="6" t="s">
        <v>5315</v>
      </c>
      <c r="AS983" s="6" t="str">
        <f t="shared" si="474"/>
        <v>=1.175*100000000</v>
      </c>
      <c r="AT983" s="1">
        <f>1.175*100000000</f>
        <v>117500000</v>
      </c>
      <c r="AU983" s="8">
        <f t="shared" si="491"/>
        <v>3.9081035923141187</v>
      </c>
      <c r="AV983" s="7" t="s">
        <v>10516</v>
      </c>
      <c r="AW983" s="6" t="str">
        <f t="shared" si="475"/>
        <v>=2394*10000</v>
      </c>
      <c r="AX983" s="1">
        <f>2394*10000</f>
        <v>23940000</v>
      </c>
      <c r="AY983" s="10">
        <f t="shared" si="492"/>
        <v>-0.89331550802139037</v>
      </c>
      <c r="AZ983" s="6" t="s">
        <v>10517</v>
      </c>
      <c r="BA983" s="6" t="str">
        <f t="shared" si="476"/>
        <v>=2.244*100000000</v>
      </c>
      <c r="BB983" s="1">
        <f>2.244*100000000</f>
        <v>224400000.00000003</v>
      </c>
      <c r="BC983" s="8">
        <f t="shared" si="493"/>
        <v>1.4170616113744079</v>
      </c>
      <c r="BD983" s="7" t="s">
        <v>5591</v>
      </c>
      <c r="BE983" s="6" t="str">
        <f t="shared" si="477"/>
        <v>=9284*10000</v>
      </c>
      <c r="BF983" s="1">
        <f>9284*10000</f>
        <v>92840000</v>
      </c>
      <c r="BG983" s="8">
        <f t="shared" si="494"/>
        <v>5.9439042632759911</v>
      </c>
      <c r="BH983" s="7" t="s">
        <v>10518</v>
      </c>
      <c r="BI983" s="6" t="str">
        <f t="shared" si="478"/>
        <v>=1337*10000</v>
      </c>
      <c r="BJ983" s="1">
        <f>1337*10000</f>
        <v>13370000</v>
      </c>
      <c r="BK983" s="7" t="s">
        <v>10519</v>
      </c>
      <c r="BL983" s="1" t="str">
        <f t="shared" si="480"/>
        <v>=687.7*10000</v>
      </c>
      <c r="BM983" s="16">
        <f t="shared" si="495"/>
        <v>0.94416169841500652</v>
      </c>
      <c r="BN983" s="1">
        <f>687.7*10000</f>
        <v>6877000</v>
      </c>
    </row>
    <row r="984" spans="1:66">
      <c r="A984" s="18"/>
      <c r="B984">
        <v>600792</v>
      </c>
      <c r="C984" t="s">
        <v>58</v>
      </c>
      <c r="D984" s="7" t="s">
        <v>10520</v>
      </c>
      <c r="E984" s="7" t="str">
        <f t="shared" si="479"/>
        <v>=512.9*10000</v>
      </c>
      <c r="F984" s="1">
        <f>512.9*10000</f>
        <v>5129000</v>
      </c>
      <c r="G984" s="8">
        <f t="shared" si="481"/>
        <v>-0.96737277353689566</v>
      </c>
      <c r="H984" s="6" t="s">
        <v>9666</v>
      </c>
      <c r="I984" s="6" t="str">
        <f t="shared" si="465"/>
        <v>=1.572*100000000</v>
      </c>
      <c r="J984" s="1">
        <f>1.572*100000000</f>
        <v>157200000</v>
      </c>
      <c r="K984" s="10">
        <f t="shared" si="482"/>
        <v>0.11647727272727272</v>
      </c>
      <c r="L984" s="6" t="s">
        <v>8813</v>
      </c>
      <c r="M984" s="6" t="str">
        <f t="shared" si="466"/>
        <v>=1.408*100000000</v>
      </c>
      <c r="N984" s="1">
        <f>1.408*100000000</f>
        <v>140800000</v>
      </c>
      <c r="O984" s="8">
        <f t="shared" si="483"/>
        <v>1.3207516070545575</v>
      </c>
      <c r="P984" s="7" t="s">
        <v>3170</v>
      </c>
      <c r="Q984" s="6" t="str">
        <f t="shared" si="467"/>
        <v>=6067*10000</v>
      </c>
      <c r="R984" s="11">
        <f>6067*10000</f>
        <v>60670000</v>
      </c>
      <c r="S984" s="8">
        <f t="shared" si="484"/>
        <v>-0.33896273697973417</v>
      </c>
      <c r="T984" s="7" t="s">
        <v>10521</v>
      </c>
      <c r="U984" s="6" t="str">
        <f t="shared" si="468"/>
        <v>=9178*10000</v>
      </c>
      <c r="V984" s="1">
        <f>9178*10000</f>
        <v>91780000</v>
      </c>
      <c r="W984" s="8">
        <f t="shared" si="485"/>
        <v>2.6262346898459108</v>
      </c>
      <c r="X984" s="7" t="s">
        <v>10522</v>
      </c>
      <c r="Y984" s="6" t="str">
        <f t="shared" si="469"/>
        <v>=2531*10000</v>
      </c>
      <c r="Z984" s="1">
        <f>2531*10000</f>
        <v>25310000</v>
      </c>
      <c r="AA984" s="8">
        <f t="shared" si="486"/>
        <v>-2.3370311674590596</v>
      </c>
      <c r="AB984" s="7">
        <f>-1893*10000</f>
        <v>-18930000</v>
      </c>
      <c r="AC984" s="6" t="str">
        <f t="shared" si="470"/>
        <v>=-18930000</v>
      </c>
      <c r="AD984" s="1">
        <f>-18930000</f>
        <v>-18930000</v>
      </c>
      <c r="AE984" s="8">
        <f t="shared" si="487"/>
        <v>-5.700769803824187</v>
      </c>
      <c r="AF984" s="7" t="s">
        <v>10523</v>
      </c>
      <c r="AG984" s="6" t="str">
        <f t="shared" si="471"/>
        <v>=402.7*10000</v>
      </c>
      <c r="AH984" s="1">
        <f>402.7*10000</f>
        <v>4027000</v>
      </c>
      <c r="AI984" s="8">
        <f t="shared" si="488"/>
        <v>-0.98633989145183176</v>
      </c>
      <c r="AJ984" s="6" t="s">
        <v>6151</v>
      </c>
      <c r="AK984" s="6" t="str">
        <f t="shared" si="472"/>
        <v>=2.948*100000000</v>
      </c>
      <c r="AL984" s="1">
        <f>2.948*100000000</f>
        <v>294800000</v>
      </c>
      <c r="AM984" s="8">
        <f t="shared" si="489"/>
        <v>0.25340136054421769</v>
      </c>
      <c r="AN984" s="6" t="s">
        <v>8040</v>
      </c>
      <c r="AO984" s="6" t="str">
        <f t="shared" si="473"/>
        <v>=2.352*100000000</v>
      </c>
      <c r="AP984" s="1">
        <f>2.352*100000000</f>
        <v>235200000</v>
      </c>
      <c r="AQ984" s="8">
        <f t="shared" si="490"/>
        <v>1.0398959236773635</v>
      </c>
      <c r="AR984" s="6" t="s">
        <v>2969</v>
      </c>
      <c r="AS984" s="6" t="str">
        <f t="shared" si="474"/>
        <v>=1.153*100000000</v>
      </c>
      <c r="AT984" s="1">
        <f>1.153*100000000</f>
        <v>115300000</v>
      </c>
      <c r="AU984" s="8">
        <f t="shared" si="491"/>
        <v>3.8835239305379075</v>
      </c>
      <c r="AV984" s="7" t="s">
        <v>10524</v>
      </c>
      <c r="AW984" s="6" t="str">
        <f t="shared" si="475"/>
        <v>=2361*10000</v>
      </c>
      <c r="AX984" s="1">
        <f>2361*10000</f>
        <v>23610000</v>
      </c>
      <c r="AY984" s="10">
        <f t="shared" si="492"/>
        <v>-0.89543844109831705</v>
      </c>
      <c r="AZ984" s="6" t="s">
        <v>10499</v>
      </c>
      <c r="BA984" s="6" t="str">
        <f t="shared" si="476"/>
        <v>=2.258*100000000</v>
      </c>
      <c r="BB984" s="1">
        <f>2.258*100000000</f>
        <v>225800000</v>
      </c>
      <c r="BC984" s="8">
        <f t="shared" si="493"/>
        <v>1.3795974286015387</v>
      </c>
      <c r="BD984" s="7" t="s">
        <v>10525</v>
      </c>
      <c r="BE984" s="6" t="str">
        <f t="shared" si="477"/>
        <v>=9489*10000</v>
      </c>
      <c r="BF984" s="1">
        <f>9489*10000</f>
        <v>94890000</v>
      </c>
      <c r="BG984" s="8">
        <f t="shared" si="494"/>
        <v>6.3672360248447202</v>
      </c>
      <c r="BH984" s="7" t="s">
        <v>9960</v>
      </c>
      <c r="BI984" s="6" t="str">
        <f t="shared" si="478"/>
        <v>=1288*10000</v>
      </c>
      <c r="BJ984" s="1">
        <f>1288*10000</f>
        <v>12880000</v>
      </c>
      <c r="BK984" s="7" t="s">
        <v>10526</v>
      </c>
      <c r="BL984" s="1" t="str">
        <f t="shared" si="480"/>
        <v>=676.9*10000</v>
      </c>
      <c r="BM984" s="16">
        <f t="shared" si="495"/>
        <v>0.9027921406411582</v>
      </c>
      <c r="BN984" s="1">
        <f>676.9*10000</f>
        <v>6769000</v>
      </c>
    </row>
    <row r="985" spans="1:66">
      <c r="A985" s="19"/>
      <c r="B985">
        <v>600792</v>
      </c>
      <c r="C985" t="s">
        <v>68</v>
      </c>
      <c r="D985" s="7">
        <f>-2056*10000</f>
        <v>-20560000</v>
      </c>
      <c r="E985" s="7" t="str">
        <f t="shared" si="479"/>
        <v>=-20560000</v>
      </c>
      <c r="F985" s="1">
        <f>-20560000</f>
        <v>-20560000</v>
      </c>
      <c r="G985" s="8">
        <f t="shared" si="481"/>
        <v>-1.1556396669190008</v>
      </c>
      <c r="H985" s="6" t="s">
        <v>6883</v>
      </c>
      <c r="I985" s="6" t="str">
        <f t="shared" si="465"/>
        <v>=1.321*100000000</v>
      </c>
      <c r="J985" s="1">
        <f>1.321*100000000</f>
        <v>132100000</v>
      </c>
      <c r="K985" s="10">
        <f t="shared" si="482"/>
        <v>0.15371179039301311</v>
      </c>
      <c r="L985" s="6" t="s">
        <v>1982</v>
      </c>
      <c r="M985" s="6" t="str">
        <f t="shared" si="466"/>
        <v>=1.145*100000000</v>
      </c>
      <c r="N985" s="1">
        <f>1.145*100000000</f>
        <v>114500000</v>
      </c>
      <c r="O985" s="8">
        <f t="shared" si="483"/>
        <v>1.1759787153173697</v>
      </c>
      <c r="P985" s="7" t="s">
        <v>10527</v>
      </c>
      <c r="Q985" s="6" t="str">
        <f t="shared" si="467"/>
        <v>=5262*10000</v>
      </c>
      <c r="R985" s="11">
        <f>5262*10000</f>
        <v>52620000</v>
      </c>
      <c r="S985" s="8">
        <f t="shared" si="484"/>
        <v>-0.20200181983621474</v>
      </c>
      <c r="T985" s="7" t="s">
        <v>10017</v>
      </c>
      <c r="U985" s="6" t="str">
        <f t="shared" si="468"/>
        <v>=6594*10000</v>
      </c>
      <c r="V985" s="1">
        <f>6594*10000</f>
        <v>65940000</v>
      </c>
      <c r="W985" s="8">
        <f t="shared" si="485"/>
        <v>3.0085106382978721</v>
      </c>
      <c r="X985" s="7" t="s">
        <v>10459</v>
      </c>
      <c r="Y985" s="6" t="str">
        <f t="shared" si="469"/>
        <v>=1645*10000</v>
      </c>
      <c r="Z985" s="1">
        <f>1645*10000</f>
        <v>16450000</v>
      </c>
      <c r="AA985" s="8">
        <f t="shared" si="486"/>
        <v>-1.7304618117229129</v>
      </c>
      <c r="AB985" s="7">
        <f>-2252*10000</f>
        <v>-22520000</v>
      </c>
      <c r="AC985" s="6" t="str">
        <f t="shared" si="470"/>
        <v>=-22520000</v>
      </c>
      <c r="AD985" s="1">
        <f>-22520000</f>
        <v>-22520000</v>
      </c>
      <c r="AE985" s="8">
        <f t="shared" si="487"/>
        <v>-8.8549005929543068</v>
      </c>
      <c r="AF985" s="7" t="s">
        <v>10528</v>
      </c>
      <c r="AG985" s="6" t="str">
        <f t="shared" si="471"/>
        <v>=286.7*10000</v>
      </c>
      <c r="AH985" s="1">
        <f>286.7*10000</f>
        <v>2867000</v>
      </c>
      <c r="AI985" s="8">
        <f t="shared" si="488"/>
        <v>-0.98837388483373889</v>
      </c>
      <c r="AJ985" s="6" t="s">
        <v>4876</v>
      </c>
      <c r="AK985" s="6" t="str">
        <f t="shared" si="472"/>
        <v>=2.466*100000000</v>
      </c>
      <c r="AL985" s="1">
        <f>2.466*100000000</f>
        <v>246600000.00000003</v>
      </c>
      <c r="AM985" s="8">
        <f t="shared" si="489"/>
        <v>0.14378478664192965</v>
      </c>
      <c r="AN985" s="6" t="s">
        <v>7911</v>
      </c>
      <c r="AO985" s="6" t="str">
        <f t="shared" si="473"/>
        <v>=2.156*100000000</v>
      </c>
      <c r="AP985" s="1">
        <f>2.156*100000000</f>
        <v>215600000</v>
      </c>
      <c r="AQ985" s="8">
        <f t="shared" si="490"/>
        <v>1.0671140939597314</v>
      </c>
      <c r="AR985" s="6" t="s">
        <v>10529</v>
      </c>
      <c r="AS985" s="6" t="str">
        <f t="shared" si="474"/>
        <v>=1.043*100000000</v>
      </c>
      <c r="AT985" s="1">
        <f>1.043*100000000</f>
        <v>104300000</v>
      </c>
      <c r="AU985" s="8">
        <f t="shared" si="491"/>
        <v>4.0828460038986352</v>
      </c>
      <c r="AV985" s="7" t="s">
        <v>10530</v>
      </c>
      <c r="AW985" s="6" t="str">
        <f t="shared" si="475"/>
        <v>=2052*10000</v>
      </c>
      <c r="AX985" s="1">
        <f>2052*10000</f>
        <v>20520000</v>
      </c>
      <c r="AY985" s="10">
        <f t="shared" si="492"/>
        <v>-0.89583756345177668</v>
      </c>
      <c r="AZ985" s="6" t="s">
        <v>10531</v>
      </c>
      <c r="BA985" s="6" t="str">
        <f t="shared" si="476"/>
        <v>=1.970*100000000</v>
      </c>
      <c r="BB985" s="1">
        <f>1.97*100000000</f>
        <v>197000000</v>
      </c>
      <c r="BC985" s="8">
        <f t="shared" si="493"/>
        <v>1.292830540037244</v>
      </c>
      <c r="BD985" s="7" t="s">
        <v>10532</v>
      </c>
      <c r="BE985" s="6" t="str">
        <f t="shared" si="477"/>
        <v>=8592*10000</v>
      </c>
      <c r="BF985" s="1">
        <f>8592*10000</f>
        <v>85920000</v>
      </c>
      <c r="BG985" s="8">
        <f t="shared" si="494"/>
        <v>18.710942876806605</v>
      </c>
      <c r="BH985" s="7" t="s">
        <v>10533</v>
      </c>
      <c r="BI985" s="6" t="str">
        <f t="shared" si="478"/>
        <v>=435.9*10000</v>
      </c>
      <c r="BJ985" s="1">
        <f>435.9*10000</f>
        <v>4359000</v>
      </c>
      <c r="BK985" s="7" t="s">
        <v>10534</v>
      </c>
      <c r="BL985" s="1" t="str">
        <f t="shared" si="480"/>
        <v>=631.6*10000</v>
      </c>
      <c r="BM985" s="16">
        <f t="shared" si="495"/>
        <v>-0.30984800506649779</v>
      </c>
      <c r="BN985" s="1">
        <f>631.6*10000</f>
        <v>6316000</v>
      </c>
    </row>
    <row r="986" spans="1:66">
      <c r="A986" s="17">
        <v>248</v>
      </c>
      <c r="B986">
        <v>600794</v>
      </c>
      <c r="C986" t="s">
        <v>31</v>
      </c>
      <c r="D986" s="6" t="s">
        <v>3035</v>
      </c>
      <c r="E986" s="7" t="str">
        <f t="shared" si="479"/>
        <v>=18.71*100000000</v>
      </c>
      <c r="F986" s="1">
        <f>18.71*100000000</f>
        <v>1871000000</v>
      </c>
      <c r="G986" s="8">
        <f t="shared" si="481"/>
        <v>0.24816544362908605</v>
      </c>
      <c r="H986" s="6" t="s">
        <v>4482</v>
      </c>
      <c r="I986" s="6" t="str">
        <f t="shared" si="465"/>
        <v>=14.99*100000000</v>
      </c>
      <c r="J986" s="1">
        <f>14.99*100000000</f>
        <v>1499000000</v>
      </c>
      <c r="K986" s="10">
        <f t="shared" si="482"/>
        <v>0.23781998348472336</v>
      </c>
      <c r="L986" s="6" t="s">
        <v>2050</v>
      </c>
      <c r="M986" s="6" t="str">
        <f t="shared" si="466"/>
        <v>=12.11*100000000</v>
      </c>
      <c r="N986" s="1">
        <f>12.11*100000000</f>
        <v>1211000000</v>
      </c>
      <c r="O986" s="8">
        <f t="shared" si="483"/>
        <v>0.75558132792113653</v>
      </c>
      <c r="P986" s="6" t="s">
        <v>10535</v>
      </c>
      <c r="Q986" s="6" t="str">
        <f t="shared" si="467"/>
        <v>=6.898*100000000</v>
      </c>
      <c r="R986" s="11">
        <f>6.898*100000000</f>
        <v>689800000</v>
      </c>
      <c r="S986" s="8">
        <f t="shared" si="484"/>
        <v>-0.66579457364341088</v>
      </c>
      <c r="T986" s="6" t="s">
        <v>8962</v>
      </c>
      <c r="U986" s="6" t="str">
        <f t="shared" si="468"/>
        <v>=20.64*100000000</v>
      </c>
      <c r="V986" s="1">
        <f>20.64*100000000</f>
        <v>2064000000</v>
      </c>
      <c r="W986" s="8">
        <f t="shared" si="485"/>
        <v>0.50877192982456143</v>
      </c>
      <c r="X986" s="6" t="s">
        <v>9008</v>
      </c>
      <c r="Y986" s="6" t="str">
        <f t="shared" si="469"/>
        <v>=13.68*100000000</v>
      </c>
      <c r="Z986" s="1">
        <f>13.68*100000000</f>
        <v>1368000000</v>
      </c>
      <c r="AA986" s="8">
        <f t="shared" si="486"/>
        <v>0.88455710152913625</v>
      </c>
      <c r="AB986" s="6" t="s">
        <v>10536</v>
      </c>
      <c r="AC986" s="6" t="str">
        <f t="shared" si="470"/>
        <v>=7.259*100000000</v>
      </c>
      <c r="AD986" s="1">
        <f>7.259*100000000</f>
        <v>725900000</v>
      </c>
      <c r="AE986" s="8">
        <f t="shared" si="487"/>
        <v>2.8818181818181818</v>
      </c>
      <c r="AF986" s="6" t="s">
        <v>10537</v>
      </c>
      <c r="AG986" s="6" t="str">
        <f t="shared" si="471"/>
        <v>=1.870*100000000</v>
      </c>
      <c r="AH986" s="1">
        <f>1.87*100000000</f>
        <v>187000000</v>
      </c>
      <c r="AI986" s="8">
        <f t="shared" si="488"/>
        <v>-0.90037293553542885</v>
      </c>
      <c r="AJ986" s="6" t="s">
        <v>10538</v>
      </c>
      <c r="AK986" s="6" t="str">
        <f t="shared" si="472"/>
        <v>=18.77*100000000</v>
      </c>
      <c r="AL986" s="1">
        <f>18.77*100000000</f>
        <v>1877000000</v>
      </c>
      <c r="AM986" s="8">
        <f t="shared" si="489"/>
        <v>0.10541813898704358</v>
      </c>
      <c r="AN986" s="6" t="s">
        <v>1123</v>
      </c>
      <c r="AO986" s="6" t="str">
        <f t="shared" si="473"/>
        <v>=16.98*100000000</v>
      </c>
      <c r="AP986" s="1">
        <f>16.98*100000000</f>
        <v>1698000000</v>
      </c>
      <c r="AQ986" s="8">
        <f t="shared" si="490"/>
        <v>0.84505052700206473</v>
      </c>
      <c r="AR986" s="6" t="s">
        <v>4139</v>
      </c>
      <c r="AS986" s="6" t="str">
        <f t="shared" si="474"/>
        <v>=9.203*100000000</v>
      </c>
      <c r="AT986" s="1">
        <f>9.203*100000000</f>
        <v>920299999.99999988</v>
      </c>
      <c r="AU986" s="8">
        <f t="shared" si="491"/>
        <v>2.7841282894736836</v>
      </c>
      <c r="AV986" s="6" t="s">
        <v>10539</v>
      </c>
      <c r="AW986" s="6" t="str">
        <f t="shared" si="475"/>
        <v>=2.432*100000000</v>
      </c>
      <c r="AX986" s="1">
        <f>2.432*100000000</f>
        <v>243200000</v>
      </c>
      <c r="AY986" s="10">
        <f t="shared" si="492"/>
        <v>-0.82170087976539585</v>
      </c>
      <c r="AZ986" s="6" t="s">
        <v>8915</v>
      </c>
      <c r="BA986" s="6" t="str">
        <f t="shared" si="476"/>
        <v>=13.64*100000000</v>
      </c>
      <c r="BB986" s="1">
        <f>13.64*100000000</f>
        <v>1364000000</v>
      </c>
      <c r="BC986" s="8">
        <f t="shared" si="493"/>
        <v>0.26296296296296295</v>
      </c>
      <c r="BD986" s="6" t="s">
        <v>2676</v>
      </c>
      <c r="BE986" s="6" t="str">
        <f t="shared" si="477"/>
        <v>=10.80*100000000</v>
      </c>
      <c r="BF986" s="1">
        <f>10.8*100000000</f>
        <v>1080000000</v>
      </c>
      <c r="BG986" s="8">
        <f t="shared" si="494"/>
        <v>0.18772682283074893</v>
      </c>
      <c r="BH986" s="6" t="s">
        <v>10540</v>
      </c>
      <c r="BI986" s="6" t="str">
        <f t="shared" si="478"/>
        <v>=9.093*100000000</v>
      </c>
      <c r="BJ986" s="1">
        <f>9.093*100000000</f>
        <v>909300000</v>
      </c>
      <c r="BK986" s="6" t="s">
        <v>1026</v>
      </c>
      <c r="BL986" s="1" t="str">
        <f t="shared" si="480"/>
        <v>=3.319*100000000</v>
      </c>
      <c r="BM986" s="16">
        <f t="shared" si="495"/>
        <v>1.7396806266947875</v>
      </c>
      <c r="BN986" s="1">
        <f>3.319*100000000</f>
        <v>331900000</v>
      </c>
    </row>
    <row r="987" spans="1:66">
      <c r="A987" s="18"/>
      <c r="B987">
        <v>600794</v>
      </c>
      <c r="C987" t="s">
        <v>48</v>
      </c>
      <c r="D987" s="6" t="s">
        <v>9666</v>
      </c>
      <c r="E987" s="7" t="str">
        <f t="shared" si="479"/>
        <v>=1.572*100000000</v>
      </c>
      <c r="F987" s="1">
        <f>1.572*100000000</f>
        <v>157200000</v>
      </c>
      <c r="G987" s="8">
        <f t="shared" si="481"/>
        <v>2.8795811518324606E-2</v>
      </c>
      <c r="H987" s="6" t="s">
        <v>3397</v>
      </c>
      <c r="I987" s="6" t="str">
        <f t="shared" si="465"/>
        <v>=1.528*100000000</v>
      </c>
      <c r="J987" s="1">
        <f>1.528*100000000</f>
        <v>152800000</v>
      </c>
      <c r="K987" s="10">
        <f t="shared" si="482"/>
        <v>0.23126510878323916</v>
      </c>
      <c r="L987" s="6" t="s">
        <v>2117</v>
      </c>
      <c r="M987" s="6" t="str">
        <f t="shared" si="466"/>
        <v>=1.241*100000000</v>
      </c>
      <c r="N987" s="1">
        <f>1.241*100000000</f>
        <v>124100000.00000001</v>
      </c>
      <c r="O987" s="8">
        <f t="shared" si="483"/>
        <v>0.71148807061095043</v>
      </c>
      <c r="P987" s="7" t="s">
        <v>10541</v>
      </c>
      <c r="Q987" s="6" t="str">
        <f t="shared" si="467"/>
        <v>=7251*10000</v>
      </c>
      <c r="R987" s="11">
        <f>7251*10000</f>
        <v>72510000</v>
      </c>
      <c r="S987" s="8">
        <f t="shared" si="484"/>
        <v>-0.76100856954515494</v>
      </c>
      <c r="T987" s="6" t="s">
        <v>10542</v>
      </c>
      <c r="U987" s="6" t="str">
        <f t="shared" si="468"/>
        <v>=3.034*100000000</v>
      </c>
      <c r="V987" s="1">
        <f>3.034*100000000</f>
        <v>303400000</v>
      </c>
      <c r="W987" s="8">
        <f t="shared" si="485"/>
        <v>0.15449010654490106</v>
      </c>
      <c r="X987" s="6" t="s">
        <v>10543</v>
      </c>
      <c r="Y987" s="6" t="str">
        <f t="shared" si="469"/>
        <v>=2.628*100000000</v>
      </c>
      <c r="Z987" s="1">
        <f>2.628*100000000</f>
        <v>262800000</v>
      </c>
      <c r="AA987" s="8">
        <f t="shared" si="486"/>
        <v>0.69987063389391979</v>
      </c>
      <c r="AB987" s="6" t="s">
        <v>10544</v>
      </c>
      <c r="AC987" s="6" t="str">
        <f t="shared" si="470"/>
        <v>=1.546*100000000</v>
      </c>
      <c r="AD987" s="1">
        <f>1.546*100000000</f>
        <v>154600000</v>
      </c>
      <c r="AE987" s="8">
        <f t="shared" si="487"/>
        <v>2.5466850194998853</v>
      </c>
      <c r="AF987" s="7" t="s">
        <v>6724</v>
      </c>
      <c r="AG987" s="6" t="str">
        <f t="shared" si="471"/>
        <v>=4359*10000</v>
      </c>
      <c r="AH987" s="1">
        <f>4359*10000</f>
        <v>43590000</v>
      </c>
      <c r="AI987" s="8">
        <f t="shared" si="488"/>
        <v>-0.81023073574227256</v>
      </c>
      <c r="AJ987" s="6" t="s">
        <v>2540</v>
      </c>
      <c r="AK987" s="6" t="str">
        <f t="shared" si="472"/>
        <v>=2.297*100000000</v>
      </c>
      <c r="AL987" s="1">
        <f>2.297*100000000</f>
        <v>229700000.00000003</v>
      </c>
      <c r="AM987" s="8">
        <f t="shared" si="489"/>
        <v>-5.2001650846058484E-2</v>
      </c>
      <c r="AN987" s="6" t="s">
        <v>7400</v>
      </c>
      <c r="AO987" s="6" t="str">
        <f t="shared" si="473"/>
        <v>=2.423*100000000</v>
      </c>
      <c r="AP987" s="1">
        <f>2.423*100000000</f>
        <v>242300000</v>
      </c>
      <c r="AQ987" s="8">
        <f t="shared" si="490"/>
        <v>0.59723137771918255</v>
      </c>
      <c r="AR987" s="6" t="s">
        <v>6592</v>
      </c>
      <c r="AS987" s="6" t="str">
        <f t="shared" si="474"/>
        <v>=1.517*100000000</v>
      </c>
      <c r="AT987" s="1">
        <f>1.517*100000000</f>
        <v>151700000</v>
      </c>
      <c r="AU987" s="8">
        <f t="shared" si="491"/>
        <v>2.1323559776997727</v>
      </c>
      <c r="AV987" s="7" t="s">
        <v>10545</v>
      </c>
      <c r="AW987" s="6" t="str">
        <f t="shared" si="475"/>
        <v>=4843*10000</v>
      </c>
      <c r="AX987" s="1">
        <f>4843*10000</f>
        <v>48430000</v>
      </c>
      <c r="AY987" s="10">
        <f t="shared" si="492"/>
        <v>2.5407579928011858E-2</v>
      </c>
      <c r="AZ987" s="7" t="s">
        <v>10546</v>
      </c>
      <c r="BA987" s="6" t="str">
        <f t="shared" si="476"/>
        <v>=4723*10000</v>
      </c>
      <c r="BB987" s="1">
        <f>4723*10000</f>
        <v>47230000</v>
      </c>
      <c r="BC987" s="8">
        <f t="shared" si="493"/>
        <v>0.18074999999999999</v>
      </c>
      <c r="BD987" s="7" t="s">
        <v>10547</v>
      </c>
      <c r="BE987" s="6" t="str">
        <f t="shared" si="477"/>
        <v>=4000*10000</v>
      </c>
      <c r="BF987" s="1">
        <f>4000*10000</f>
        <v>40000000</v>
      </c>
      <c r="BG987" s="8">
        <f t="shared" si="494"/>
        <v>0.43626570915619389</v>
      </c>
      <c r="BH987" s="7" t="s">
        <v>10548</v>
      </c>
      <c r="BI987" s="6" t="str">
        <f t="shared" si="478"/>
        <v>=2785*10000</v>
      </c>
      <c r="BJ987" s="1">
        <f>2785*10000</f>
        <v>27850000</v>
      </c>
      <c r="BK987" s="7" t="s">
        <v>10549</v>
      </c>
      <c r="BL987" s="1" t="str">
        <f t="shared" si="480"/>
        <v>=1827*10000</v>
      </c>
      <c r="BM987" s="16">
        <f t="shared" si="495"/>
        <v>0.52435686918445534</v>
      </c>
      <c r="BN987" s="1">
        <f>1827*10000</f>
        <v>18270000</v>
      </c>
    </row>
    <row r="988" spans="1:66">
      <c r="A988" s="18"/>
      <c r="B988">
        <v>600794</v>
      </c>
      <c r="C988" t="s">
        <v>58</v>
      </c>
      <c r="D988" s="6" t="s">
        <v>1987</v>
      </c>
      <c r="E988" s="7" t="str">
        <f t="shared" si="479"/>
        <v>=1.603*100000000</v>
      </c>
      <c r="F988" s="1">
        <f>1.603*100000000</f>
        <v>160300000</v>
      </c>
      <c r="G988" s="8">
        <f t="shared" si="481"/>
        <v>5.460526315789474E-2</v>
      </c>
      <c r="H988" s="6" t="s">
        <v>3676</v>
      </c>
      <c r="I988" s="6" t="str">
        <f t="shared" si="465"/>
        <v>=1.520*100000000</v>
      </c>
      <c r="J988" s="1">
        <f>1.52*100000000</f>
        <v>152000000</v>
      </c>
      <c r="K988" s="10">
        <f t="shared" si="482"/>
        <v>0.22679580306698935</v>
      </c>
      <c r="L988" s="6" t="s">
        <v>4274</v>
      </c>
      <c r="M988" s="6" t="str">
        <f t="shared" si="466"/>
        <v>=1.239*100000000</v>
      </c>
      <c r="N988" s="1">
        <f>1.239*100000000</f>
        <v>123900000.00000001</v>
      </c>
      <c r="O988" s="8">
        <f t="shared" si="483"/>
        <v>0.71274536909040664</v>
      </c>
      <c r="P988" s="7" t="s">
        <v>10550</v>
      </c>
      <c r="Q988" s="6" t="str">
        <f t="shared" si="467"/>
        <v>=7234*10000</v>
      </c>
      <c r="R988" s="11">
        <f>7234*10000</f>
        <v>72340000</v>
      </c>
      <c r="S988" s="8">
        <f t="shared" si="484"/>
        <v>-0.75814108993647611</v>
      </c>
      <c r="T988" s="6" t="s">
        <v>8282</v>
      </c>
      <c r="U988" s="6" t="str">
        <f t="shared" si="468"/>
        <v>=2.991*100000000</v>
      </c>
      <c r="V988" s="1">
        <f>2.991*100000000</f>
        <v>299100000</v>
      </c>
      <c r="W988" s="8">
        <f t="shared" si="485"/>
        <v>0.14773599386032232</v>
      </c>
      <c r="X988" s="6" t="s">
        <v>10551</v>
      </c>
      <c r="Y988" s="6" t="str">
        <f t="shared" si="469"/>
        <v>=2.606*100000000</v>
      </c>
      <c r="Z988" s="1">
        <f>2.606*100000000</f>
        <v>260600000</v>
      </c>
      <c r="AA988" s="8">
        <f t="shared" si="486"/>
        <v>0.70326797385620921</v>
      </c>
      <c r="AB988" s="6" t="s">
        <v>9084</v>
      </c>
      <c r="AC988" s="6" t="str">
        <f t="shared" si="470"/>
        <v>=1.530*100000000</v>
      </c>
      <c r="AD988" s="1">
        <f>1.53*100000000</f>
        <v>153000000</v>
      </c>
      <c r="AE988" s="8">
        <f t="shared" si="487"/>
        <v>2.508369639990828</v>
      </c>
      <c r="AF988" s="7" t="s">
        <v>10552</v>
      </c>
      <c r="AG988" s="6" t="str">
        <f t="shared" si="471"/>
        <v>=4361*10000</v>
      </c>
      <c r="AH988" s="1">
        <f>4361*10000</f>
        <v>43610000</v>
      </c>
      <c r="AI988" s="8">
        <f t="shared" si="488"/>
        <v>-0.80400000000000005</v>
      </c>
      <c r="AJ988" s="6" t="s">
        <v>5033</v>
      </c>
      <c r="AK988" s="6" t="str">
        <f t="shared" si="472"/>
        <v>=2.225*100000000</v>
      </c>
      <c r="AL988" s="1">
        <f>2.225*100000000</f>
        <v>222500000</v>
      </c>
      <c r="AM988" s="8">
        <f t="shared" si="489"/>
        <v>-6.7476948868399E-2</v>
      </c>
      <c r="AN988" s="6" t="s">
        <v>10553</v>
      </c>
      <c r="AO988" s="6" t="str">
        <f t="shared" si="473"/>
        <v>=2.386*100000000</v>
      </c>
      <c r="AP988" s="1">
        <f>2.386*100000000</f>
        <v>238600000</v>
      </c>
      <c r="AQ988" s="8">
        <f t="shared" si="490"/>
        <v>0.58222811671087538</v>
      </c>
      <c r="AR988" s="6" t="s">
        <v>2996</v>
      </c>
      <c r="AS988" s="6" t="str">
        <f t="shared" si="474"/>
        <v>=1.508*100000000</v>
      </c>
      <c r="AT988" s="1">
        <f>1.508*100000000</f>
        <v>150800000</v>
      </c>
      <c r="AU988" s="8">
        <f t="shared" si="491"/>
        <v>2.124740986324078</v>
      </c>
      <c r="AV988" s="7" t="s">
        <v>10554</v>
      </c>
      <c r="AW988" s="6" t="str">
        <f t="shared" si="475"/>
        <v>=4826*10000</v>
      </c>
      <c r="AX988" s="1">
        <f>4826*10000</f>
        <v>48260000</v>
      </c>
      <c r="AY988" s="10">
        <f t="shared" si="492"/>
        <v>-0.22261597938144329</v>
      </c>
      <c r="AZ988" s="7" t="s">
        <v>10555</v>
      </c>
      <c r="BA988" s="6" t="str">
        <f t="shared" si="476"/>
        <v>=6208*10000</v>
      </c>
      <c r="BB988" s="1">
        <f>6208*10000</f>
        <v>62080000</v>
      </c>
      <c r="BC988" s="8">
        <f t="shared" si="493"/>
        <v>0.11035592917188339</v>
      </c>
      <c r="BD988" s="7" t="s">
        <v>10556</v>
      </c>
      <c r="BE988" s="6" t="str">
        <f t="shared" si="477"/>
        <v>=5591*10000</v>
      </c>
      <c r="BF988" s="1">
        <f>5591*10000</f>
        <v>55910000</v>
      </c>
      <c r="BG988" s="8">
        <f t="shared" si="494"/>
        <v>0.25471274685816875</v>
      </c>
      <c r="BH988" s="7" t="s">
        <v>10557</v>
      </c>
      <c r="BI988" s="6" t="str">
        <f t="shared" si="478"/>
        <v>=4456*10000</v>
      </c>
      <c r="BJ988" s="1">
        <f>4456*10000</f>
        <v>44560000</v>
      </c>
      <c r="BK988" s="7" t="s">
        <v>10558</v>
      </c>
      <c r="BL988" s="1" t="str">
        <f t="shared" si="480"/>
        <v>=3483*10000</v>
      </c>
      <c r="BM988" s="16">
        <f t="shared" si="495"/>
        <v>0.27935687625610106</v>
      </c>
      <c r="BN988" s="1">
        <f>3483*10000</f>
        <v>34830000</v>
      </c>
    </row>
    <row r="989" spans="1:66">
      <c r="A989" s="19"/>
      <c r="B989">
        <v>600794</v>
      </c>
      <c r="C989" t="s">
        <v>68</v>
      </c>
      <c r="D989" s="6" t="s">
        <v>9050</v>
      </c>
      <c r="E989" s="7" t="str">
        <f t="shared" si="479"/>
        <v>=1.219*100000000</v>
      </c>
      <c r="F989" s="1">
        <f>1.219*100000000</f>
        <v>121900000.00000001</v>
      </c>
      <c r="G989" s="8">
        <f t="shared" si="481"/>
        <v>6.742556917688293E-2</v>
      </c>
      <c r="H989" s="6" t="s">
        <v>2226</v>
      </c>
      <c r="I989" s="6" t="str">
        <f t="shared" si="465"/>
        <v>=1.142*100000000</v>
      </c>
      <c r="J989" s="1">
        <f>1.142*100000000</f>
        <v>114199999.99999999</v>
      </c>
      <c r="K989" s="10">
        <f t="shared" si="482"/>
        <v>0.19506069485140209</v>
      </c>
      <c r="L989" s="7" t="s">
        <v>10559</v>
      </c>
      <c r="M989" s="6" t="str">
        <f t="shared" si="466"/>
        <v>=9556*10000</v>
      </c>
      <c r="N989" s="1">
        <f>9556*10000</f>
        <v>95560000</v>
      </c>
      <c r="O989" s="8">
        <f t="shared" si="483"/>
        <v>0.73935202038587555</v>
      </c>
      <c r="P989" s="7" t="s">
        <v>10560</v>
      </c>
      <c r="Q989" s="6" t="str">
        <f t="shared" si="467"/>
        <v>=5494*10000</v>
      </c>
      <c r="R989" s="11">
        <f>5494*10000</f>
        <v>54940000</v>
      </c>
      <c r="S989" s="8">
        <f t="shared" si="484"/>
        <v>-0.76521367521367523</v>
      </c>
      <c r="T989" s="6" t="s">
        <v>5435</v>
      </c>
      <c r="U989" s="6" t="str">
        <f t="shared" si="468"/>
        <v>=2.340*100000000</v>
      </c>
      <c r="V989" s="1">
        <f>2.34*100000000</f>
        <v>234000000</v>
      </c>
      <c r="W989" s="8">
        <f t="shared" si="485"/>
        <v>0.11961722488038277</v>
      </c>
      <c r="X989" s="6" t="s">
        <v>7643</v>
      </c>
      <c r="Y989" s="6" t="str">
        <f t="shared" si="469"/>
        <v>=2.090*100000000</v>
      </c>
      <c r="Z989" s="1">
        <f>2.09*100000000</f>
        <v>209000000</v>
      </c>
      <c r="AA989" s="8">
        <f t="shared" si="486"/>
        <v>0.70056956875508525</v>
      </c>
      <c r="AB989" s="6" t="s">
        <v>10561</v>
      </c>
      <c r="AC989" s="6" t="str">
        <f t="shared" si="470"/>
        <v>=1.229*100000000</v>
      </c>
      <c r="AD989" s="1">
        <f>1.229*100000000</f>
        <v>122900000.00000001</v>
      </c>
      <c r="AE989" s="8">
        <f t="shared" si="487"/>
        <v>2.5184655024334388</v>
      </c>
      <c r="AF989" s="7" t="s">
        <v>10562</v>
      </c>
      <c r="AG989" s="6" t="str">
        <f t="shared" si="471"/>
        <v>=3493*10000</v>
      </c>
      <c r="AH989" s="1">
        <f>3493*10000</f>
        <v>34930000</v>
      </c>
      <c r="AI989" s="8">
        <f t="shared" si="488"/>
        <v>-0.7963265306122449</v>
      </c>
      <c r="AJ989" s="6" t="s">
        <v>10563</v>
      </c>
      <c r="AK989" s="6" t="str">
        <f t="shared" si="472"/>
        <v>=1.715*100000000</v>
      </c>
      <c r="AL989" s="1">
        <f>1.715*100000000</f>
        <v>171500000</v>
      </c>
      <c r="AM989" s="8">
        <f t="shared" si="489"/>
        <v>-0.10862785862785863</v>
      </c>
      <c r="AN989" s="6" t="s">
        <v>9833</v>
      </c>
      <c r="AO989" s="6" t="str">
        <f t="shared" si="473"/>
        <v>=1.924*100000000</v>
      </c>
      <c r="AP989" s="1">
        <f>1.924*100000000</f>
        <v>192400000</v>
      </c>
      <c r="AQ989" s="8">
        <f t="shared" si="490"/>
        <v>0.55537590945836679</v>
      </c>
      <c r="AR989" s="6" t="s">
        <v>2393</v>
      </c>
      <c r="AS989" s="6" t="str">
        <f t="shared" si="474"/>
        <v>=1.237*100000000</v>
      </c>
      <c r="AT989" s="1">
        <f>1.237*100000000</f>
        <v>123700000.00000001</v>
      </c>
      <c r="AU989" s="8">
        <f t="shared" si="491"/>
        <v>2.2951518380394251</v>
      </c>
      <c r="AV989" s="7" t="s">
        <v>10564</v>
      </c>
      <c r="AW989" s="6" t="str">
        <f t="shared" si="475"/>
        <v>=3754*10000</v>
      </c>
      <c r="AX989" s="1">
        <f>3754*10000</f>
        <v>37540000</v>
      </c>
      <c r="AY989" s="10">
        <f t="shared" si="492"/>
        <v>-0.17001989829759009</v>
      </c>
      <c r="AZ989" s="7" t="s">
        <v>4448</v>
      </c>
      <c r="BA989" s="6" t="str">
        <f t="shared" si="476"/>
        <v>=4523*10000</v>
      </c>
      <c r="BB989" s="1">
        <f>4523*10000</f>
        <v>45230000</v>
      </c>
      <c r="BC989" s="8">
        <f t="shared" si="493"/>
        <v>0.23613009018857611</v>
      </c>
      <c r="BD989" s="7" t="s">
        <v>10565</v>
      </c>
      <c r="BE989" s="6" t="str">
        <f t="shared" si="477"/>
        <v>=3659*10000</v>
      </c>
      <c r="BF989" s="1">
        <f>3659*10000</f>
        <v>36590000</v>
      </c>
      <c r="BG989" s="8">
        <f t="shared" si="494"/>
        <v>0.13598261409500156</v>
      </c>
      <c r="BH989" s="7" t="s">
        <v>10566</v>
      </c>
      <c r="BI989" s="6" t="str">
        <f t="shared" si="478"/>
        <v>=3221*10000</v>
      </c>
      <c r="BJ989" s="1">
        <f>3221*10000</f>
        <v>32210000</v>
      </c>
      <c r="BK989" s="7" t="s">
        <v>10567</v>
      </c>
      <c r="BL989" s="1" t="str">
        <f t="shared" si="480"/>
        <v>=3185*10000</v>
      </c>
      <c r="BM989" s="16">
        <f t="shared" si="495"/>
        <v>1.1302982731554161E-2</v>
      </c>
      <c r="BN989" s="1">
        <f>3185*10000</f>
        <v>31850000</v>
      </c>
    </row>
    <row r="990" spans="1:66">
      <c r="A990" s="17">
        <v>249</v>
      </c>
      <c r="B990">
        <v>600800</v>
      </c>
      <c r="C990" t="s">
        <v>31</v>
      </c>
      <c r="D990" s="6" t="s">
        <v>10568</v>
      </c>
      <c r="E990" s="7" t="str">
        <f t="shared" si="479"/>
        <v>=42.47*100000000</v>
      </c>
      <c r="F990" s="1">
        <f>42.47*100000000</f>
        <v>4247000000</v>
      </c>
      <c r="G990" s="8">
        <f t="shared" si="481"/>
        <v>0.37310054962819267</v>
      </c>
      <c r="H990" s="6" t="s">
        <v>10569</v>
      </c>
      <c r="I990" s="6" t="str">
        <f t="shared" si="465"/>
        <v>=30.93*100000000</v>
      </c>
      <c r="J990" s="1">
        <f>30.93*100000000</f>
        <v>3093000000</v>
      </c>
      <c r="K990" s="10">
        <f t="shared" si="482"/>
        <v>0.64959999999999996</v>
      </c>
      <c r="L990" s="6" t="s">
        <v>10570</v>
      </c>
      <c r="M990" s="6" t="str">
        <f t="shared" si="466"/>
        <v>=18.75*100000000</v>
      </c>
      <c r="N990" s="1">
        <f>18.75*100000000</f>
        <v>1875000000</v>
      </c>
      <c r="O990" s="8">
        <f t="shared" si="483"/>
        <v>1.0449340167957246</v>
      </c>
      <c r="P990" s="6" t="s">
        <v>10571</v>
      </c>
      <c r="Q990" s="6" t="str">
        <f t="shared" si="467"/>
        <v>=9.169*100000000</v>
      </c>
      <c r="R990" s="11">
        <f>9.169*100000000</f>
        <v>916900000</v>
      </c>
      <c r="S990" s="8">
        <f t="shared" si="484"/>
        <v>-0.66475319926873855</v>
      </c>
      <c r="T990" s="6" t="s">
        <v>1343</v>
      </c>
      <c r="U990" s="6" t="str">
        <f t="shared" si="468"/>
        <v>=27.35*100000000</v>
      </c>
      <c r="V990" s="1">
        <f>27.35*100000000</f>
        <v>2735000000</v>
      </c>
      <c r="W990" s="8">
        <f t="shared" si="485"/>
        <v>0.51021535063500834</v>
      </c>
      <c r="X990" s="6" t="s">
        <v>3622</v>
      </c>
      <c r="Y990" s="6" t="str">
        <f t="shared" si="469"/>
        <v>=18.11*100000000</v>
      </c>
      <c r="Z990" s="1">
        <f>18.11*100000000</f>
        <v>1811000000</v>
      </c>
      <c r="AA990" s="8">
        <f t="shared" si="486"/>
        <v>1.3340636679984534</v>
      </c>
      <c r="AB990" s="6" t="s">
        <v>10572</v>
      </c>
      <c r="AC990" s="6" t="str">
        <f t="shared" si="470"/>
        <v>=7.759*100000000</v>
      </c>
      <c r="AD990" s="1">
        <f>7.759*100000000</f>
        <v>775900000</v>
      </c>
      <c r="AE990" s="8">
        <f t="shared" si="487"/>
        <v>59.47544816835542</v>
      </c>
      <c r="AF990" s="7" t="s">
        <v>10573</v>
      </c>
      <c r="AG990" s="6" t="str">
        <f t="shared" si="471"/>
        <v>=1283*10000</v>
      </c>
      <c r="AH990" s="1">
        <f>1283*10000</f>
        <v>12830000</v>
      </c>
      <c r="AI990" s="8">
        <f t="shared" si="488"/>
        <v>-0.99664575163398694</v>
      </c>
      <c r="AJ990" s="6" t="s">
        <v>7637</v>
      </c>
      <c r="AK990" s="6" t="str">
        <f t="shared" si="472"/>
        <v>=38.25*100000000</v>
      </c>
      <c r="AL990" s="1">
        <f>38.25*100000000</f>
        <v>3825000000</v>
      </c>
      <c r="AM990" s="8">
        <f t="shared" si="489"/>
        <v>0.28701211305518171</v>
      </c>
      <c r="AN990" s="6" t="s">
        <v>10574</v>
      </c>
      <c r="AO990" s="6" t="str">
        <f t="shared" si="473"/>
        <v>=29.72*100000000</v>
      </c>
      <c r="AP990" s="1">
        <f>29.72*100000000</f>
        <v>2972000000</v>
      </c>
      <c r="AQ990" s="8">
        <f t="shared" si="490"/>
        <v>0.59870898332436795</v>
      </c>
      <c r="AR990" s="6" t="s">
        <v>7360</v>
      </c>
      <c r="AS990" s="6" t="str">
        <f t="shared" si="474"/>
        <v>=18.59*100000000</v>
      </c>
      <c r="AT990" s="1">
        <f>18.59*100000000</f>
        <v>1859000000</v>
      </c>
      <c r="AU990" s="8">
        <f t="shared" si="491"/>
        <v>1.3675496688741722</v>
      </c>
      <c r="AV990" s="6" t="s">
        <v>5126</v>
      </c>
      <c r="AW990" s="6" t="str">
        <f t="shared" si="475"/>
        <v>=7.852*100000000</v>
      </c>
      <c r="AX990" s="1">
        <f>7.852*100000000</f>
        <v>785200000</v>
      </c>
      <c r="AY990" s="10">
        <f t="shared" si="492"/>
        <v>4.4039917412250515</v>
      </c>
      <c r="AZ990" s="6" t="s">
        <v>3481</v>
      </c>
      <c r="BA990" s="6" t="str">
        <f t="shared" si="476"/>
        <v>=1.453*100000000</v>
      </c>
      <c r="BB990" s="1">
        <f>1.453*100000000</f>
        <v>145300000</v>
      </c>
      <c r="BC990" s="8">
        <f t="shared" si="493"/>
        <v>0.35162790697674418</v>
      </c>
      <c r="BD990" s="6" t="s">
        <v>2150</v>
      </c>
      <c r="BE990" s="6" t="str">
        <f t="shared" si="477"/>
        <v>=1.075*100000000</v>
      </c>
      <c r="BF990" s="1">
        <f>1.075*100000000</f>
        <v>107500000</v>
      </c>
      <c r="BG990" s="8">
        <f t="shared" si="494"/>
        <v>0.37767525310777905</v>
      </c>
      <c r="BH990" s="7" t="s">
        <v>10575</v>
      </c>
      <c r="BI990" s="6" t="str">
        <f t="shared" si="478"/>
        <v>=7803*10000</v>
      </c>
      <c r="BJ990" s="1">
        <f>7803*10000</f>
        <v>78030000</v>
      </c>
      <c r="BK990" s="7" t="s">
        <v>10576</v>
      </c>
      <c r="BL990" s="1" t="str">
        <f t="shared" si="480"/>
        <v>=3431*10000</v>
      </c>
      <c r="BM990" s="16">
        <f t="shared" si="495"/>
        <v>1.2742640629554065</v>
      </c>
      <c r="BN990" s="1">
        <f>3431*10000</f>
        <v>34310000</v>
      </c>
    </row>
    <row r="991" spans="1:66">
      <c r="A991" s="18"/>
      <c r="B991">
        <v>600800</v>
      </c>
      <c r="C991" t="s">
        <v>48</v>
      </c>
      <c r="D991" s="6" t="s">
        <v>133</v>
      </c>
      <c r="E991" s="7" t="str">
        <f t="shared" si="479"/>
        <v>=2.324*100000000</v>
      </c>
      <c r="F991" s="1">
        <f>2.324*100000000</f>
        <v>232399999.99999997</v>
      </c>
      <c r="G991" s="8">
        <f t="shared" si="481"/>
        <v>0.25148088314485711</v>
      </c>
      <c r="H991" s="6" t="s">
        <v>4398</v>
      </c>
      <c r="I991" s="6" t="str">
        <f t="shared" si="465"/>
        <v>=1.857*100000000</v>
      </c>
      <c r="J991" s="1">
        <f>1.857*100000000</f>
        <v>185700000</v>
      </c>
      <c r="K991" s="10">
        <f t="shared" si="482"/>
        <v>0.43176561295296839</v>
      </c>
      <c r="L991" s="6" t="s">
        <v>10284</v>
      </c>
      <c r="M991" s="6" t="str">
        <f t="shared" si="466"/>
        <v>=1.297*100000000</v>
      </c>
      <c r="N991" s="1">
        <f>1.297*100000000</f>
        <v>129700000</v>
      </c>
      <c r="O991" s="8">
        <f t="shared" si="483"/>
        <v>0.40064794816414689</v>
      </c>
      <c r="P991" s="7" t="s">
        <v>10577</v>
      </c>
      <c r="Q991" s="6" t="str">
        <f t="shared" si="467"/>
        <v>=9260*10000</v>
      </c>
      <c r="R991" s="11">
        <f>9260*10000</f>
        <v>92600000</v>
      </c>
      <c r="S991" s="8">
        <f t="shared" si="484"/>
        <v>-0.71251164234709718</v>
      </c>
      <c r="T991" s="6" t="s">
        <v>3872</v>
      </c>
      <c r="U991" s="6" t="str">
        <f t="shared" si="468"/>
        <v>=3.221*100000000</v>
      </c>
      <c r="V991" s="1">
        <f>3.221*100000000</f>
        <v>322100000</v>
      </c>
      <c r="W991" s="8">
        <f t="shared" si="485"/>
        <v>1.3357505438723714</v>
      </c>
      <c r="X991" s="6" t="s">
        <v>10578</v>
      </c>
      <c r="Y991" s="6" t="str">
        <f t="shared" si="469"/>
        <v>=1.379*100000000</v>
      </c>
      <c r="Z991" s="1">
        <f>1.379*100000000</f>
        <v>137900000</v>
      </c>
      <c r="AA991" s="8">
        <f t="shared" si="486"/>
        <v>-3.3800483258543319</v>
      </c>
      <c r="AB991" s="7">
        <f>-5794*10000</f>
        <v>-57940000</v>
      </c>
      <c r="AC991" s="6" t="str">
        <f t="shared" si="470"/>
        <v>=-57940000</v>
      </c>
      <c r="AD991" s="1">
        <f>-57940000</f>
        <v>-57940000</v>
      </c>
      <c r="AE991" s="8">
        <f t="shared" si="487"/>
        <v>-0.3046921876875075</v>
      </c>
      <c r="AF991" s="7">
        <f>-8333*10000</f>
        <v>-83330000</v>
      </c>
      <c r="AG991" s="6" t="str">
        <f t="shared" si="471"/>
        <v>=-83330000</v>
      </c>
      <c r="AH991" s="1">
        <f>-83330000</f>
        <v>-83330000</v>
      </c>
      <c r="AI991" s="8">
        <f t="shared" si="488"/>
        <v>-1.404122211445199</v>
      </c>
      <c r="AJ991" s="6" t="s">
        <v>1050</v>
      </c>
      <c r="AK991" s="6" t="str">
        <f t="shared" si="472"/>
        <v>=2.062*100000000</v>
      </c>
      <c r="AL991" s="1">
        <f>2.062*100000000</f>
        <v>206199999.99999997</v>
      </c>
      <c r="AM991" s="8">
        <f t="shared" si="489"/>
        <v>4.8520135856365939E-4</v>
      </c>
      <c r="AN991" s="6" t="s">
        <v>5487</v>
      </c>
      <c r="AO991" s="6" t="str">
        <f t="shared" si="473"/>
        <v>=2.061*100000000</v>
      </c>
      <c r="AP991" s="1">
        <f>2.061*100000000</f>
        <v>206100000</v>
      </c>
      <c r="AQ991" s="8">
        <f t="shared" si="490"/>
        <v>204.07462686567163</v>
      </c>
      <c r="AR991" s="7" t="s">
        <v>10579</v>
      </c>
      <c r="AS991" s="6" t="str">
        <f t="shared" si="474"/>
        <v>=100.5*10000</v>
      </c>
      <c r="AT991" s="1">
        <f>100.5*10000</f>
        <v>1005000</v>
      </c>
      <c r="AU991" s="8">
        <f t="shared" si="491"/>
        <v>-1.0246263170791472</v>
      </c>
      <c r="AV991" s="7">
        <f>-4081*10000</f>
        <v>-40810000</v>
      </c>
      <c r="AW991" s="6" t="str">
        <f t="shared" si="475"/>
        <v>=-40810000</v>
      </c>
      <c r="AX991" s="1">
        <f>-40810000</f>
        <v>-40810000</v>
      </c>
      <c r="AY991" s="10">
        <f t="shared" si="492"/>
        <v>-1.5600384245917387</v>
      </c>
      <c r="AZ991" s="7" t="s">
        <v>4275</v>
      </c>
      <c r="BA991" s="6" t="str">
        <f t="shared" si="476"/>
        <v>=7287*10000</v>
      </c>
      <c r="BB991" s="1">
        <f>7287*10000</f>
        <v>72870000</v>
      </c>
      <c r="BC991" s="8">
        <f t="shared" si="493"/>
        <v>-2.6930762081784385</v>
      </c>
      <c r="BD991" s="7">
        <f>-4304*10000</f>
        <v>-43040000</v>
      </c>
      <c r="BE991" s="6" t="str">
        <f t="shared" si="477"/>
        <v>=-43040000</v>
      </c>
      <c r="BF991" s="1">
        <f>-43040000</f>
        <v>-43040000</v>
      </c>
      <c r="BG991" s="8">
        <f t="shared" si="494"/>
        <v>0.49756437021572719</v>
      </c>
      <c r="BH991" s="7">
        <f>-2874*10000</f>
        <v>-28740000</v>
      </c>
      <c r="BI991" s="6" t="str">
        <f t="shared" si="478"/>
        <v>=-28740000</v>
      </c>
      <c r="BJ991" s="1">
        <f>-28740000</f>
        <v>-28740000</v>
      </c>
      <c r="BK991" s="7">
        <f>-1305*10000</f>
        <v>-13050000</v>
      </c>
      <c r="BL991" s="1" t="str">
        <f t="shared" si="480"/>
        <v>=-13050000</v>
      </c>
      <c r="BM991" s="16">
        <f t="shared" si="495"/>
        <v>1.2022988505747128</v>
      </c>
      <c r="BN991" s="1">
        <f>-13050000</f>
        <v>-13050000</v>
      </c>
    </row>
    <row r="992" spans="1:66">
      <c r="A992" s="18"/>
      <c r="B992">
        <v>600800</v>
      </c>
      <c r="C992" t="s">
        <v>58</v>
      </c>
      <c r="D992" s="6" t="s">
        <v>10580</v>
      </c>
      <c r="E992" s="7" t="str">
        <f t="shared" si="479"/>
        <v>=2.325*100000000</v>
      </c>
      <c r="F992" s="1">
        <f>2.325*100000000</f>
        <v>232500000.00000003</v>
      </c>
      <c r="G992" s="8">
        <f t="shared" si="481"/>
        <v>0.25134553283100125</v>
      </c>
      <c r="H992" s="6" t="s">
        <v>2197</v>
      </c>
      <c r="I992" s="6" t="str">
        <f t="shared" si="465"/>
        <v>=1.858*100000000</v>
      </c>
      <c r="J992" s="1">
        <f>1.858*100000000</f>
        <v>185800000</v>
      </c>
      <c r="K992" s="10">
        <f t="shared" si="482"/>
        <v>0.43143297380585516</v>
      </c>
      <c r="L992" s="6" t="s">
        <v>10581</v>
      </c>
      <c r="M992" s="6" t="str">
        <f t="shared" si="466"/>
        <v>=1.298*100000000</v>
      </c>
      <c r="N992" s="1">
        <f>1.298*100000000</f>
        <v>129800000</v>
      </c>
      <c r="O992" s="8">
        <f t="shared" si="483"/>
        <v>0.40142517814726841</v>
      </c>
      <c r="P992" s="7" t="s">
        <v>1214</v>
      </c>
      <c r="Q992" s="6" t="str">
        <f t="shared" si="467"/>
        <v>=9262*10000</v>
      </c>
      <c r="R992" s="11">
        <f>9262*10000</f>
        <v>92620000</v>
      </c>
      <c r="S992" s="8">
        <f t="shared" si="484"/>
        <v>-0.63862660944206018</v>
      </c>
      <c r="T992" s="6" t="s">
        <v>1674</v>
      </c>
      <c r="U992" s="6" t="str">
        <f t="shared" si="468"/>
        <v>=2.563*100000000</v>
      </c>
      <c r="V992" s="1">
        <f>2.563*100000000</f>
        <v>256300000.00000003</v>
      </c>
      <c r="W992" s="8">
        <f t="shared" si="485"/>
        <v>2.6713937831256271</v>
      </c>
      <c r="X992" s="7" t="s">
        <v>5437</v>
      </c>
      <c r="Y992" s="6" t="str">
        <f t="shared" si="469"/>
        <v>=6981*10000</v>
      </c>
      <c r="Z992" s="1">
        <f>6981*10000</f>
        <v>69810000</v>
      </c>
      <c r="AA992" s="8">
        <f t="shared" si="486"/>
        <v>-1.5522943037974684</v>
      </c>
      <c r="AB992" s="6">
        <f>-1.264*100000000</f>
        <v>-126400000</v>
      </c>
      <c r="AC992" s="6" t="str">
        <f t="shared" si="470"/>
        <v>=-126400000</v>
      </c>
      <c r="AD992" s="1">
        <f>-126400000</f>
        <v>-126400000</v>
      </c>
      <c r="AE992" s="8">
        <f t="shared" si="487"/>
        <v>-0.16622691292875991</v>
      </c>
      <c r="AF992" s="6">
        <f>-1.516*100000000</f>
        <v>-151600000</v>
      </c>
      <c r="AG992" s="6" t="str">
        <f t="shared" si="471"/>
        <v>=-151600000</v>
      </c>
      <c r="AH992" s="1">
        <f>-151600000</f>
        <v>-151600000</v>
      </c>
      <c r="AI992" s="8">
        <f t="shared" si="488"/>
        <v>-1.7147571900047147</v>
      </c>
      <c r="AJ992" s="6" t="s">
        <v>4757</v>
      </c>
      <c r="AK992" s="6" t="str">
        <f t="shared" si="472"/>
        <v>=2.121*100000000</v>
      </c>
      <c r="AL992" s="1">
        <f>2.121*100000000</f>
        <v>212100000</v>
      </c>
      <c r="AM992" s="8">
        <f t="shared" si="489"/>
        <v>2.6621490803485144E-2</v>
      </c>
      <c r="AN992" s="6" t="s">
        <v>10582</v>
      </c>
      <c r="AO992" s="6" t="str">
        <f t="shared" si="473"/>
        <v>=2.066*100000000</v>
      </c>
      <c r="AP992" s="1">
        <f>2.066*100000000</f>
        <v>206599999.99999997</v>
      </c>
      <c r="AQ992" s="8">
        <f t="shared" si="490"/>
        <v>556.1736785329017</v>
      </c>
      <c r="AR992" s="7" t="s">
        <v>10583</v>
      </c>
      <c r="AS992" s="6" t="str">
        <f t="shared" si="474"/>
        <v>=37.08*10000</v>
      </c>
      <c r="AT992" s="1">
        <f>37.08*10000</f>
        <v>370800</v>
      </c>
      <c r="AU992" s="8">
        <f t="shared" si="491"/>
        <v>-1.0091217712177121</v>
      </c>
      <c r="AV992" s="7">
        <f>-4065*10000</f>
        <v>-40650000</v>
      </c>
      <c r="AW992" s="6" t="str">
        <f t="shared" si="475"/>
        <v>=-40650000</v>
      </c>
      <c r="AX992" s="1">
        <f>-40650000</f>
        <v>-40650000</v>
      </c>
      <c r="AY992" s="10">
        <f t="shared" si="492"/>
        <v>-1.5663926431656681</v>
      </c>
      <c r="AZ992" s="7" t="s">
        <v>10584</v>
      </c>
      <c r="BA992" s="6" t="str">
        <f t="shared" si="476"/>
        <v>=7177*10000</v>
      </c>
      <c r="BB992" s="1">
        <f>7177*10000</f>
        <v>71770000</v>
      </c>
      <c r="BC992" s="8">
        <f t="shared" si="493"/>
        <v>-2.6468563561266638</v>
      </c>
      <c r="BD992" s="7">
        <f>-4358*10000</f>
        <v>-43580000</v>
      </c>
      <c r="BE992" s="6" t="str">
        <f t="shared" si="477"/>
        <v>=-43580000</v>
      </c>
      <c r="BF992" s="1">
        <f>-43580000</f>
        <v>-43580000</v>
      </c>
      <c r="BG992" s="8">
        <f t="shared" si="494"/>
        <v>0.44256868586560744</v>
      </c>
      <c r="BH992" s="7">
        <f>-3021*10000</f>
        <v>-30210000</v>
      </c>
      <c r="BI992" s="6" t="str">
        <f t="shared" si="478"/>
        <v>=-30210000</v>
      </c>
      <c r="BJ992" s="1">
        <f>-30210000</f>
        <v>-30210000</v>
      </c>
      <c r="BK992" s="7">
        <f>-1305*10000</f>
        <v>-13050000</v>
      </c>
      <c r="BL992" s="1" t="str">
        <f t="shared" si="480"/>
        <v>=-13050000</v>
      </c>
      <c r="BM992" s="16">
        <f t="shared" si="495"/>
        <v>1.3149425287356322</v>
      </c>
      <c r="BN992" s="1">
        <f>-13050000</f>
        <v>-13050000</v>
      </c>
    </row>
    <row r="993" spans="1:66">
      <c r="A993" s="19"/>
      <c r="B993">
        <v>600800</v>
      </c>
      <c r="C993" t="s">
        <v>68</v>
      </c>
      <c r="D993" s="6" t="s">
        <v>4029</v>
      </c>
      <c r="E993" s="7" t="str">
        <f t="shared" si="479"/>
        <v>=1.878*100000000</v>
      </c>
      <c r="F993" s="1">
        <f>1.878*100000000</f>
        <v>187800000</v>
      </c>
      <c r="G993" s="8">
        <f t="shared" si="481"/>
        <v>0.59829787234042553</v>
      </c>
      <c r="H993" s="6" t="s">
        <v>5315</v>
      </c>
      <c r="I993" s="6" t="str">
        <f t="shared" si="465"/>
        <v>=1.175*100000000</v>
      </c>
      <c r="J993" s="1">
        <f>1.175*100000000</f>
        <v>117500000</v>
      </c>
      <c r="K993" s="10">
        <f t="shared" si="482"/>
        <v>0.3482501434308663</v>
      </c>
      <c r="L993" s="7" t="s">
        <v>10585</v>
      </c>
      <c r="M993" s="6" t="str">
        <f t="shared" si="466"/>
        <v>=8715*10000</v>
      </c>
      <c r="N993" s="1">
        <f>8715*10000</f>
        <v>87150000</v>
      </c>
      <c r="O993" s="8">
        <f t="shared" si="483"/>
        <v>0.32426682874943019</v>
      </c>
      <c r="P993" s="7" t="s">
        <v>10586</v>
      </c>
      <c r="Q993" s="6" t="str">
        <f t="shared" si="467"/>
        <v>=6581*10000</v>
      </c>
      <c r="R993" s="11">
        <f>6581*10000</f>
        <v>65810000</v>
      </c>
      <c r="S993" s="8">
        <f t="shared" si="484"/>
        <v>-0.64522911051212939</v>
      </c>
      <c r="T993" s="6" t="s">
        <v>10587</v>
      </c>
      <c r="U993" s="6" t="str">
        <f t="shared" si="468"/>
        <v>=1.855*100000000</v>
      </c>
      <c r="V993" s="1">
        <f>1.855*100000000</f>
        <v>185500000</v>
      </c>
      <c r="W993" s="8">
        <f t="shared" si="485"/>
        <v>3.9665327978580991</v>
      </c>
      <c r="X993" s="7" t="s">
        <v>10588</v>
      </c>
      <c r="Y993" s="6" t="str">
        <f t="shared" si="469"/>
        <v>=3735*10000</v>
      </c>
      <c r="Z993" s="1">
        <f>3735*10000</f>
        <v>37350000</v>
      </c>
      <c r="AA993" s="8">
        <f t="shared" si="486"/>
        <v>-1.3451940850277264</v>
      </c>
      <c r="AB993" s="6">
        <f>-1.082*100000000</f>
        <v>-108200000</v>
      </c>
      <c r="AC993" s="6" t="str">
        <f t="shared" si="470"/>
        <v>=-108200000</v>
      </c>
      <c r="AD993" s="1">
        <f>-108200000</f>
        <v>-108200000</v>
      </c>
      <c r="AE993" s="8">
        <f t="shared" si="487"/>
        <v>-9.1519731318219985E-2</v>
      </c>
      <c r="AF993" s="6">
        <f>-1.191*100000000</f>
        <v>-119100000</v>
      </c>
      <c r="AG993" s="6" t="str">
        <f t="shared" si="471"/>
        <v>=-119100000</v>
      </c>
      <c r="AH993" s="1">
        <f>-119100000</f>
        <v>-119100000</v>
      </c>
      <c r="AI993" s="8">
        <f t="shared" si="488"/>
        <v>-1.8107556160653506</v>
      </c>
      <c r="AJ993" s="6" t="s">
        <v>8513</v>
      </c>
      <c r="AK993" s="6" t="str">
        <f t="shared" si="472"/>
        <v>=1.469*100000000</v>
      </c>
      <c r="AL993" s="1">
        <f>1.469*100000000</f>
        <v>146900000</v>
      </c>
      <c r="AM993" s="8">
        <f t="shared" si="489"/>
        <v>3.5236081747709654E-2</v>
      </c>
      <c r="AN993" s="6" t="s">
        <v>9132</v>
      </c>
      <c r="AO993" s="6" t="str">
        <f t="shared" si="473"/>
        <v>=1.419*100000000</v>
      </c>
      <c r="AP993" s="1">
        <f>1.419*100000000</f>
        <v>141900000</v>
      </c>
      <c r="AQ993" s="8">
        <f t="shared" si="490"/>
        <v>-19.715378528092852</v>
      </c>
      <c r="AR993" s="7">
        <f>-758.2*10000</f>
        <v>-7582000</v>
      </c>
      <c r="AS993" s="6" t="str">
        <f t="shared" si="474"/>
        <v>=-7582000</v>
      </c>
      <c r="AT993" s="1">
        <f>-7582000</f>
        <v>-7582000</v>
      </c>
      <c r="AU993" s="8">
        <f t="shared" si="491"/>
        <v>-0.79541284403669721</v>
      </c>
      <c r="AV993" s="7">
        <f>-3706*10000</f>
        <v>-37060000</v>
      </c>
      <c r="AW993" s="6" t="str">
        <f t="shared" si="475"/>
        <v>=-37060000</v>
      </c>
      <c r="AX993" s="1">
        <f>-37060000</f>
        <v>-37060000</v>
      </c>
      <c r="AY993" s="10">
        <f t="shared" si="492"/>
        <v>-1.5163717430681343</v>
      </c>
      <c r="AZ993" s="7" t="s">
        <v>10584</v>
      </c>
      <c r="BA993" s="6" t="str">
        <f t="shared" si="476"/>
        <v>=7177*10000</v>
      </c>
      <c r="BB993" s="1">
        <f>7177*10000</f>
        <v>71770000</v>
      </c>
      <c r="BC993" s="8">
        <f t="shared" si="493"/>
        <v>-2.6468563561266638</v>
      </c>
      <c r="BD993" s="7">
        <f>-4358*10000</f>
        <v>-43580000</v>
      </c>
      <c r="BE993" s="6" t="str">
        <f t="shared" si="477"/>
        <v>=-43580000</v>
      </c>
      <c r="BF993" s="1">
        <f>-43580000</f>
        <v>-43580000</v>
      </c>
      <c r="BG993" s="8">
        <f t="shared" si="494"/>
        <v>0.44256868586560744</v>
      </c>
      <c r="BH993" s="7">
        <f>-3021*10000</f>
        <v>-30210000</v>
      </c>
      <c r="BI993" s="6" t="str">
        <f t="shared" si="478"/>
        <v>=-30210000</v>
      </c>
      <c r="BJ993" s="1">
        <f>-30210000</f>
        <v>-30210000</v>
      </c>
      <c r="BK993" s="7">
        <f>-1305*10000</f>
        <v>-13050000</v>
      </c>
      <c r="BL993" s="1" t="str">
        <f t="shared" si="480"/>
        <v>=-13050000</v>
      </c>
      <c r="BM993" s="16">
        <f t="shared" si="495"/>
        <v>1.3149425287356322</v>
      </c>
      <c r="BN993" s="1">
        <f>-13050000</f>
        <v>-13050000</v>
      </c>
    </row>
    <row r="994" spans="1:66">
      <c r="A994" s="17">
        <v>250</v>
      </c>
      <c r="B994">
        <v>600801</v>
      </c>
      <c r="C994" t="s">
        <v>31</v>
      </c>
      <c r="D994" s="6" t="s">
        <v>10589</v>
      </c>
      <c r="E994" s="7" t="str">
        <f t="shared" si="479"/>
        <v>=324.6*100000000</v>
      </c>
      <c r="F994" s="1">
        <f>324.6*100000000</f>
        <v>32460000000.000004</v>
      </c>
      <c r="G994" s="8">
        <f t="shared" si="481"/>
        <v>0.44587973273942111</v>
      </c>
      <c r="H994" s="6" t="s">
        <v>10590</v>
      </c>
      <c r="I994" s="6" t="str">
        <f t="shared" si="465"/>
        <v>=224.5*100000000</v>
      </c>
      <c r="J994" s="1">
        <f>224.5*100000000</f>
        <v>22450000000</v>
      </c>
      <c r="K994" s="10">
        <f t="shared" si="482"/>
        <v>0.52306648575305292</v>
      </c>
      <c r="L994" s="6" t="s">
        <v>10591</v>
      </c>
      <c r="M994" s="6" t="str">
        <f t="shared" si="466"/>
        <v>=147.4*100000000</v>
      </c>
      <c r="N994" s="1">
        <f>147.4*100000000</f>
        <v>14740000000</v>
      </c>
      <c r="O994" s="8">
        <f t="shared" si="483"/>
        <v>1.3816448537728228</v>
      </c>
      <c r="P994" s="6" t="s">
        <v>10592</v>
      </c>
      <c r="Q994" s="6" t="str">
        <f t="shared" si="467"/>
        <v>=61.89*100000000</v>
      </c>
      <c r="R994" s="11">
        <f>61.89*100000000</f>
        <v>6189000000</v>
      </c>
      <c r="S994" s="8">
        <f t="shared" si="484"/>
        <v>-0.78920299727520438</v>
      </c>
      <c r="T994" s="6" t="s">
        <v>6985</v>
      </c>
      <c r="U994" s="6" t="str">
        <f t="shared" si="468"/>
        <v>=293.6*100000000</v>
      </c>
      <c r="V994" s="1">
        <f>293.6*100000000</f>
        <v>29360000000.000004</v>
      </c>
      <c r="W994" s="8">
        <f t="shared" si="485"/>
        <v>0.43851053405193552</v>
      </c>
      <c r="X994" s="6" t="s">
        <v>10593</v>
      </c>
      <c r="Y994" s="6" t="str">
        <f t="shared" si="469"/>
        <v>=204.1*100000000</v>
      </c>
      <c r="Z994" s="1">
        <f>204.1*100000000</f>
        <v>20410000000</v>
      </c>
      <c r="AA994" s="8">
        <f t="shared" si="486"/>
        <v>0.625</v>
      </c>
      <c r="AB994" s="6" t="s">
        <v>6304</v>
      </c>
      <c r="AC994" s="6" t="str">
        <f t="shared" si="470"/>
        <v>=125.6*100000000</v>
      </c>
      <c r="AD994" s="1">
        <f>125.6*100000000</f>
        <v>12560000000</v>
      </c>
      <c r="AE994" s="8">
        <f t="shared" si="487"/>
        <v>2.263185242920239</v>
      </c>
      <c r="AF994" s="6" t="s">
        <v>10594</v>
      </c>
      <c r="AG994" s="6" t="str">
        <f t="shared" si="471"/>
        <v>=38.49*100000000</v>
      </c>
      <c r="AH994" s="1">
        <f>38.49*100000000</f>
        <v>3849000000</v>
      </c>
      <c r="AI994" s="8">
        <f t="shared" si="488"/>
        <v>-0.87757633587786255</v>
      </c>
      <c r="AJ994" s="6" t="s">
        <v>10595</v>
      </c>
      <c r="AK994" s="6" t="str">
        <f t="shared" si="472"/>
        <v>=314.4*100000000</v>
      </c>
      <c r="AL994" s="1">
        <f>314.4*100000000</f>
        <v>31439999999.999996</v>
      </c>
      <c r="AM994" s="8">
        <f t="shared" si="489"/>
        <v>0.39919893190921213</v>
      </c>
      <c r="AN994" s="6" t="s">
        <v>691</v>
      </c>
      <c r="AO994" s="6" t="str">
        <f t="shared" si="473"/>
        <v>=224.7*100000000</v>
      </c>
      <c r="AP994" s="1">
        <f>224.7*100000000</f>
        <v>22470000000</v>
      </c>
      <c r="AQ994" s="8">
        <f t="shared" si="490"/>
        <v>0.56150104239054899</v>
      </c>
      <c r="AR994" s="6" t="s">
        <v>10596</v>
      </c>
      <c r="AS994" s="6" t="str">
        <f t="shared" si="474"/>
        <v>=143.9*100000000</v>
      </c>
      <c r="AT994" s="1">
        <f>143.9*100000000</f>
        <v>14390000000</v>
      </c>
      <c r="AU994" s="8">
        <f t="shared" si="491"/>
        <v>1.4079651941097724</v>
      </c>
      <c r="AV994" s="6" t="s">
        <v>10597</v>
      </c>
      <c r="AW994" s="6" t="str">
        <f t="shared" si="475"/>
        <v>=59.76*100000000</v>
      </c>
      <c r="AX994" s="1">
        <f>59.76*100000000</f>
        <v>5976000000</v>
      </c>
      <c r="AY994" s="10">
        <f t="shared" si="492"/>
        <v>-0.7824535857298871</v>
      </c>
      <c r="AZ994" s="6" t="s">
        <v>8012</v>
      </c>
      <c r="BA994" s="6" t="str">
        <f t="shared" si="476"/>
        <v>=274.7*100000000</v>
      </c>
      <c r="BB994" s="1">
        <f>274.7*100000000</f>
        <v>27470000000</v>
      </c>
      <c r="BC994" s="8">
        <f t="shared" si="493"/>
        <v>0.44275210084033612</v>
      </c>
      <c r="BD994" s="6" t="s">
        <v>10598</v>
      </c>
      <c r="BE994" s="6" t="str">
        <f t="shared" si="477"/>
        <v>=190.4*100000000</v>
      </c>
      <c r="BF994" s="1">
        <f>190.4*100000000</f>
        <v>19040000000</v>
      </c>
      <c r="BG994" s="8">
        <f t="shared" si="494"/>
        <v>0.60269360269360273</v>
      </c>
      <c r="BH994" s="6" t="s">
        <v>853</v>
      </c>
      <c r="BI994" s="6" t="str">
        <f t="shared" si="478"/>
        <v>=118.8*100000000</v>
      </c>
      <c r="BJ994" s="1">
        <f>118.8*100000000</f>
        <v>11880000000</v>
      </c>
      <c r="BK994" s="6" t="s">
        <v>10599</v>
      </c>
      <c r="BL994" s="1" t="str">
        <f t="shared" si="480"/>
        <v>=45.09*100000000</v>
      </c>
      <c r="BM994" s="16">
        <f t="shared" si="495"/>
        <v>1.6347305389221556</v>
      </c>
      <c r="BN994" s="1">
        <f>45.09*100000000</f>
        <v>4509000000</v>
      </c>
    </row>
    <row r="995" spans="1:66">
      <c r="A995" s="18"/>
      <c r="B995">
        <v>600801</v>
      </c>
      <c r="C995" t="s">
        <v>48</v>
      </c>
      <c r="D995" s="6" t="s">
        <v>544</v>
      </c>
      <c r="E995" s="7" t="str">
        <f t="shared" si="479"/>
        <v>=74.44*100000000</v>
      </c>
      <c r="F995" s="1">
        <f>74.44*100000000</f>
        <v>7444000000</v>
      </c>
      <c r="G995" s="8">
        <f t="shared" si="481"/>
        <v>0.49899315344341522</v>
      </c>
      <c r="H995" s="6" t="s">
        <v>10600</v>
      </c>
      <c r="I995" s="6" t="str">
        <f t="shared" si="465"/>
        <v>=49.66*100000000</v>
      </c>
      <c r="J995" s="1">
        <f>49.66*100000000</f>
        <v>4966000000</v>
      </c>
      <c r="K995" s="10">
        <f t="shared" si="482"/>
        <v>0.46317030053034769</v>
      </c>
      <c r="L995" s="6" t="s">
        <v>729</v>
      </c>
      <c r="M995" s="6" t="str">
        <f t="shared" si="466"/>
        <v>=33.94*100000000</v>
      </c>
      <c r="N995" s="1">
        <f>33.94*100000000</f>
        <v>3394000000</v>
      </c>
      <c r="O995" s="8">
        <f t="shared" si="483"/>
        <v>2.2385496183206106</v>
      </c>
      <c r="P995" s="6" t="s">
        <v>2750</v>
      </c>
      <c r="Q995" s="6" t="str">
        <f t="shared" si="467"/>
        <v>=10.48*100000000</v>
      </c>
      <c r="R995" s="11">
        <f>10.48*100000000</f>
        <v>1048000000</v>
      </c>
      <c r="S995" s="8">
        <f t="shared" si="484"/>
        <v>-0.8638784257695804</v>
      </c>
      <c r="T995" s="6" t="s">
        <v>10601</v>
      </c>
      <c r="U995" s="6" t="str">
        <f t="shared" si="468"/>
        <v>=76.99*100000000</v>
      </c>
      <c r="V995" s="1">
        <f>76.99*100000000</f>
        <v>7698999999.999999</v>
      </c>
      <c r="W995" s="8">
        <f t="shared" si="485"/>
        <v>0.39348416289592741</v>
      </c>
      <c r="X995" s="6" t="s">
        <v>10602</v>
      </c>
      <c r="Y995" s="6" t="str">
        <f t="shared" si="469"/>
        <v>=55.25*100000000</v>
      </c>
      <c r="Z995" s="1">
        <f>55.25*100000000</f>
        <v>5525000000</v>
      </c>
      <c r="AA995" s="8">
        <f t="shared" si="486"/>
        <v>0.77253769650304782</v>
      </c>
      <c r="AB995" s="6" t="s">
        <v>88</v>
      </c>
      <c r="AC995" s="6" t="str">
        <f t="shared" si="470"/>
        <v>=31.17*100000000</v>
      </c>
      <c r="AD995" s="1">
        <f>31.17*100000000</f>
        <v>3117000000</v>
      </c>
      <c r="AE995" s="8">
        <f t="shared" si="487"/>
        <v>5.1081716637272194</v>
      </c>
      <c r="AF995" s="6" t="s">
        <v>1064</v>
      </c>
      <c r="AG995" s="6" t="str">
        <f t="shared" si="471"/>
        <v>=5.103*100000000</v>
      </c>
      <c r="AH995" s="1">
        <f>5.103*100000000</f>
        <v>510300000</v>
      </c>
      <c r="AI995" s="8">
        <f t="shared" si="488"/>
        <v>-0.94163998170173835</v>
      </c>
      <c r="AJ995" s="6" t="s">
        <v>8756</v>
      </c>
      <c r="AK995" s="6" t="str">
        <f t="shared" si="472"/>
        <v>=87.44*100000000</v>
      </c>
      <c r="AL995" s="1">
        <f>87.44*100000000</f>
        <v>8744000000</v>
      </c>
      <c r="AM995" s="8">
        <f t="shared" si="489"/>
        <v>0.31350458164338307</v>
      </c>
      <c r="AN995" s="6" t="s">
        <v>10603</v>
      </c>
      <c r="AO995" s="6" t="str">
        <f t="shared" si="473"/>
        <v>=66.57*100000000</v>
      </c>
      <c r="AP995" s="1">
        <f>66.57*100000000</f>
        <v>6656999999.999999</v>
      </c>
      <c r="AQ995" s="8">
        <f t="shared" si="490"/>
        <v>0.54598235020901043</v>
      </c>
      <c r="AR995" s="6" t="s">
        <v>10604</v>
      </c>
      <c r="AS995" s="6" t="str">
        <f t="shared" si="474"/>
        <v>=43.06*100000000</v>
      </c>
      <c r="AT995" s="1">
        <f>43.06*100000000</f>
        <v>4306000000</v>
      </c>
      <c r="AU995" s="8">
        <f t="shared" si="491"/>
        <v>2.1872686898593634</v>
      </c>
      <c r="AV995" s="6" t="s">
        <v>10605</v>
      </c>
      <c r="AW995" s="6" t="str">
        <f t="shared" si="475"/>
        <v>=13.51*100000000</v>
      </c>
      <c r="AX995" s="1">
        <f>13.51*100000000</f>
        <v>1351000000</v>
      </c>
      <c r="AY995" s="10">
        <f t="shared" si="492"/>
        <v>-0.81157601115760114</v>
      </c>
      <c r="AZ995" s="6" t="s">
        <v>10606</v>
      </c>
      <c r="BA995" s="6" t="str">
        <f t="shared" si="476"/>
        <v>=71.70*100000000</v>
      </c>
      <c r="BB995" s="1">
        <f>71.7*100000000</f>
        <v>7170000000</v>
      </c>
      <c r="BC995" s="8">
        <f t="shared" si="493"/>
        <v>0.53434624438262357</v>
      </c>
      <c r="BD995" s="6" t="s">
        <v>10607</v>
      </c>
      <c r="BE995" s="6" t="str">
        <f t="shared" si="477"/>
        <v>=46.73*100000000</v>
      </c>
      <c r="BF995" s="1">
        <f>46.73*100000000</f>
        <v>4673000000</v>
      </c>
      <c r="BG995" s="8">
        <f t="shared" si="494"/>
        <v>0.66714234748483769</v>
      </c>
      <c r="BH995" s="6" t="s">
        <v>10608</v>
      </c>
      <c r="BI995" s="6" t="str">
        <f t="shared" si="478"/>
        <v>=28.03*100000000</v>
      </c>
      <c r="BJ995" s="1">
        <f>28.03*100000000</f>
        <v>2803000000</v>
      </c>
      <c r="BK995" s="6" t="s">
        <v>10609</v>
      </c>
      <c r="BL995" s="1" t="str">
        <f t="shared" si="480"/>
        <v>=7.280*100000000</v>
      </c>
      <c r="BM995" s="16">
        <f t="shared" si="495"/>
        <v>2.8502747252747254</v>
      </c>
      <c r="BN995" s="1">
        <f>7.28*100000000</f>
        <v>728000000</v>
      </c>
    </row>
    <row r="996" spans="1:66">
      <c r="A996" s="18"/>
      <c r="B996">
        <v>600801</v>
      </c>
      <c r="C996" t="s">
        <v>58</v>
      </c>
      <c r="D996" s="6" t="s">
        <v>10610</v>
      </c>
      <c r="E996" s="7" t="str">
        <f t="shared" si="479"/>
        <v>=73.73*100000000</v>
      </c>
      <c r="F996" s="1">
        <f>73.73*100000000</f>
        <v>7373000000</v>
      </c>
      <c r="G996" s="8">
        <f t="shared" si="481"/>
        <v>0.4925101214574899</v>
      </c>
      <c r="H996" s="6" t="s">
        <v>7849</v>
      </c>
      <c r="I996" s="6" t="str">
        <f t="shared" si="465"/>
        <v>=49.40*100000000</v>
      </c>
      <c r="J996" s="1">
        <f>49.4*100000000</f>
        <v>4940000000</v>
      </c>
      <c r="K996" s="10">
        <f t="shared" si="482"/>
        <v>0.46283683742967108</v>
      </c>
      <c r="L996" s="6" t="s">
        <v>10611</v>
      </c>
      <c r="M996" s="6" t="str">
        <f t="shared" si="466"/>
        <v>=33.77*100000000</v>
      </c>
      <c r="N996" s="1">
        <f>33.77*100000000</f>
        <v>3377000000.0000005</v>
      </c>
      <c r="O996" s="8">
        <f t="shared" si="483"/>
        <v>2.2502406159769013</v>
      </c>
      <c r="P996" s="6" t="s">
        <v>2056</v>
      </c>
      <c r="Q996" s="6" t="str">
        <f t="shared" si="467"/>
        <v>=10.39*100000000</v>
      </c>
      <c r="R996" s="11">
        <f>10.39*100000000</f>
        <v>1039000000</v>
      </c>
      <c r="S996" s="8">
        <f t="shared" si="484"/>
        <v>-0.86443110647181631</v>
      </c>
      <c r="T996" s="6" t="s">
        <v>10612</v>
      </c>
      <c r="U996" s="6" t="str">
        <f t="shared" si="468"/>
        <v>=76.64*100000000</v>
      </c>
      <c r="V996" s="1">
        <f>76.64*100000000</f>
        <v>7664000000</v>
      </c>
      <c r="W996" s="8">
        <f t="shared" si="485"/>
        <v>0.39701057236602261</v>
      </c>
      <c r="X996" s="6" t="s">
        <v>10613</v>
      </c>
      <c r="Y996" s="6" t="str">
        <f t="shared" si="469"/>
        <v>=54.86*100000000</v>
      </c>
      <c r="Z996" s="1">
        <f>54.86*100000000</f>
        <v>5486000000</v>
      </c>
      <c r="AA996" s="8">
        <f t="shared" si="486"/>
        <v>0.77943561466104438</v>
      </c>
      <c r="AB996" s="6" t="s">
        <v>10614</v>
      </c>
      <c r="AC996" s="6" t="str">
        <f t="shared" si="470"/>
        <v>=30.83*100000000</v>
      </c>
      <c r="AD996" s="1">
        <f>30.83*100000000</f>
        <v>3083000000</v>
      </c>
      <c r="AE996" s="8">
        <f t="shared" si="487"/>
        <v>5.256087662337662</v>
      </c>
      <c r="AF996" s="6" t="s">
        <v>7933</v>
      </c>
      <c r="AG996" s="6" t="str">
        <f t="shared" si="471"/>
        <v>=4.928*100000000</v>
      </c>
      <c r="AH996" s="1">
        <f>4.928*100000000</f>
        <v>492800000</v>
      </c>
      <c r="AI996" s="8">
        <f t="shared" si="488"/>
        <v>-0.9434603028912345</v>
      </c>
      <c r="AJ996" s="6" t="s">
        <v>10615</v>
      </c>
      <c r="AK996" s="6" t="str">
        <f t="shared" si="472"/>
        <v>=87.16*100000000</v>
      </c>
      <c r="AL996" s="1">
        <f>87.16*100000000</f>
        <v>8716000000</v>
      </c>
      <c r="AM996" s="8">
        <f t="shared" si="489"/>
        <v>0.31008567563505185</v>
      </c>
      <c r="AN996" s="6" t="s">
        <v>10616</v>
      </c>
      <c r="AO996" s="6" t="str">
        <f t="shared" si="473"/>
        <v>=66.53*100000000</v>
      </c>
      <c r="AP996" s="1">
        <f>66.53*100000000</f>
        <v>6653000000</v>
      </c>
      <c r="AQ996" s="8">
        <f t="shared" si="490"/>
        <v>0.54469468307406543</v>
      </c>
      <c r="AR996" s="6" t="s">
        <v>10617</v>
      </c>
      <c r="AS996" s="6" t="str">
        <f t="shared" si="474"/>
        <v>=43.07*100000000</v>
      </c>
      <c r="AT996" s="1">
        <f>43.07*100000000</f>
        <v>4307000000</v>
      </c>
      <c r="AU996" s="8">
        <f t="shared" si="491"/>
        <v>2.1809453471196454</v>
      </c>
      <c r="AV996" s="6" t="s">
        <v>10618</v>
      </c>
      <c r="AW996" s="6" t="str">
        <f t="shared" si="475"/>
        <v>=13.54*100000000</v>
      </c>
      <c r="AX996" s="1">
        <f>13.54*100000000</f>
        <v>1354000000</v>
      </c>
      <c r="AY996" s="10">
        <f t="shared" si="492"/>
        <v>-0.81012480717991864</v>
      </c>
      <c r="AZ996" s="6" t="s">
        <v>10619</v>
      </c>
      <c r="BA996" s="6" t="str">
        <f t="shared" si="476"/>
        <v>=71.31*100000000</v>
      </c>
      <c r="BB996" s="1">
        <f>71.31*100000000</f>
        <v>7131000000</v>
      </c>
      <c r="BC996" s="8">
        <f t="shared" si="493"/>
        <v>0.52796228840797088</v>
      </c>
      <c r="BD996" s="6" t="s">
        <v>10620</v>
      </c>
      <c r="BE996" s="6" t="str">
        <f t="shared" si="477"/>
        <v>=46.67*100000000</v>
      </c>
      <c r="BF996" s="1">
        <f>46.67*100000000</f>
        <v>4667000000</v>
      </c>
      <c r="BG996" s="8">
        <f t="shared" si="494"/>
        <v>0.66857347157668934</v>
      </c>
      <c r="BH996" s="6" t="s">
        <v>1434</v>
      </c>
      <c r="BI996" s="6" t="str">
        <f t="shared" si="478"/>
        <v>=27.97*100000000</v>
      </c>
      <c r="BJ996" s="1">
        <f>27.97*100000000</f>
        <v>2797000000</v>
      </c>
      <c r="BK996" s="6" t="s">
        <v>10621</v>
      </c>
      <c r="BL996" s="1" t="str">
        <f t="shared" si="480"/>
        <v>=7.257*100000000</v>
      </c>
      <c r="BM996" s="16">
        <f t="shared" si="495"/>
        <v>2.8542097285379633</v>
      </c>
      <c r="BN996" s="1">
        <f>7.257*100000000</f>
        <v>725700000</v>
      </c>
    </row>
    <row r="997" spans="1:66">
      <c r="A997" s="19"/>
      <c r="B997">
        <v>600801</v>
      </c>
      <c r="C997" t="s">
        <v>68</v>
      </c>
      <c r="D997" s="6" t="s">
        <v>10622</v>
      </c>
      <c r="E997" s="7" t="str">
        <f t="shared" si="479"/>
        <v>=58.05*100000000</v>
      </c>
      <c r="F997" s="1">
        <f>58.05*100000000</f>
        <v>5805000000</v>
      </c>
      <c r="G997" s="8">
        <f t="shared" si="481"/>
        <v>0.49075500770416025</v>
      </c>
      <c r="H997" s="6" t="s">
        <v>10623</v>
      </c>
      <c r="I997" s="6" t="str">
        <f t="shared" si="465"/>
        <v>=38.94*100000000</v>
      </c>
      <c r="J997" s="1">
        <f>38.94*100000000</f>
        <v>3894000000</v>
      </c>
      <c r="K997" s="10">
        <f t="shared" si="482"/>
        <v>0.46061515378844708</v>
      </c>
      <c r="L997" s="6" t="s">
        <v>10624</v>
      </c>
      <c r="M997" s="6" t="str">
        <f t="shared" si="466"/>
        <v>=26.66*100000000</v>
      </c>
      <c r="N997" s="1">
        <f>26.66*100000000</f>
        <v>2666000000</v>
      </c>
      <c r="O997" s="8">
        <f t="shared" si="483"/>
        <v>2.3138595400870106</v>
      </c>
      <c r="P997" s="6" t="s">
        <v>10625</v>
      </c>
      <c r="Q997" s="6" t="str">
        <f t="shared" si="467"/>
        <v>=8.045*100000000</v>
      </c>
      <c r="R997" s="11">
        <f>8.045*100000000</f>
        <v>804500000</v>
      </c>
      <c r="S997" s="8">
        <f t="shared" si="484"/>
        <v>-0.86969549724651762</v>
      </c>
      <c r="T997" s="6" t="s">
        <v>10626</v>
      </c>
      <c r="U997" s="6" t="str">
        <f t="shared" si="468"/>
        <v>=61.74*100000000</v>
      </c>
      <c r="V997" s="1">
        <f>61.74*100000000</f>
        <v>6174000000</v>
      </c>
      <c r="W997" s="8">
        <f t="shared" si="485"/>
        <v>0.39336492890995262</v>
      </c>
      <c r="X997" s="6" t="s">
        <v>10627</v>
      </c>
      <c r="Y997" s="6" t="str">
        <f t="shared" si="469"/>
        <v>=44.31*100000000</v>
      </c>
      <c r="Z997" s="1">
        <f>44.31*100000000</f>
        <v>4431000000</v>
      </c>
      <c r="AA997" s="8">
        <f t="shared" si="486"/>
        <v>0.80415309446254069</v>
      </c>
      <c r="AB997" s="6" t="s">
        <v>606</v>
      </c>
      <c r="AC997" s="6" t="str">
        <f t="shared" si="470"/>
        <v>=24.56*100000000</v>
      </c>
      <c r="AD997" s="1">
        <f>24.56*100000000</f>
        <v>2456000000</v>
      </c>
      <c r="AE997" s="8">
        <f t="shared" si="487"/>
        <v>5.4614575111812682</v>
      </c>
      <c r="AF997" s="6" t="s">
        <v>3680</v>
      </c>
      <c r="AG997" s="6" t="str">
        <f t="shared" si="471"/>
        <v>=3.801*100000000</v>
      </c>
      <c r="AH997" s="1">
        <f>3.801*100000000</f>
        <v>380100000</v>
      </c>
      <c r="AI997" s="8">
        <f t="shared" si="488"/>
        <v>-0.9458624127617149</v>
      </c>
      <c r="AJ997" s="6" t="s">
        <v>10628</v>
      </c>
      <c r="AK997" s="6" t="str">
        <f t="shared" si="472"/>
        <v>=70.21*100000000</v>
      </c>
      <c r="AL997" s="1">
        <f>70.21*100000000</f>
        <v>7020999999.999999</v>
      </c>
      <c r="AM997" s="8">
        <f t="shared" si="489"/>
        <v>0.30720536212995703</v>
      </c>
      <c r="AN997" s="6" t="s">
        <v>10629</v>
      </c>
      <c r="AO997" s="6" t="str">
        <f t="shared" si="473"/>
        <v>=53.71*100000000</v>
      </c>
      <c r="AP997" s="1">
        <f>53.71*100000000</f>
        <v>5371000000</v>
      </c>
      <c r="AQ997" s="8">
        <f t="shared" si="490"/>
        <v>0.53764672201545949</v>
      </c>
      <c r="AR997" s="6" t="s">
        <v>10630</v>
      </c>
      <c r="AS997" s="6" t="str">
        <f t="shared" si="474"/>
        <v>=34.93*100000000</v>
      </c>
      <c r="AT997" s="1">
        <f>34.93*100000000</f>
        <v>3493000000</v>
      </c>
      <c r="AU997" s="8">
        <f t="shared" si="491"/>
        <v>2.1812386156648453</v>
      </c>
      <c r="AV997" s="6" t="s">
        <v>2659</v>
      </c>
      <c r="AW997" s="6" t="str">
        <f t="shared" si="475"/>
        <v>=10.98*100000000</v>
      </c>
      <c r="AX997" s="1">
        <f>10.98*100000000</f>
        <v>1098000000</v>
      </c>
      <c r="AY997" s="10">
        <f t="shared" si="492"/>
        <v>-0.80753724802804561</v>
      </c>
      <c r="AZ997" s="6" t="s">
        <v>10430</v>
      </c>
      <c r="BA997" s="6" t="str">
        <f t="shared" si="476"/>
        <v>=57.05*100000000</v>
      </c>
      <c r="BB997" s="1">
        <f>57.05*100000000</f>
        <v>5705000000</v>
      </c>
      <c r="BC997" s="8">
        <f t="shared" si="493"/>
        <v>0.51165871754107051</v>
      </c>
      <c r="BD997" s="6" t="s">
        <v>819</v>
      </c>
      <c r="BE997" s="6" t="str">
        <f t="shared" si="477"/>
        <v>=37.74*100000000</v>
      </c>
      <c r="BF997" s="1">
        <f>37.74*100000000</f>
        <v>3774000000</v>
      </c>
      <c r="BG997" s="8">
        <f t="shared" si="494"/>
        <v>0.66769774635439683</v>
      </c>
      <c r="BH997" s="6" t="s">
        <v>7636</v>
      </c>
      <c r="BI997" s="6" t="str">
        <f t="shared" si="478"/>
        <v>=22.63*100000000</v>
      </c>
      <c r="BJ997" s="1">
        <f>22.63*100000000</f>
        <v>2263000000</v>
      </c>
      <c r="BK997" s="6" t="s">
        <v>9847</v>
      </c>
      <c r="BL997" s="1" t="str">
        <f t="shared" si="480"/>
        <v>=5.820*100000000</v>
      </c>
      <c r="BM997" s="16">
        <f t="shared" si="495"/>
        <v>2.8883161512027491</v>
      </c>
      <c r="BN997" s="1">
        <f>5.82*100000000</f>
        <v>582000000</v>
      </c>
    </row>
    <row r="998" spans="1:66">
      <c r="A998" s="17">
        <v>251</v>
      </c>
      <c r="B998">
        <v>600803</v>
      </c>
      <c r="C998" t="s">
        <v>31</v>
      </c>
      <c r="D998" s="6" t="s">
        <v>10631</v>
      </c>
      <c r="E998" s="7" t="str">
        <f t="shared" si="479"/>
        <v>=1159*100000000</v>
      </c>
      <c r="F998" s="1">
        <f>1159*100000000</f>
        <v>115900000000</v>
      </c>
      <c r="G998" s="8">
        <f t="shared" si="481"/>
        <v>0.45529884480160721</v>
      </c>
      <c r="H998" s="6" t="s">
        <v>10632</v>
      </c>
      <c r="I998" s="6" t="str">
        <f t="shared" si="465"/>
        <v>=796.4*100000000</v>
      </c>
      <c r="J998" s="1">
        <f>796.4*100000000</f>
        <v>79640000000</v>
      </c>
      <c r="K998" s="10">
        <f t="shared" si="482"/>
        <v>0.53626543209876543</v>
      </c>
      <c r="L998" s="6" t="s">
        <v>10633</v>
      </c>
      <c r="M998" s="6" t="str">
        <f t="shared" si="466"/>
        <v>=518.4*100000000</v>
      </c>
      <c r="N998" s="1">
        <f>518.4*100000000</f>
        <v>51840000000</v>
      </c>
      <c r="O998" s="8">
        <f t="shared" si="483"/>
        <v>1.0054158607350097</v>
      </c>
      <c r="P998" s="6" t="s">
        <v>10634</v>
      </c>
      <c r="Q998" s="6" t="str">
        <f t="shared" si="467"/>
        <v>=258.5*100000000</v>
      </c>
      <c r="R998" s="11">
        <f>258.5*100000000</f>
        <v>25850000000</v>
      </c>
      <c r="S998" s="8">
        <f t="shared" si="484"/>
        <v>-0.70658342792281503</v>
      </c>
      <c r="T998" s="6" t="s">
        <v>10635</v>
      </c>
      <c r="U998" s="6" t="str">
        <f t="shared" si="468"/>
        <v>=881.0*100000000</v>
      </c>
      <c r="V998" s="1">
        <f>881*100000000</f>
        <v>88100000000</v>
      </c>
      <c r="W998" s="8">
        <f t="shared" si="485"/>
        <v>0.47967752771246219</v>
      </c>
      <c r="X998" s="6" t="s">
        <v>10636</v>
      </c>
      <c r="Y998" s="6" t="str">
        <f t="shared" si="469"/>
        <v>=595.4*100000000</v>
      </c>
      <c r="Z998" s="1">
        <f>595.4*100000000</f>
        <v>59540000000</v>
      </c>
      <c r="AA998" s="8">
        <f t="shared" si="486"/>
        <v>0.54850455136540965</v>
      </c>
      <c r="AB998" s="6" t="s">
        <v>10637</v>
      </c>
      <c r="AC998" s="6" t="str">
        <f t="shared" si="470"/>
        <v>=384.5*100000000</v>
      </c>
      <c r="AD998" s="1">
        <f>384.5*100000000</f>
        <v>38450000000</v>
      </c>
      <c r="AE998" s="8">
        <f t="shared" si="487"/>
        <v>1.2009158557527189</v>
      </c>
      <c r="AF998" s="6" t="s">
        <v>7193</v>
      </c>
      <c r="AG998" s="6" t="str">
        <f t="shared" si="471"/>
        <v>=174.7*100000000</v>
      </c>
      <c r="AH998" s="1">
        <f>174.7*100000000</f>
        <v>17470000000</v>
      </c>
      <c r="AI998" s="8">
        <f t="shared" si="488"/>
        <v>-0.80293288212069935</v>
      </c>
      <c r="AJ998" s="6" t="s">
        <v>10638</v>
      </c>
      <c r="AK998" s="6" t="str">
        <f t="shared" si="472"/>
        <v>=886.5*100000000</v>
      </c>
      <c r="AL998" s="1">
        <f>886.5*100000000</f>
        <v>88650000000</v>
      </c>
      <c r="AM998" s="8">
        <f t="shared" si="489"/>
        <v>0.33710407239819007</v>
      </c>
      <c r="AN998" s="6" t="s">
        <v>10639</v>
      </c>
      <c r="AO998" s="6" t="str">
        <f t="shared" si="473"/>
        <v>=663.0*100000000</v>
      </c>
      <c r="AP998" s="1">
        <f>663*100000000</f>
        <v>66300000000</v>
      </c>
      <c r="AQ998" s="8">
        <f t="shared" si="490"/>
        <v>0.46778835510294442</v>
      </c>
      <c r="AR998" s="6" t="s">
        <v>10640</v>
      </c>
      <c r="AS998" s="6" t="str">
        <f t="shared" si="474"/>
        <v>=451.7*100000000</v>
      </c>
      <c r="AT998" s="1">
        <f>451.7*100000000</f>
        <v>45170000000</v>
      </c>
      <c r="AU998" s="8">
        <f t="shared" si="491"/>
        <v>13.385350318471337</v>
      </c>
      <c r="AV998" s="6" t="s">
        <v>10641</v>
      </c>
      <c r="AW998" s="6" t="str">
        <f t="shared" si="475"/>
        <v>=31.40*100000000</v>
      </c>
      <c r="AX998" s="1">
        <f>31.4*100000000</f>
        <v>3140000000</v>
      </c>
      <c r="AY998" s="10">
        <f t="shared" si="492"/>
        <v>-0.76962582538517976</v>
      </c>
      <c r="AZ998" s="6" t="s">
        <v>10642</v>
      </c>
      <c r="BA998" s="6" t="str">
        <f t="shared" si="476"/>
        <v>=136.3*100000000</v>
      </c>
      <c r="BB998" s="1">
        <f>136.3*100000000</f>
        <v>13630000000.000002</v>
      </c>
      <c r="BC998" s="8">
        <f t="shared" si="493"/>
        <v>0.39124221700520589</v>
      </c>
      <c r="BD998" s="6" t="s">
        <v>6942</v>
      </c>
      <c r="BE998" s="6" t="str">
        <f t="shared" si="477"/>
        <v>=97.97*100000000</v>
      </c>
      <c r="BF998" s="1">
        <f>97.97*100000000</f>
        <v>9797000000</v>
      </c>
      <c r="BG998" s="8">
        <f t="shared" si="494"/>
        <v>0.4743416102332581</v>
      </c>
      <c r="BH998" s="6" t="s">
        <v>10643</v>
      </c>
      <c r="BI998" s="6" t="str">
        <f t="shared" si="478"/>
        <v>=66.45*100000000</v>
      </c>
      <c r="BJ998" s="1">
        <f>66.45*100000000</f>
        <v>6645000000</v>
      </c>
      <c r="BK998" s="6" t="s">
        <v>2278</v>
      </c>
      <c r="BL998" s="1" t="str">
        <f t="shared" si="480"/>
        <v>=29.41*100000000</v>
      </c>
      <c r="BM998" s="16">
        <f t="shared" si="495"/>
        <v>1.259435566133968</v>
      </c>
      <c r="BN998" s="1">
        <f>29.41*100000000</f>
        <v>2941000000</v>
      </c>
    </row>
    <row r="999" spans="1:66">
      <c r="A999" s="18"/>
      <c r="B999">
        <v>600803</v>
      </c>
      <c r="C999" t="s">
        <v>48</v>
      </c>
      <c r="D999" s="6" t="s">
        <v>10644</v>
      </c>
      <c r="E999" s="7" t="str">
        <f t="shared" si="479"/>
        <v>=135.3*100000000</v>
      </c>
      <c r="F999" s="1">
        <f>135.3*100000000</f>
        <v>13530000000.000002</v>
      </c>
      <c r="G999" s="8">
        <f t="shared" si="481"/>
        <v>0.31104651162790714</v>
      </c>
      <c r="H999" s="6" t="s">
        <v>10645</v>
      </c>
      <c r="I999" s="6" t="str">
        <f t="shared" si="465"/>
        <v>=103.2*100000000</v>
      </c>
      <c r="J999" s="1">
        <f>103.2*100000000</f>
        <v>10320000000</v>
      </c>
      <c r="K999" s="10">
        <f t="shared" si="482"/>
        <v>0.46674246731097213</v>
      </c>
      <c r="L999" s="6" t="s">
        <v>10646</v>
      </c>
      <c r="M999" s="6" t="str">
        <f t="shared" si="466"/>
        <v>=70.36*100000000</v>
      </c>
      <c r="N999" s="1">
        <f>70.36*100000000</f>
        <v>7036000000</v>
      </c>
      <c r="O999" s="8">
        <f t="shared" si="483"/>
        <v>1.8054226475279107</v>
      </c>
      <c r="P999" s="6" t="s">
        <v>10647</v>
      </c>
      <c r="Q999" s="6" t="str">
        <f t="shared" si="467"/>
        <v>=25.08*100000000</v>
      </c>
      <c r="R999" s="11">
        <f>25.08*100000000</f>
        <v>2508000000</v>
      </c>
      <c r="S999" s="8">
        <f t="shared" si="484"/>
        <v>-0.76294896030245751</v>
      </c>
      <c r="T999" s="6" t="s">
        <v>10648</v>
      </c>
      <c r="U999" s="6" t="str">
        <f t="shared" si="468"/>
        <v>=105.8*100000000</v>
      </c>
      <c r="V999" s="1">
        <f>105.8*100000000</f>
        <v>10580000000</v>
      </c>
      <c r="W999" s="8">
        <f t="shared" si="485"/>
        <v>0.44693654266958427</v>
      </c>
      <c r="X999" s="6" t="s">
        <v>10649</v>
      </c>
      <c r="Y999" s="6" t="str">
        <f t="shared" si="469"/>
        <v>=73.12*100000000</v>
      </c>
      <c r="Z999" s="1">
        <f>73.12*100000000</f>
        <v>7312000000</v>
      </c>
      <c r="AA999" s="8">
        <f t="shared" si="486"/>
        <v>0.66826374629249374</v>
      </c>
      <c r="AB999" s="6" t="s">
        <v>10650</v>
      </c>
      <c r="AC999" s="6" t="str">
        <f t="shared" si="470"/>
        <v>=43.83*100000000</v>
      </c>
      <c r="AD999" s="1">
        <f>43.83*100000000</f>
        <v>4383000000</v>
      </c>
      <c r="AE999" s="8">
        <f t="shared" si="487"/>
        <v>2.1085106382978722</v>
      </c>
      <c r="AF999" s="6" t="s">
        <v>6213</v>
      </c>
      <c r="AG999" s="6" t="str">
        <f t="shared" si="471"/>
        <v>=14.10*100000000</v>
      </c>
      <c r="AH999" s="1">
        <f>14.1*100000000</f>
        <v>1410000000</v>
      </c>
      <c r="AI999" s="8">
        <f t="shared" si="488"/>
        <v>-0.8679775280898876</v>
      </c>
      <c r="AJ999" s="6" t="s">
        <v>1786</v>
      </c>
      <c r="AK999" s="6" t="str">
        <f t="shared" si="472"/>
        <v>=106.8*100000000</v>
      </c>
      <c r="AL999" s="1">
        <f>106.8*100000000</f>
        <v>10680000000</v>
      </c>
      <c r="AM999" s="8">
        <f t="shared" si="489"/>
        <v>0.37028483448806776</v>
      </c>
      <c r="AN999" s="6" t="s">
        <v>10651</v>
      </c>
      <c r="AO999" s="6" t="str">
        <f t="shared" si="473"/>
        <v>=77.94*100000000</v>
      </c>
      <c r="AP999" s="1">
        <f>77.94*100000000</f>
        <v>7794000000</v>
      </c>
      <c r="AQ999" s="8">
        <f t="shared" si="490"/>
        <v>0.28635088298399075</v>
      </c>
      <c r="AR999" s="6" t="s">
        <v>10652</v>
      </c>
      <c r="AS999" s="6" t="str">
        <f t="shared" si="474"/>
        <v>=60.59*100000000</v>
      </c>
      <c r="AT999" s="1">
        <f>60.59*100000000</f>
        <v>6059000000</v>
      </c>
      <c r="AU999" s="8">
        <f t="shared" si="491"/>
        <v>13.93836291913215</v>
      </c>
      <c r="AV999" s="6" t="s">
        <v>10653</v>
      </c>
      <c r="AW999" s="6" t="str">
        <f t="shared" si="475"/>
        <v>=4.056*100000000</v>
      </c>
      <c r="AX999" s="1">
        <f>4.056*100000000</f>
        <v>405600000</v>
      </c>
      <c r="AY999" s="10">
        <f t="shared" si="492"/>
        <v>-0.75070682237246467</v>
      </c>
      <c r="AZ999" s="6" t="s">
        <v>2636</v>
      </c>
      <c r="BA999" s="6" t="str">
        <f t="shared" si="476"/>
        <v>=16.27*100000000</v>
      </c>
      <c r="BB999" s="1">
        <f>16.27*100000000</f>
        <v>1627000000</v>
      </c>
      <c r="BC999" s="8">
        <f t="shared" si="493"/>
        <v>0.22978080120937264</v>
      </c>
      <c r="BD999" s="6" t="s">
        <v>7965</v>
      </c>
      <c r="BE999" s="6" t="str">
        <f t="shared" si="477"/>
        <v>=13.23*100000000</v>
      </c>
      <c r="BF999" s="1">
        <f>13.23*100000000</f>
        <v>1323000000</v>
      </c>
      <c r="BG999" s="8">
        <f t="shared" si="494"/>
        <v>0.45049884881043745</v>
      </c>
      <c r="BH999" s="6" t="s">
        <v>1094</v>
      </c>
      <c r="BI999" s="6" t="str">
        <f t="shared" si="478"/>
        <v>=9.121*100000000</v>
      </c>
      <c r="BJ999" s="1">
        <f>9.121*100000000</f>
        <v>912100000</v>
      </c>
      <c r="BK999" s="6" t="s">
        <v>10654</v>
      </c>
      <c r="BL999" s="1" t="str">
        <f t="shared" si="480"/>
        <v>=4.351*100000000</v>
      </c>
      <c r="BM999" s="16">
        <f t="shared" si="495"/>
        <v>1.0962997012181108</v>
      </c>
      <c r="BN999" s="1">
        <f>4.351*100000000</f>
        <v>435100000</v>
      </c>
    </row>
    <row r="1000" spans="1:66">
      <c r="A1000" s="18"/>
      <c r="B1000">
        <v>600803</v>
      </c>
      <c r="C1000" t="s">
        <v>58</v>
      </c>
      <c r="D1000" s="6" t="s">
        <v>10655</v>
      </c>
      <c r="E1000" s="7" t="str">
        <f t="shared" si="479"/>
        <v>=134.7*100000000</v>
      </c>
      <c r="F1000" s="1">
        <f>134.7*100000000</f>
        <v>13469999999.999998</v>
      </c>
      <c r="G1000" s="8">
        <f t="shared" si="481"/>
        <v>0.30776699029126198</v>
      </c>
      <c r="H1000" s="6" t="s">
        <v>8559</v>
      </c>
      <c r="I1000" s="6" t="str">
        <f t="shared" si="465"/>
        <v>=103.0*100000000</v>
      </c>
      <c r="J1000" s="1">
        <f>103*100000000</f>
        <v>10300000000</v>
      </c>
      <c r="K1000" s="10">
        <f t="shared" si="482"/>
        <v>0.46494097567913528</v>
      </c>
      <c r="L1000" s="6" t="s">
        <v>10656</v>
      </c>
      <c r="M1000" s="6" t="str">
        <f t="shared" si="466"/>
        <v>=70.31*100000000</v>
      </c>
      <c r="N1000" s="1">
        <f>70.31*100000000</f>
        <v>7031000000</v>
      </c>
      <c r="O1000" s="8">
        <f t="shared" si="483"/>
        <v>1.78125</v>
      </c>
      <c r="P1000" s="6" t="s">
        <v>10657</v>
      </c>
      <c r="Q1000" s="6" t="str">
        <f t="shared" si="467"/>
        <v>=25.28*100000000</v>
      </c>
      <c r="R1000" s="11">
        <f>25.28*100000000</f>
        <v>2528000000</v>
      </c>
      <c r="S1000" s="8">
        <f t="shared" si="484"/>
        <v>-0.75762224352828378</v>
      </c>
      <c r="T1000" s="6" t="s">
        <v>10658</v>
      </c>
      <c r="U1000" s="6" t="str">
        <f t="shared" si="468"/>
        <v>=104.3*100000000</v>
      </c>
      <c r="V1000" s="1">
        <f>104.3*100000000</f>
        <v>10430000000</v>
      </c>
      <c r="W1000" s="8">
        <f t="shared" si="485"/>
        <v>0.42564242755604154</v>
      </c>
      <c r="X1000" s="6" t="s">
        <v>10659</v>
      </c>
      <c r="Y1000" s="6" t="str">
        <f t="shared" si="469"/>
        <v>=73.16*100000000</v>
      </c>
      <c r="Z1000" s="1">
        <f>73.16*100000000</f>
        <v>7316000000</v>
      </c>
      <c r="AA1000" s="8">
        <f t="shared" si="486"/>
        <v>0.67031963470319633</v>
      </c>
      <c r="AB1000" s="6" t="s">
        <v>9583</v>
      </c>
      <c r="AC1000" s="6" t="str">
        <f t="shared" si="470"/>
        <v>=43.80*100000000</v>
      </c>
      <c r="AD1000" s="1">
        <f>43.8*100000000</f>
        <v>4380000000</v>
      </c>
      <c r="AE1000" s="8">
        <f t="shared" si="487"/>
        <v>2.0954063604240281</v>
      </c>
      <c r="AF1000" s="6" t="s">
        <v>6138</v>
      </c>
      <c r="AG1000" s="6" t="str">
        <f t="shared" si="471"/>
        <v>=14.15*100000000</v>
      </c>
      <c r="AH1000" s="1">
        <f>14.15*100000000</f>
        <v>1415000000</v>
      </c>
      <c r="AI1000" s="8">
        <f t="shared" si="488"/>
        <v>-0.8688600556070436</v>
      </c>
      <c r="AJ1000" s="6" t="s">
        <v>9025</v>
      </c>
      <c r="AK1000" s="6" t="str">
        <f t="shared" si="472"/>
        <v>=107.9*100000000</v>
      </c>
      <c r="AL1000" s="1">
        <f>107.9*100000000</f>
        <v>10790000000</v>
      </c>
      <c r="AM1000" s="8">
        <f t="shared" si="489"/>
        <v>0.35246929054900977</v>
      </c>
      <c r="AN1000" s="6" t="s">
        <v>10660</v>
      </c>
      <c r="AO1000" s="6" t="str">
        <f t="shared" si="473"/>
        <v>=79.78*100000000</v>
      </c>
      <c r="AP1000" s="1">
        <f>79.78*100000000</f>
        <v>7978000000</v>
      </c>
      <c r="AQ1000" s="8">
        <f t="shared" si="490"/>
        <v>0.28119479685241688</v>
      </c>
      <c r="AR1000" s="6" t="s">
        <v>10661</v>
      </c>
      <c r="AS1000" s="6" t="str">
        <f t="shared" si="474"/>
        <v>=62.27*100000000</v>
      </c>
      <c r="AT1000" s="1">
        <f>62.27*100000000</f>
        <v>6227000000</v>
      </c>
      <c r="AU1000" s="8">
        <f t="shared" si="491"/>
        <v>14.198926043446422</v>
      </c>
      <c r="AV1000" s="6" t="s">
        <v>10662</v>
      </c>
      <c r="AW1000" s="6" t="str">
        <f t="shared" si="475"/>
        <v>=4.097*100000000</v>
      </c>
      <c r="AX1000" s="1">
        <f>4.097*100000000</f>
        <v>409700000.00000006</v>
      </c>
      <c r="AY1000" s="10">
        <f t="shared" si="492"/>
        <v>-0.74725478099938314</v>
      </c>
      <c r="AZ1000" s="6" t="s">
        <v>2441</v>
      </c>
      <c r="BA1000" s="6" t="str">
        <f t="shared" si="476"/>
        <v>=16.21*100000000</v>
      </c>
      <c r="BB1000" s="1">
        <f>16.21*100000000</f>
        <v>1621000000</v>
      </c>
      <c r="BC1000" s="8">
        <f t="shared" si="493"/>
        <v>0.21605401350337583</v>
      </c>
      <c r="BD1000" s="6" t="s">
        <v>4263</v>
      </c>
      <c r="BE1000" s="6" t="str">
        <f t="shared" si="477"/>
        <v>=13.33*100000000</v>
      </c>
      <c r="BF1000" s="1">
        <f>13.33*100000000</f>
        <v>1333000000</v>
      </c>
      <c r="BG1000" s="8">
        <f t="shared" si="494"/>
        <v>0.44357808100498158</v>
      </c>
      <c r="BH1000" s="6" t="s">
        <v>4126</v>
      </c>
      <c r="BI1000" s="6" t="str">
        <f t="shared" si="478"/>
        <v>=9.234*100000000</v>
      </c>
      <c r="BJ1000" s="1">
        <f>9.234*100000000</f>
        <v>923400000</v>
      </c>
      <c r="BK1000" s="6" t="s">
        <v>10663</v>
      </c>
      <c r="BL1000" s="1" t="str">
        <f t="shared" si="480"/>
        <v>=4.422*100000000</v>
      </c>
      <c r="BM1000" s="16">
        <f t="shared" si="495"/>
        <v>1.0881953867028493</v>
      </c>
      <c r="BN1000" s="1">
        <f>4.422*100000000</f>
        <v>442200000</v>
      </c>
    </row>
    <row r="1001" spans="1:66">
      <c r="A1001" s="19"/>
      <c r="B1001">
        <v>600803</v>
      </c>
      <c r="C1001" t="s">
        <v>68</v>
      </c>
      <c r="D1001" s="6" t="s">
        <v>635</v>
      </c>
      <c r="E1001" s="7" t="str">
        <f t="shared" si="479"/>
        <v>=105.3*100000000</v>
      </c>
      <c r="F1001" s="1">
        <f>105.3*100000000</f>
        <v>10530000000</v>
      </c>
      <c r="G1001" s="8">
        <f t="shared" si="481"/>
        <v>0.31345889983784458</v>
      </c>
      <c r="H1001" s="6" t="s">
        <v>10664</v>
      </c>
      <c r="I1001" s="6" t="str">
        <f t="shared" si="465"/>
        <v>=80.17*100000000</v>
      </c>
      <c r="J1001" s="1">
        <f>80.17*100000000</f>
        <v>8017000000</v>
      </c>
      <c r="K1001" s="10">
        <f t="shared" si="482"/>
        <v>0.46322321591531301</v>
      </c>
      <c r="L1001" s="6" t="s">
        <v>10665</v>
      </c>
      <c r="M1001" s="6" t="str">
        <f t="shared" si="466"/>
        <v>=54.79*100000000</v>
      </c>
      <c r="N1001" s="1">
        <f>54.79*100000000</f>
        <v>5479000000</v>
      </c>
      <c r="O1001" s="8">
        <f t="shared" si="483"/>
        <v>1.9858310626702995</v>
      </c>
      <c r="P1001" s="6" t="s">
        <v>10666</v>
      </c>
      <c r="Q1001" s="6" t="str">
        <f t="shared" si="467"/>
        <v>=18.35*100000000</v>
      </c>
      <c r="R1001" s="11">
        <f>18.35*100000000</f>
        <v>1835000000.0000002</v>
      </c>
      <c r="S1001" s="8">
        <f t="shared" si="484"/>
        <v>-0.76573471211540922</v>
      </c>
      <c r="T1001" s="6" t="s">
        <v>10667</v>
      </c>
      <c r="U1001" s="6" t="str">
        <f t="shared" si="468"/>
        <v>=78.33*100000000</v>
      </c>
      <c r="V1001" s="1">
        <f>78.33*100000000</f>
        <v>7833000000</v>
      </c>
      <c r="W1001" s="8">
        <f t="shared" si="485"/>
        <v>0.42937956204379563</v>
      </c>
      <c r="X1001" s="6" t="s">
        <v>10668</v>
      </c>
      <c r="Y1001" s="6" t="str">
        <f t="shared" si="469"/>
        <v>=54.80*100000000</v>
      </c>
      <c r="Z1001" s="1">
        <f>54.8*100000000</f>
        <v>5480000000</v>
      </c>
      <c r="AA1001" s="8">
        <f t="shared" si="486"/>
        <v>0.66060606060606064</v>
      </c>
      <c r="AB1001" s="6" t="s">
        <v>10669</v>
      </c>
      <c r="AC1001" s="6" t="str">
        <f t="shared" si="470"/>
        <v>=33.00*100000000</v>
      </c>
      <c r="AD1001" s="1">
        <f>33*100000000</f>
        <v>3300000000</v>
      </c>
      <c r="AE1001" s="8">
        <f t="shared" si="487"/>
        <v>2.225806451612903</v>
      </c>
      <c r="AF1001" s="6" t="s">
        <v>1403</v>
      </c>
      <c r="AG1001" s="6" t="str">
        <f t="shared" si="471"/>
        <v>=10.23*100000000</v>
      </c>
      <c r="AH1001" s="1">
        <f>10.23*100000000</f>
        <v>1023000000</v>
      </c>
      <c r="AI1001" s="8">
        <f t="shared" si="488"/>
        <v>-0.87754369164472112</v>
      </c>
      <c r="AJ1001" s="6" t="s">
        <v>10670</v>
      </c>
      <c r="AK1001" s="6" t="str">
        <f t="shared" si="472"/>
        <v>=83.54*100000000</v>
      </c>
      <c r="AL1001" s="1">
        <f>83.54*100000000</f>
        <v>8354000000.000001</v>
      </c>
      <c r="AM1001" s="8">
        <f t="shared" si="489"/>
        <v>0.35859489347861456</v>
      </c>
      <c r="AN1001" s="6" t="s">
        <v>2516</v>
      </c>
      <c r="AO1001" s="6" t="str">
        <f t="shared" si="473"/>
        <v>=61.49*100000000</v>
      </c>
      <c r="AP1001" s="1">
        <f>61.49*100000000</f>
        <v>6149000000</v>
      </c>
      <c r="AQ1001" s="8">
        <f t="shared" si="490"/>
        <v>0.24322684997978164</v>
      </c>
      <c r="AR1001" s="6" t="s">
        <v>3594</v>
      </c>
      <c r="AS1001" s="6" t="str">
        <f t="shared" si="474"/>
        <v>=49.46*100000000</v>
      </c>
      <c r="AT1001" s="1">
        <f>49.46*100000000</f>
        <v>4946000000</v>
      </c>
      <c r="AU1001" s="8">
        <f t="shared" si="491"/>
        <v>12.731260410882843</v>
      </c>
      <c r="AV1001" s="6" t="s">
        <v>10671</v>
      </c>
      <c r="AW1001" s="6" t="str">
        <f t="shared" si="475"/>
        <v>=3.602*100000000</v>
      </c>
      <c r="AX1001" s="1">
        <f>3.602*100000000</f>
        <v>360200000</v>
      </c>
      <c r="AY1001" s="10">
        <f t="shared" si="492"/>
        <v>-0.7438122332859175</v>
      </c>
      <c r="AZ1001" s="6" t="s">
        <v>3141</v>
      </c>
      <c r="BA1001" s="6" t="str">
        <f t="shared" si="476"/>
        <v>=14.06*100000000</v>
      </c>
      <c r="BB1001" s="1">
        <f>14.06*100000000</f>
        <v>1406000000</v>
      </c>
      <c r="BC1001" s="8">
        <f t="shared" si="493"/>
        <v>0.26666666666666666</v>
      </c>
      <c r="BD1001" s="6" t="s">
        <v>2287</v>
      </c>
      <c r="BE1001" s="6" t="str">
        <f t="shared" si="477"/>
        <v>=11.10*100000000</v>
      </c>
      <c r="BF1001" s="1">
        <f>11.1*100000000</f>
        <v>1110000000</v>
      </c>
      <c r="BG1001" s="8">
        <f t="shared" si="494"/>
        <v>0.46014206787687451</v>
      </c>
      <c r="BH1001" s="6" t="s">
        <v>7288</v>
      </c>
      <c r="BI1001" s="6" t="str">
        <f t="shared" si="478"/>
        <v>=7.602*100000000</v>
      </c>
      <c r="BJ1001" s="1">
        <f>7.602*100000000</f>
        <v>760200000</v>
      </c>
      <c r="BK1001" s="6" t="s">
        <v>10672</v>
      </c>
      <c r="BL1001" s="1" t="str">
        <f t="shared" si="480"/>
        <v>=3.733*100000000</v>
      </c>
      <c r="BM1001" s="16">
        <f t="shared" si="495"/>
        <v>1.0364318242700241</v>
      </c>
      <c r="BN1001" s="1">
        <f>3.733*100000000</f>
        <v>373300000</v>
      </c>
    </row>
    <row r="1002" spans="1:66">
      <c r="A1002" s="17">
        <v>252</v>
      </c>
      <c r="B1002">
        <v>600808</v>
      </c>
      <c r="C1002" t="s">
        <v>31</v>
      </c>
      <c r="D1002" s="6" t="s">
        <v>10673</v>
      </c>
      <c r="E1002" s="7" t="str">
        <f t="shared" si="479"/>
        <v>=1139*100000000</v>
      </c>
      <c r="F1002" s="1">
        <f>1139*100000000</f>
        <v>113900000000</v>
      </c>
      <c r="G1002" s="8">
        <f t="shared" si="481"/>
        <v>0.32719645770216732</v>
      </c>
      <c r="H1002" s="6" t="s">
        <v>10674</v>
      </c>
      <c r="I1002" s="6" t="str">
        <f t="shared" si="465"/>
        <v>=858.2*100000000</v>
      </c>
      <c r="J1002" s="1">
        <f>858.2*100000000</f>
        <v>85820000000</v>
      </c>
      <c r="K1002" s="10">
        <f t="shared" si="482"/>
        <v>0.50932113964122405</v>
      </c>
      <c r="L1002" s="6" t="s">
        <v>10675</v>
      </c>
      <c r="M1002" s="6" t="str">
        <f t="shared" si="466"/>
        <v>=568.6*100000000</v>
      </c>
      <c r="N1002" s="1">
        <f>568.6*100000000</f>
        <v>56860000000</v>
      </c>
      <c r="O1002" s="8">
        <f t="shared" si="483"/>
        <v>1.3800753453327752</v>
      </c>
      <c r="P1002" s="6" t="s">
        <v>10676</v>
      </c>
      <c r="Q1002" s="6" t="str">
        <f t="shared" si="467"/>
        <v>=238.9*100000000</v>
      </c>
      <c r="R1002" s="11">
        <f>238.9*100000000</f>
        <v>23890000000</v>
      </c>
      <c r="S1002" s="8">
        <f t="shared" si="484"/>
        <v>-0.70726626638892287</v>
      </c>
      <c r="T1002" s="6" t="s">
        <v>10677</v>
      </c>
      <c r="U1002" s="6" t="str">
        <f t="shared" si="468"/>
        <v>=816.1*100000000</v>
      </c>
      <c r="V1002" s="1">
        <f>816.1*100000000</f>
        <v>81610000000</v>
      </c>
      <c r="W1002" s="8">
        <f t="shared" si="485"/>
        <v>0.4019927847448892</v>
      </c>
      <c r="X1002" s="6" t="s">
        <v>10678</v>
      </c>
      <c r="Y1002" s="6" t="str">
        <f t="shared" si="469"/>
        <v>=582.1*100000000</v>
      </c>
      <c r="Z1002" s="1">
        <f>582.1*100000000</f>
        <v>58210000000</v>
      </c>
      <c r="AA1002" s="8">
        <f t="shared" si="486"/>
        <v>0.55516965001335827</v>
      </c>
      <c r="AB1002" s="6" t="s">
        <v>10679</v>
      </c>
      <c r="AC1002" s="6" t="str">
        <f t="shared" si="470"/>
        <v>=374.3*100000000</v>
      </c>
      <c r="AD1002" s="1">
        <f>374.3*100000000</f>
        <v>37430000000</v>
      </c>
      <c r="AE1002" s="8">
        <f t="shared" si="487"/>
        <v>1.3090684762492288</v>
      </c>
      <c r="AF1002" s="6" t="s">
        <v>10680</v>
      </c>
      <c r="AG1002" s="6" t="str">
        <f t="shared" si="471"/>
        <v>=162.1*100000000</v>
      </c>
      <c r="AH1002" s="1">
        <f>162.1*100000000</f>
        <v>16210000000</v>
      </c>
      <c r="AI1002" s="8">
        <f t="shared" si="488"/>
        <v>-0.79286992077689755</v>
      </c>
      <c r="AJ1002" s="6" t="s">
        <v>10681</v>
      </c>
      <c r="AK1002" s="6" t="str">
        <f t="shared" si="472"/>
        <v>=782.6*100000000</v>
      </c>
      <c r="AL1002" s="1">
        <f>782.6*100000000</f>
        <v>78260000000</v>
      </c>
      <c r="AM1002" s="8">
        <f t="shared" si="489"/>
        <v>0.35915248350121587</v>
      </c>
      <c r="AN1002" s="6" t="s">
        <v>10682</v>
      </c>
      <c r="AO1002" s="6" t="str">
        <f t="shared" si="473"/>
        <v>=575.8*100000000</v>
      </c>
      <c r="AP1002" s="1">
        <f>575.8*100000000</f>
        <v>57579999999.999992</v>
      </c>
      <c r="AQ1002" s="8">
        <f t="shared" si="490"/>
        <v>0.5549554415338912</v>
      </c>
      <c r="AR1002" s="6" t="s">
        <v>10683</v>
      </c>
      <c r="AS1002" s="6" t="str">
        <f t="shared" si="474"/>
        <v>=370.3*100000000</v>
      </c>
      <c r="AT1002" s="1">
        <f>370.3*100000000</f>
        <v>37030000000</v>
      </c>
      <c r="AU1002" s="8">
        <f t="shared" si="491"/>
        <v>1.0897291196388261</v>
      </c>
      <c r="AV1002" s="6" t="s">
        <v>1633</v>
      </c>
      <c r="AW1002" s="6" t="str">
        <f t="shared" si="475"/>
        <v>=177.2*100000000</v>
      </c>
      <c r="AX1002" s="1">
        <f>177.2*100000000</f>
        <v>17720000000</v>
      </c>
      <c r="AY1002" s="10">
        <f t="shared" si="492"/>
        <v>-0.7837705918242831</v>
      </c>
      <c r="AZ1002" s="6" t="s">
        <v>10684</v>
      </c>
      <c r="BA1002" s="6" t="str">
        <f t="shared" si="476"/>
        <v>=819.5*100000000</v>
      </c>
      <c r="BB1002" s="1">
        <f>819.5*100000000</f>
        <v>81950000000</v>
      </c>
      <c r="BC1002" s="8">
        <f t="shared" si="493"/>
        <v>0.29832065906210375</v>
      </c>
      <c r="BD1002" s="6" t="s">
        <v>10685</v>
      </c>
      <c r="BE1002" s="6" t="str">
        <f t="shared" si="477"/>
        <v>=631.2*100000000</v>
      </c>
      <c r="BF1002" s="1">
        <f>631.2*100000000</f>
        <v>63120000000.000008</v>
      </c>
      <c r="BG1002" s="8">
        <f t="shared" si="494"/>
        <v>0.57563654518222684</v>
      </c>
      <c r="BH1002" s="6" t="s">
        <v>10686</v>
      </c>
      <c r="BI1002" s="6" t="str">
        <f t="shared" si="478"/>
        <v>=400.6*100000000</v>
      </c>
      <c r="BJ1002" s="1">
        <f>400.6*100000000</f>
        <v>40060000000</v>
      </c>
      <c r="BK1002" s="6" t="s">
        <v>10687</v>
      </c>
      <c r="BL1002" s="1" t="str">
        <f t="shared" si="480"/>
        <v>=183.1*100000000</v>
      </c>
      <c r="BM1002" s="16">
        <f t="shared" si="495"/>
        <v>1.1878754778809393</v>
      </c>
      <c r="BN1002" s="1">
        <f>183.1*100000000</f>
        <v>18310000000</v>
      </c>
    </row>
    <row r="1003" spans="1:66">
      <c r="A1003" s="18"/>
      <c r="B1003">
        <v>600808</v>
      </c>
      <c r="C1003" t="s">
        <v>48</v>
      </c>
      <c r="D1003" s="6" t="s">
        <v>10688</v>
      </c>
      <c r="E1003" s="7" t="str">
        <f t="shared" si="479"/>
        <v>=73.68*100000000</v>
      </c>
      <c r="F1003" s="1">
        <f>73.68*100000000</f>
        <v>7368000000.000001</v>
      </c>
      <c r="G1003" s="8">
        <f t="shared" si="481"/>
        <v>-0.14968263127524514</v>
      </c>
      <c r="H1003" s="6" t="s">
        <v>10689</v>
      </c>
      <c r="I1003" s="6" t="str">
        <f t="shared" si="465"/>
        <v>=86.65*100000000</v>
      </c>
      <c r="J1003" s="1">
        <f>86.65*100000000</f>
        <v>8665000000</v>
      </c>
      <c r="K1003" s="10">
        <f t="shared" si="482"/>
        <v>0.38573484727330881</v>
      </c>
      <c r="L1003" s="6" t="s">
        <v>2022</v>
      </c>
      <c r="M1003" s="6" t="str">
        <f t="shared" si="466"/>
        <v>=62.53*100000000</v>
      </c>
      <c r="N1003" s="1">
        <f>62.53*100000000</f>
        <v>6253000000</v>
      </c>
      <c r="O1003" s="8">
        <f t="shared" si="483"/>
        <v>2.3928377645143786</v>
      </c>
      <c r="P1003" s="6" t="s">
        <v>2137</v>
      </c>
      <c r="Q1003" s="6" t="str">
        <f t="shared" si="467"/>
        <v>=18.43*100000000</v>
      </c>
      <c r="R1003" s="11">
        <f>18.43*100000000</f>
        <v>1843000000</v>
      </c>
      <c r="S1003" s="8">
        <f t="shared" si="484"/>
        <v>-0.35716777118939658</v>
      </c>
      <c r="T1003" s="6" t="s">
        <v>2133</v>
      </c>
      <c r="U1003" s="6" t="str">
        <f t="shared" si="468"/>
        <v>=28.67*100000000</v>
      </c>
      <c r="V1003" s="1">
        <f>28.67*100000000</f>
        <v>2867000000</v>
      </c>
      <c r="W1003" s="8">
        <f t="shared" si="485"/>
        <v>0.46649616368286445</v>
      </c>
      <c r="X1003" s="6" t="s">
        <v>10690</v>
      </c>
      <c r="Y1003" s="6" t="str">
        <f t="shared" si="469"/>
        <v>=19.55*100000000</v>
      </c>
      <c r="Z1003" s="1">
        <f>19.55*100000000</f>
        <v>1955000000</v>
      </c>
      <c r="AA1003" s="8">
        <f t="shared" si="486"/>
        <v>1.0169194263901784</v>
      </c>
      <c r="AB1003" s="6" t="s">
        <v>9931</v>
      </c>
      <c r="AC1003" s="6" t="str">
        <f t="shared" si="470"/>
        <v>=9.693*100000000</v>
      </c>
      <c r="AD1003" s="1">
        <f>9.693*100000000</f>
        <v>969300000</v>
      </c>
      <c r="AE1003" s="8">
        <f t="shared" si="487"/>
        <v>0.92550655542312277</v>
      </c>
      <c r="AF1003" s="6" t="s">
        <v>10691</v>
      </c>
      <c r="AG1003" s="6" t="str">
        <f t="shared" si="471"/>
        <v>=5.034*100000000</v>
      </c>
      <c r="AH1003" s="1">
        <f>5.034*100000000</f>
        <v>503400000</v>
      </c>
      <c r="AI1003" s="8">
        <f t="shared" si="488"/>
        <v>-0.72521834061135371</v>
      </c>
      <c r="AJ1003" s="6" t="s">
        <v>3621</v>
      </c>
      <c r="AK1003" s="6" t="str">
        <f t="shared" si="472"/>
        <v>=18.32*100000000</v>
      </c>
      <c r="AL1003" s="1">
        <f>18.32*100000000</f>
        <v>1832000000</v>
      </c>
      <c r="AM1003" s="8">
        <f t="shared" si="489"/>
        <v>-8.2164328657314628E-2</v>
      </c>
      <c r="AN1003" s="6" t="s">
        <v>10692</v>
      </c>
      <c r="AO1003" s="6" t="str">
        <f t="shared" si="473"/>
        <v>=19.96*100000000</v>
      </c>
      <c r="AP1003" s="1">
        <f>19.96*100000000</f>
        <v>1996000000</v>
      </c>
      <c r="AQ1003" s="8">
        <f t="shared" si="490"/>
        <v>0.44115523465703971</v>
      </c>
      <c r="AR1003" s="6" t="s">
        <v>10693</v>
      </c>
      <c r="AS1003" s="6" t="str">
        <f t="shared" si="474"/>
        <v>=13.85*100000000</v>
      </c>
      <c r="AT1003" s="1">
        <f>13.85*100000000</f>
        <v>1385000000</v>
      </c>
      <c r="AU1003" s="8">
        <f t="shared" si="491"/>
        <v>8.3771157752200409</v>
      </c>
      <c r="AV1003" s="6" t="s">
        <v>6274</v>
      </c>
      <c r="AW1003" s="6" t="str">
        <f t="shared" si="475"/>
        <v>=1.477*100000000</v>
      </c>
      <c r="AX1003" s="1">
        <f>1.477*100000000</f>
        <v>147700000</v>
      </c>
      <c r="AY1003" s="10">
        <f t="shared" si="492"/>
        <v>-0.98173160173160168</v>
      </c>
      <c r="AZ1003" s="6" t="s">
        <v>10694</v>
      </c>
      <c r="BA1003" s="6" t="str">
        <f t="shared" si="476"/>
        <v>=80.85*100000000</v>
      </c>
      <c r="BB1003" s="1">
        <f>80.85*100000000</f>
        <v>8084999999.999999</v>
      </c>
      <c r="BC1003" s="8">
        <f t="shared" si="493"/>
        <v>0.16498559077809768</v>
      </c>
      <c r="BD1003" s="6" t="s">
        <v>10695</v>
      </c>
      <c r="BE1003" s="6" t="str">
        <f t="shared" si="477"/>
        <v>=69.40*100000000</v>
      </c>
      <c r="BF1003" s="1">
        <f>69.4*100000000</f>
        <v>6940000000.000001</v>
      </c>
      <c r="BG1003" s="8">
        <f t="shared" si="494"/>
        <v>0.68897541981017285</v>
      </c>
      <c r="BH1003" s="6" t="s">
        <v>10696</v>
      </c>
      <c r="BI1003" s="6" t="str">
        <f t="shared" si="478"/>
        <v>=41.09*100000000</v>
      </c>
      <c r="BJ1003" s="1">
        <f>41.09*100000000</f>
        <v>4109000000.0000005</v>
      </c>
      <c r="BK1003" s="6" t="s">
        <v>10697</v>
      </c>
      <c r="BL1003" s="1" t="str">
        <f t="shared" si="480"/>
        <v>=17.81*100000000</v>
      </c>
      <c r="BM1003" s="16">
        <f t="shared" si="495"/>
        <v>1.3071308253790013</v>
      </c>
      <c r="BN1003" s="1">
        <f>17.81*100000000</f>
        <v>1780999999.9999998</v>
      </c>
    </row>
    <row r="1004" spans="1:66">
      <c r="A1004" s="18"/>
      <c r="B1004">
        <v>600808</v>
      </c>
      <c r="C1004" t="s">
        <v>58</v>
      </c>
      <c r="D1004" s="6" t="s">
        <v>10698</v>
      </c>
      <c r="E1004" s="7" t="str">
        <f t="shared" si="479"/>
        <v>=70.16*100000000</v>
      </c>
      <c r="F1004" s="1">
        <f>70.16*100000000</f>
        <v>7016000000</v>
      </c>
      <c r="G1004" s="8">
        <f t="shared" si="481"/>
        <v>-0.19309948246118458</v>
      </c>
      <c r="H1004" s="6" t="s">
        <v>10699</v>
      </c>
      <c r="I1004" s="6" t="str">
        <f t="shared" si="465"/>
        <v>=86.95*100000000</v>
      </c>
      <c r="J1004" s="1">
        <f>86.95*100000000</f>
        <v>8695000000</v>
      </c>
      <c r="K1004" s="10">
        <f t="shared" si="482"/>
        <v>0.38367281985996182</v>
      </c>
      <c r="L1004" s="6" t="s">
        <v>10700</v>
      </c>
      <c r="M1004" s="6" t="str">
        <f t="shared" si="466"/>
        <v>=62.84*100000000</v>
      </c>
      <c r="N1004" s="1">
        <f>62.84*100000000</f>
        <v>6284000000</v>
      </c>
      <c r="O1004" s="8">
        <f t="shared" si="483"/>
        <v>2.3784946236559135</v>
      </c>
      <c r="P1004" s="6" t="s">
        <v>4801</v>
      </c>
      <c r="Q1004" s="6" t="str">
        <f t="shared" si="467"/>
        <v>=18.60*100000000</v>
      </c>
      <c r="R1004" s="11">
        <f>18.6*100000000</f>
        <v>1860000000.0000002</v>
      </c>
      <c r="S1004" s="8">
        <f t="shared" si="484"/>
        <v>-0.39629990262901649</v>
      </c>
      <c r="T1004" s="6" t="s">
        <v>10701</v>
      </c>
      <c r="U1004" s="6" t="str">
        <f t="shared" si="468"/>
        <v>=30.81*100000000</v>
      </c>
      <c r="V1004" s="1">
        <f>30.81*100000000</f>
        <v>3081000000</v>
      </c>
      <c r="W1004" s="8">
        <f t="shared" si="485"/>
        <v>0.39601268690530134</v>
      </c>
      <c r="X1004" s="6" t="s">
        <v>9556</v>
      </c>
      <c r="Y1004" s="6" t="str">
        <f t="shared" si="469"/>
        <v>=22.07*100000000</v>
      </c>
      <c r="Z1004" s="1">
        <f>22.07*100000000</f>
        <v>2207000000</v>
      </c>
      <c r="AA1004" s="8">
        <f t="shared" si="486"/>
        <v>0.80753480753480755</v>
      </c>
      <c r="AB1004" s="6" t="s">
        <v>7912</v>
      </c>
      <c r="AC1004" s="6" t="str">
        <f t="shared" si="470"/>
        <v>=12.21*100000000</v>
      </c>
      <c r="AD1004" s="1">
        <f>12.21*100000000</f>
        <v>1221000000</v>
      </c>
      <c r="AE1004" s="8">
        <f t="shared" si="487"/>
        <v>1.4139976275207593</v>
      </c>
      <c r="AF1004" s="6" t="s">
        <v>10702</v>
      </c>
      <c r="AG1004" s="6" t="str">
        <f t="shared" si="471"/>
        <v>=5.058*100000000</v>
      </c>
      <c r="AH1004" s="1">
        <f>5.058*100000000</f>
        <v>505800000</v>
      </c>
      <c r="AI1004" s="8">
        <f t="shared" si="488"/>
        <v>-0.77989556135770233</v>
      </c>
      <c r="AJ1004" s="6" t="s">
        <v>10703</v>
      </c>
      <c r="AK1004" s="6" t="str">
        <f t="shared" si="472"/>
        <v>=22.98*100000000</v>
      </c>
      <c r="AL1004" s="1">
        <f>22.98*100000000</f>
        <v>2298000000</v>
      </c>
      <c r="AM1004" s="8">
        <f t="shared" si="489"/>
        <v>1.2780960775672102E-2</v>
      </c>
      <c r="AN1004" s="6" t="s">
        <v>10704</v>
      </c>
      <c r="AO1004" s="6" t="str">
        <f t="shared" si="473"/>
        <v>=22.69*100000000</v>
      </c>
      <c r="AP1004" s="1">
        <f>22.69*100000000</f>
        <v>2269000000</v>
      </c>
      <c r="AQ1004" s="8">
        <f t="shared" si="490"/>
        <v>0.36934218467109231</v>
      </c>
      <c r="AR1004" s="6" t="s">
        <v>6215</v>
      </c>
      <c r="AS1004" s="6" t="str">
        <f t="shared" si="474"/>
        <v>=16.57*100000000</v>
      </c>
      <c r="AT1004" s="1">
        <f>16.57*100000000</f>
        <v>1657000000</v>
      </c>
      <c r="AU1004" s="8">
        <f t="shared" si="491"/>
        <v>5.7826442898076138</v>
      </c>
      <c r="AV1004" s="6" t="s">
        <v>6711</v>
      </c>
      <c r="AW1004" s="6" t="str">
        <f t="shared" si="475"/>
        <v>=2.443*100000000</v>
      </c>
      <c r="AX1004" s="1">
        <f>2.443*100000000</f>
        <v>244300000</v>
      </c>
      <c r="AY1004" s="10">
        <f t="shared" si="492"/>
        <v>-0.97034834324553954</v>
      </c>
      <c r="AZ1004" s="6" t="s">
        <v>40</v>
      </c>
      <c r="BA1004" s="6" t="str">
        <f t="shared" si="476"/>
        <v>=82.39*100000000</v>
      </c>
      <c r="BB1004" s="1">
        <f>82.39*100000000</f>
        <v>8239000000</v>
      </c>
      <c r="BC1004" s="8">
        <f t="shared" si="493"/>
        <v>0.17131077622974125</v>
      </c>
      <c r="BD1004" s="6" t="s">
        <v>10705</v>
      </c>
      <c r="BE1004" s="6" t="str">
        <f t="shared" si="477"/>
        <v>=70.34*100000000</v>
      </c>
      <c r="BF1004" s="1">
        <f>70.34*100000000</f>
        <v>7034000000</v>
      </c>
      <c r="BG1004" s="8">
        <f t="shared" si="494"/>
        <v>0.67396477867682036</v>
      </c>
      <c r="BH1004" s="6" t="s">
        <v>10706</v>
      </c>
      <c r="BI1004" s="6" t="str">
        <f t="shared" si="478"/>
        <v>=42.02*100000000</v>
      </c>
      <c r="BJ1004" s="1">
        <f>42.02*100000000</f>
        <v>4202000000.0000005</v>
      </c>
      <c r="BK1004" s="6" t="s">
        <v>10707</v>
      </c>
      <c r="BL1004" s="1" t="str">
        <f t="shared" si="480"/>
        <v>=17.80*100000000</v>
      </c>
      <c r="BM1004" s="16">
        <f t="shared" si="495"/>
        <v>1.3606741573033712</v>
      </c>
      <c r="BN1004" s="1">
        <f>17.8*100000000</f>
        <v>1780000000</v>
      </c>
    </row>
    <row r="1005" spans="1:66">
      <c r="A1005" s="19"/>
      <c r="B1005">
        <v>600808</v>
      </c>
      <c r="C1005" t="s">
        <v>68</v>
      </c>
      <c r="D1005" s="6" t="s">
        <v>10708</v>
      </c>
      <c r="E1005" s="7" t="str">
        <f t="shared" si="479"/>
        <v>=59.94*100000000</v>
      </c>
      <c r="F1005" s="1">
        <f>59.94*100000000</f>
        <v>5994000000</v>
      </c>
      <c r="G1005" s="8">
        <f t="shared" si="481"/>
        <v>-0.15601239087580962</v>
      </c>
      <c r="H1005" s="6" t="s">
        <v>6358</v>
      </c>
      <c r="I1005" s="6" t="str">
        <f t="shared" si="465"/>
        <v>=71.02*100000000</v>
      </c>
      <c r="J1005" s="1">
        <f>71.02*100000000</f>
        <v>7102000000</v>
      </c>
      <c r="K1005" s="10">
        <f t="shared" si="482"/>
        <v>0.40968638348551012</v>
      </c>
      <c r="L1005" s="6" t="s">
        <v>10709</v>
      </c>
      <c r="M1005" s="6" t="str">
        <f t="shared" si="466"/>
        <v>=50.38*100000000</v>
      </c>
      <c r="N1005" s="1">
        <f>50.38*100000000</f>
        <v>5038000000</v>
      </c>
      <c r="O1005" s="8">
        <f t="shared" si="483"/>
        <v>2.0700792199878122</v>
      </c>
      <c r="P1005" s="6" t="s">
        <v>10434</v>
      </c>
      <c r="Q1005" s="6" t="str">
        <f t="shared" si="467"/>
        <v>=16.41*100000000</v>
      </c>
      <c r="R1005" s="11">
        <f>16.41*100000000</f>
        <v>1641000000</v>
      </c>
      <c r="S1005" s="8">
        <f t="shared" si="484"/>
        <v>-0.36346004654771141</v>
      </c>
      <c r="T1005" s="6" t="s">
        <v>6013</v>
      </c>
      <c r="U1005" s="6" t="str">
        <f t="shared" si="468"/>
        <v>=25.78*100000000</v>
      </c>
      <c r="V1005" s="1">
        <f>25.78*100000000</f>
        <v>2578000000</v>
      </c>
      <c r="W1005" s="8">
        <f t="shared" si="485"/>
        <v>0.38826063543349487</v>
      </c>
      <c r="X1005" s="6" t="s">
        <v>1947</v>
      </c>
      <c r="Y1005" s="6" t="str">
        <f t="shared" si="469"/>
        <v>=18.57*100000000</v>
      </c>
      <c r="Z1005" s="1">
        <f>18.57*100000000</f>
        <v>1857000000</v>
      </c>
      <c r="AA1005" s="8">
        <f t="shared" si="486"/>
        <v>0.86146752205292676</v>
      </c>
      <c r="AB1005" s="6" t="s">
        <v>10710</v>
      </c>
      <c r="AC1005" s="6" t="str">
        <f t="shared" si="470"/>
        <v>=9.976*100000000</v>
      </c>
      <c r="AD1005" s="1">
        <f>9.976*100000000</f>
        <v>997600000.00000012</v>
      </c>
      <c r="AE1005" s="8">
        <f t="shared" si="487"/>
        <v>1.2896488409456051</v>
      </c>
      <c r="AF1005" s="6" t="s">
        <v>5929</v>
      </c>
      <c r="AG1005" s="6" t="str">
        <f t="shared" si="471"/>
        <v>=4.357*100000000</v>
      </c>
      <c r="AH1005" s="1">
        <f>4.357*100000000</f>
        <v>435700000</v>
      </c>
      <c r="AI1005" s="8">
        <f t="shared" si="488"/>
        <v>-0.74579929988331384</v>
      </c>
      <c r="AJ1005" s="6" t="s">
        <v>5990</v>
      </c>
      <c r="AK1005" s="6" t="str">
        <f t="shared" si="472"/>
        <v>=17.14*100000000</v>
      </c>
      <c r="AL1005" s="1">
        <f>17.14*100000000</f>
        <v>1714000000</v>
      </c>
      <c r="AM1005" s="8">
        <f t="shared" si="489"/>
        <v>-9.07161803713529E-2</v>
      </c>
      <c r="AN1005" s="6" t="s">
        <v>5262</v>
      </c>
      <c r="AO1005" s="6" t="str">
        <f t="shared" si="473"/>
        <v>=18.85*100000000</v>
      </c>
      <c r="AP1005" s="1">
        <f>18.85*100000000</f>
        <v>1885000000.0000002</v>
      </c>
      <c r="AQ1005" s="8">
        <f t="shared" si="490"/>
        <v>0.32933709449929494</v>
      </c>
      <c r="AR1005" s="6" t="s">
        <v>10711</v>
      </c>
      <c r="AS1005" s="6" t="str">
        <f t="shared" si="474"/>
        <v>=14.18*100000000</v>
      </c>
      <c r="AT1005" s="1">
        <f>14.18*100000000</f>
        <v>1418000000</v>
      </c>
      <c r="AU1005" s="8">
        <f t="shared" si="491"/>
        <v>7.4154302670623142</v>
      </c>
      <c r="AV1005" s="6" t="s">
        <v>2893</v>
      </c>
      <c r="AW1005" s="6" t="str">
        <f t="shared" si="475"/>
        <v>=1.685*100000000</v>
      </c>
      <c r="AX1005" s="1">
        <f>1.685*100000000</f>
        <v>168500000</v>
      </c>
      <c r="AY1005" s="10">
        <f t="shared" si="492"/>
        <v>-0.97612638141116459</v>
      </c>
      <c r="AZ1005" s="6" t="s">
        <v>10712</v>
      </c>
      <c r="BA1005" s="6" t="str">
        <f t="shared" si="476"/>
        <v>=70.58*100000000</v>
      </c>
      <c r="BB1005" s="1">
        <f>70.58*100000000</f>
        <v>7058000000</v>
      </c>
      <c r="BC1005" s="8">
        <f t="shared" si="493"/>
        <v>0.10453834115805946</v>
      </c>
      <c r="BD1005" s="6" t="s">
        <v>10713</v>
      </c>
      <c r="BE1005" s="6" t="str">
        <f t="shared" si="477"/>
        <v>=63.90*100000000</v>
      </c>
      <c r="BF1005" s="1">
        <f>63.9*100000000</f>
        <v>6390000000</v>
      </c>
      <c r="BG1005" s="8">
        <f t="shared" si="494"/>
        <v>0.65715767634854771</v>
      </c>
      <c r="BH1005" s="6" t="s">
        <v>5416</v>
      </c>
      <c r="BI1005" s="6" t="str">
        <f t="shared" si="478"/>
        <v>=38.56*100000000</v>
      </c>
      <c r="BJ1005" s="1">
        <f>38.56*100000000</f>
        <v>3856000000</v>
      </c>
      <c r="BK1005" s="6" t="s">
        <v>3363</v>
      </c>
      <c r="BL1005" s="1" t="str">
        <f t="shared" si="480"/>
        <v>=16.30*100000000</v>
      </c>
      <c r="BM1005" s="16">
        <f t="shared" si="495"/>
        <v>1.3656441717791412</v>
      </c>
      <c r="BN1005" s="1">
        <f>16.3*100000000</f>
        <v>1630000000</v>
      </c>
    </row>
    <row r="1006" spans="1:66">
      <c r="A1006" s="17">
        <v>253</v>
      </c>
      <c r="B1006">
        <v>600810</v>
      </c>
      <c r="C1006" t="s">
        <v>31</v>
      </c>
      <c r="D1006" s="6" t="s">
        <v>2403</v>
      </c>
      <c r="E1006" s="7" t="str">
        <f t="shared" si="479"/>
        <v>=134.2*100000000</v>
      </c>
      <c r="F1006" s="1">
        <f>134.2*100000000</f>
        <v>13419999999.999998</v>
      </c>
      <c r="G1006" s="8">
        <f t="shared" si="481"/>
        <v>0.35323182414036486</v>
      </c>
      <c r="H1006" s="6" t="s">
        <v>10714</v>
      </c>
      <c r="I1006" s="6" t="str">
        <f t="shared" si="465"/>
        <v>=99.17*100000000</v>
      </c>
      <c r="J1006" s="1">
        <f>99.17*100000000</f>
        <v>9917000000</v>
      </c>
      <c r="K1006" s="10">
        <f t="shared" si="482"/>
        <v>0.57688026713308949</v>
      </c>
      <c r="L1006" s="6" t="s">
        <v>10715</v>
      </c>
      <c r="M1006" s="6" t="str">
        <f t="shared" si="466"/>
        <v>=62.89*100000000</v>
      </c>
      <c r="N1006" s="1">
        <f>62.89*100000000</f>
        <v>6289000000</v>
      </c>
      <c r="O1006" s="8">
        <f t="shared" si="483"/>
        <v>1.0984317650984317</v>
      </c>
      <c r="P1006" s="6" t="s">
        <v>10716</v>
      </c>
      <c r="Q1006" s="6" t="str">
        <f t="shared" si="467"/>
        <v>=29.97*100000000</v>
      </c>
      <c r="R1006" s="11">
        <f>29.97*100000000</f>
        <v>2997000000</v>
      </c>
      <c r="S1006" s="8">
        <f t="shared" si="484"/>
        <v>-0.66371184919210058</v>
      </c>
      <c r="T1006" s="6" t="s">
        <v>10717</v>
      </c>
      <c r="U1006" s="6" t="str">
        <f t="shared" si="468"/>
        <v>=89.12*100000000</v>
      </c>
      <c r="V1006" s="1">
        <f>89.12*100000000</f>
        <v>8912000000</v>
      </c>
      <c r="W1006" s="8">
        <f t="shared" si="485"/>
        <v>0.1331214240305148</v>
      </c>
      <c r="X1006" s="6" t="s">
        <v>10718</v>
      </c>
      <c r="Y1006" s="6" t="str">
        <f t="shared" si="469"/>
        <v>=78.65*100000000</v>
      </c>
      <c r="Z1006" s="1">
        <f>78.65*100000000</f>
        <v>7865000000.000001</v>
      </c>
      <c r="AA1006" s="8">
        <f t="shared" si="486"/>
        <v>0.90021744382701163</v>
      </c>
      <c r="AB1006" s="6" t="s">
        <v>3612</v>
      </c>
      <c r="AC1006" s="6" t="str">
        <f t="shared" si="470"/>
        <v>=41.39*100000000</v>
      </c>
      <c r="AD1006" s="1">
        <f>41.39*100000000</f>
        <v>4139000000</v>
      </c>
      <c r="AE1006" s="8">
        <f t="shared" si="487"/>
        <v>0.64638027048528246</v>
      </c>
      <c r="AF1006" s="6" t="s">
        <v>9319</v>
      </c>
      <c r="AG1006" s="6" t="str">
        <f t="shared" si="471"/>
        <v>=25.14*100000000</v>
      </c>
      <c r="AH1006" s="1">
        <f>25.14*100000000</f>
        <v>2514000000</v>
      </c>
      <c r="AI1006" s="8">
        <f t="shared" si="488"/>
        <v>-0.77248868778280544</v>
      </c>
      <c r="AJ1006" s="6" t="s">
        <v>7928</v>
      </c>
      <c r="AK1006" s="6" t="str">
        <f t="shared" si="472"/>
        <v>=110.5*100000000</v>
      </c>
      <c r="AL1006" s="1">
        <f>110.5*100000000</f>
        <v>11050000000</v>
      </c>
      <c r="AM1006" s="8">
        <f t="shared" si="489"/>
        <v>3.5613870665417061E-2</v>
      </c>
      <c r="AN1006" s="6" t="s">
        <v>10719</v>
      </c>
      <c r="AO1006" s="6" t="str">
        <f t="shared" si="473"/>
        <v>=106.7*100000000</v>
      </c>
      <c r="AP1006" s="1">
        <f>106.7*100000000</f>
        <v>10670000000</v>
      </c>
      <c r="AQ1006" s="8">
        <f t="shared" si="490"/>
        <v>0.64179104477611959</v>
      </c>
      <c r="AR1006" s="6" t="s">
        <v>10720</v>
      </c>
      <c r="AS1006" s="6" t="str">
        <f t="shared" si="474"/>
        <v>=64.99*100000000</v>
      </c>
      <c r="AT1006" s="1">
        <f>64.99*100000000</f>
        <v>6498999999.999999</v>
      </c>
      <c r="AU1006" s="8">
        <f t="shared" si="491"/>
        <v>0.86806553607358405</v>
      </c>
      <c r="AV1006" s="6" t="s">
        <v>10721</v>
      </c>
      <c r="AW1006" s="6" t="str">
        <f t="shared" si="475"/>
        <v>=34.79*100000000</v>
      </c>
      <c r="AX1006" s="1">
        <f>34.79*100000000</f>
        <v>3479000000</v>
      </c>
      <c r="AY1006" s="10">
        <f t="shared" si="492"/>
        <v>-0.69075555555555557</v>
      </c>
      <c r="AZ1006" s="6" t="s">
        <v>10722</v>
      </c>
      <c r="BA1006" s="6" t="str">
        <f t="shared" si="476"/>
        <v>=112.5*100000000</v>
      </c>
      <c r="BB1006" s="1">
        <f>112.5*100000000</f>
        <v>11250000000</v>
      </c>
      <c r="BC1006" s="8">
        <f t="shared" si="493"/>
        <v>0.28925051570020627</v>
      </c>
      <c r="BD1006" s="6" t="s">
        <v>10723</v>
      </c>
      <c r="BE1006" s="6" t="str">
        <f t="shared" si="477"/>
        <v>=87.26*100000000</v>
      </c>
      <c r="BF1006" s="1">
        <f>87.26*100000000</f>
        <v>8726000000</v>
      </c>
      <c r="BG1006" s="8">
        <f t="shared" si="494"/>
        <v>0.51862164984336934</v>
      </c>
      <c r="BH1006" s="6" t="s">
        <v>10724</v>
      </c>
      <c r="BI1006" s="6" t="str">
        <f t="shared" si="478"/>
        <v>=57.46*100000000</v>
      </c>
      <c r="BJ1006" s="1">
        <f>57.46*100000000</f>
        <v>5746000000</v>
      </c>
      <c r="BK1006" s="6" t="s">
        <v>9190</v>
      </c>
      <c r="BL1006" s="1" t="str">
        <f t="shared" si="480"/>
        <v>=27.96*100000000</v>
      </c>
      <c r="BM1006" s="16">
        <f t="shared" si="495"/>
        <v>1.0550786838340487</v>
      </c>
      <c r="BN1006" s="1">
        <f>27.96*100000000</f>
        <v>2796000000</v>
      </c>
    </row>
    <row r="1007" spans="1:66">
      <c r="A1007" s="18"/>
      <c r="B1007">
        <v>600810</v>
      </c>
      <c r="C1007" t="s">
        <v>48</v>
      </c>
      <c r="D1007" s="6" t="s">
        <v>10725</v>
      </c>
      <c r="E1007" s="7" t="str">
        <f t="shared" si="479"/>
        <v>=24.74*100000000</v>
      </c>
      <c r="F1007" s="1">
        <f>24.74*100000000</f>
        <v>2474000000</v>
      </c>
      <c r="G1007" s="8">
        <f t="shared" si="481"/>
        <v>0.28186528497409324</v>
      </c>
      <c r="H1007" s="6" t="s">
        <v>10726</v>
      </c>
      <c r="I1007" s="6" t="str">
        <f t="shared" si="465"/>
        <v>=19.30*100000000</v>
      </c>
      <c r="J1007" s="1">
        <f>19.3*100000000</f>
        <v>1930000000</v>
      </c>
      <c r="K1007" s="10">
        <f t="shared" si="482"/>
        <v>0.62594776748104464</v>
      </c>
      <c r="L1007" s="6" t="s">
        <v>3832</v>
      </c>
      <c r="M1007" s="6" t="str">
        <f t="shared" si="466"/>
        <v>=11.87*100000000</v>
      </c>
      <c r="N1007" s="1">
        <f>11.87*100000000</f>
        <v>1187000000</v>
      </c>
      <c r="O1007" s="8">
        <f t="shared" si="483"/>
        <v>1.9630554168746879</v>
      </c>
      <c r="P1007" s="6" t="s">
        <v>10727</v>
      </c>
      <c r="Q1007" s="6" t="str">
        <f t="shared" si="467"/>
        <v>=4.006*100000000</v>
      </c>
      <c r="R1007" s="11">
        <f>4.006*100000000</f>
        <v>400600000</v>
      </c>
      <c r="S1007" s="8">
        <f t="shared" si="484"/>
        <v>-0.10540419830281375</v>
      </c>
      <c r="T1007" s="6" t="s">
        <v>10728</v>
      </c>
      <c r="U1007" s="6" t="str">
        <f t="shared" si="468"/>
        <v>=4.478*100000000</v>
      </c>
      <c r="V1007" s="1">
        <f>4.478*100000000</f>
        <v>447800000</v>
      </c>
      <c r="W1007" s="8">
        <f t="shared" si="485"/>
        <v>1.9210697977821265</v>
      </c>
      <c r="X1007" s="6" t="s">
        <v>4289</v>
      </c>
      <c r="Y1007" s="6" t="str">
        <f t="shared" si="469"/>
        <v>=1.533*100000000</v>
      </c>
      <c r="Z1007" s="1">
        <f>1.533*100000000</f>
        <v>153300000</v>
      </c>
      <c r="AA1007" s="8">
        <f t="shared" si="486"/>
        <v>1.036667995217218</v>
      </c>
      <c r="AB1007" s="7" t="s">
        <v>10729</v>
      </c>
      <c r="AC1007" s="6" t="str">
        <f t="shared" si="470"/>
        <v>=7527*10000</v>
      </c>
      <c r="AD1007" s="1">
        <f>7527*10000</f>
        <v>75270000</v>
      </c>
      <c r="AE1007" s="8">
        <f t="shared" si="487"/>
        <v>-3.5123702089475711E-2</v>
      </c>
      <c r="AF1007" s="7" t="s">
        <v>10730</v>
      </c>
      <c r="AG1007" s="6" t="str">
        <f t="shared" si="471"/>
        <v>=7801*10000</v>
      </c>
      <c r="AH1007" s="1">
        <f>7801*10000</f>
        <v>78010000</v>
      </c>
      <c r="AI1007" s="8">
        <f t="shared" si="488"/>
        <v>-0.89456683335585885</v>
      </c>
      <c r="AJ1007" s="6" t="s">
        <v>10731</v>
      </c>
      <c r="AK1007" s="6" t="str">
        <f t="shared" si="472"/>
        <v>=7.399*100000000</v>
      </c>
      <c r="AL1007" s="1">
        <f>7.399*100000000</f>
        <v>739900000</v>
      </c>
      <c r="AM1007" s="8">
        <f t="shared" si="489"/>
        <v>0.15123696903687567</v>
      </c>
      <c r="AN1007" s="6" t="s">
        <v>164</v>
      </c>
      <c r="AO1007" s="6" t="str">
        <f t="shared" si="473"/>
        <v>=6.427*100000000</v>
      </c>
      <c r="AP1007" s="1">
        <f>6.427*100000000</f>
        <v>642700000</v>
      </c>
      <c r="AQ1007" s="8">
        <f t="shared" si="490"/>
        <v>0.59716699801192841</v>
      </c>
      <c r="AR1007" s="6" t="s">
        <v>1388</v>
      </c>
      <c r="AS1007" s="6" t="str">
        <f t="shared" si="474"/>
        <v>=4.024*100000000</v>
      </c>
      <c r="AT1007" s="1">
        <f>4.024*100000000</f>
        <v>402400000</v>
      </c>
      <c r="AU1007" s="8">
        <f t="shared" si="491"/>
        <v>0.5560711523588554</v>
      </c>
      <c r="AV1007" s="6" t="s">
        <v>1723</v>
      </c>
      <c r="AW1007" s="6" t="str">
        <f t="shared" si="475"/>
        <v>=2.586*100000000</v>
      </c>
      <c r="AX1007" s="1">
        <f>2.586*100000000</f>
        <v>258600000</v>
      </c>
      <c r="AY1007" s="10">
        <f t="shared" si="492"/>
        <v>-0.76165898617511518</v>
      </c>
      <c r="AZ1007" s="6" t="s">
        <v>8796</v>
      </c>
      <c r="BA1007" s="6" t="str">
        <f t="shared" si="476"/>
        <v>=10.85*100000000</v>
      </c>
      <c r="BB1007" s="1">
        <f>10.85*100000000</f>
        <v>1085000000</v>
      </c>
      <c r="BC1007" s="8">
        <f t="shared" si="493"/>
        <v>0.19322555812163203</v>
      </c>
      <c r="BD1007" s="6" t="s">
        <v>10540</v>
      </c>
      <c r="BE1007" s="6" t="str">
        <f t="shared" si="477"/>
        <v>=9.093*100000000</v>
      </c>
      <c r="BF1007" s="1">
        <f>9.093*100000000</f>
        <v>909300000</v>
      </c>
      <c r="BG1007" s="8">
        <f t="shared" si="494"/>
        <v>0.53183962264150941</v>
      </c>
      <c r="BH1007" s="6" t="s">
        <v>10732</v>
      </c>
      <c r="BI1007" s="6" t="str">
        <f t="shared" si="478"/>
        <v>=5.936*100000000</v>
      </c>
      <c r="BJ1007" s="1">
        <f>5.936*100000000</f>
        <v>593600000</v>
      </c>
      <c r="BK1007" s="6" t="s">
        <v>9509</v>
      </c>
      <c r="BL1007" s="1" t="str">
        <f t="shared" si="480"/>
        <v>=1.690*100000000</v>
      </c>
      <c r="BM1007" s="16">
        <f t="shared" si="495"/>
        <v>2.5124260355029584</v>
      </c>
      <c r="BN1007" s="1">
        <f>1.69*100000000</f>
        <v>169000000</v>
      </c>
    </row>
    <row r="1008" spans="1:66">
      <c r="A1008" s="18"/>
      <c r="B1008">
        <v>600810</v>
      </c>
      <c r="C1008" t="s">
        <v>58</v>
      </c>
      <c r="D1008" s="6" t="s">
        <v>10733</v>
      </c>
      <c r="E1008" s="7" t="str">
        <f t="shared" si="479"/>
        <v>=24.60*100000000</v>
      </c>
      <c r="F1008" s="1">
        <f>24.6*100000000</f>
        <v>2460000000</v>
      </c>
      <c r="G1008" s="8">
        <f t="shared" si="481"/>
        <v>0.27725856697819301</v>
      </c>
      <c r="H1008" s="6" t="s">
        <v>10734</v>
      </c>
      <c r="I1008" s="6" t="str">
        <f t="shared" si="465"/>
        <v>=19.26*100000000</v>
      </c>
      <c r="J1008" s="1">
        <f>19.26*100000000</f>
        <v>1926000000.0000002</v>
      </c>
      <c r="K1008" s="10">
        <f t="shared" si="482"/>
        <v>0.63358778625954215</v>
      </c>
      <c r="L1008" s="6" t="s">
        <v>346</v>
      </c>
      <c r="M1008" s="6" t="str">
        <f t="shared" si="466"/>
        <v>=11.79*100000000</v>
      </c>
      <c r="N1008" s="1">
        <f>11.79*100000000</f>
        <v>1179000000</v>
      </c>
      <c r="O1008" s="8">
        <f t="shared" si="483"/>
        <v>1.9445554445554449</v>
      </c>
      <c r="P1008" s="6" t="s">
        <v>10735</v>
      </c>
      <c r="Q1008" s="6" t="str">
        <f t="shared" si="467"/>
        <v>=4.004*100000000</v>
      </c>
      <c r="R1008" s="11">
        <f>4.004*100000000</f>
        <v>400399999.99999994</v>
      </c>
      <c r="S1008" s="8">
        <f t="shared" si="484"/>
        <v>-7.4219653179190895E-2</v>
      </c>
      <c r="T1008" s="6" t="s">
        <v>10736</v>
      </c>
      <c r="U1008" s="6" t="str">
        <f t="shared" si="468"/>
        <v>=4.325*100000000</v>
      </c>
      <c r="V1008" s="1">
        <f>4.325*100000000</f>
        <v>432500000</v>
      </c>
      <c r="W1008" s="8">
        <f t="shared" si="485"/>
        <v>1.8814123917388408</v>
      </c>
      <c r="X1008" s="6" t="s">
        <v>1454</v>
      </c>
      <c r="Y1008" s="6" t="str">
        <f t="shared" si="469"/>
        <v>=1.501*100000000</v>
      </c>
      <c r="Z1008" s="1">
        <f>1.501*100000000</f>
        <v>150100000</v>
      </c>
      <c r="AA1008" s="8">
        <f t="shared" si="486"/>
        <v>1.1845437345364576</v>
      </c>
      <c r="AB1008" s="7" t="s">
        <v>10737</v>
      </c>
      <c r="AC1008" s="6" t="str">
        <f t="shared" si="470"/>
        <v>=6871*10000</v>
      </c>
      <c r="AD1008" s="1">
        <f>6871*10000</f>
        <v>68710000</v>
      </c>
      <c r="AE1008" s="8">
        <f t="shared" si="487"/>
        <v>-0.1225897075724684</v>
      </c>
      <c r="AF1008" s="7" t="s">
        <v>10738</v>
      </c>
      <c r="AG1008" s="6" t="str">
        <f t="shared" si="471"/>
        <v>=7831*10000</v>
      </c>
      <c r="AH1008" s="1">
        <f>7831*10000</f>
        <v>78310000</v>
      </c>
      <c r="AI1008" s="8">
        <f t="shared" si="488"/>
        <v>-0.89813995837669092</v>
      </c>
      <c r="AJ1008" s="6" t="s">
        <v>10739</v>
      </c>
      <c r="AK1008" s="6" t="str">
        <f t="shared" si="472"/>
        <v>=7.688*100000000</v>
      </c>
      <c r="AL1008" s="1">
        <f>7.688*100000000</f>
        <v>768800000</v>
      </c>
      <c r="AM1008" s="8">
        <f t="shared" si="489"/>
        <v>0.18386202648598707</v>
      </c>
      <c r="AN1008" s="6" t="s">
        <v>616</v>
      </c>
      <c r="AO1008" s="6" t="str">
        <f t="shared" si="473"/>
        <v>=6.494*100000000</v>
      </c>
      <c r="AP1008" s="1">
        <f>6.494*100000000</f>
        <v>649400000</v>
      </c>
      <c r="AQ1008" s="8">
        <f t="shared" si="490"/>
        <v>0.62593890836254384</v>
      </c>
      <c r="AR1008" s="6" t="s">
        <v>10740</v>
      </c>
      <c r="AS1008" s="6" t="str">
        <f t="shared" si="474"/>
        <v>=3.994*100000000</v>
      </c>
      <c r="AT1008" s="1">
        <f>3.994*100000000</f>
        <v>399400000</v>
      </c>
      <c r="AU1008" s="8">
        <f t="shared" si="491"/>
        <v>0.54506769825918766</v>
      </c>
      <c r="AV1008" s="6" t="s">
        <v>5632</v>
      </c>
      <c r="AW1008" s="6" t="str">
        <f t="shared" si="475"/>
        <v>=2.585*100000000</v>
      </c>
      <c r="AX1008" s="1">
        <f>2.585*100000000</f>
        <v>258500000</v>
      </c>
      <c r="AY1008" s="10">
        <f t="shared" si="492"/>
        <v>-0.76131117266851334</v>
      </c>
      <c r="AZ1008" s="6" t="s">
        <v>4527</v>
      </c>
      <c r="BA1008" s="6" t="str">
        <f t="shared" si="476"/>
        <v>=10.83*100000000</v>
      </c>
      <c r="BB1008" s="1">
        <f>10.83*100000000</f>
        <v>1083000000</v>
      </c>
      <c r="BC1008" s="8">
        <f t="shared" si="493"/>
        <v>0.19286265007159364</v>
      </c>
      <c r="BD1008" s="6" t="s">
        <v>10741</v>
      </c>
      <c r="BE1008" s="6" t="str">
        <f t="shared" si="477"/>
        <v>=9.079*100000000</v>
      </c>
      <c r="BF1008" s="1">
        <f>9.079*100000000</f>
        <v>907900000.00000012</v>
      </c>
      <c r="BG1008" s="8">
        <f t="shared" si="494"/>
        <v>0.53594992387074969</v>
      </c>
      <c r="BH1008" s="6" t="s">
        <v>10742</v>
      </c>
      <c r="BI1008" s="6" t="str">
        <f t="shared" si="478"/>
        <v>=5.911*100000000</v>
      </c>
      <c r="BJ1008" s="1">
        <f>5.911*100000000</f>
        <v>591100000</v>
      </c>
      <c r="BK1008" s="6" t="s">
        <v>5771</v>
      </c>
      <c r="BL1008" s="1" t="str">
        <f t="shared" si="480"/>
        <v>=1.705*100000000</v>
      </c>
      <c r="BM1008" s="16">
        <f t="shared" si="495"/>
        <v>2.4668621700879765</v>
      </c>
      <c r="BN1008" s="1">
        <f>1.705*100000000</f>
        <v>170500000</v>
      </c>
    </row>
    <row r="1009" spans="1:66">
      <c r="A1009" s="19"/>
      <c r="B1009">
        <v>600810</v>
      </c>
      <c r="C1009" t="s">
        <v>68</v>
      </c>
      <c r="D1009" s="6" t="s">
        <v>709</v>
      </c>
      <c r="E1009" s="7" t="str">
        <f t="shared" si="479"/>
        <v>=21.63*100000000</v>
      </c>
      <c r="F1009" s="1">
        <f>21.63*100000000</f>
        <v>2163000000</v>
      </c>
      <c r="G1009" s="8">
        <f t="shared" si="481"/>
        <v>0.3101150817686249</v>
      </c>
      <c r="H1009" s="6" t="s">
        <v>4529</v>
      </c>
      <c r="I1009" s="6" t="str">
        <f t="shared" si="465"/>
        <v>=16.51*100000000</v>
      </c>
      <c r="J1009" s="1">
        <f>16.51*100000000</f>
        <v>1651000000.0000002</v>
      </c>
      <c r="K1009" s="10">
        <f t="shared" si="482"/>
        <v>0.64278606965174134</v>
      </c>
      <c r="L1009" s="6" t="s">
        <v>1093</v>
      </c>
      <c r="M1009" s="6" t="str">
        <f t="shared" si="466"/>
        <v>=10.05*100000000</v>
      </c>
      <c r="N1009" s="1">
        <f>10.05*100000000</f>
        <v>1005000000.0000001</v>
      </c>
      <c r="O1009" s="8">
        <f t="shared" si="483"/>
        <v>1.7176852352623042</v>
      </c>
      <c r="P1009" s="6" t="s">
        <v>10743</v>
      </c>
      <c r="Q1009" s="6" t="str">
        <f t="shared" si="467"/>
        <v>=3.698*100000000</v>
      </c>
      <c r="R1009" s="11">
        <f>3.698*100000000</f>
        <v>369800000</v>
      </c>
      <c r="S1009" s="8">
        <f t="shared" si="484"/>
        <v>-3.2696834946377193E-2</v>
      </c>
      <c r="T1009" s="6" t="s">
        <v>2805</v>
      </c>
      <c r="U1009" s="6" t="str">
        <f t="shared" si="468"/>
        <v>=3.823*100000000</v>
      </c>
      <c r="V1009" s="1">
        <f>3.823*100000000</f>
        <v>382300000</v>
      </c>
      <c r="W1009" s="8">
        <f t="shared" si="485"/>
        <v>1.8593866866118176</v>
      </c>
      <c r="X1009" s="6" t="s">
        <v>6049</v>
      </c>
      <c r="Y1009" s="6" t="str">
        <f t="shared" si="469"/>
        <v>=1.337*100000000</v>
      </c>
      <c r="Z1009" s="1">
        <f>1.337*100000000</f>
        <v>133700000</v>
      </c>
      <c r="AA1009" s="8">
        <f t="shared" si="486"/>
        <v>1.126610466041037</v>
      </c>
      <c r="AB1009" s="7" t="s">
        <v>10744</v>
      </c>
      <c r="AC1009" s="6" t="str">
        <f t="shared" si="470"/>
        <v>=6287*10000</v>
      </c>
      <c r="AD1009" s="1">
        <f>6287*10000</f>
        <v>62870000</v>
      </c>
      <c r="AE1009" s="8">
        <f t="shared" si="487"/>
        <v>5.6993947545393407E-2</v>
      </c>
      <c r="AF1009" s="7" t="s">
        <v>10745</v>
      </c>
      <c r="AG1009" s="6" t="str">
        <f t="shared" si="471"/>
        <v>=5948*10000</v>
      </c>
      <c r="AH1009" s="1">
        <f>5948*10000</f>
        <v>59480000</v>
      </c>
      <c r="AI1009" s="8">
        <f t="shared" si="488"/>
        <v>-0.90860479409956973</v>
      </c>
      <c r="AJ1009" s="6" t="s">
        <v>10746</v>
      </c>
      <c r="AK1009" s="6" t="str">
        <f t="shared" si="472"/>
        <v>=6.508*100000000</v>
      </c>
      <c r="AL1009" s="1">
        <f>6.508*100000000</f>
        <v>650800000</v>
      </c>
      <c r="AM1009" s="8">
        <f t="shared" si="489"/>
        <v>0.11152860802732707</v>
      </c>
      <c r="AN1009" s="6" t="s">
        <v>10747</v>
      </c>
      <c r="AO1009" s="6" t="str">
        <f t="shared" si="473"/>
        <v>=5.855*100000000</v>
      </c>
      <c r="AP1009" s="1">
        <f>5.855*100000000</f>
        <v>585500000</v>
      </c>
      <c r="AQ1009" s="8">
        <f t="shared" si="490"/>
        <v>0.57307898979043526</v>
      </c>
      <c r="AR1009" s="6" t="s">
        <v>4134</v>
      </c>
      <c r="AS1009" s="6" t="str">
        <f t="shared" si="474"/>
        <v>=3.722*100000000</v>
      </c>
      <c r="AT1009" s="1">
        <f>3.722*100000000</f>
        <v>372200000</v>
      </c>
      <c r="AU1009" s="8">
        <f t="shared" si="491"/>
        <v>0.52854209445585221</v>
      </c>
      <c r="AV1009" s="6" t="s">
        <v>10748</v>
      </c>
      <c r="AW1009" s="6" t="str">
        <f t="shared" si="475"/>
        <v>=2.435*100000000</v>
      </c>
      <c r="AX1009" s="1">
        <f>2.435*100000000</f>
        <v>243500000</v>
      </c>
      <c r="AY1009" s="10">
        <f t="shared" si="492"/>
        <v>-0.74803394039735094</v>
      </c>
      <c r="AZ1009" s="6" t="s">
        <v>10749</v>
      </c>
      <c r="BA1009" s="6" t="str">
        <f t="shared" si="476"/>
        <v>=9.664*100000000</v>
      </c>
      <c r="BB1009" s="1">
        <f>9.664*100000000</f>
        <v>966400000</v>
      </c>
      <c r="BC1009" s="8">
        <f t="shared" si="493"/>
        <v>0.13801224682053681</v>
      </c>
      <c r="BD1009" s="6" t="s">
        <v>1437</v>
      </c>
      <c r="BE1009" s="6" t="str">
        <f t="shared" si="477"/>
        <v>=8.492*100000000</v>
      </c>
      <c r="BF1009" s="1">
        <f>8.492*100000000</f>
        <v>849200000.00000012</v>
      </c>
      <c r="BG1009" s="8">
        <f t="shared" si="494"/>
        <v>0.49296765119549951</v>
      </c>
      <c r="BH1009" s="6" t="s">
        <v>6485</v>
      </c>
      <c r="BI1009" s="6" t="str">
        <f t="shared" si="478"/>
        <v>=5.688*100000000</v>
      </c>
      <c r="BJ1009" s="1">
        <f>5.688*100000000</f>
        <v>568800000</v>
      </c>
      <c r="BK1009" s="6" t="s">
        <v>10750</v>
      </c>
      <c r="BL1009" s="1" t="str">
        <f t="shared" si="480"/>
        <v>=1.606*100000000</v>
      </c>
      <c r="BM1009" s="16">
        <f t="shared" si="495"/>
        <v>2.5417185554171855</v>
      </c>
      <c r="BN1009" s="1">
        <f>1.606*100000000</f>
        <v>160600000</v>
      </c>
    </row>
    <row r="1010" spans="1:66">
      <c r="A1010" s="17">
        <v>254</v>
      </c>
      <c r="B1010">
        <v>600814</v>
      </c>
      <c r="C1010" t="s">
        <v>31</v>
      </c>
      <c r="D1010" s="6" t="s">
        <v>10368</v>
      </c>
      <c r="E1010" s="7" t="str">
        <f t="shared" si="479"/>
        <v>=21.29*100000000</v>
      </c>
      <c r="F1010" s="1">
        <f>21.29*100000000</f>
        <v>2129000000</v>
      </c>
      <c r="G1010" s="8">
        <f t="shared" si="481"/>
        <v>0.31015384615384617</v>
      </c>
      <c r="H1010" s="6" t="s">
        <v>6193</v>
      </c>
      <c r="I1010" s="6" t="str">
        <f t="shared" si="465"/>
        <v>=16.25*100000000</v>
      </c>
      <c r="J1010" s="1">
        <f>16.25*100000000</f>
        <v>1625000000</v>
      </c>
      <c r="K1010" s="10">
        <f t="shared" si="482"/>
        <v>0.45218945487042</v>
      </c>
      <c r="L1010" s="6" t="s">
        <v>10751</v>
      </c>
      <c r="M1010" s="6" t="str">
        <f t="shared" si="466"/>
        <v>=11.19*100000000</v>
      </c>
      <c r="N1010" s="1">
        <f>11.19*100000000</f>
        <v>1119000000</v>
      </c>
      <c r="O1010" s="8">
        <f t="shared" si="483"/>
        <v>0.85911280943678348</v>
      </c>
      <c r="P1010" s="6" t="s">
        <v>10752</v>
      </c>
      <c r="Q1010" s="6" t="str">
        <f t="shared" si="467"/>
        <v>=6.019*100000000</v>
      </c>
      <c r="R1010" s="11">
        <f>6.019*100000000</f>
        <v>601900000</v>
      </c>
      <c r="S1010" s="8">
        <f t="shared" si="484"/>
        <v>-0.66374301675977654</v>
      </c>
      <c r="T1010" s="6" t="s">
        <v>10753</v>
      </c>
      <c r="U1010" s="6" t="str">
        <f t="shared" si="468"/>
        <v>=17.90*100000000</v>
      </c>
      <c r="V1010" s="1">
        <f>17.9*100000000</f>
        <v>1789999999.9999998</v>
      </c>
      <c r="W1010" s="8">
        <f t="shared" si="485"/>
        <v>0.53253424657534221</v>
      </c>
      <c r="X1010" s="6" t="s">
        <v>7004</v>
      </c>
      <c r="Y1010" s="6" t="str">
        <f t="shared" si="469"/>
        <v>=11.68*100000000</v>
      </c>
      <c r="Z1010" s="1">
        <f>11.68*100000000</f>
        <v>1168000000</v>
      </c>
      <c r="AA1010" s="8">
        <f t="shared" si="486"/>
        <v>0.69767441860465118</v>
      </c>
      <c r="AB1010" s="6" t="s">
        <v>8602</v>
      </c>
      <c r="AC1010" s="6" t="str">
        <f t="shared" si="470"/>
        <v>=6.880*100000000</v>
      </c>
      <c r="AD1010" s="1">
        <f>6.88*100000000</f>
        <v>688000000</v>
      </c>
      <c r="AE1010" s="8">
        <f t="shared" si="487"/>
        <v>1.5566703827573394</v>
      </c>
      <c r="AF1010" s="6" t="s">
        <v>6722</v>
      </c>
      <c r="AG1010" s="6" t="str">
        <f t="shared" si="471"/>
        <v>=2.691*100000000</v>
      </c>
      <c r="AH1010" s="1">
        <f>2.691*100000000</f>
        <v>269100000</v>
      </c>
      <c r="AI1010" s="8">
        <f t="shared" si="488"/>
        <v>-0.95795312499999996</v>
      </c>
      <c r="AJ1010" s="6" t="s">
        <v>10754</v>
      </c>
      <c r="AK1010" s="6" t="str">
        <f t="shared" si="472"/>
        <v>=64.00*100000000</v>
      </c>
      <c r="AL1010" s="1">
        <f>64*100000000</f>
        <v>6400000000</v>
      </c>
      <c r="AM1010" s="8">
        <f t="shared" si="489"/>
        <v>0.41686960371928272</v>
      </c>
      <c r="AN1010" s="6" t="s">
        <v>10755</v>
      </c>
      <c r="AO1010" s="6" t="str">
        <f t="shared" si="473"/>
        <v>=45.17*100000000</v>
      </c>
      <c r="AP1010" s="1">
        <f>45.17*100000000</f>
        <v>4517000000</v>
      </c>
      <c r="AQ1010" s="8">
        <f t="shared" si="490"/>
        <v>0.48146933420793703</v>
      </c>
      <c r="AR1010" s="6" t="s">
        <v>10756</v>
      </c>
      <c r="AS1010" s="6" t="str">
        <f t="shared" si="474"/>
        <v>=30.49*100000000</v>
      </c>
      <c r="AT1010" s="1">
        <f>30.49*100000000</f>
        <v>3049000000</v>
      </c>
      <c r="AU1010" s="8">
        <f t="shared" si="491"/>
        <v>0.88909541511771994</v>
      </c>
      <c r="AV1010" s="6" t="s">
        <v>10757</v>
      </c>
      <c r="AW1010" s="6" t="str">
        <f t="shared" si="475"/>
        <v>=16.14*100000000</v>
      </c>
      <c r="AX1010" s="1">
        <f>16.14*100000000</f>
        <v>1614000000</v>
      </c>
      <c r="AY1010" s="10">
        <f t="shared" si="492"/>
        <v>-0.72685733626671178</v>
      </c>
      <c r="AZ1010" s="6" t="s">
        <v>10758</v>
      </c>
      <c r="BA1010" s="6" t="str">
        <f t="shared" si="476"/>
        <v>=59.09*100000000</v>
      </c>
      <c r="BB1010" s="1">
        <f>59.09*100000000</f>
        <v>5909000000</v>
      </c>
      <c r="BC1010" s="8">
        <f t="shared" si="493"/>
        <v>0.40489776509747977</v>
      </c>
      <c r="BD1010" s="6" t="s">
        <v>10759</v>
      </c>
      <c r="BE1010" s="6" t="str">
        <f t="shared" si="477"/>
        <v>=42.06*100000000</v>
      </c>
      <c r="BF1010" s="1">
        <f>42.06*100000000</f>
        <v>4206000000</v>
      </c>
      <c r="BG1010" s="8">
        <f t="shared" si="494"/>
        <v>0.43207354443309498</v>
      </c>
      <c r="BH1010" s="6" t="s">
        <v>10760</v>
      </c>
      <c r="BI1010" s="6" t="str">
        <f t="shared" si="478"/>
        <v>=29.37*100000000</v>
      </c>
      <c r="BJ1010" s="1">
        <f>29.37*100000000</f>
        <v>2937000000</v>
      </c>
      <c r="BK1010" s="6" t="s">
        <v>8286</v>
      </c>
      <c r="BL1010" s="1" t="str">
        <f t="shared" si="480"/>
        <v>=15.84*100000000</v>
      </c>
      <c r="BM1010" s="16">
        <f t="shared" si="495"/>
        <v>0.85416666666666663</v>
      </c>
      <c r="BN1010" s="1">
        <f>15.84*100000000</f>
        <v>1584000000</v>
      </c>
    </row>
    <row r="1011" spans="1:66">
      <c r="A1011" s="18"/>
      <c r="B1011">
        <v>600814</v>
      </c>
      <c r="C1011" t="s">
        <v>48</v>
      </c>
      <c r="D1011" s="6" t="s">
        <v>10761</v>
      </c>
      <c r="E1011" s="7" t="str">
        <f t="shared" si="479"/>
        <v>=8.085*100000000</v>
      </c>
      <c r="F1011" s="1">
        <f>8.085*100000000</f>
        <v>808500000.00000012</v>
      </c>
      <c r="G1011" s="8">
        <f t="shared" si="481"/>
        <v>0.24942049142327324</v>
      </c>
      <c r="H1011" s="6" t="s">
        <v>10762</v>
      </c>
      <c r="I1011" s="6" t="str">
        <f t="shared" si="465"/>
        <v>=6.471*100000000</v>
      </c>
      <c r="J1011" s="1">
        <f>6.471*100000000</f>
        <v>647100000</v>
      </c>
      <c r="K1011" s="10">
        <f t="shared" si="482"/>
        <v>0.2834192780642602</v>
      </c>
      <c r="L1011" s="6" t="s">
        <v>10763</v>
      </c>
      <c r="M1011" s="6" t="str">
        <f t="shared" si="466"/>
        <v>=5.042*100000000</v>
      </c>
      <c r="N1011" s="1">
        <f>5.042*100000000</f>
        <v>504200000</v>
      </c>
      <c r="O1011" s="8">
        <f t="shared" si="483"/>
        <v>0.66567558638916424</v>
      </c>
      <c r="P1011" s="6" t="s">
        <v>5304</v>
      </c>
      <c r="Q1011" s="6" t="str">
        <f t="shared" si="467"/>
        <v>=3.027*100000000</v>
      </c>
      <c r="R1011" s="11">
        <f>3.027*100000000</f>
        <v>302700000</v>
      </c>
      <c r="S1011" s="8">
        <f t="shared" si="484"/>
        <v>-0.53729746254967903</v>
      </c>
      <c r="T1011" s="6" t="s">
        <v>10764</v>
      </c>
      <c r="U1011" s="6" t="str">
        <f t="shared" si="468"/>
        <v>=6.542*100000000</v>
      </c>
      <c r="V1011" s="1">
        <f>6.542*100000000</f>
        <v>654200000</v>
      </c>
      <c r="W1011" s="8">
        <f t="shared" si="485"/>
        <v>0.36348478532721967</v>
      </c>
      <c r="X1011" s="6" t="s">
        <v>10765</v>
      </c>
      <c r="Y1011" s="6" t="str">
        <f t="shared" si="469"/>
        <v>=4.798*100000000</v>
      </c>
      <c r="Z1011" s="1">
        <f>4.798*100000000</f>
        <v>479800000</v>
      </c>
      <c r="AA1011" s="8">
        <f t="shared" si="486"/>
        <v>0.83059900801220909</v>
      </c>
      <c r="AB1011" s="6" t="s">
        <v>10766</v>
      </c>
      <c r="AC1011" s="6" t="str">
        <f t="shared" si="470"/>
        <v>=2.621*100000000</v>
      </c>
      <c r="AD1011" s="1">
        <f>2.621*100000000</f>
        <v>262100000</v>
      </c>
      <c r="AE1011" s="8">
        <f t="shared" si="487"/>
        <v>6.364428210171396</v>
      </c>
      <c r="AF1011" s="7" t="s">
        <v>10767</v>
      </c>
      <c r="AG1011" s="6" t="str">
        <f t="shared" si="471"/>
        <v>=3559*10000</v>
      </c>
      <c r="AH1011" s="1">
        <f>3559*10000</f>
        <v>35590000</v>
      </c>
      <c r="AI1011" s="8">
        <f t="shared" si="488"/>
        <v>-0.94760783159134399</v>
      </c>
      <c r="AJ1011" s="6" t="s">
        <v>10768</v>
      </c>
      <c r="AK1011" s="6" t="str">
        <f t="shared" si="472"/>
        <v>=6.793*100000000</v>
      </c>
      <c r="AL1011" s="1">
        <f>6.793*100000000</f>
        <v>679300000</v>
      </c>
      <c r="AM1011" s="8">
        <f t="shared" si="489"/>
        <v>0.74582369570804419</v>
      </c>
      <c r="AN1011" s="6" t="s">
        <v>10769</v>
      </c>
      <c r="AO1011" s="6" t="str">
        <f t="shared" si="473"/>
        <v>=3.891*100000000</v>
      </c>
      <c r="AP1011" s="1">
        <f>3.891*100000000</f>
        <v>389100000</v>
      </c>
      <c r="AQ1011" s="8">
        <f t="shared" si="490"/>
        <v>0.34172413793103446</v>
      </c>
      <c r="AR1011" s="6" t="s">
        <v>6894</v>
      </c>
      <c r="AS1011" s="6" t="str">
        <f t="shared" si="474"/>
        <v>=2.900*100000000</v>
      </c>
      <c r="AT1011" s="1">
        <f>2.9*100000000</f>
        <v>290000000</v>
      </c>
      <c r="AU1011" s="8">
        <f t="shared" si="491"/>
        <v>0.82389937106918243</v>
      </c>
      <c r="AV1011" s="6" t="s">
        <v>10770</v>
      </c>
      <c r="AW1011" s="6" t="str">
        <f t="shared" si="475"/>
        <v>=1.590*100000000</v>
      </c>
      <c r="AX1011" s="1">
        <f>1.59*100000000</f>
        <v>159000000</v>
      </c>
      <c r="AY1011" s="10">
        <f t="shared" si="492"/>
        <v>-0.66888796334860467</v>
      </c>
      <c r="AZ1011" s="6" t="s">
        <v>10771</v>
      </c>
      <c r="BA1011" s="6" t="str">
        <f t="shared" si="476"/>
        <v>=4.802*100000000</v>
      </c>
      <c r="BB1011" s="1">
        <f>4.802*100000000</f>
        <v>480199999.99999994</v>
      </c>
      <c r="BC1011" s="8">
        <f t="shared" si="493"/>
        <v>0.34321678321678306</v>
      </c>
      <c r="BD1011" s="6" t="s">
        <v>4746</v>
      </c>
      <c r="BE1011" s="6" t="str">
        <f t="shared" si="477"/>
        <v>=3.575*100000000</v>
      </c>
      <c r="BF1011" s="1">
        <f>3.575*100000000</f>
        <v>357500000</v>
      </c>
      <c r="BG1011" s="8">
        <f t="shared" si="494"/>
        <v>0.31724392041267502</v>
      </c>
      <c r="BH1011" s="6" t="s">
        <v>6382</v>
      </c>
      <c r="BI1011" s="6" t="str">
        <f t="shared" si="478"/>
        <v>=2.714*100000000</v>
      </c>
      <c r="BJ1011" s="1">
        <f>2.714*100000000</f>
        <v>271400000</v>
      </c>
      <c r="BK1011" s="6" t="s">
        <v>10772</v>
      </c>
      <c r="BL1011" s="1" t="str">
        <f t="shared" si="480"/>
        <v>=1.455*100000000</v>
      </c>
      <c r="BM1011" s="16">
        <f t="shared" si="495"/>
        <v>0.86529209621993131</v>
      </c>
      <c r="BN1011" s="1">
        <f>1.455*100000000</f>
        <v>145500000</v>
      </c>
    </row>
    <row r="1012" spans="1:66">
      <c r="A1012" s="18"/>
      <c r="B1012">
        <v>600814</v>
      </c>
      <c r="C1012" t="s">
        <v>58</v>
      </c>
      <c r="D1012" s="6" t="s">
        <v>8686</v>
      </c>
      <c r="E1012" s="7" t="str">
        <f t="shared" si="479"/>
        <v>=8.165*100000000</v>
      </c>
      <c r="F1012" s="1">
        <f>8.165*100000000</f>
        <v>816499999.99999988</v>
      </c>
      <c r="G1012" s="8">
        <f t="shared" si="481"/>
        <v>0.24523410096080506</v>
      </c>
      <c r="H1012" s="6" t="s">
        <v>8526</v>
      </c>
      <c r="I1012" s="6" t="str">
        <f t="shared" si="465"/>
        <v>=6.557*100000000</v>
      </c>
      <c r="J1012" s="1">
        <f>6.557*100000000</f>
        <v>655700000</v>
      </c>
      <c r="K1012" s="10">
        <f t="shared" si="482"/>
        <v>0.27916504096761591</v>
      </c>
      <c r="L1012" s="6" t="s">
        <v>10773</v>
      </c>
      <c r="M1012" s="6" t="str">
        <f t="shared" si="466"/>
        <v>=5.126*100000000</v>
      </c>
      <c r="N1012" s="1">
        <f>5.126*100000000</f>
        <v>512600000.00000006</v>
      </c>
      <c r="O1012" s="8">
        <f t="shared" si="483"/>
        <v>0.68618421052631595</v>
      </c>
      <c r="P1012" s="6" t="s">
        <v>1500</v>
      </c>
      <c r="Q1012" s="6" t="str">
        <f t="shared" si="467"/>
        <v>=3.040*100000000</v>
      </c>
      <c r="R1012" s="11">
        <f>3.04*100000000</f>
        <v>304000000</v>
      </c>
      <c r="S1012" s="8">
        <f t="shared" si="484"/>
        <v>-0.53302611367127495</v>
      </c>
      <c r="T1012" s="6" t="s">
        <v>9341</v>
      </c>
      <c r="U1012" s="6" t="str">
        <f t="shared" si="468"/>
        <v>=6.510*100000000</v>
      </c>
      <c r="V1012" s="1">
        <f>6.51*100000000</f>
        <v>651000000</v>
      </c>
      <c r="W1012" s="8">
        <f t="shared" si="485"/>
        <v>0.35766423357664234</v>
      </c>
      <c r="X1012" s="6" t="s">
        <v>6697</v>
      </c>
      <c r="Y1012" s="6" t="str">
        <f t="shared" si="469"/>
        <v>=4.795*100000000</v>
      </c>
      <c r="Z1012" s="1">
        <f>4.795*100000000</f>
        <v>479500000</v>
      </c>
      <c r="AA1012" s="8">
        <f t="shared" si="486"/>
        <v>0.83225066870462361</v>
      </c>
      <c r="AB1012" s="6" t="s">
        <v>4401</v>
      </c>
      <c r="AC1012" s="6" t="str">
        <f t="shared" si="470"/>
        <v>=2.617*100000000</v>
      </c>
      <c r="AD1012" s="1">
        <f>2.617*100000000</f>
        <v>261700000</v>
      </c>
      <c r="AE1012" s="8">
        <f t="shared" si="487"/>
        <v>6.3989256432004522</v>
      </c>
      <c r="AF1012" s="7" t="s">
        <v>7695</v>
      </c>
      <c r="AG1012" s="6" t="str">
        <f t="shared" si="471"/>
        <v>=3537*10000</v>
      </c>
      <c r="AH1012" s="1">
        <f>3537*10000</f>
        <v>35370000</v>
      </c>
      <c r="AI1012" s="8">
        <f t="shared" si="488"/>
        <v>-0.9455594889949207</v>
      </c>
      <c r="AJ1012" s="6" t="s">
        <v>9343</v>
      </c>
      <c r="AK1012" s="6" t="str">
        <f t="shared" si="472"/>
        <v>=6.497*100000000</v>
      </c>
      <c r="AL1012" s="1">
        <f>6.497*100000000</f>
        <v>649700000</v>
      </c>
      <c r="AM1012" s="8">
        <f t="shared" si="489"/>
        <v>0.73670141673349376</v>
      </c>
      <c r="AN1012" s="6" t="s">
        <v>7785</v>
      </c>
      <c r="AO1012" s="6" t="str">
        <f t="shared" si="473"/>
        <v>=3.741*100000000</v>
      </c>
      <c r="AP1012" s="1">
        <f>3.741*100000000</f>
        <v>374100000</v>
      </c>
      <c r="AQ1012" s="8">
        <f t="shared" si="490"/>
        <v>0.2868937048503612</v>
      </c>
      <c r="AR1012" s="6" t="s">
        <v>7876</v>
      </c>
      <c r="AS1012" s="6" t="str">
        <f t="shared" si="474"/>
        <v>=2.907*100000000</v>
      </c>
      <c r="AT1012" s="1">
        <f>2.907*100000000</f>
        <v>290700000</v>
      </c>
      <c r="AU1012" s="8">
        <f t="shared" si="491"/>
        <v>0.82830188679245287</v>
      </c>
      <c r="AV1012" s="6" t="s">
        <v>10770</v>
      </c>
      <c r="AW1012" s="6" t="str">
        <f t="shared" si="475"/>
        <v>=1.590*100000000</v>
      </c>
      <c r="AX1012" s="1">
        <f>1.59*100000000</f>
        <v>159000000</v>
      </c>
      <c r="AY1012" s="10">
        <f t="shared" si="492"/>
        <v>-0.64164976335361734</v>
      </c>
      <c r="AZ1012" s="6" t="s">
        <v>10774</v>
      </c>
      <c r="BA1012" s="6" t="str">
        <f t="shared" si="476"/>
        <v>=4.437*100000000</v>
      </c>
      <c r="BB1012" s="1">
        <f>4.437*100000000</f>
        <v>443700000</v>
      </c>
      <c r="BC1012" s="8">
        <f t="shared" si="493"/>
        <v>0.24285714285714285</v>
      </c>
      <c r="BD1012" s="6" t="s">
        <v>10775</v>
      </c>
      <c r="BE1012" s="6" t="str">
        <f t="shared" si="477"/>
        <v>=3.570*100000000</v>
      </c>
      <c r="BF1012" s="1">
        <f>3.57*100000000</f>
        <v>357000000</v>
      </c>
      <c r="BG1012" s="8">
        <f t="shared" si="494"/>
        <v>0.31929046563192903</v>
      </c>
      <c r="BH1012" s="6" t="s">
        <v>10776</v>
      </c>
      <c r="BI1012" s="6" t="str">
        <f t="shared" si="478"/>
        <v>=2.706*100000000</v>
      </c>
      <c r="BJ1012" s="1">
        <f>2.706*100000000</f>
        <v>270600000</v>
      </c>
      <c r="BK1012" s="6" t="s">
        <v>3476</v>
      </c>
      <c r="BL1012" s="1" t="str">
        <f t="shared" si="480"/>
        <v>=1.448*100000000</v>
      </c>
      <c r="BM1012" s="16">
        <f t="shared" si="495"/>
        <v>0.86878453038674031</v>
      </c>
      <c r="BN1012" s="1">
        <f>1.448*100000000</f>
        <v>144800000</v>
      </c>
    </row>
    <row r="1013" spans="1:66">
      <c r="A1013" s="19"/>
      <c r="B1013">
        <v>600814</v>
      </c>
      <c r="C1013" t="s">
        <v>68</v>
      </c>
      <c r="D1013" s="6" t="s">
        <v>8690</v>
      </c>
      <c r="E1013" s="7" t="str">
        <f t="shared" si="479"/>
        <v>=6.110*100000000</v>
      </c>
      <c r="F1013" s="1">
        <f>6.11*100000000</f>
        <v>611000000</v>
      </c>
      <c r="G1013" s="8">
        <f t="shared" si="481"/>
        <v>0.29889455782312924</v>
      </c>
      <c r="H1013" s="6" t="s">
        <v>10777</v>
      </c>
      <c r="I1013" s="6" t="str">
        <f t="shared" si="465"/>
        <v>=4.704*100000000</v>
      </c>
      <c r="J1013" s="1">
        <f>4.704*100000000</f>
        <v>470400000</v>
      </c>
      <c r="K1013" s="10">
        <f t="shared" si="482"/>
        <v>0.22181818181818183</v>
      </c>
      <c r="L1013" s="6" t="s">
        <v>1474</v>
      </c>
      <c r="M1013" s="6" t="str">
        <f t="shared" si="466"/>
        <v>=3.850*100000000</v>
      </c>
      <c r="N1013" s="1">
        <f>3.85*100000000</f>
        <v>385000000</v>
      </c>
      <c r="O1013" s="8">
        <f t="shared" si="483"/>
        <v>0.69454225352112697</v>
      </c>
      <c r="P1013" s="6" t="s">
        <v>10778</v>
      </c>
      <c r="Q1013" s="6" t="str">
        <f t="shared" si="467"/>
        <v>=2.272*100000000</v>
      </c>
      <c r="R1013" s="11">
        <f>2.272*100000000</f>
        <v>227199999.99999997</v>
      </c>
      <c r="S1013" s="8">
        <f t="shared" si="484"/>
        <v>-0.51680136112292652</v>
      </c>
      <c r="T1013" s="6" t="s">
        <v>6751</v>
      </c>
      <c r="U1013" s="6" t="str">
        <f t="shared" si="468"/>
        <v>=4.702*100000000</v>
      </c>
      <c r="V1013" s="1">
        <f>4.702*100000000</f>
        <v>470200000</v>
      </c>
      <c r="W1013" s="8">
        <f t="shared" si="485"/>
        <v>0.35037334865020103</v>
      </c>
      <c r="X1013" s="6" t="s">
        <v>5309</v>
      </c>
      <c r="Y1013" s="6" t="str">
        <f t="shared" si="469"/>
        <v>=3.482*100000000</v>
      </c>
      <c r="Z1013" s="1">
        <f>3.482*100000000</f>
        <v>348200000</v>
      </c>
      <c r="AA1013" s="8">
        <f t="shared" si="486"/>
        <v>0.88114532685035118</v>
      </c>
      <c r="AB1013" s="6" t="s">
        <v>5011</v>
      </c>
      <c r="AC1013" s="6" t="str">
        <f t="shared" si="470"/>
        <v>=1.851*100000000</v>
      </c>
      <c r="AD1013" s="1">
        <f>1.851*100000000</f>
        <v>185100000</v>
      </c>
      <c r="AE1013" s="8">
        <f t="shared" si="487"/>
        <v>8.7781299524564176</v>
      </c>
      <c r="AF1013" s="7" t="s">
        <v>4196</v>
      </c>
      <c r="AG1013" s="6" t="str">
        <f t="shared" si="471"/>
        <v>=1893*10000</v>
      </c>
      <c r="AH1013" s="1">
        <f>1893*10000</f>
        <v>18930000</v>
      </c>
      <c r="AI1013" s="8">
        <f t="shared" si="488"/>
        <v>-0.95949069120479347</v>
      </c>
      <c r="AJ1013" s="6" t="s">
        <v>10153</v>
      </c>
      <c r="AK1013" s="6" t="str">
        <f t="shared" si="472"/>
        <v>=4.673*100000000</v>
      </c>
      <c r="AL1013" s="1">
        <f>4.673*100000000</f>
        <v>467300000</v>
      </c>
      <c r="AM1013" s="8">
        <f t="shared" si="489"/>
        <v>0.79661668589004231</v>
      </c>
      <c r="AN1013" s="6" t="s">
        <v>7820</v>
      </c>
      <c r="AO1013" s="6" t="str">
        <f t="shared" si="473"/>
        <v>=2.601*100000000</v>
      </c>
      <c r="AP1013" s="1">
        <f>2.601*100000000</f>
        <v>260100000</v>
      </c>
      <c r="AQ1013" s="8">
        <f t="shared" si="490"/>
        <v>0.24688398849472676</v>
      </c>
      <c r="AR1013" s="6" t="s">
        <v>3665</v>
      </c>
      <c r="AS1013" s="6" t="str">
        <f t="shared" si="474"/>
        <v>=2.086*100000000</v>
      </c>
      <c r="AT1013" s="1">
        <f>2.086*100000000</f>
        <v>208600000</v>
      </c>
      <c r="AU1013" s="8">
        <f t="shared" si="491"/>
        <v>0.80138169257340264</v>
      </c>
      <c r="AV1013" s="6" t="s">
        <v>4465</v>
      </c>
      <c r="AW1013" s="6" t="str">
        <f t="shared" si="475"/>
        <v>=1.158*100000000</v>
      </c>
      <c r="AX1013" s="1">
        <f>1.158*100000000</f>
        <v>115799999.99999999</v>
      </c>
      <c r="AY1013" s="10">
        <f t="shared" si="492"/>
        <v>-0.62094926350245494</v>
      </c>
      <c r="AZ1013" s="6" t="s">
        <v>10779</v>
      </c>
      <c r="BA1013" s="6" t="str">
        <f t="shared" si="476"/>
        <v>=3.055*100000000</v>
      </c>
      <c r="BB1013" s="1">
        <f>3.055*100000000</f>
        <v>305500000</v>
      </c>
      <c r="BC1013" s="8">
        <f t="shared" si="493"/>
        <v>0.21810207336523127</v>
      </c>
      <c r="BD1013" s="6" t="s">
        <v>7881</v>
      </c>
      <c r="BE1013" s="6" t="str">
        <f t="shared" si="477"/>
        <v>=2.508*100000000</v>
      </c>
      <c r="BF1013" s="1">
        <f>2.508*100000000</f>
        <v>250800000</v>
      </c>
      <c r="BG1013" s="8">
        <f t="shared" si="494"/>
        <v>0.26987341772151896</v>
      </c>
      <c r="BH1013" s="6" t="s">
        <v>5193</v>
      </c>
      <c r="BI1013" s="6" t="str">
        <f t="shared" si="478"/>
        <v>=1.975*100000000</v>
      </c>
      <c r="BJ1013" s="1">
        <f>1.975*100000000</f>
        <v>197500000</v>
      </c>
      <c r="BK1013" s="6" t="s">
        <v>5192</v>
      </c>
      <c r="BL1013" s="1" t="str">
        <f t="shared" si="480"/>
        <v>=1.063*100000000</v>
      </c>
      <c r="BM1013" s="16">
        <f t="shared" si="495"/>
        <v>0.85794920037629352</v>
      </c>
      <c r="BN1013" s="1">
        <f>1.063*100000000</f>
        <v>106300000</v>
      </c>
    </row>
    <row r="1014" spans="1:66">
      <c r="A1014" s="17">
        <v>255</v>
      </c>
      <c r="B1014">
        <v>600819</v>
      </c>
      <c r="C1014" t="s">
        <v>31</v>
      </c>
      <c r="D1014" s="6" t="s">
        <v>10780</v>
      </c>
      <c r="E1014" s="7" t="str">
        <f t="shared" si="479"/>
        <v>=46.49*100000000</v>
      </c>
      <c r="F1014" s="1">
        <f>46.49*100000000</f>
        <v>4649000000</v>
      </c>
      <c r="G1014" s="8">
        <f t="shared" si="481"/>
        <v>0.37300649734199648</v>
      </c>
      <c r="H1014" s="6" t="s">
        <v>10781</v>
      </c>
      <c r="I1014" s="6" t="str">
        <f t="shared" si="465"/>
        <v>=33.86*100000000</v>
      </c>
      <c r="J1014" s="1">
        <f>33.86*100000000</f>
        <v>3386000000</v>
      </c>
      <c r="K1014" s="10">
        <f t="shared" si="482"/>
        <v>0.57195914577530171</v>
      </c>
      <c r="L1014" s="6" t="s">
        <v>1863</v>
      </c>
      <c r="M1014" s="6" t="str">
        <f t="shared" si="466"/>
        <v>=21.54*100000000</v>
      </c>
      <c r="N1014" s="1">
        <f>21.54*100000000</f>
        <v>2154000000</v>
      </c>
      <c r="O1014" s="8">
        <f t="shared" si="483"/>
        <v>1.1497005988023952</v>
      </c>
      <c r="P1014" s="6" t="s">
        <v>5088</v>
      </c>
      <c r="Q1014" s="6" t="str">
        <f t="shared" si="467"/>
        <v>=10.02*100000000</v>
      </c>
      <c r="R1014" s="11">
        <f>10.02*100000000</f>
        <v>1002000000</v>
      </c>
      <c r="S1014" s="8">
        <f t="shared" si="484"/>
        <v>-0.75471236230110161</v>
      </c>
      <c r="T1014" s="6" t="s">
        <v>1165</v>
      </c>
      <c r="U1014" s="6" t="str">
        <f t="shared" si="468"/>
        <v>=40.85*100000000</v>
      </c>
      <c r="V1014" s="1">
        <f>40.85*100000000</f>
        <v>4085000000</v>
      </c>
      <c r="W1014" s="8">
        <f t="shared" si="485"/>
        <v>0.42136395267919274</v>
      </c>
      <c r="X1014" s="6" t="s">
        <v>10132</v>
      </c>
      <c r="Y1014" s="6" t="str">
        <f t="shared" si="469"/>
        <v>=28.74*100000000</v>
      </c>
      <c r="Z1014" s="1">
        <f>28.74*100000000</f>
        <v>2874000000</v>
      </c>
      <c r="AA1014" s="8">
        <f t="shared" si="486"/>
        <v>0.70766488413547257</v>
      </c>
      <c r="AB1014" s="6" t="s">
        <v>8898</v>
      </c>
      <c r="AC1014" s="6" t="str">
        <f t="shared" si="470"/>
        <v>=16.83*100000000</v>
      </c>
      <c r="AD1014" s="1">
        <f>16.83*100000000</f>
        <v>1682999999.9999998</v>
      </c>
      <c r="AE1014" s="8">
        <f t="shared" si="487"/>
        <v>1.5880362909426415</v>
      </c>
      <c r="AF1014" s="6" t="s">
        <v>10782</v>
      </c>
      <c r="AG1014" s="6" t="str">
        <f t="shared" si="471"/>
        <v>=6.503*100000000</v>
      </c>
      <c r="AH1014" s="1">
        <f>6.503*100000000</f>
        <v>650300000</v>
      </c>
      <c r="AI1014" s="8">
        <f t="shared" si="488"/>
        <v>-0.8558412768787409</v>
      </c>
      <c r="AJ1014" s="6" t="s">
        <v>10783</v>
      </c>
      <c r="AK1014" s="6" t="str">
        <f t="shared" si="472"/>
        <v>=45.11*100000000</v>
      </c>
      <c r="AL1014" s="1">
        <f>45.11*100000000</f>
        <v>4511000000</v>
      </c>
      <c r="AM1014" s="8">
        <f t="shared" si="489"/>
        <v>0.36407620199576657</v>
      </c>
      <c r="AN1014" s="6" t="s">
        <v>9147</v>
      </c>
      <c r="AO1014" s="6" t="str">
        <f t="shared" si="473"/>
        <v>=33.07*100000000</v>
      </c>
      <c r="AP1014" s="1">
        <f>33.07*100000000</f>
        <v>3307000000</v>
      </c>
      <c r="AQ1014" s="8">
        <f t="shared" si="490"/>
        <v>0.54749649040711279</v>
      </c>
      <c r="AR1014" s="6" t="s">
        <v>10784</v>
      </c>
      <c r="AS1014" s="6" t="str">
        <f t="shared" si="474"/>
        <v>=21.37*100000000</v>
      </c>
      <c r="AT1014" s="1">
        <f>21.37*100000000</f>
        <v>2137000000</v>
      </c>
      <c r="AU1014" s="8">
        <f t="shared" si="491"/>
        <v>1.0198487712665407</v>
      </c>
      <c r="AV1014" s="6" t="s">
        <v>1383</v>
      </c>
      <c r="AW1014" s="6" t="str">
        <f t="shared" si="475"/>
        <v>=10.58*100000000</v>
      </c>
      <c r="AX1014" s="1">
        <f>10.58*100000000</f>
        <v>1058000000</v>
      </c>
      <c r="AY1014" s="10">
        <f t="shared" si="492"/>
        <v>-0.72569354420534093</v>
      </c>
      <c r="AZ1014" s="6" t="s">
        <v>10785</v>
      </c>
      <c r="BA1014" s="6" t="str">
        <f t="shared" si="476"/>
        <v>=38.57*100000000</v>
      </c>
      <c r="BB1014" s="1">
        <f>38.57*100000000</f>
        <v>3857000000</v>
      </c>
      <c r="BC1014" s="8">
        <f t="shared" si="493"/>
        <v>0.37406483790523692</v>
      </c>
      <c r="BD1014" s="6" t="s">
        <v>4330</v>
      </c>
      <c r="BE1014" s="6" t="str">
        <f t="shared" si="477"/>
        <v>=28.07*100000000</v>
      </c>
      <c r="BF1014" s="1">
        <f>28.07*100000000</f>
        <v>2807000000</v>
      </c>
      <c r="BG1014" s="8">
        <f t="shared" si="494"/>
        <v>0.57166853303471443</v>
      </c>
      <c r="BH1014" s="6" t="s">
        <v>7590</v>
      </c>
      <c r="BI1014" s="6" t="str">
        <f t="shared" si="478"/>
        <v>=17.86*100000000</v>
      </c>
      <c r="BJ1014" s="1">
        <f>17.86*100000000</f>
        <v>1786000000</v>
      </c>
      <c r="BK1014" s="6" t="s">
        <v>5401</v>
      </c>
      <c r="BL1014" s="1" t="str">
        <f t="shared" si="480"/>
        <v>=8.355*100000000</v>
      </c>
      <c r="BM1014" s="16">
        <f t="shared" si="495"/>
        <v>1.137642130460802</v>
      </c>
      <c r="BN1014" s="1">
        <f>8.355*100000000</f>
        <v>835500000</v>
      </c>
    </row>
    <row r="1015" spans="1:66">
      <c r="A1015" s="18"/>
      <c r="B1015">
        <v>600819</v>
      </c>
      <c r="C1015" t="s">
        <v>48</v>
      </c>
      <c r="D1015" s="6" t="s">
        <v>7692</v>
      </c>
      <c r="E1015" s="7" t="str">
        <f t="shared" si="479"/>
        <v>=1.502*100000000</v>
      </c>
      <c r="F1015" s="1">
        <f>1.502*100000000</f>
        <v>150200000</v>
      </c>
      <c r="G1015" s="8">
        <f t="shared" si="481"/>
        <v>-0.28848886783514932</v>
      </c>
      <c r="H1015" s="6" t="s">
        <v>3395</v>
      </c>
      <c r="I1015" s="6" t="str">
        <f t="shared" si="465"/>
        <v>=2.111*100000000</v>
      </c>
      <c r="J1015" s="1">
        <f>2.111*100000000</f>
        <v>211100000.00000003</v>
      </c>
      <c r="K1015" s="10">
        <f t="shared" si="482"/>
        <v>0.42635135135135155</v>
      </c>
      <c r="L1015" s="6" t="s">
        <v>1701</v>
      </c>
      <c r="M1015" s="6" t="str">
        <f t="shared" si="466"/>
        <v>=1.480*100000000</v>
      </c>
      <c r="N1015" s="1">
        <f>1.48*100000000</f>
        <v>148000000</v>
      </c>
      <c r="O1015" s="8">
        <f t="shared" si="483"/>
        <v>1.4941017863161443</v>
      </c>
      <c r="P1015" s="7" t="s">
        <v>2095</v>
      </c>
      <c r="Q1015" s="6" t="str">
        <f t="shared" si="467"/>
        <v>=5934*10000</v>
      </c>
      <c r="R1015" s="11">
        <f>5934*10000</f>
        <v>59340000</v>
      </c>
      <c r="S1015" s="8">
        <f t="shared" si="484"/>
        <v>-0.68586553732133404</v>
      </c>
      <c r="T1015" s="6" t="s">
        <v>6500</v>
      </c>
      <c r="U1015" s="6" t="str">
        <f t="shared" si="468"/>
        <v>=1.889*100000000</v>
      </c>
      <c r="V1015" s="1">
        <f>1.889*100000000</f>
        <v>188900000</v>
      </c>
      <c r="W1015" s="8">
        <f t="shared" si="485"/>
        <v>0.7346189164370982</v>
      </c>
      <c r="X1015" s="6" t="s">
        <v>7248</v>
      </c>
      <c r="Y1015" s="6" t="str">
        <f t="shared" si="469"/>
        <v>=1.089*100000000</v>
      </c>
      <c r="Z1015" s="1">
        <f>1.089*100000000</f>
        <v>108900000</v>
      </c>
      <c r="AA1015" s="8">
        <f t="shared" si="486"/>
        <v>5.3277164439279492</v>
      </c>
      <c r="AB1015" s="7" t="s">
        <v>10786</v>
      </c>
      <c r="AC1015" s="6" t="str">
        <f t="shared" si="470"/>
        <v>=1721*10000</v>
      </c>
      <c r="AD1015" s="1">
        <f>1721*10000</f>
        <v>17210000</v>
      </c>
      <c r="AE1015" s="8">
        <f t="shared" si="487"/>
        <v>-1.3589904046725072</v>
      </c>
      <c r="AF1015" s="7">
        <f>-4794*10000</f>
        <v>-47940000</v>
      </c>
      <c r="AG1015" s="6" t="str">
        <f t="shared" si="471"/>
        <v>=-47940000</v>
      </c>
      <c r="AH1015" s="1">
        <f>-47940000</f>
        <v>-47940000</v>
      </c>
      <c r="AI1015" s="8">
        <f t="shared" si="488"/>
        <v>-1.2021079258010119</v>
      </c>
      <c r="AJ1015" s="6" t="s">
        <v>10787</v>
      </c>
      <c r="AK1015" s="6" t="str">
        <f t="shared" si="472"/>
        <v>=2.372*100000000</v>
      </c>
      <c r="AL1015" s="1">
        <f>2.372*100000000</f>
        <v>237200000</v>
      </c>
      <c r="AM1015" s="8">
        <f t="shared" si="489"/>
        <v>0.56567656765676566</v>
      </c>
      <c r="AN1015" s="6" t="s">
        <v>4027</v>
      </c>
      <c r="AO1015" s="6" t="str">
        <f t="shared" si="473"/>
        <v>=1.515*100000000</v>
      </c>
      <c r="AP1015" s="1">
        <f>1.515*100000000</f>
        <v>151500000</v>
      </c>
      <c r="AQ1015" s="8">
        <f t="shared" si="490"/>
        <v>0.61582764505119458</v>
      </c>
      <c r="AR1015" s="7" t="s">
        <v>10788</v>
      </c>
      <c r="AS1015" s="6" t="str">
        <f t="shared" si="474"/>
        <v>=9376*10000</v>
      </c>
      <c r="AT1015" s="1">
        <f>9376*10000</f>
        <v>93760000</v>
      </c>
      <c r="AU1015" s="8">
        <f t="shared" si="491"/>
        <v>1.3445861465366342</v>
      </c>
      <c r="AV1015" s="7" t="s">
        <v>7606</v>
      </c>
      <c r="AW1015" s="6" t="str">
        <f t="shared" si="475"/>
        <v>=3999*10000</v>
      </c>
      <c r="AX1015" s="1">
        <f>3999*10000</f>
        <v>39990000</v>
      </c>
      <c r="AY1015" s="10">
        <f t="shared" si="492"/>
        <v>-0.64070080862533696</v>
      </c>
      <c r="AZ1015" s="6" t="s">
        <v>10789</v>
      </c>
      <c r="BA1015" s="6" t="str">
        <f t="shared" si="476"/>
        <v>=1.113*100000000</v>
      </c>
      <c r="BB1015" s="1">
        <f>1.113*100000000</f>
        <v>111300000</v>
      </c>
      <c r="BC1015" s="8">
        <f t="shared" si="493"/>
        <v>-0.10024252223120464</v>
      </c>
      <c r="BD1015" s="6" t="s">
        <v>2393</v>
      </c>
      <c r="BE1015" s="6" t="str">
        <f t="shared" si="477"/>
        <v>=1.237*100000000</v>
      </c>
      <c r="BF1015" s="1">
        <f>1.237*100000000</f>
        <v>123700000.00000001</v>
      </c>
      <c r="BG1015" s="8">
        <f t="shared" si="494"/>
        <v>0.39192078316642304</v>
      </c>
      <c r="BH1015" s="7" t="s">
        <v>10790</v>
      </c>
      <c r="BI1015" s="6" t="str">
        <f t="shared" si="478"/>
        <v>=8887*10000</v>
      </c>
      <c r="BJ1015" s="1">
        <f>8887*10000</f>
        <v>88870000</v>
      </c>
      <c r="BK1015" s="7" t="s">
        <v>7031</v>
      </c>
      <c r="BL1015" s="1" t="str">
        <f t="shared" si="480"/>
        <v>=3616*10000</v>
      </c>
      <c r="BM1015" s="16">
        <f t="shared" si="495"/>
        <v>1.4576880530973451</v>
      </c>
      <c r="BN1015" s="1">
        <f>3616*10000</f>
        <v>36160000</v>
      </c>
    </row>
    <row r="1016" spans="1:66">
      <c r="A1016" s="18"/>
      <c r="B1016">
        <v>600819</v>
      </c>
      <c r="C1016" t="s">
        <v>58</v>
      </c>
      <c r="D1016" s="6" t="s">
        <v>8304</v>
      </c>
      <c r="E1016" s="7" t="str">
        <f t="shared" si="479"/>
        <v>=1.484*100000000</v>
      </c>
      <c r="F1016" s="1">
        <f>1.484*100000000</f>
        <v>148400000</v>
      </c>
      <c r="G1016" s="8">
        <f t="shared" si="481"/>
        <v>-0.29434141702330013</v>
      </c>
      <c r="H1016" s="6" t="s">
        <v>10275</v>
      </c>
      <c r="I1016" s="6" t="str">
        <f t="shared" si="465"/>
        <v>=2.103*100000000</v>
      </c>
      <c r="J1016" s="1">
        <f>2.103*100000000</f>
        <v>210300000.00000003</v>
      </c>
      <c r="K1016" s="10">
        <f t="shared" si="482"/>
        <v>0.43647540983606575</v>
      </c>
      <c r="L1016" s="6" t="s">
        <v>2945</v>
      </c>
      <c r="M1016" s="6" t="str">
        <f t="shared" si="466"/>
        <v>=1.464*100000000</v>
      </c>
      <c r="N1016" s="1">
        <f>1.464*100000000</f>
        <v>146400000</v>
      </c>
      <c r="O1016" s="8">
        <f t="shared" si="483"/>
        <v>1.4738087191618789</v>
      </c>
      <c r="P1016" s="7" t="s">
        <v>10791</v>
      </c>
      <c r="Q1016" s="6" t="str">
        <f t="shared" si="467"/>
        <v>=5918*10000</v>
      </c>
      <c r="R1016" s="11">
        <f>5918*10000</f>
        <v>59180000</v>
      </c>
      <c r="S1016" s="8">
        <f t="shared" si="484"/>
        <v>-0.68131394722670979</v>
      </c>
      <c r="T1016" s="6" t="s">
        <v>4398</v>
      </c>
      <c r="U1016" s="6" t="str">
        <f t="shared" si="468"/>
        <v>=1.857*100000000</v>
      </c>
      <c r="V1016" s="1">
        <f>1.857*100000000</f>
        <v>185700000</v>
      </c>
      <c r="W1016" s="8">
        <f t="shared" si="485"/>
        <v>0.64773735581188996</v>
      </c>
      <c r="X1016" s="6" t="s">
        <v>2877</v>
      </c>
      <c r="Y1016" s="6" t="str">
        <f t="shared" si="469"/>
        <v>=1.127*100000000</v>
      </c>
      <c r="Z1016" s="1">
        <f>1.127*100000000</f>
        <v>112700000</v>
      </c>
      <c r="AA1016" s="8">
        <f t="shared" si="486"/>
        <v>4.6406406406406404</v>
      </c>
      <c r="AB1016" s="7" t="s">
        <v>10792</v>
      </c>
      <c r="AC1016" s="6" t="str">
        <f t="shared" si="470"/>
        <v>=1998*10000</v>
      </c>
      <c r="AD1016" s="1">
        <f>1998*10000</f>
        <v>19980000</v>
      </c>
      <c r="AE1016" s="8">
        <f t="shared" si="487"/>
        <v>-1.4260127931769724</v>
      </c>
      <c r="AF1016" s="7">
        <f>-4690*10000</f>
        <v>-46900000</v>
      </c>
      <c r="AG1016" s="6" t="str">
        <f t="shared" si="471"/>
        <v>=-46900000</v>
      </c>
      <c r="AH1016" s="1">
        <f>-46900000</f>
        <v>-46900000</v>
      </c>
      <c r="AI1016" s="8">
        <f t="shared" si="488"/>
        <v>-1.2006846384253316</v>
      </c>
      <c r="AJ1016" s="6" t="s">
        <v>5312</v>
      </c>
      <c r="AK1016" s="6" t="str">
        <f t="shared" si="472"/>
        <v>=2.337*100000000</v>
      </c>
      <c r="AL1016" s="1">
        <f>2.337*100000000</f>
        <v>233700000.00000003</v>
      </c>
      <c r="AM1016" s="8">
        <f t="shared" si="489"/>
        <v>0.50968992248062039</v>
      </c>
      <c r="AN1016" s="6" t="s">
        <v>1981</v>
      </c>
      <c r="AO1016" s="6" t="str">
        <f t="shared" si="473"/>
        <v>=1.548*100000000</v>
      </c>
      <c r="AP1016" s="1">
        <f>1.548*100000000</f>
        <v>154800000</v>
      </c>
      <c r="AQ1016" s="8">
        <f t="shared" si="490"/>
        <v>0.61384487072560467</v>
      </c>
      <c r="AR1016" s="7" t="s">
        <v>10793</v>
      </c>
      <c r="AS1016" s="6" t="str">
        <f t="shared" si="474"/>
        <v>=9592*10000</v>
      </c>
      <c r="AT1016" s="1">
        <f>9592*10000</f>
        <v>95920000</v>
      </c>
      <c r="AU1016" s="8">
        <f t="shared" si="491"/>
        <v>1.3707365299060801</v>
      </c>
      <c r="AV1016" s="7" t="s">
        <v>10794</v>
      </c>
      <c r="AW1016" s="6" t="str">
        <f t="shared" si="475"/>
        <v>=4046*10000</v>
      </c>
      <c r="AX1016" s="1">
        <f>4046*10000</f>
        <v>40460000</v>
      </c>
      <c r="AY1016" s="10">
        <f t="shared" si="492"/>
        <v>-0.66142259414225946</v>
      </c>
      <c r="AZ1016" s="6" t="s">
        <v>10795</v>
      </c>
      <c r="BA1016" s="6" t="str">
        <f t="shared" si="476"/>
        <v>=1.195*100000000</v>
      </c>
      <c r="BB1016" s="1">
        <f>1.195*100000000</f>
        <v>119500000</v>
      </c>
      <c r="BC1016" s="8">
        <f t="shared" si="493"/>
        <v>-6.931464174454828E-2</v>
      </c>
      <c r="BD1016" s="6" t="s">
        <v>10796</v>
      </c>
      <c r="BE1016" s="6" t="str">
        <f t="shared" si="477"/>
        <v>=1.284*100000000</v>
      </c>
      <c r="BF1016" s="1">
        <f>1.284*100000000</f>
        <v>128400000</v>
      </c>
      <c r="BG1016" s="8">
        <f t="shared" si="494"/>
        <v>0.40804912819388089</v>
      </c>
      <c r="BH1016" s="7" t="s">
        <v>4402</v>
      </c>
      <c r="BI1016" s="6" t="str">
        <f t="shared" si="478"/>
        <v>=9119*10000</v>
      </c>
      <c r="BJ1016" s="1">
        <f>9119*10000</f>
        <v>91190000</v>
      </c>
      <c r="BK1016" s="7" t="s">
        <v>10797</v>
      </c>
      <c r="BL1016" s="1" t="str">
        <f t="shared" si="480"/>
        <v>=3759*10000</v>
      </c>
      <c r="BM1016" s="16">
        <f t="shared" si="495"/>
        <v>1.4259111465815377</v>
      </c>
      <c r="BN1016" s="1">
        <f>3759*10000</f>
        <v>37590000</v>
      </c>
    </row>
    <row r="1017" spans="1:66">
      <c r="A1017" s="19"/>
      <c r="B1017">
        <v>600819</v>
      </c>
      <c r="C1017" t="s">
        <v>68</v>
      </c>
      <c r="D1017" s="6" t="s">
        <v>3897</v>
      </c>
      <c r="E1017" s="7" t="str">
        <f t="shared" si="479"/>
        <v>=1.352*100000000</v>
      </c>
      <c r="F1017" s="1">
        <f>1.352*100000000</f>
        <v>135200000</v>
      </c>
      <c r="G1017" s="8">
        <f t="shared" si="481"/>
        <v>-0.28578975171685156</v>
      </c>
      <c r="H1017" s="6" t="s">
        <v>2359</v>
      </c>
      <c r="I1017" s="6" t="str">
        <f t="shared" si="465"/>
        <v>=1.893*100000000</v>
      </c>
      <c r="J1017" s="1">
        <f>1.893*100000000</f>
        <v>189300000</v>
      </c>
      <c r="K1017" s="10">
        <f t="shared" si="482"/>
        <v>0.40848214285714285</v>
      </c>
      <c r="L1017" s="6" t="s">
        <v>7272</v>
      </c>
      <c r="M1017" s="6" t="str">
        <f t="shared" si="466"/>
        <v>=1.344*100000000</v>
      </c>
      <c r="N1017" s="1">
        <f>1.344*100000000</f>
        <v>134400000</v>
      </c>
      <c r="O1017" s="8">
        <f t="shared" si="483"/>
        <v>1.6425481714510421</v>
      </c>
      <c r="P1017" s="7" t="s">
        <v>10798</v>
      </c>
      <c r="Q1017" s="6" t="str">
        <f t="shared" si="467"/>
        <v>=5086*10000</v>
      </c>
      <c r="R1017" s="11">
        <f>5086*10000</f>
        <v>50860000</v>
      </c>
      <c r="S1017" s="8">
        <f t="shared" si="484"/>
        <v>-0.69287439613526569</v>
      </c>
      <c r="T1017" s="6" t="s">
        <v>1954</v>
      </c>
      <c r="U1017" s="6" t="str">
        <f t="shared" si="468"/>
        <v>=1.656*100000000</v>
      </c>
      <c r="V1017" s="1">
        <f>1.656*100000000</f>
        <v>165600000</v>
      </c>
      <c r="W1017" s="8">
        <f t="shared" si="485"/>
        <v>0.72464069985419699</v>
      </c>
      <c r="X1017" s="7" t="s">
        <v>10799</v>
      </c>
      <c r="Y1017" s="6" t="str">
        <f t="shared" si="469"/>
        <v>=9602*10000</v>
      </c>
      <c r="Z1017" s="1">
        <f>9602*10000</f>
        <v>96020000</v>
      </c>
      <c r="AA1017" s="8">
        <f t="shared" si="486"/>
        <v>7.2562338779019777</v>
      </c>
      <c r="AB1017" s="7" t="s">
        <v>7326</v>
      </c>
      <c r="AC1017" s="6" t="str">
        <f t="shared" si="470"/>
        <v>=1163*10000</v>
      </c>
      <c r="AD1017" s="1">
        <f>1163*10000</f>
        <v>11630000</v>
      </c>
      <c r="AE1017" s="8">
        <f t="shared" si="487"/>
        <v>-1.2425949103045473</v>
      </c>
      <c r="AF1017" s="7">
        <f>-4794*10000</f>
        <v>-47940000</v>
      </c>
      <c r="AG1017" s="6" t="str">
        <f t="shared" si="471"/>
        <v>=-47940000</v>
      </c>
      <c r="AH1017" s="1">
        <f>-47940000</f>
        <v>-47940000</v>
      </c>
      <c r="AI1017" s="8">
        <f t="shared" si="488"/>
        <v>-1.2157515751575159</v>
      </c>
      <c r="AJ1017" s="6" t="s">
        <v>10800</v>
      </c>
      <c r="AK1017" s="6" t="str">
        <f t="shared" si="472"/>
        <v>=2.222*100000000</v>
      </c>
      <c r="AL1017" s="1">
        <f>2.222*100000000</f>
        <v>222200000</v>
      </c>
      <c r="AM1017" s="8">
        <f t="shared" si="489"/>
        <v>0.5714285714285714</v>
      </c>
      <c r="AN1017" s="6" t="s">
        <v>10801</v>
      </c>
      <c r="AO1017" s="6" t="str">
        <f t="shared" si="473"/>
        <v>=1.414*100000000</v>
      </c>
      <c r="AP1017" s="1">
        <f>1.414*100000000</f>
        <v>141400000</v>
      </c>
      <c r="AQ1017" s="8">
        <f t="shared" si="490"/>
        <v>0.64629176854115733</v>
      </c>
      <c r="AR1017" s="7" t="s">
        <v>10802</v>
      </c>
      <c r="AS1017" s="6" t="str">
        <f t="shared" si="474"/>
        <v>=8589*10000</v>
      </c>
      <c r="AT1017" s="1">
        <f>8589*10000</f>
        <v>85890000</v>
      </c>
      <c r="AU1017" s="8">
        <f t="shared" si="491"/>
        <v>1.3931457230426303</v>
      </c>
      <c r="AV1017" s="7" t="s">
        <v>10803</v>
      </c>
      <c r="AW1017" s="6" t="str">
        <f t="shared" si="475"/>
        <v>=3589*10000</v>
      </c>
      <c r="AX1017" s="1">
        <f>3589*10000</f>
        <v>35890000</v>
      </c>
      <c r="AY1017" s="10">
        <f t="shared" si="492"/>
        <v>-0.66395131086142323</v>
      </c>
      <c r="AZ1017" s="6" t="s">
        <v>10804</v>
      </c>
      <c r="BA1017" s="6" t="str">
        <f t="shared" si="476"/>
        <v>=1.068*100000000</v>
      </c>
      <c r="BB1017" s="1">
        <f>1.068*100000000</f>
        <v>106800000</v>
      </c>
      <c r="BC1017" s="8">
        <f t="shared" si="493"/>
        <v>-7.2916666666666546E-2</v>
      </c>
      <c r="BD1017" s="6" t="s">
        <v>2167</v>
      </c>
      <c r="BE1017" s="6" t="str">
        <f t="shared" si="477"/>
        <v>=1.152*100000000</v>
      </c>
      <c r="BF1017" s="1">
        <f>1.152*100000000</f>
        <v>115199999.99999999</v>
      </c>
      <c r="BG1017" s="8">
        <f t="shared" si="494"/>
        <v>0.41072740631888299</v>
      </c>
      <c r="BH1017" s="7" t="s">
        <v>10805</v>
      </c>
      <c r="BI1017" s="6" t="str">
        <f t="shared" si="478"/>
        <v>=8166*10000</v>
      </c>
      <c r="BJ1017" s="1">
        <f>8166*10000</f>
        <v>81660000</v>
      </c>
      <c r="BK1017" s="7" t="s">
        <v>10806</v>
      </c>
      <c r="BL1017" s="1" t="str">
        <f t="shared" si="480"/>
        <v>=3529*10000</v>
      </c>
      <c r="BM1017" s="16">
        <f t="shared" si="495"/>
        <v>1.3139699631623689</v>
      </c>
      <c r="BN1017" s="1">
        <f>3529*10000</f>
        <v>35290000</v>
      </c>
    </row>
    <row r="1018" spans="1:66">
      <c r="A1018" s="17">
        <v>256</v>
      </c>
      <c r="B1018">
        <v>600821</v>
      </c>
      <c r="C1018" t="s">
        <v>31</v>
      </c>
      <c r="D1018" s="6" t="s">
        <v>5174</v>
      </c>
      <c r="E1018" s="7" t="str">
        <f t="shared" si="479"/>
        <v>=19.08*100000000</v>
      </c>
      <c r="F1018" s="1">
        <f>19.08*100000000</f>
        <v>1907999999.9999998</v>
      </c>
      <c r="G1018" s="8">
        <f t="shared" si="481"/>
        <v>0.394736842105263</v>
      </c>
      <c r="H1018" s="6" t="s">
        <v>9008</v>
      </c>
      <c r="I1018" s="6" t="str">
        <f t="shared" si="465"/>
        <v>=13.68*100000000</v>
      </c>
      <c r="J1018" s="1">
        <f>13.68*100000000</f>
        <v>1368000000</v>
      </c>
      <c r="K1018" s="10">
        <f t="shared" si="482"/>
        <v>0.58516801853997658</v>
      </c>
      <c r="L1018" s="6" t="s">
        <v>10807</v>
      </c>
      <c r="M1018" s="6" t="str">
        <f t="shared" si="466"/>
        <v>=8.630*100000000</v>
      </c>
      <c r="N1018" s="1">
        <f>8.63*100000000</f>
        <v>863000000.00000012</v>
      </c>
      <c r="O1018" s="8">
        <f t="shared" si="483"/>
        <v>1.3585679147308012</v>
      </c>
      <c r="P1018" s="6" t="s">
        <v>4813</v>
      </c>
      <c r="Q1018" s="6" t="str">
        <f t="shared" si="467"/>
        <v>=3.659*100000000</v>
      </c>
      <c r="R1018" s="11">
        <f>3.659*100000000</f>
        <v>365900000</v>
      </c>
      <c r="S1018" s="8">
        <f t="shared" si="484"/>
        <v>-0.73036109064112009</v>
      </c>
      <c r="T1018" s="6" t="s">
        <v>2283</v>
      </c>
      <c r="U1018" s="6" t="str">
        <f t="shared" si="468"/>
        <v>=13.57*100000000</v>
      </c>
      <c r="V1018" s="1">
        <f>13.57*100000000</f>
        <v>1357000000</v>
      </c>
      <c r="W1018" s="8">
        <f t="shared" si="485"/>
        <v>0.32778864970645777</v>
      </c>
      <c r="X1018" s="6" t="s">
        <v>6851</v>
      </c>
      <c r="Y1018" s="6" t="str">
        <f t="shared" si="469"/>
        <v>=10.22*100000000</v>
      </c>
      <c r="Z1018" s="1">
        <f>10.22*100000000</f>
        <v>1022000000.0000001</v>
      </c>
      <c r="AA1018" s="8">
        <f t="shared" si="486"/>
        <v>0.53985234292602102</v>
      </c>
      <c r="AB1018" s="6" t="s">
        <v>10808</v>
      </c>
      <c r="AC1018" s="6" t="str">
        <f t="shared" si="470"/>
        <v>=6.637*100000000</v>
      </c>
      <c r="AD1018" s="1">
        <f>6.637*100000000</f>
        <v>663700000</v>
      </c>
      <c r="AE1018" s="8">
        <f t="shared" si="487"/>
        <v>1.3585643212508884</v>
      </c>
      <c r="AF1018" s="6" t="s">
        <v>6956</v>
      </c>
      <c r="AG1018" s="6" t="str">
        <f t="shared" si="471"/>
        <v>=2.814*100000000</v>
      </c>
      <c r="AH1018" s="1">
        <f>2.814*100000000</f>
        <v>281400000</v>
      </c>
      <c r="AI1018" s="8">
        <f t="shared" si="488"/>
        <v>-0.43288996372430472</v>
      </c>
      <c r="AJ1018" s="6" t="s">
        <v>10809</v>
      </c>
      <c r="AK1018" s="6" t="str">
        <f t="shared" si="472"/>
        <v>=4.962*100000000</v>
      </c>
      <c r="AL1018" s="1">
        <f>4.962*100000000</f>
        <v>496200000</v>
      </c>
      <c r="AM1018" s="8">
        <f t="shared" si="489"/>
        <v>1.0726817042606516</v>
      </c>
      <c r="AN1018" s="6" t="s">
        <v>5703</v>
      </c>
      <c r="AO1018" s="6" t="str">
        <f t="shared" si="473"/>
        <v>=2.394*100000000</v>
      </c>
      <c r="AP1018" s="1">
        <f>2.394*100000000</f>
        <v>239400000</v>
      </c>
      <c r="AQ1018" s="8">
        <f t="shared" si="490"/>
        <v>4.0838819282225529</v>
      </c>
      <c r="AR1018" s="7" t="s">
        <v>10810</v>
      </c>
      <c r="AS1018" s="6" t="str">
        <f t="shared" si="474"/>
        <v>=4709*10000</v>
      </c>
      <c r="AT1018" s="1">
        <f>4709*10000</f>
        <v>47090000</v>
      </c>
      <c r="AU1018" s="8">
        <f t="shared" si="491"/>
        <v>0.57861213543412671</v>
      </c>
      <c r="AV1018" s="7" t="s">
        <v>10811</v>
      </c>
      <c r="AW1018" s="6" t="str">
        <f t="shared" si="475"/>
        <v>=2983*10000</v>
      </c>
      <c r="AX1018" s="1">
        <f>2983*10000</f>
        <v>29830000</v>
      </c>
      <c r="AY1018" s="10">
        <f t="shared" si="492"/>
        <v>-0.81215365239294712</v>
      </c>
      <c r="AZ1018" s="6" t="s">
        <v>2207</v>
      </c>
      <c r="BA1018" s="6" t="str">
        <f t="shared" si="476"/>
        <v>=1.588*100000000</v>
      </c>
      <c r="BB1018" s="1">
        <f>1.588*100000000</f>
        <v>158800000</v>
      </c>
      <c r="BC1018" s="8">
        <f t="shared" si="493"/>
        <v>0.30484798685291686</v>
      </c>
      <c r="BD1018" s="6" t="s">
        <v>10324</v>
      </c>
      <c r="BE1018" s="6" t="str">
        <f t="shared" si="477"/>
        <v>=1.217*100000000</v>
      </c>
      <c r="BF1018" s="1">
        <f>1.217*100000000</f>
        <v>121700000.00000001</v>
      </c>
      <c r="BG1018" s="8">
        <f t="shared" si="494"/>
        <v>0.35327476926498402</v>
      </c>
      <c r="BH1018" s="7" t="s">
        <v>10812</v>
      </c>
      <c r="BI1018" s="6" t="str">
        <f t="shared" si="478"/>
        <v>=8993*10000</v>
      </c>
      <c r="BJ1018" s="1">
        <f>8993*10000</f>
        <v>89930000</v>
      </c>
      <c r="BK1018" s="7" t="s">
        <v>2575</v>
      </c>
      <c r="BL1018" s="1" t="str">
        <f t="shared" si="480"/>
        <v>=5710*10000</v>
      </c>
      <c r="BM1018" s="16">
        <f t="shared" si="495"/>
        <v>0.57495621716287215</v>
      </c>
      <c r="BN1018" s="1">
        <f>5710*10000</f>
        <v>57100000</v>
      </c>
    </row>
    <row r="1019" spans="1:66">
      <c r="A1019" s="18"/>
      <c r="B1019">
        <v>600821</v>
      </c>
      <c r="C1019" t="s">
        <v>48</v>
      </c>
      <c r="D1019" s="6" t="s">
        <v>10813</v>
      </c>
      <c r="E1019" s="7" t="str">
        <f t="shared" si="479"/>
        <v>=4.444*100000000</v>
      </c>
      <c r="F1019" s="1">
        <f>4.444*100000000</f>
        <v>444400000</v>
      </c>
      <c r="G1019" s="8">
        <f t="shared" si="481"/>
        <v>0.17971860897265729</v>
      </c>
      <c r="H1019" s="6" t="s">
        <v>10814</v>
      </c>
      <c r="I1019" s="6" t="str">
        <f t="shared" si="465"/>
        <v>=3.767*100000000</v>
      </c>
      <c r="J1019" s="1">
        <f>3.767*100000000</f>
        <v>376700000</v>
      </c>
      <c r="K1019" s="10">
        <f t="shared" si="482"/>
        <v>0.56632016632016646</v>
      </c>
      <c r="L1019" s="6" t="s">
        <v>1990</v>
      </c>
      <c r="M1019" s="6" t="str">
        <f t="shared" si="466"/>
        <v>=2.405*100000000</v>
      </c>
      <c r="N1019" s="1">
        <f>2.405*100000000</f>
        <v>240499999.99999997</v>
      </c>
      <c r="O1019" s="8">
        <f t="shared" si="483"/>
        <v>1.9673041332510792</v>
      </c>
      <c r="P1019" s="7" t="s">
        <v>10815</v>
      </c>
      <c r="Q1019" s="6" t="str">
        <f t="shared" si="467"/>
        <v>=8105*10000</v>
      </c>
      <c r="R1019" s="11">
        <f>8105*10000</f>
        <v>81050000</v>
      </c>
      <c r="S1019" s="8">
        <f t="shared" si="484"/>
        <v>-0.64760869565217383</v>
      </c>
      <c r="T1019" s="6" t="s">
        <v>10816</v>
      </c>
      <c r="U1019" s="6" t="str">
        <f t="shared" si="468"/>
        <v>=2.300*100000000</v>
      </c>
      <c r="V1019" s="1">
        <f>2.3*100000000</f>
        <v>229999999.99999997</v>
      </c>
      <c r="W1019" s="8">
        <f t="shared" si="485"/>
        <v>0.15577889447236165</v>
      </c>
      <c r="X1019" s="6" t="s">
        <v>5327</v>
      </c>
      <c r="Y1019" s="6" t="str">
        <f t="shared" si="469"/>
        <v>=1.990*100000000</v>
      </c>
      <c r="Z1019" s="1">
        <f>1.99*100000000</f>
        <v>199000000</v>
      </c>
      <c r="AA1019" s="8">
        <f t="shared" si="486"/>
        <v>0.42244460328806288</v>
      </c>
      <c r="AB1019" s="6" t="s">
        <v>2166</v>
      </c>
      <c r="AC1019" s="6" t="str">
        <f t="shared" si="470"/>
        <v>=1.399*100000000</v>
      </c>
      <c r="AD1019" s="1">
        <f>1.399*100000000</f>
        <v>139900000</v>
      </c>
      <c r="AE1019" s="8">
        <f t="shared" si="487"/>
        <v>2.3365132363462915</v>
      </c>
      <c r="AF1019" s="7" t="s">
        <v>10817</v>
      </c>
      <c r="AG1019" s="6" t="str">
        <f t="shared" si="471"/>
        <v>=4193*10000</v>
      </c>
      <c r="AH1019" s="1">
        <f>4193*10000</f>
        <v>41930000</v>
      </c>
      <c r="AI1019" s="8">
        <f t="shared" si="488"/>
        <v>-1.289972337482711</v>
      </c>
      <c r="AJ1019" s="6">
        <f>-1.446*100000000</f>
        <v>-144600000</v>
      </c>
      <c r="AK1019" s="6" t="str">
        <f t="shared" si="472"/>
        <v>=-144600000</v>
      </c>
      <c r="AL1019" s="1">
        <f>-144600000</f>
        <v>-144600000</v>
      </c>
      <c r="AM1019" s="8">
        <f t="shared" si="489"/>
        <v>2.3354564755838639E-2</v>
      </c>
      <c r="AN1019" s="6">
        <f>-1.413*100000000</f>
        <v>-141300000</v>
      </c>
      <c r="AO1019" s="6" t="str">
        <f t="shared" si="473"/>
        <v>=-141300000</v>
      </c>
      <c r="AP1019" s="1">
        <f>-141300000</f>
        <v>-141300000</v>
      </c>
      <c r="AQ1019" s="8">
        <f t="shared" si="490"/>
        <v>0.78725018972931948</v>
      </c>
      <c r="AR1019" s="7">
        <f>-7906*10000</f>
        <v>-79060000</v>
      </c>
      <c r="AS1019" s="6" t="str">
        <f t="shared" si="474"/>
        <v>=-79060000</v>
      </c>
      <c r="AT1019" s="1">
        <f>-79060000</f>
        <v>-79060000</v>
      </c>
      <c r="AU1019" s="8">
        <f t="shared" si="491"/>
        <v>0.75105204872646736</v>
      </c>
      <c r="AV1019" s="7">
        <f>-4515*10000</f>
        <v>-45150000</v>
      </c>
      <c r="AW1019" s="6" t="str">
        <f t="shared" si="475"/>
        <v>=-45150000</v>
      </c>
      <c r="AX1019" s="1">
        <f>-45150000</f>
        <v>-45150000</v>
      </c>
      <c r="AY1019" s="10">
        <f t="shared" si="492"/>
        <v>-0.83545918367346939</v>
      </c>
      <c r="AZ1019" s="6">
        <f>-2.744*100000000</f>
        <v>-274400000</v>
      </c>
      <c r="BA1019" s="6" t="str">
        <f t="shared" si="476"/>
        <v>=-274400000</v>
      </c>
      <c r="BB1019" s="1">
        <f>-274400000</f>
        <v>-274400000</v>
      </c>
      <c r="BC1019" s="8">
        <f t="shared" si="493"/>
        <v>1.5360443622920517</v>
      </c>
      <c r="BD1019" s="6">
        <f>-1.082*100000000</f>
        <v>-108200000</v>
      </c>
      <c r="BE1019" s="6" t="str">
        <f t="shared" si="477"/>
        <v>=-108200000</v>
      </c>
      <c r="BF1019" s="1">
        <f>-108200000</f>
        <v>-108200000</v>
      </c>
      <c r="BG1019" s="8">
        <f t="shared" si="494"/>
        <v>0.43539400371451314</v>
      </c>
      <c r="BH1019" s="7">
        <f>-7538*10000</f>
        <v>-75380000</v>
      </c>
      <c r="BI1019" s="6" t="str">
        <f t="shared" si="478"/>
        <v>=-75380000</v>
      </c>
      <c r="BJ1019" s="1">
        <f>-75380000</f>
        <v>-75380000</v>
      </c>
      <c r="BK1019" s="7">
        <f>-3560*10000</f>
        <v>-35600000</v>
      </c>
      <c r="BL1019" s="1" t="str">
        <f t="shared" si="480"/>
        <v>=-35600000</v>
      </c>
      <c r="BM1019" s="16">
        <f t="shared" si="495"/>
        <v>1.1174157303370786</v>
      </c>
      <c r="BN1019" s="1">
        <f>-35600000</f>
        <v>-35600000</v>
      </c>
    </row>
    <row r="1020" spans="1:66">
      <c r="A1020" s="18"/>
      <c r="B1020">
        <v>600821</v>
      </c>
      <c r="C1020" t="s">
        <v>58</v>
      </c>
      <c r="D1020" s="6" t="s">
        <v>4542</v>
      </c>
      <c r="E1020" s="7" t="str">
        <f t="shared" si="479"/>
        <v>=4.725*100000000</v>
      </c>
      <c r="F1020" s="1">
        <f>4.725*100000000</f>
        <v>472499999.99999994</v>
      </c>
      <c r="G1020" s="8">
        <f t="shared" si="481"/>
        <v>0.20382165605095526</v>
      </c>
      <c r="H1020" s="6" t="s">
        <v>10818</v>
      </c>
      <c r="I1020" s="6" t="str">
        <f t="shared" si="465"/>
        <v>=3.925*100000000</v>
      </c>
      <c r="J1020" s="1">
        <f>3.925*100000000</f>
        <v>392500000</v>
      </c>
      <c r="K1020" s="10">
        <f t="shared" si="482"/>
        <v>0.53260445138617729</v>
      </c>
      <c r="L1020" s="6" t="s">
        <v>10819</v>
      </c>
      <c r="M1020" s="6" t="str">
        <f t="shared" si="466"/>
        <v>=2.561*100000000</v>
      </c>
      <c r="N1020" s="1">
        <f>2.561*100000000</f>
        <v>256100000</v>
      </c>
      <c r="O1020" s="8">
        <f t="shared" si="483"/>
        <v>2.1578298397040689</v>
      </c>
      <c r="P1020" s="7" t="s">
        <v>10820</v>
      </c>
      <c r="Q1020" s="6" t="str">
        <f t="shared" si="467"/>
        <v>=8110*10000</v>
      </c>
      <c r="R1020" s="11">
        <f>8110*10000</f>
        <v>81100000</v>
      </c>
      <c r="S1020" s="8">
        <f t="shared" si="484"/>
        <v>-0.6569373942470389</v>
      </c>
      <c r="T1020" s="6" t="s">
        <v>5756</v>
      </c>
      <c r="U1020" s="6" t="str">
        <f t="shared" si="468"/>
        <v>=2.364*100000000</v>
      </c>
      <c r="V1020" s="1">
        <f>2.364*100000000</f>
        <v>236400000</v>
      </c>
      <c r="W1020" s="8">
        <f t="shared" si="485"/>
        <v>2.7379400260756061E-2</v>
      </c>
      <c r="X1020" s="6" t="s">
        <v>9066</v>
      </c>
      <c r="Y1020" s="6" t="str">
        <f t="shared" si="469"/>
        <v>=2.301*100000000</v>
      </c>
      <c r="Z1020" s="1">
        <f>2.301*100000000</f>
        <v>230100000.00000003</v>
      </c>
      <c r="AA1020" s="8">
        <f t="shared" si="486"/>
        <v>0.64592274678111605</v>
      </c>
      <c r="AB1020" s="6" t="s">
        <v>108</v>
      </c>
      <c r="AC1020" s="6" t="str">
        <f t="shared" si="470"/>
        <v>=1.398*100000000</v>
      </c>
      <c r="AD1020" s="1">
        <f>1.398*100000000</f>
        <v>139800000</v>
      </c>
      <c r="AE1020" s="8">
        <f t="shared" si="487"/>
        <v>2.3277791002142347</v>
      </c>
      <c r="AF1020" s="7" t="s">
        <v>10821</v>
      </c>
      <c r="AG1020" s="6" t="str">
        <f t="shared" si="471"/>
        <v>=4201*10000</v>
      </c>
      <c r="AH1020" s="1">
        <f>4201*10000</f>
        <v>42010000</v>
      </c>
      <c r="AI1020" s="8">
        <f t="shared" si="488"/>
        <v>-1.2948070175438597</v>
      </c>
      <c r="AJ1020" s="6">
        <f>-1.425*100000000</f>
        <v>-142500000</v>
      </c>
      <c r="AK1020" s="6" t="str">
        <f t="shared" si="472"/>
        <v>=-142500000</v>
      </c>
      <c r="AL1020" s="1">
        <f>-142500000</f>
        <v>-142500000</v>
      </c>
      <c r="AM1020" s="8">
        <f t="shared" si="489"/>
        <v>9.2067988668555235E-3</v>
      </c>
      <c r="AN1020" s="6">
        <f>-1.412*100000000</f>
        <v>-141200000</v>
      </c>
      <c r="AO1020" s="6" t="str">
        <f t="shared" si="473"/>
        <v>=-141200000</v>
      </c>
      <c r="AP1020" s="1">
        <f>-141200000</f>
        <v>-141200000</v>
      </c>
      <c r="AQ1020" s="8">
        <f t="shared" si="490"/>
        <v>0.78688939508985067</v>
      </c>
      <c r="AR1020" s="7">
        <f>-7902*10000</f>
        <v>-79020000</v>
      </c>
      <c r="AS1020" s="6" t="str">
        <f t="shared" si="474"/>
        <v>=-79020000</v>
      </c>
      <c r="AT1020" s="1">
        <f>-79020000</f>
        <v>-79020000</v>
      </c>
      <c r="AU1020" s="8">
        <f t="shared" si="491"/>
        <v>0.75132978723404253</v>
      </c>
      <c r="AV1020" s="7">
        <f>-4512*10000</f>
        <v>-45120000</v>
      </c>
      <c r="AW1020" s="6" t="str">
        <f t="shared" si="475"/>
        <v>=-45120000</v>
      </c>
      <c r="AX1020" s="1">
        <f>-45120000</f>
        <v>-45120000</v>
      </c>
      <c r="AY1020" s="10">
        <f t="shared" si="492"/>
        <v>-0.83550856726212175</v>
      </c>
      <c r="AZ1020" s="6">
        <f>-2.743*100000000</f>
        <v>-274300000</v>
      </c>
      <c r="BA1020" s="6" t="str">
        <f t="shared" si="476"/>
        <v>=-274300000</v>
      </c>
      <c r="BB1020" s="1">
        <f>-274300000</f>
        <v>-274300000</v>
      </c>
      <c r="BC1020" s="8">
        <f t="shared" si="493"/>
        <v>1.5374653098982423</v>
      </c>
      <c r="BD1020" s="6">
        <f>-1.081*100000000</f>
        <v>-108100000</v>
      </c>
      <c r="BE1020" s="6" t="str">
        <f t="shared" si="477"/>
        <v>=-108100000</v>
      </c>
      <c r="BF1020" s="1">
        <f>-108100000</f>
        <v>-108100000</v>
      </c>
      <c r="BG1020" s="8">
        <f t="shared" si="494"/>
        <v>0.43425766219981426</v>
      </c>
      <c r="BH1020" s="7">
        <f>-7537*10000</f>
        <v>-75370000</v>
      </c>
      <c r="BI1020" s="6" t="str">
        <f t="shared" si="478"/>
        <v>=-75370000</v>
      </c>
      <c r="BJ1020" s="1">
        <f>-75370000</f>
        <v>-75370000</v>
      </c>
      <c r="BK1020" s="7">
        <f>-3560*10000</f>
        <v>-35600000</v>
      </c>
      <c r="BL1020" s="1" t="str">
        <f t="shared" si="480"/>
        <v>=-35600000</v>
      </c>
      <c r="BM1020" s="16">
        <f t="shared" si="495"/>
        <v>1.1171348314606742</v>
      </c>
      <c r="BN1020" s="1">
        <f>-35600000</f>
        <v>-35600000</v>
      </c>
    </row>
    <row r="1021" spans="1:66">
      <c r="A1021" s="19"/>
      <c r="B1021">
        <v>600821</v>
      </c>
      <c r="C1021" t="s">
        <v>68</v>
      </c>
      <c r="D1021" s="6" t="s">
        <v>3611</v>
      </c>
      <c r="E1021" s="7" t="str">
        <f t="shared" si="479"/>
        <v>=4.280*100000000</v>
      </c>
      <c r="F1021" s="1">
        <f>4.28*100000000</f>
        <v>428000000</v>
      </c>
      <c r="G1021" s="8">
        <f t="shared" si="481"/>
        <v>0.22320663046584738</v>
      </c>
      <c r="H1021" s="6" t="s">
        <v>5201</v>
      </c>
      <c r="I1021" s="6" t="str">
        <f t="shared" si="465"/>
        <v>=3.499*100000000</v>
      </c>
      <c r="J1021" s="1">
        <f>3.499*100000000</f>
        <v>349900000</v>
      </c>
      <c r="K1021" s="10">
        <f t="shared" si="482"/>
        <v>0.53734622144112498</v>
      </c>
      <c r="L1021" s="6" t="s">
        <v>2156</v>
      </c>
      <c r="M1021" s="6" t="str">
        <f t="shared" si="466"/>
        <v>=2.276*100000000</v>
      </c>
      <c r="N1021" s="1">
        <f>2.276*100000000</f>
        <v>227599999.99999997</v>
      </c>
      <c r="O1021" s="8">
        <f t="shared" si="483"/>
        <v>2.1393103448275856</v>
      </c>
      <c r="P1021" s="7" t="s">
        <v>10822</v>
      </c>
      <c r="Q1021" s="6" t="str">
        <f t="shared" si="467"/>
        <v>=7250*10000</v>
      </c>
      <c r="R1021" s="11">
        <f>7250*10000</f>
        <v>72500000</v>
      </c>
      <c r="S1021" s="8">
        <f t="shared" si="484"/>
        <v>-0.66168922071861869</v>
      </c>
      <c r="T1021" s="6" t="s">
        <v>4896</v>
      </c>
      <c r="U1021" s="6" t="str">
        <f t="shared" si="468"/>
        <v>=2.143*100000000</v>
      </c>
      <c r="V1021" s="1">
        <f>2.143*100000000</f>
        <v>214299999.99999997</v>
      </c>
      <c r="W1021" s="8">
        <f t="shared" si="485"/>
        <v>4.9975502204801424E-2</v>
      </c>
      <c r="X1021" s="6" t="s">
        <v>4395</v>
      </c>
      <c r="Y1021" s="6" t="str">
        <f t="shared" si="469"/>
        <v>=2.041*100000000</v>
      </c>
      <c r="Z1021" s="1">
        <f>2.041*100000000</f>
        <v>204100000</v>
      </c>
      <c r="AA1021" s="8">
        <f t="shared" si="486"/>
        <v>0.67707477403451088</v>
      </c>
      <c r="AB1021" s="6" t="s">
        <v>10324</v>
      </c>
      <c r="AC1021" s="6" t="str">
        <f t="shared" si="470"/>
        <v>=1.217*100000000</v>
      </c>
      <c r="AD1021" s="1">
        <f>1.217*100000000</f>
        <v>121700000.00000001</v>
      </c>
      <c r="AE1021" s="8">
        <f t="shared" si="487"/>
        <v>2.3544652701212794</v>
      </c>
      <c r="AF1021" s="7" t="s">
        <v>10823</v>
      </c>
      <c r="AG1021" s="6" t="str">
        <f t="shared" si="471"/>
        <v>=3628*10000</v>
      </c>
      <c r="AH1021" s="1">
        <f>3628*10000</f>
        <v>36280000</v>
      </c>
      <c r="AI1021" s="8">
        <f t="shared" si="488"/>
        <v>-1.2533519553072625</v>
      </c>
      <c r="AJ1021" s="6">
        <f>-1.432*100000000</f>
        <v>-143200000</v>
      </c>
      <c r="AK1021" s="6" t="str">
        <f t="shared" si="472"/>
        <v>=-143200000</v>
      </c>
      <c r="AL1021" s="1">
        <f>-143200000</f>
        <v>-143200000</v>
      </c>
      <c r="AM1021" s="8">
        <f t="shared" si="489"/>
        <v>-2.2525597269624574E-2</v>
      </c>
      <c r="AN1021" s="6">
        <f>-1.465*100000000</f>
        <v>-146500000</v>
      </c>
      <c r="AO1021" s="6" t="str">
        <f t="shared" si="473"/>
        <v>=-146500000</v>
      </c>
      <c r="AP1021" s="1">
        <f>-146500000</f>
        <v>-146500000</v>
      </c>
      <c r="AQ1021" s="8">
        <f t="shared" si="490"/>
        <v>0.85396102252594275</v>
      </c>
      <c r="AR1021" s="7">
        <f>-7902*10000</f>
        <v>-79020000</v>
      </c>
      <c r="AS1021" s="6" t="str">
        <f t="shared" si="474"/>
        <v>=-79020000</v>
      </c>
      <c r="AT1021" s="1">
        <f>-79020000</f>
        <v>-79020000</v>
      </c>
      <c r="AU1021" s="8">
        <f t="shared" si="491"/>
        <v>0.75132978723404253</v>
      </c>
      <c r="AV1021" s="7">
        <f>-4512*10000</f>
        <v>-45120000</v>
      </c>
      <c r="AW1021" s="6" t="str">
        <f t="shared" si="475"/>
        <v>=-45120000</v>
      </c>
      <c r="AX1021" s="1">
        <f>-45120000</f>
        <v>-45120000</v>
      </c>
      <c r="AY1021" s="10">
        <f t="shared" si="492"/>
        <v>-0.83550856726212175</v>
      </c>
      <c r="AZ1021" s="6">
        <f>-2.743*100000000</f>
        <v>-274300000</v>
      </c>
      <c r="BA1021" s="6" t="str">
        <f t="shared" si="476"/>
        <v>=-274300000</v>
      </c>
      <c r="BB1021" s="1">
        <f>-274300000</f>
        <v>-274300000</v>
      </c>
      <c r="BC1021" s="8">
        <f t="shared" si="493"/>
        <v>1.5374653098982423</v>
      </c>
      <c r="BD1021" s="6">
        <f>-1.081*100000000</f>
        <v>-108100000</v>
      </c>
      <c r="BE1021" s="6" t="str">
        <f t="shared" si="477"/>
        <v>=-108100000</v>
      </c>
      <c r="BF1021" s="1">
        <f>-108100000</f>
        <v>-108100000</v>
      </c>
      <c r="BG1021" s="8">
        <f t="shared" si="494"/>
        <v>0.43425766219981426</v>
      </c>
      <c r="BH1021" s="7">
        <f>-7537*10000</f>
        <v>-75370000</v>
      </c>
      <c r="BI1021" s="6" t="str">
        <f t="shared" si="478"/>
        <v>=-75370000</v>
      </c>
      <c r="BJ1021" s="1">
        <f>-75370000</f>
        <v>-75370000</v>
      </c>
      <c r="BK1021" s="7">
        <f>-3560*10000</f>
        <v>-35600000</v>
      </c>
      <c r="BL1021" s="1" t="str">
        <f t="shared" si="480"/>
        <v>=-35600000</v>
      </c>
      <c r="BM1021" s="16">
        <f t="shared" si="495"/>
        <v>1.1171348314606742</v>
      </c>
      <c r="BN1021" s="1">
        <f>-35600000</f>
        <v>-35600000</v>
      </c>
    </row>
    <row r="1022" spans="1:66">
      <c r="A1022" s="17">
        <v>257</v>
      </c>
      <c r="B1022">
        <v>600825</v>
      </c>
      <c r="C1022" t="s">
        <v>31</v>
      </c>
      <c r="D1022" s="6" t="s">
        <v>10824</v>
      </c>
      <c r="E1022" s="7" t="str">
        <f t="shared" si="479"/>
        <v>=12.84*100000000</v>
      </c>
      <c r="F1022" s="1">
        <f>12.84*100000000</f>
        <v>1284000000</v>
      </c>
      <c r="G1022" s="8">
        <f t="shared" si="481"/>
        <v>0.46291443545630645</v>
      </c>
      <c r="H1022" s="6" t="s">
        <v>10825</v>
      </c>
      <c r="I1022" s="6" t="str">
        <f t="shared" si="465"/>
        <v>=8.777*100000000</v>
      </c>
      <c r="J1022" s="1">
        <f>8.777*100000000</f>
        <v>877699999.99999988</v>
      </c>
      <c r="K1022" s="10">
        <f t="shared" si="482"/>
        <v>0.28846153846153827</v>
      </c>
      <c r="L1022" s="6" t="s">
        <v>10826</v>
      </c>
      <c r="M1022" s="6" t="str">
        <f t="shared" si="466"/>
        <v>=6.812*100000000</v>
      </c>
      <c r="N1022" s="1">
        <f>6.812*100000000</f>
        <v>681200000</v>
      </c>
      <c r="O1022" s="8">
        <f t="shared" si="483"/>
        <v>2.4421424962102072</v>
      </c>
      <c r="P1022" s="6" t="s">
        <v>5656</v>
      </c>
      <c r="Q1022" s="6" t="str">
        <f t="shared" si="467"/>
        <v>=1.979*100000000</v>
      </c>
      <c r="R1022" s="11">
        <f>1.979*100000000</f>
        <v>197900000</v>
      </c>
      <c r="S1022" s="8">
        <f t="shared" si="484"/>
        <v>-0.84694508894044862</v>
      </c>
      <c r="T1022" s="6" t="s">
        <v>3068</v>
      </c>
      <c r="U1022" s="6" t="str">
        <f t="shared" si="468"/>
        <v>=12.93*100000000</v>
      </c>
      <c r="V1022" s="1">
        <f>12.93*100000000</f>
        <v>1293000000</v>
      </c>
      <c r="W1022" s="8">
        <f t="shared" si="485"/>
        <v>0.61443376201773003</v>
      </c>
      <c r="X1022" s="6" t="s">
        <v>9537</v>
      </c>
      <c r="Y1022" s="6" t="str">
        <f t="shared" si="469"/>
        <v>=8.009*100000000</v>
      </c>
      <c r="Z1022" s="1">
        <f>8.009*100000000</f>
        <v>800900000</v>
      </c>
      <c r="AA1022" s="8">
        <f t="shared" si="486"/>
        <v>0.53517347134368431</v>
      </c>
      <c r="AB1022" s="6" t="s">
        <v>10827</v>
      </c>
      <c r="AC1022" s="6" t="str">
        <f t="shared" si="470"/>
        <v>=5.217*100000000</v>
      </c>
      <c r="AD1022" s="1">
        <f>5.217*100000000</f>
        <v>521699999.99999994</v>
      </c>
      <c r="AE1022" s="8">
        <f t="shared" si="487"/>
        <v>2.4120340091563111</v>
      </c>
      <c r="AF1022" s="6" t="s">
        <v>1922</v>
      </c>
      <c r="AG1022" s="6" t="str">
        <f t="shared" si="471"/>
        <v>=1.529*100000000</v>
      </c>
      <c r="AH1022" s="1">
        <f>1.529*100000000</f>
        <v>152900000</v>
      </c>
      <c r="AI1022" s="8">
        <f t="shared" si="488"/>
        <v>-0.88648849294729026</v>
      </c>
      <c r="AJ1022" s="6" t="s">
        <v>2049</v>
      </c>
      <c r="AK1022" s="6" t="str">
        <f t="shared" si="472"/>
        <v>=13.47*100000000</v>
      </c>
      <c r="AL1022" s="1">
        <f>13.47*100000000</f>
        <v>1347000000</v>
      </c>
      <c r="AM1022" s="8">
        <f t="shared" si="489"/>
        <v>0.47293603061782397</v>
      </c>
      <c r="AN1022" s="6" t="s">
        <v>10828</v>
      </c>
      <c r="AO1022" s="6" t="str">
        <f t="shared" si="473"/>
        <v>=9.145*100000000</v>
      </c>
      <c r="AP1022" s="1">
        <f>9.145*100000000</f>
        <v>914500000</v>
      </c>
      <c r="AQ1022" s="8">
        <f t="shared" si="490"/>
        <v>0.50361723117395596</v>
      </c>
      <c r="AR1022" s="6" t="s">
        <v>10829</v>
      </c>
      <c r="AS1022" s="6" t="str">
        <f t="shared" si="474"/>
        <v>=6.082*100000000</v>
      </c>
      <c r="AT1022" s="1">
        <f>6.082*100000000</f>
        <v>608200000</v>
      </c>
      <c r="AU1022" s="8">
        <f t="shared" si="491"/>
        <v>1.4543987086359966</v>
      </c>
      <c r="AV1022" s="6" t="s">
        <v>10830</v>
      </c>
      <c r="AW1022" s="6" t="str">
        <f t="shared" si="475"/>
        <v>=2.478*100000000</v>
      </c>
      <c r="AX1022" s="1">
        <f>2.478*100000000</f>
        <v>247800000.00000003</v>
      </c>
      <c r="AY1022" s="10">
        <f t="shared" si="492"/>
        <v>-0.82185478073328544</v>
      </c>
      <c r="AZ1022" s="6" t="s">
        <v>10510</v>
      </c>
      <c r="BA1022" s="6" t="str">
        <f t="shared" si="476"/>
        <v>=13.91*100000000</v>
      </c>
      <c r="BB1022" s="1">
        <f>13.91*100000000</f>
        <v>1391000000</v>
      </c>
      <c r="BC1022" s="8">
        <f t="shared" si="493"/>
        <v>0.64771381189291632</v>
      </c>
      <c r="BD1022" s="6" t="s">
        <v>4229</v>
      </c>
      <c r="BE1022" s="6" t="str">
        <f t="shared" si="477"/>
        <v>=8.442*100000000</v>
      </c>
      <c r="BF1022" s="1">
        <f>8.442*100000000</f>
        <v>844200000</v>
      </c>
      <c r="BG1022" s="8">
        <f t="shared" si="494"/>
        <v>0.38008827856792543</v>
      </c>
      <c r="BH1022" s="6" t="s">
        <v>10831</v>
      </c>
      <c r="BI1022" s="6" t="str">
        <f t="shared" si="478"/>
        <v>=6.117*100000000</v>
      </c>
      <c r="BJ1022" s="1">
        <f>6.117*100000000</f>
        <v>611700000</v>
      </c>
      <c r="BK1022" s="6" t="s">
        <v>10165</v>
      </c>
      <c r="BL1022" s="1" t="str">
        <f t="shared" si="480"/>
        <v>=2.283*100000000</v>
      </c>
      <c r="BM1022" s="16">
        <f t="shared" si="495"/>
        <v>1.6793692509855453</v>
      </c>
      <c r="BN1022" s="1">
        <f>2.283*100000000</f>
        <v>228300000</v>
      </c>
    </row>
    <row r="1023" spans="1:66">
      <c r="A1023" s="18"/>
      <c r="B1023">
        <v>600825</v>
      </c>
      <c r="C1023" t="s">
        <v>48</v>
      </c>
      <c r="D1023" s="7" t="s">
        <v>10832</v>
      </c>
      <c r="E1023" s="7" t="str">
        <f t="shared" si="479"/>
        <v>=3081*10000</v>
      </c>
      <c r="F1023" s="1">
        <f>3081*10000</f>
        <v>30810000</v>
      </c>
      <c r="G1023" s="8">
        <f t="shared" si="481"/>
        <v>0.12939882697947214</v>
      </c>
      <c r="H1023" s="7" t="s">
        <v>10833</v>
      </c>
      <c r="I1023" s="6" t="str">
        <f t="shared" ref="I1023:I1086" si="496">"="&amp;H1023</f>
        <v>=2728*10000</v>
      </c>
      <c r="J1023" s="1">
        <f>2728*10000</f>
        <v>27280000</v>
      </c>
      <c r="K1023" s="10">
        <f t="shared" si="482"/>
        <v>2.4793388429752067E-2</v>
      </c>
      <c r="L1023" s="7" t="s">
        <v>2132</v>
      </c>
      <c r="M1023" s="6" t="str">
        <f t="shared" ref="M1023:M1086" si="497">"="&amp;L1023</f>
        <v>=2662*10000</v>
      </c>
      <c r="N1023" s="1">
        <f>2662*10000</f>
        <v>26620000</v>
      </c>
      <c r="O1023" s="8">
        <f t="shared" si="483"/>
        <v>-9.2440384019820385</v>
      </c>
      <c r="P1023" s="7">
        <f>-322.9*10000</f>
        <v>-3229000</v>
      </c>
      <c r="Q1023" s="6" t="str">
        <f t="shared" ref="Q1023:Q1086" si="498">"="&amp;P1023</f>
        <v>=-3229000</v>
      </c>
      <c r="R1023" s="11">
        <f>-3229000</f>
        <v>-3229000</v>
      </c>
      <c r="S1023" s="8">
        <f t="shared" si="484"/>
        <v>-0.98870188943317006</v>
      </c>
      <c r="T1023" s="6">
        <f>-2.858*100000000</f>
        <v>-285800000</v>
      </c>
      <c r="U1023" s="6" t="str">
        <f t="shared" ref="U1023:U1086" si="499">"="&amp;T1023</f>
        <v>=-285800000</v>
      </c>
      <c r="V1023" s="1">
        <f>-285800000</f>
        <v>-285800000</v>
      </c>
      <c r="W1023" s="8">
        <f t="shared" si="485"/>
        <v>-19.80263157894737</v>
      </c>
      <c r="X1023" s="7" t="s">
        <v>10834</v>
      </c>
      <c r="Y1023" s="6" t="str">
        <f t="shared" ref="Y1023:Y1086" si="500">"="&amp;X1023</f>
        <v>=1520*10000</v>
      </c>
      <c r="Z1023" s="1">
        <f>1520*10000</f>
        <v>15200000</v>
      </c>
      <c r="AA1023" s="8">
        <f t="shared" si="486"/>
        <v>0.69851380042462841</v>
      </c>
      <c r="AB1023" s="7" t="s">
        <v>10835</v>
      </c>
      <c r="AC1023" s="6" t="str">
        <f t="shared" ref="AC1023:AC1086" si="501">"="&amp;AB1023</f>
        <v>=894.9*10000</v>
      </c>
      <c r="AD1023" s="1">
        <f>894.9*10000</f>
        <v>8949000</v>
      </c>
      <c r="AE1023" s="8">
        <f t="shared" si="487"/>
        <v>-3.1768426173680369</v>
      </c>
      <c r="AF1023" s="7">
        <f>-411.1*10000</f>
        <v>-4111000</v>
      </c>
      <c r="AG1023" s="6" t="str">
        <f t="shared" ref="AG1023:AG1086" si="502">"="&amp;AF1023</f>
        <v>=-4111000</v>
      </c>
      <c r="AH1023" s="1">
        <f>-4111000</f>
        <v>-4111000</v>
      </c>
      <c r="AI1023" s="8">
        <f t="shared" si="488"/>
        <v>-1.1355870712401055</v>
      </c>
      <c r="AJ1023" s="7" t="s">
        <v>10836</v>
      </c>
      <c r="AK1023" s="6" t="str">
        <f t="shared" ref="AK1023:AK1086" si="503">"="&amp;AJ1023</f>
        <v>=3032*10000</v>
      </c>
      <c r="AL1023" s="1">
        <f>3032*10000</f>
        <v>30320000</v>
      </c>
      <c r="AM1023" s="8">
        <f t="shared" si="489"/>
        <v>0.42548189938881054</v>
      </c>
      <c r="AN1023" s="7" t="s">
        <v>5977</v>
      </c>
      <c r="AO1023" s="6" t="str">
        <f t="shared" ref="AO1023:AO1086" si="504">"="&amp;AN1023</f>
        <v>=2127*10000</v>
      </c>
      <c r="AP1023" s="1">
        <f>2127*10000</f>
        <v>21270000</v>
      </c>
      <c r="AQ1023" s="8">
        <f t="shared" si="490"/>
        <v>0.11477987421383648</v>
      </c>
      <c r="AR1023" s="7" t="s">
        <v>8421</v>
      </c>
      <c r="AS1023" s="6" t="str">
        <f t="shared" ref="AS1023:AS1086" si="505">"="&amp;AR1023</f>
        <v>=1908*10000</v>
      </c>
      <c r="AT1023" s="1">
        <f>1908*10000</f>
        <v>19080000</v>
      </c>
      <c r="AU1023" s="8">
        <f t="shared" si="491"/>
        <v>2.3044683062002078</v>
      </c>
      <c r="AV1023" s="7" t="s">
        <v>10837</v>
      </c>
      <c r="AW1023" s="6" t="str">
        <f t="shared" ref="AW1023:AW1086" si="506">"="&amp;AV1023</f>
        <v>=577.4*10000</v>
      </c>
      <c r="AX1023" s="1">
        <f>577.4*10000</f>
        <v>5774000</v>
      </c>
      <c r="AY1023" s="10">
        <f t="shared" si="492"/>
        <v>-0.81222764227642275</v>
      </c>
      <c r="AZ1023" s="7" t="s">
        <v>10838</v>
      </c>
      <c r="BA1023" s="6" t="str">
        <f t="shared" ref="BA1023:BA1086" si="507">"="&amp;AZ1023</f>
        <v>=3075*10000</v>
      </c>
      <c r="BB1023" s="1">
        <f>3075*10000</f>
        <v>30750000</v>
      </c>
      <c r="BC1023" s="8">
        <f t="shared" si="493"/>
        <v>0.15819209039548024</v>
      </c>
      <c r="BD1023" s="7" t="s">
        <v>10839</v>
      </c>
      <c r="BE1023" s="6" t="str">
        <f t="shared" ref="BE1023:BE1086" si="508">"="&amp;BD1023</f>
        <v>=2655*10000</v>
      </c>
      <c r="BF1023" s="1">
        <f>2655*10000</f>
        <v>26550000</v>
      </c>
      <c r="BG1023" s="8">
        <f t="shared" si="494"/>
        <v>-4.1862143630458315E-2</v>
      </c>
      <c r="BH1023" s="7" t="s">
        <v>10840</v>
      </c>
      <c r="BI1023" s="6" t="str">
        <f t="shared" ref="BI1023:BI1086" si="509">"="&amp;BH1023</f>
        <v>=2771*10000</v>
      </c>
      <c r="BJ1023" s="1">
        <f>2771*10000</f>
        <v>27710000</v>
      </c>
      <c r="BK1023" s="7" t="s">
        <v>10841</v>
      </c>
      <c r="BL1023" s="1" t="str">
        <f t="shared" si="480"/>
        <v>=875.7*10000</v>
      </c>
      <c r="BM1023" s="16">
        <f t="shared" si="495"/>
        <v>2.164325682311294</v>
      </c>
      <c r="BN1023" s="1">
        <f>875.7*10000</f>
        <v>8757000</v>
      </c>
    </row>
    <row r="1024" spans="1:66">
      <c r="A1024" s="18"/>
      <c r="B1024">
        <v>600825</v>
      </c>
      <c r="C1024" t="s">
        <v>58</v>
      </c>
      <c r="D1024" s="7" t="s">
        <v>10842</v>
      </c>
      <c r="E1024" s="7" t="str">
        <f t="shared" si="479"/>
        <v>=3412*10000</v>
      </c>
      <c r="F1024" s="1">
        <f>3412*10000</f>
        <v>34120000</v>
      </c>
      <c r="G1024" s="8">
        <f t="shared" si="481"/>
        <v>0.19175689835836535</v>
      </c>
      <c r="H1024" s="7" t="s">
        <v>6493</v>
      </c>
      <c r="I1024" s="6" t="str">
        <f t="shared" si="496"/>
        <v>=2863*10000</v>
      </c>
      <c r="J1024" s="1">
        <f>2863*10000</f>
        <v>28630000</v>
      </c>
      <c r="K1024" s="10">
        <f t="shared" si="482"/>
        <v>7.2284644194756553E-2</v>
      </c>
      <c r="L1024" s="7" t="s">
        <v>10843</v>
      </c>
      <c r="M1024" s="6" t="str">
        <f t="shared" si="497"/>
        <v>=2670*10000</v>
      </c>
      <c r="N1024" s="1">
        <f>2670*10000</f>
        <v>26700000</v>
      </c>
      <c r="O1024" s="8">
        <f t="shared" si="483"/>
        <v>-9.2945013979496736</v>
      </c>
      <c r="P1024" s="7">
        <f>-321.9*10000</f>
        <v>-3219000</v>
      </c>
      <c r="Q1024" s="6" t="str">
        <f t="shared" si="498"/>
        <v>=-3219000</v>
      </c>
      <c r="R1024" s="11">
        <f>-3219000</f>
        <v>-3219000</v>
      </c>
      <c r="S1024" s="8">
        <f t="shared" si="484"/>
        <v>-0.9886774533943018</v>
      </c>
      <c r="T1024" s="6">
        <f>-2.843*100000000</f>
        <v>-284300000</v>
      </c>
      <c r="U1024" s="6" t="str">
        <f t="shared" si="499"/>
        <v>=-284300000</v>
      </c>
      <c r="V1024" s="1">
        <f>-284300000</f>
        <v>-284300000</v>
      </c>
      <c r="W1024" s="8">
        <f t="shared" si="485"/>
        <v>-18.303712720632987</v>
      </c>
      <c r="X1024" s="7" t="s">
        <v>10844</v>
      </c>
      <c r="Y1024" s="6" t="str">
        <f t="shared" si="500"/>
        <v>=1643*10000</v>
      </c>
      <c r="Z1024" s="1">
        <f>1643*10000</f>
        <v>16430000</v>
      </c>
      <c r="AA1024" s="8">
        <f t="shared" si="486"/>
        <v>0.73641936165715494</v>
      </c>
      <c r="AB1024" s="7" t="s">
        <v>10845</v>
      </c>
      <c r="AC1024" s="6" t="str">
        <f t="shared" si="501"/>
        <v>=946.2*10000</v>
      </c>
      <c r="AD1024" s="1">
        <f>946.2*10000</f>
        <v>9462000</v>
      </c>
      <c r="AE1024" s="8">
        <f t="shared" si="487"/>
        <v>-3.4468580294802171</v>
      </c>
      <c r="AF1024" s="7">
        <f>-386.7*10000</f>
        <v>-3867000</v>
      </c>
      <c r="AG1024" s="6" t="str">
        <f t="shared" si="502"/>
        <v>=-3867000</v>
      </c>
      <c r="AH1024" s="1">
        <f>-3867000</f>
        <v>-3867000</v>
      </c>
      <c r="AI1024" s="8">
        <f t="shared" si="488"/>
        <v>-1.119388700216116</v>
      </c>
      <c r="AJ1024" s="7" t="s">
        <v>10846</v>
      </c>
      <c r="AK1024" s="6" t="str">
        <f t="shared" si="503"/>
        <v>=3239*10000</v>
      </c>
      <c r="AL1024" s="1">
        <f>3239*10000</f>
        <v>32390000</v>
      </c>
      <c r="AM1024" s="8">
        <f t="shared" si="489"/>
        <v>0.41379310344827586</v>
      </c>
      <c r="AN1024" s="7" t="s">
        <v>10847</v>
      </c>
      <c r="AO1024" s="6" t="str">
        <f t="shared" si="504"/>
        <v>=2291*10000</v>
      </c>
      <c r="AP1024" s="1">
        <f>2291*10000</f>
        <v>22910000</v>
      </c>
      <c r="AQ1024" s="8">
        <f t="shared" si="490"/>
        <v>0.13024173655648741</v>
      </c>
      <c r="AR1024" s="7" t="s">
        <v>10848</v>
      </c>
      <c r="AS1024" s="6" t="str">
        <f t="shared" si="505"/>
        <v>=2027*10000</v>
      </c>
      <c r="AT1024" s="1">
        <f>2027*10000</f>
        <v>20270000</v>
      </c>
      <c r="AU1024" s="8">
        <f t="shared" si="491"/>
        <v>2.505101158568217</v>
      </c>
      <c r="AV1024" s="7" t="s">
        <v>10849</v>
      </c>
      <c r="AW1024" s="6" t="str">
        <f t="shared" si="506"/>
        <v>=578.3*10000</v>
      </c>
      <c r="AX1024" s="1">
        <f>578.3*10000</f>
        <v>5783000</v>
      </c>
      <c r="AY1024" s="10">
        <f t="shared" si="492"/>
        <v>-0.83174279895257497</v>
      </c>
      <c r="AZ1024" s="7" t="s">
        <v>10850</v>
      </c>
      <c r="BA1024" s="6" t="str">
        <f t="shared" si="507"/>
        <v>=3437*10000</v>
      </c>
      <c r="BB1024" s="1">
        <f>3437*10000</f>
        <v>34370000</v>
      </c>
      <c r="BC1024" s="8">
        <f t="shared" si="493"/>
        <v>0.1847638745260255</v>
      </c>
      <c r="BD1024" s="7" t="s">
        <v>1465</v>
      </c>
      <c r="BE1024" s="6" t="str">
        <f t="shared" si="508"/>
        <v>=2901*10000</v>
      </c>
      <c r="BF1024" s="1">
        <f>2901*10000</f>
        <v>29010000</v>
      </c>
      <c r="BG1024" s="8">
        <f t="shared" si="494"/>
        <v>-2.0639834881320948E-3</v>
      </c>
      <c r="BH1024" s="7" t="s">
        <v>10851</v>
      </c>
      <c r="BI1024" s="6" t="str">
        <f t="shared" si="509"/>
        <v>=2907*10000</v>
      </c>
      <c r="BJ1024" s="1">
        <f>2907*10000</f>
        <v>29070000</v>
      </c>
      <c r="BK1024" s="7" t="s">
        <v>10852</v>
      </c>
      <c r="BL1024" s="1" t="str">
        <f t="shared" si="480"/>
        <v>=891.7*10000</v>
      </c>
      <c r="BM1024" s="16">
        <f t="shared" si="495"/>
        <v>2.2600650442974093</v>
      </c>
      <c r="BN1024" s="1">
        <f>891.7*10000</f>
        <v>8917000</v>
      </c>
    </row>
    <row r="1025" spans="1:66">
      <c r="A1025" s="19"/>
      <c r="B1025">
        <v>600825</v>
      </c>
      <c r="C1025" t="s">
        <v>68</v>
      </c>
      <c r="D1025" s="7" t="s">
        <v>10060</v>
      </c>
      <c r="E1025" s="7" t="str">
        <f t="shared" si="479"/>
        <v>=3308*10000</v>
      </c>
      <c r="F1025" s="1">
        <f>3308*10000</f>
        <v>33080000</v>
      </c>
      <c r="G1025" s="8">
        <f t="shared" si="481"/>
        <v>0.42402066293585883</v>
      </c>
      <c r="H1025" s="7" t="s">
        <v>10853</v>
      </c>
      <c r="I1025" s="6" t="str">
        <f t="shared" si="496"/>
        <v>=2323*10000</v>
      </c>
      <c r="J1025" s="1">
        <f>2323*10000</f>
        <v>23230000</v>
      </c>
      <c r="K1025" s="10">
        <f t="shared" si="482"/>
        <v>0.29342984409799555</v>
      </c>
      <c r="L1025" s="7" t="s">
        <v>3782</v>
      </c>
      <c r="M1025" s="6" t="str">
        <f t="shared" si="497"/>
        <v>=1796*10000</v>
      </c>
      <c r="N1025" s="1">
        <f>1796*10000</f>
        <v>17960000</v>
      </c>
      <c r="O1025" s="8">
        <f t="shared" si="483"/>
        <v>-6.5793724759241998</v>
      </c>
      <c r="P1025" s="7">
        <f>-321.9*10000</f>
        <v>-3219000</v>
      </c>
      <c r="Q1025" s="6" t="str">
        <f t="shared" si="498"/>
        <v>=-3219000</v>
      </c>
      <c r="R1025" s="11">
        <f>-3219000</f>
        <v>-3219000</v>
      </c>
      <c r="S1025" s="8">
        <f t="shared" si="484"/>
        <v>-0.98895332875772135</v>
      </c>
      <c r="T1025" s="6">
        <f>-2.914*100000000</f>
        <v>-291400000</v>
      </c>
      <c r="U1025" s="6" t="str">
        <f t="shared" si="499"/>
        <v>=-291400000</v>
      </c>
      <c r="V1025" s="1">
        <f>-291400000</f>
        <v>-291400000</v>
      </c>
      <c r="W1025" s="8">
        <f t="shared" si="485"/>
        <v>-19.525111252383979</v>
      </c>
      <c r="X1025" s="7" t="s">
        <v>6756</v>
      </c>
      <c r="Y1025" s="6" t="str">
        <f t="shared" si="500"/>
        <v>=1573*10000</v>
      </c>
      <c r="Z1025" s="1">
        <f>1573*10000</f>
        <v>15730000</v>
      </c>
      <c r="AA1025" s="8">
        <f t="shared" si="486"/>
        <v>0.78001584248047984</v>
      </c>
      <c r="AB1025" s="7" t="s">
        <v>10854</v>
      </c>
      <c r="AC1025" s="6" t="str">
        <f t="shared" si="501"/>
        <v>=883.7*10000</v>
      </c>
      <c r="AD1025" s="1">
        <f>883.7*10000</f>
        <v>8837000</v>
      </c>
      <c r="AE1025" s="8">
        <f t="shared" si="487"/>
        <v>-3.5555234239444764</v>
      </c>
      <c r="AF1025" s="7">
        <f>-345.8*10000</f>
        <v>-3458000</v>
      </c>
      <c r="AG1025" s="6" t="str">
        <f t="shared" si="502"/>
        <v>=-3458000</v>
      </c>
      <c r="AH1025" s="1">
        <f>-3458000</f>
        <v>-3458000</v>
      </c>
      <c r="AI1025" s="8">
        <f t="shared" si="488"/>
        <v>-1.1711881188118811</v>
      </c>
      <c r="AJ1025" s="7" t="s">
        <v>10855</v>
      </c>
      <c r="AK1025" s="6" t="str">
        <f t="shared" si="503"/>
        <v>=2020*10000</v>
      </c>
      <c r="AL1025" s="1">
        <f>2020*10000</f>
        <v>20200000</v>
      </c>
      <c r="AM1025" s="8">
        <f t="shared" si="489"/>
        <v>-0.11867364746945899</v>
      </c>
      <c r="AN1025" s="7" t="s">
        <v>10856</v>
      </c>
      <c r="AO1025" s="6" t="str">
        <f t="shared" si="504"/>
        <v>=2292*10000</v>
      </c>
      <c r="AP1025" s="1">
        <f>2292*10000</f>
        <v>22920000</v>
      </c>
      <c r="AQ1025" s="8">
        <f t="shared" si="490"/>
        <v>0.29931972789115646</v>
      </c>
      <c r="AR1025" s="7" t="s">
        <v>10857</v>
      </c>
      <c r="AS1025" s="6" t="str">
        <f t="shared" si="505"/>
        <v>=1764*10000</v>
      </c>
      <c r="AT1025" s="1">
        <f>1764*10000</f>
        <v>17640000</v>
      </c>
      <c r="AU1025" s="8">
        <f t="shared" si="491"/>
        <v>2.0640958832725378</v>
      </c>
      <c r="AV1025" s="7" t="s">
        <v>10858</v>
      </c>
      <c r="AW1025" s="6" t="str">
        <f t="shared" si="506"/>
        <v>=575.7*10000</v>
      </c>
      <c r="AX1025" s="1">
        <f>575.7*10000</f>
        <v>5757000</v>
      </c>
      <c r="AY1025" s="10">
        <f t="shared" si="492"/>
        <v>-0.80962301587301588</v>
      </c>
      <c r="AZ1025" s="7" t="s">
        <v>2128</v>
      </c>
      <c r="BA1025" s="6" t="str">
        <f t="shared" si="507"/>
        <v>=3024*10000</v>
      </c>
      <c r="BB1025" s="1">
        <f>3024*10000</f>
        <v>30240000</v>
      </c>
      <c r="BC1025" s="8">
        <f t="shared" si="493"/>
        <v>0.19478467009087316</v>
      </c>
      <c r="BD1025" s="7" t="s">
        <v>10522</v>
      </c>
      <c r="BE1025" s="6" t="str">
        <f t="shared" si="508"/>
        <v>=2531*10000</v>
      </c>
      <c r="BF1025" s="1">
        <f>2531*10000</f>
        <v>25310000</v>
      </c>
      <c r="BG1025" s="8">
        <f t="shared" si="494"/>
        <v>0.2029467680608365</v>
      </c>
      <c r="BH1025" s="7" t="s">
        <v>7610</v>
      </c>
      <c r="BI1025" s="6" t="str">
        <f t="shared" si="509"/>
        <v>=2104*10000</v>
      </c>
      <c r="BJ1025" s="1">
        <f>2104*10000</f>
        <v>21040000</v>
      </c>
      <c r="BK1025" s="7" t="s">
        <v>10859</v>
      </c>
      <c r="BL1025" s="1" t="str">
        <f t="shared" si="480"/>
        <v>=780.0*10000</v>
      </c>
      <c r="BM1025" s="16">
        <f t="shared" si="495"/>
        <v>1.6974358974358974</v>
      </c>
      <c r="BN1025" s="1">
        <f>780*10000</f>
        <v>7800000</v>
      </c>
    </row>
    <row r="1026" spans="1:66">
      <c r="A1026" s="17">
        <v>258</v>
      </c>
      <c r="B1026">
        <v>600826</v>
      </c>
      <c r="C1026" t="s">
        <v>31</v>
      </c>
      <c r="D1026" s="6" t="s">
        <v>10860</v>
      </c>
      <c r="E1026" s="7" t="str">
        <f t="shared" ref="E1026:E1089" si="510">"="&amp;D1026</f>
        <v>=9.249*100000000</v>
      </c>
      <c r="F1026" s="1">
        <f>9.249*100000000</f>
        <v>924900000</v>
      </c>
      <c r="G1026" s="8">
        <f t="shared" si="481"/>
        <v>0.54794979079497907</v>
      </c>
      <c r="H1026" s="6" t="s">
        <v>10861</v>
      </c>
      <c r="I1026" s="6" t="str">
        <f t="shared" si="496"/>
        <v>=5.975*100000000</v>
      </c>
      <c r="J1026" s="1">
        <f>5.975*100000000</f>
        <v>597500000</v>
      </c>
      <c r="K1026" s="10">
        <f t="shared" si="482"/>
        <v>0.73389437028438764</v>
      </c>
      <c r="L1026" s="6" t="s">
        <v>10862</v>
      </c>
      <c r="M1026" s="6" t="str">
        <f t="shared" si="497"/>
        <v>=3.446*100000000</v>
      </c>
      <c r="N1026" s="1">
        <f>3.446*100000000</f>
        <v>344600000</v>
      </c>
      <c r="O1026" s="8">
        <f t="shared" si="483"/>
        <v>4.3961791418728469</v>
      </c>
      <c r="P1026" s="7" t="s">
        <v>10863</v>
      </c>
      <c r="Q1026" s="6" t="str">
        <f t="shared" si="498"/>
        <v>=6386*10000</v>
      </c>
      <c r="R1026" s="11">
        <f>6386*10000</f>
        <v>63860000</v>
      </c>
      <c r="S1026" s="8">
        <f t="shared" si="484"/>
        <v>-0.9785848423876593</v>
      </c>
      <c r="T1026" s="6" t="s">
        <v>5242</v>
      </c>
      <c r="U1026" s="6" t="str">
        <f t="shared" si="499"/>
        <v>=29.82*100000000</v>
      </c>
      <c r="V1026" s="1">
        <f>29.82*100000000</f>
        <v>2982000000</v>
      </c>
      <c r="W1026" s="8">
        <f t="shared" si="485"/>
        <v>0.26947637292464877</v>
      </c>
      <c r="X1026" s="6" t="s">
        <v>10864</v>
      </c>
      <c r="Y1026" s="6" t="str">
        <f t="shared" si="500"/>
        <v>=23.49*100000000</v>
      </c>
      <c r="Z1026" s="1">
        <f>23.49*100000000</f>
        <v>2349000000</v>
      </c>
      <c r="AA1026" s="8">
        <f t="shared" si="486"/>
        <v>0.65422535211267607</v>
      </c>
      <c r="AB1026" s="6" t="s">
        <v>50</v>
      </c>
      <c r="AC1026" s="6" t="str">
        <f t="shared" si="501"/>
        <v>=14.20*100000000</v>
      </c>
      <c r="AD1026" s="1">
        <f>14.2*100000000</f>
        <v>1420000000</v>
      </c>
      <c r="AE1026" s="8">
        <f t="shared" si="487"/>
        <v>1.1686010995723886</v>
      </c>
      <c r="AF1026" s="6" t="s">
        <v>5754</v>
      </c>
      <c r="AG1026" s="6" t="str">
        <f t="shared" si="502"/>
        <v>=6.548*100000000</v>
      </c>
      <c r="AH1026" s="1">
        <f>6.548*100000000</f>
        <v>654800000</v>
      </c>
      <c r="AI1026" s="8">
        <f t="shared" si="488"/>
        <v>-0.87817674418604652</v>
      </c>
      <c r="AJ1026" s="6" t="s">
        <v>10865</v>
      </c>
      <c r="AK1026" s="6" t="str">
        <f t="shared" si="503"/>
        <v>=53.75*100000000</v>
      </c>
      <c r="AL1026" s="1">
        <f>53.75*100000000</f>
        <v>5375000000</v>
      </c>
      <c r="AM1026" s="8">
        <f t="shared" si="489"/>
        <v>1.107843137254902</v>
      </c>
      <c r="AN1026" s="6" t="s">
        <v>6525</v>
      </c>
      <c r="AO1026" s="6" t="str">
        <f t="shared" si="504"/>
        <v>=25.50*100000000</v>
      </c>
      <c r="AP1026" s="1">
        <f>25.5*100000000</f>
        <v>2550000000</v>
      </c>
      <c r="AQ1026" s="8">
        <f t="shared" si="490"/>
        <v>0.6231699554423934</v>
      </c>
      <c r="AR1026" s="6" t="s">
        <v>10866</v>
      </c>
      <c r="AS1026" s="6" t="str">
        <f t="shared" si="505"/>
        <v>=15.71*100000000</v>
      </c>
      <c r="AT1026" s="1">
        <f>15.71*100000000</f>
        <v>1571000000</v>
      </c>
      <c r="AU1026" s="8">
        <f t="shared" si="491"/>
        <v>1.0179833012202955</v>
      </c>
      <c r="AV1026" s="6" t="s">
        <v>10867</v>
      </c>
      <c r="AW1026" s="6" t="str">
        <f t="shared" si="506"/>
        <v>=7.785*100000000</v>
      </c>
      <c r="AX1026" s="1">
        <f>7.785*100000000</f>
        <v>778500000</v>
      </c>
      <c r="AY1026" s="10">
        <f t="shared" si="492"/>
        <v>-0.76451905626134298</v>
      </c>
      <c r="AZ1026" s="6" t="s">
        <v>10868</v>
      </c>
      <c r="BA1026" s="6" t="str">
        <f t="shared" si="507"/>
        <v>=33.06*100000000</v>
      </c>
      <c r="BB1026" s="1">
        <f>33.06*100000000</f>
        <v>3306000000</v>
      </c>
      <c r="BC1026" s="8">
        <f t="shared" si="493"/>
        <v>0.40980810234541576</v>
      </c>
      <c r="BD1026" s="6" t="s">
        <v>10869</v>
      </c>
      <c r="BE1026" s="6" t="str">
        <f t="shared" si="508"/>
        <v>=23.45*100000000</v>
      </c>
      <c r="BF1026" s="1">
        <f>23.45*100000000</f>
        <v>2345000000</v>
      </c>
      <c r="BG1026" s="8">
        <f t="shared" si="494"/>
        <v>0.51878238341968907</v>
      </c>
      <c r="BH1026" s="6" t="s">
        <v>10870</v>
      </c>
      <c r="BI1026" s="6" t="str">
        <f t="shared" si="509"/>
        <v>=15.44*100000000</v>
      </c>
      <c r="BJ1026" s="1">
        <f>15.44*100000000</f>
        <v>1544000000</v>
      </c>
      <c r="BK1026" s="6" t="s">
        <v>10871</v>
      </c>
      <c r="BL1026" s="1" t="str">
        <f t="shared" ref="BL1026:BL1089" si="511">"="&amp;BK1026</f>
        <v>=7.911*100000000</v>
      </c>
      <c r="BM1026" s="16">
        <f t="shared" si="495"/>
        <v>0.95171280495512578</v>
      </c>
      <c r="BN1026" s="1">
        <f>7.911*100000000</f>
        <v>791100000</v>
      </c>
    </row>
    <row r="1027" spans="1:66">
      <c r="A1027" s="18"/>
      <c r="B1027">
        <v>600826</v>
      </c>
      <c r="C1027" t="s">
        <v>48</v>
      </c>
      <c r="D1027" s="6" t="s">
        <v>10872</v>
      </c>
      <c r="E1027" s="7" t="str">
        <f t="shared" si="510"/>
        <v>=1.415*100000000</v>
      </c>
      <c r="F1027" s="1">
        <f>1.415*100000000</f>
        <v>141500000</v>
      </c>
      <c r="G1027" s="8">
        <f t="shared" ref="G1027:G1090" si="512">(F1027-J1027)/J1027</f>
        <v>0.47012987012987012</v>
      </c>
      <c r="H1027" s="7" t="s">
        <v>10873</v>
      </c>
      <c r="I1027" s="6" t="str">
        <f t="shared" si="496"/>
        <v>=9625*10000</v>
      </c>
      <c r="J1027" s="1">
        <f>9625*10000</f>
        <v>96250000</v>
      </c>
      <c r="K1027" s="10">
        <f t="shared" ref="K1027:K1090" si="513">(J1027-N1027)/N1027</f>
        <v>0.28196590303676078</v>
      </c>
      <c r="L1027" s="7" t="s">
        <v>2087</v>
      </c>
      <c r="M1027" s="6" t="str">
        <f t="shared" si="497"/>
        <v>=7508*10000</v>
      </c>
      <c r="N1027" s="1">
        <f>7508*10000</f>
        <v>75080000</v>
      </c>
      <c r="O1027" s="8">
        <f t="shared" ref="O1027:O1090" si="514">(N1027-R1027)/R1027</f>
        <v>-2.3685745534086768</v>
      </c>
      <c r="P1027" s="7">
        <f>-5486*10000</f>
        <v>-54860000</v>
      </c>
      <c r="Q1027" s="6" t="str">
        <f t="shared" si="498"/>
        <v>=-54860000</v>
      </c>
      <c r="R1027" s="11">
        <f>-54860000</f>
        <v>-54860000</v>
      </c>
      <c r="S1027" s="8">
        <f t="shared" ref="S1027:S1090" si="515">(R1027-V1027)/V1027</f>
        <v>-1.2932121859967931</v>
      </c>
      <c r="T1027" s="6" t="s">
        <v>10874</v>
      </c>
      <c r="U1027" s="6" t="str">
        <f t="shared" si="499"/>
        <v>=1.871*100000000</v>
      </c>
      <c r="V1027" s="1">
        <f>1.871*100000000</f>
        <v>187100000</v>
      </c>
      <c r="W1027" s="8">
        <f t="shared" ref="W1027:W1090" si="516">(V1027-Z1027)/Z1027</f>
        <v>1.3791963377416072</v>
      </c>
      <c r="X1027" s="7" t="s">
        <v>10875</v>
      </c>
      <c r="Y1027" s="6" t="str">
        <f t="shared" si="500"/>
        <v>=7864*10000</v>
      </c>
      <c r="Z1027" s="1">
        <f>7864*10000</f>
        <v>78640000</v>
      </c>
      <c r="AA1027" s="8">
        <f t="shared" ref="AA1027:AA1090" si="517">(Z1027-AD1027)/AD1027</f>
        <v>-4.2549668874172184</v>
      </c>
      <c r="AB1027" s="7">
        <f>-2416*10000</f>
        <v>-24160000</v>
      </c>
      <c r="AC1027" s="6" t="str">
        <f t="shared" si="501"/>
        <v>=-24160000</v>
      </c>
      <c r="AD1027" s="1">
        <f>-24160000</f>
        <v>-24160000</v>
      </c>
      <c r="AE1027" s="8">
        <f t="shared" ref="AE1027:AE1090" si="518">(AD1027-AH1027)/AH1027</f>
        <v>-0.73221015295943248</v>
      </c>
      <c r="AF1027" s="7">
        <f>-9022*10000</f>
        <v>-90220000</v>
      </c>
      <c r="AG1027" s="6" t="str">
        <f t="shared" si="502"/>
        <v>=-90220000</v>
      </c>
      <c r="AH1027" s="1">
        <f>-90220000</f>
        <v>-90220000</v>
      </c>
      <c r="AI1027" s="8">
        <f t="shared" ref="AI1027:AI1090" si="519">(AH1027-AL1027)/AL1027</f>
        <v>-1.2160958083832336</v>
      </c>
      <c r="AJ1027" s="6" t="s">
        <v>10876</v>
      </c>
      <c r="AK1027" s="6" t="str">
        <f t="shared" si="503"/>
        <v>=4.175*100000000</v>
      </c>
      <c r="AL1027" s="1">
        <f>4.175*100000000</f>
        <v>417500000</v>
      </c>
      <c r="AM1027" s="8">
        <f t="shared" ref="AM1027:AM1090" si="520">(AL1027-AP1027)/AP1027</f>
        <v>0.97399527186761203</v>
      </c>
      <c r="AN1027" s="6" t="s">
        <v>1472</v>
      </c>
      <c r="AO1027" s="6" t="str">
        <f t="shared" si="504"/>
        <v>=2.115*100000000</v>
      </c>
      <c r="AP1027" s="1">
        <f>2.115*100000000</f>
        <v>211500000.00000003</v>
      </c>
      <c r="AQ1027" s="8">
        <f t="shared" ref="AQ1027:AQ1090" si="521">(AP1027-AT1027)/AT1027</f>
        <v>4.7505938242281701E-3</v>
      </c>
      <c r="AR1027" s="6" t="s">
        <v>10877</v>
      </c>
      <c r="AS1027" s="6" t="str">
        <f t="shared" si="505"/>
        <v>=2.105*100000000</v>
      </c>
      <c r="AT1027" s="1">
        <f>2.105*100000000</f>
        <v>210500000</v>
      </c>
      <c r="AU1027" s="8">
        <f t="shared" ref="AU1027:AU1090" si="522">(AT1027-AX1027)/AX1027</f>
        <v>0.28588882101405011</v>
      </c>
      <c r="AV1027" s="6" t="s">
        <v>3084</v>
      </c>
      <c r="AW1027" s="6" t="str">
        <f t="shared" si="506"/>
        <v>=1.637*100000000</v>
      </c>
      <c r="AX1027" s="1">
        <f>1.637*100000000</f>
        <v>163700000</v>
      </c>
      <c r="AY1027" s="10">
        <f t="shared" ref="AY1027:AY1090" si="523">(AX1027-BB1027)/BB1027</f>
        <v>-0.44733288318703579</v>
      </c>
      <c r="AZ1027" s="6" t="s">
        <v>10878</v>
      </c>
      <c r="BA1027" s="6" t="str">
        <f t="shared" si="507"/>
        <v>=2.962*100000000</v>
      </c>
      <c r="BB1027" s="1">
        <f>2.962*100000000</f>
        <v>296200000</v>
      </c>
      <c r="BC1027" s="8">
        <f t="shared" ref="BC1027:BC1090" si="524">(BB1027-BF1027)/BF1027</f>
        <v>-4.6054750402576491E-2</v>
      </c>
      <c r="BD1027" s="6" t="s">
        <v>6696</v>
      </c>
      <c r="BE1027" s="6" t="str">
        <f t="shared" si="508"/>
        <v>=3.105*100000000</v>
      </c>
      <c r="BF1027" s="1">
        <f>3.105*100000000</f>
        <v>310500000</v>
      </c>
      <c r="BG1027" s="8">
        <f t="shared" ref="BG1027:BG1090" si="525">(BF1027-BJ1027)/BJ1027</f>
        <v>35.396670964716918</v>
      </c>
      <c r="BH1027" s="7" t="s">
        <v>10879</v>
      </c>
      <c r="BI1027" s="6" t="str">
        <f t="shared" si="509"/>
        <v>=853.1*10000</v>
      </c>
      <c r="BJ1027" s="1">
        <f>853.1*10000</f>
        <v>8531000</v>
      </c>
      <c r="BK1027" s="7" t="s">
        <v>8512</v>
      </c>
      <c r="BL1027" s="1" t="str">
        <f t="shared" si="511"/>
        <v>=3256*10000</v>
      </c>
      <c r="BM1027" s="16">
        <f t="shared" ref="BM1027:BM1090" si="526">(BJ1027-BN1027)/BN1027</f>
        <v>-0.73799140049140044</v>
      </c>
      <c r="BN1027" s="1">
        <f>3256*10000</f>
        <v>32560000</v>
      </c>
    </row>
    <row r="1028" spans="1:66">
      <c r="A1028" s="18"/>
      <c r="B1028">
        <v>600826</v>
      </c>
      <c r="C1028" t="s">
        <v>58</v>
      </c>
      <c r="D1028" s="6" t="s">
        <v>10880</v>
      </c>
      <c r="E1028" s="7" t="str">
        <f t="shared" si="510"/>
        <v>=1.411*100000000</v>
      </c>
      <c r="F1028" s="1">
        <f>1.411*100000000</f>
        <v>141100000</v>
      </c>
      <c r="G1028" s="8">
        <f t="shared" si="512"/>
        <v>0.46475656597114084</v>
      </c>
      <c r="H1028" s="7" t="s">
        <v>10881</v>
      </c>
      <c r="I1028" s="6" t="str">
        <f t="shared" si="496"/>
        <v>=9633*10000</v>
      </c>
      <c r="J1028" s="1">
        <f>9633*10000</f>
        <v>96330000</v>
      </c>
      <c r="K1028" s="10">
        <f t="shared" si="513"/>
        <v>0.28835094289153401</v>
      </c>
      <c r="L1028" s="7" t="s">
        <v>10882</v>
      </c>
      <c r="M1028" s="6" t="str">
        <f t="shared" si="497"/>
        <v>=7477*10000</v>
      </c>
      <c r="N1028" s="1">
        <f>7477*10000</f>
        <v>74770000</v>
      </c>
      <c r="O1028" s="8">
        <f t="shared" si="514"/>
        <v>-2.3634208606856308</v>
      </c>
      <c r="P1028" s="7">
        <f>-5484*10000</f>
        <v>-54840000</v>
      </c>
      <c r="Q1028" s="6" t="str">
        <f t="shared" si="498"/>
        <v>=-54840000</v>
      </c>
      <c r="R1028" s="11">
        <f>-54840000</f>
        <v>-54840000</v>
      </c>
      <c r="S1028" s="8">
        <f t="shared" si="515"/>
        <v>-1.2937332619175148</v>
      </c>
      <c r="T1028" s="6" t="s">
        <v>2942</v>
      </c>
      <c r="U1028" s="6" t="str">
        <f t="shared" si="499"/>
        <v>=1.867*100000000</v>
      </c>
      <c r="V1028" s="1">
        <f>1.867*100000000</f>
        <v>186700000</v>
      </c>
      <c r="W1028" s="8">
        <f t="shared" si="516"/>
        <v>1.3850281042411854</v>
      </c>
      <c r="X1028" s="7" t="s">
        <v>10883</v>
      </c>
      <c r="Y1028" s="6" t="str">
        <f t="shared" si="500"/>
        <v>=7828*10000</v>
      </c>
      <c r="Z1028" s="1">
        <f>7828*10000</f>
        <v>78280000</v>
      </c>
      <c r="AA1028" s="8">
        <f t="shared" si="517"/>
        <v>-4.1924959216965743</v>
      </c>
      <c r="AB1028" s="7">
        <f>-2452*10000</f>
        <v>-24520000</v>
      </c>
      <c r="AC1028" s="6" t="str">
        <f t="shared" si="501"/>
        <v>=-24520000</v>
      </c>
      <c r="AD1028" s="1">
        <f>-24520000</f>
        <v>-24520000</v>
      </c>
      <c r="AE1028" s="8">
        <f t="shared" si="518"/>
        <v>-0.72812950437964297</v>
      </c>
      <c r="AF1028" s="7">
        <f>-9019*10000</f>
        <v>-90190000</v>
      </c>
      <c r="AG1028" s="6" t="str">
        <f t="shared" si="502"/>
        <v>=-90190000</v>
      </c>
      <c r="AH1028" s="1">
        <f>-90190000</f>
        <v>-90190000</v>
      </c>
      <c r="AI1028" s="8">
        <f t="shared" si="519"/>
        <v>-1.2094032969584396</v>
      </c>
      <c r="AJ1028" s="6" t="s">
        <v>8665</v>
      </c>
      <c r="AK1028" s="6" t="str">
        <f t="shared" si="503"/>
        <v>=4.307*100000000</v>
      </c>
      <c r="AL1028" s="1">
        <f>4.307*100000000</f>
        <v>430700000.00000006</v>
      </c>
      <c r="AM1028" s="8">
        <f t="shared" si="520"/>
        <v>0.99582947173308645</v>
      </c>
      <c r="AN1028" s="6" t="s">
        <v>8271</v>
      </c>
      <c r="AO1028" s="6" t="str">
        <f t="shared" si="504"/>
        <v>=2.158*100000000</v>
      </c>
      <c r="AP1028" s="1">
        <f>2.158*100000000</f>
        <v>215800000</v>
      </c>
      <c r="AQ1028" s="8">
        <f t="shared" si="521"/>
        <v>5.123428039124499E-3</v>
      </c>
      <c r="AR1028" s="6" t="s">
        <v>1768</v>
      </c>
      <c r="AS1028" s="6" t="str">
        <f t="shared" si="505"/>
        <v>=2.147*100000000</v>
      </c>
      <c r="AT1028" s="1">
        <f>2.147*100000000</f>
        <v>214699999.99999997</v>
      </c>
      <c r="AU1028" s="8">
        <f t="shared" si="522"/>
        <v>0.27873734365693847</v>
      </c>
      <c r="AV1028" s="6" t="s">
        <v>6249</v>
      </c>
      <c r="AW1028" s="6" t="str">
        <f t="shared" si="506"/>
        <v>=1.679*100000000</v>
      </c>
      <c r="AX1028" s="1">
        <f>1.679*100000000</f>
        <v>167900000</v>
      </c>
      <c r="AY1028" s="10">
        <f t="shared" si="523"/>
        <v>-0.45022920759659463</v>
      </c>
      <c r="AZ1028" s="6" t="s">
        <v>10884</v>
      </c>
      <c r="BA1028" s="6" t="str">
        <f t="shared" si="507"/>
        <v>=3.054*100000000</v>
      </c>
      <c r="BB1028" s="1">
        <f>3.054*100000000</f>
        <v>305400000</v>
      </c>
      <c r="BC1028" s="8">
        <f t="shared" si="524"/>
        <v>-1.8952778670093158E-2</v>
      </c>
      <c r="BD1028" s="6" t="s">
        <v>10885</v>
      </c>
      <c r="BE1028" s="6" t="str">
        <f t="shared" si="508"/>
        <v>=3.113*100000000</v>
      </c>
      <c r="BF1028" s="1">
        <f>3.113*100000000</f>
        <v>311300000</v>
      </c>
      <c r="BG1028" s="8">
        <f t="shared" si="525"/>
        <v>30.941309255079005</v>
      </c>
      <c r="BH1028" s="7" t="s">
        <v>10886</v>
      </c>
      <c r="BI1028" s="6" t="str">
        <f t="shared" si="509"/>
        <v>=974.6*10000</v>
      </c>
      <c r="BJ1028" s="1">
        <f>974.6*10000</f>
        <v>9746000</v>
      </c>
      <c r="BK1028" s="7" t="s">
        <v>10887</v>
      </c>
      <c r="BL1028" s="1" t="str">
        <f t="shared" si="511"/>
        <v>=3252*10000</v>
      </c>
      <c r="BM1028" s="16">
        <f t="shared" si="526"/>
        <v>-0.70030750307503076</v>
      </c>
      <c r="BN1028" s="1">
        <f>3252*10000</f>
        <v>32520000</v>
      </c>
    </row>
    <row r="1029" spans="1:66">
      <c r="A1029" s="19"/>
      <c r="B1029">
        <v>600826</v>
      </c>
      <c r="C1029" t="s">
        <v>68</v>
      </c>
      <c r="D1029" s="6" t="s">
        <v>3548</v>
      </c>
      <c r="E1029" s="7" t="str">
        <f t="shared" si="510"/>
        <v>=1.286*100000000</v>
      </c>
      <c r="F1029" s="1">
        <f>1.286*100000000</f>
        <v>128600000</v>
      </c>
      <c r="G1029" s="8">
        <f t="shared" si="512"/>
        <v>0.55558243619208902</v>
      </c>
      <c r="H1029" s="7" t="s">
        <v>10888</v>
      </c>
      <c r="I1029" s="6" t="str">
        <f t="shared" si="496"/>
        <v>=8267*10000</v>
      </c>
      <c r="J1029" s="1">
        <f>8267*10000</f>
        <v>82670000</v>
      </c>
      <c r="K1029" s="10">
        <f t="shared" si="513"/>
        <v>0.2943478941600125</v>
      </c>
      <c r="L1029" s="7" t="s">
        <v>9265</v>
      </c>
      <c r="M1029" s="6" t="str">
        <f t="shared" si="497"/>
        <v>=6387*10000</v>
      </c>
      <c r="N1029" s="1">
        <f>6387*10000</f>
        <v>63870000</v>
      </c>
      <c r="O1029" s="8">
        <f t="shared" si="514"/>
        <v>-2.2511263467189031</v>
      </c>
      <c r="P1029" s="7">
        <f>-5105*10000</f>
        <v>-51050000</v>
      </c>
      <c r="Q1029" s="6" t="str">
        <f t="shared" si="498"/>
        <v>=-51050000</v>
      </c>
      <c r="R1029" s="11">
        <f>-51050000</f>
        <v>-51050000</v>
      </c>
      <c r="S1029" s="8">
        <f t="shared" si="515"/>
        <v>-1.3530428769017981</v>
      </c>
      <c r="T1029" s="6" t="s">
        <v>10889</v>
      </c>
      <c r="U1029" s="6" t="str">
        <f t="shared" si="499"/>
        <v>=1.446*100000000</v>
      </c>
      <c r="V1029" s="1">
        <f>1.446*100000000</f>
        <v>144600000</v>
      </c>
      <c r="W1029" s="8">
        <f t="shared" si="516"/>
        <v>1.4204887847338468</v>
      </c>
      <c r="X1029" s="7" t="s">
        <v>2755</v>
      </c>
      <c r="Y1029" s="6" t="str">
        <f t="shared" si="500"/>
        <v>=5974*10000</v>
      </c>
      <c r="Z1029" s="1">
        <f>5974*10000</f>
        <v>59740000</v>
      </c>
      <c r="AA1029" s="8">
        <f t="shared" si="517"/>
        <v>-3.5111391340899538</v>
      </c>
      <c r="AB1029" s="7">
        <f>-2379*10000</f>
        <v>-23790000</v>
      </c>
      <c r="AC1029" s="6" t="str">
        <f t="shared" si="501"/>
        <v>=-23790000</v>
      </c>
      <c r="AD1029" s="1">
        <f>-23790000</f>
        <v>-23790000</v>
      </c>
      <c r="AE1029" s="8">
        <f t="shared" si="518"/>
        <v>-0.66057925524325867</v>
      </c>
      <c r="AF1029" s="7">
        <f>-7009*10000</f>
        <v>-70090000</v>
      </c>
      <c r="AG1029" s="6" t="str">
        <f t="shared" si="502"/>
        <v>=-70090000</v>
      </c>
      <c r="AH1029" s="1">
        <f>-70090000</f>
        <v>-70090000</v>
      </c>
      <c r="AI1029" s="8">
        <f t="shared" si="519"/>
        <v>-1.2115605191669181</v>
      </c>
      <c r="AJ1029" s="6" t="s">
        <v>10890</v>
      </c>
      <c r="AK1029" s="6" t="str">
        <f t="shared" si="503"/>
        <v>=3.313*100000000</v>
      </c>
      <c r="AL1029" s="1">
        <f>3.313*100000000</f>
        <v>331300000</v>
      </c>
      <c r="AM1029" s="8">
        <f t="shared" si="520"/>
        <v>0.9419695193434936</v>
      </c>
      <c r="AN1029" s="6" t="s">
        <v>10891</v>
      </c>
      <c r="AO1029" s="6" t="str">
        <f t="shared" si="504"/>
        <v>=1.706*100000000</v>
      </c>
      <c r="AP1029" s="1">
        <f>1.706*100000000</f>
        <v>170600000</v>
      </c>
      <c r="AQ1029" s="8">
        <f t="shared" si="521"/>
        <v>4.7114252061248524E-3</v>
      </c>
      <c r="AR1029" s="6" t="s">
        <v>10892</v>
      </c>
      <c r="AS1029" s="6" t="str">
        <f t="shared" si="505"/>
        <v>=1.698*100000000</v>
      </c>
      <c r="AT1029" s="1">
        <f>1.698*100000000</f>
        <v>169800000</v>
      </c>
      <c r="AU1029" s="8">
        <f t="shared" si="522"/>
        <v>0.31018518518518517</v>
      </c>
      <c r="AV1029" s="6" t="s">
        <v>1985</v>
      </c>
      <c r="AW1029" s="6" t="str">
        <f t="shared" si="506"/>
        <v>=1.296*100000000</v>
      </c>
      <c r="AX1029" s="1">
        <f>1.296*100000000</f>
        <v>129600000</v>
      </c>
      <c r="AY1029" s="10">
        <f t="shared" si="523"/>
        <v>-0.46379809681423245</v>
      </c>
      <c r="AZ1029" s="6" t="s">
        <v>7595</v>
      </c>
      <c r="BA1029" s="6" t="str">
        <f t="shared" si="507"/>
        <v>=2.417*100000000</v>
      </c>
      <c r="BB1029" s="1">
        <f>2.417*100000000</f>
        <v>241699999.99999997</v>
      </c>
      <c r="BC1029" s="8">
        <f t="shared" si="524"/>
        <v>-2.3039611964430311E-2</v>
      </c>
      <c r="BD1029" s="6" t="s">
        <v>4049</v>
      </c>
      <c r="BE1029" s="6" t="str">
        <f t="shared" si="508"/>
        <v>=2.474*100000000</v>
      </c>
      <c r="BF1029" s="1">
        <f>2.474*100000000</f>
        <v>247400000.00000003</v>
      </c>
      <c r="BG1029" s="8">
        <f t="shared" si="525"/>
        <v>10.940154440154442</v>
      </c>
      <c r="BH1029" s="7" t="s">
        <v>10893</v>
      </c>
      <c r="BI1029" s="6" t="str">
        <f t="shared" si="509"/>
        <v>=2072*10000</v>
      </c>
      <c r="BJ1029" s="1">
        <f>2072*10000</f>
        <v>20720000</v>
      </c>
      <c r="BK1029" s="7" t="s">
        <v>10894</v>
      </c>
      <c r="BL1029" s="1" t="str">
        <f t="shared" si="511"/>
        <v>=2722*10000</v>
      </c>
      <c r="BM1029" s="16">
        <f t="shared" si="526"/>
        <v>-0.2387950036737693</v>
      </c>
      <c r="BN1029" s="1">
        <f>2722*10000</f>
        <v>27220000</v>
      </c>
    </row>
    <row r="1030" spans="1:66">
      <c r="A1030" s="17">
        <v>259</v>
      </c>
      <c r="B1030">
        <v>600828</v>
      </c>
      <c r="C1030" t="s">
        <v>31</v>
      </c>
      <c r="D1030" s="6" t="s">
        <v>10895</v>
      </c>
      <c r="E1030" s="7" t="str">
        <f t="shared" si="510"/>
        <v>=41.68*100000000</v>
      </c>
      <c r="F1030" s="1">
        <f>41.68*100000000</f>
        <v>4168000000</v>
      </c>
      <c r="G1030" s="8">
        <f t="shared" si="512"/>
        <v>0.34451612903225809</v>
      </c>
      <c r="H1030" s="6" t="s">
        <v>7078</v>
      </c>
      <c r="I1030" s="6" t="str">
        <f t="shared" si="496"/>
        <v>=31.00*100000000</v>
      </c>
      <c r="J1030" s="1">
        <f>31*100000000</f>
        <v>3100000000</v>
      </c>
      <c r="K1030" s="10">
        <f t="shared" si="513"/>
        <v>0.40018066847335138</v>
      </c>
      <c r="L1030" s="6" t="s">
        <v>10896</v>
      </c>
      <c r="M1030" s="6" t="str">
        <f t="shared" si="497"/>
        <v>=22.14*100000000</v>
      </c>
      <c r="N1030" s="1">
        <f>22.14*100000000</f>
        <v>2214000000</v>
      </c>
      <c r="O1030" s="8">
        <f t="shared" si="514"/>
        <v>0.82975206611570251</v>
      </c>
      <c r="P1030" s="6" t="s">
        <v>733</v>
      </c>
      <c r="Q1030" s="6" t="str">
        <f t="shared" si="498"/>
        <v>=12.10*100000000</v>
      </c>
      <c r="R1030" s="11">
        <f>12.1*100000000</f>
        <v>1210000000</v>
      </c>
      <c r="S1030" s="8">
        <f t="shared" si="515"/>
        <v>-0.67288456339551228</v>
      </c>
      <c r="T1030" s="6" t="s">
        <v>5862</v>
      </c>
      <c r="U1030" s="6" t="str">
        <f t="shared" si="499"/>
        <v>=36.99*100000000</v>
      </c>
      <c r="V1030" s="1">
        <f>36.99*100000000</f>
        <v>3699000000</v>
      </c>
      <c r="W1030" s="8">
        <f t="shared" si="516"/>
        <v>0.47960000000000003</v>
      </c>
      <c r="X1030" s="6" t="s">
        <v>1867</v>
      </c>
      <c r="Y1030" s="6" t="str">
        <f t="shared" si="500"/>
        <v>=25.00*100000000</v>
      </c>
      <c r="Z1030" s="1">
        <f>25*100000000</f>
        <v>2500000000</v>
      </c>
      <c r="AA1030" s="8">
        <f t="shared" si="517"/>
        <v>0.55666251556662538</v>
      </c>
      <c r="AB1030" s="6" t="s">
        <v>8697</v>
      </c>
      <c r="AC1030" s="6" t="str">
        <f t="shared" si="501"/>
        <v>=16.06*100000000</v>
      </c>
      <c r="AD1030" s="1">
        <f>16.06*100000000</f>
        <v>1605999999.9999998</v>
      </c>
      <c r="AE1030" s="8">
        <f t="shared" si="518"/>
        <v>1.1081648726699918</v>
      </c>
      <c r="AF1030" s="6" t="s">
        <v>4163</v>
      </c>
      <c r="AG1030" s="6" t="str">
        <f t="shared" si="502"/>
        <v>=7.618*100000000</v>
      </c>
      <c r="AH1030" s="1">
        <f>7.618*100000000</f>
        <v>761800000</v>
      </c>
      <c r="AI1030" s="8">
        <f t="shared" si="519"/>
        <v>-0.93771054783319707</v>
      </c>
      <c r="AJ1030" s="6" t="s">
        <v>1167</v>
      </c>
      <c r="AK1030" s="6" t="str">
        <f t="shared" si="503"/>
        <v>=122.3*100000000</v>
      </c>
      <c r="AL1030" s="1">
        <f>122.3*100000000</f>
        <v>12230000000</v>
      </c>
      <c r="AM1030" s="8">
        <f t="shared" si="520"/>
        <v>0.41191410759639807</v>
      </c>
      <c r="AN1030" s="6" t="s">
        <v>10897</v>
      </c>
      <c r="AO1030" s="6" t="str">
        <f t="shared" si="504"/>
        <v>=86.62*100000000</v>
      </c>
      <c r="AP1030" s="1">
        <f>86.62*100000000</f>
        <v>8662000000</v>
      </c>
      <c r="AQ1030" s="8">
        <f t="shared" si="521"/>
        <v>0.39260450160771704</v>
      </c>
      <c r="AR1030" s="6" t="s">
        <v>4373</v>
      </c>
      <c r="AS1030" s="6" t="str">
        <f t="shared" si="505"/>
        <v>=62.20*100000000</v>
      </c>
      <c r="AT1030" s="1">
        <f>62.2*100000000</f>
        <v>6220000000</v>
      </c>
      <c r="AU1030" s="8">
        <f t="shared" si="522"/>
        <v>0.83318597111700565</v>
      </c>
      <c r="AV1030" s="6" t="s">
        <v>10898</v>
      </c>
      <c r="AW1030" s="6" t="str">
        <f t="shared" si="506"/>
        <v>=33.93*100000000</v>
      </c>
      <c r="AX1030" s="1">
        <f>33.93*100000000</f>
        <v>3393000000</v>
      </c>
      <c r="AY1030" s="10">
        <f t="shared" si="523"/>
        <v>-0.74118993135011446</v>
      </c>
      <c r="AZ1030" s="6" t="s">
        <v>877</v>
      </c>
      <c r="BA1030" s="6" t="str">
        <f t="shared" si="507"/>
        <v>=131.1*100000000</v>
      </c>
      <c r="BB1030" s="1">
        <f>131.1*100000000</f>
        <v>13110000000</v>
      </c>
      <c r="BC1030" s="8">
        <f t="shared" si="524"/>
        <v>0.44510582010582012</v>
      </c>
      <c r="BD1030" s="6" t="s">
        <v>9086</v>
      </c>
      <c r="BE1030" s="6" t="str">
        <f t="shared" si="508"/>
        <v>=90.72*100000000</v>
      </c>
      <c r="BF1030" s="1">
        <f>90.72*100000000</f>
        <v>9072000000</v>
      </c>
      <c r="BG1030" s="8">
        <f t="shared" si="525"/>
        <v>0.40979020979021002</v>
      </c>
      <c r="BH1030" s="6" t="s">
        <v>10899</v>
      </c>
      <c r="BI1030" s="6" t="str">
        <f t="shared" si="509"/>
        <v>=64.35*100000000</v>
      </c>
      <c r="BJ1030" s="1">
        <f>64.35*100000000</f>
        <v>6434999999.999999</v>
      </c>
      <c r="BK1030" s="6" t="s">
        <v>10900</v>
      </c>
      <c r="BL1030" s="1" t="str">
        <f t="shared" si="511"/>
        <v>=35.70*100000000</v>
      </c>
      <c r="BM1030" s="16">
        <f t="shared" si="526"/>
        <v>0.80252100840336082</v>
      </c>
      <c r="BN1030" s="1">
        <f>35.7*100000000</f>
        <v>3570000000.0000005</v>
      </c>
    </row>
    <row r="1031" spans="1:66">
      <c r="A1031" s="18"/>
      <c r="B1031">
        <v>600828</v>
      </c>
      <c r="C1031" t="s">
        <v>48</v>
      </c>
      <c r="D1031" s="6" t="s">
        <v>10901</v>
      </c>
      <c r="E1031" s="7" t="str">
        <f t="shared" si="510"/>
        <v>=6.139*100000000</v>
      </c>
      <c r="F1031" s="1">
        <f>6.139*100000000</f>
        <v>613900000</v>
      </c>
      <c r="G1031" s="8">
        <f t="shared" si="512"/>
        <v>0.20043019163081735</v>
      </c>
      <c r="H1031" s="6" t="s">
        <v>5169</v>
      </c>
      <c r="I1031" s="6" t="str">
        <f t="shared" si="496"/>
        <v>=5.114*100000000</v>
      </c>
      <c r="J1031" s="1">
        <f>5.114*100000000</f>
        <v>511400000</v>
      </c>
      <c r="K1031" s="10">
        <f t="shared" si="513"/>
        <v>0.16651459854014583</v>
      </c>
      <c r="L1031" s="6" t="s">
        <v>10902</v>
      </c>
      <c r="M1031" s="6" t="str">
        <f t="shared" si="497"/>
        <v>=4.384*100000000</v>
      </c>
      <c r="N1031" s="1">
        <f>4.384*100000000</f>
        <v>438400000.00000006</v>
      </c>
      <c r="O1031" s="8">
        <f t="shared" si="514"/>
        <v>0.55240793201133165</v>
      </c>
      <c r="P1031" s="6" t="s">
        <v>5745</v>
      </c>
      <c r="Q1031" s="6" t="str">
        <f t="shared" si="498"/>
        <v>=2.824*100000000</v>
      </c>
      <c r="R1031" s="11">
        <f>2.824*100000000</f>
        <v>282400000</v>
      </c>
      <c r="S1031" s="8">
        <f t="shared" si="515"/>
        <v>-0.3203369434416366</v>
      </c>
      <c r="T1031" s="6" t="s">
        <v>10903</v>
      </c>
      <c r="U1031" s="6" t="str">
        <f t="shared" si="499"/>
        <v>=4.155*100000000</v>
      </c>
      <c r="V1031" s="1">
        <f>4.155*100000000</f>
        <v>415500000</v>
      </c>
      <c r="W1031" s="8">
        <f t="shared" si="516"/>
        <v>-0.10433283035136882</v>
      </c>
      <c r="X1031" s="6" t="s">
        <v>10904</v>
      </c>
      <c r="Y1031" s="6" t="str">
        <f t="shared" si="500"/>
        <v>=4.639*100000000</v>
      </c>
      <c r="Z1031" s="1">
        <f>4.639*100000000</f>
        <v>463900000</v>
      </c>
      <c r="AA1031" s="8">
        <f t="shared" si="517"/>
        <v>0.35050946142649198</v>
      </c>
      <c r="AB1031" s="6" t="s">
        <v>10905</v>
      </c>
      <c r="AC1031" s="6" t="str">
        <f t="shared" si="501"/>
        <v>=3.435*100000000</v>
      </c>
      <c r="AD1031" s="1">
        <f>3.435*100000000</f>
        <v>343500000</v>
      </c>
      <c r="AE1031" s="8">
        <f t="shared" si="518"/>
        <v>2.0918091809180916</v>
      </c>
      <c r="AF1031" s="6" t="s">
        <v>7916</v>
      </c>
      <c r="AG1031" s="6" t="str">
        <f t="shared" si="502"/>
        <v>=1.111*100000000</v>
      </c>
      <c r="AH1031" s="1">
        <f>1.111*100000000</f>
        <v>111100000</v>
      </c>
      <c r="AI1031" s="8">
        <f t="shared" si="519"/>
        <v>-0.93831204886174346</v>
      </c>
      <c r="AJ1031" s="6" t="s">
        <v>10906</v>
      </c>
      <c r="AK1031" s="6" t="str">
        <f t="shared" si="503"/>
        <v>=18.01*100000000</v>
      </c>
      <c r="AL1031" s="1">
        <f>18.01*100000000</f>
        <v>1801000000.0000002</v>
      </c>
      <c r="AM1031" s="8">
        <f t="shared" si="520"/>
        <v>0.49212924606462322</v>
      </c>
      <c r="AN1031" s="6" t="s">
        <v>1127</v>
      </c>
      <c r="AO1031" s="6" t="str">
        <f t="shared" si="504"/>
        <v>=12.07*100000000</v>
      </c>
      <c r="AP1031" s="1">
        <f>12.07*100000000</f>
        <v>1207000000</v>
      </c>
      <c r="AQ1031" s="8">
        <f t="shared" si="521"/>
        <v>0.37346381429221664</v>
      </c>
      <c r="AR1031" s="6" t="s">
        <v>10907</v>
      </c>
      <c r="AS1031" s="6" t="str">
        <f t="shared" si="505"/>
        <v>=8.788*100000000</v>
      </c>
      <c r="AT1031" s="1">
        <f>8.788*100000000</f>
        <v>878800000</v>
      </c>
      <c r="AU1031" s="8">
        <f t="shared" si="522"/>
        <v>0.82172470978441126</v>
      </c>
      <c r="AV1031" s="6" t="s">
        <v>10908</v>
      </c>
      <c r="AW1031" s="6" t="str">
        <f t="shared" si="506"/>
        <v>=4.824*100000000</v>
      </c>
      <c r="AX1031" s="1">
        <f>4.824*100000000</f>
        <v>482400000</v>
      </c>
      <c r="AY1031" s="10">
        <f t="shared" si="523"/>
        <v>-0.73244592346089854</v>
      </c>
      <c r="AZ1031" s="6" t="s">
        <v>7161</v>
      </c>
      <c r="BA1031" s="6" t="str">
        <f t="shared" si="507"/>
        <v>=18.03*100000000</v>
      </c>
      <c r="BB1031" s="1">
        <f>18.03*100000000</f>
        <v>1803000000</v>
      </c>
      <c r="BC1031" s="8">
        <f t="shared" si="524"/>
        <v>0.60982142857142863</v>
      </c>
      <c r="BD1031" s="6" t="s">
        <v>10909</v>
      </c>
      <c r="BE1031" s="6" t="str">
        <f t="shared" si="508"/>
        <v>=11.20*100000000</v>
      </c>
      <c r="BF1031" s="1">
        <f>11.2*100000000</f>
        <v>1120000000</v>
      </c>
      <c r="BG1031" s="8">
        <f t="shared" si="525"/>
        <v>0.37204459144922208</v>
      </c>
      <c r="BH1031" s="6" t="s">
        <v>9212</v>
      </c>
      <c r="BI1031" s="6" t="str">
        <f t="shared" si="509"/>
        <v>=8.163*100000000</v>
      </c>
      <c r="BJ1031" s="1">
        <f>8.163*100000000</f>
        <v>816300000</v>
      </c>
      <c r="BK1031" s="6" t="s">
        <v>10910</v>
      </c>
      <c r="BL1031" s="1" t="str">
        <f t="shared" si="511"/>
        <v>=4.395*100000000</v>
      </c>
      <c r="BM1031" s="16">
        <f t="shared" si="526"/>
        <v>0.85733788395904464</v>
      </c>
      <c r="BN1031" s="1">
        <f>4.395*100000000</f>
        <v>439499999.99999994</v>
      </c>
    </row>
    <row r="1032" spans="1:66">
      <c r="A1032" s="18"/>
      <c r="B1032">
        <v>600828</v>
      </c>
      <c r="C1032" t="s">
        <v>58</v>
      </c>
      <c r="D1032" s="6" t="s">
        <v>10911</v>
      </c>
      <c r="E1032" s="7" t="str">
        <f t="shared" si="510"/>
        <v>=5.863*100000000</v>
      </c>
      <c r="F1032" s="1">
        <f>5.863*100000000</f>
        <v>586300000</v>
      </c>
      <c r="G1032" s="8">
        <f t="shared" si="512"/>
        <v>0.16468017481128328</v>
      </c>
      <c r="H1032" s="6" t="s">
        <v>10691</v>
      </c>
      <c r="I1032" s="6" t="str">
        <f t="shared" si="496"/>
        <v>=5.034*100000000</v>
      </c>
      <c r="J1032" s="1">
        <f>5.034*100000000</f>
        <v>503400000</v>
      </c>
      <c r="K1032" s="10">
        <f t="shared" si="513"/>
        <v>0.16097785977859763</v>
      </c>
      <c r="L1032" s="6" t="s">
        <v>8300</v>
      </c>
      <c r="M1032" s="6" t="str">
        <f t="shared" si="497"/>
        <v>=4.336*100000000</v>
      </c>
      <c r="N1032" s="1">
        <f>4.336*100000000</f>
        <v>433600000.00000006</v>
      </c>
      <c r="O1032" s="8">
        <f t="shared" si="514"/>
        <v>0.54196301564722638</v>
      </c>
      <c r="P1032" s="6" t="s">
        <v>9251</v>
      </c>
      <c r="Q1032" s="6" t="str">
        <f t="shared" si="498"/>
        <v>=2.812*100000000</v>
      </c>
      <c r="R1032" s="11">
        <f>2.812*100000000</f>
        <v>281200000</v>
      </c>
      <c r="S1032" s="8">
        <f t="shared" si="515"/>
        <v>-7.9541734860883798E-2</v>
      </c>
      <c r="T1032" s="6" t="s">
        <v>10779</v>
      </c>
      <c r="U1032" s="6" t="str">
        <f t="shared" si="499"/>
        <v>=3.055*100000000</v>
      </c>
      <c r="V1032" s="1">
        <f>3.055*100000000</f>
        <v>305500000</v>
      </c>
      <c r="W1032" s="8">
        <f t="shared" si="516"/>
        <v>-0.33326058489742472</v>
      </c>
      <c r="X1032" s="6" t="s">
        <v>10912</v>
      </c>
      <c r="Y1032" s="6" t="str">
        <f t="shared" si="500"/>
        <v>=4.582*100000000</v>
      </c>
      <c r="Z1032" s="1">
        <f>4.582*100000000</f>
        <v>458200000</v>
      </c>
      <c r="AA1032" s="8">
        <f t="shared" si="517"/>
        <v>0.3504273504273504</v>
      </c>
      <c r="AB1032" s="6" t="s">
        <v>10185</v>
      </c>
      <c r="AC1032" s="6" t="str">
        <f t="shared" si="501"/>
        <v>=3.393*100000000</v>
      </c>
      <c r="AD1032" s="1">
        <f>3.393*100000000</f>
        <v>339300000</v>
      </c>
      <c r="AE1032" s="8">
        <f t="shared" si="518"/>
        <v>2.2222222222222223</v>
      </c>
      <c r="AF1032" s="6" t="s">
        <v>10913</v>
      </c>
      <c r="AG1032" s="6" t="str">
        <f t="shared" si="502"/>
        <v>=1.053*100000000</v>
      </c>
      <c r="AH1032" s="1">
        <f>1.053*100000000</f>
        <v>105300000</v>
      </c>
      <c r="AI1032" s="8">
        <f t="shared" si="519"/>
        <v>-0.9410084033613445</v>
      </c>
      <c r="AJ1032" s="6" t="s">
        <v>608</v>
      </c>
      <c r="AK1032" s="6" t="str">
        <f t="shared" si="503"/>
        <v>=17.85*100000000</v>
      </c>
      <c r="AL1032" s="1">
        <f>17.85*100000000</f>
        <v>1785000000.0000002</v>
      </c>
      <c r="AM1032" s="8">
        <f t="shared" si="520"/>
        <v>0.49622799664710832</v>
      </c>
      <c r="AN1032" s="6" t="s">
        <v>2844</v>
      </c>
      <c r="AO1032" s="6" t="str">
        <f t="shared" si="504"/>
        <v>=11.93*100000000</v>
      </c>
      <c r="AP1032" s="1">
        <f>11.93*100000000</f>
        <v>1193000000</v>
      </c>
      <c r="AQ1032" s="8">
        <f t="shared" si="521"/>
        <v>0.37855327016408596</v>
      </c>
      <c r="AR1032" s="6" t="s">
        <v>10914</v>
      </c>
      <c r="AS1032" s="6" t="str">
        <f t="shared" si="505"/>
        <v>=8.654*100000000</v>
      </c>
      <c r="AT1032" s="1">
        <f>8.654*100000000</f>
        <v>865400000</v>
      </c>
      <c r="AU1032" s="8">
        <f t="shared" si="522"/>
        <v>0.8169221079151795</v>
      </c>
      <c r="AV1032" s="6" t="s">
        <v>10915</v>
      </c>
      <c r="AW1032" s="6" t="str">
        <f t="shared" si="506"/>
        <v>=4.763*100000000</v>
      </c>
      <c r="AX1032" s="1">
        <f>4.763*100000000</f>
        <v>476300000</v>
      </c>
      <c r="AY1032" s="10">
        <f t="shared" si="523"/>
        <v>-0.72968217934165724</v>
      </c>
      <c r="AZ1032" s="6" t="s">
        <v>8181</v>
      </c>
      <c r="BA1032" s="6" t="str">
        <f t="shared" si="507"/>
        <v>=17.62*100000000</v>
      </c>
      <c r="BB1032" s="1">
        <f>17.62*100000000</f>
        <v>1762000000</v>
      </c>
      <c r="BC1032" s="8">
        <f t="shared" si="524"/>
        <v>0.58310871518418683</v>
      </c>
      <c r="BD1032" s="6" t="s">
        <v>2419</v>
      </c>
      <c r="BE1032" s="6" t="str">
        <f t="shared" si="508"/>
        <v>=11.13*100000000</v>
      </c>
      <c r="BF1032" s="1">
        <f>11.13*100000000</f>
        <v>1113000000</v>
      </c>
      <c r="BG1032" s="8">
        <f t="shared" si="525"/>
        <v>0.37136520453425331</v>
      </c>
      <c r="BH1032" s="6" t="s">
        <v>10916</v>
      </c>
      <c r="BI1032" s="6" t="str">
        <f t="shared" si="509"/>
        <v>=8.116*100000000</v>
      </c>
      <c r="BJ1032" s="1">
        <f>8.116*100000000</f>
        <v>811600000</v>
      </c>
      <c r="BK1032" s="6" t="s">
        <v>10917</v>
      </c>
      <c r="BL1032" s="1" t="str">
        <f t="shared" si="511"/>
        <v>=4.385*100000000</v>
      </c>
      <c r="BM1032" s="16">
        <f t="shared" si="526"/>
        <v>0.85085518814139116</v>
      </c>
      <c r="BN1032" s="1">
        <f>4.385*100000000</f>
        <v>438500000</v>
      </c>
    </row>
    <row r="1033" spans="1:66">
      <c r="A1033" s="19"/>
      <c r="B1033">
        <v>600828</v>
      </c>
      <c r="C1033" t="s">
        <v>68</v>
      </c>
      <c r="D1033" s="6" t="s">
        <v>9777</v>
      </c>
      <c r="E1033" s="7" t="str">
        <f t="shared" si="510"/>
        <v>=4.192*100000000</v>
      </c>
      <c r="F1033" s="1">
        <f>4.192*100000000</f>
        <v>419200000</v>
      </c>
      <c r="G1033" s="8">
        <f t="shared" si="512"/>
        <v>0.12688172043010754</v>
      </c>
      <c r="H1033" s="6" t="s">
        <v>7936</v>
      </c>
      <c r="I1033" s="6" t="str">
        <f t="shared" si="496"/>
        <v>=3.720*100000000</v>
      </c>
      <c r="J1033" s="1">
        <f>3.72*100000000</f>
        <v>372000000</v>
      </c>
      <c r="K1033" s="10">
        <f t="shared" si="513"/>
        <v>0.13726689085906452</v>
      </c>
      <c r="L1033" s="6" t="s">
        <v>8684</v>
      </c>
      <c r="M1033" s="6" t="str">
        <f t="shared" si="497"/>
        <v>=3.271*100000000</v>
      </c>
      <c r="N1033" s="1">
        <f>3.271*100000000</f>
        <v>327100000</v>
      </c>
      <c r="O1033" s="8">
        <f t="shared" si="514"/>
        <v>0.48411978221415586</v>
      </c>
      <c r="P1033" s="6" t="s">
        <v>10918</v>
      </c>
      <c r="Q1033" s="6" t="str">
        <f t="shared" si="498"/>
        <v>=2.204*100000000</v>
      </c>
      <c r="R1033" s="11">
        <f>2.204*100000000</f>
        <v>220400000.00000003</v>
      </c>
      <c r="S1033" s="8">
        <f t="shared" si="515"/>
        <v>2.9906542056074906E-2</v>
      </c>
      <c r="T1033" s="6" t="s">
        <v>10919</v>
      </c>
      <c r="U1033" s="6" t="str">
        <f t="shared" si="499"/>
        <v>=2.140*100000000</v>
      </c>
      <c r="V1033" s="1">
        <f>2.14*100000000</f>
        <v>214000000</v>
      </c>
      <c r="W1033" s="8">
        <f t="shared" si="516"/>
        <v>-0.36328473668551026</v>
      </c>
      <c r="X1033" s="6" t="s">
        <v>4161</v>
      </c>
      <c r="Y1033" s="6" t="str">
        <f t="shared" si="500"/>
        <v>=3.361*100000000</v>
      </c>
      <c r="Z1033" s="1">
        <f>3.361*100000000</f>
        <v>336100000</v>
      </c>
      <c r="AA1033" s="8">
        <f t="shared" si="517"/>
        <v>0.35142742259750703</v>
      </c>
      <c r="AB1033" s="6" t="s">
        <v>3786</v>
      </c>
      <c r="AC1033" s="6" t="str">
        <f t="shared" si="501"/>
        <v>=2.487*100000000</v>
      </c>
      <c r="AD1033" s="1">
        <f>2.487*100000000</f>
        <v>248700000</v>
      </c>
      <c r="AE1033" s="8">
        <f t="shared" si="518"/>
        <v>2.3832131682764248</v>
      </c>
      <c r="AF1033" s="7" t="s">
        <v>3840</v>
      </c>
      <c r="AG1033" s="6" t="str">
        <f t="shared" si="502"/>
        <v>=7351*10000</v>
      </c>
      <c r="AH1033" s="1">
        <f>7351*10000</f>
        <v>73510000</v>
      </c>
      <c r="AI1033" s="8">
        <f t="shared" si="519"/>
        <v>-0.94738010021474583</v>
      </c>
      <c r="AJ1033" s="6" t="s">
        <v>1329</v>
      </c>
      <c r="AK1033" s="6" t="str">
        <f t="shared" si="503"/>
        <v>=13.97*100000000</v>
      </c>
      <c r="AL1033" s="1">
        <f>13.97*100000000</f>
        <v>1397000000</v>
      </c>
      <c r="AM1033" s="8">
        <f t="shared" si="520"/>
        <v>0.48427539311517193</v>
      </c>
      <c r="AN1033" s="6" t="s">
        <v>10920</v>
      </c>
      <c r="AO1033" s="6" t="str">
        <f t="shared" si="504"/>
        <v>=9.412*100000000</v>
      </c>
      <c r="AP1033" s="1">
        <f>9.412*100000000</f>
        <v>941200000.00000012</v>
      </c>
      <c r="AQ1033" s="8">
        <f t="shared" si="521"/>
        <v>0.3636627064618953</v>
      </c>
      <c r="AR1033" s="6" t="s">
        <v>10921</v>
      </c>
      <c r="AS1033" s="6" t="str">
        <f t="shared" si="505"/>
        <v>=6.902*100000000</v>
      </c>
      <c r="AT1033" s="1">
        <f>6.902*100000000</f>
        <v>690200000</v>
      </c>
      <c r="AU1033" s="8">
        <f t="shared" si="522"/>
        <v>0.87249050461204558</v>
      </c>
      <c r="AV1033" s="6" t="s">
        <v>10922</v>
      </c>
      <c r="AW1033" s="6" t="str">
        <f t="shared" si="506"/>
        <v>=3.686*100000000</v>
      </c>
      <c r="AX1033" s="1">
        <f>3.686*100000000</f>
        <v>368600000</v>
      </c>
      <c r="AY1033" s="10">
        <f t="shared" si="523"/>
        <v>-0.71776416539050536</v>
      </c>
      <c r="AZ1033" s="6" t="s">
        <v>1359</v>
      </c>
      <c r="BA1033" s="6" t="str">
        <f t="shared" si="507"/>
        <v>=13.06*100000000</v>
      </c>
      <c r="BB1033" s="1">
        <f>13.06*100000000</f>
        <v>1306000000</v>
      </c>
      <c r="BC1033" s="8">
        <f t="shared" si="524"/>
        <v>0.5778663767065364</v>
      </c>
      <c r="BD1033" s="6" t="s">
        <v>10923</v>
      </c>
      <c r="BE1033" s="6" t="str">
        <f t="shared" si="508"/>
        <v>=8.277*100000000</v>
      </c>
      <c r="BF1033" s="1">
        <f>8.277*100000000</f>
        <v>827699999.99999988</v>
      </c>
      <c r="BG1033" s="8">
        <f t="shared" si="525"/>
        <v>0.35889016581842043</v>
      </c>
      <c r="BH1033" s="6" t="s">
        <v>10924</v>
      </c>
      <c r="BI1033" s="6" t="str">
        <f t="shared" si="509"/>
        <v>=6.091*100000000</v>
      </c>
      <c r="BJ1033" s="1">
        <f>6.091*100000000</f>
        <v>609100000</v>
      </c>
      <c r="BK1033" s="6" t="s">
        <v>1935</v>
      </c>
      <c r="BL1033" s="1" t="str">
        <f t="shared" si="511"/>
        <v>=3.352*100000000</v>
      </c>
      <c r="BM1033" s="16">
        <f t="shared" si="526"/>
        <v>0.81712410501193322</v>
      </c>
      <c r="BN1033" s="1">
        <f>3.352*100000000</f>
        <v>335200000</v>
      </c>
    </row>
    <row r="1034" spans="1:66">
      <c r="A1034" s="17">
        <v>260</v>
      </c>
      <c r="B1034">
        <v>600829</v>
      </c>
      <c r="C1034" t="s">
        <v>31</v>
      </c>
      <c r="D1034" s="6" t="s">
        <v>10925</v>
      </c>
      <c r="E1034" s="7" t="str">
        <f t="shared" si="510"/>
        <v>=93.15*100000000</v>
      </c>
      <c r="F1034" s="1">
        <f>93.15*100000000</f>
        <v>9315000000</v>
      </c>
      <c r="G1034" s="8">
        <f t="shared" si="512"/>
        <v>0.28731343283582089</v>
      </c>
      <c r="H1034" s="6" t="s">
        <v>10926</v>
      </c>
      <c r="I1034" s="6" t="str">
        <f t="shared" si="496"/>
        <v>=72.36*100000000</v>
      </c>
      <c r="J1034" s="1">
        <f>72.36*100000000</f>
        <v>7236000000</v>
      </c>
      <c r="K1034" s="10">
        <f t="shared" si="513"/>
        <v>0.55145797598627788</v>
      </c>
      <c r="L1034" s="6" t="s">
        <v>10927</v>
      </c>
      <c r="M1034" s="6" t="str">
        <f t="shared" si="497"/>
        <v>=46.64*100000000</v>
      </c>
      <c r="N1034" s="1">
        <f>46.64*100000000</f>
        <v>4664000000</v>
      </c>
      <c r="O1034" s="8">
        <f t="shared" si="514"/>
        <v>1.1572617946345976</v>
      </c>
      <c r="P1034" s="6" t="s">
        <v>1089</v>
      </c>
      <c r="Q1034" s="6" t="str">
        <f t="shared" si="498"/>
        <v>=21.62*100000000</v>
      </c>
      <c r="R1034" s="11">
        <f>21.62*100000000</f>
        <v>2162000000</v>
      </c>
      <c r="S1034" s="8">
        <f t="shared" si="515"/>
        <v>-0.72991880074953153</v>
      </c>
      <c r="T1034" s="6" t="s">
        <v>10928</v>
      </c>
      <c r="U1034" s="6" t="str">
        <f t="shared" si="499"/>
        <v>=80.05*100000000</v>
      </c>
      <c r="V1034" s="1">
        <f>80.05*100000000</f>
        <v>8005000000</v>
      </c>
      <c r="W1034" s="8">
        <f t="shared" si="516"/>
        <v>0.40413962462725839</v>
      </c>
      <c r="X1034" s="6" t="s">
        <v>10198</v>
      </c>
      <c r="Y1034" s="6" t="str">
        <f t="shared" si="500"/>
        <v>=57.01*100000000</v>
      </c>
      <c r="Z1034" s="1">
        <f>57.01*100000000</f>
        <v>5701000000</v>
      </c>
      <c r="AA1034" s="8">
        <f t="shared" si="517"/>
        <v>0.62746217527833281</v>
      </c>
      <c r="AB1034" s="6" t="s">
        <v>10929</v>
      </c>
      <c r="AC1034" s="6" t="str">
        <f t="shared" si="501"/>
        <v>=35.03*100000000</v>
      </c>
      <c r="AD1034" s="1">
        <f>35.03*100000000</f>
        <v>3503000000</v>
      </c>
      <c r="AE1034" s="8">
        <f t="shared" si="518"/>
        <v>0.86926360725720409</v>
      </c>
      <c r="AF1034" s="6" t="s">
        <v>6522</v>
      </c>
      <c r="AG1034" s="6" t="str">
        <f t="shared" si="502"/>
        <v>=18.74*100000000</v>
      </c>
      <c r="AH1034" s="1">
        <f>18.74*100000000</f>
        <v>1873999999.9999998</v>
      </c>
      <c r="AI1034" s="8">
        <f t="shared" si="519"/>
        <v>-0.77567632271965525</v>
      </c>
      <c r="AJ1034" s="6" t="s">
        <v>10670</v>
      </c>
      <c r="AK1034" s="6" t="str">
        <f t="shared" si="503"/>
        <v>=83.54*100000000</v>
      </c>
      <c r="AL1034" s="1">
        <f>83.54*100000000</f>
        <v>8354000000.000001</v>
      </c>
      <c r="AM1034" s="8">
        <f t="shared" si="520"/>
        <v>0.3522175461314343</v>
      </c>
      <c r="AN1034" s="6" t="s">
        <v>10930</v>
      </c>
      <c r="AO1034" s="6" t="str">
        <f t="shared" si="504"/>
        <v>=61.78*100000000</v>
      </c>
      <c r="AP1034" s="1">
        <f>61.78*100000000</f>
        <v>6178000000</v>
      </c>
      <c r="AQ1034" s="8">
        <f t="shared" si="521"/>
        <v>0.56921513843027705</v>
      </c>
      <c r="AR1034" s="6" t="s">
        <v>10931</v>
      </c>
      <c r="AS1034" s="6" t="str">
        <f t="shared" si="505"/>
        <v>=39.37*100000000</v>
      </c>
      <c r="AT1034" s="1">
        <f>39.37*100000000</f>
        <v>3936999999.9999995</v>
      </c>
      <c r="AU1034" s="8">
        <f t="shared" si="522"/>
        <v>1.0035623409669212</v>
      </c>
      <c r="AV1034" s="6" t="s">
        <v>1527</v>
      </c>
      <c r="AW1034" s="6" t="str">
        <f t="shared" si="506"/>
        <v>=19.65*100000000</v>
      </c>
      <c r="AX1034" s="1">
        <f>19.65*100000000</f>
        <v>1964999999.9999998</v>
      </c>
      <c r="AY1034" s="10">
        <f t="shared" si="523"/>
        <v>-0.7214741318214033</v>
      </c>
      <c r="AZ1034" s="6" t="s">
        <v>10932</v>
      </c>
      <c r="BA1034" s="6" t="str">
        <f t="shared" si="507"/>
        <v>=70.55*100000000</v>
      </c>
      <c r="BB1034" s="1">
        <f>70.55*100000000</f>
        <v>7055000000</v>
      </c>
      <c r="BC1034" s="8">
        <f t="shared" si="524"/>
        <v>0.31967826412270856</v>
      </c>
      <c r="BD1034" s="6" t="s">
        <v>10933</v>
      </c>
      <c r="BE1034" s="6" t="str">
        <f t="shared" si="508"/>
        <v>=53.46*100000000</v>
      </c>
      <c r="BF1034" s="1">
        <f>53.46*100000000</f>
        <v>5346000000</v>
      </c>
      <c r="BG1034" s="8">
        <f t="shared" si="525"/>
        <v>0.54642753832803004</v>
      </c>
      <c r="BH1034" s="6" t="s">
        <v>8638</v>
      </c>
      <c r="BI1034" s="6" t="str">
        <f t="shared" si="509"/>
        <v>=34.57*100000000</v>
      </c>
      <c r="BJ1034" s="1">
        <f>34.57*100000000</f>
        <v>3457000000</v>
      </c>
      <c r="BK1034" s="6" t="s">
        <v>6109</v>
      </c>
      <c r="BL1034" s="1" t="str">
        <f t="shared" si="511"/>
        <v>=17.06*100000000</v>
      </c>
      <c r="BM1034" s="16">
        <f t="shared" si="526"/>
        <v>1.0263774912075032</v>
      </c>
      <c r="BN1034" s="1">
        <f>17.06*100000000</f>
        <v>1705999999.9999998</v>
      </c>
    </row>
    <row r="1035" spans="1:66">
      <c r="A1035" s="18"/>
      <c r="B1035">
        <v>600829</v>
      </c>
      <c r="C1035" t="s">
        <v>48</v>
      </c>
      <c r="D1035" s="6" t="s">
        <v>10934</v>
      </c>
      <c r="E1035" s="7" t="str">
        <f t="shared" si="510"/>
        <v>=3.606*100000000</v>
      </c>
      <c r="F1035" s="1">
        <f>3.606*100000000</f>
        <v>360600000</v>
      </c>
      <c r="G1035" s="8">
        <f t="shared" si="512"/>
        <v>0.17843137254901961</v>
      </c>
      <c r="H1035" s="6" t="s">
        <v>10935</v>
      </c>
      <c r="I1035" s="6" t="str">
        <f t="shared" si="496"/>
        <v>=3.060*100000000</v>
      </c>
      <c r="J1035" s="1">
        <f>3.06*100000000</f>
        <v>306000000</v>
      </c>
      <c r="K1035" s="10">
        <f t="shared" si="513"/>
        <v>0.7075892857142857</v>
      </c>
      <c r="L1035" s="6" t="s">
        <v>10936</v>
      </c>
      <c r="M1035" s="6" t="str">
        <f t="shared" si="497"/>
        <v>=1.792*100000000</v>
      </c>
      <c r="N1035" s="1">
        <f>1.792*100000000</f>
        <v>179200000</v>
      </c>
      <c r="O1035" s="8">
        <f t="shared" si="514"/>
        <v>2.2587743226041099</v>
      </c>
      <c r="P1035" s="7" t="s">
        <v>10937</v>
      </c>
      <c r="Q1035" s="6" t="str">
        <f t="shared" si="498"/>
        <v>=5499*10000</v>
      </c>
      <c r="R1035" s="11">
        <f>5499*10000</f>
        <v>54990000</v>
      </c>
      <c r="S1035" s="8">
        <f t="shared" si="515"/>
        <v>-0.75015901862789636</v>
      </c>
      <c r="T1035" s="6" t="s">
        <v>10938</v>
      </c>
      <c r="U1035" s="6" t="str">
        <f t="shared" si="499"/>
        <v>=2.201*100000000</v>
      </c>
      <c r="V1035" s="1">
        <f>2.201*100000000</f>
        <v>220100000</v>
      </c>
      <c r="W1035" s="8">
        <f t="shared" si="516"/>
        <v>0.15175300889586604</v>
      </c>
      <c r="X1035" s="6" t="s">
        <v>10939</v>
      </c>
      <c r="Y1035" s="6" t="str">
        <f t="shared" si="500"/>
        <v>=1.911*100000000</v>
      </c>
      <c r="Z1035" s="1">
        <f>1.911*100000000</f>
        <v>191100000</v>
      </c>
      <c r="AA1035" s="8">
        <f t="shared" si="517"/>
        <v>0.72941176470588232</v>
      </c>
      <c r="AB1035" s="6" t="s">
        <v>6548</v>
      </c>
      <c r="AC1035" s="6" t="str">
        <f t="shared" si="501"/>
        <v>=1.105*100000000</v>
      </c>
      <c r="AD1035" s="1">
        <f>1.105*100000000</f>
        <v>110500000</v>
      </c>
      <c r="AE1035" s="8">
        <f t="shared" si="518"/>
        <v>0.70709099335702152</v>
      </c>
      <c r="AF1035" s="7" t="s">
        <v>10940</v>
      </c>
      <c r="AG1035" s="6" t="str">
        <f t="shared" si="502"/>
        <v>=6473*10000</v>
      </c>
      <c r="AH1035" s="1">
        <f>6473*10000</f>
        <v>64730000</v>
      </c>
      <c r="AI1035" s="8">
        <f t="shared" si="519"/>
        <v>-0.82202364586197418</v>
      </c>
      <c r="AJ1035" s="6" t="s">
        <v>1471</v>
      </c>
      <c r="AK1035" s="6" t="str">
        <f t="shared" si="503"/>
        <v>=3.637*100000000</v>
      </c>
      <c r="AL1035" s="1">
        <f>3.637*100000000</f>
        <v>363700000</v>
      </c>
      <c r="AM1035" s="8">
        <f t="shared" si="520"/>
        <v>0.29753835176596505</v>
      </c>
      <c r="AN1035" s="6" t="s">
        <v>10941</v>
      </c>
      <c r="AO1035" s="6" t="str">
        <f t="shared" si="504"/>
        <v>=2.803*100000000</v>
      </c>
      <c r="AP1035" s="1">
        <f>2.803*100000000</f>
        <v>280300000</v>
      </c>
      <c r="AQ1035" s="8">
        <f t="shared" si="521"/>
        <v>0.47915567282321897</v>
      </c>
      <c r="AR1035" s="6" t="s">
        <v>10942</v>
      </c>
      <c r="AS1035" s="6" t="str">
        <f t="shared" si="505"/>
        <v>=1.895*100000000</v>
      </c>
      <c r="AT1035" s="1">
        <f>1.895*100000000</f>
        <v>189500000</v>
      </c>
      <c r="AU1035" s="8">
        <f t="shared" si="522"/>
        <v>0.93288453692370465</v>
      </c>
      <c r="AV1035" s="7" t="s">
        <v>10943</v>
      </c>
      <c r="AW1035" s="6" t="str">
        <f t="shared" si="506"/>
        <v>=9804*10000</v>
      </c>
      <c r="AX1035" s="1">
        <f>9804*10000</f>
        <v>98040000</v>
      </c>
      <c r="AY1035" s="10">
        <f t="shared" si="523"/>
        <v>-0.71980565875964564</v>
      </c>
      <c r="AZ1035" s="6" t="s">
        <v>5201</v>
      </c>
      <c r="BA1035" s="6" t="str">
        <f t="shared" si="507"/>
        <v>=3.499*100000000</v>
      </c>
      <c r="BB1035" s="1">
        <f>3.499*100000000</f>
        <v>349900000</v>
      </c>
      <c r="BC1035" s="8">
        <f t="shared" si="524"/>
        <v>0.28545187362233654</v>
      </c>
      <c r="BD1035" s="6" t="s">
        <v>5676</v>
      </c>
      <c r="BE1035" s="6" t="str">
        <f t="shared" si="508"/>
        <v>=2.722*100000000</v>
      </c>
      <c r="BF1035" s="1">
        <f>2.722*100000000</f>
        <v>272200000</v>
      </c>
      <c r="BG1035" s="8">
        <f t="shared" si="525"/>
        <v>0.52322327923894796</v>
      </c>
      <c r="BH1035" s="6" t="s">
        <v>6036</v>
      </c>
      <c r="BI1035" s="6" t="str">
        <f t="shared" si="509"/>
        <v>=1.787*100000000</v>
      </c>
      <c r="BJ1035" s="1">
        <f>1.787*100000000</f>
        <v>178700000</v>
      </c>
      <c r="BK1035" s="7" t="s">
        <v>10944</v>
      </c>
      <c r="BL1035" s="1" t="str">
        <f t="shared" si="511"/>
        <v>=9591*10000</v>
      </c>
      <c r="BM1035" s="16">
        <f t="shared" si="526"/>
        <v>0.86320508810343033</v>
      </c>
      <c r="BN1035" s="1">
        <f>9591*10000</f>
        <v>95910000</v>
      </c>
    </row>
    <row r="1036" spans="1:66">
      <c r="A1036" s="18"/>
      <c r="B1036">
        <v>600829</v>
      </c>
      <c r="C1036" t="s">
        <v>58</v>
      </c>
      <c r="D1036" s="6" t="s">
        <v>1921</v>
      </c>
      <c r="E1036" s="7" t="str">
        <f t="shared" si="510"/>
        <v>=3.586*100000000</v>
      </c>
      <c r="F1036" s="1">
        <f>3.586*100000000</f>
        <v>358600000</v>
      </c>
      <c r="G1036" s="8">
        <f t="shared" si="512"/>
        <v>0.16922073687642647</v>
      </c>
      <c r="H1036" s="6" t="s">
        <v>9519</v>
      </c>
      <c r="I1036" s="6" t="str">
        <f t="shared" si="496"/>
        <v>=3.067*100000000</v>
      </c>
      <c r="J1036" s="1">
        <f>3.067*100000000</f>
        <v>306700000</v>
      </c>
      <c r="K1036" s="10">
        <f t="shared" si="513"/>
        <v>0.71436556735606482</v>
      </c>
      <c r="L1036" s="6" t="s">
        <v>10945</v>
      </c>
      <c r="M1036" s="6" t="str">
        <f t="shared" si="497"/>
        <v>=1.789*100000000</v>
      </c>
      <c r="N1036" s="1">
        <f>1.789*100000000</f>
        <v>178900000</v>
      </c>
      <c r="O1036" s="8">
        <f t="shared" si="514"/>
        <v>2.2521359752772225</v>
      </c>
      <c r="P1036" s="7" t="s">
        <v>3752</v>
      </c>
      <c r="Q1036" s="6" t="str">
        <f t="shared" si="498"/>
        <v>=5501*10000</v>
      </c>
      <c r="R1036" s="11">
        <f>5501*10000</f>
        <v>55010000</v>
      </c>
      <c r="S1036" s="8">
        <f t="shared" si="515"/>
        <v>-0.74961310878470644</v>
      </c>
      <c r="T1036" s="6" t="s">
        <v>8168</v>
      </c>
      <c r="U1036" s="6" t="str">
        <f t="shared" si="499"/>
        <v>=2.197*100000000</v>
      </c>
      <c r="V1036" s="1">
        <f>2.197*100000000</f>
        <v>219700000</v>
      </c>
      <c r="W1036" s="8">
        <f t="shared" si="516"/>
        <v>0.14965986394557823</v>
      </c>
      <c r="X1036" s="6" t="s">
        <v>10939</v>
      </c>
      <c r="Y1036" s="6" t="str">
        <f t="shared" si="500"/>
        <v>=1.911*100000000</v>
      </c>
      <c r="Z1036" s="1">
        <f>1.911*100000000</f>
        <v>191100000</v>
      </c>
      <c r="AA1036" s="8">
        <f t="shared" si="517"/>
        <v>0.72941176470588232</v>
      </c>
      <c r="AB1036" s="6" t="s">
        <v>6548</v>
      </c>
      <c r="AC1036" s="6" t="str">
        <f t="shared" si="501"/>
        <v>=1.105*100000000</v>
      </c>
      <c r="AD1036" s="1">
        <f>1.105*100000000</f>
        <v>110500000</v>
      </c>
      <c r="AE1036" s="8">
        <f t="shared" si="518"/>
        <v>0.70709099335702152</v>
      </c>
      <c r="AF1036" s="7" t="s">
        <v>10940</v>
      </c>
      <c r="AG1036" s="6" t="str">
        <f t="shared" si="502"/>
        <v>=6473*10000</v>
      </c>
      <c r="AH1036" s="1">
        <f>6473*10000</f>
        <v>64730000</v>
      </c>
      <c r="AI1036" s="8">
        <f t="shared" si="519"/>
        <v>-0.82084140603376698</v>
      </c>
      <c r="AJ1036" s="6" t="s">
        <v>10946</v>
      </c>
      <c r="AK1036" s="6" t="str">
        <f t="shared" si="503"/>
        <v>=3.613*100000000</v>
      </c>
      <c r="AL1036" s="1">
        <f>3.613*100000000</f>
        <v>361300000</v>
      </c>
      <c r="AM1036" s="8">
        <f t="shared" si="520"/>
        <v>0.30010795250089961</v>
      </c>
      <c r="AN1036" s="6" t="s">
        <v>6172</v>
      </c>
      <c r="AO1036" s="6" t="str">
        <f t="shared" si="504"/>
        <v>=2.779*100000000</v>
      </c>
      <c r="AP1036" s="1">
        <f>2.779*100000000</f>
        <v>277900000</v>
      </c>
      <c r="AQ1036" s="8">
        <f t="shared" si="521"/>
        <v>0.48530197755211119</v>
      </c>
      <c r="AR1036" s="6" t="s">
        <v>10874</v>
      </c>
      <c r="AS1036" s="6" t="str">
        <f t="shared" si="505"/>
        <v>=1.871*100000000</v>
      </c>
      <c r="AT1036" s="1">
        <f>1.871*100000000</f>
        <v>187100000</v>
      </c>
      <c r="AU1036" s="8">
        <f t="shared" si="522"/>
        <v>0.90859940834438435</v>
      </c>
      <c r="AV1036" s="7" t="s">
        <v>10947</v>
      </c>
      <c r="AW1036" s="6" t="str">
        <f t="shared" si="506"/>
        <v>=9803*10000</v>
      </c>
      <c r="AX1036" s="1">
        <f>9803*10000</f>
        <v>98030000</v>
      </c>
      <c r="AY1036" s="10">
        <f t="shared" si="523"/>
        <v>-0.71643043100954584</v>
      </c>
      <c r="AZ1036" s="6" t="s">
        <v>7761</v>
      </c>
      <c r="BA1036" s="6" t="str">
        <f t="shared" si="507"/>
        <v>=3.457*100000000</v>
      </c>
      <c r="BB1036" s="1">
        <f>3.457*100000000</f>
        <v>345700000</v>
      </c>
      <c r="BC1036" s="8">
        <f t="shared" si="524"/>
        <v>0.27611664820967147</v>
      </c>
      <c r="BD1036" s="6" t="s">
        <v>5303</v>
      </c>
      <c r="BE1036" s="6" t="str">
        <f t="shared" si="508"/>
        <v>=2.709*100000000</v>
      </c>
      <c r="BF1036" s="1">
        <f>2.709*100000000</f>
        <v>270900000</v>
      </c>
      <c r="BG1036" s="8">
        <f t="shared" si="525"/>
        <v>0.49585864163445609</v>
      </c>
      <c r="BH1036" s="6" t="s">
        <v>4454</v>
      </c>
      <c r="BI1036" s="6" t="str">
        <f t="shared" si="509"/>
        <v>=1.811*100000000</v>
      </c>
      <c r="BJ1036" s="1">
        <f>1.811*100000000</f>
        <v>181100000</v>
      </c>
      <c r="BK1036" s="7" t="s">
        <v>10948</v>
      </c>
      <c r="BL1036" s="1" t="str">
        <f t="shared" si="511"/>
        <v>=9465*10000</v>
      </c>
      <c r="BM1036" s="16">
        <f t="shared" si="526"/>
        <v>0.91336502905441097</v>
      </c>
      <c r="BN1036" s="1">
        <f>9465*10000</f>
        <v>94650000</v>
      </c>
    </row>
    <row r="1037" spans="1:66">
      <c r="A1037" s="19"/>
      <c r="B1037">
        <v>600829</v>
      </c>
      <c r="C1037" t="s">
        <v>68</v>
      </c>
      <c r="D1037" s="6" t="s">
        <v>7778</v>
      </c>
      <c r="E1037" s="7" t="str">
        <f t="shared" si="510"/>
        <v>=2.765*100000000</v>
      </c>
      <c r="F1037" s="1">
        <f>2.765*100000000</f>
        <v>276500000</v>
      </c>
      <c r="G1037" s="8">
        <f t="shared" si="512"/>
        <v>0.18162393162393162</v>
      </c>
      <c r="H1037" s="6" t="s">
        <v>5435</v>
      </c>
      <c r="I1037" s="6" t="str">
        <f t="shared" si="496"/>
        <v>=2.340*100000000</v>
      </c>
      <c r="J1037" s="1">
        <f>2.34*100000000</f>
        <v>234000000</v>
      </c>
      <c r="K1037" s="10">
        <f t="shared" si="513"/>
        <v>0.71932402645113891</v>
      </c>
      <c r="L1037" s="6" t="s">
        <v>10949</v>
      </c>
      <c r="M1037" s="6" t="str">
        <f t="shared" si="497"/>
        <v>=1.361*100000000</v>
      </c>
      <c r="N1037" s="1">
        <f>1.361*100000000</f>
        <v>136100000</v>
      </c>
      <c r="O1037" s="8">
        <f t="shared" si="514"/>
        <v>2.4153074027603512</v>
      </c>
      <c r="P1037" s="7" t="s">
        <v>7249</v>
      </c>
      <c r="Q1037" s="6" t="str">
        <f t="shared" si="498"/>
        <v>=3985*10000</v>
      </c>
      <c r="R1037" s="11">
        <f>3985*10000</f>
        <v>39850000</v>
      </c>
      <c r="S1037" s="8">
        <f t="shared" si="515"/>
        <v>-0.72517241379310349</v>
      </c>
      <c r="T1037" s="6" t="s">
        <v>2178</v>
      </c>
      <c r="U1037" s="6" t="str">
        <f t="shared" si="499"/>
        <v>=1.450*100000000</v>
      </c>
      <c r="V1037" s="1">
        <f>1.45*100000000</f>
        <v>145000000</v>
      </c>
      <c r="W1037" s="8">
        <f t="shared" si="516"/>
        <v>3.0561478322672354E-2</v>
      </c>
      <c r="X1037" s="6" t="s">
        <v>2210</v>
      </c>
      <c r="Y1037" s="6" t="str">
        <f t="shared" si="500"/>
        <v>=1.407*100000000</v>
      </c>
      <c r="Z1037" s="1">
        <f>1.407*100000000</f>
        <v>140700000</v>
      </c>
      <c r="AA1037" s="8">
        <f t="shared" si="517"/>
        <v>0.74457532548047112</v>
      </c>
      <c r="AB1037" s="7" t="s">
        <v>10950</v>
      </c>
      <c r="AC1037" s="6" t="str">
        <f t="shared" si="501"/>
        <v>=8065*10000</v>
      </c>
      <c r="AD1037" s="1">
        <f>8065*10000</f>
        <v>80650000</v>
      </c>
      <c r="AE1037" s="8">
        <f t="shared" si="518"/>
        <v>0.67011803686063365</v>
      </c>
      <c r="AF1037" s="7" t="s">
        <v>10951</v>
      </c>
      <c r="AG1037" s="6" t="str">
        <f t="shared" si="502"/>
        <v>=4829*10000</v>
      </c>
      <c r="AH1037" s="1">
        <f>4829*10000</f>
        <v>48290000</v>
      </c>
      <c r="AI1037" s="8">
        <f t="shared" si="519"/>
        <v>-0.8193415637860082</v>
      </c>
      <c r="AJ1037" s="6" t="s">
        <v>10952</v>
      </c>
      <c r="AK1037" s="6" t="str">
        <f t="shared" si="503"/>
        <v>=2.673*100000000</v>
      </c>
      <c r="AL1037" s="1">
        <f>2.673*100000000</f>
        <v>267300000</v>
      </c>
      <c r="AM1037" s="8">
        <f t="shared" si="520"/>
        <v>0.27650429799426934</v>
      </c>
      <c r="AN1037" s="6" t="s">
        <v>10953</v>
      </c>
      <c r="AO1037" s="6" t="str">
        <f t="shared" si="504"/>
        <v>=2.094*100000000</v>
      </c>
      <c r="AP1037" s="1">
        <f>2.094*100000000</f>
        <v>209400000</v>
      </c>
      <c r="AQ1037" s="8">
        <f t="shared" si="521"/>
        <v>0.49039145907473308</v>
      </c>
      <c r="AR1037" s="6" t="s">
        <v>8699</v>
      </c>
      <c r="AS1037" s="6" t="str">
        <f t="shared" si="505"/>
        <v>=1.405*100000000</v>
      </c>
      <c r="AT1037" s="1">
        <f>1.405*100000000</f>
        <v>140500000</v>
      </c>
      <c r="AU1037" s="8">
        <f t="shared" si="522"/>
        <v>0.91130458441028428</v>
      </c>
      <c r="AV1037" s="7" t="s">
        <v>3840</v>
      </c>
      <c r="AW1037" s="6" t="str">
        <f t="shared" si="506"/>
        <v>=7351*10000</v>
      </c>
      <c r="AX1037" s="1">
        <f>7351*10000</f>
        <v>73510000</v>
      </c>
      <c r="AY1037" s="10">
        <f t="shared" si="523"/>
        <v>-0.71496704148894918</v>
      </c>
      <c r="AZ1037" s="6" t="s">
        <v>10954</v>
      </c>
      <c r="BA1037" s="6" t="str">
        <f t="shared" si="507"/>
        <v>=2.579*100000000</v>
      </c>
      <c r="BB1037" s="1">
        <f>2.579*100000000</f>
        <v>257900000.00000003</v>
      </c>
      <c r="BC1037" s="8">
        <f t="shared" si="524"/>
        <v>0.27673267326732687</v>
      </c>
      <c r="BD1037" s="6" t="s">
        <v>5930</v>
      </c>
      <c r="BE1037" s="6" t="str">
        <f t="shared" si="508"/>
        <v>=2.020*100000000</v>
      </c>
      <c r="BF1037" s="1">
        <f>2.02*100000000</f>
        <v>202000000</v>
      </c>
      <c r="BG1037" s="8">
        <f t="shared" si="525"/>
        <v>0.50521609538002965</v>
      </c>
      <c r="BH1037" s="6" t="s">
        <v>4381</v>
      </c>
      <c r="BI1037" s="6" t="str">
        <f t="shared" si="509"/>
        <v>=1.342*100000000</v>
      </c>
      <c r="BJ1037" s="1">
        <f>1.342*100000000</f>
        <v>134200000.00000001</v>
      </c>
      <c r="BK1037" s="7" t="s">
        <v>10955</v>
      </c>
      <c r="BL1037" s="1" t="str">
        <f t="shared" si="511"/>
        <v>=6950*10000</v>
      </c>
      <c r="BM1037" s="16">
        <f t="shared" si="526"/>
        <v>0.9309352517985614</v>
      </c>
      <c r="BN1037" s="1">
        <f>6950*10000</f>
        <v>69500000</v>
      </c>
    </row>
    <row r="1038" spans="1:66">
      <c r="A1038" s="17">
        <v>261</v>
      </c>
      <c r="B1038">
        <v>600830</v>
      </c>
      <c r="C1038" t="s">
        <v>31</v>
      </c>
      <c r="D1038" s="6" t="s">
        <v>7271</v>
      </c>
      <c r="E1038" s="7" t="str">
        <f t="shared" si="510"/>
        <v>=1.611*100000000</v>
      </c>
      <c r="F1038" s="1">
        <f>1.611*100000000</f>
        <v>161100000</v>
      </c>
      <c r="G1038" s="8">
        <f t="shared" si="512"/>
        <v>0.33250620347394527</v>
      </c>
      <c r="H1038" s="6" t="s">
        <v>10956</v>
      </c>
      <c r="I1038" s="6" t="str">
        <f t="shared" si="496"/>
        <v>=1.209*100000000</v>
      </c>
      <c r="J1038" s="1">
        <f>1.209*100000000</f>
        <v>120900000.00000001</v>
      </c>
      <c r="K1038" s="10">
        <f t="shared" si="513"/>
        <v>0.48983364140480612</v>
      </c>
      <c r="L1038" s="7" t="s">
        <v>10957</v>
      </c>
      <c r="M1038" s="6" t="str">
        <f t="shared" si="497"/>
        <v>=8115*10000</v>
      </c>
      <c r="N1038" s="1">
        <f>8115*10000</f>
        <v>81150000</v>
      </c>
      <c r="O1038" s="8">
        <f t="shared" si="514"/>
        <v>1.4391343552750226</v>
      </c>
      <c r="P1038" s="7" t="s">
        <v>10958</v>
      </c>
      <c r="Q1038" s="6" t="str">
        <f t="shared" si="498"/>
        <v>=3327*10000</v>
      </c>
      <c r="R1038" s="11">
        <f>3327*10000</f>
        <v>33270000</v>
      </c>
      <c r="S1038" s="8">
        <f t="shared" si="515"/>
        <v>-0.61146794347775313</v>
      </c>
      <c r="T1038" s="7" t="s">
        <v>10959</v>
      </c>
      <c r="U1038" s="6" t="str">
        <f t="shared" si="499"/>
        <v>=8563*10000</v>
      </c>
      <c r="V1038" s="1">
        <f>8563*10000</f>
        <v>85630000</v>
      </c>
      <c r="W1038" s="8">
        <f t="shared" si="516"/>
        <v>0.37008000000000002</v>
      </c>
      <c r="X1038" s="7" t="s">
        <v>10960</v>
      </c>
      <c r="Y1038" s="6" t="str">
        <f t="shared" si="500"/>
        <v>=6250*10000</v>
      </c>
      <c r="Z1038" s="1">
        <f>6250*10000</f>
        <v>62500000</v>
      </c>
      <c r="AA1038" s="8">
        <f t="shared" si="517"/>
        <v>0.6828217555196554</v>
      </c>
      <c r="AB1038" s="7" t="s">
        <v>10961</v>
      </c>
      <c r="AC1038" s="6" t="str">
        <f t="shared" si="501"/>
        <v>=3714*10000</v>
      </c>
      <c r="AD1038" s="1">
        <f>3714*10000</f>
        <v>37140000</v>
      </c>
      <c r="AE1038" s="8">
        <f t="shared" si="518"/>
        <v>0.79941860465116277</v>
      </c>
      <c r="AF1038" s="7" t="s">
        <v>10962</v>
      </c>
      <c r="AG1038" s="6" t="str">
        <f t="shared" si="502"/>
        <v>=2064*10000</v>
      </c>
      <c r="AH1038" s="1">
        <f>2064*10000</f>
        <v>20640000</v>
      </c>
      <c r="AI1038" s="8">
        <f t="shared" si="519"/>
        <v>-0.92960436562073667</v>
      </c>
      <c r="AJ1038" s="6" t="s">
        <v>10963</v>
      </c>
      <c r="AK1038" s="6" t="str">
        <f t="shared" si="503"/>
        <v>=2.932*100000000</v>
      </c>
      <c r="AL1038" s="1">
        <f>2.932*100000000</f>
        <v>293200000</v>
      </c>
      <c r="AM1038" s="8">
        <f t="shared" si="520"/>
        <v>0.34804597701149442</v>
      </c>
      <c r="AN1038" s="6" t="s">
        <v>6602</v>
      </c>
      <c r="AO1038" s="6" t="str">
        <f t="shared" si="504"/>
        <v>=2.175*100000000</v>
      </c>
      <c r="AP1038" s="1">
        <f>2.175*100000000</f>
        <v>217499999.99999997</v>
      </c>
      <c r="AQ1038" s="8">
        <f t="shared" si="521"/>
        <v>0.26160092807424579</v>
      </c>
      <c r="AR1038" s="6" t="s">
        <v>5030</v>
      </c>
      <c r="AS1038" s="6" t="str">
        <f t="shared" si="505"/>
        <v>=1.724*100000000</v>
      </c>
      <c r="AT1038" s="1">
        <f>1.724*100000000</f>
        <v>172400000</v>
      </c>
      <c r="AU1038" s="8">
        <f t="shared" si="522"/>
        <v>0.930787322208534</v>
      </c>
      <c r="AV1038" s="7" t="s">
        <v>10964</v>
      </c>
      <c r="AW1038" s="6" t="str">
        <f t="shared" si="506"/>
        <v>=8929*10000</v>
      </c>
      <c r="AX1038" s="1">
        <f>8929*10000</f>
        <v>89290000</v>
      </c>
      <c r="AY1038" s="10">
        <f t="shared" si="523"/>
        <v>-0.87267930985312991</v>
      </c>
      <c r="AZ1038" s="6" t="s">
        <v>10965</v>
      </c>
      <c r="BA1038" s="6" t="str">
        <f t="shared" si="507"/>
        <v>=7.013*100000000</v>
      </c>
      <c r="BB1038" s="1">
        <f>7.013*100000000</f>
        <v>701300000</v>
      </c>
      <c r="BC1038" s="8">
        <f t="shared" si="524"/>
        <v>0.14292698826597131</v>
      </c>
      <c r="BD1038" s="6" t="s">
        <v>10966</v>
      </c>
      <c r="BE1038" s="6" t="str">
        <f t="shared" si="508"/>
        <v>=6.136*100000000</v>
      </c>
      <c r="BF1038" s="1">
        <f>6.136*100000000</f>
        <v>613600000</v>
      </c>
      <c r="BG1038" s="8">
        <f t="shared" si="525"/>
        <v>0.39391185824625169</v>
      </c>
      <c r="BH1038" s="6" t="s">
        <v>10967</v>
      </c>
      <c r="BI1038" s="6" t="str">
        <f t="shared" si="509"/>
        <v>=4.402*100000000</v>
      </c>
      <c r="BJ1038" s="1">
        <f>4.402*100000000</f>
        <v>440200000</v>
      </c>
      <c r="BK1038" s="6" t="s">
        <v>10968</v>
      </c>
      <c r="BL1038" s="1" t="str">
        <f t="shared" si="511"/>
        <v>=2.037*100000000</v>
      </c>
      <c r="BM1038" s="16">
        <f t="shared" si="526"/>
        <v>1.1610211094747178</v>
      </c>
      <c r="BN1038" s="1">
        <f>2.037*100000000</f>
        <v>203700000</v>
      </c>
    </row>
    <row r="1039" spans="1:66">
      <c r="A1039" s="18"/>
      <c r="B1039">
        <v>600830</v>
      </c>
      <c r="C1039" t="s">
        <v>48</v>
      </c>
      <c r="D1039" s="7" t="s">
        <v>10969</v>
      </c>
      <c r="E1039" s="7" t="str">
        <f t="shared" si="510"/>
        <v>=8389*10000</v>
      </c>
      <c r="F1039" s="1">
        <f>8389*10000</f>
        <v>83890000</v>
      </c>
      <c r="G1039" s="8">
        <f t="shared" si="512"/>
        <v>3.9529120198265183E-2</v>
      </c>
      <c r="H1039" s="7" t="s">
        <v>10970</v>
      </c>
      <c r="I1039" s="6" t="str">
        <f t="shared" si="496"/>
        <v>=8070*10000</v>
      </c>
      <c r="J1039" s="1">
        <f>8070*10000</f>
        <v>80700000</v>
      </c>
      <c r="K1039" s="10">
        <f t="shared" si="513"/>
        <v>0.93247126436781613</v>
      </c>
      <c r="L1039" s="7" t="s">
        <v>10971</v>
      </c>
      <c r="M1039" s="6" t="str">
        <f t="shared" si="497"/>
        <v>=4176*10000</v>
      </c>
      <c r="N1039" s="1">
        <f>4176*10000</f>
        <v>41760000</v>
      </c>
      <c r="O1039" s="8">
        <f t="shared" si="514"/>
        <v>-1.3931523022432113E-2</v>
      </c>
      <c r="P1039" s="7" t="s">
        <v>10972</v>
      </c>
      <c r="Q1039" s="6" t="str">
        <f t="shared" si="498"/>
        <v>=4235*10000</v>
      </c>
      <c r="R1039" s="11">
        <f>4235*10000</f>
        <v>42350000</v>
      </c>
      <c r="S1039" s="8">
        <f t="shared" si="515"/>
        <v>-8.0290456431535269</v>
      </c>
      <c r="T1039" s="7">
        <f>-602.5*10000</f>
        <v>-6025000</v>
      </c>
      <c r="U1039" s="6" t="str">
        <f t="shared" si="499"/>
        <v>=-6025000</v>
      </c>
      <c r="V1039" s="1">
        <f>-6025000</f>
        <v>-6025000</v>
      </c>
      <c r="W1039" s="8">
        <f t="shared" si="516"/>
        <v>-1.2621845082680592</v>
      </c>
      <c r="X1039" s="7" t="s">
        <v>10973</v>
      </c>
      <c r="Y1039" s="6" t="str">
        <f t="shared" si="500"/>
        <v>=2298*10000</v>
      </c>
      <c r="Z1039" s="1">
        <f>2298*10000</f>
        <v>22980000</v>
      </c>
      <c r="AA1039" s="8">
        <f t="shared" si="517"/>
        <v>-3.1557223264540339</v>
      </c>
      <c r="AB1039" s="7">
        <f>-1066*10000</f>
        <v>-10660000</v>
      </c>
      <c r="AC1039" s="6" t="str">
        <f t="shared" si="501"/>
        <v>=-10660000</v>
      </c>
      <c r="AD1039" s="1">
        <f>-10660000</f>
        <v>-10660000</v>
      </c>
      <c r="AE1039" s="8">
        <f t="shared" si="518"/>
        <v>-1.6081003993154592</v>
      </c>
      <c r="AF1039" s="7" t="s">
        <v>10974</v>
      </c>
      <c r="AG1039" s="6" t="str">
        <f t="shared" si="502"/>
        <v>=1753*10000</v>
      </c>
      <c r="AH1039" s="1">
        <f>1753*10000</f>
        <v>17530000</v>
      </c>
      <c r="AI1039" s="8">
        <f t="shared" si="519"/>
        <v>-0.50508187464709209</v>
      </c>
      <c r="AJ1039" s="7" t="s">
        <v>10975</v>
      </c>
      <c r="AK1039" s="6" t="str">
        <f t="shared" si="503"/>
        <v>=3542*10000</v>
      </c>
      <c r="AL1039" s="1">
        <f>3542*10000</f>
        <v>35420000</v>
      </c>
      <c r="AM1039" s="8">
        <f t="shared" si="520"/>
        <v>-5.747738158594997E-2</v>
      </c>
      <c r="AN1039" s="7" t="s">
        <v>10295</v>
      </c>
      <c r="AO1039" s="6" t="str">
        <f t="shared" si="504"/>
        <v>=3758*10000</v>
      </c>
      <c r="AP1039" s="1">
        <f>3758*10000</f>
        <v>37580000</v>
      </c>
      <c r="AQ1039" s="8">
        <f t="shared" si="521"/>
        <v>1.5340525960890088</v>
      </c>
      <c r="AR1039" s="7" t="s">
        <v>10976</v>
      </c>
      <c r="AS1039" s="6" t="str">
        <f t="shared" si="505"/>
        <v>=1483*10000</v>
      </c>
      <c r="AT1039" s="1">
        <f>1483*10000</f>
        <v>14830000</v>
      </c>
      <c r="AU1039" s="8">
        <f t="shared" si="522"/>
        <v>2.0646937370956641E-2</v>
      </c>
      <c r="AV1039" s="7" t="s">
        <v>10977</v>
      </c>
      <c r="AW1039" s="6" t="str">
        <f t="shared" si="506"/>
        <v>=1453*10000</v>
      </c>
      <c r="AX1039" s="1">
        <f>1453*10000</f>
        <v>14530000</v>
      </c>
      <c r="AY1039" s="10">
        <f t="shared" si="523"/>
        <v>-0.65172579098753591</v>
      </c>
      <c r="AZ1039" s="7" t="s">
        <v>10978</v>
      </c>
      <c r="BA1039" s="6" t="str">
        <f t="shared" si="507"/>
        <v>=4172*10000</v>
      </c>
      <c r="BB1039" s="1">
        <f>4172*10000</f>
        <v>41720000</v>
      </c>
      <c r="BC1039" s="8">
        <f t="shared" si="524"/>
        <v>-0.10854700854700855</v>
      </c>
      <c r="BD1039" s="7" t="s">
        <v>10979</v>
      </c>
      <c r="BE1039" s="6" t="str">
        <f t="shared" si="508"/>
        <v>=4680*10000</v>
      </c>
      <c r="BF1039" s="1">
        <f>4680*10000</f>
        <v>46800000</v>
      </c>
      <c r="BG1039" s="8">
        <f t="shared" si="525"/>
        <v>3.7363627163242588</v>
      </c>
      <c r="BH1039" s="7" t="s">
        <v>10980</v>
      </c>
      <c r="BI1039" s="6" t="str">
        <f t="shared" si="509"/>
        <v>=988.1*10000</v>
      </c>
      <c r="BJ1039" s="1">
        <f>988.1*10000</f>
        <v>9881000</v>
      </c>
      <c r="BK1039" s="7" t="s">
        <v>10981</v>
      </c>
      <c r="BL1039" s="1" t="str">
        <f t="shared" si="511"/>
        <v>=2906*10000</v>
      </c>
      <c r="BM1039" s="16">
        <f t="shared" si="526"/>
        <v>-0.659979353062629</v>
      </c>
      <c r="BN1039" s="1">
        <f>2906*10000</f>
        <v>29060000</v>
      </c>
    </row>
    <row r="1040" spans="1:66">
      <c r="A1040" s="18"/>
      <c r="B1040">
        <v>600830</v>
      </c>
      <c r="C1040" t="s">
        <v>58</v>
      </c>
      <c r="D1040" s="7" t="s">
        <v>10982</v>
      </c>
      <c r="E1040" s="7" t="str">
        <f t="shared" si="510"/>
        <v>=7145*10000</v>
      </c>
      <c r="F1040" s="1">
        <f>7145*10000</f>
        <v>71450000</v>
      </c>
      <c r="G1040" s="8">
        <f t="shared" si="512"/>
        <v>3.5957662751921124E-2</v>
      </c>
      <c r="H1040" s="7" t="s">
        <v>10983</v>
      </c>
      <c r="I1040" s="6" t="str">
        <f t="shared" si="496"/>
        <v>=6897*10000</v>
      </c>
      <c r="J1040" s="1">
        <f>6897*10000</f>
        <v>68970000</v>
      </c>
      <c r="K1040" s="10">
        <f t="shared" si="513"/>
        <v>1.2913621262458472</v>
      </c>
      <c r="L1040" s="7" t="s">
        <v>9669</v>
      </c>
      <c r="M1040" s="6" t="str">
        <f t="shared" si="497"/>
        <v>=3010*10000</v>
      </c>
      <c r="N1040" s="1">
        <f>3010*10000</f>
        <v>30100000</v>
      </c>
      <c r="O1040" s="8">
        <f t="shared" si="514"/>
        <v>-0.2734733285059136</v>
      </c>
      <c r="P1040" s="7" t="s">
        <v>10984</v>
      </c>
      <c r="Q1040" s="6" t="str">
        <f t="shared" si="498"/>
        <v>=4143*10000</v>
      </c>
      <c r="R1040" s="11">
        <f>4143*10000</f>
        <v>41430000</v>
      </c>
      <c r="S1040" s="8">
        <f t="shared" si="515"/>
        <v>11.975258377701222</v>
      </c>
      <c r="T1040" s="7" t="s">
        <v>3824</v>
      </c>
      <c r="U1040" s="6" t="str">
        <f t="shared" si="499"/>
        <v>=319.3*10000</v>
      </c>
      <c r="V1040" s="1">
        <f>319.3*10000</f>
        <v>3193000</v>
      </c>
      <c r="W1040" s="8">
        <f t="shared" si="516"/>
        <v>-0.87161238439887412</v>
      </c>
      <c r="X1040" s="7" t="s">
        <v>10985</v>
      </c>
      <c r="Y1040" s="6" t="str">
        <f t="shared" si="500"/>
        <v>=2487*10000</v>
      </c>
      <c r="Z1040" s="1">
        <f>2487*10000</f>
        <v>24870000</v>
      </c>
      <c r="AA1040" s="8">
        <f t="shared" si="517"/>
        <v>-3.3070500927643787</v>
      </c>
      <c r="AB1040" s="7">
        <f>-1078*10000</f>
        <v>-10780000</v>
      </c>
      <c r="AC1040" s="6" t="str">
        <f t="shared" si="501"/>
        <v>=-10780000</v>
      </c>
      <c r="AD1040" s="1">
        <f>-10780000</f>
        <v>-10780000</v>
      </c>
      <c r="AE1040" s="8">
        <f t="shared" si="518"/>
        <v>-1.6032456631225518</v>
      </c>
      <c r="AF1040" s="7" t="s">
        <v>10986</v>
      </c>
      <c r="AG1040" s="6" t="str">
        <f t="shared" si="502"/>
        <v>=1787*10000</v>
      </c>
      <c r="AH1040" s="1">
        <f>1787*10000</f>
        <v>17870000</v>
      </c>
      <c r="AI1040" s="8">
        <f t="shared" si="519"/>
        <v>-0.75647315344780597</v>
      </c>
      <c r="AJ1040" s="7" t="s">
        <v>10987</v>
      </c>
      <c r="AK1040" s="6" t="str">
        <f t="shared" si="503"/>
        <v>=7338*10000</v>
      </c>
      <c r="AL1040" s="1">
        <f>7338*10000</f>
        <v>73380000</v>
      </c>
      <c r="AM1040" s="8">
        <f t="shared" si="520"/>
        <v>0.47054108216432866</v>
      </c>
      <c r="AN1040" s="7" t="s">
        <v>10988</v>
      </c>
      <c r="AO1040" s="6" t="str">
        <f t="shared" si="504"/>
        <v>=4990*10000</v>
      </c>
      <c r="AP1040" s="1">
        <f>4990*10000</f>
        <v>49900000</v>
      </c>
      <c r="AQ1040" s="8">
        <f t="shared" si="521"/>
        <v>4.1602895553257495</v>
      </c>
      <c r="AR1040" s="7" t="s">
        <v>10989</v>
      </c>
      <c r="AS1040" s="6" t="str">
        <f t="shared" si="505"/>
        <v>=967.0*10000</v>
      </c>
      <c r="AT1040" s="1">
        <f>967*10000</f>
        <v>9670000</v>
      </c>
      <c r="AU1040" s="8">
        <f t="shared" si="522"/>
        <v>-0.36673215455140801</v>
      </c>
      <c r="AV1040" s="7" t="s">
        <v>10990</v>
      </c>
      <c r="AW1040" s="6" t="str">
        <f t="shared" si="506"/>
        <v>=1527*10000</v>
      </c>
      <c r="AX1040" s="1">
        <f>1527*10000</f>
        <v>15270000</v>
      </c>
      <c r="AY1040" s="10">
        <f t="shared" si="523"/>
        <v>-0.68273426137544146</v>
      </c>
      <c r="AZ1040" s="7" t="s">
        <v>3719</v>
      </c>
      <c r="BA1040" s="6" t="str">
        <f t="shared" si="507"/>
        <v>=4813*10000</v>
      </c>
      <c r="BB1040" s="1">
        <f>4813*10000</f>
        <v>48130000</v>
      </c>
      <c r="BC1040" s="8">
        <f t="shared" si="524"/>
        <v>-8.999810928341842E-2</v>
      </c>
      <c r="BD1040" s="7" t="s">
        <v>10991</v>
      </c>
      <c r="BE1040" s="6" t="str">
        <f t="shared" si="508"/>
        <v>=5289*10000</v>
      </c>
      <c r="BF1040" s="1">
        <f>5289*10000</f>
        <v>52890000</v>
      </c>
      <c r="BG1040" s="8">
        <f t="shared" si="525"/>
        <v>2.5955132562882395</v>
      </c>
      <c r="BH1040" s="7" t="s">
        <v>10992</v>
      </c>
      <c r="BI1040" s="6" t="str">
        <f t="shared" si="509"/>
        <v>=1471*10000</v>
      </c>
      <c r="BJ1040" s="1">
        <f>1471*10000</f>
        <v>14710000</v>
      </c>
      <c r="BK1040" s="7" t="s">
        <v>10993</v>
      </c>
      <c r="BL1040" s="1" t="str">
        <f t="shared" si="511"/>
        <v>=2926*10000</v>
      </c>
      <c r="BM1040" s="16">
        <f t="shared" si="526"/>
        <v>-0.49726589200273413</v>
      </c>
      <c r="BN1040" s="1">
        <f>2926*10000</f>
        <v>29260000</v>
      </c>
    </row>
    <row r="1041" spans="1:66">
      <c r="A1041" s="19"/>
      <c r="B1041">
        <v>600830</v>
      </c>
      <c r="C1041" t="s">
        <v>68</v>
      </c>
      <c r="D1041" s="7" t="s">
        <v>10994</v>
      </c>
      <c r="E1041" s="7" t="str">
        <f t="shared" si="510"/>
        <v>=3233*10000</v>
      </c>
      <c r="F1041" s="1">
        <f>3233*10000</f>
        <v>32330000</v>
      </c>
      <c r="G1041" s="8">
        <f t="shared" si="512"/>
        <v>-0.33709247488209965</v>
      </c>
      <c r="H1041" s="7" t="s">
        <v>10995</v>
      </c>
      <c r="I1041" s="6" t="str">
        <f t="shared" si="496"/>
        <v>=4877*10000</v>
      </c>
      <c r="J1041" s="1">
        <f>4877*10000</f>
        <v>48770000</v>
      </c>
      <c r="K1041" s="10">
        <f t="shared" si="513"/>
        <v>1.3469682386910491</v>
      </c>
      <c r="L1041" s="7" t="s">
        <v>4934</v>
      </c>
      <c r="M1041" s="6" t="str">
        <f t="shared" si="497"/>
        <v>=2078*10000</v>
      </c>
      <c r="N1041" s="1">
        <f>2078*10000</f>
        <v>20780000</v>
      </c>
      <c r="O1041" s="8">
        <f t="shared" si="514"/>
        <v>-0.28957264957264955</v>
      </c>
      <c r="P1041" s="7" t="s">
        <v>3165</v>
      </c>
      <c r="Q1041" s="6" t="str">
        <f t="shared" si="498"/>
        <v>=2925*10000</v>
      </c>
      <c r="R1041" s="11">
        <f>2925*10000</f>
        <v>29250000</v>
      </c>
      <c r="S1041" s="8">
        <f t="shared" si="515"/>
        <v>-3.736202057998129</v>
      </c>
      <c r="T1041" s="7">
        <f>-1069*10000</f>
        <v>-10690000</v>
      </c>
      <c r="U1041" s="6" t="str">
        <f t="shared" si="499"/>
        <v>=-10690000</v>
      </c>
      <c r="V1041" s="1">
        <f>-10690000</f>
        <v>-10690000</v>
      </c>
      <c r="W1041" s="8">
        <f t="shared" si="516"/>
        <v>-1.8747954173486088</v>
      </c>
      <c r="X1041" s="7" t="s">
        <v>10996</v>
      </c>
      <c r="Y1041" s="6" t="str">
        <f t="shared" si="500"/>
        <v>=1222*10000</v>
      </c>
      <c r="Z1041" s="1">
        <f>1222*10000</f>
        <v>12220000</v>
      </c>
      <c r="AA1041" s="8">
        <f t="shared" si="517"/>
        <v>-1.8439226519337018</v>
      </c>
      <c r="AB1041" s="7">
        <f>-1448*10000</f>
        <v>-14480000</v>
      </c>
      <c r="AC1041" s="6" t="str">
        <f t="shared" si="501"/>
        <v>=-14480000</v>
      </c>
      <c r="AD1041" s="1">
        <f>-14480000</f>
        <v>-14480000</v>
      </c>
      <c r="AE1041" s="8">
        <f t="shared" si="518"/>
        <v>-2.309222423146474</v>
      </c>
      <c r="AF1041" s="7" t="s">
        <v>10997</v>
      </c>
      <c r="AG1041" s="6" t="str">
        <f t="shared" si="502"/>
        <v>=1106*10000</v>
      </c>
      <c r="AH1041" s="1">
        <f>1106*10000</f>
        <v>11060000</v>
      </c>
      <c r="AI1041" s="8">
        <f t="shared" si="519"/>
        <v>-0.75872600349040142</v>
      </c>
      <c r="AJ1041" s="7" t="s">
        <v>10998</v>
      </c>
      <c r="AK1041" s="6" t="str">
        <f t="shared" si="503"/>
        <v>=4584*10000</v>
      </c>
      <c r="AL1041" s="1">
        <f>4584*10000</f>
        <v>45840000</v>
      </c>
      <c r="AM1041" s="8">
        <f t="shared" si="520"/>
        <v>0.41700154559505409</v>
      </c>
      <c r="AN1041" s="7" t="s">
        <v>10999</v>
      </c>
      <c r="AO1041" s="6" t="str">
        <f t="shared" si="504"/>
        <v>=3235*10000</v>
      </c>
      <c r="AP1041" s="1">
        <f>3235*10000</f>
        <v>32350000</v>
      </c>
      <c r="AQ1041" s="8">
        <f t="shared" si="521"/>
        <v>4.0985027580772257</v>
      </c>
      <c r="AR1041" s="7" t="s">
        <v>11000</v>
      </c>
      <c r="AS1041" s="6" t="str">
        <f t="shared" si="505"/>
        <v>=634.5*10000</v>
      </c>
      <c r="AT1041" s="1">
        <f>634.5*10000</f>
        <v>6345000</v>
      </c>
      <c r="AU1041" s="8">
        <f t="shared" si="522"/>
        <v>-0.33678269049858889</v>
      </c>
      <c r="AV1041" s="7" t="s">
        <v>7454</v>
      </c>
      <c r="AW1041" s="6" t="str">
        <f t="shared" si="506"/>
        <v>=956.7*10000</v>
      </c>
      <c r="AX1041" s="1">
        <f>956.7*10000</f>
        <v>9567000</v>
      </c>
      <c r="AY1041" s="10">
        <f t="shared" si="523"/>
        <v>-0.7309617547806524</v>
      </c>
      <c r="AZ1041" s="7" t="s">
        <v>11001</v>
      </c>
      <c r="BA1041" s="6" t="str">
        <f t="shared" si="507"/>
        <v>=3556*10000</v>
      </c>
      <c r="BB1041" s="1">
        <f>3556*10000</f>
        <v>35560000</v>
      </c>
      <c r="BC1041" s="8">
        <f t="shared" si="524"/>
        <v>0.2411867364746946</v>
      </c>
      <c r="BD1041" s="7" t="s">
        <v>7940</v>
      </c>
      <c r="BE1041" s="6" t="str">
        <f t="shared" si="508"/>
        <v>=2865*10000</v>
      </c>
      <c r="BF1041" s="1">
        <f>2865*10000</f>
        <v>28650000</v>
      </c>
      <c r="BG1041" s="8">
        <f t="shared" si="525"/>
        <v>147.21520951888257</v>
      </c>
      <c r="BH1041" s="7" t="s">
        <v>11002</v>
      </c>
      <c r="BI1041" s="6" t="str">
        <f t="shared" si="509"/>
        <v>=19.33*10000</v>
      </c>
      <c r="BJ1041" s="1">
        <f>19.33*10000</f>
        <v>193299.99999999997</v>
      </c>
      <c r="BK1041" s="7" t="s">
        <v>3284</v>
      </c>
      <c r="BL1041" s="1" t="str">
        <f t="shared" si="511"/>
        <v>=1992*10000</v>
      </c>
      <c r="BM1041" s="16">
        <f t="shared" si="526"/>
        <v>-0.99029618473895586</v>
      </c>
      <c r="BN1041" s="1">
        <f>1992*10000</f>
        <v>19920000</v>
      </c>
    </row>
    <row r="1042" spans="1:66">
      <c r="A1042" s="17">
        <v>262</v>
      </c>
      <c r="B1042">
        <v>600833</v>
      </c>
      <c r="C1042" t="s">
        <v>31</v>
      </c>
      <c r="D1042" s="6" t="s">
        <v>702</v>
      </c>
      <c r="E1042" s="7" t="str">
        <f t="shared" si="510"/>
        <v>=13.98*100000000</v>
      </c>
      <c r="F1042" s="1">
        <f>13.98*100000000</f>
        <v>1398000000</v>
      </c>
      <c r="G1042" s="8">
        <f t="shared" si="512"/>
        <v>0.40262867462626667</v>
      </c>
      <c r="H1042" s="6" t="s">
        <v>1322</v>
      </c>
      <c r="I1042" s="6" t="str">
        <f t="shared" si="496"/>
        <v>=9.967*100000000</v>
      </c>
      <c r="J1042" s="1">
        <f>9.967*100000000</f>
        <v>996700000</v>
      </c>
      <c r="K1042" s="10">
        <f t="shared" si="513"/>
        <v>0.57730653584427916</v>
      </c>
      <c r="L1042" s="6" t="s">
        <v>11003</v>
      </c>
      <c r="M1042" s="6" t="str">
        <f t="shared" si="497"/>
        <v>=6.319*100000000</v>
      </c>
      <c r="N1042" s="1">
        <f>6.319*100000000</f>
        <v>631900000</v>
      </c>
      <c r="O1042" s="8">
        <f t="shared" si="514"/>
        <v>0.91253026634382561</v>
      </c>
      <c r="P1042" s="6" t="s">
        <v>6414</v>
      </c>
      <c r="Q1042" s="6" t="str">
        <f t="shared" si="498"/>
        <v>=3.304*100000000</v>
      </c>
      <c r="R1042" s="11">
        <f>3.304*100000000</f>
        <v>330400000</v>
      </c>
      <c r="S1042" s="8">
        <f t="shared" si="515"/>
        <v>-0.79180844360428482</v>
      </c>
      <c r="T1042" s="6" t="s">
        <v>223</v>
      </c>
      <c r="U1042" s="6" t="str">
        <f t="shared" si="499"/>
        <v>=15.87*100000000</v>
      </c>
      <c r="V1042" s="1">
        <f>15.87*100000000</f>
        <v>1587000000</v>
      </c>
      <c r="W1042" s="8">
        <f t="shared" si="516"/>
        <v>0.32803347280334727</v>
      </c>
      <c r="X1042" s="6" t="s">
        <v>4331</v>
      </c>
      <c r="Y1042" s="6" t="str">
        <f t="shared" si="500"/>
        <v>=11.95*100000000</v>
      </c>
      <c r="Z1042" s="1">
        <f>11.95*100000000</f>
        <v>1195000000</v>
      </c>
      <c r="AA1042" s="8">
        <f t="shared" si="517"/>
        <v>0.3927738927738928</v>
      </c>
      <c r="AB1042" s="6" t="s">
        <v>11004</v>
      </c>
      <c r="AC1042" s="6" t="str">
        <f t="shared" si="501"/>
        <v>=8.580*100000000</v>
      </c>
      <c r="AD1042" s="1">
        <f>8.58*100000000</f>
        <v>858000000</v>
      </c>
      <c r="AE1042" s="8">
        <f t="shared" si="518"/>
        <v>0.70882294363672571</v>
      </c>
      <c r="AF1042" s="6" t="s">
        <v>11005</v>
      </c>
      <c r="AG1042" s="6" t="str">
        <f t="shared" si="502"/>
        <v>=5.021*100000000</v>
      </c>
      <c r="AH1042" s="1">
        <f>5.021*100000000</f>
        <v>502100000</v>
      </c>
      <c r="AI1042" s="8">
        <f t="shared" si="519"/>
        <v>-0.5960579243765084</v>
      </c>
      <c r="AJ1042" s="6" t="s">
        <v>1876</v>
      </c>
      <c r="AK1042" s="6" t="str">
        <f t="shared" si="503"/>
        <v>=12.43*100000000</v>
      </c>
      <c r="AL1042" s="1">
        <f>12.43*100000000</f>
        <v>1243000000</v>
      </c>
      <c r="AM1042" s="8">
        <f t="shared" si="520"/>
        <v>0.35211574023713693</v>
      </c>
      <c r="AN1042" s="6" t="s">
        <v>3982</v>
      </c>
      <c r="AO1042" s="6" t="str">
        <f t="shared" si="504"/>
        <v>=9.193*100000000</v>
      </c>
      <c r="AP1042" s="1">
        <f>9.193*100000000</f>
        <v>919300000</v>
      </c>
      <c r="AQ1042" s="8">
        <f t="shared" si="521"/>
        <v>0.48922728009071764</v>
      </c>
      <c r="AR1042" s="6" t="s">
        <v>11006</v>
      </c>
      <c r="AS1042" s="6" t="str">
        <f t="shared" si="505"/>
        <v>=6.173*100000000</v>
      </c>
      <c r="AT1042" s="1">
        <f>6.173*100000000</f>
        <v>617300000</v>
      </c>
      <c r="AU1042" s="8">
        <f t="shared" si="522"/>
        <v>1.0042207792207791</v>
      </c>
      <c r="AV1042" s="6" t="s">
        <v>2878</v>
      </c>
      <c r="AW1042" s="6" t="str">
        <f t="shared" si="506"/>
        <v>=3.080*100000000</v>
      </c>
      <c r="AX1042" s="1">
        <f>3.08*100000000</f>
        <v>308000000</v>
      </c>
      <c r="AY1042" s="10">
        <f t="shared" si="523"/>
        <v>-0.73831775700934577</v>
      </c>
      <c r="AZ1042" s="6" t="s">
        <v>7426</v>
      </c>
      <c r="BA1042" s="6" t="str">
        <f t="shared" si="507"/>
        <v>=11.77*100000000</v>
      </c>
      <c r="BB1042" s="1">
        <f>11.77*100000000</f>
        <v>1177000000</v>
      </c>
      <c r="BC1042" s="8">
        <f t="shared" si="524"/>
        <v>0.37067660416909282</v>
      </c>
      <c r="BD1042" s="6" t="s">
        <v>11007</v>
      </c>
      <c r="BE1042" s="6" t="str">
        <f t="shared" si="508"/>
        <v>=8.587*100000000</v>
      </c>
      <c r="BF1042" s="1">
        <f>8.587*100000000</f>
        <v>858700000</v>
      </c>
      <c r="BG1042" s="8">
        <f t="shared" si="525"/>
        <v>0.4529610829103215</v>
      </c>
      <c r="BH1042" s="6" t="s">
        <v>1032</v>
      </c>
      <c r="BI1042" s="6" t="str">
        <f t="shared" si="509"/>
        <v>=5.910*100000000</v>
      </c>
      <c r="BJ1042" s="1">
        <f>5.91*100000000</f>
        <v>591000000</v>
      </c>
      <c r="BK1042" s="6" t="s">
        <v>2638</v>
      </c>
      <c r="BL1042" s="1" t="str">
        <f t="shared" si="511"/>
        <v>=3.134*100000000</v>
      </c>
      <c r="BM1042" s="16">
        <f t="shared" si="526"/>
        <v>0.88576898532227188</v>
      </c>
      <c r="BN1042" s="1">
        <f>3.134*100000000</f>
        <v>313400000</v>
      </c>
    </row>
    <row r="1043" spans="1:66">
      <c r="A1043" s="18"/>
      <c r="B1043">
        <v>600833</v>
      </c>
      <c r="C1043" t="s">
        <v>48</v>
      </c>
      <c r="D1043" s="7" t="s">
        <v>4211</v>
      </c>
      <c r="E1043" s="7" t="str">
        <f t="shared" si="510"/>
        <v>=3514*10000</v>
      </c>
      <c r="F1043" s="1">
        <f>3514*10000</f>
        <v>35140000</v>
      </c>
      <c r="G1043" s="8">
        <f t="shared" si="512"/>
        <v>0.1628060886829914</v>
      </c>
      <c r="H1043" s="7" t="s">
        <v>2692</v>
      </c>
      <c r="I1043" s="6" t="str">
        <f t="shared" si="496"/>
        <v>=3022*10000</v>
      </c>
      <c r="J1043" s="1">
        <f>3022*10000</f>
        <v>30220000</v>
      </c>
      <c r="K1043" s="10">
        <f t="shared" si="513"/>
        <v>0.22249190938511326</v>
      </c>
      <c r="L1043" s="7" t="s">
        <v>11008</v>
      </c>
      <c r="M1043" s="6" t="str">
        <f t="shared" si="497"/>
        <v>=2472*10000</v>
      </c>
      <c r="N1043" s="1">
        <f>2472*10000</f>
        <v>24720000</v>
      </c>
      <c r="O1043" s="8">
        <f t="shared" si="514"/>
        <v>0.67934782608695654</v>
      </c>
      <c r="P1043" s="7" t="s">
        <v>11009</v>
      </c>
      <c r="Q1043" s="6" t="str">
        <f t="shared" si="498"/>
        <v>=1472*10000</v>
      </c>
      <c r="R1043" s="11">
        <f>1472*10000</f>
        <v>14720000</v>
      </c>
      <c r="S1043" s="8">
        <f t="shared" si="515"/>
        <v>-0.7941258741258741</v>
      </c>
      <c r="T1043" s="7" t="s">
        <v>11010</v>
      </c>
      <c r="U1043" s="6" t="str">
        <f t="shared" si="499"/>
        <v>=7150*10000</v>
      </c>
      <c r="V1043" s="1">
        <f>7150*10000</f>
        <v>71500000</v>
      </c>
      <c r="W1043" s="8">
        <f t="shared" si="516"/>
        <v>0.2585812356979405</v>
      </c>
      <c r="X1043" s="7" t="s">
        <v>6819</v>
      </c>
      <c r="Y1043" s="6" t="str">
        <f t="shared" si="500"/>
        <v>=5681*10000</v>
      </c>
      <c r="Z1043" s="1">
        <f>5681*10000</f>
        <v>56810000</v>
      </c>
      <c r="AA1043" s="8">
        <f t="shared" si="517"/>
        <v>0.30268287090116947</v>
      </c>
      <c r="AB1043" s="7" t="s">
        <v>10552</v>
      </c>
      <c r="AC1043" s="6" t="str">
        <f t="shared" si="501"/>
        <v>=4361*10000</v>
      </c>
      <c r="AD1043" s="1">
        <f>4361*10000</f>
        <v>43610000</v>
      </c>
      <c r="AE1043" s="8">
        <f t="shared" si="518"/>
        <v>0.77420667209113103</v>
      </c>
      <c r="AF1043" s="7" t="s">
        <v>11011</v>
      </c>
      <c r="AG1043" s="6" t="str">
        <f t="shared" si="502"/>
        <v>=2458*10000</v>
      </c>
      <c r="AH1043" s="1">
        <f>2458*10000</f>
        <v>24580000</v>
      </c>
      <c r="AI1043" s="8">
        <f t="shared" si="519"/>
        <v>-0.52502415458937202</v>
      </c>
      <c r="AJ1043" s="7" t="s">
        <v>9459</v>
      </c>
      <c r="AK1043" s="6" t="str">
        <f t="shared" si="503"/>
        <v>=5175*10000</v>
      </c>
      <c r="AL1043" s="1">
        <f>5175*10000</f>
        <v>51750000</v>
      </c>
      <c r="AM1043" s="8">
        <f t="shared" si="520"/>
        <v>0.24369142033165103</v>
      </c>
      <c r="AN1043" s="7" t="s">
        <v>11012</v>
      </c>
      <c r="AO1043" s="6" t="str">
        <f t="shared" si="504"/>
        <v>=4161*10000</v>
      </c>
      <c r="AP1043" s="1">
        <f>4161*10000</f>
        <v>41610000</v>
      </c>
      <c r="AQ1043" s="8">
        <f t="shared" si="521"/>
        <v>0.41050847457627121</v>
      </c>
      <c r="AR1043" s="7" t="s">
        <v>11013</v>
      </c>
      <c r="AS1043" s="6" t="str">
        <f t="shared" si="505"/>
        <v>=2950*10000</v>
      </c>
      <c r="AT1043" s="1">
        <f>2950*10000</f>
        <v>29500000</v>
      </c>
      <c r="AU1043" s="8">
        <f t="shared" si="522"/>
        <v>0.58602150537634412</v>
      </c>
      <c r="AV1043" s="7" t="s">
        <v>11014</v>
      </c>
      <c r="AW1043" s="6" t="str">
        <f t="shared" si="506"/>
        <v>=1860*10000</v>
      </c>
      <c r="AX1043" s="1">
        <f>1860*10000</f>
        <v>18600000</v>
      </c>
      <c r="AY1043" s="10">
        <f t="shared" si="523"/>
        <v>-0.68634064080944346</v>
      </c>
      <c r="AZ1043" s="7" t="s">
        <v>5686</v>
      </c>
      <c r="BA1043" s="6" t="str">
        <f t="shared" si="507"/>
        <v>=5930*10000</v>
      </c>
      <c r="BB1043" s="1">
        <f>5930*10000</f>
        <v>59300000</v>
      </c>
      <c r="BC1043" s="8">
        <f t="shared" si="524"/>
        <v>0.58853469059737473</v>
      </c>
      <c r="BD1043" s="7" t="s">
        <v>11015</v>
      </c>
      <c r="BE1043" s="6" t="str">
        <f t="shared" si="508"/>
        <v>=3733*10000</v>
      </c>
      <c r="BF1043" s="1">
        <f>3733*10000</f>
        <v>37330000</v>
      </c>
      <c r="BG1043" s="8">
        <f t="shared" si="525"/>
        <v>0.42155369383092156</v>
      </c>
      <c r="BH1043" s="7" t="s">
        <v>6273</v>
      </c>
      <c r="BI1043" s="6" t="str">
        <f t="shared" si="509"/>
        <v>=2626*10000</v>
      </c>
      <c r="BJ1043" s="1">
        <f>2626*10000</f>
        <v>26260000</v>
      </c>
      <c r="BK1043" s="7" t="s">
        <v>11016</v>
      </c>
      <c r="BL1043" s="1" t="str">
        <f t="shared" si="511"/>
        <v>=1513*10000</v>
      </c>
      <c r="BM1043" s="16">
        <f t="shared" si="526"/>
        <v>0.73562458691341703</v>
      </c>
      <c r="BN1043" s="1">
        <f>1513*10000</f>
        <v>15130000</v>
      </c>
    </row>
    <row r="1044" spans="1:66">
      <c r="A1044" s="18"/>
      <c r="B1044">
        <v>600833</v>
      </c>
      <c r="C1044" t="s">
        <v>58</v>
      </c>
      <c r="D1044" s="7" t="s">
        <v>10024</v>
      </c>
      <c r="E1044" s="7" t="str">
        <f t="shared" si="510"/>
        <v>=6524*10000</v>
      </c>
      <c r="F1044" s="1">
        <f>6524*10000</f>
        <v>65240000</v>
      </c>
      <c r="G1044" s="8">
        <f t="shared" si="512"/>
        <v>0.37145259617405929</v>
      </c>
      <c r="H1044" s="7" t="s">
        <v>11017</v>
      </c>
      <c r="I1044" s="6" t="str">
        <f t="shared" si="496"/>
        <v>=4757*10000</v>
      </c>
      <c r="J1044" s="1">
        <f>4757*10000</f>
        <v>47570000</v>
      </c>
      <c r="K1044" s="10">
        <f t="shared" si="513"/>
        <v>0.40989922940130408</v>
      </c>
      <c r="L1044" s="7" t="s">
        <v>3556</v>
      </c>
      <c r="M1044" s="6" t="str">
        <f t="shared" si="497"/>
        <v>=3374*10000</v>
      </c>
      <c r="N1044" s="1">
        <f>3374*10000</f>
        <v>33740000</v>
      </c>
      <c r="O1044" s="8">
        <f t="shared" si="514"/>
        <v>1.287457627118644</v>
      </c>
      <c r="P1044" s="7" t="s">
        <v>11018</v>
      </c>
      <c r="Q1044" s="6" t="str">
        <f t="shared" si="498"/>
        <v>=1475*10000</v>
      </c>
      <c r="R1044" s="11">
        <f>1475*10000</f>
        <v>14750000</v>
      </c>
      <c r="S1044" s="8">
        <f t="shared" si="515"/>
        <v>-0.83730421354511364</v>
      </c>
      <c r="T1044" s="7" t="s">
        <v>3432</v>
      </c>
      <c r="U1044" s="6" t="str">
        <f t="shared" si="499"/>
        <v>=9066*10000</v>
      </c>
      <c r="V1044" s="1">
        <f>9066*10000</f>
        <v>90660000</v>
      </c>
      <c r="W1044" s="8">
        <f t="shared" si="516"/>
        <v>0.19320873914187944</v>
      </c>
      <c r="X1044" s="7" t="s">
        <v>11019</v>
      </c>
      <c r="Y1044" s="6" t="str">
        <f t="shared" si="500"/>
        <v>=7598*10000</v>
      </c>
      <c r="Z1044" s="1">
        <f>7598*10000</f>
        <v>75980000</v>
      </c>
      <c r="AA1044" s="8">
        <f t="shared" si="517"/>
        <v>0.74586397058823528</v>
      </c>
      <c r="AB1044" s="7" t="s">
        <v>2940</v>
      </c>
      <c r="AC1044" s="6" t="str">
        <f t="shared" si="501"/>
        <v>=4352*10000</v>
      </c>
      <c r="AD1044" s="1">
        <f>4352*10000</f>
        <v>43520000</v>
      </c>
      <c r="AE1044" s="8">
        <f t="shared" si="518"/>
        <v>0.7727087576374746</v>
      </c>
      <c r="AF1044" s="7" t="s">
        <v>4470</v>
      </c>
      <c r="AG1044" s="6" t="str">
        <f t="shared" si="502"/>
        <v>=2455*10000</v>
      </c>
      <c r="AH1044" s="1">
        <f>2455*10000</f>
        <v>24550000</v>
      </c>
      <c r="AI1044" s="8">
        <f t="shared" si="519"/>
        <v>-0.64228471513915197</v>
      </c>
      <c r="AJ1044" s="7" t="s">
        <v>11020</v>
      </c>
      <c r="AK1044" s="6" t="str">
        <f t="shared" si="503"/>
        <v>=6863*10000</v>
      </c>
      <c r="AL1044" s="1">
        <f>6863*10000</f>
        <v>68630000</v>
      </c>
      <c r="AM1044" s="8">
        <f t="shared" si="520"/>
        <v>0.36360023842638584</v>
      </c>
      <c r="AN1044" s="7" t="s">
        <v>9791</v>
      </c>
      <c r="AO1044" s="6" t="str">
        <f t="shared" si="504"/>
        <v>=5033*10000</v>
      </c>
      <c r="AP1044" s="1">
        <f>5033*10000</f>
        <v>50330000</v>
      </c>
      <c r="AQ1044" s="8">
        <f t="shared" si="521"/>
        <v>0.31650536228093118</v>
      </c>
      <c r="AR1044" s="7" t="s">
        <v>11021</v>
      </c>
      <c r="AS1044" s="6" t="str">
        <f t="shared" si="505"/>
        <v>=3823*10000</v>
      </c>
      <c r="AT1044" s="1">
        <f>3823*10000</f>
        <v>38230000</v>
      </c>
      <c r="AU1044" s="8">
        <f t="shared" si="522"/>
        <v>1.0553763440860215</v>
      </c>
      <c r="AV1044" s="7" t="s">
        <v>11014</v>
      </c>
      <c r="AW1044" s="6" t="str">
        <f t="shared" si="506"/>
        <v>=1860*10000</v>
      </c>
      <c r="AX1044" s="1">
        <f>1860*10000</f>
        <v>18600000</v>
      </c>
      <c r="AY1044" s="10">
        <f t="shared" si="523"/>
        <v>-0.68479918657854599</v>
      </c>
      <c r="AZ1044" s="7" t="s">
        <v>5682</v>
      </c>
      <c r="BA1044" s="6" t="str">
        <f t="shared" si="507"/>
        <v>=5901*10000</v>
      </c>
      <c r="BB1044" s="1">
        <f>5901*10000</f>
        <v>59010000</v>
      </c>
      <c r="BC1044" s="8">
        <f t="shared" si="524"/>
        <v>0.5786516853932584</v>
      </c>
      <c r="BD1044" s="7" t="s">
        <v>11022</v>
      </c>
      <c r="BE1044" s="6" t="str">
        <f t="shared" si="508"/>
        <v>=3738*10000</v>
      </c>
      <c r="BF1044" s="1">
        <f>3738*10000</f>
        <v>37380000</v>
      </c>
      <c r="BG1044" s="8">
        <f t="shared" si="525"/>
        <v>0.41805766312594839</v>
      </c>
      <c r="BH1044" s="7" t="s">
        <v>11023</v>
      </c>
      <c r="BI1044" s="6" t="str">
        <f t="shared" si="509"/>
        <v>=2636*10000</v>
      </c>
      <c r="BJ1044" s="1">
        <f>2636*10000</f>
        <v>26360000</v>
      </c>
      <c r="BK1044" s="7" t="s">
        <v>11024</v>
      </c>
      <c r="BL1044" s="1" t="str">
        <f t="shared" si="511"/>
        <v>=1514*10000</v>
      </c>
      <c r="BM1044" s="16">
        <f t="shared" si="526"/>
        <v>0.7410832232496698</v>
      </c>
      <c r="BN1044" s="1">
        <f>1514*10000</f>
        <v>15140000</v>
      </c>
    </row>
    <row r="1045" spans="1:66">
      <c r="A1045" s="19"/>
      <c r="B1045">
        <v>600833</v>
      </c>
      <c r="C1045" t="s">
        <v>68</v>
      </c>
      <c r="D1045" s="7" t="s">
        <v>11025</v>
      </c>
      <c r="E1045" s="7" t="str">
        <f t="shared" si="510"/>
        <v>=4942*10000</v>
      </c>
      <c r="F1045" s="1">
        <f>4942*10000</f>
        <v>49420000</v>
      </c>
      <c r="G1045" s="8">
        <f t="shared" si="512"/>
        <v>0.37392271337225463</v>
      </c>
      <c r="H1045" s="7" t="s">
        <v>11026</v>
      </c>
      <c r="I1045" s="6" t="str">
        <f t="shared" si="496"/>
        <v>=3597*10000</v>
      </c>
      <c r="J1045" s="1">
        <f>3597*10000</f>
        <v>35970000</v>
      </c>
      <c r="K1045" s="10">
        <f t="shared" si="513"/>
        <v>0.38612716763005778</v>
      </c>
      <c r="L1045" s="7" t="s">
        <v>11027</v>
      </c>
      <c r="M1045" s="6" t="str">
        <f t="shared" si="497"/>
        <v>=2595*10000</v>
      </c>
      <c r="N1045" s="1">
        <f>2595*10000</f>
        <v>25950000</v>
      </c>
      <c r="O1045" s="8">
        <f t="shared" si="514"/>
        <v>1.5820895522388059</v>
      </c>
      <c r="P1045" s="7" t="s">
        <v>4865</v>
      </c>
      <c r="Q1045" s="6" t="str">
        <f t="shared" si="498"/>
        <v>=1005*10000</v>
      </c>
      <c r="R1045" s="11">
        <f>1005*10000</f>
        <v>10050000</v>
      </c>
      <c r="S1045" s="8">
        <f t="shared" si="515"/>
        <v>-0.85337029471841264</v>
      </c>
      <c r="T1045" s="7" t="s">
        <v>11028</v>
      </c>
      <c r="U1045" s="6" t="str">
        <f t="shared" si="499"/>
        <v>=6854*10000</v>
      </c>
      <c r="V1045" s="1">
        <f>6854*10000</f>
        <v>68540000</v>
      </c>
      <c r="W1045" s="8">
        <f t="shared" si="516"/>
        <v>0.18828016643550624</v>
      </c>
      <c r="X1045" s="7" t="s">
        <v>11029</v>
      </c>
      <c r="Y1045" s="6" t="str">
        <f t="shared" si="500"/>
        <v>=5768*10000</v>
      </c>
      <c r="Z1045" s="1">
        <f>5768*10000</f>
        <v>57680000</v>
      </c>
      <c r="AA1045" s="8">
        <f t="shared" si="517"/>
        <v>0.73369401863540729</v>
      </c>
      <c r="AB1045" s="7" t="s">
        <v>10958</v>
      </c>
      <c r="AC1045" s="6" t="str">
        <f t="shared" si="501"/>
        <v>=3327*10000</v>
      </c>
      <c r="AD1045" s="1">
        <f>3327*10000</f>
        <v>33270000</v>
      </c>
      <c r="AE1045" s="8">
        <f t="shared" si="518"/>
        <v>0.78487124463519309</v>
      </c>
      <c r="AF1045" s="7" t="s">
        <v>8752</v>
      </c>
      <c r="AG1045" s="6" t="str">
        <f t="shared" si="502"/>
        <v>=1864*10000</v>
      </c>
      <c r="AH1045" s="1">
        <f>1864*10000</f>
        <v>18640000</v>
      </c>
      <c r="AI1045" s="8">
        <f t="shared" si="519"/>
        <v>-0.64889809757016392</v>
      </c>
      <c r="AJ1045" s="7" t="s">
        <v>11030</v>
      </c>
      <c r="AK1045" s="6" t="str">
        <f t="shared" si="503"/>
        <v>=5309*10000</v>
      </c>
      <c r="AL1045" s="1">
        <f>5309*10000</f>
        <v>53090000</v>
      </c>
      <c r="AM1045" s="8">
        <f t="shared" si="520"/>
        <v>0.39051859612362494</v>
      </c>
      <c r="AN1045" s="7" t="s">
        <v>5456</v>
      </c>
      <c r="AO1045" s="6" t="str">
        <f t="shared" si="504"/>
        <v>=3818*10000</v>
      </c>
      <c r="AP1045" s="1">
        <f>3818*10000</f>
        <v>38180000</v>
      </c>
      <c r="AQ1045" s="8">
        <f t="shared" si="521"/>
        <v>0.26465717124875787</v>
      </c>
      <c r="AR1045" s="7" t="s">
        <v>11031</v>
      </c>
      <c r="AS1045" s="6" t="str">
        <f t="shared" si="505"/>
        <v>=3019*10000</v>
      </c>
      <c r="AT1045" s="1">
        <f>3019*10000</f>
        <v>30190000</v>
      </c>
      <c r="AU1045" s="8">
        <f t="shared" si="522"/>
        <v>1.1381019830028329</v>
      </c>
      <c r="AV1045" s="7" t="s">
        <v>11032</v>
      </c>
      <c r="AW1045" s="6" t="str">
        <f t="shared" si="506"/>
        <v>=1412*10000</v>
      </c>
      <c r="AX1045" s="1">
        <f>1412*10000</f>
        <v>14120000</v>
      </c>
      <c r="AY1045" s="10">
        <f t="shared" si="523"/>
        <v>-0.70078406442042807</v>
      </c>
      <c r="AZ1045" s="7" t="s">
        <v>11033</v>
      </c>
      <c r="BA1045" s="6" t="str">
        <f t="shared" si="507"/>
        <v>=4719*10000</v>
      </c>
      <c r="BB1045" s="1">
        <f>4719*10000</f>
        <v>47190000</v>
      </c>
      <c r="BC1045" s="8">
        <f t="shared" si="524"/>
        <v>0.61554262238959256</v>
      </c>
      <c r="BD1045" s="7" t="s">
        <v>11034</v>
      </c>
      <c r="BE1045" s="6" t="str">
        <f t="shared" si="508"/>
        <v>=2921*10000</v>
      </c>
      <c r="BF1045" s="1">
        <f>2921*10000</f>
        <v>29210000</v>
      </c>
      <c r="BG1045" s="8">
        <f t="shared" si="525"/>
        <v>0.37783018867924528</v>
      </c>
      <c r="BH1045" s="7" t="s">
        <v>6638</v>
      </c>
      <c r="BI1045" s="6" t="str">
        <f t="shared" si="509"/>
        <v>=2120*10000</v>
      </c>
      <c r="BJ1045" s="1">
        <f>2120*10000</f>
        <v>21200000</v>
      </c>
      <c r="BK1045" s="7" t="s">
        <v>11035</v>
      </c>
      <c r="BL1045" s="1" t="str">
        <f t="shared" si="511"/>
        <v>=1151*10000</v>
      </c>
      <c r="BM1045" s="16">
        <f t="shared" si="526"/>
        <v>0.841876629018245</v>
      </c>
      <c r="BN1045" s="1">
        <f>1151*10000</f>
        <v>11510000</v>
      </c>
    </row>
    <row r="1046" spans="1:66">
      <c r="A1046" s="17">
        <v>263</v>
      </c>
      <c r="B1046">
        <v>600835</v>
      </c>
      <c r="C1046" t="s">
        <v>31</v>
      </c>
      <c r="D1046" s="6" t="s">
        <v>11036</v>
      </c>
      <c r="E1046" s="7" t="str">
        <f t="shared" si="510"/>
        <v>=247.2*100000000</v>
      </c>
      <c r="F1046" s="1">
        <f>247.2*100000000</f>
        <v>24720000000</v>
      </c>
      <c r="G1046" s="8">
        <f t="shared" si="512"/>
        <v>0.35600658255622603</v>
      </c>
      <c r="H1046" s="6" t="s">
        <v>6433</v>
      </c>
      <c r="I1046" s="6" t="str">
        <f t="shared" si="496"/>
        <v>=182.3*100000000</v>
      </c>
      <c r="J1046" s="1">
        <f>182.3*100000000</f>
        <v>18230000000</v>
      </c>
      <c r="K1046" s="10">
        <f t="shared" si="513"/>
        <v>0.59492563429571299</v>
      </c>
      <c r="L1046" s="6" t="s">
        <v>11037</v>
      </c>
      <c r="M1046" s="6" t="str">
        <f t="shared" si="497"/>
        <v>=114.3*100000000</v>
      </c>
      <c r="N1046" s="1">
        <f>114.3*100000000</f>
        <v>11430000000</v>
      </c>
      <c r="O1046" s="8">
        <f t="shared" si="514"/>
        <v>1.4548969072164948</v>
      </c>
      <c r="P1046" s="6" t="s">
        <v>441</v>
      </c>
      <c r="Q1046" s="6" t="str">
        <f t="shared" si="498"/>
        <v>=46.56*100000000</v>
      </c>
      <c r="R1046" s="11">
        <f>46.56*100000000</f>
        <v>4656000000</v>
      </c>
      <c r="S1046" s="8">
        <f t="shared" si="515"/>
        <v>-0.80094057289439935</v>
      </c>
      <c r="T1046" s="6" t="s">
        <v>11038</v>
      </c>
      <c r="U1046" s="6" t="str">
        <f t="shared" si="499"/>
        <v>=233.9*100000000</v>
      </c>
      <c r="V1046" s="1">
        <f>233.9*100000000</f>
        <v>23390000000</v>
      </c>
      <c r="W1046" s="8">
        <f t="shared" si="516"/>
        <v>0.36623831775700949</v>
      </c>
      <c r="X1046" s="6" t="s">
        <v>11039</v>
      </c>
      <c r="Y1046" s="6" t="str">
        <f t="shared" si="500"/>
        <v>=171.2*100000000</v>
      </c>
      <c r="Z1046" s="1">
        <f>171.2*100000000</f>
        <v>17119999999.999998</v>
      </c>
      <c r="AA1046" s="8">
        <f t="shared" si="517"/>
        <v>0.55919854280510006</v>
      </c>
      <c r="AB1046" s="6" t="s">
        <v>11040</v>
      </c>
      <c r="AC1046" s="6" t="str">
        <f t="shared" si="501"/>
        <v>=109.8*100000000</v>
      </c>
      <c r="AD1046" s="1">
        <f>109.8*100000000</f>
        <v>10980000000</v>
      </c>
      <c r="AE1046" s="8">
        <f t="shared" si="518"/>
        <v>2.5181031720602371</v>
      </c>
      <c r="AF1046" s="6" t="s">
        <v>7791</v>
      </c>
      <c r="AG1046" s="6" t="str">
        <f t="shared" si="502"/>
        <v>=31.21*100000000</v>
      </c>
      <c r="AH1046" s="1">
        <f>31.21*100000000</f>
        <v>3121000000</v>
      </c>
      <c r="AI1046" s="8">
        <f t="shared" si="519"/>
        <v>-0.85998205473306411</v>
      </c>
      <c r="AJ1046" s="6" t="s">
        <v>11041</v>
      </c>
      <c r="AK1046" s="6" t="str">
        <f t="shared" si="503"/>
        <v>=222.9*100000000</v>
      </c>
      <c r="AL1046" s="1">
        <f>222.9*100000000</f>
        <v>22290000000</v>
      </c>
      <c r="AM1046" s="8">
        <f t="shared" si="520"/>
        <v>0.33074626865671641</v>
      </c>
      <c r="AN1046" s="6" t="s">
        <v>9470</v>
      </c>
      <c r="AO1046" s="6" t="str">
        <f t="shared" si="504"/>
        <v>=167.5*100000000</v>
      </c>
      <c r="AP1046" s="1">
        <f>167.5*100000000</f>
        <v>16750000000</v>
      </c>
      <c r="AQ1046" s="8">
        <f t="shared" si="521"/>
        <v>0.54520295202952029</v>
      </c>
      <c r="AR1046" s="6" t="s">
        <v>1178</v>
      </c>
      <c r="AS1046" s="6" t="str">
        <f t="shared" si="505"/>
        <v>=108.4*100000000</v>
      </c>
      <c r="AT1046" s="1">
        <f>108.4*100000000</f>
        <v>10840000000</v>
      </c>
      <c r="AU1046" s="8">
        <f t="shared" si="522"/>
        <v>1.540426529177408</v>
      </c>
      <c r="AV1046" s="6" t="s">
        <v>11042</v>
      </c>
      <c r="AW1046" s="6" t="str">
        <f t="shared" si="506"/>
        <v>=42.67*100000000</v>
      </c>
      <c r="AX1046" s="1">
        <f>42.67*100000000</f>
        <v>4267000000</v>
      </c>
      <c r="AY1046" s="10">
        <f t="shared" si="523"/>
        <v>-0.79901083372585968</v>
      </c>
      <c r="AZ1046" s="6" t="s">
        <v>3316</v>
      </c>
      <c r="BA1046" s="6" t="str">
        <f t="shared" si="507"/>
        <v>=212.3*100000000</v>
      </c>
      <c r="BB1046" s="1">
        <f>212.3*100000000</f>
        <v>21230000000</v>
      </c>
      <c r="BC1046" s="8">
        <f t="shared" si="524"/>
        <v>0.33438089252042741</v>
      </c>
      <c r="BD1046" s="6" t="s">
        <v>11043</v>
      </c>
      <c r="BE1046" s="6" t="str">
        <f t="shared" si="508"/>
        <v>=159.1*100000000</v>
      </c>
      <c r="BF1046" s="1">
        <f>159.1*100000000</f>
        <v>15910000000</v>
      </c>
      <c r="BG1046" s="8">
        <f t="shared" si="525"/>
        <v>0.54316197866149374</v>
      </c>
      <c r="BH1046" s="6" t="s">
        <v>11044</v>
      </c>
      <c r="BI1046" s="6" t="str">
        <f t="shared" si="509"/>
        <v>=103.1*100000000</v>
      </c>
      <c r="BJ1046" s="1">
        <f>103.1*100000000</f>
        <v>10310000000</v>
      </c>
      <c r="BK1046" s="6" t="s">
        <v>11045</v>
      </c>
      <c r="BL1046" s="1" t="str">
        <f t="shared" si="511"/>
        <v>=39.82*100000000</v>
      </c>
      <c r="BM1046" s="16">
        <f t="shared" si="526"/>
        <v>1.5891511803114013</v>
      </c>
      <c r="BN1046" s="1">
        <f>39.82*100000000</f>
        <v>3982000000</v>
      </c>
    </row>
    <row r="1047" spans="1:66">
      <c r="A1047" s="18"/>
      <c r="B1047">
        <v>600835</v>
      </c>
      <c r="C1047" t="s">
        <v>48</v>
      </c>
      <c r="D1047" s="6" t="s">
        <v>8803</v>
      </c>
      <c r="E1047" s="7" t="str">
        <f t="shared" si="510"/>
        <v>=12.32*100000000</v>
      </c>
      <c r="F1047" s="1">
        <f>12.32*100000000</f>
        <v>1232000000</v>
      </c>
      <c r="G1047" s="8">
        <f t="shared" si="512"/>
        <v>-0.23335407591785937</v>
      </c>
      <c r="H1047" s="6" t="s">
        <v>584</v>
      </c>
      <c r="I1047" s="6" t="str">
        <f t="shared" si="496"/>
        <v>=16.07*100000000</v>
      </c>
      <c r="J1047" s="1">
        <f>16.07*100000000</f>
        <v>1607000000</v>
      </c>
      <c r="K1047" s="10">
        <f t="shared" si="513"/>
        <v>0.54816955684007684</v>
      </c>
      <c r="L1047" s="6" t="s">
        <v>1188</v>
      </c>
      <c r="M1047" s="6" t="str">
        <f t="shared" si="497"/>
        <v>=10.38*100000000</v>
      </c>
      <c r="N1047" s="1">
        <f>10.38*100000000</f>
        <v>1038000000.0000001</v>
      </c>
      <c r="O1047" s="8">
        <f t="shared" si="514"/>
        <v>1.3796423658872079</v>
      </c>
      <c r="P1047" s="6" t="s">
        <v>11046</v>
      </c>
      <c r="Q1047" s="6" t="str">
        <f t="shared" si="498"/>
        <v>=4.362*100000000</v>
      </c>
      <c r="R1047" s="11">
        <f>4.362*100000000</f>
        <v>436200000</v>
      </c>
      <c r="S1047" s="8">
        <f t="shared" si="515"/>
        <v>-0.77469008264462813</v>
      </c>
      <c r="T1047" s="6" t="s">
        <v>1356</v>
      </c>
      <c r="U1047" s="6" t="str">
        <f t="shared" si="499"/>
        <v>=19.36*100000000</v>
      </c>
      <c r="V1047" s="1">
        <f>19.36*100000000</f>
        <v>1936000000</v>
      </c>
      <c r="W1047" s="8">
        <f t="shared" si="516"/>
        <v>0.22376738305941846</v>
      </c>
      <c r="X1047" s="6" t="s">
        <v>9144</v>
      </c>
      <c r="Y1047" s="6" t="str">
        <f t="shared" si="500"/>
        <v>=15.82*100000000</v>
      </c>
      <c r="Z1047" s="1">
        <f>15.82*100000000</f>
        <v>1582000000</v>
      </c>
      <c r="AA1047" s="8">
        <f t="shared" si="517"/>
        <v>0.5710029791459782</v>
      </c>
      <c r="AB1047" s="6" t="s">
        <v>5425</v>
      </c>
      <c r="AC1047" s="6" t="str">
        <f t="shared" si="501"/>
        <v>=10.07*100000000</v>
      </c>
      <c r="AD1047" s="1">
        <f>10.07*100000000</f>
        <v>1007000000</v>
      </c>
      <c r="AE1047" s="8">
        <f t="shared" si="518"/>
        <v>4.4579945799457992</v>
      </c>
      <c r="AF1047" s="6" t="s">
        <v>5286</v>
      </c>
      <c r="AG1047" s="6" t="str">
        <f t="shared" si="502"/>
        <v>=1.845*100000000</v>
      </c>
      <c r="AH1047" s="1">
        <f>1.845*100000000</f>
        <v>184500000</v>
      </c>
      <c r="AI1047" s="8">
        <f t="shared" si="519"/>
        <v>-0.90499485066941299</v>
      </c>
      <c r="AJ1047" s="6" t="s">
        <v>11047</v>
      </c>
      <c r="AK1047" s="6" t="str">
        <f t="shared" si="503"/>
        <v>=19.42*100000000</v>
      </c>
      <c r="AL1047" s="1">
        <f>19.42*100000000</f>
        <v>1942000000.0000002</v>
      </c>
      <c r="AM1047" s="8">
        <f t="shared" si="520"/>
        <v>0.22989233692210276</v>
      </c>
      <c r="AN1047" s="6" t="s">
        <v>7244</v>
      </c>
      <c r="AO1047" s="6" t="str">
        <f t="shared" si="504"/>
        <v>=15.79*100000000</v>
      </c>
      <c r="AP1047" s="1">
        <f>15.79*100000000</f>
        <v>1579000000</v>
      </c>
      <c r="AQ1047" s="8">
        <f t="shared" si="521"/>
        <v>0.49385052034058657</v>
      </c>
      <c r="AR1047" s="6" t="s">
        <v>930</v>
      </c>
      <c r="AS1047" s="6" t="str">
        <f t="shared" si="505"/>
        <v>=10.57*100000000</v>
      </c>
      <c r="AT1047" s="1">
        <f>10.57*100000000</f>
        <v>1057000000</v>
      </c>
      <c r="AU1047" s="8">
        <f t="shared" si="522"/>
        <v>1.576163782598099</v>
      </c>
      <c r="AV1047" s="6" t="s">
        <v>11048</v>
      </c>
      <c r="AW1047" s="6" t="str">
        <f t="shared" si="506"/>
        <v>=4.103*100000000</v>
      </c>
      <c r="AX1047" s="1">
        <f>4.103*100000000</f>
        <v>410300000</v>
      </c>
      <c r="AY1047" s="10">
        <f t="shared" si="523"/>
        <v>-0.82562685932851676</v>
      </c>
      <c r="AZ1047" s="6" t="s">
        <v>11049</v>
      </c>
      <c r="BA1047" s="6" t="str">
        <f t="shared" si="507"/>
        <v>=23.53*100000000</v>
      </c>
      <c r="BB1047" s="1">
        <f>23.53*100000000</f>
        <v>2353000000</v>
      </c>
      <c r="BC1047" s="8">
        <f t="shared" si="524"/>
        <v>0.19139240506329114</v>
      </c>
      <c r="BD1047" s="6" t="s">
        <v>2950</v>
      </c>
      <c r="BE1047" s="6" t="str">
        <f t="shared" si="508"/>
        <v>=19.75*100000000</v>
      </c>
      <c r="BF1047" s="1">
        <f>19.75*100000000</f>
        <v>1975000000</v>
      </c>
      <c r="BG1047" s="8">
        <f t="shared" si="525"/>
        <v>0.60569105691056913</v>
      </c>
      <c r="BH1047" s="6" t="s">
        <v>11050</v>
      </c>
      <c r="BI1047" s="6" t="str">
        <f t="shared" si="509"/>
        <v>=12.30*100000000</v>
      </c>
      <c r="BJ1047" s="1">
        <f>12.3*100000000</f>
        <v>1230000000</v>
      </c>
      <c r="BK1047" s="6" t="s">
        <v>6191</v>
      </c>
      <c r="BL1047" s="1" t="str">
        <f t="shared" si="511"/>
        <v>=4.550*100000000</v>
      </c>
      <c r="BM1047" s="16">
        <f t="shared" si="526"/>
        <v>1.7032967032967032</v>
      </c>
      <c r="BN1047" s="1">
        <f>4.55*100000000</f>
        <v>455000000</v>
      </c>
    </row>
    <row r="1048" spans="1:66">
      <c r="A1048" s="18"/>
      <c r="B1048">
        <v>600835</v>
      </c>
      <c r="C1048" t="s">
        <v>58</v>
      </c>
      <c r="D1048" s="6" t="s">
        <v>11051</v>
      </c>
      <c r="E1048" s="7" t="str">
        <f t="shared" si="510"/>
        <v>=12.85*100000000</v>
      </c>
      <c r="F1048" s="1">
        <f>12.85*100000000</f>
        <v>1285000000</v>
      </c>
      <c r="G1048" s="8">
        <f t="shared" si="512"/>
        <v>-0.20971709717097184</v>
      </c>
      <c r="H1048" s="6" t="s">
        <v>4012</v>
      </c>
      <c r="I1048" s="6" t="str">
        <f t="shared" si="496"/>
        <v>=16.26*100000000</v>
      </c>
      <c r="J1048" s="1">
        <f>16.26*100000000</f>
        <v>1626000000.0000002</v>
      </c>
      <c r="K1048" s="10">
        <f t="shared" si="513"/>
        <v>0.53686200378071858</v>
      </c>
      <c r="L1048" s="6" t="s">
        <v>1383</v>
      </c>
      <c r="M1048" s="6" t="str">
        <f t="shared" si="497"/>
        <v>=10.58*100000000</v>
      </c>
      <c r="N1048" s="1">
        <f>10.58*100000000</f>
        <v>1058000000</v>
      </c>
      <c r="O1048" s="8">
        <f t="shared" si="514"/>
        <v>1.4166285975331201</v>
      </c>
      <c r="P1048" s="6" t="s">
        <v>11052</v>
      </c>
      <c r="Q1048" s="6" t="str">
        <f t="shared" si="498"/>
        <v>=4.378*100000000</v>
      </c>
      <c r="R1048" s="11">
        <f>4.378*100000000</f>
        <v>437800000</v>
      </c>
      <c r="S1048" s="8">
        <f t="shared" si="515"/>
        <v>-0.7778792491121258</v>
      </c>
      <c r="T1048" s="6" t="s">
        <v>599</v>
      </c>
      <c r="U1048" s="6" t="str">
        <f t="shared" si="499"/>
        <v>=19.71*100000000</v>
      </c>
      <c r="V1048" s="1">
        <f>19.71*100000000</f>
        <v>1971000000</v>
      </c>
      <c r="W1048" s="8">
        <f t="shared" si="516"/>
        <v>0.23806532663316582</v>
      </c>
      <c r="X1048" s="6" t="s">
        <v>7437</v>
      </c>
      <c r="Y1048" s="6" t="str">
        <f t="shared" si="500"/>
        <v>=15.92*100000000</v>
      </c>
      <c r="Z1048" s="1">
        <f>15.92*100000000</f>
        <v>1592000000</v>
      </c>
      <c r="AA1048" s="8">
        <f t="shared" si="517"/>
        <v>0.57623762376237619</v>
      </c>
      <c r="AB1048" s="6" t="s">
        <v>3659</v>
      </c>
      <c r="AC1048" s="6" t="str">
        <f t="shared" si="501"/>
        <v>=10.10*100000000</v>
      </c>
      <c r="AD1048" s="1">
        <f>10.1*100000000</f>
        <v>1010000000</v>
      </c>
      <c r="AE1048" s="8">
        <f t="shared" si="518"/>
        <v>4.3895410885805761</v>
      </c>
      <c r="AF1048" s="6" t="s">
        <v>11053</v>
      </c>
      <c r="AG1048" s="6" t="str">
        <f t="shared" si="502"/>
        <v>=1.874*100000000</v>
      </c>
      <c r="AH1048" s="1">
        <f>1.874*100000000</f>
        <v>187400000</v>
      </c>
      <c r="AI1048" s="8">
        <f t="shared" si="519"/>
        <v>-0.90554435483870965</v>
      </c>
      <c r="AJ1048" s="6" t="s">
        <v>3607</v>
      </c>
      <c r="AK1048" s="6" t="str">
        <f t="shared" si="503"/>
        <v>=19.84*100000000</v>
      </c>
      <c r="AL1048" s="1">
        <f>19.84*100000000</f>
        <v>1984000000</v>
      </c>
      <c r="AM1048" s="8">
        <f t="shared" si="520"/>
        <v>0.26288987905792488</v>
      </c>
      <c r="AN1048" s="6" t="s">
        <v>10866</v>
      </c>
      <c r="AO1048" s="6" t="str">
        <f t="shared" si="504"/>
        <v>=15.71*100000000</v>
      </c>
      <c r="AP1048" s="1">
        <f>15.71*100000000</f>
        <v>1571000000</v>
      </c>
      <c r="AQ1048" s="8">
        <f t="shared" si="521"/>
        <v>0.49476688867745006</v>
      </c>
      <c r="AR1048" s="6" t="s">
        <v>7500</v>
      </c>
      <c r="AS1048" s="6" t="str">
        <f t="shared" si="505"/>
        <v>=10.51*100000000</v>
      </c>
      <c r="AT1048" s="1">
        <f>10.51*100000000</f>
        <v>1051000000</v>
      </c>
      <c r="AU1048" s="8">
        <f t="shared" si="522"/>
        <v>1.5559338521400778</v>
      </c>
      <c r="AV1048" s="6" t="s">
        <v>11054</v>
      </c>
      <c r="AW1048" s="6" t="str">
        <f t="shared" si="506"/>
        <v>=4.112*100000000</v>
      </c>
      <c r="AX1048" s="1">
        <f>4.112*100000000</f>
        <v>411200000</v>
      </c>
      <c r="AY1048" s="10">
        <f t="shared" si="523"/>
        <v>-0.83050288540807915</v>
      </c>
      <c r="AZ1048" s="6" t="s">
        <v>11055</v>
      </c>
      <c r="BA1048" s="6" t="str">
        <f t="shared" si="507"/>
        <v>=24.26*100000000</v>
      </c>
      <c r="BB1048" s="1">
        <f>24.26*100000000</f>
        <v>2426000000</v>
      </c>
      <c r="BC1048" s="8">
        <f t="shared" si="524"/>
        <v>0.23523421588594703</v>
      </c>
      <c r="BD1048" s="6" t="s">
        <v>2632</v>
      </c>
      <c r="BE1048" s="6" t="str">
        <f t="shared" si="508"/>
        <v>=19.64*100000000</v>
      </c>
      <c r="BF1048" s="1">
        <f>19.64*100000000</f>
        <v>1964000000</v>
      </c>
      <c r="BG1048" s="8">
        <f t="shared" si="525"/>
        <v>0.61247947454844009</v>
      </c>
      <c r="BH1048" s="6" t="s">
        <v>11056</v>
      </c>
      <c r="BI1048" s="6" t="str">
        <f t="shared" si="509"/>
        <v>=12.18*100000000</v>
      </c>
      <c r="BJ1048" s="1">
        <f>12.18*100000000</f>
        <v>1218000000</v>
      </c>
      <c r="BK1048" s="6" t="s">
        <v>5829</v>
      </c>
      <c r="BL1048" s="1" t="str">
        <f t="shared" si="511"/>
        <v>=4.542*100000000</v>
      </c>
      <c r="BM1048" s="16">
        <f t="shared" si="526"/>
        <v>1.6816380449141348</v>
      </c>
      <c r="BN1048" s="1">
        <f>4.542*100000000</f>
        <v>454200000</v>
      </c>
    </row>
    <row r="1049" spans="1:66">
      <c r="A1049" s="19"/>
      <c r="B1049">
        <v>600835</v>
      </c>
      <c r="C1049" t="s">
        <v>68</v>
      </c>
      <c r="D1049" s="6" t="s">
        <v>6864</v>
      </c>
      <c r="E1049" s="7" t="str">
        <f t="shared" si="510"/>
        <v>=11.73*100000000</v>
      </c>
      <c r="F1049" s="1">
        <f>11.73*100000000</f>
        <v>1173000000</v>
      </c>
      <c r="G1049" s="8">
        <f t="shared" si="512"/>
        <v>-0.20796758946657665</v>
      </c>
      <c r="H1049" s="6" t="s">
        <v>11057</v>
      </c>
      <c r="I1049" s="6" t="str">
        <f t="shared" si="496"/>
        <v>=14.81*100000000</v>
      </c>
      <c r="J1049" s="1">
        <f>14.81*100000000</f>
        <v>1481000000</v>
      </c>
      <c r="K1049" s="10">
        <f t="shared" si="513"/>
        <v>0.51091613956335447</v>
      </c>
      <c r="L1049" s="6" t="s">
        <v>11058</v>
      </c>
      <c r="M1049" s="6" t="str">
        <f t="shared" si="497"/>
        <v>=9.802*100000000</v>
      </c>
      <c r="N1049" s="1">
        <f>9.802*100000000</f>
        <v>980200000</v>
      </c>
      <c r="O1049" s="8">
        <f t="shared" si="514"/>
        <v>1.5506115014311737</v>
      </c>
      <c r="P1049" s="6" t="s">
        <v>11059</v>
      </c>
      <c r="Q1049" s="6" t="str">
        <f t="shared" si="498"/>
        <v>=3.843*100000000</v>
      </c>
      <c r="R1049" s="11">
        <f>3.843*100000000</f>
        <v>384300000</v>
      </c>
      <c r="S1049" s="8">
        <f t="shared" si="515"/>
        <v>-0.78482642777155653</v>
      </c>
      <c r="T1049" s="6" t="s">
        <v>7590</v>
      </c>
      <c r="U1049" s="6" t="str">
        <f t="shared" si="499"/>
        <v>=17.86*100000000</v>
      </c>
      <c r="V1049" s="1">
        <f>17.86*100000000</f>
        <v>1786000000</v>
      </c>
      <c r="W1049" s="8">
        <f t="shared" si="516"/>
        <v>0.23257418909592822</v>
      </c>
      <c r="X1049" s="6" t="s">
        <v>1838</v>
      </c>
      <c r="Y1049" s="6" t="str">
        <f t="shared" si="500"/>
        <v>=14.49*100000000</v>
      </c>
      <c r="Z1049" s="1">
        <f>14.49*100000000</f>
        <v>1449000000</v>
      </c>
      <c r="AA1049" s="8">
        <f t="shared" si="517"/>
        <v>0.54345973583297824</v>
      </c>
      <c r="AB1049" s="6" t="s">
        <v>8399</v>
      </c>
      <c r="AC1049" s="6" t="str">
        <f t="shared" si="501"/>
        <v>=9.388*100000000</v>
      </c>
      <c r="AD1049" s="1">
        <f>9.388*100000000</f>
        <v>938800000</v>
      </c>
      <c r="AE1049" s="8">
        <f t="shared" si="518"/>
        <v>4.7701290719114935</v>
      </c>
      <c r="AF1049" s="6" t="s">
        <v>3965</v>
      </c>
      <c r="AG1049" s="6" t="str">
        <f t="shared" si="502"/>
        <v>=1.627*100000000</v>
      </c>
      <c r="AH1049" s="1">
        <f>1.627*100000000</f>
        <v>162700000</v>
      </c>
      <c r="AI1049" s="8">
        <f t="shared" si="519"/>
        <v>-0.90874929893438028</v>
      </c>
      <c r="AJ1049" s="6" t="s">
        <v>3862</v>
      </c>
      <c r="AK1049" s="6" t="str">
        <f t="shared" si="503"/>
        <v>=17.83*100000000</v>
      </c>
      <c r="AL1049" s="1">
        <f>17.83*100000000</f>
        <v>1782999999.9999998</v>
      </c>
      <c r="AM1049" s="8">
        <f t="shared" si="520"/>
        <v>0.24947442186405028</v>
      </c>
      <c r="AN1049" s="6" t="s">
        <v>1974</v>
      </c>
      <c r="AO1049" s="6" t="str">
        <f t="shared" si="504"/>
        <v>=14.27*100000000</v>
      </c>
      <c r="AP1049" s="1">
        <f>14.27*100000000</f>
        <v>1427000000</v>
      </c>
      <c r="AQ1049" s="8">
        <f t="shared" si="521"/>
        <v>0.46179061667691046</v>
      </c>
      <c r="AR1049" s="6" t="s">
        <v>11060</v>
      </c>
      <c r="AS1049" s="6" t="str">
        <f t="shared" si="505"/>
        <v>=9.762*100000000</v>
      </c>
      <c r="AT1049" s="1">
        <f>9.762*100000000</f>
        <v>976200000</v>
      </c>
      <c r="AU1049" s="8">
        <f t="shared" si="522"/>
        <v>1.7214942849177586</v>
      </c>
      <c r="AV1049" s="6" t="s">
        <v>1288</v>
      </c>
      <c r="AW1049" s="6" t="str">
        <f t="shared" si="506"/>
        <v>=3.587*100000000</v>
      </c>
      <c r="AX1049" s="1">
        <f>3.587*100000000</f>
        <v>358700000</v>
      </c>
      <c r="AY1049" s="10">
        <f t="shared" si="523"/>
        <v>-0.83206928838951311</v>
      </c>
      <c r="AZ1049" s="6" t="s">
        <v>2674</v>
      </c>
      <c r="BA1049" s="6" t="str">
        <f t="shared" si="507"/>
        <v>=21.36*100000000</v>
      </c>
      <c r="BB1049" s="1">
        <f>21.36*100000000</f>
        <v>2136000000</v>
      </c>
      <c r="BC1049" s="8">
        <f t="shared" si="524"/>
        <v>0.2304147465437788</v>
      </c>
      <c r="BD1049" s="6" t="s">
        <v>3629</v>
      </c>
      <c r="BE1049" s="6" t="str">
        <f t="shared" si="508"/>
        <v>=17.36*100000000</v>
      </c>
      <c r="BF1049" s="1">
        <f>17.36*100000000</f>
        <v>1736000000</v>
      </c>
      <c r="BG1049" s="8">
        <f t="shared" si="525"/>
        <v>0.59266055045871557</v>
      </c>
      <c r="BH1049" s="6" t="s">
        <v>7435</v>
      </c>
      <c r="BI1049" s="6" t="str">
        <f t="shared" si="509"/>
        <v>=10.90*100000000</v>
      </c>
      <c r="BJ1049" s="1">
        <f>10.9*100000000</f>
        <v>1090000000</v>
      </c>
      <c r="BK1049" s="6" t="s">
        <v>11061</v>
      </c>
      <c r="BL1049" s="1" t="str">
        <f t="shared" si="511"/>
        <v>=3.950*100000000</v>
      </c>
      <c r="BM1049" s="16">
        <f t="shared" si="526"/>
        <v>1.759493670886076</v>
      </c>
      <c r="BN1049" s="1">
        <f>3.95*100000000</f>
        <v>395000000</v>
      </c>
    </row>
    <row r="1050" spans="1:66">
      <c r="A1050" s="17">
        <v>264</v>
      </c>
      <c r="B1050">
        <v>600836</v>
      </c>
      <c r="C1050" t="s">
        <v>31</v>
      </c>
      <c r="D1050" s="6" t="s">
        <v>11062</v>
      </c>
      <c r="E1050" s="7" t="str">
        <f t="shared" si="510"/>
        <v>=8.331*100000000</v>
      </c>
      <c r="F1050" s="1">
        <f>8.331*100000000</f>
        <v>833100000</v>
      </c>
      <c r="G1050" s="8">
        <f t="shared" si="512"/>
        <v>0.41563296516567544</v>
      </c>
      <c r="H1050" s="6" t="s">
        <v>6017</v>
      </c>
      <c r="I1050" s="6" t="str">
        <f t="shared" si="496"/>
        <v>=5.885*100000000</v>
      </c>
      <c r="J1050" s="1">
        <f>5.885*100000000</f>
        <v>588500000</v>
      </c>
      <c r="K1050" s="10">
        <f t="shared" si="513"/>
        <v>0.35755478662053058</v>
      </c>
      <c r="L1050" s="6" t="s">
        <v>11063</v>
      </c>
      <c r="M1050" s="6" t="str">
        <f t="shared" si="497"/>
        <v>=4.335*100000000</v>
      </c>
      <c r="N1050" s="1">
        <f>4.335*100000000</f>
        <v>433500000</v>
      </c>
      <c r="O1050" s="8">
        <f t="shared" si="514"/>
        <v>0.70400943396226412</v>
      </c>
      <c r="P1050" s="6" t="s">
        <v>11064</v>
      </c>
      <c r="Q1050" s="6" t="str">
        <f t="shared" si="498"/>
        <v>=2.544*100000000</v>
      </c>
      <c r="R1050" s="11">
        <f>2.544*100000000</f>
        <v>254400000</v>
      </c>
      <c r="S1050" s="8">
        <f t="shared" si="515"/>
        <v>-0.88399452804377565</v>
      </c>
      <c r="T1050" s="6" t="s">
        <v>11065</v>
      </c>
      <c r="U1050" s="6" t="str">
        <f t="shared" si="499"/>
        <v>=21.93*100000000</v>
      </c>
      <c r="V1050" s="1">
        <f>21.93*100000000</f>
        <v>2193000000</v>
      </c>
      <c r="W1050" s="8">
        <f t="shared" si="516"/>
        <v>0.1529968454258675</v>
      </c>
      <c r="X1050" s="6" t="s">
        <v>11066</v>
      </c>
      <c r="Y1050" s="6" t="str">
        <f t="shared" si="500"/>
        <v>=19.02*100000000</v>
      </c>
      <c r="Z1050" s="1">
        <f>19.02*100000000</f>
        <v>1902000000</v>
      </c>
      <c r="AA1050" s="8">
        <f t="shared" si="517"/>
        <v>0.18652526512788523</v>
      </c>
      <c r="AB1050" s="6" t="s">
        <v>5389</v>
      </c>
      <c r="AC1050" s="6" t="str">
        <f t="shared" si="501"/>
        <v>=16.03*100000000</v>
      </c>
      <c r="AD1050" s="1">
        <f>16.03*100000000</f>
        <v>1603000000</v>
      </c>
      <c r="AE1050" s="8">
        <f t="shared" si="518"/>
        <v>0.15158045977011494</v>
      </c>
      <c r="AF1050" s="6" t="s">
        <v>7089</v>
      </c>
      <c r="AG1050" s="6" t="str">
        <f t="shared" si="502"/>
        <v>=13.92*100000000</v>
      </c>
      <c r="AH1050" s="1">
        <f>13.92*100000000</f>
        <v>1392000000</v>
      </c>
      <c r="AI1050" s="8">
        <f t="shared" si="519"/>
        <v>0.27355901189387011</v>
      </c>
      <c r="AJ1050" s="6" t="s">
        <v>1379</v>
      </c>
      <c r="AK1050" s="6" t="str">
        <f t="shared" si="503"/>
        <v>=10.93*100000000</v>
      </c>
      <c r="AL1050" s="1">
        <f>10.93*100000000</f>
        <v>1093000000</v>
      </c>
      <c r="AM1050" s="8">
        <f t="shared" si="520"/>
        <v>0.35979099278427468</v>
      </c>
      <c r="AN1050" s="6" t="s">
        <v>11067</v>
      </c>
      <c r="AO1050" s="6" t="str">
        <f t="shared" si="504"/>
        <v>=8.038*100000000</v>
      </c>
      <c r="AP1050" s="1">
        <f>8.038*100000000</f>
        <v>803800000</v>
      </c>
      <c r="AQ1050" s="8">
        <f t="shared" si="521"/>
        <v>0.5430984833941257</v>
      </c>
      <c r="AR1050" s="6" t="s">
        <v>4011</v>
      </c>
      <c r="AS1050" s="6" t="str">
        <f t="shared" si="505"/>
        <v>=5.209*100000000</v>
      </c>
      <c r="AT1050" s="1">
        <f>5.209*100000000</f>
        <v>520899999.99999994</v>
      </c>
      <c r="AU1050" s="8">
        <f t="shared" si="522"/>
        <v>0.92214022140221386</v>
      </c>
      <c r="AV1050" s="6" t="s">
        <v>11068</v>
      </c>
      <c r="AW1050" s="6" t="str">
        <f t="shared" si="506"/>
        <v>=2.710*100000000</v>
      </c>
      <c r="AX1050" s="1">
        <f>2.71*100000000</f>
        <v>271000000</v>
      </c>
      <c r="AY1050" s="10">
        <f t="shared" si="523"/>
        <v>-0.80102790014684289</v>
      </c>
      <c r="AZ1050" s="6" t="s">
        <v>8910</v>
      </c>
      <c r="BA1050" s="6" t="str">
        <f t="shared" si="507"/>
        <v>=13.62*100000000</v>
      </c>
      <c r="BB1050" s="1">
        <f>13.62*100000000</f>
        <v>1362000000</v>
      </c>
      <c r="BC1050" s="8">
        <f t="shared" si="524"/>
        <v>0.32619279454722494</v>
      </c>
      <c r="BD1050" s="6" t="s">
        <v>11069</v>
      </c>
      <c r="BE1050" s="6" t="str">
        <f t="shared" si="508"/>
        <v>=10.27*100000000</v>
      </c>
      <c r="BF1050" s="1">
        <f>10.27*100000000</f>
        <v>1027000000</v>
      </c>
      <c r="BG1050" s="8">
        <f t="shared" si="525"/>
        <v>0.39670882632938936</v>
      </c>
      <c r="BH1050" s="6" t="s">
        <v>500</v>
      </c>
      <c r="BI1050" s="6" t="str">
        <f t="shared" si="509"/>
        <v>=7.353*100000000</v>
      </c>
      <c r="BJ1050" s="1">
        <f>7.353*100000000</f>
        <v>735300000</v>
      </c>
      <c r="BK1050" s="6" t="s">
        <v>11070</v>
      </c>
      <c r="BL1050" s="1" t="str">
        <f t="shared" si="511"/>
        <v>=4.129*100000000</v>
      </c>
      <c r="BM1050" s="16">
        <f t="shared" si="526"/>
        <v>0.7808186001453139</v>
      </c>
      <c r="BN1050" s="1">
        <f>4.129*100000000</f>
        <v>412899999.99999994</v>
      </c>
    </row>
    <row r="1051" spans="1:66">
      <c r="A1051" s="18"/>
      <c r="B1051">
        <v>600836</v>
      </c>
      <c r="C1051" t="s">
        <v>48</v>
      </c>
      <c r="D1051" s="6" t="s">
        <v>10515</v>
      </c>
      <c r="E1051" s="7" t="str">
        <f t="shared" si="510"/>
        <v>=2.383*100000000</v>
      </c>
      <c r="F1051" s="1">
        <f>2.383*100000000</f>
        <v>238300000</v>
      </c>
      <c r="G1051" s="8">
        <f t="shared" si="512"/>
        <v>0.47554179566563465</v>
      </c>
      <c r="H1051" s="6" t="s">
        <v>9037</v>
      </c>
      <c r="I1051" s="6" t="str">
        <f t="shared" si="496"/>
        <v>=1.615*100000000</v>
      </c>
      <c r="J1051" s="1">
        <f>1.615*100000000</f>
        <v>161500000</v>
      </c>
      <c r="K1051" s="10">
        <f t="shared" si="513"/>
        <v>-0.11989100817438691</v>
      </c>
      <c r="L1051" s="6" t="s">
        <v>2747</v>
      </c>
      <c r="M1051" s="6" t="str">
        <f t="shared" si="497"/>
        <v>=1.835*100000000</v>
      </c>
      <c r="N1051" s="1">
        <f>1.835*100000000</f>
        <v>183500000</v>
      </c>
      <c r="O1051" s="8">
        <f t="shared" si="514"/>
        <v>16.937438905180841</v>
      </c>
      <c r="P1051" s="7" t="s">
        <v>10484</v>
      </c>
      <c r="Q1051" s="6" t="str">
        <f t="shared" si="498"/>
        <v>=1023*10000</v>
      </c>
      <c r="R1051" s="11">
        <f>1023*10000</f>
        <v>10230000</v>
      </c>
      <c r="S1051" s="8">
        <f t="shared" si="515"/>
        <v>-0.96531027466937946</v>
      </c>
      <c r="T1051" s="6" t="s">
        <v>130</v>
      </c>
      <c r="U1051" s="6" t="str">
        <f t="shared" si="499"/>
        <v>=2.949*100000000</v>
      </c>
      <c r="V1051" s="1">
        <f>2.949*100000000</f>
        <v>294900000</v>
      </c>
      <c r="W1051" s="8">
        <f t="shared" si="516"/>
        <v>5.7368232341340981E-2</v>
      </c>
      <c r="X1051" s="6" t="s">
        <v>11071</v>
      </c>
      <c r="Y1051" s="6" t="str">
        <f t="shared" si="500"/>
        <v>=2.789*100000000</v>
      </c>
      <c r="Z1051" s="1">
        <f>2.789*100000000</f>
        <v>278900000</v>
      </c>
      <c r="AA1051" s="8">
        <f t="shared" si="517"/>
        <v>6.4958498736918079E-3</v>
      </c>
      <c r="AB1051" s="6" t="s">
        <v>11072</v>
      </c>
      <c r="AC1051" s="6" t="str">
        <f t="shared" si="501"/>
        <v>=2.771*100000000</v>
      </c>
      <c r="AD1051" s="1">
        <f>2.771*100000000</f>
        <v>277100000</v>
      </c>
      <c r="AE1051" s="8">
        <f t="shared" si="518"/>
        <v>-7.5717144763175454E-2</v>
      </c>
      <c r="AF1051" s="6" t="s">
        <v>8259</v>
      </c>
      <c r="AG1051" s="6" t="str">
        <f t="shared" si="502"/>
        <v>=2.998*100000000</v>
      </c>
      <c r="AH1051" s="1">
        <f>2.998*100000000</f>
        <v>299800000</v>
      </c>
      <c r="AI1051" s="8">
        <f t="shared" si="519"/>
        <v>-3.8097469540768509</v>
      </c>
      <c r="AJ1051" s="6">
        <f>-1.067*100000000</f>
        <v>-106700000</v>
      </c>
      <c r="AK1051" s="6" t="str">
        <f t="shared" si="503"/>
        <v>=-106700000</v>
      </c>
      <c r="AL1051" s="1">
        <f>-106700000</f>
        <v>-106700000</v>
      </c>
      <c r="AM1051" s="8">
        <f t="shared" si="520"/>
        <v>0.72569949862526284</v>
      </c>
      <c r="AN1051" s="7">
        <f>-6183*10000</f>
        <v>-61830000</v>
      </c>
      <c r="AO1051" s="6" t="str">
        <f t="shared" si="504"/>
        <v>=-61830000</v>
      </c>
      <c r="AP1051" s="1">
        <f>-61830000</f>
        <v>-61830000</v>
      </c>
      <c r="AQ1051" s="8">
        <f t="shared" si="521"/>
        <v>0.97099139305068538</v>
      </c>
      <c r="AR1051" s="7">
        <f>-3137*10000</f>
        <v>-31370000</v>
      </c>
      <c r="AS1051" s="6" t="str">
        <f t="shared" si="505"/>
        <v>=-31370000</v>
      </c>
      <c r="AT1051" s="1">
        <f>-31370000</f>
        <v>-31370000</v>
      </c>
      <c r="AU1051" s="8">
        <f t="shared" si="522"/>
        <v>1.0343709468223088</v>
      </c>
      <c r="AV1051" s="7">
        <f>-1542*10000</f>
        <v>-15420000</v>
      </c>
      <c r="AW1051" s="6" t="str">
        <f t="shared" si="506"/>
        <v>=-15420000</v>
      </c>
      <c r="AX1051" s="1">
        <f>-15420000</f>
        <v>-15420000</v>
      </c>
      <c r="AY1051" s="10">
        <f t="shared" si="523"/>
        <v>0.21417322834645669</v>
      </c>
      <c r="AZ1051" s="7">
        <f>-1270*10000</f>
        <v>-12700000</v>
      </c>
      <c r="BA1051" s="6" t="str">
        <f t="shared" si="507"/>
        <v>=-12700000</v>
      </c>
      <c r="BB1051" s="1">
        <f>-12700000</f>
        <v>-12700000</v>
      </c>
      <c r="BC1051" s="8">
        <f t="shared" si="524"/>
        <v>-3.8424350940017904</v>
      </c>
      <c r="BD1051" s="7" t="s">
        <v>11073</v>
      </c>
      <c r="BE1051" s="6" t="str">
        <f t="shared" si="508"/>
        <v>=446.8*10000</v>
      </c>
      <c r="BF1051" s="1">
        <f>446.8*10000</f>
        <v>4468000</v>
      </c>
      <c r="BG1051" s="8">
        <f t="shared" si="525"/>
        <v>-0.69334248455730951</v>
      </c>
      <c r="BH1051" s="7" t="s">
        <v>11074</v>
      </c>
      <c r="BI1051" s="6" t="str">
        <f t="shared" si="509"/>
        <v>=1457*10000</v>
      </c>
      <c r="BJ1051" s="1">
        <f>1457*10000</f>
        <v>14570000</v>
      </c>
      <c r="BK1051" s="7" t="s">
        <v>4197</v>
      </c>
      <c r="BL1051" s="1" t="str">
        <f t="shared" si="511"/>
        <v>=984.0*10000</v>
      </c>
      <c r="BM1051" s="16">
        <f t="shared" si="526"/>
        <v>0.48069105691056913</v>
      </c>
      <c r="BN1051" s="1">
        <f>984*10000</f>
        <v>9840000</v>
      </c>
    </row>
    <row r="1052" spans="1:66">
      <c r="A1052" s="18"/>
      <c r="B1052">
        <v>600836</v>
      </c>
      <c r="C1052" t="s">
        <v>58</v>
      </c>
      <c r="D1052" s="6" t="s">
        <v>11075</v>
      </c>
      <c r="E1052" s="7" t="str">
        <f t="shared" si="510"/>
        <v>=2.418*100000000</v>
      </c>
      <c r="F1052" s="1">
        <f>2.418*100000000</f>
        <v>241800000.00000003</v>
      </c>
      <c r="G1052" s="8">
        <f t="shared" si="512"/>
        <v>0.49443757725587162</v>
      </c>
      <c r="H1052" s="6" t="s">
        <v>1779</v>
      </c>
      <c r="I1052" s="6" t="str">
        <f t="shared" si="496"/>
        <v>=1.618*100000000</v>
      </c>
      <c r="J1052" s="1">
        <f>1.618*100000000</f>
        <v>161800000</v>
      </c>
      <c r="K1052" s="10">
        <f t="shared" si="513"/>
        <v>-0.11921611322808928</v>
      </c>
      <c r="L1052" s="6" t="s">
        <v>5746</v>
      </c>
      <c r="M1052" s="6" t="str">
        <f t="shared" si="497"/>
        <v>=1.837*100000000</v>
      </c>
      <c r="N1052" s="1">
        <f>1.837*100000000</f>
        <v>183700000</v>
      </c>
      <c r="O1052" s="8">
        <f t="shared" si="514"/>
        <v>16.595785440613028</v>
      </c>
      <c r="P1052" s="7" t="s">
        <v>8361</v>
      </c>
      <c r="Q1052" s="6" t="str">
        <f t="shared" si="498"/>
        <v>=1044*10000</v>
      </c>
      <c r="R1052" s="11">
        <f>1044*10000</f>
        <v>10440000</v>
      </c>
      <c r="S1052" s="8">
        <f t="shared" si="515"/>
        <v>-0.96491935483870972</v>
      </c>
      <c r="T1052" s="6" t="s">
        <v>4159</v>
      </c>
      <c r="U1052" s="6" t="str">
        <f t="shared" si="499"/>
        <v>=2.976*100000000</v>
      </c>
      <c r="V1052" s="1">
        <f>2.976*100000000</f>
        <v>297600000</v>
      </c>
      <c r="W1052" s="8">
        <f t="shared" si="516"/>
        <v>3.9106145251396648E-2</v>
      </c>
      <c r="X1052" s="6" t="s">
        <v>11076</v>
      </c>
      <c r="Y1052" s="6" t="str">
        <f t="shared" si="500"/>
        <v>=2.864*100000000</v>
      </c>
      <c r="Z1052" s="1">
        <f>2.864*100000000</f>
        <v>286400000</v>
      </c>
      <c r="AA1052" s="8">
        <f t="shared" si="517"/>
        <v>1.2014134275618375E-2</v>
      </c>
      <c r="AB1052" s="6" t="s">
        <v>11077</v>
      </c>
      <c r="AC1052" s="6" t="str">
        <f t="shared" si="501"/>
        <v>=2.830*100000000</v>
      </c>
      <c r="AD1052" s="1">
        <f>2.83*100000000</f>
        <v>283000000</v>
      </c>
      <c r="AE1052" s="8">
        <f t="shared" si="518"/>
        <v>-5.6666666666666664E-2</v>
      </c>
      <c r="AF1052" s="6" t="s">
        <v>11078</v>
      </c>
      <c r="AG1052" s="6" t="str">
        <f t="shared" si="502"/>
        <v>=3.000*100000000</v>
      </c>
      <c r="AH1052" s="1">
        <f>3*100000000</f>
        <v>300000000</v>
      </c>
      <c r="AI1052" s="8">
        <f t="shared" si="519"/>
        <v>-4.0066145520144314</v>
      </c>
      <c r="AJ1052" s="7">
        <f>-9978*10000</f>
        <v>-99780000</v>
      </c>
      <c r="AK1052" s="6" t="str">
        <f t="shared" si="503"/>
        <v>=-99780000</v>
      </c>
      <c r="AL1052" s="1">
        <f>-99780000</f>
        <v>-99780000</v>
      </c>
      <c r="AM1052" s="8">
        <f t="shared" si="520"/>
        <v>0.78114958943234558</v>
      </c>
      <c r="AN1052" s="7">
        <f>-5602*10000</f>
        <v>-56020000</v>
      </c>
      <c r="AO1052" s="6" t="str">
        <f t="shared" si="504"/>
        <v>=-56020000</v>
      </c>
      <c r="AP1052" s="1">
        <f>-56020000</f>
        <v>-56020000</v>
      </c>
      <c r="AQ1052" s="8">
        <f t="shared" si="521"/>
        <v>0.97114707952146373</v>
      </c>
      <c r="AR1052" s="7">
        <f>-2842*10000</f>
        <v>-28420000</v>
      </c>
      <c r="AS1052" s="6" t="str">
        <f t="shared" si="505"/>
        <v>=-28420000</v>
      </c>
      <c r="AT1052" s="1">
        <f>-28420000</f>
        <v>-28420000</v>
      </c>
      <c r="AU1052" s="8">
        <f t="shared" si="522"/>
        <v>0.85026041666666663</v>
      </c>
      <c r="AV1052" s="7">
        <f>-1536*10000</f>
        <v>-15360000</v>
      </c>
      <c r="AW1052" s="6" t="str">
        <f t="shared" si="506"/>
        <v>=-15360000</v>
      </c>
      <c r="AX1052" s="1">
        <f>-15360000</f>
        <v>-15360000</v>
      </c>
      <c r="AY1052" s="10">
        <f t="shared" si="523"/>
        <v>1.4890617403986388</v>
      </c>
      <c r="AZ1052" s="7">
        <f>-617.1*10000</f>
        <v>-6171000</v>
      </c>
      <c r="BA1052" s="6" t="str">
        <f t="shared" si="507"/>
        <v>=-6171000</v>
      </c>
      <c r="BB1052" s="1">
        <f>-6171000</f>
        <v>-6171000</v>
      </c>
      <c r="BC1052" s="8">
        <f t="shared" si="524"/>
        <v>-1.6446928541579606</v>
      </c>
      <c r="BD1052" s="7" t="s">
        <v>7461</v>
      </c>
      <c r="BE1052" s="6" t="str">
        <f t="shared" si="508"/>
        <v>=957.2*10000</v>
      </c>
      <c r="BF1052" s="1">
        <f>957.2*10000</f>
        <v>9572000</v>
      </c>
      <c r="BG1052" s="8">
        <f t="shared" si="525"/>
        <v>-0.40398505603985058</v>
      </c>
      <c r="BH1052" s="7" t="s">
        <v>11079</v>
      </c>
      <c r="BI1052" s="6" t="str">
        <f t="shared" si="509"/>
        <v>=1606*10000</v>
      </c>
      <c r="BJ1052" s="1">
        <f>1606*10000</f>
        <v>16060000</v>
      </c>
      <c r="BK1052" s="7" t="s">
        <v>3090</v>
      </c>
      <c r="BL1052" s="1" t="str">
        <f t="shared" si="511"/>
        <v>=1058*10000</v>
      </c>
      <c r="BM1052" s="16">
        <f t="shared" si="526"/>
        <v>0.51795841209829863</v>
      </c>
      <c r="BN1052" s="1">
        <f>1058*10000</f>
        <v>10580000</v>
      </c>
    </row>
    <row r="1053" spans="1:66">
      <c r="A1053" s="19"/>
      <c r="B1053">
        <v>600836</v>
      </c>
      <c r="C1053" t="s">
        <v>68</v>
      </c>
      <c r="D1053" s="6" t="s">
        <v>8872</v>
      </c>
      <c r="E1053" s="7" t="str">
        <f t="shared" si="510"/>
        <v>=2.080*100000000</v>
      </c>
      <c r="F1053" s="1">
        <f>2.08*100000000</f>
        <v>208000000</v>
      </c>
      <c r="G1053" s="8">
        <f t="shared" si="512"/>
        <v>0.6099071207430341</v>
      </c>
      <c r="H1053" s="6" t="s">
        <v>11080</v>
      </c>
      <c r="I1053" s="6" t="str">
        <f t="shared" si="496"/>
        <v>=1.292*100000000</v>
      </c>
      <c r="J1053" s="1">
        <f>1.292*100000000</f>
        <v>129200000</v>
      </c>
      <c r="K1053" s="10">
        <f t="shared" si="513"/>
        <v>-0.12049012933968686</v>
      </c>
      <c r="L1053" s="6" t="s">
        <v>8513</v>
      </c>
      <c r="M1053" s="6" t="str">
        <f t="shared" si="497"/>
        <v>=1.469*100000000</v>
      </c>
      <c r="N1053" s="1">
        <f>1.469*100000000</f>
        <v>146900000</v>
      </c>
      <c r="O1053" s="8">
        <f t="shared" si="514"/>
        <v>18.433787538034132</v>
      </c>
      <c r="P1053" s="7" t="s">
        <v>11081</v>
      </c>
      <c r="Q1053" s="6" t="str">
        <f t="shared" si="498"/>
        <v>=755.9*10000</v>
      </c>
      <c r="R1053" s="11">
        <f>755.9*10000</f>
        <v>7559000</v>
      </c>
      <c r="S1053" s="8">
        <f t="shared" si="515"/>
        <v>-0.97150772710139466</v>
      </c>
      <c r="T1053" s="6" t="s">
        <v>11082</v>
      </c>
      <c r="U1053" s="6" t="str">
        <f t="shared" si="499"/>
        <v>=2.653*100000000</v>
      </c>
      <c r="V1053" s="1">
        <f>2.653*100000000</f>
        <v>265300000</v>
      </c>
      <c r="W1053" s="8">
        <f t="shared" si="516"/>
        <v>3.6328125000000003E-2</v>
      </c>
      <c r="X1053" s="6" t="s">
        <v>11083</v>
      </c>
      <c r="Y1053" s="6" t="str">
        <f t="shared" si="500"/>
        <v>=2.560*100000000</v>
      </c>
      <c r="Z1053" s="1">
        <f>2.56*100000000</f>
        <v>256000000</v>
      </c>
      <c r="AA1053" s="8">
        <f t="shared" si="517"/>
        <v>1.870274572224433E-2</v>
      </c>
      <c r="AB1053" s="6" t="s">
        <v>11084</v>
      </c>
      <c r="AC1053" s="6" t="str">
        <f t="shared" si="501"/>
        <v>=2.513*100000000</v>
      </c>
      <c r="AD1053" s="1">
        <f>2.513*100000000</f>
        <v>251300000</v>
      </c>
      <c r="AE1053" s="8">
        <f t="shared" si="518"/>
        <v>-2.5968992248062015E-2</v>
      </c>
      <c r="AF1053" s="6" t="s">
        <v>11085</v>
      </c>
      <c r="AG1053" s="6" t="str">
        <f t="shared" si="502"/>
        <v>=2.580*100000000</v>
      </c>
      <c r="AH1053" s="1">
        <f>2.58*100000000</f>
        <v>258000000</v>
      </c>
      <c r="AI1053" s="8">
        <f t="shared" si="519"/>
        <v>-3.4067164179104479</v>
      </c>
      <c r="AJ1053" s="6">
        <f>-1.072*100000000</f>
        <v>-107200000</v>
      </c>
      <c r="AK1053" s="6" t="str">
        <f t="shared" si="503"/>
        <v>=-107200000</v>
      </c>
      <c r="AL1053" s="1">
        <f>-107200000</f>
        <v>-107200000</v>
      </c>
      <c r="AM1053" s="8">
        <f t="shared" si="520"/>
        <v>0.75997373173534721</v>
      </c>
      <c r="AN1053" s="7">
        <f>-6091*10000</f>
        <v>-60910000</v>
      </c>
      <c r="AO1053" s="6" t="str">
        <f t="shared" si="504"/>
        <v>=-60910000</v>
      </c>
      <c r="AP1053" s="1">
        <f>-60910000</f>
        <v>-60910000</v>
      </c>
      <c r="AQ1053" s="8">
        <f t="shared" si="521"/>
        <v>0.91661422278162363</v>
      </c>
      <c r="AR1053" s="7">
        <f>-3178*10000</f>
        <v>-31780000</v>
      </c>
      <c r="AS1053" s="6" t="str">
        <f t="shared" si="505"/>
        <v>=-31780000</v>
      </c>
      <c r="AT1053" s="1">
        <f>-31780000</f>
        <v>-31780000</v>
      </c>
      <c r="AU1053" s="8">
        <f t="shared" si="522"/>
        <v>0.87825059101654845</v>
      </c>
      <c r="AV1053" s="7">
        <f>-1692*10000</f>
        <v>-16920000</v>
      </c>
      <c r="AW1053" s="6" t="str">
        <f t="shared" si="506"/>
        <v>=-16920000</v>
      </c>
      <c r="AX1053" s="1">
        <f>-16920000</f>
        <v>-16920000</v>
      </c>
      <c r="AY1053" s="10">
        <f t="shared" si="523"/>
        <v>-0.15862754848334162</v>
      </c>
      <c r="AZ1053" s="7">
        <f>-2011*10000</f>
        <v>-20110000</v>
      </c>
      <c r="BA1053" s="6" t="str">
        <f t="shared" si="507"/>
        <v>=-20110000</v>
      </c>
      <c r="BB1053" s="1">
        <f>-20110000</f>
        <v>-20110000</v>
      </c>
      <c r="BC1053" s="8">
        <f t="shared" si="524"/>
        <v>-108.31056563500535</v>
      </c>
      <c r="BD1053" s="7" t="s">
        <v>11086</v>
      </c>
      <c r="BE1053" s="6" t="str">
        <f t="shared" si="508"/>
        <v>=18.74*10000</v>
      </c>
      <c r="BF1053" s="1">
        <f>18.74*10000</f>
        <v>187399.99999999997</v>
      </c>
      <c r="BG1053" s="8">
        <f t="shared" si="525"/>
        <v>-0.97626646403242145</v>
      </c>
      <c r="BH1053" s="7" t="s">
        <v>11087</v>
      </c>
      <c r="BI1053" s="6" t="str">
        <f t="shared" si="509"/>
        <v>=789.6*10000</v>
      </c>
      <c r="BJ1053" s="1">
        <f>789.6*10000</f>
        <v>7896000</v>
      </c>
      <c r="BK1053" s="7" t="s">
        <v>11088</v>
      </c>
      <c r="BL1053" s="1" t="str">
        <f t="shared" si="511"/>
        <v>=604.0*10000</v>
      </c>
      <c r="BM1053" s="16">
        <f t="shared" si="526"/>
        <v>0.30728476821192052</v>
      </c>
      <c r="BN1053" s="1">
        <f>604*10000</f>
        <v>6040000</v>
      </c>
    </row>
    <row r="1054" spans="1:66">
      <c r="A1054" s="17">
        <v>265</v>
      </c>
      <c r="B1054">
        <v>600837</v>
      </c>
      <c r="C1054" t="s">
        <v>31</v>
      </c>
      <c r="D1054" s="6" t="s">
        <v>7216</v>
      </c>
      <c r="E1054" s="7" t="str">
        <f t="shared" si="510"/>
        <v>=432.1*100000000</v>
      </c>
      <c r="F1054" s="1">
        <f>432.1*100000000</f>
        <v>43210000000</v>
      </c>
      <c r="G1054" s="8">
        <f t="shared" si="512"/>
        <v>0.24024110218140068</v>
      </c>
      <c r="H1054" s="6" t="s">
        <v>11089</v>
      </c>
      <c r="I1054" s="6" t="str">
        <f t="shared" si="496"/>
        <v>=348.4*100000000</v>
      </c>
      <c r="J1054" s="1">
        <f>348.4*100000000</f>
        <v>34840000000</v>
      </c>
      <c r="K1054" s="10">
        <f t="shared" si="513"/>
        <v>0.48444823178525775</v>
      </c>
      <c r="L1054" s="6" t="s">
        <v>11090</v>
      </c>
      <c r="M1054" s="6" t="str">
        <f t="shared" si="497"/>
        <v>=234.7*100000000</v>
      </c>
      <c r="N1054" s="1">
        <f>234.7*100000000</f>
        <v>23470000000</v>
      </c>
      <c r="O1054" s="8">
        <f t="shared" si="514"/>
        <v>1.097408400357462</v>
      </c>
      <c r="P1054" s="6" t="s">
        <v>2613</v>
      </c>
      <c r="Q1054" s="6" t="str">
        <f t="shared" si="498"/>
        <v>=111.9*100000000</v>
      </c>
      <c r="R1054" s="11">
        <f>111.9*100000000</f>
        <v>11190000000</v>
      </c>
      <c r="S1054" s="8">
        <f t="shared" si="515"/>
        <v>-0.70722135007849296</v>
      </c>
      <c r="T1054" s="6" t="s">
        <v>11091</v>
      </c>
      <c r="U1054" s="6" t="str">
        <f t="shared" si="499"/>
        <v>=382.2*100000000</v>
      </c>
      <c r="V1054" s="1">
        <f>382.2*100000000</f>
        <v>38220000000</v>
      </c>
      <c r="W1054" s="8">
        <f t="shared" si="516"/>
        <v>0.35292035398230087</v>
      </c>
      <c r="X1054" s="6" t="s">
        <v>11092</v>
      </c>
      <c r="Y1054" s="6" t="str">
        <f t="shared" si="500"/>
        <v>=282.5*100000000</v>
      </c>
      <c r="Z1054" s="1">
        <f>282.5*100000000</f>
        <v>28250000000</v>
      </c>
      <c r="AA1054" s="8">
        <f t="shared" si="517"/>
        <v>0.58797077009555931</v>
      </c>
      <c r="AB1054" s="6" t="s">
        <v>11093</v>
      </c>
      <c r="AC1054" s="6" t="str">
        <f t="shared" si="501"/>
        <v>=177.9*100000000</v>
      </c>
      <c r="AD1054" s="1">
        <f>177.9*100000000</f>
        <v>17790000000</v>
      </c>
      <c r="AE1054" s="8">
        <f t="shared" si="518"/>
        <v>1.5465216146578873</v>
      </c>
      <c r="AF1054" s="6" t="s">
        <v>6844</v>
      </c>
      <c r="AG1054" s="6" t="str">
        <f t="shared" si="502"/>
        <v>=69.86*100000000</v>
      </c>
      <c r="AH1054" s="1">
        <f>69.86*100000000</f>
        <v>6986000000</v>
      </c>
      <c r="AI1054" s="8">
        <f t="shared" si="519"/>
        <v>-0.79959839357429718</v>
      </c>
      <c r="AJ1054" s="6" t="s">
        <v>11094</v>
      </c>
      <c r="AK1054" s="6" t="str">
        <f t="shared" si="503"/>
        <v>=348.6*100000000</v>
      </c>
      <c r="AL1054" s="1">
        <f>348.6*100000000</f>
        <v>34860000000</v>
      </c>
      <c r="AM1054" s="8">
        <f t="shared" si="520"/>
        <v>0.36491777603758807</v>
      </c>
      <c r="AN1054" s="6" t="s">
        <v>11095</v>
      </c>
      <c r="AO1054" s="6" t="str">
        <f t="shared" si="504"/>
        <v>=255.4*100000000</v>
      </c>
      <c r="AP1054" s="1">
        <f>255.4*100000000</f>
        <v>25540000000</v>
      </c>
      <c r="AQ1054" s="8">
        <f t="shared" si="521"/>
        <v>0.41339236303265081</v>
      </c>
      <c r="AR1054" s="6" t="s">
        <v>11096</v>
      </c>
      <c r="AS1054" s="6" t="str">
        <f t="shared" si="505"/>
        <v>=180.7*100000000</v>
      </c>
      <c r="AT1054" s="1">
        <f>180.7*100000000</f>
        <v>18070000000</v>
      </c>
      <c r="AU1054" s="8">
        <f t="shared" si="522"/>
        <v>0.76120857699805067</v>
      </c>
      <c r="AV1054" s="6" t="s">
        <v>11097</v>
      </c>
      <c r="AW1054" s="6" t="str">
        <f t="shared" si="506"/>
        <v>=102.6*100000000</v>
      </c>
      <c r="AX1054" s="1">
        <f>102.6*100000000</f>
        <v>10260000000</v>
      </c>
      <c r="AY1054" s="10">
        <f t="shared" si="523"/>
        <v>-0.56836348338241482</v>
      </c>
      <c r="AZ1054" s="6" t="s">
        <v>11098</v>
      </c>
      <c r="BA1054" s="6" t="str">
        <f t="shared" si="507"/>
        <v>=237.7*100000000</v>
      </c>
      <c r="BB1054" s="1">
        <f>237.7*100000000</f>
        <v>23770000000</v>
      </c>
      <c r="BC1054" s="8">
        <f t="shared" si="524"/>
        <v>0.46909765142150789</v>
      </c>
      <c r="BD1054" s="6" t="s">
        <v>11099</v>
      </c>
      <c r="BE1054" s="6" t="str">
        <f t="shared" si="508"/>
        <v>=161.8*100000000</v>
      </c>
      <c r="BF1054" s="1">
        <f>161.8*100000000</f>
        <v>16180000000.000002</v>
      </c>
      <c r="BG1054" s="8">
        <f t="shared" si="525"/>
        <v>0.47897623400365646</v>
      </c>
      <c r="BH1054" s="6" t="s">
        <v>2616</v>
      </c>
      <c r="BI1054" s="6" t="str">
        <f t="shared" si="509"/>
        <v>=109.4*100000000</v>
      </c>
      <c r="BJ1054" s="1">
        <f>109.4*100000000</f>
        <v>10940000000</v>
      </c>
      <c r="BK1054" s="6" t="s">
        <v>10430</v>
      </c>
      <c r="BL1054" s="1" t="str">
        <f t="shared" si="511"/>
        <v>=57.05*100000000</v>
      </c>
      <c r="BM1054" s="16">
        <f t="shared" si="526"/>
        <v>0.91761612620508326</v>
      </c>
      <c r="BN1054" s="1">
        <f>57.05*100000000</f>
        <v>5705000000</v>
      </c>
    </row>
    <row r="1055" spans="1:66">
      <c r="A1055" s="18"/>
      <c r="B1055">
        <v>600837</v>
      </c>
      <c r="C1055" t="s">
        <v>48</v>
      </c>
      <c r="D1055" s="6" t="s">
        <v>11100</v>
      </c>
      <c r="E1055" s="7" t="str">
        <f t="shared" si="510"/>
        <v>=184.5*100000000</v>
      </c>
      <c r="F1055" s="1">
        <f>184.5*100000000</f>
        <v>18450000000</v>
      </c>
      <c r="G1055" s="8">
        <f t="shared" si="512"/>
        <v>9.4306049822064059E-2</v>
      </c>
      <c r="H1055" s="6" t="s">
        <v>11101</v>
      </c>
      <c r="I1055" s="6" t="str">
        <f t="shared" si="496"/>
        <v>=168.6*100000000</v>
      </c>
      <c r="J1055" s="1">
        <f>168.6*100000000</f>
        <v>16860000000</v>
      </c>
      <c r="K1055" s="10">
        <f t="shared" si="513"/>
        <v>0.44969905417024936</v>
      </c>
      <c r="L1055" s="6" t="s">
        <v>5281</v>
      </c>
      <c r="M1055" s="6" t="str">
        <f t="shared" si="497"/>
        <v>=116.3*100000000</v>
      </c>
      <c r="N1055" s="1">
        <f>116.3*100000000</f>
        <v>11630000000</v>
      </c>
      <c r="O1055" s="8">
        <f t="shared" si="514"/>
        <v>1.2305331799002686</v>
      </c>
      <c r="P1055" s="6" t="s">
        <v>8442</v>
      </c>
      <c r="Q1055" s="6" t="str">
        <f t="shared" si="498"/>
        <v>=52.14*100000000</v>
      </c>
      <c r="R1055" s="11">
        <f>52.14*100000000</f>
        <v>5214000000</v>
      </c>
      <c r="S1055" s="8">
        <f t="shared" si="515"/>
        <v>-0.67124842370744009</v>
      </c>
      <c r="T1055" s="6" t="s">
        <v>11102</v>
      </c>
      <c r="U1055" s="6" t="str">
        <f t="shared" si="499"/>
        <v>=158.6*100000000</v>
      </c>
      <c r="V1055" s="1">
        <f>158.6*100000000</f>
        <v>15860000000</v>
      </c>
      <c r="W1055" s="8">
        <f t="shared" si="516"/>
        <v>0.29363784665579118</v>
      </c>
      <c r="X1055" s="6" t="s">
        <v>2736</v>
      </c>
      <c r="Y1055" s="6" t="str">
        <f t="shared" si="500"/>
        <v>=122.6*100000000</v>
      </c>
      <c r="Z1055" s="1">
        <f>122.6*100000000</f>
        <v>12260000000</v>
      </c>
      <c r="AA1055" s="8">
        <f t="shared" si="517"/>
        <v>0.56717371852230603</v>
      </c>
      <c r="AB1055" s="6" t="s">
        <v>11103</v>
      </c>
      <c r="AC1055" s="6" t="str">
        <f t="shared" si="501"/>
        <v>=78.23*100000000</v>
      </c>
      <c r="AD1055" s="1">
        <f>78.23*100000000</f>
        <v>7823000000</v>
      </c>
      <c r="AE1055" s="8">
        <f t="shared" si="518"/>
        <v>1.468602082675923</v>
      </c>
      <c r="AF1055" s="6" t="s">
        <v>11104</v>
      </c>
      <c r="AG1055" s="6" t="str">
        <f t="shared" si="502"/>
        <v>=31.69*100000000</v>
      </c>
      <c r="AH1055" s="1">
        <f>31.69*100000000</f>
        <v>3169000000</v>
      </c>
      <c r="AI1055" s="8">
        <f t="shared" si="519"/>
        <v>-0.77052860246198407</v>
      </c>
      <c r="AJ1055" s="6" t="s">
        <v>11105</v>
      </c>
      <c r="AK1055" s="6" t="str">
        <f t="shared" si="503"/>
        <v>=138.1*100000000</v>
      </c>
      <c r="AL1055" s="1">
        <f>138.1*100000000</f>
        <v>13810000000</v>
      </c>
      <c r="AM1055" s="8">
        <f t="shared" si="520"/>
        <v>0.30037664783427498</v>
      </c>
      <c r="AN1055" s="6" t="s">
        <v>11106</v>
      </c>
      <c r="AO1055" s="6" t="str">
        <f t="shared" si="504"/>
        <v>=106.2*100000000</v>
      </c>
      <c r="AP1055" s="1">
        <f>106.2*100000000</f>
        <v>10620000000</v>
      </c>
      <c r="AQ1055" s="8">
        <f t="shared" si="521"/>
        <v>0.32949424136204308</v>
      </c>
      <c r="AR1055" s="6" t="s">
        <v>11107</v>
      </c>
      <c r="AS1055" s="6" t="str">
        <f t="shared" si="505"/>
        <v>=79.88*100000000</v>
      </c>
      <c r="AT1055" s="1">
        <f>79.88*100000000</f>
        <v>7988000000</v>
      </c>
      <c r="AU1055" s="8">
        <f t="shared" si="522"/>
        <v>0.50263355906696761</v>
      </c>
      <c r="AV1055" s="6" t="s">
        <v>11108</v>
      </c>
      <c r="AW1055" s="6" t="str">
        <f t="shared" si="506"/>
        <v>=53.16*100000000</v>
      </c>
      <c r="AX1055" s="1">
        <f>53.16*100000000</f>
        <v>5316000000</v>
      </c>
      <c r="AY1055" s="10">
        <f t="shared" si="523"/>
        <v>-0.25232067510548511</v>
      </c>
      <c r="AZ1055" s="6" t="s">
        <v>11109</v>
      </c>
      <c r="BA1055" s="6" t="str">
        <f t="shared" si="507"/>
        <v>=71.10*100000000</v>
      </c>
      <c r="BB1055" s="1">
        <f>71.1*100000000</f>
        <v>7109999999.999999</v>
      </c>
      <c r="BC1055" s="8">
        <f t="shared" si="524"/>
        <v>0.42943305186972236</v>
      </c>
      <c r="BD1055" s="6" t="s">
        <v>9123</v>
      </c>
      <c r="BE1055" s="6" t="str">
        <f t="shared" si="508"/>
        <v>=49.74*100000000</v>
      </c>
      <c r="BF1055" s="1">
        <f>49.74*100000000</f>
        <v>4974000000</v>
      </c>
      <c r="BG1055" s="8">
        <f t="shared" si="525"/>
        <v>0.22361623616236162</v>
      </c>
      <c r="BH1055" s="6" t="s">
        <v>11110</v>
      </c>
      <c r="BI1055" s="6" t="str">
        <f t="shared" si="509"/>
        <v>=40.65*100000000</v>
      </c>
      <c r="BJ1055" s="1">
        <f>40.65*100000000</f>
        <v>4065000000</v>
      </c>
      <c r="BK1055" s="6" t="s">
        <v>11111</v>
      </c>
      <c r="BL1055" s="1" t="str">
        <f t="shared" si="511"/>
        <v>=23.04*100000000</v>
      </c>
      <c r="BM1055" s="16">
        <f t="shared" si="526"/>
        <v>0.76432291666666663</v>
      </c>
      <c r="BN1055" s="1">
        <f>23.04*100000000</f>
        <v>2304000000</v>
      </c>
    </row>
    <row r="1056" spans="1:66">
      <c r="A1056" s="18"/>
      <c r="B1056">
        <v>600837</v>
      </c>
      <c r="C1056" t="s">
        <v>58</v>
      </c>
      <c r="D1056" s="6" t="s">
        <v>11112</v>
      </c>
      <c r="E1056" s="7" t="str">
        <f t="shared" si="510"/>
        <v>=185.4*100000000</v>
      </c>
      <c r="F1056" s="1">
        <f>185.4*100000000</f>
        <v>18540000000</v>
      </c>
      <c r="G1056" s="8">
        <f t="shared" si="512"/>
        <v>9.7690941385435173E-2</v>
      </c>
      <c r="H1056" s="6" t="s">
        <v>412</v>
      </c>
      <c r="I1056" s="6" t="str">
        <f t="shared" si="496"/>
        <v>=168.9*100000000</v>
      </c>
      <c r="J1056" s="1">
        <f>168.9*100000000</f>
        <v>16890000000</v>
      </c>
      <c r="K1056" s="10">
        <f t="shared" si="513"/>
        <v>0.44854202401372212</v>
      </c>
      <c r="L1056" s="6" t="s">
        <v>11113</v>
      </c>
      <c r="M1056" s="6" t="str">
        <f t="shared" si="497"/>
        <v>=116.6*100000000</v>
      </c>
      <c r="N1056" s="1">
        <f>116.6*100000000</f>
        <v>11660000000</v>
      </c>
      <c r="O1056" s="8">
        <f t="shared" si="514"/>
        <v>1.2362869198312236</v>
      </c>
      <c r="P1056" s="6" t="s">
        <v>8442</v>
      </c>
      <c r="Q1056" s="6" t="str">
        <f t="shared" si="498"/>
        <v>=52.14*100000000</v>
      </c>
      <c r="R1056" s="11">
        <f>52.14*100000000</f>
        <v>5214000000</v>
      </c>
      <c r="S1056" s="8">
        <f t="shared" si="515"/>
        <v>-0.66916243654822338</v>
      </c>
      <c r="T1056" s="6" t="s">
        <v>11114</v>
      </c>
      <c r="U1056" s="6" t="str">
        <f t="shared" si="499"/>
        <v>=157.6*100000000</v>
      </c>
      <c r="V1056" s="1">
        <f>157.6*100000000</f>
        <v>15760000000</v>
      </c>
      <c r="W1056" s="8">
        <f t="shared" si="516"/>
        <v>0.28443357783211082</v>
      </c>
      <c r="X1056" s="6" t="s">
        <v>11115</v>
      </c>
      <c r="Y1056" s="6" t="str">
        <f t="shared" si="500"/>
        <v>=122.7*100000000</v>
      </c>
      <c r="Z1056" s="1">
        <f>122.7*100000000</f>
        <v>12270000000</v>
      </c>
      <c r="AA1056" s="8">
        <f t="shared" si="517"/>
        <v>0.56925438035554421</v>
      </c>
      <c r="AB1056" s="6" t="s">
        <v>11116</v>
      </c>
      <c r="AC1056" s="6" t="str">
        <f t="shared" si="501"/>
        <v>=78.19*100000000</v>
      </c>
      <c r="AD1056" s="1">
        <f>78.19*100000000</f>
        <v>7819000000</v>
      </c>
      <c r="AE1056" s="8">
        <f t="shared" si="518"/>
        <v>1.4798604503647319</v>
      </c>
      <c r="AF1056" s="6" t="s">
        <v>11117</v>
      </c>
      <c r="AG1056" s="6" t="str">
        <f t="shared" si="502"/>
        <v>=31.53*100000000</v>
      </c>
      <c r="AH1056" s="1">
        <f>31.53*100000000</f>
        <v>3153000000</v>
      </c>
      <c r="AI1056" s="8">
        <f t="shared" si="519"/>
        <v>-0.77267483777937995</v>
      </c>
      <c r="AJ1056" s="6" t="s">
        <v>5758</v>
      </c>
      <c r="AK1056" s="6" t="str">
        <f t="shared" si="503"/>
        <v>=138.7*100000000</v>
      </c>
      <c r="AL1056" s="1">
        <f>138.7*100000000</f>
        <v>13869999999.999998</v>
      </c>
      <c r="AM1056" s="8">
        <f t="shared" si="520"/>
        <v>0.30112570356472779</v>
      </c>
      <c r="AN1056" s="6" t="s">
        <v>3258</v>
      </c>
      <c r="AO1056" s="6" t="str">
        <f t="shared" si="504"/>
        <v>=106.6*100000000</v>
      </c>
      <c r="AP1056" s="1">
        <f>106.6*100000000</f>
        <v>10660000000</v>
      </c>
      <c r="AQ1056" s="8">
        <f t="shared" si="521"/>
        <v>0.33183408295852057</v>
      </c>
      <c r="AR1056" s="6" t="s">
        <v>10068</v>
      </c>
      <c r="AS1056" s="6" t="str">
        <f t="shared" si="505"/>
        <v>=80.04*100000000</v>
      </c>
      <c r="AT1056" s="1">
        <f>80.04*100000000</f>
        <v>8004000000.000001</v>
      </c>
      <c r="AU1056" s="8">
        <f t="shared" si="522"/>
        <v>0.50507709665287726</v>
      </c>
      <c r="AV1056" s="6" t="s">
        <v>1320</v>
      </c>
      <c r="AW1056" s="6" t="str">
        <f t="shared" si="506"/>
        <v>=53.18*100000000</v>
      </c>
      <c r="AX1056" s="1">
        <f>53.18*100000000</f>
        <v>5318000000</v>
      </c>
      <c r="AY1056" s="10">
        <f t="shared" si="523"/>
        <v>-0.29749009247027741</v>
      </c>
      <c r="AZ1056" s="6" t="s">
        <v>11118</v>
      </c>
      <c r="BA1056" s="6" t="str">
        <f t="shared" si="507"/>
        <v>=75.70*100000000</v>
      </c>
      <c r="BB1056" s="1">
        <f>75.7*100000000</f>
        <v>7570000000</v>
      </c>
      <c r="BC1056" s="8">
        <f t="shared" si="524"/>
        <v>0.38848129126925901</v>
      </c>
      <c r="BD1056" s="6" t="s">
        <v>8141</v>
      </c>
      <c r="BE1056" s="6" t="str">
        <f t="shared" si="508"/>
        <v>=54.52*100000000</v>
      </c>
      <c r="BF1056" s="1">
        <f>54.52*100000000</f>
        <v>5452000000</v>
      </c>
      <c r="BG1056" s="8">
        <f t="shared" si="525"/>
        <v>0.21128638080426571</v>
      </c>
      <c r="BH1056" s="6" t="s">
        <v>10369</v>
      </c>
      <c r="BI1056" s="6" t="str">
        <f t="shared" si="509"/>
        <v>=45.01*100000000</v>
      </c>
      <c r="BJ1056" s="1">
        <f>45.01*100000000</f>
        <v>4501000000</v>
      </c>
      <c r="BK1056" s="6" t="s">
        <v>148</v>
      </c>
      <c r="BL1056" s="1" t="str">
        <f t="shared" si="511"/>
        <v>=26.02*100000000</v>
      </c>
      <c r="BM1056" s="16">
        <f t="shared" si="526"/>
        <v>0.72982321291314378</v>
      </c>
      <c r="BN1056" s="1">
        <f>26.02*100000000</f>
        <v>2602000000</v>
      </c>
    </row>
    <row r="1057" spans="1:66">
      <c r="A1057" s="19"/>
      <c r="B1057">
        <v>600837</v>
      </c>
      <c r="C1057" t="s">
        <v>68</v>
      </c>
      <c r="D1057" s="6" t="s">
        <v>11119</v>
      </c>
      <c r="E1057" s="7" t="str">
        <f t="shared" si="510"/>
        <v>=137.5*100000000</v>
      </c>
      <c r="F1057" s="1">
        <f>137.5*100000000</f>
        <v>13750000000</v>
      </c>
      <c r="G1057" s="8">
        <f t="shared" si="512"/>
        <v>7.7586206896551727E-2</v>
      </c>
      <c r="H1057" s="6" t="s">
        <v>11120</v>
      </c>
      <c r="I1057" s="6" t="str">
        <f t="shared" si="496"/>
        <v>=127.6*100000000</v>
      </c>
      <c r="J1057" s="1">
        <f>127.6*100000000</f>
        <v>12760000000</v>
      </c>
      <c r="K1057" s="10">
        <f t="shared" si="513"/>
        <v>0.43548205647429405</v>
      </c>
      <c r="L1057" s="6" t="s">
        <v>11121</v>
      </c>
      <c r="M1057" s="6" t="str">
        <f t="shared" si="497"/>
        <v>=88.89*100000000</v>
      </c>
      <c r="N1057" s="1">
        <f>88.89*100000000</f>
        <v>8889000000</v>
      </c>
      <c r="O1057" s="8">
        <f t="shared" si="514"/>
        <v>1.2629837067209777</v>
      </c>
      <c r="P1057" s="6" t="s">
        <v>11122</v>
      </c>
      <c r="Q1057" s="6" t="str">
        <f t="shared" si="498"/>
        <v>=39.28*100000000</v>
      </c>
      <c r="R1057" s="11">
        <f>39.28*100000000</f>
        <v>3928000000</v>
      </c>
      <c r="S1057" s="8">
        <f t="shared" si="515"/>
        <v>-0.67375415282392026</v>
      </c>
      <c r="T1057" s="6" t="s">
        <v>509</v>
      </c>
      <c r="U1057" s="6" t="str">
        <f t="shared" si="499"/>
        <v>=120.4*100000000</v>
      </c>
      <c r="V1057" s="1">
        <f>120.4*100000000</f>
        <v>12040000000</v>
      </c>
      <c r="W1057" s="8">
        <f t="shared" si="516"/>
        <v>0.30119961093699343</v>
      </c>
      <c r="X1057" s="6" t="s">
        <v>11123</v>
      </c>
      <c r="Y1057" s="6" t="str">
        <f t="shared" si="500"/>
        <v>=92.53*100000000</v>
      </c>
      <c r="Z1057" s="1">
        <f>92.53*100000000</f>
        <v>9253000000</v>
      </c>
      <c r="AA1057" s="8">
        <f t="shared" si="517"/>
        <v>0.56803931537027619</v>
      </c>
      <c r="AB1057" s="6" t="s">
        <v>2777</v>
      </c>
      <c r="AC1057" s="6" t="str">
        <f t="shared" si="501"/>
        <v>=59.01*100000000</v>
      </c>
      <c r="AD1057" s="1">
        <f>59.01*100000000</f>
        <v>5901000000</v>
      </c>
      <c r="AE1057" s="8">
        <f t="shared" si="518"/>
        <v>1.5836252189141857</v>
      </c>
      <c r="AF1057" s="6" t="s">
        <v>4773</v>
      </c>
      <c r="AG1057" s="6" t="str">
        <f t="shared" si="502"/>
        <v>=22.84*100000000</v>
      </c>
      <c r="AH1057" s="1">
        <f>22.84*100000000</f>
        <v>2284000000</v>
      </c>
      <c r="AI1057" s="8">
        <f t="shared" si="519"/>
        <v>-0.78330170777988617</v>
      </c>
      <c r="AJ1057" s="6" t="s">
        <v>9910</v>
      </c>
      <c r="AK1057" s="6" t="str">
        <f t="shared" si="503"/>
        <v>=105.4*100000000</v>
      </c>
      <c r="AL1057" s="1">
        <f>105.4*100000000</f>
        <v>10540000000</v>
      </c>
      <c r="AM1057" s="8">
        <f t="shared" si="520"/>
        <v>0.30526315789473685</v>
      </c>
      <c r="AN1057" s="6" t="s">
        <v>11124</v>
      </c>
      <c r="AO1057" s="6" t="str">
        <f t="shared" si="504"/>
        <v>=80.75*100000000</v>
      </c>
      <c r="AP1057" s="1">
        <f>80.75*100000000</f>
        <v>8075000000</v>
      </c>
      <c r="AQ1057" s="8">
        <f t="shared" si="521"/>
        <v>0.33075148319050757</v>
      </c>
      <c r="AR1057" s="6" t="s">
        <v>11125</v>
      </c>
      <c r="AS1057" s="6" t="str">
        <f t="shared" si="505"/>
        <v>=60.68*100000000</v>
      </c>
      <c r="AT1057" s="1">
        <f>60.68*100000000</f>
        <v>6068000000</v>
      </c>
      <c r="AU1057" s="8">
        <f t="shared" si="522"/>
        <v>0.48036106367406683</v>
      </c>
      <c r="AV1057" s="6" t="s">
        <v>11126</v>
      </c>
      <c r="AW1057" s="6" t="str">
        <f t="shared" si="506"/>
        <v>=40.99*100000000</v>
      </c>
      <c r="AX1057" s="1">
        <f>40.99*100000000</f>
        <v>4099000000</v>
      </c>
      <c r="AY1057" s="10">
        <f t="shared" si="523"/>
        <v>-0.28972448449142263</v>
      </c>
      <c r="AZ1057" s="6" t="s">
        <v>11127</v>
      </c>
      <c r="BA1057" s="6" t="str">
        <f t="shared" si="507"/>
        <v>=57.71*100000000</v>
      </c>
      <c r="BB1057" s="1">
        <f>57.71*100000000</f>
        <v>5771000000</v>
      </c>
      <c r="BC1057" s="8">
        <f t="shared" si="524"/>
        <v>0.41031280547409582</v>
      </c>
      <c r="BD1057" s="6" t="s">
        <v>11128</v>
      </c>
      <c r="BE1057" s="6" t="str">
        <f t="shared" si="508"/>
        <v>=40.92*100000000</v>
      </c>
      <c r="BF1057" s="1">
        <f>40.92*100000000</f>
        <v>4092000000</v>
      </c>
      <c r="BG1057" s="8">
        <f t="shared" si="525"/>
        <v>0.18300086730268847</v>
      </c>
      <c r="BH1057" s="6" t="s">
        <v>11129</v>
      </c>
      <c r="BI1057" s="6" t="str">
        <f t="shared" si="509"/>
        <v>=34.59*100000000</v>
      </c>
      <c r="BJ1057" s="1">
        <f>34.59*100000000</f>
        <v>3459000000.0000005</v>
      </c>
      <c r="BK1057" s="6" t="s">
        <v>11130</v>
      </c>
      <c r="BL1057" s="1" t="str">
        <f t="shared" si="511"/>
        <v>=19.92*100000000</v>
      </c>
      <c r="BM1057" s="16">
        <f t="shared" si="526"/>
        <v>0.73644578313253017</v>
      </c>
      <c r="BN1057" s="1">
        <f>19.92*100000000</f>
        <v>1992000000.0000002</v>
      </c>
    </row>
    <row r="1058" spans="1:66">
      <c r="A1058" s="17">
        <v>266</v>
      </c>
      <c r="B1058">
        <v>600838</v>
      </c>
      <c r="C1058" t="s">
        <v>31</v>
      </c>
      <c r="D1058" s="7" t="s">
        <v>11131</v>
      </c>
      <c r="E1058" s="7" t="str">
        <f t="shared" si="510"/>
        <v>=9864*10000</v>
      </c>
      <c r="F1058" s="1">
        <f>9864*10000</f>
        <v>98640000</v>
      </c>
      <c r="G1058" s="8">
        <f t="shared" si="512"/>
        <v>0.27392483533514139</v>
      </c>
      <c r="H1058" s="7" t="s">
        <v>6047</v>
      </c>
      <c r="I1058" s="6" t="str">
        <f t="shared" si="496"/>
        <v>=7743*10000</v>
      </c>
      <c r="J1058" s="1">
        <f>7743*10000</f>
        <v>77430000</v>
      </c>
      <c r="K1058" s="10">
        <f t="shared" si="513"/>
        <v>0.44082620022329738</v>
      </c>
      <c r="L1058" s="7" t="s">
        <v>11132</v>
      </c>
      <c r="M1058" s="6" t="str">
        <f t="shared" si="497"/>
        <v>=5374*10000</v>
      </c>
      <c r="N1058" s="1">
        <f>5374*10000</f>
        <v>53740000</v>
      </c>
      <c r="O1058" s="8">
        <f t="shared" si="514"/>
        <v>0.87836420831876971</v>
      </c>
      <c r="P1058" s="7" t="s">
        <v>3560</v>
      </c>
      <c r="Q1058" s="6" t="str">
        <f t="shared" si="498"/>
        <v>=2861*10000</v>
      </c>
      <c r="R1058" s="11">
        <f>2861*10000</f>
        <v>28610000</v>
      </c>
      <c r="S1058" s="8">
        <f t="shared" si="515"/>
        <v>-0.69351901446170328</v>
      </c>
      <c r="T1058" s="7" t="s">
        <v>11133</v>
      </c>
      <c r="U1058" s="6" t="str">
        <f t="shared" si="499"/>
        <v>=9335*10000</v>
      </c>
      <c r="V1058" s="1">
        <f>9335*10000</f>
        <v>93350000</v>
      </c>
      <c r="W1058" s="8">
        <f t="shared" si="516"/>
        <v>0.57819103972950125</v>
      </c>
      <c r="X1058" s="7" t="s">
        <v>11134</v>
      </c>
      <c r="Y1058" s="6" t="str">
        <f t="shared" si="500"/>
        <v>=5915*10000</v>
      </c>
      <c r="Z1058" s="1">
        <f>5915*10000</f>
        <v>59150000</v>
      </c>
      <c r="AA1058" s="8">
        <f t="shared" si="517"/>
        <v>0.48618090452261309</v>
      </c>
      <c r="AB1058" s="7" t="s">
        <v>11135</v>
      </c>
      <c r="AC1058" s="6" t="str">
        <f t="shared" si="501"/>
        <v>=3980*10000</v>
      </c>
      <c r="AD1058" s="1">
        <f>3980*10000</f>
        <v>39800000</v>
      </c>
      <c r="AE1058" s="8">
        <f t="shared" si="518"/>
        <v>0.94146341463414629</v>
      </c>
      <c r="AF1058" s="7" t="s">
        <v>9973</v>
      </c>
      <c r="AG1058" s="6" t="str">
        <f t="shared" si="502"/>
        <v>=2050*10000</v>
      </c>
      <c r="AH1058" s="1">
        <f>2050*10000</f>
        <v>20500000</v>
      </c>
      <c r="AI1058" s="8">
        <f t="shared" si="519"/>
        <v>-0.7238313350397414</v>
      </c>
      <c r="AJ1058" s="7" t="s">
        <v>11136</v>
      </c>
      <c r="AK1058" s="6" t="str">
        <f t="shared" si="503"/>
        <v>=7423*10000</v>
      </c>
      <c r="AL1058" s="1">
        <f>7423*10000</f>
        <v>74230000</v>
      </c>
      <c r="AM1058" s="8">
        <f t="shared" si="520"/>
        <v>0.56768743400211197</v>
      </c>
      <c r="AN1058" s="7" t="s">
        <v>11137</v>
      </c>
      <c r="AO1058" s="6" t="str">
        <f t="shared" si="504"/>
        <v>=4735*10000</v>
      </c>
      <c r="AP1058" s="1">
        <f>4735*10000</f>
        <v>47350000</v>
      </c>
      <c r="AQ1058" s="8">
        <f t="shared" si="521"/>
        <v>0.36928860613071141</v>
      </c>
      <c r="AR1058" s="7" t="s">
        <v>11138</v>
      </c>
      <c r="AS1058" s="6" t="str">
        <f t="shared" si="505"/>
        <v>=3458*10000</v>
      </c>
      <c r="AT1058" s="1">
        <f>3458*10000</f>
        <v>34580000</v>
      </c>
      <c r="AU1058" s="8">
        <f t="shared" si="522"/>
        <v>0.8844686648501362</v>
      </c>
      <c r="AV1058" s="7" t="s">
        <v>11139</v>
      </c>
      <c r="AW1058" s="6" t="str">
        <f t="shared" si="506"/>
        <v>=1835*10000</v>
      </c>
      <c r="AX1058" s="1">
        <f>1835*10000</f>
        <v>18350000</v>
      </c>
      <c r="AY1058" s="10">
        <f t="shared" si="523"/>
        <v>-0.74092898489340675</v>
      </c>
      <c r="AZ1058" s="7" t="s">
        <v>11140</v>
      </c>
      <c r="BA1058" s="6" t="str">
        <f t="shared" si="507"/>
        <v>=7083*10000</v>
      </c>
      <c r="BB1058" s="1">
        <f>7083*10000</f>
        <v>70830000</v>
      </c>
      <c r="BC1058" s="8">
        <f t="shared" si="524"/>
        <v>0.39924930857368629</v>
      </c>
      <c r="BD1058" s="7" t="s">
        <v>11141</v>
      </c>
      <c r="BE1058" s="6" t="str">
        <f t="shared" si="508"/>
        <v>=5062*10000</v>
      </c>
      <c r="BF1058" s="1">
        <f>5062*10000</f>
        <v>50620000</v>
      </c>
      <c r="BG1058" s="8">
        <f t="shared" si="525"/>
        <v>0.41002785515320334</v>
      </c>
      <c r="BH1058" s="7" t="s">
        <v>11142</v>
      </c>
      <c r="BI1058" s="6" t="str">
        <f t="shared" si="509"/>
        <v>=3590*10000</v>
      </c>
      <c r="BJ1058" s="1">
        <f>3590*10000</f>
        <v>35900000</v>
      </c>
      <c r="BK1058" s="7" t="s">
        <v>11143</v>
      </c>
      <c r="BL1058" s="1" t="str">
        <f t="shared" si="511"/>
        <v>=1974*10000</v>
      </c>
      <c r="BM1058" s="16">
        <f t="shared" si="526"/>
        <v>0.81864235055724421</v>
      </c>
      <c r="BN1058" s="1">
        <f>1974*10000</f>
        <v>19740000</v>
      </c>
    </row>
    <row r="1059" spans="1:66">
      <c r="A1059" s="18"/>
      <c r="B1059">
        <v>600838</v>
      </c>
      <c r="C1059" t="s">
        <v>48</v>
      </c>
      <c r="D1059" s="6" t="s">
        <v>2194</v>
      </c>
      <c r="E1059" s="7" t="str">
        <f t="shared" si="510"/>
        <v>=1.037*100000000</v>
      </c>
      <c r="F1059" s="1">
        <f>1.037*100000000</f>
        <v>103699999.99999999</v>
      </c>
      <c r="G1059" s="8">
        <f t="shared" si="512"/>
        <v>0.22302158273381278</v>
      </c>
      <c r="H1059" s="7" t="s">
        <v>4447</v>
      </c>
      <c r="I1059" s="6" t="str">
        <f t="shared" si="496"/>
        <v>=8479*10000</v>
      </c>
      <c r="J1059" s="1">
        <f>8479*10000</f>
        <v>84790000</v>
      </c>
      <c r="K1059" s="10">
        <f t="shared" si="513"/>
        <v>1.006389020350213</v>
      </c>
      <c r="L1059" s="7" t="s">
        <v>11144</v>
      </c>
      <c r="M1059" s="6" t="str">
        <f t="shared" si="497"/>
        <v>=4226*10000</v>
      </c>
      <c r="N1059" s="1">
        <f>4226*10000</f>
        <v>42260000</v>
      </c>
      <c r="O1059" s="8">
        <f t="shared" si="514"/>
        <v>1.3970504821327283</v>
      </c>
      <c r="P1059" s="7" t="s">
        <v>11145</v>
      </c>
      <c r="Q1059" s="6" t="str">
        <f t="shared" si="498"/>
        <v>=1763*10000</v>
      </c>
      <c r="R1059" s="11">
        <f>1763*10000</f>
        <v>17630000</v>
      </c>
      <c r="S1059" s="8">
        <f t="shared" si="515"/>
        <v>-0.67734260614934116</v>
      </c>
      <c r="T1059" s="7" t="s">
        <v>11146</v>
      </c>
      <c r="U1059" s="6" t="str">
        <f t="shared" si="499"/>
        <v>=5464*10000</v>
      </c>
      <c r="V1059" s="1">
        <f>5464*10000</f>
        <v>54640000</v>
      </c>
      <c r="W1059" s="8">
        <f t="shared" si="516"/>
        <v>0.31789676796912686</v>
      </c>
      <c r="X1059" s="7" t="s">
        <v>11147</v>
      </c>
      <c r="Y1059" s="6" t="str">
        <f t="shared" si="500"/>
        <v>=4146*10000</v>
      </c>
      <c r="Z1059" s="1">
        <f>4146*10000</f>
        <v>41460000</v>
      </c>
      <c r="AA1059" s="8">
        <f t="shared" si="517"/>
        <v>0.66773934030571203</v>
      </c>
      <c r="AB1059" s="7" t="s">
        <v>10397</v>
      </c>
      <c r="AC1059" s="6" t="str">
        <f t="shared" si="501"/>
        <v>=2486*10000</v>
      </c>
      <c r="AD1059" s="1">
        <f>2486*10000</f>
        <v>24860000</v>
      </c>
      <c r="AE1059" s="8">
        <f t="shared" si="518"/>
        <v>1.8597722305303117</v>
      </c>
      <c r="AF1059" s="7" t="s">
        <v>11148</v>
      </c>
      <c r="AG1059" s="6" t="str">
        <f t="shared" si="502"/>
        <v>=869.3*10000</v>
      </c>
      <c r="AH1059" s="1">
        <f>869.3*10000</f>
        <v>8693000</v>
      </c>
      <c r="AI1059" s="8">
        <f t="shared" si="519"/>
        <v>-0.91264194553311229</v>
      </c>
      <c r="AJ1059" s="7" t="s">
        <v>11149</v>
      </c>
      <c r="AK1059" s="6" t="str">
        <f t="shared" si="503"/>
        <v>=9951*10000</v>
      </c>
      <c r="AL1059" s="1">
        <f>9951*10000</f>
        <v>99510000</v>
      </c>
      <c r="AM1059" s="8">
        <f t="shared" si="520"/>
        <v>0.35979775895053295</v>
      </c>
      <c r="AN1059" s="7" t="s">
        <v>11150</v>
      </c>
      <c r="AO1059" s="6" t="str">
        <f t="shared" si="504"/>
        <v>=7318*10000</v>
      </c>
      <c r="AP1059" s="1">
        <f>7318*10000</f>
        <v>73180000</v>
      </c>
      <c r="AQ1059" s="8">
        <f t="shared" si="521"/>
        <v>0.44538810981631444</v>
      </c>
      <c r="AR1059" s="7" t="s">
        <v>11151</v>
      </c>
      <c r="AS1059" s="6" t="str">
        <f t="shared" si="505"/>
        <v>=5063*10000</v>
      </c>
      <c r="AT1059" s="1">
        <f>5063*10000</f>
        <v>50630000</v>
      </c>
      <c r="AU1059" s="8">
        <f t="shared" si="522"/>
        <v>1.1228511530398322</v>
      </c>
      <c r="AV1059" s="7" t="s">
        <v>11152</v>
      </c>
      <c r="AW1059" s="6" t="str">
        <f t="shared" si="506"/>
        <v>=2385*10000</v>
      </c>
      <c r="AX1059" s="1">
        <f>2385*10000</f>
        <v>23850000</v>
      </c>
      <c r="AY1059" s="10">
        <f t="shared" si="523"/>
        <v>-0.75628448804414472</v>
      </c>
      <c r="AZ1059" s="7" t="s">
        <v>11153</v>
      </c>
      <c r="BA1059" s="6" t="str">
        <f t="shared" si="507"/>
        <v>=9786*10000</v>
      </c>
      <c r="BB1059" s="1">
        <f>9786*10000</f>
        <v>97860000</v>
      </c>
      <c r="BC1059" s="8">
        <f t="shared" si="524"/>
        <v>0.36580600139567343</v>
      </c>
      <c r="BD1059" s="7" t="s">
        <v>11154</v>
      </c>
      <c r="BE1059" s="6" t="str">
        <f t="shared" si="508"/>
        <v>=7165*10000</v>
      </c>
      <c r="BF1059" s="1">
        <f>7165*10000</f>
        <v>71650000</v>
      </c>
      <c r="BG1059" s="8">
        <f t="shared" si="525"/>
        <v>0.44194002817468303</v>
      </c>
      <c r="BH1059" s="7" t="s">
        <v>2243</v>
      </c>
      <c r="BI1059" s="6" t="str">
        <f t="shared" si="509"/>
        <v>=4969*10000</v>
      </c>
      <c r="BJ1059" s="1">
        <f>4969*10000</f>
        <v>49690000</v>
      </c>
      <c r="BK1059" s="7" t="s">
        <v>11155</v>
      </c>
      <c r="BL1059" s="1" t="str">
        <f t="shared" si="511"/>
        <v>=2187*10000</v>
      </c>
      <c r="BM1059" s="16">
        <f t="shared" si="526"/>
        <v>1.2720621856424326</v>
      </c>
      <c r="BN1059" s="1">
        <f>2187*10000</f>
        <v>21870000</v>
      </c>
    </row>
    <row r="1060" spans="1:66">
      <c r="A1060" s="18"/>
      <c r="B1060">
        <v>600838</v>
      </c>
      <c r="C1060" t="s">
        <v>58</v>
      </c>
      <c r="D1060" s="6" t="s">
        <v>11156</v>
      </c>
      <c r="E1060" s="7" t="str">
        <f t="shared" si="510"/>
        <v>=1.025*100000000</v>
      </c>
      <c r="F1060" s="1">
        <f>1.025*100000000</f>
        <v>102499999.99999999</v>
      </c>
      <c r="G1060" s="8">
        <f t="shared" si="512"/>
        <v>0.21762889047279621</v>
      </c>
      <c r="H1060" s="7" t="s">
        <v>11157</v>
      </c>
      <c r="I1060" s="6" t="str">
        <f t="shared" si="496"/>
        <v>=8418*10000</v>
      </c>
      <c r="J1060" s="1">
        <f>8418*10000</f>
        <v>84180000</v>
      </c>
      <c r="K1060" s="10">
        <f t="shared" si="513"/>
        <v>1.0066746126340882</v>
      </c>
      <c r="L1060" s="7" t="s">
        <v>5882</v>
      </c>
      <c r="M1060" s="6" t="str">
        <f t="shared" si="497"/>
        <v>=4195*10000</v>
      </c>
      <c r="N1060" s="1">
        <f>4195*10000</f>
        <v>41950000</v>
      </c>
      <c r="O1060" s="8">
        <f t="shared" si="514"/>
        <v>1.3673814898419865</v>
      </c>
      <c r="P1060" s="7" t="s">
        <v>2475</v>
      </c>
      <c r="Q1060" s="6" t="str">
        <f t="shared" si="498"/>
        <v>=1772*10000</v>
      </c>
      <c r="R1060" s="11">
        <f>1772*10000</f>
        <v>17720000</v>
      </c>
      <c r="S1060" s="8">
        <f t="shared" si="515"/>
        <v>-0.66804046459348065</v>
      </c>
      <c r="T1060" s="7" t="s">
        <v>11158</v>
      </c>
      <c r="U1060" s="6" t="str">
        <f t="shared" si="499"/>
        <v>=5338*10000</v>
      </c>
      <c r="V1060" s="1">
        <f>5338*10000</f>
        <v>53380000</v>
      </c>
      <c r="W1060" s="8">
        <f t="shared" si="516"/>
        <v>0.31477832512315274</v>
      </c>
      <c r="X1060" s="7" t="s">
        <v>11159</v>
      </c>
      <c r="Y1060" s="6" t="str">
        <f t="shared" si="500"/>
        <v>=4060*10000</v>
      </c>
      <c r="Z1060" s="1">
        <f>4060*10000</f>
        <v>40600000</v>
      </c>
      <c r="AA1060" s="8">
        <f t="shared" si="517"/>
        <v>0.65376782077393081</v>
      </c>
      <c r="AB1060" s="7" t="s">
        <v>4470</v>
      </c>
      <c r="AC1060" s="6" t="str">
        <f t="shared" si="501"/>
        <v>=2455*10000</v>
      </c>
      <c r="AD1060" s="1">
        <f>2455*10000</f>
        <v>24550000</v>
      </c>
      <c r="AE1060" s="8">
        <f t="shared" si="518"/>
        <v>1.7989966936495267</v>
      </c>
      <c r="AF1060" s="7" t="s">
        <v>11160</v>
      </c>
      <c r="AG1060" s="6" t="str">
        <f t="shared" si="502"/>
        <v>=877.1*10000</v>
      </c>
      <c r="AH1060" s="1">
        <f>877.1*10000</f>
        <v>8771000</v>
      </c>
      <c r="AI1060" s="8">
        <f t="shared" si="519"/>
        <v>-0.91139509041317301</v>
      </c>
      <c r="AJ1060" s="7" t="s">
        <v>11161</v>
      </c>
      <c r="AK1060" s="6" t="str">
        <f t="shared" si="503"/>
        <v>=9899*10000</v>
      </c>
      <c r="AL1060" s="1">
        <f>9899*10000</f>
        <v>98990000</v>
      </c>
      <c r="AM1060" s="8">
        <f t="shared" si="520"/>
        <v>0.3640622846906435</v>
      </c>
      <c r="AN1060" s="7" t="s">
        <v>10428</v>
      </c>
      <c r="AO1060" s="6" t="str">
        <f t="shared" si="504"/>
        <v>=7257*10000</v>
      </c>
      <c r="AP1060" s="1">
        <f>7257*10000</f>
        <v>72570000</v>
      </c>
      <c r="AQ1060" s="8">
        <f t="shared" si="521"/>
        <v>0.44016669974201228</v>
      </c>
      <c r="AR1060" s="7" t="s">
        <v>11162</v>
      </c>
      <c r="AS1060" s="6" t="str">
        <f t="shared" si="505"/>
        <v>=5039*10000</v>
      </c>
      <c r="AT1060" s="1">
        <f>5039*10000</f>
        <v>50390000</v>
      </c>
      <c r="AU1060" s="8">
        <f t="shared" si="522"/>
        <v>1.1387945670628183</v>
      </c>
      <c r="AV1060" s="7" t="s">
        <v>11163</v>
      </c>
      <c r="AW1060" s="6" t="str">
        <f t="shared" si="506"/>
        <v>=2356*10000</v>
      </c>
      <c r="AX1060" s="1">
        <f>2356*10000</f>
        <v>23560000</v>
      </c>
      <c r="AY1060" s="10">
        <f t="shared" si="523"/>
        <v>-0.76122428296341338</v>
      </c>
      <c r="AZ1060" s="7" t="s">
        <v>11164</v>
      </c>
      <c r="BA1060" s="6" t="str">
        <f t="shared" si="507"/>
        <v>=9867*10000</v>
      </c>
      <c r="BB1060" s="1">
        <f>9867*10000</f>
        <v>98670000</v>
      </c>
      <c r="BC1060" s="8">
        <f t="shared" si="524"/>
        <v>0.3765345982142857</v>
      </c>
      <c r="BD1060" s="7" t="s">
        <v>11165</v>
      </c>
      <c r="BE1060" s="6" t="str">
        <f t="shared" si="508"/>
        <v>=7168*10000</v>
      </c>
      <c r="BF1060" s="1">
        <f>7168*10000</f>
        <v>71680000</v>
      </c>
      <c r="BG1060" s="8">
        <f t="shared" si="525"/>
        <v>0.44196338764836052</v>
      </c>
      <c r="BH1060" s="7" t="s">
        <v>11166</v>
      </c>
      <c r="BI1060" s="6" t="str">
        <f t="shared" si="509"/>
        <v>=4971*10000</v>
      </c>
      <c r="BJ1060" s="1">
        <f>4971*10000</f>
        <v>49710000</v>
      </c>
      <c r="BK1060" s="7" t="s">
        <v>11167</v>
      </c>
      <c r="BL1060" s="1" t="str">
        <f t="shared" si="511"/>
        <v>=2186*10000</v>
      </c>
      <c r="BM1060" s="16">
        <f t="shared" si="526"/>
        <v>1.2740164684354987</v>
      </c>
      <c r="BN1060" s="1">
        <f>2186*10000</f>
        <v>21860000</v>
      </c>
    </row>
    <row r="1061" spans="1:66">
      <c r="A1061" s="19"/>
      <c r="B1061">
        <v>600838</v>
      </c>
      <c r="C1061" t="s">
        <v>68</v>
      </c>
      <c r="D1061" s="6" t="s">
        <v>11156</v>
      </c>
      <c r="E1061" s="7" t="str">
        <f t="shared" si="510"/>
        <v>=1.025*100000000</v>
      </c>
      <c r="F1061" s="1">
        <f>1.025*100000000</f>
        <v>102499999.99999999</v>
      </c>
      <c r="G1061" s="8">
        <f t="shared" si="512"/>
        <v>0.21762889047279621</v>
      </c>
      <c r="H1061" s="7" t="s">
        <v>11157</v>
      </c>
      <c r="I1061" s="6" t="str">
        <f t="shared" si="496"/>
        <v>=8418*10000</v>
      </c>
      <c r="J1061" s="1">
        <f>8418*10000</f>
        <v>84180000</v>
      </c>
      <c r="K1061" s="10">
        <f t="shared" si="513"/>
        <v>1.0066746126340882</v>
      </c>
      <c r="L1061" s="7" t="s">
        <v>5882</v>
      </c>
      <c r="M1061" s="6" t="str">
        <f t="shared" si="497"/>
        <v>=4195*10000</v>
      </c>
      <c r="N1061" s="1">
        <f>4195*10000</f>
        <v>41950000</v>
      </c>
      <c r="O1061" s="8">
        <f t="shared" si="514"/>
        <v>1.3673814898419865</v>
      </c>
      <c r="P1061" s="7" t="s">
        <v>2475</v>
      </c>
      <c r="Q1061" s="6" t="str">
        <f t="shared" si="498"/>
        <v>=1772*10000</v>
      </c>
      <c r="R1061" s="11">
        <f>1772*10000</f>
        <v>17720000</v>
      </c>
      <c r="S1061" s="8">
        <f t="shared" si="515"/>
        <v>-0.66804046459348065</v>
      </c>
      <c r="T1061" s="7" t="s">
        <v>11158</v>
      </c>
      <c r="U1061" s="6" t="str">
        <f t="shared" si="499"/>
        <v>=5338*10000</v>
      </c>
      <c r="V1061" s="1">
        <f>5338*10000</f>
        <v>53380000</v>
      </c>
      <c r="W1061" s="8">
        <f t="shared" si="516"/>
        <v>0.31477832512315274</v>
      </c>
      <c r="X1061" s="7" t="s">
        <v>11159</v>
      </c>
      <c r="Y1061" s="6" t="str">
        <f t="shared" si="500"/>
        <v>=4060*10000</v>
      </c>
      <c r="Z1061" s="1">
        <f>4060*10000</f>
        <v>40600000</v>
      </c>
      <c r="AA1061" s="8">
        <f t="shared" si="517"/>
        <v>0.65376782077393081</v>
      </c>
      <c r="AB1061" s="7" t="s">
        <v>4470</v>
      </c>
      <c r="AC1061" s="6" t="str">
        <f t="shared" si="501"/>
        <v>=2455*10000</v>
      </c>
      <c r="AD1061" s="1">
        <f>2455*10000</f>
        <v>24550000</v>
      </c>
      <c r="AE1061" s="8">
        <f t="shared" si="518"/>
        <v>1.7989966936495267</v>
      </c>
      <c r="AF1061" s="7" t="s">
        <v>11160</v>
      </c>
      <c r="AG1061" s="6" t="str">
        <f t="shared" si="502"/>
        <v>=877.1*10000</v>
      </c>
      <c r="AH1061" s="1">
        <f>877.1*10000</f>
        <v>8771000</v>
      </c>
      <c r="AI1061" s="8">
        <f t="shared" si="519"/>
        <v>-0.91139509041317301</v>
      </c>
      <c r="AJ1061" s="7" t="s">
        <v>11161</v>
      </c>
      <c r="AK1061" s="6" t="str">
        <f t="shared" si="503"/>
        <v>=9899*10000</v>
      </c>
      <c r="AL1061" s="1">
        <f>9899*10000</f>
        <v>98990000</v>
      </c>
      <c r="AM1061" s="8">
        <f t="shared" si="520"/>
        <v>0.3640622846906435</v>
      </c>
      <c r="AN1061" s="7" t="s">
        <v>10428</v>
      </c>
      <c r="AO1061" s="6" t="str">
        <f t="shared" si="504"/>
        <v>=7257*10000</v>
      </c>
      <c r="AP1061" s="1">
        <f>7257*10000</f>
        <v>72570000</v>
      </c>
      <c r="AQ1061" s="8">
        <f t="shared" si="521"/>
        <v>0.44016669974201228</v>
      </c>
      <c r="AR1061" s="7" t="s">
        <v>11162</v>
      </c>
      <c r="AS1061" s="6" t="str">
        <f t="shared" si="505"/>
        <v>=5039*10000</v>
      </c>
      <c r="AT1061" s="1">
        <f>5039*10000</f>
        <v>50390000</v>
      </c>
      <c r="AU1061" s="8">
        <f t="shared" si="522"/>
        <v>1.1387945670628183</v>
      </c>
      <c r="AV1061" s="7" t="s">
        <v>11163</v>
      </c>
      <c r="AW1061" s="6" t="str">
        <f t="shared" si="506"/>
        <v>=2356*10000</v>
      </c>
      <c r="AX1061" s="1">
        <f>2356*10000</f>
        <v>23560000</v>
      </c>
      <c r="AY1061" s="10">
        <f t="shared" si="523"/>
        <v>-0.76103053047976466</v>
      </c>
      <c r="AZ1061" s="7" t="s">
        <v>11168</v>
      </c>
      <c r="BA1061" s="6" t="str">
        <f t="shared" si="507"/>
        <v>=9859*10000</v>
      </c>
      <c r="BB1061" s="1">
        <f>9859*10000</f>
        <v>98590000</v>
      </c>
      <c r="BC1061" s="8">
        <f t="shared" si="524"/>
        <v>0.3765707902820441</v>
      </c>
      <c r="BD1061" s="7" t="s">
        <v>8320</v>
      </c>
      <c r="BE1061" s="6" t="str">
        <f t="shared" si="508"/>
        <v>=7162*10000</v>
      </c>
      <c r="BF1061" s="1">
        <f>7162*10000</f>
        <v>71620000</v>
      </c>
      <c r="BG1061" s="8">
        <f t="shared" si="525"/>
        <v>0.4407563870448602</v>
      </c>
      <c r="BH1061" s="7" t="s">
        <v>11166</v>
      </c>
      <c r="BI1061" s="6" t="str">
        <f t="shared" si="509"/>
        <v>=4971*10000</v>
      </c>
      <c r="BJ1061" s="1">
        <f>4971*10000</f>
        <v>49710000</v>
      </c>
      <c r="BK1061" s="7" t="s">
        <v>11167</v>
      </c>
      <c r="BL1061" s="1" t="str">
        <f t="shared" si="511"/>
        <v>=2186*10000</v>
      </c>
      <c r="BM1061" s="16">
        <f t="shared" si="526"/>
        <v>1.2740164684354987</v>
      </c>
      <c r="BN1061" s="1">
        <f>2186*10000</f>
        <v>21860000</v>
      </c>
    </row>
    <row r="1062" spans="1:66">
      <c r="A1062" s="17">
        <v>267</v>
      </c>
      <c r="B1062">
        <v>600841</v>
      </c>
      <c r="C1062" t="s">
        <v>31</v>
      </c>
      <c r="D1062" s="6" t="s">
        <v>11169</v>
      </c>
      <c r="E1062" s="7" t="str">
        <f t="shared" si="510"/>
        <v>=244.0*100000000</v>
      </c>
      <c r="F1062" s="1">
        <f>244*100000000</f>
        <v>24400000000</v>
      </c>
      <c r="G1062" s="8">
        <f t="shared" si="512"/>
        <v>0.16135173726796764</v>
      </c>
      <c r="H1062" s="6" t="s">
        <v>11170</v>
      </c>
      <c r="I1062" s="6" t="str">
        <f t="shared" si="496"/>
        <v>=210.1*100000000</v>
      </c>
      <c r="J1062" s="1">
        <f>210.1*100000000</f>
        <v>21010000000</v>
      </c>
      <c r="K1062" s="10">
        <f t="shared" si="513"/>
        <v>4.327079107505071</v>
      </c>
      <c r="L1062" s="6" t="s">
        <v>11171</v>
      </c>
      <c r="M1062" s="6" t="str">
        <f t="shared" si="497"/>
        <v>=39.44*100000000</v>
      </c>
      <c r="N1062" s="1">
        <f>39.44*100000000</f>
        <v>3944000000</v>
      </c>
      <c r="O1062" s="8">
        <f t="shared" si="514"/>
        <v>1.063840920983778</v>
      </c>
      <c r="P1062" s="6" t="s">
        <v>11172</v>
      </c>
      <c r="Q1062" s="6" t="str">
        <f t="shared" si="498"/>
        <v>=19.11*100000000</v>
      </c>
      <c r="R1062" s="11">
        <f>19.11*100000000</f>
        <v>1911000000</v>
      </c>
      <c r="S1062" s="8">
        <f t="shared" si="515"/>
        <v>-0.91297814207650274</v>
      </c>
      <c r="T1062" s="6" t="s">
        <v>11173</v>
      </c>
      <c r="U1062" s="6" t="str">
        <f t="shared" si="499"/>
        <v>=219.6*100000000</v>
      </c>
      <c r="V1062" s="1">
        <f>219.6*100000000</f>
        <v>21960000000</v>
      </c>
      <c r="W1062" s="8">
        <f t="shared" si="516"/>
        <v>0.13079299691040164</v>
      </c>
      <c r="X1062" s="6" t="s">
        <v>11174</v>
      </c>
      <c r="Y1062" s="6" t="str">
        <f t="shared" si="500"/>
        <v>=194.2*100000000</v>
      </c>
      <c r="Z1062" s="1">
        <f>194.2*100000000</f>
        <v>19420000000</v>
      </c>
      <c r="AA1062" s="8">
        <f t="shared" si="517"/>
        <v>6.1554900515843771</v>
      </c>
      <c r="AB1062" s="6" t="s">
        <v>2804</v>
      </c>
      <c r="AC1062" s="6" t="str">
        <f t="shared" si="501"/>
        <v>=27.14*100000000</v>
      </c>
      <c r="AD1062" s="1">
        <f>27.14*100000000</f>
        <v>2714000000</v>
      </c>
      <c r="AE1062" s="8">
        <f t="shared" si="518"/>
        <v>1.8138932089165372</v>
      </c>
      <c r="AF1062" s="6" t="s">
        <v>11175</v>
      </c>
      <c r="AG1062" s="6" t="str">
        <f t="shared" si="502"/>
        <v>=9.645*100000000</v>
      </c>
      <c r="AH1062" s="1">
        <f>9.645*100000000</f>
        <v>964500000</v>
      </c>
      <c r="AI1062" s="8">
        <f t="shared" si="519"/>
        <v>-0.76084800396727004</v>
      </c>
      <c r="AJ1062" s="6" t="s">
        <v>11176</v>
      </c>
      <c r="AK1062" s="6" t="str">
        <f t="shared" si="503"/>
        <v>=40.33*100000000</v>
      </c>
      <c r="AL1062" s="1">
        <f>40.33*100000000</f>
        <v>4033000000</v>
      </c>
      <c r="AM1062" s="8">
        <f t="shared" si="520"/>
        <v>0.41857193105874074</v>
      </c>
      <c r="AN1062" s="6" t="s">
        <v>11177</v>
      </c>
      <c r="AO1062" s="6" t="str">
        <f t="shared" si="504"/>
        <v>=28.43*100000000</v>
      </c>
      <c r="AP1062" s="1">
        <f>28.43*100000000</f>
        <v>2843000000</v>
      </c>
      <c r="AQ1062" s="8">
        <f t="shared" si="521"/>
        <v>0.47535028541774782</v>
      </c>
      <c r="AR1062" s="6" t="s">
        <v>11178</v>
      </c>
      <c r="AS1062" s="6" t="str">
        <f t="shared" si="505"/>
        <v>=19.27*100000000</v>
      </c>
      <c r="AT1062" s="1">
        <f>19.27*100000000</f>
        <v>1927000000</v>
      </c>
      <c r="AU1062" s="8">
        <f t="shared" si="522"/>
        <v>1.0537141639134608</v>
      </c>
      <c r="AV1062" s="6" t="s">
        <v>11179</v>
      </c>
      <c r="AW1062" s="6" t="str">
        <f t="shared" si="506"/>
        <v>=9.383*100000000</v>
      </c>
      <c r="AX1062" s="1">
        <f>9.383*100000000</f>
        <v>938299999.99999988</v>
      </c>
      <c r="AY1062" s="10">
        <f t="shared" si="523"/>
        <v>-0.77231254549866535</v>
      </c>
      <c r="AZ1062" s="6" t="s">
        <v>11180</v>
      </c>
      <c r="BA1062" s="6" t="str">
        <f t="shared" si="507"/>
        <v>=41.21*100000000</v>
      </c>
      <c r="BB1062" s="1">
        <f>41.21*100000000</f>
        <v>4121000000</v>
      </c>
      <c r="BC1062" s="8">
        <f t="shared" si="524"/>
        <v>0.26256127450980393</v>
      </c>
      <c r="BD1062" s="6" t="s">
        <v>11181</v>
      </c>
      <c r="BE1062" s="6" t="str">
        <f t="shared" si="508"/>
        <v>=32.64*100000000</v>
      </c>
      <c r="BF1062" s="1">
        <f>32.64*100000000</f>
        <v>3264000000</v>
      </c>
      <c r="BG1062" s="8">
        <f t="shared" si="525"/>
        <v>0.47893067512460352</v>
      </c>
      <c r="BH1062" s="6" t="s">
        <v>9556</v>
      </c>
      <c r="BI1062" s="6" t="str">
        <f t="shared" si="509"/>
        <v>=22.07*100000000</v>
      </c>
      <c r="BJ1062" s="1">
        <f>22.07*100000000</f>
        <v>2207000000</v>
      </c>
      <c r="BK1062" s="6" t="s">
        <v>254</v>
      </c>
      <c r="BL1062" s="1" t="str">
        <f t="shared" si="511"/>
        <v>=10.92*100000000</v>
      </c>
      <c r="BM1062" s="16">
        <f t="shared" si="526"/>
        <v>1.021062271062271</v>
      </c>
      <c r="BN1062" s="1">
        <f>10.92*100000000</f>
        <v>1092000000</v>
      </c>
    </row>
    <row r="1063" spans="1:66">
      <c r="A1063" s="18"/>
      <c r="B1063">
        <v>600841</v>
      </c>
      <c r="C1063" t="s">
        <v>48</v>
      </c>
      <c r="D1063" s="6" t="s">
        <v>11182</v>
      </c>
      <c r="E1063" s="7" t="str">
        <f t="shared" si="510"/>
        <v>=7.866*100000000</v>
      </c>
      <c r="F1063" s="1">
        <f>7.866*100000000</f>
        <v>786600000</v>
      </c>
      <c r="G1063" s="8">
        <f t="shared" si="512"/>
        <v>0.27487844408427875</v>
      </c>
      <c r="H1063" s="6" t="s">
        <v>11183</v>
      </c>
      <c r="I1063" s="6" t="str">
        <f t="shared" si="496"/>
        <v>=6.170*100000000</v>
      </c>
      <c r="J1063" s="1">
        <f>6.17*100000000</f>
        <v>617000000</v>
      </c>
      <c r="K1063" s="10">
        <f t="shared" si="513"/>
        <v>2.1114473020675746</v>
      </c>
      <c r="L1063" s="6" t="s">
        <v>10217</v>
      </c>
      <c r="M1063" s="6" t="str">
        <f t="shared" si="497"/>
        <v>=1.983*100000000</v>
      </c>
      <c r="N1063" s="1">
        <f>1.983*100000000</f>
        <v>198300000</v>
      </c>
      <c r="O1063" s="8">
        <f t="shared" si="514"/>
        <v>2.183496548402633</v>
      </c>
      <c r="P1063" s="7" t="s">
        <v>11184</v>
      </c>
      <c r="Q1063" s="6" t="str">
        <f t="shared" si="498"/>
        <v>=6229*10000</v>
      </c>
      <c r="R1063" s="11">
        <f>6229*10000</f>
        <v>62290000</v>
      </c>
      <c r="S1063" s="8">
        <f t="shared" si="515"/>
        <v>-0.844275</v>
      </c>
      <c r="T1063" s="6" t="s">
        <v>5533</v>
      </c>
      <c r="U1063" s="6" t="str">
        <f t="shared" si="499"/>
        <v>=4.000*100000000</v>
      </c>
      <c r="V1063" s="1">
        <f>4*100000000</f>
        <v>400000000</v>
      </c>
      <c r="W1063" s="8">
        <f t="shared" si="516"/>
        <v>-0.33708982432880347</v>
      </c>
      <c r="X1063" s="6" t="s">
        <v>11185</v>
      </c>
      <c r="Y1063" s="6" t="str">
        <f t="shared" si="500"/>
        <v>=6.034*100000000</v>
      </c>
      <c r="Z1063" s="1">
        <f>6.034*100000000</f>
        <v>603400000</v>
      </c>
      <c r="AA1063" s="8">
        <f t="shared" si="517"/>
        <v>4.703213610586011</v>
      </c>
      <c r="AB1063" s="6" t="s">
        <v>119</v>
      </c>
      <c r="AC1063" s="6" t="str">
        <f t="shared" si="501"/>
        <v>=1.058*100000000</v>
      </c>
      <c r="AD1063" s="1">
        <f>1.058*100000000</f>
        <v>105800000</v>
      </c>
      <c r="AE1063" s="8">
        <f t="shared" si="518"/>
        <v>6.6169906407487398</v>
      </c>
      <c r="AF1063" s="7" t="s">
        <v>11186</v>
      </c>
      <c r="AG1063" s="6" t="str">
        <f t="shared" si="502"/>
        <v>=1389*10000</v>
      </c>
      <c r="AH1063" s="1">
        <f>1389*10000</f>
        <v>13890000</v>
      </c>
      <c r="AI1063" s="8">
        <f t="shared" si="519"/>
        <v>-0.86945488721804509</v>
      </c>
      <c r="AJ1063" s="6" t="s">
        <v>2871</v>
      </c>
      <c r="AK1063" s="6" t="str">
        <f t="shared" si="503"/>
        <v>=1.064*100000000</v>
      </c>
      <c r="AL1063" s="1">
        <f>1.064*100000000</f>
        <v>106400000</v>
      </c>
      <c r="AM1063" s="8">
        <f t="shared" si="520"/>
        <v>0.35957066189624332</v>
      </c>
      <c r="AN1063" s="7" t="s">
        <v>3939</v>
      </c>
      <c r="AO1063" s="6" t="str">
        <f t="shared" si="504"/>
        <v>=7826*10000</v>
      </c>
      <c r="AP1063" s="1">
        <f>7826*10000</f>
        <v>78260000</v>
      </c>
      <c r="AQ1063" s="8">
        <f t="shared" si="521"/>
        <v>0.26860106986545629</v>
      </c>
      <c r="AR1063" s="7" t="s">
        <v>3514</v>
      </c>
      <c r="AS1063" s="6" t="str">
        <f t="shared" si="505"/>
        <v>=6169*10000</v>
      </c>
      <c r="AT1063" s="1">
        <f>6169*10000</f>
        <v>61690000</v>
      </c>
      <c r="AU1063" s="8">
        <f t="shared" si="522"/>
        <v>2.4234184239733629</v>
      </c>
      <c r="AV1063" s="7" t="s">
        <v>7622</v>
      </c>
      <c r="AW1063" s="6" t="str">
        <f t="shared" si="506"/>
        <v>=1802*10000</v>
      </c>
      <c r="AX1063" s="1">
        <f>1802*10000</f>
        <v>18020000</v>
      </c>
      <c r="AY1063" s="10">
        <f t="shared" si="523"/>
        <v>-0.8386750223813787</v>
      </c>
      <c r="AZ1063" s="6" t="s">
        <v>7599</v>
      </c>
      <c r="BA1063" s="6" t="str">
        <f t="shared" si="507"/>
        <v>=1.117*100000000</v>
      </c>
      <c r="BB1063" s="1">
        <f>1.117*100000000</f>
        <v>111700000</v>
      </c>
      <c r="BC1063" s="8">
        <f t="shared" si="524"/>
        <v>3.9069767441860463E-2</v>
      </c>
      <c r="BD1063" s="6" t="s">
        <v>2150</v>
      </c>
      <c r="BE1063" s="6" t="str">
        <f t="shared" si="508"/>
        <v>=1.075*100000000</v>
      </c>
      <c r="BF1063" s="1">
        <f>1.075*100000000</f>
        <v>107500000</v>
      </c>
      <c r="BG1063" s="8">
        <f t="shared" si="525"/>
        <v>0.36058726743450198</v>
      </c>
      <c r="BH1063" s="7" t="s">
        <v>11187</v>
      </c>
      <c r="BI1063" s="6" t="str">
        <f t="shared" si="509"/>
        <v>=7901*10000</v>
      </c>
      <c r="BJ1063" s="1">
        <f>7901*10000</f>
        <v>79010000</v>
      </c>
      <c r="BK1063" s="7" t="s">
        <v>11188</v>
      </c>
      <c r="BL1063" s="1" t="str">
        <f t="shared" si="511"/>
        <v>=4234*10000</v>
      </c>
      <c r="BM1063" s="16">
        <f t="shared" si="526"/>
        <v>0.86608408124704772</v>
      </c>
      <c r="BN1063" s="1">
        <f>4234*10000</f>
        <v>42340000</v>
      </c>
    </row>
    <row r="1064" spans="1:66">
      <c r="A1064" s="18"/>
      <c r="B1064">
        <v>600841</v>
      </c>
      <c r="C1064" t="s">
        <v>58</v>
      </c>
      <c r="D1064" s="6" t="s">
        <v>11189</v>
      </c>
      <c r="E1064" s="7" t="str">
        <f t="shared" si="510"/>
        <v>=8.196*100000000</v>
      </c>
      <c r="F1064" s="1">
        <f>8.196*100000000</f>
        <v>819600000</v>
      </c>
      <c r="G1064" s="8">
        <f t="shared" si="512"/>
        <v>0.27346177750155376</v>
      </c>
      <c r="H1064" s="6" t="s">
        <v>11190</v>
      </c>
      <c r="I1064" s="6" t="str">
        <f t="shared" si="496"/>
        <v>=6.436*100000000</v>
      </c>
      <c r="J1064" s="1">
        <f>6.436*100000000</f>
        <v>643600000</v>
      </c>
      <c r="K1064" s="10">
        <f t="shared" si="513"/>
        <v>2.170443349753695</v>
      </c>
      <c r="L1064" s="6" t="s">
        <v>1775</v>
      </c>
      <c r="M1064" s="6" t="str">
        <f t="shared" si="497"/>
        <v>=2.030*100000000</v>
      </c>
      <c r="N1064" s="1">
        <f>2.03*100000000</f>
        <v>202999999.99999997</v>
      </c>
      <c r="O1064" s="8">
        <f t="shared" si="514"/>
        <v>2.1753480369153757</v>
      </c>
      <c r="P1064" s="7" t="s">
        <v>11191</v>
      </c>
      <c r="Q1064" s="6" t="str">
        <f t="shared" si="498"/>
        <v>=6393*10000</v>
      </c>
      <c r="R1064" s="11">
        <f>6393*10000</f>
        <v>63930000</v>
      </c>
      <c r="S1064" s="8">
        <f t="shared" si="515"/>
        <v>-0.84724014336917564</v>
      </c>
      <c r="T1064" s="6" t="s">
        <v>11192</v>
      </c>
      <c r="U1064" s="6" t="str">
        <f t="shared" si="499"/>
        <v>=4.185*100000000</v>
      </c>
      <c r="V1064" s="1">
        <f>4.185*100000000</f>
        <v>418499999.99999994</v>
      </c>
      <c r="W1064" s="8">
        <f t="shared" si="516"/>
        <v>-0.31382193802262676</v>
      </c>
      <c r="X1064" s="6" t="s">
        <v>11193</v>
      </c>
      <c r="Y1064" s="6" t="str">
        <f t="shared" si="500"/>
        <v>=6.099*100000000</v>
      </c>
      <c r="Z1064" s="1">
        <f>6.099*100000000</f>
        <v>609900000</v>
      </c>
      <c r="AA1064" s="8">
        <f t="shared" si="517"/>
        <v>4.7429378531073443</v>
      </c>
      <c r="AB1064" s="6" t="s">
        <v>104</v>
      </c>
      <c r="AC1064" s="6" t="str">
        <f t="shared" si="501"/>
        <v>=1.062*100000000</v>
      </c>
      <c r="AD1064" s="1">
        <f>1.062*100000000</f>
        <v>106200000</v>
      </c>
      <c r="AE1064" s="8">
        <f t="shared" si="518"/>
        <v>6.5372604684173172</v>
      </c>
      <c r="AF1064" s="7" t="s">
        <v>11194</v>
      </c>
      <c r="AG1064" s="6" t="str">
        <f t="shared" si="502"/>
        <v>=1409*10000</v>
      </c>
      <c r="AH1064" s="1">
        <f>1409*10000</f>
        <v>14090000</v>
      </c>
      <c r="AI1064" s="8">
        <f t="shared" si="519"/>
        <v>-0.86905204460966545</v>
      </c>
      <c r="AJ1064" s="6" t="s">
        <v>8529</v>
      </c>
      <c r="AK1064" s="6" t="str">
        <f t="shared" si="503"/>
        <v>=1.076*100000000</v>
      </c>
      <c r="AL1064" s="1">
        <f>1.076*100000000</f>
        <v>107600000</v>
      </c>
      <c r="AM1064" s="8">
        <f t="shared" si="520"/>
        <v>0.36652273304546606</v>
      </c>
      <c r="AN1064" s="7" t="s">
        <v>11195</v>
      </c>
      <c r="AO1064" s="6" t="str">
        <f t="shared" si="504"/>
        <v>=7874*10000</v>
      </c>
      <c r="AP1064" s="1">
        <f>7874*10000</f>
        <v>78740000</v>
      </c>
      <c r="AQ1064" s="8">
        <f t="shared" si="521"/>
        <v>0.27452249919067662</v>
      </c>
      <c r="AR1064" s="7" t="s">
        <v>11196</v>
      </c>
      <c r="AS1064" s="6" t="str">
        <f t="shared" si="505"/>
        <v>=6178*10000</v>
      </c>
      <c r="AT1064" s="1">
        <f>6178*10000</f>
        <v>61780000</v>
      </c>
      <c r="AU1064" s="8">
        <f t="shared" si="522"/>
        <v>2.4094922737306845</v>
      </c>
      <c r="AV1064" s="7" t="s">
        <v>5864</v>
      </c>
      <c r="AW1064" s="6" t="str">
        <f t="shared" si="506"/>
        <v>=1812*10000</v>
      </c>
      <c r="AX1064" s="1">
        <f>1812*10000</f>
        <v>18120000</v>
      </c>
      <c r="AY1064" s="10">
        <f t="shared" si="523"/>
        <v>-0.839076376554174</v>
      </c>
      <c r="AZ1064" s="6" t="s">
        <v>3574</v>
      </c>
      <c r="BA1064" s="6" t="str">
        <f t="shared" si="507"/>
        <v>=1.126*100000000</v>
      </c>
      <c r="BB1064" s="1">
        <f>1.126*100000000</f>
        <v>112599999.99999999</v>
      </c>
      <c r="BC1064" s="8">
        <f t="shared" si="524"/>
        <v>4.549675023212614E-2</v>
      </c>
      <c r="BD1064" s="6" t="s">
        <v>9948</v>
      </c>
      <c r="BE1064" s="6" t="str">
        <f t="shared" si="508"/>
        <v>=1.077*100000000</v>
      </c>
      <c r="BF1064" s="1">
        <f>1.077*100000000</f>
        <v>107700000</v>
      </c>
      <c r="BG1064" s="8">
        <f t="shared" si="525"/>
        <v>0.35676492819349964</v>
      </c>
      <c r="BH1064" s="7" t="s">
        <v>11197</v>
      </c>
      <c r="BI1064" s="6" t="str">
        <f t="shared" si="509"/>
        <v>=7938*10000</v>
      </c>
      <c r="BJ1064" s="1">
        <f>7938*10000</f>
        <v>79380000</v>
      </c>
      <c r="BK1064" s="7" t="s">
        <v>11198</v>
      </c>
      <c r="BL1064" s="1" t="str">
        <f t="shared" si="511"/>
        <v>=4264*10000</v>
      </c>
      <c r="BM1064" s="16">
        <f t="shared" si="526"/>
        <v>0.86163227016885557</v>
      </c>
      <c r="BN1064" s="1">
        <f>4264*10000</f>
        <v>42640000</v>
      </c>
    </row>
    <row r="1065" spans="1:66">
      <c r="A1065" s="19"/>
      <c r="B1065">
        <v>600841</v>
      </c>
      <c r="C1065" t="s">
        <v>68</v>
      </c>
      <c r="D1065" s="6" t="s">
        <v>4648</v>
      </c>
      <c r="E1065" s="7" t="str">
        <f t="shared" si="510"/>
        <v>=8.004*100000000</v>
      </c>
      <c r="F1065" s="1">
        <f>8.004*100000000</f>
        <v>800400000</v>
      </c>
      <c r="G1065" s="8">
        <f t="shared" si="512"/>
        <v>0.34362934362934361</v>
      </c>
      <c r="H1065" s="6" t="s">
        <v>11199</v>
      </c>
      <c r="I1065" s="6" t="str">
        <f t="shared" si="496"/>
        <v>=5.957*100000000</v>
      </c>
      <c r="J1065" s="1">
        <f>5.957*100000000</f>
        <v>595700000</v>
      </c>
      <c r="K1065" s="10">
        <f t="shared" si="513"/>
        <v>2.0706185567010311</v>
      </c>
      <c r="L1065" s="6" t="s">
        <v>7666</v>
      </c>
      <c r="M1065" s="6" t="str">
        <f t="shared" si="497"/>
        <v>=1.940*100000000</v>
      </c>
      <c r="N1065" s="1">
        <f>1.94*100000000</f>
        <v>194000000</v>
      </c>
      <c r="O1065" s="8">
        <f t="shared" si="514"/>
        <v>2.0274656679151062</v>
      </c>
      <c r="P1065" s="7" t="s">
        <v>11200</v>
      </c>
      <c r="Q1065" s="6" t="str">
        <f t="shared" si="498"/>
        <v>=6408*10000</v>
      </c>
      <c r="R1065" s="11">
        <f>6408*10000</f>
        <v>64080000</v>
      </c>
      <c r="S1065" s="8">
        <f t="shared" si="515"/>
        <v>-0.87662687716596077</v>
      </c>
      <c r="T1065" s="6" t="s">
        <v>11201</v>
      </c>
      <c r="U1065" s="6" t="str">
        <f t="shared" si="499"/>
        <v>=5.194*100000000</v>
      </c>
      <c r="V1065" s="1">
        <f>5.194*100000000</f>
        <v>519400000</v>
      </c>
      <c r="W1065" s="8">
        <f t="shared" si="516"/>
        <v>-0.13332220924411814</v>
      </c>
      <c r="X1065" s="6" t="s">
        <v>4124</v>
      </c>
      <c r="Y1065" s="6" t="str">
        <f t="shared" si="500"/>
        <v>=5.993*100000000</v>
      </c>
      <c r="Z1065" s="1">
        <f>5.993*100000000</f>
        <v>599300000</v>
      </c>
      <c r="AA1065" s="8">
        <f t="shared" si="517"/>
        <v>4.4333635539437894</v>
      </c>
      <c r="AB1065" s="6" t="s">
        <v>2913</v>
      </c>
      <c r="AC1065" s="6" t="str">
        <f t="shared" si="501"/>
        <v>=1.103*100000000</v>
      </c>
      <c r="AD1065" s="1">
        <f>1.103*100000000</f>
        <v>110300000</v>
      </c>
      <c r="AE1065" s="8">
        <f t="shared" si="518"/>
        <v>4.9815618221258138</v>
      </c>
      <c r="AF1065" s="7" t="s">
        <v>11202</v>
      </c>
      <c r="AG1065" s="6" t="str">
        <f t="shared" si="502"/>
        <v>=1844*10000</v>
      </c>
      <c r="AH1065" s="1">
        <f>1844*10000</f>
        <v>18440000</v>
      </c>
      <c r="AI1065" s="8">
        <f t="shared" si="519"/>
        <v>-0.84089732528041417</v>
      </c>
      <c r="AJ1065" s="6" t="s">
        <v>11203</v>
      </c>
      <c r="AK1065" s="6" t="str">
        <f t="shared" si="503"/>
        <v>=1.159*100000000</v>
      </c>
      <c r="AL1065" s="1">
        <f>1.159*100000000</f>
        <v>115900000</v>
      </c>
      <c r="AM1065" s="8">
        <f t="shared" si="520"/>
        <v>0.27432655305112702</v>
      </c>
      <c r="AN1065" s="7" t="s">
        <v>11204</v>
      </c>
      <c r="AO1065" s="6" t="str">
        <f t="shared" si="504"/>
        <v>=9095*10000</v>
      </c>
      <c r="AP1065" s="1">
        <f>9095*10000</f>
        <v>90950000</v>
      </c>
      <c r="AQ1065" s="8">
        <f t="shared" si="521"/>
        <v>0.31735225955967555</v>
      </c>
      <c r="AR1065" s="7" t="s">
        <v>11205</v>
      </c>
      <c r="AS1065" s="6" t="str">
        <f t="shared" si="505"/>
        <v>=6904*10000</v>
      </c>
      <c r="AT1065" s="1">
        <f>6904*10000</f>
        <v>69040000</v>
      </c>
      <c r="AU1065" s="8">
        <f t="shared" si="522"/>
        <v>1.6749321968229369</v>
      </c>
      <c r="AV1065" s="7" t="s">
        <v>11206</v>
      </c>
      <c r="AW1065" s="6" t="str">
        <f t="shared" si="506"/>
        <v>=2581*10000</v>
      </c>
      <c r="AX1065" s="1">
        <f>2581*10000</f>
        <v>25810000</v>
      </c>
      <c r="AY1065" s="10">
        <f t="shared" si="523"/>
        <v>-0.80161414296694855</v>
      </c>
      <c r="AZ1065" s="6" t="s">
        <v>1478</v>
      </c>
      <c r="BA1065" s="6" t="str">
        <f t="shared" si="507"/>
        <v>=1.301*100000000</v>
      </c>
      <c r="BB1065" s="1">
        <f>1.301*100000000</f>
        <v>130100000</v>
      </c>
      <c r="BC1065" s="8">
        <f t="shared" si="524"/>
        <v>0.15336879432624129</v>
      </c>
      <c r="BD1065" s="6" t="s">
        <v>6245</v>
      </c>
      <c r="BE1065" s="6" t="str">
        <f t="shared" si="508"/>
        <v>=1.128*100000000</v>
      </c>
      <c r="BF1065" s="1">
        <f>1.128*100000000</f>
        <v>112799999.99999999</v>
      </c>
      <c r="BG1065" s="8">
        <f t="shared" si="525"/>
        <v>0.38864951372645556</v>
      </c>
      <c r="BH1065" s="7" t="s">
        <v>11207</v>
      </c>
      <c r="BI1065" s="6" t="str">
        <f t="shared" si="509"/>
        <v>=8123*10000</v>
      </c>
      <c r="BJ1065" s="1">
        <f>8123*10000</f>
        <v>81230000</v>
      </c>
      <c r="BK1065" s="7" t="s">
        <v>11208</v>
      </c>
      <c r="BL1065" s="1" t="str">
        <f t="shared" si="511"/>
        <v>=4412*10000</v>
      </c>
      <c r="BM1065" s="16">
        <f t="shared" si="526"/>
        <v>0.84111514052583858</v>
      </c>
      <c r="BN1065" s="1">
        <f>4412*10000</f>
        <v>44120000</v>
      </c>
    </row>
    <row r="1066" spans="1:66">
      <c r="A1066" s="17">
        <v>268</v>
      </c>
      <c r="B1066">
        <v>600845</v>
      </c>
      <c r="C1066" t="s">
        <v>31</v>
      </c>
      <c r="D1066" s="6" t="s">
        <v>11209</v>
      </c>
      <c r="E1066" s="7" t="str">
        <f t="shared" si="510"/>
        <v>=117.6*100000000</v>
      </c>
      <c r="F1066" s="1">
        <f>117.6*100000000</f>
        <v>11760000000</v>
      </c>
      <c r="G1066" s="8">
        <f t="shared" si="512"/>
        <v>0.58811613774476701</v>
      </c>
      <c r="H1066" s="6" t="s">
        <v>11210</v>
      </c>
      <c r="I1066" s="6" t="str">
        <f t="shared" si="496"/>
        <v>=74.05*100000000</v>
      </c>
      <c r="J1066" s="1">
        <f>74.05*100000000</f>
        <v>7405000000</v>
      </c>
      <c r="K1066" s="10">
        <f t="shared" si="513"/>
        <v>0.61048281861678988</v>
      </c>
      <c r="L1066" s="6" t="s">
        <v>11211</v>
      </c>
      <c r="M1066" s="6" t="str">
        <f t="shared" si="497"/>
        <v>=45.98*100000000</v>
      </c>
      <c r="N1066" s="1">
        <f>45.98*100000000</f>
        <v>4598000000</v>
      </c>
      <c r="O1066" s="8">
        <f t="shared" si="514"/>
        <v>1.4693877551020409</v>
      </c>
      <c r="P1066" s="6" t="s">
        <v>11212</v>
      </c>
      <c r="Q1066" s="6" t="str">
        <f t="shared" si="498"/>
        <v>=18.62*100000000</v>
      </c>
      <c r="R1066" s="11">
        <f>18.62*100000000</f>
        <v>1862000000</v>
      </c>
      <c r="S1066" s="8">
        <f t="shared" si="515"/>
        <v>-0.81798631476050832</v>
      </c>
      <c r="T1066" s="6" t="s">
        <v>4941</v>
      </c>
      <c r="U1066" s="6" t="str">
        <f t="shared" si="499"/>
        <v>=102.3*100000000</v>
      </c>
      <c r="V1066" s="1">
        <f>102.3*100000000</f>
        <v>10230000000</v>
      </c>
      <c r="W1066" s="8">
        <f t="shared" si="516"/>
        <v>0.70784641068447407</v>
      </c>
      <c r="X1066" s="6" t="s">
        <v>11213</v>
      </c>
      <c r="Y1066" s="6" t="str">
        <f t="shared" si="500"/>
        <v>=59.90*100000000</v>
      </c>
      <c r="Z1066" s="1">
        <f>59.9*100000000</f>
        <v>5990000000</v>
      </c>
      <c r="AA1066" s="8">
        <f t="shared" si="517"/>
        <v>0.75402635431918008</v>
      </c>
      <c r="AB1066" s="6" t="s">
        <v>7518</v>
      </c>
      <c r="AC1066" s="6" t="str">
        <f t="shared" si="501"/>
        <v>=34.15*100000000</v>
      </c>
      <c r="AD1066" s="1">
        <f>34.15*100000000</f>
        <v>3415000000</v>
      </c>
      <c r="AE1066" s="8">
        <f t="shared" si="518"/>
        <v>1.6309707241910631</v>
      </c>
      <c r="AF1066" s="6" t="s">
        <v>9725</v>
      </c>
      <c r="AG1066" s="6" t="str">
        <f t="shared" si="502"/>
        <v>=12.98*100000000</v>
      </c>
      <c r="AH1066" s="1">
        <f>12.98*100000000</f>
        <v>1298000000</v>
      </c>
      <c r="AI1066" s="8">
        <f t="shared" si="519"/>
        <v>-0.81048328223098265</v>
      </c>
      <c r="AJ1066" s="6" t="s">
        <v>7111</v>
      </c>
      <c r="AK1066" s="6" t="str">
        <f t="shared" si="503"/>
        <v>=68.49*100000000</v>
      </c>
      <c r="AL1066" s="1">
        <f>68.49*100000000</f>
        <v>6848999999.999999</v>
      </c>
      <c r="AM1066" s="8">
        <f t="shared" si="520"/>
        <v>0.51560079663642377</v>
      </c>
      <c r="AN1066" s="6" t="s">
        <v>11214</v>
      </c>
      <c r="AO1066" s="6" t="str">
        <f t="shared" si="504"/>
        <v>=45.19*100000000</v>
      </c>
      <c r="AP1066" s="1">
        <f>45.19*100000000</f>
        <v>4519000000</v>
      </c>
      <c r="AQ1066" s="8">
        <f t="shared" si="521"/>
        <v>0.60475852272727271</v>
      </c>
      <c r="AR1066" s="6" t="s">
        <v>11215</v>
      </c>
      <c r="AS1066" s="6" t="str">
        <f t="shared" si="505"/>
        <v>=28.16*100000000</v>
      </c>
      <c r="AT1066" s="1">
        <f>28.16*100000000</f>
        <v>2816000000</v>
      </c>
      <c r="AU1066" s="8">
        <f t="shared" si="522"/>
        <v>1.0085592011412268</v>
      </c>
      <c r="AV1066" s="6" t="s">
        <v>9003</v>
      </c>
      <c r="AW1066" s="6" t="str">
        <f t="shared" si="506"/>
        <v>=14.02*100000000</v>
      </c>
      <c r="AX1066" s="1">
        <f>14.02*100000000</f>
        <v>1402000000</v>
      </c>
      <c r="AY1066" s="10">
        <f t="shared" si="523"/>
        <v>-0.75906513146588761</v>
      </c>
      <c r="AZ1066" s="6" t="s">
        <v>11216</v>
      </c>
      <c r="BA1066" s="6" t="str">
        <f t="shared" si="507"/>
        <v>=58.19*100000000</v>
      </c>
      <c r="BB1066" s="1">
        <f>58.19*100000000</f>
        <v>5819000000</v>
      </c>
      <c r="BC1066" s="8">
        <f t="shared" si="524"/>
        <v>0.44213135068153653</v>
      </c>
      <c r="BD1066" s="6" t="s">
        <v>11217</v>
      </c>
      <c r="BE1066" s="6" t="str">
        <f t="shared" si="508"/>
        <v>=40.35*100000000</v>
      </c>
      <c r="BF1066" s="1">
        <f>40.35*100000000</f>
        <v>4035000000</v>
      </c>
      <c r="BG1066" s="8">
        <f t="shared" si="525"/>
        <v>0.67219229175300454</v>
      </c>
      <c r="BH1066" s="6" t="s">
        <v>11218</v>
      </c>
      <c r="BI1066" s="6" t="str">
        <f t="shared" si="509"/>
        <v>=24.13*100000000</v>
      </c>
      <c r="BJ1066" s="1">
        <f>24.13*100000000</f>
        <v>2413000000</v>
      </c>
      <c r="BK1066" s="6" t="s">
        <v>4629</v>
      </c>
      <c r="BL1066" s="1" t="str">
        <f t="shared" si="511"/>
        <v>=10.14*100000000</v>
      </c>
      <c r="BM1066" s="16">
        <f t="shared" si="526"/>
        <v>1.3796844181459567</v>
      </c>
      <c r="BN1066" s="1">
        <f>10.14*100000000</f>
        <v>1014000000</v>
      </c>
    </row>
    <row r="1067" spans="1:66">
      <c r="A1067" s="18"/>
      <c r="B1067">
        <v>600845</v>
      </c>
      <c r="C1067" t="s">
        <v>48</v>
      </c>
      <c r="D1067" s="6" t="s">
        <v>9334</v>
      </c>
      <c r="E1067" s="7" t="str">
        <f t="shared" si="510"/>
        <v>=20.04*100000000</v>
      </c>
      <c r="F1067" s="1">
        <f>20.04*100000000</f>
        <v>2004000000</v>
      </c>
      <c r="G1067" s="8">
        <f t="shared" si="512"/>
        <v>0.26435331230283909</v>
      </c>
      <c r="H1067" s="6" t="s">
        <v>11219</v>
      </c>
      <c r="I1067" s="6" t="str">
        <f t="shared" si="496"/>
        <v>=15.85*100000000</v>
      </c>
      <c r="J1067" s="1">
        <f>15.85*100000000</f>
        <v>1585000000</v>
      </c>
      <c r="K1067" s="10">
        <f t="shared" si="513"/>
        <v>0.52550529355149178</v>
      </c>
      <c r="L1067" s="6" t="s">
        <v>2056</v>
      </c>
      <c r="M1067" s="6" t="str">
        <f t="shared" si="497"/>
        <v>=10.39*100000000</v>
      </c>
      <c r="N1067" s="1">
        <f>10.39*100000000</f>
        <v>1039000000</v>
      </c>
      <c r="O1067" s="8">
        <f t="shared" si="514"/>
        <v>1.3390364700585322</v>
      </c>
      <c r="P1067" s="6" t="s">
        <v>11220</v>
      </c>
      <c r="Q1067" s="6" t="str">
        <f t="shared" si="498"/>
        <v>=4.442*100000000</v>
      </c>
      <c r="R1067" s="11">
        <f>4.442*100000000</f>
        <v>444200000</v>
      </c>
      <c r="S1067" s="8">
        <f t="shared" si="515"/>
        <v>-0.71525641025641029</v>
      </c>
      <c r="T1067" s="6" t="s">
        <v>357</v>
      </c>
      <c r="U1067" s="6" t="str">
        <f t="shared" si="499"/>
        <v>=15.60*100000000</v>
      </c>
      <c r="V1067" s="1">
        <f>15.6*100000000</f>
        <v>1560000000</v>
      </c>
      <c r="W1067" s="8">
        <f t="shared" si="516"/>
        <v>0.38543516873889877</v>
      </c>
      <c r="X1067" s="6" t="s">
        <v>4245</v>
      </c>
      <c r="Y1067" s="6" t="str">
        <f t="shared" si="500"/>
        <v>=11.26*100000000</v>
      </c>
      <c r="Z1067" s="1">
        <f>11.26*100000000</f>
        <v>1126000000</v>
      </c>
      <c r="AA1067" s="8">
        <f t="shared" si="517"/>
        <v>0.49336870026525198</v>
      </c>
      <c r="AB1067" s="6" t="s">
        <v>11221</v>
      </c>
      <c r="AC1067" s="6" t="str">
        <f t="shared" si="501"/>
        <v>=7.540*100000000</v>
      </c>
      <c r="AD1067" s="1">
        <f>7.54*100000000</f>
        <v>754000000</v>
      </c>
      <c r="AE1067" s="8">
        <f t="shared" si="518"/>
        <v>1.4066390041493777</v>
      </c>
      <c r="AF1067" s="6" t="s">
        <v>9178</v>
      </c>
      <c r="AG1067" s="6" t="str">
        <f t="shared" si="502"/>
        <v>=3.133*100000000</v>
      </c>
      <c r="AH1067" s="1">
        <f>3.133*100000000</f>
        <v>313300000</v>
      </c>
      <c r="AI1067" s="8">
        <f t="shared" si="519"/>
        <v>-0.68794820717131466</v>
      </c>
      <c r="AJ1067" s="6" t="s">
        <v>602</v>
      </c>
      <c r="AK1067" s="6" t="str">
        <f t="shared" si="503"/>
        <v>=10.04*100000000</v>
      </c>
      <c r="AL1067" s="1">
        <f>10.04*100000000</f>
        <v>1003999999.9999999</v>
      </c>
      <c r="AM1067" s="8">
        <f t="shared" si="520"/>
        <v>0.39560745065332203</v>
      </c>
      <c r="AN1067" s="6" t="s">
        <v>11222</v>
      </c>
      <c r="AO1067" s="6" t="str">
        <f t="shared" si="504"/>
        <v>=7.194*100000000</v>
      </c>
      <c r="AP1067" s="1">
        <f>7.194*100000000</f>
        <v>719400000</v>
      </c>
      <c r="AQ1067" s="8">
        <f t="shared" si="521"/>
        <v>0.53422904670505433</v>
      </c>
      <c r="AR1067" s="6" t="s">
        <v>11223</v>
      </c>
      <c r="AS1067" s="6" t="str">
        <f t="shared" si="505"/>
        <v>=4.689*100000000</v>
      </c>
      <c r="AT1067" s="1">
        <f>4.689*100000000</f>
        <v>468900000</v>
      </c>
      <c r="AU1067" s="8">
        <f t="shared" si="522"/>
        <v>1.1469780219780217</v>
      </c>
      <c r="AV1067" s="6" t="s">
        <v>11224</v>
      </c>
      <c r="AW1067" s="6" t="str">
        <f t="shared" si="506"/>
        <v>=2.184*100000000</v>
      </c>
      <c r="AX1067" s="1">
        <f>2.184*100000000</f>
        <v>218400000.00000003</v>
      </c>
      <c r="AY1067" s="10">
        <f t="shared" si="523"/>
        <v>-0.6042761369813372</v>
      </c>
      <c r="AZ1067" s="6" t="s">
        <v>11225</v>
      </c>
      <c r="BA1067" s="6" t="str">
        <f t="shared" si="507"/>
        <v>=5.519*100000000</v>
      </c>
      <c r="BB1067" s="1">
        <f>5.519*100000000</f>
        <v>551900000</v>
      </c>
      <c r="BC1067" s="8">
        <f t="shared" si="524"/>
        <v>-3.7327751613465902E-2</v>
      </c>
      <c r="BD1067" s="6" t="s">
        <v>11226</v>
      </c>
      <c r="BE1067" s="6" t="str">
        <f t="shared" si="508"/>
        <v>=5.733*100000000</v>
      </c>
      <c r="BF1067" s="1">
        <f>5.733*100000000</f>
        <v>573300000</v>
      </c>
      <c r="BG1067" s="8">
        <f t="shared" si="525"/>
        <v>0.67533606078316777</v>
      </c>
      <c r="BH1067" s="6" t="s">
        <v>11227</v>
      </c>
      <c r="BI1067" s="6" t="str">
        <f t="shared" si="509"/>
        <v>=3.422*100000000</v>
      </c>
      <c r="BJ1067" s="1">
        <f>3.422*100000000</f>
        <v>342200000</v>
      </c>
      <c r="BK1067" s="6" t="s">
        <v>11228</v>
      </c>
      <c r="BL1067" s="1" t="str">
        <f t="shared" si="511"/>
        <v>=1.599*100000000</v>
      </c>
      <c r="BM1067" s="16">
        <f t="shared" si="526"/>
        <v>1.1400875547217011</v>
      </c>
      <c r="BN1067" s="1">
        <f>1.599*100000000</f>
        <v>159900000</v>
      </c>
    </row>
    <row r="1068" spans="1:66">
      <c r="A1068" s="18"/>
      <c r="B1068">
        <v>600845</v>
      </c>
      <c r="C1068" t="s">
        <v>58</v>
      </c>
      <c r="D1068" s="6" t="s">
        <v>1689</v>
      </c>
      <c r="E1068" s="7" t="str">
        <f t="shared" si="510"/>
        <v>=20.13*100000000</v>
      </c>
      <c r="F1068" s="1">
        <f>20.13*100000000</f>
        <v>2013000000</v>
      </c>
      <c r="G1068" s="8">
        <f t="shared" si="512"/>
        <v>0.2620689655172414</v>
      </c>
      <c r="H1068" s="6" t="s">
        <v>11229</v>
      </c>
      <c r="I1068" s="6" t="str">
        <f t="shared" si="496"/>
        <v>=15.95*100000000</v>
      </c>
      <c r="J1068" s="1">
        <f>15.95*100000000</f>
        <v>1595000000</v>
      </c>
      <c r="K1068" s="10">
        <f t="shared" si="513"/>
        <v>0.5204957102001907</v>
      </c>
      <c r="L1068" s="6" t="s">
        <v>720</v>
      </c>
      <c r="M1068" s="6" t="str">
        <f t="shared" si="497"/>
        <v>=10.49*100000000</v>
      </c>
      <c r="N1068" s="1">
        <f>10.49*100000000</f>
        <v>1049000000</v>
      </c>
      <c r="O1068" s="8">
        <f t="shared" si="514"/>
        <v>1.3305932015107753</v>
      </c>
      <c r="P1068" s="6" t="s">
        <v>11230</v>
      </c>
      <c r="Q1068" s="6" t="str">
        <f t="shared" si="498"/>
        <v>=4.501*100000000</v>
      </c>
      <c r="R1068" s="11">
        <f>4.501*100000000</f>
        <v>450100000.00000006</v>
      </c>
      <c r="S1068" s="8">
        <f t="shared" si="515"/>
        <v>-0.71165919282511214</v>
      </c>
      <c r="T1068" s="6" t="s">
        <v>353</v>
      </c>
      <c r="U1068" s="6" t="str">
        <f t="shared" si="499"/>
        <v>=15.61*100000000</v>
      </c>
      <c r="V1068" s="1">
        <f>15.61*100000000</f>
        <v>1561000000</v>
      </c>
      <c r="W1068" s="8">
        <f t="shared" si="516"/>
        <v>0.38509316770186336</v>
      </c>
      <c r="X1068" s="6" t="s">
        <v>4842</v>
      </c>
      <c r="Y1068" s="6" t="str">
        <f t="shared" si="500"/>
        <v>=11.27*100000000</v>
      </c>
      <c r="Z1068" s="1">
        <f>11.27*100000000</f>
        <v>1127000000</v>
      </c>
      <c r="AA1068" s="8">
        <f t="shared" si="517"/>
        <v>0.49410049052101285</v>
      </c>
      <c r="AB1068" s="6" t="s">
        <v>11231</v>
      </c>
      <c r="AC1068" s="6" t="str">
        <f t="shared" si="501"/>
        <v>=7.543*100000000</v>
      </c>
      <c r="AD1068" s="1">
        <f>7.543*100000000</f>
        <v>754300000</v>
      </c>
      <c r="AE1068" s="8">
        <f t="shared" si="518"/>
        <v>1.4068283343969368</v>
      </c>
      <c r="AF1068" s="6" t="s">
        <v>2638</v>
      </c>
      <c r="AG1068" s="6" t="str">
        <f t="shared" si="502"/>
        <v>=3.134*100000000</v>
      </c>
      <c r="AH1068" s="1">
        <f>3.134*100000000</f>
        <v>313400000</v>
      </c>
      <c r="AI1068" s="8">
        <f t="shared" si="519"/>
        <v>-0.68753738783649054</v>
      </c>
      <c r="AJ1068" s="6" t="s">
        <v>1121</v>
      </c>
      <c r="AK1068" s="6" t="str">
        <f t="shared" si="503"/>
        <v>=10.03*100000000</v>
      </c>
      <c r="AL1068" s="1">
        <f>10.03*100000000</f>
        <v>1002999999.9999999</v>
      </c>
      <c r="AM1068" s="8">
        <f t="shared" si="520"/>
        <v>0.39363623732110586</v>
      </c>
      <c r="AN1068" s="6" t="s">
        <v>11232</v>
      </c>
      <c r="AO1068" s="6" t="str">
        <f t="shared" si="504"/>
        <v>=7.197*100000000</v>
      </c>
      <c r="AP1068" s="1">
        <f>7.197*100000000</f>
        <v>719700000</v>
      </c>
      <c r="AQ1068" s="8">
        <f t="shared" si="521"/>
        <v>0.53323391563698341</v>
      </c>
      <c r="AR1068" s="6" t="s">
        <v>6758</v>
      </c>
      <c r="AS1068" s="6" t="str">
        <f t="shared" si="505"/>
        <v>=4.694*100000000</v>
      </c>
      <c r="AT1068" s="1">
        <f>4.694*100000000</f>
        <v>469400000</v>
      </c>
      <c r="AU1068" s="8">
        <f t="shared" si="522"/>
        <v>1.146319158664838</v>
      </c>
      <c r="AV1068" s="6" t="s">
        <v>4415</v>
      </c>
      <c r="AW1068" s="6" t="str">
        <f t="shared" si="506"/>
        <v>=2.187*100000000</v>
      </c>
      <c r="AX1068" s="1">
        <f>2.187*100000000</f>
        <v>218699999.99999997</v>
      </c>
      <c r="AY1068" s="10">
        <f t="shared" si="523"/>
        <v>-0.59174911330968827</v>
      </c>
      <c r="AZ1068" s="6" t="s">
        <v>11233</v>
      </c>
      <c r="BA1068" s="6" t="str">
        <f t="shared" si="507"/>
        <v>=5.357*100000000</v>
      </c>
      <c r="BB1068" s="1">
        <f>5.357*100000000</f>
        <v>535700000</v>
      </c>
      <c r="BC1068" s="8">
        <f t="shared" si="524"/>
        <v>-7.2541551246537397E-2</v>
      </c>
      <c r="BD1068" s="6" t="s">
        <v>11234</v>
      </c>
      <c r="BE1068" s="6" t="str">
        <f t="shared" si="508"/>
        <v>=5.776*100000000</v>
      </c>
      <c r="BF1068" s="1">
        <f>5.776*100000000</f>
        <v>577600000</v>
      </c>
      <c r="BG1068" s="8">
        <f t="shared" si="525"/>
        <v>0.67371776296725583</v>
      </c>
      <c r="BH1068" s="6" t="s">
        <v>4238</v>
      </c>
      <c r="BI1068" s="6" t="str">
        <f t="shared" si="509"/>
        <v>=3.451*100000000</v>
      </c>
      <c r="BJ1068" s="1">
        <f>3.451*100000000</f>
        <v>345100000</v>
      </c>
      <c r="BK1068" s="6" t="s">
        <v>11235</v>
      </c>
      <c r="BL1068" s="1" t="str">
        <f t="shared" si="511"/>
        <v>=1.620*100000000</v>
      </c>
      <c r="BM1068" s="16">
        <f t="shared" si="526"/>
        <v>1.1302469135802469</v>
      </c>
      <c r="BN1068" s="1">
        <f>1.62*100000000</f>
        <v>162000000</v>
      </c>
    </row>
    <row r="1069" spans="1:66">
      <c r="A1069" s="19"/>
      <c r="B1069">
        <v>600845</v>
      </c>
      <c r="C1069" t="s">
        <v>68</v>
      </c>
      <c r="D1069" s="6" t="s">
        <v>11236</v>
      </c>
      <c r="E1069" s="7" t="str">
        <f t="shared" si="510"/>
        <v>=19.09*100000000</v>
      </c>
      <c r="F1069" s="1">
        <f>19.09*100000000</f>
        <v>1909000000</v>
      </c>
      <c r="G1069" s="8">
        <f t="shared" si="512"/>
        <v>0.30396174863387976</v>
      </c>
      <c r="H1069" s="6" t="s">
        <v>11237</v>
      </c>
      <c r="I1069" s="6" t="str">
        <f t="shared" si="496"/>
        <v>=14.64*100000000</v>
      </c>
      <c r="J1069" s="1">
        <f>14.64*100000000</f>
        <v>1464000000</v>
      </c>
      <c r="K1069" s="10">
        <f t="shared" si="513"/>
        <v>0.55216284987277353</v>
      </c>
      <c r="L1069" s="6" t="s">
        <v>11238</v>
      </c>
      <c r="M1069" s="6" t="str">
        <f t="shared" si="497"/>
        <v>=9.432*100000000</v>
      </c>
      <c r="N1069" s="1">
        <f>9.432*100000000</f>
        <v>943200000</v>
      </c>
      <c r="O1069" s="8">
        <f t="shared" si="514"/>
        <v>1.3404466501240695</v>
      </c>
      <c r="P1069" s="6" t="s">
        <v>667</v>
      </c>
      <c r="Q1069" s="6" t="str">
        <f t="shared" si="498"/>
        <v>=4.030*100000000</v>
      </c>
      <c r="R1069" s="11">
        <f>4.03*100000000</f>
        <v>403000000</v>
      </c>
      <c r="S1069" s="8">
        <f t="shared" si="515"/>
        <v>-0.71778711484593838</v>
      </c>
      <c r="T1069" s="6" t="s">
        <v>60</v>
      </c>
      <c r="U1069" s="6" t="str">
        <f t="shared" si="499"/>
        <v>=14.28*100000000</v>
      </c>
      <c r="V1069" s="1">
        <f>14.28*100000000</f>
        <v>1428000000</v>
      </c>
      <c r="W1069" s="8">
        <f t="shared" si="516"/>
        <v>0.41386138613861384</v>
      </c>
      <c r="X1069" s="6" t="s">
        <v>3659</v>
      </c>
      <c r="Y1069" s="6" t="str">
        <f t="shared" si="500"/>
        <v>=10.10*100000000</v>
      </c>
      <c r="Z1069" s="1">
        <f>10.1*100000000</f>
        <v>1010000000</v>
      </c>
      <c r="AA1069" s="8">
        <f t="shared" si="517"/>
        <v>0.48967551622418881</v>
      </c>
      <c r="AB1069" s="6" t="s">
        <v>11239</v>
      </c>
      <c r="AC1069" s="6" t="str">
        <f t="shared" si="501"/>
        <v>=6.780*100000000</v>
      </c>
      <c r="AD1069" s="1">
        <f>6.78*100000000</f>
        <v>678000000</v>
      </c>
      <c r="AE1069" s="8">
        <f t="shared" si="518"/>
        <v>1.4248927038626609</v>
      </c>
      <c r="AF1069" s="6" t="s">
        <v>8848</v>
      </c>
      <c r="AG1069" s="6" t="str">
        <f t="shared" si="502"/>
        <v>=2.796*100000000</v>
      </c>
      <c r="AH1069" s="1">
        <f>2.796*100000000</f>
        <v>279600000</v>
      </c>
      <c r="AI1069" s="8">
        <f t="shared" si="519"/>
        <v>-0.69769704832954915</v>
      </c>
      <c r="AJ1069" s="6" t="s">
        <v>10860</v>
      </c>
      <c r="AK1069" s="6" t="str">
        <f t="shared" si="503"/>
        <v>=9.249*100000000</v>
      </c>
      <c r="AL1069" s="1">
        <f>9.249*100000000</f>
        <v>924900000</v>
      </c>
      <c r="AM1069" s="8">
        <f t="shared" si="520"/>
        <v>0.45059598494353825</v>
      </c>
      <c r="AN1069" s="6" t="s">
        <v>11240</v>
      </c>
      <c r="AO1069" s="6" t="str">
        <f t="shared" si="504"/>
        <v>=6.376*100000000</v>
      </c>
      <c r="AP1069" s="1">
        <f>6.376*100000000</f>
        <v>637600000</v>
      </c>
      <c r="AQ1069" s="8">
        <f t="shared" si="521"/>
        <v>0.54494790404652294</v>
      </c>
      <c r="AR1069" s="6" t="s">
        <v>11241</v>
      </c>
      <c r="AS1069" s="6" t="str">
        <f t="shared" si="505"/>
        <v>=4.127*100000000</v>
      </c>
      <c r="AT1069" s="1">
        <f>4.127*100000000</f>
        <v>412700000</v>
      </c>
      <c r="AU1069" s="8">
        <f t="shared" si="522"/>
        <v>1.127319587628866</v>
      </c>
      <c r="AV1069" s="6" t="s">
        <v>7666</v>
      </c>
      <c r="AW1069" s="6" t="str">
        <f t="shared" si="506"/>
        <v>=1.940*100000000</v>
      </c>
      <c r="AX1069" s="1">
        <f>1.94*100000000</f>
        <v>194000000</v>
      </c>
      <c r="AY1069" s="10">
        <f t="shared" si="523"/>
        <v>-0.59507409726570659</v>
      </c>
      <c r="AZ1069" s="6" t="s">
        <v>11242</v>
      </c>
      <c r="BA1069" s="6" t="str">
        <f t="shared" si="507"/>
        <v>=4.791*100000000</v>
      </c>
      <c r="BB1069" s="1">
        <f>4.791*100000000</f>
        <v>479100000.00000006</v>
      </c>
      <c r="BC1069" s="8">
        <f t="shared" si="524"/>
        <v>-7.7944572748267785E-2</v>
      </c>
      <c r="BD1069" s="6" t="s">
        <v>4515</v>
      </c>
      <c r="BE1069" s="6" t="str">
        <f t="shared" si="508"/>
        <v>=5.196*100000000</v>
      </c>
      <c r="BF1069" s="1">
        <f>5.196*100000000</f>
        <v>519600000</v>
      </c>
      <c r="BG1069" s="8">
        <f t="shared" si="525"/>
        <v>0.64795432921027596</v>
      </c>
      <c r="BH1069" s="6" t="s">
        <v>6331</v>
      </c>
      <c r="BI1069" s="6" t="str">
        <f t="shared" si="509"/>
        <v>=3.153*100000000</v>
      </c>
      <c r="BJ1069" s="1">
        <f>3.153*100000000</f>
        <v>315300000</v>
      </c>
      <c r="BK1069" s="6" t="s">
        <v>1981</v>
      </c>
      <c r="BL1069" s="1" t="str">
        <f t="shared" si="511"/>
        <v>=1.548*100000000</v>
      </c>
      <c r="BM1069" s="16">
        <f t="shared" si="526"/>
        <v>1.0368217054263567</v>
      </c>
      <c r="BN1069" s="1">
        <f>1.548*100000000</f>
        <v>154800000</v>
      </c>
    </row>
    <row r="1070" spans="1:66">
      <c r="A1070" s="17">
        <v>269</v>
      </c>
      <c r="B1070">
        <v>600846</v>
      </c>
      <c r="C1070" t="s">
        <v>31</v>
      </c>
      <c r="D1070" s="6" t="s">
        <v>11243</v>
      </c>
      <c r="E1070" s="7" t="str">
        <f t="shared" si="510"/>
        <v>=61.32*100000000</v>
      </c>
      <c r="F1070" s="1">
        <f>61.32*100000000</f>
        <v>6132000000</v>
      </c>
      <c r="G1070" s="8">
        <f t="shared" si="512"/>
        <v>0.36055025515864209</v>
      </c>
      <c r="H1070" s="6" t="s">
        <v>11244</v>
      </c>
      <c r="I1070" s="6" t="str">
        <f t="shared" si="496"/>
        <v>=45.07*100000000</v>
      </c>
      <c r="J1070" s="1">
        <f>45.07*100000000</f>
        <v>4507000000</v>
      </c>
      <c r="K1070" s="10">
        <f t="shared" si="513"/>
        <v>0.16070048931238734</v>
      </c>
      <c r="L1070" s="6" t="s">
        <v>4566</v>
      </c>
      <c r="M1070" s="6" t="str">
        <f t="shared" si="497"/>
        <v>=38.83*100000000</v>
      </c>
      <c r="N1070" s="1">
        <f>38.83*100000000</f>
        <v>3883000000</v>
      </c>
      <c r="O1070" s="8">
        <f t="shared" si="514"/>
        <v>3.3841029694027327</v>
      </c>
      <c r="P1070" s="6" t="s">
        <v>11245</v>
      </c>
      <c r="Q1070" s="6" t="str">
        <f t="shared" si="498"/>
        <v>=8.857*100000000</v>
      </c>
      <c r="R1070" s="11">
        <f>8.857*100000000</f>
        <v>885699999.99999988</v>
      </c>
      <c r="S1070" s="8">
        <f t="shared" si="515"/>
        <v>-0.85947961288275421</v>
      </c>
      <c r="T1070" s="6" t="s">
        <v>11246</v>
      </c>
      <c r="U1070" s="6" t="str">
        <f t="shared" si="499"/>
        <v>=63.03*100000000</v>
      </c>
      <c r="V1070" s="1">
        <f>63.03*100000000</f>
        <v>6303000000</v>
      </c>
      <c r="W1070" s="8">
        <f t="shared" si="516"/>
        <v>0.40160106737825219</v>
      </c>
      <c r="X1070" s="6" t="s">
        <v>11247</v>
      </c>
      <c r="Y1070" s="6" t="str">
        <f t="shared" si="500"/>
        <v>=44.97*100000000</v>
      </c>
      <c r="Z1070" s="1">
        <f>44.97*100000000</f>
        <v>4497000000</v>
      </c>
      <c r="AA1070" s="8">
        <f t="shared" si="517"/>
        <v>0.28669527896995689</v>
      </c>
      <c r="AB1070" s="6" t="s">
        <v>11248</v>
      </c>
      <c r="AC1070" s="6" t="str">
        <f t="shared" si="501"/>
        <v>=34.95*100000000</v>
      </c>
      <c r="AD1070" s="1">
        <f>34.95*100000000</f>
        <v>3495000000.0000005</v>
      </c>
      <c r="AE1070" s="8">
        <f t="shared" si="518"/>
        <v>2.8661504424778772</v>
      </c>
      <c r="AF1070" s="6" t="s">
        <v>11249</v>
      </c>
      <c r="AG1070" s="6" t="str">
        <f t="shared" si="502"/>
        <v>=9.040*100000000</v>
      </c>
      <c r="AH1070" s="1">
        <f>9.04*100000000</f>
        <v>903999999.99999988</v>
      </c>
      <c r="AI1070" s="8">
        <f t="shared" si="519"/>
        <v>-0.85766021099039524</v>
      </c>
      <c r="AJ1070" s="6" t="s">
        <v>11250</v>
      </c>
      <c r="AK1070" s="6" t="str">
        <f t="shared" si="503"/>
        <v>=63.51*100000000</v>
      </c>
      <c r="AL1070" s="1">
        <f>63.51*100000000</f>
        <v>6351000000</v>
      </c>
      <c r="AM1070" s="8">
        <f t="shared" si="520"/>
        <v>0.5351704133430023</v>
      </c>
      <c r="AN1070" s="6" t="s">
        <v>11251</v>
      </c>
      <c r="AO1070" s="6" t="str">
        <f t="shared" si="504"/>
        <v>=41.37*100000000</v>
      </c>
      <c r="AP1070" s="1">
        <f>41.37*100000000</f>
        <v>4136999999.9999995</v>
      </c>
      <c r="AQ1070" s="8">
        <f t="shared" si="521"/>
        <v>1.2447097124253932</v>
      </c>
      <c r="AR1070" s="6" t="s">
        <v>2137</v>
      </c>
      <c r="AS1070" s="6" t="str">
        <f t="shared" si="505"/>
        <v>=18.43*100000000</v>
      </c>
      <c r="AT1070" s="1">
        <f>18.43*100000000</f>
        <v>1843000000</v>
      </c>
      <c r="AU1070" s="8">
        <f t="shared" si="522"/>
        <v>2.0262725779967159</v>
      </c>
      <c r="AV1070" s="6" t="s">
        <v>9203</v>
      </c>
      <c r="AW1070" s="6" t="str">
        <f t="shared" si="506"/>
        <v>=6.090*100000000</v>
      </c>
      <c r="AX1070" s="1">
        <f>6.09*100000000</f>
        <v>609000000</v>
      </c>
      <c r="AY1070" s="10">
        <f t="shared" si="523"/>
        <v>-0.81455542021924487</v>
      </c>
      <c r="AZ1070" s="6" t="s">
        <v>11252</v>
      </c>
      <c r="BA1070" s="6" t="str">
        <f t="shared" si="507"/>
        <v>=32.84*100000000</v>
      </c>
      <c r="BB1070" s="1">
        <f>32.84*100000000</f>
        <v>3284000000.0000005</v>
      </c>
      <c r="BC1070" s="8">
        <f t="shared" si="524"/>
        <v>0.64859437751004023</v>
      </c>
      <c r="BD1070" s="6" t="s">
        <v>11130</v>
      </c>
      <c r="BE1070" s="6" t="str">
        <f t="shared" si="508"/>
        <v>=19.92*100000000</v>
      </c>
      <c r="BF1070" s="1">
        <f>19.92*100000000</f>
        <v>1992000000.0000002</v>
      </c>
      <c r="BG1070" s="8">
        <f t="shared" si="525"/>
        <v>0.28599096191091045</v>
      </c>
      <c r="BH1070" s="6" t="s">
        <v>9764</v>
      </c>
      <c r="BI1070" s="6" t="str">
        <f t="shared" si="509"/>
        <v>=15.49*100000000</v>
      </c>
      <c r="BJ1070" s="1">
        <f>15.49*100000000</f>
        <v>1549000000</v>
      </c>
      <c r="BK1070" s="6" t="s">
        <v>4564</v>
      </c>
      <c r="BL1070" s="1" t="str">
        <f t="shared" si="511"/>
        <v>=10.74*100000000</v>
      </c>
      <c r="BM1070" s="16">
        <f t="shared" si="526"/>
        <v>0.44227188081936686</v>
      </c>
      <c r="BN1070" s="1">
        <f>10.74*100000000</f>
        <v>1074000000</v>
      </c>
    </row>
    <row r="1071" spans="1:66">
      <c r="A1071" s="18"/>
      <c r="B1071">
        <v>600846</v>
      </c>
      <c r="C1071" t="s">
        <v>48</v>
      </c>
      <c r="D1071" s="6" t="s">
        <v>11253</v>
      </c>
      <c r="E1071" s="7" t="str">
        <f t="shared" si="510"/>
        <v>=7.545*100000000</v>
      </c>
      <c r="F1071" s="1">
        <f>7.545*100000000</f>
        <v>754500000</v>
      </c>
      <c r="G1071" s="8">
        <f t="shared" si="512"/>
        <v>0.34109491645929613</v>
      </c>
      <c r="H1071" s="6" t="s">
        <v>2759</v>
      </c>
      <c r="I1071" s="6" t="str">
        <f t="shared" si="496"/>
        <v>=5.626*100000000</v>
      </c>
      <c r="J1071" s="1">
        <f>5.626*100000000</f>
        <v>562600000</v>
      </c>
      <c r="K1071" s="10">
        <f t="shared" si="513"/>
        <v>0.14535830618892509</v>
      </c>
      <c r="L1071" s="6" t="s">
        <v>11254</v>
      </c>
      <c r="M1071" s="6" t="str">
        <f t="shared" si="497"/>
        <v>=4.912*100000000</v>
      </c>
      <c r="N1071" s="1">
        <f>4.912*100000000</f>
        <v>491200000</v>
      </c>
      <c r="O1071" s="8">
        <f t="shared" si="514"/>
        <v>4.4186431329288469</v>
      </c>
      <c r="P1071" s="7" t="s">
        <v>11255</v>
      </c>
      <c r="Q1071" s="6" t="str">
        <f t="shared" si="498"/>
        <v>=9065*10000</v>
      </c>
      <c r="R1071" s="11">
        <f>9065*10000</f>
        <v>90650000</v>
      </c>
      <c r="S1071" s="8">
        <f t="shared" si="515"/>
        <v>-0.91606481481481483</v>
      </c>
      <c r="T1071" s="6" t="s">
        <v>2676</v>
      </c>
      <c r="U1071" s="6" t="str">
        <f t="shared" si="499"/>
        <v>=10.80*100000000</v>
      </c>
      <c r="V1071" s="1">
        <f>10.8*100000000</f>
        <v>1080000000</v>
      </c>
      <c r="W1071" s="8">
        <f t="shared" si="516"/>
        <v>0.24280782508630611</v>
      </c>
      <c r="X1071" s="6" t="s">
        <v>11256</v>
      </c>
      <c r="Y1071" s="6" t="str">
        <f t="shared" si="500"/>
        <v>=8.690*100000000</v>
      </c>
      <c r="Z1071" s="1">
        <f>8.69*100000000</f>
        <v>869000000</v>
      </c>
      <c r="AA1071" s="8">
        <f t="shared" si="517"/>
        <v>0.18553888130968621</v>
      </c>
      <c r="AB1071" s="6" t="s">
        <v>11257</v>
      </c>
      <c r="AC1071" s="6" t="str">
        <f t="shared" si="501"/>
        <v>=7.330*100000000</v>
      </c>
      <c r="AD1071" s="1">
        <f>7.33*100000000</f>
        <v>733000000</v>
      </c>
      <c r="AE1071" s="8">
        <f t="shared" si="518"/>
        <v>3.8382838283828384</v>
      </c>
      <c r="AF1071" s="6" t="s">
        <v>4027</v>
      </c>
      <c r="AG1071" s="6" t="str">
        <f t="shared" si="502"/>
        <v>=1.515*100000000</v>
      </c>
      <c r="AH1071" s="1">
        <f>1.515*100000000</f>
        <v>151500000</v>
      </c>
      <c r="AI1071" s="8">
        <f t="shared" si="519"/>
        <v>-0.87712895377128952</v>
      </c>
      <c r="AJ1071" s="6" t="s">
        <v>2749</v>
      </c>
      <c r="AK1071" s="6" t="str">
        <f t="shared" si="503"/>
        <v>=12.33*100000000</v>
      </c>
      <c r="AL1071" s="1">
        <f>12.33*100000000</f>
        <v>1233000000</v>
      </c>
      <c r="AM1071" s="8">
        <f t="shared" si="520"/>
        <v>0.74968071519795654</v>
      </c>
      <c r="AN1071" s="6" t="s">
        <v>11258</v>
      </c>
      <c r="AO1071" s="6" t="str">
        <f t="shared" si="504"/>
        <v>=7.047*100000000</v>
      </c>
      <c r="AP1071" s="1">
        <f>7.047*100000000</f>
        <v>704700000</v>
      </c>
      <c r="AQ1071" s="8">
        <f t="shared" si="521"/>
        <v>2.1901312811226799</v>
      </c>
      <c r="AR1071" s="6" t="s">
        <v>11259</v>
      </c>
      <c r="AS1071" s="6" t="str">
        <f t="shared" si="505"/>
        <v>=2.209*100000000</v>
      </c>
      <c r="AT1071" s="1">
        <f>2.209*100000000</f>
        <v>220900000</v>
      </c>
      <c r="AU1071" s="8">
        <f t="shared" si="522"/>
        <v>1.6550480769230769</v>
      </c>
      <c r="AV1071" s="7" t="s">
        <v>11260</v>
      </c>
      <c r="AW1071" s="6" t="str">
        <f t="shared" si="506"/>
        <v>=8320*10000</v>
      </c>
      <c r="AX1071" s="1">
        <f>8320*10000</f>
        <v>83200000</v>
      </c>
      <c r="AY1071" s="10">
        <f t="shared" si="523"/>
        <v>-0.80877959089864404</v>
      </c>
      <c r="AZ1071" s="6" t="s">
        <v>10654</v>
      </c>
      <c r="BA1071" s="6" t="str">
        <f t="shared" si="507"/>
        <v>=4.351*100000000</v>
      </c>
      <c r="BB1071" s="1">
        <f>4.351*100000000</f>
        <v>435100000</v>
      </c>
      <c r="BC1071" s="8">
        <f t="shared" si="524"/>
        <v>0.93206039076376579</v>
      </c>
      <c r="BD1071" s="6" t="s">
        <v>2869</v>
      </c>
      <c r="BE1071" s="6" t="str">
        <f t="shared" si="508"/>
        <v>=2.252*100000000</v>
      </c>
      <c r="BF1071" s="1">
        <f>2.252*100000000</f>
        <v>225199999.99999997</v>
      </c>
      <c r="BG1071" s="8">
        <f t="shared" si="525"/>
        <v>0.2730356133408704</v>
      </c>
      <c r="BH1071" s="6" t="s">
        <v>11261</v>
      </c>
      <c r="BI1071" s="6" t="str">
        <f t="shared" si="509"/>
        <v>=1.769*100000000</v>
      </c>
      <c r="BJ1071" s="1">
        <f>1.769*100000000</f>
        <v>176900000</v>
      </c>
      <c r="BK1071" s="6" t="s">
        <v>4465</v>
      </c>
      <c r="BL1071" s="1" t="str">
        <f t="shared" si="511"/>
        <v>=1.158*100000000</v>
      </c>
      <c r="BM1071" s="16">
        <f t="shared" si="526"/>
        <v>0.52763385146804853</v>
      </c>
      <c r="BN1071" s="1">
        <f>1.158*100000000</f>
        <v>115799999.99999999</v>
      </c>
    </row>
    <row r="1072" spans="1:66">
      <c r="A1072" s="18"/>
      <c r="B1072">
        <v>600846</v>
      </c>
      <c r="C1072" t="s">
        <v>58</v>
      </c>
      <c r="D1072" s="6" t="s">
        <v>154</v>
      </c>
      <c r="E1072" s="7" t="str">
        <f t="shared" si="510"/>
        <v>=7.775*100000000</v>
      </c>
      <c r="F1072" s="1">
        <f>7.775*100000000</f>
        <v>777500000</v>
      </c>
      <c r="G1072" s="8">
        <f t="shared" si="512"/>
        <v>0.3286056049213944</v>
      </c>
      <c r="H1072" s="6" t="s">
        <v>8398</v>
      </c>
      <c r="I1072" s="6" t="str">
        <f t="shared" si="496"/>
        <v>=5.852*100000000</v>
      </c>
      <c r="J1072" s="1">
        <f>5.852*100000000</f>
        <v>585200000</v>
      </c>
      <c r="K1072" s="10">
        <f t="shared" si="513"/>
        <v>0.15333070555774536</v>
      </c>
      <c r="L1072" s="6" t="s">
        <v>11262</v>
      </c>
      <c r="M1072" s="6" t="str">
        <f t="shared" si="497"/>
        <v>=5.074*100000000</v>
      </c>
      <c r="N1072" s="1">
        <f>5.074*100000000</f>
        <v>507400000</v>
      </c>
      <c r="O1072" s="8">
        <f t="shared" si="514"/>
        <v>4.497887095026547</v>
      </c>
      <c r="P1072" s="7" t="s">
        <v>11263</v>
      </c>
      <c r="Q1072" s="6" t="str">
        <f t="shared" si="498"/>
        <v>=9229*10000</v>
      </c>
      <c r="R1072" s="11">
        <f>9229*10000</f>
        <v>92290000</v>
      </c>
      <c r="S1072" s="8">
        <f t="shared" si="515"/>
        <v>-0.91678088367899013</v>
      </c>
      <c r="T1072" s="6" t="s">
        <v>4498</v>
      </c>
      <c r="U1072" s="6" t="str">
        <f t="shared" si="499"/>
        <v>=11.09*100000000</v>
      </c>
      <c r="V1072" s="1">
        <f>11.09*100000000</f>
        <v>1109000000</v>
      </c>
      <c r="W1072" s="8">
        <f t="shared" si="516"/>
        <v>0.24690802788396671</v>
      </c>
      <c r="X1072" s="6" t="s">
        <v>11264</v>
      </c>
      <c r="Y1072" s="6" t="str">
        <f t="shared" si="500"/>
        <v>=8.894*100000000</v>
      </c>
      <c r="Z1072" s="1">
        <f>8.894*100000000</f>
        <v>889400000</v>
      </c>
      <c r="AA1072" s="8">
        <f t="shared" si="517"/>
        <v>0.18460309003729355</v>
      </c>
      <c r="AB1072" s="6" t="s">
        <v>11265</v>
      </c>
      <c r="AC1072" s="6" t="str">
        <f t="shared" si="501"/>
        <v>=7.508*100000000</v>
      </c>
      <c r="AD1072" s="1">
        <f>7.508*100000000</f>
        <v>750800000</v>
      </c>
      <c r="AE1072" s="8">
        <f t="shared" si="518"/>
        <v>3.7669841269841271</v>
      </c>
      <c r="AF1072" s="6" t="s">
        <v>11266</v>
      </c>
      <c r="AG1072" s="6" t="str">
        <f t="shared" si="502"/>
        <v>=1.575*100000000</v>
      </c>
      <c r="AH1072" s="1">
        <f>1.575*100000000</f>
        <v>157500000</v>
      </c>
      <c r="AI1072" s="8">
        <f t="shared" si="519"/>
        <v>-0.874</v>
      </c>
      <c r="AJ1072" s="6" t="s">
        <v>7678</v>
      </c>
      <c r="AK1072" s="6" t="str">
        <f t="shared" si="503"/>
        <v>=12.50*100000000</v>
      </c>
      <c r="AL1072" s="1">
        <f>12.5*100000000</f>
        <v>1250000000</v>
      </c>
      <c r="AM1072" s="8">
        <f t="shared" si="520"/>
        <v>0.72675783948059125</v>
      </c>
      <c r="AN1072" s="6" t="s">
        <v>11267</v>
      </c>
      <c r="AO1072" s="6" t="str">
        <f t="shared" si="504"/>
        <v>=7.239*100000000</v>
      </c>
      <c r="AP1072" s="1">
        <f>7.239*100000000</f>
        <v>723900000</v>
      </c>
      <c r="AQ1072" s="8">
        <f t="shared" si="521"/>
        <v>2.179183135704875</v>
      </c>
      <c r="AR1072" s="6" t="s">
        <v>4997</v>
      </c>
      <c r="AS1072" s="6" t="str">
        <f t="shared" si="505"/>
        <v>=2.277*100000000</v>
      </c>
      <c r="AT1072" s="1">
        <f>2.277*100000000</f>
        <v>227700000</v>
      </c>
      <c r="AU1072" s="8">
        <f t="shared" si="522"/>
        <v>1.7328372539606336</v>
      </c>
      <c r="AV1072" s="7" t="s">
        <v>11268</v>
      </c>
      <c r="AW1072" s="6" t="str">
        <f t="shared" si="506"/>
        <v>=8332*10000</v>
      </c>
      <c r="AX1072" s="1">
        <f>8332*10000</f>
        <v>83320000</v>
      </c>
      <c r="AY1072" s="10">
        <f t="shared" si="523"/>
        <v>-0.818038873116401</v>
      </c>
      <c r="AZ1072" s="6" t="s">
        <v>2792</v>
      </c>
      <c r="BA1072" s="6" t="str">
        <f t="shared" si="507"/>
        <v>=4.579*100000000</v>
      </c>
      <c r="BB1072" s="1">
        <f>4.579*100000000</f>
        <v>457900000</v>
      </c>
      <c r="BC1072" s="8">
        <f t="shared" si="524"/>
        <v>0.91189979123173281</v>
      </c>
      <c r="BD1072" s="6" t="s">
        <v>11269</v>
      </c>
      <c r="BE1072" s="6" t="str">
        <f t="shared" si="508"/>
        <v>=2.395*100000000</v>
      </c>
      <c r="BF1072" s="1">
        <f>2.395*100000000</f>
        <v>239500000</v>
      </c>
      <c r="BG1072" s="8">
        <f t="shared" si="525"/>
        <v>0.3283416528008874</v>
      </c>
      <c r="BH1072" s="6" t="s">
        <v>2975</v>
      </c>
      <c r="BI1072" s="6" t="str">
        <f t="shared" si="509"/>
        <v>=1.803*100000000</v>
      </c>
      <c r="BJ1072" s="1">
        <f>1.803*100000000</f>
        <v>180300000</v>
      </c>
      <c r="BK1072" s="6" t="s">
        <v>2167</v>
      </c>
      <c r="BL1072" s="1" t="str">
        <f t="shared" si="511"/>
        <v>=1.152*100000000</v>
      </c>
      <c r="BM1072" s="16">
        <f t="shared" si="526"/>
        <v>0.56510416666666685</v>
      </c>
      <c r="BN1072" s="1">
        <f>1.152*100000000</f>
        <v>115199999.99999999</v>
      </c>
    </row>
    <row r="1073" spans="1:66">
      <c r="A1073" s="19"/>
      <c r="B1073">
        <v>600846</v>
      </c>
      <c r="C1073" t="s">
        <v>68</v>
      </c>
      <c r="D1073" s="6" t="s">
        <v>616</v>
      </c>
      <c r="E1073" s="7" t="str">
        <f t="shared" si="510"/>
        <v>=6.494*100000000</v>
      </c>
      <c r="F1073" s="1">
        <f>6.494*100000000</f>
        <v>649400000</v>
      </c>
      <c r="G1073" s="8">
        <f t="shared" si="512"/>
        <v>0.38170212765957445</v>
      </c>
      <c r="H1073" s="6" t="s">
        <v>9649</v>
      </c>
      <c r="I1073" s="6" t="str">
        <f t="shared" si="496"/>
        <v>=4.700*100000000</v>
      </c>
      <c r="J1073" s="1">
        <f>4.7*100000000</f>
        <v>470000000</v>
      </c>
      <c r="K1073" s="10">
        <f t="shared" si="513"/>
        <v>0.18866970156803237</v>
      </c>
      <c r="L1073" s="6" t="s">
        <v>4867</v>
      </c>
      <c r="M1073" s="6" t="str">
        <f t="shared" si="497"/>
        <v>=3.954*100000000</v>
      </c>
      <c r="N1073" s="1">
        <f>3.954*100000000</f>
        <v>395400000</v>
      </c>
      <c r="O1073" s="8">
        <f t="shared" si="514"/>
        <v>4.2033162258191865</v>
      </c>
      <c r="P1073" s="7" t="s">
        <v>11270</v>
      </c>
      <c r="Q1073" s="6" t="str">
        <f t="shared" si="498"/>
        <v>=7599*10000</v>
      </c>
      <c r="R1073" s="11">
        <f>7599*10000</f>
        <v>75990000</v>
      </c>
      <c r="S1073" s="8">
        <f t="shared" si="515"/>
        <v>-0.91275545350172216</v>
      </c>
      <c r="T1073" s="6" t="s">
        <v>11271</v>
      </c>
      <c r="U1073" s="6" t="str">
        <f t="shared" si="499"/>
        <v>=8.710*100000000</v>
      </c>
      <c r="V1073" s="1">
        <f>8.71*100000000</f>
        <v>871000000.00000012</v>
      </c>
      <c r="W1073" s="8">
        <f t="shared" si="516"/>
        <v>0.29786917001937135</v>
      </c>
      <c r="X1073" s="6" t="s">
        <v>11272</v>
      </c>
      <c r="Y1073" s="6" t="str">
        <f t="shared" si="500"/>
        <v>=6.711*100000000</v>
      </c>
      <c r="Z1073" s="1">
        <f>6.711*100000000</f>
        <v>671100000</v>
      </c>
      <c r="AA1073" s="8">
        <f t="shared" si="517"/>
        <v>0.18506092177291189</v>
      </c>
      <c r="AB1073" s="6" t="s">
        <v>11273</v>
      </c>
      <c r="AC1073" s="6" t="str">
        <f t="shared" si="501"/>
        <v>=5.663*100000000</v>
      </c>
      <c r="AD1073" s="1">
        <f>5.663*100000000</f>
        <v>566300000</v>
      </c>
      <c r="AE1073" s="8">
        <f t="shared" si="518"/>
        <v>3.7309941520467835</v>
      </c>
      <c r="AF1073" s="6" t="s">
        <v>3933</v>
      </c>
      <c r="AG1073" s="6" t="str">
        <f t="shared" si="502"/>
        <v>=1.197*100000000</v>
      </c>
      <c r="AH1073" s="1">
        <f>1.197*100000000</f>
        <v>119700000</v>
      </c>
      <c r="AI1073" s="8">
        <f t="shared" si="519"/>
        <v>-0.87514342338583495</v>
      </c>
      <c r="AJ1073" s="6" t="s">
        <v>11274</v>
      </c>
      <c r="AK1073" s="6" t="str">
        <f t="shared" si="503"/>
        <v>=9.587*100000000</v>
      </c>
      <c r="AL1073" s="1">
        <f>9.587*100000000</f>
        <v>958700000</v>
      </c>
      <c r="AM1073" s="8">
        <f t="shared" si="520"/>
        <v>0.8288821060663869</v>
      </c>
      <c r="AN1073" s="6" t="s">
        <v>11275</v>
      </c>
      <c r="AO1073" s="6" t="str">
        <f t="shared" si="504"/>
        <v>=5.242*100000000</v>
      </c>
      <c r="AP1073" s="1">
        <f>5.242*100000000</f>
        <v>524200000</v>
      </c>
      <c r="AQ1073" s="8">
        <f t="shared" si="521"/>
        <v>2.0005724098454492</v>
      </c>
      <c r="AR1073" s="6" t="s">
        <v>2329</v>
      </c>
      <c r="AS1073" s="6" t="str">
        <f t="shared" si="505"/>
        <v>=1.747*100000000</v>
      </c>
      <c r="AT1073" s="1">
        <f>1.747*100000000</f>
        <v>174700000</v>
      </c>
      <c r="AU1073" s="8">
        <f t="shared" si="522"/>
        <v>1.6148780122736117</v>
      </c>
      <c r="AV1073" s="7" t="s">
        <v>11276</v>
      </c>
      <c r="AW1073" s="6" t="str">
        <f t="shared" si="506"/>
        <v>=6681*10000</v>
      </c>
      <c r="AX1073" s="1">
        <f>6681*10000</f>
        <v>66810000</v>
      </c>
      <c r="AY1073" s="10">
        <f t="shared" si="523"/>
        <v>-0.82311358220810171</v>
      </c>
      <c r="AZ1073" s="6" t="s">
        <v>11277</v>
      </c>
      <c r="BA1073" s="6" t="str">
        <f t="shared" si="507"/>
        <v>=3.777*100000000</v>
      </c>
      <c r="BB1073" s="1">
        <f>3.777*100000000</f>
        <v>377700000</v>
      </c>
      <c r="BC1073" s="8">
        <f t="shared" si="524"/>
        <v>0.96207792207792209</v>
      </c>
      <c r="BD1073" s="6" t="s">
        <v>5314</v>
      </c>
      <c r="BE1073" s="6" t="str">
        <f t="shared" si="508"/>
        <v>=1.925*100000000</v>
      </c>
      <c r="BF1073" s="1">
        <f>1.925*100000000</f>
        <v>192500000</v>
      </c>
      <c r="BG1073" s="8">
        <f t="shared" si="525"/>
        <v>0.3594632768361582</v>
      </c>
      <c r="BH1073" s="6" t="s">
        <v>7608</v>
      </c>
      <c r="BI1073" s="6" t="str">
        <f t="shared" si="509"/>
        <v>=1.416*100000000</v>
      </c>
      <c r="BJ1073" s="1">
        <f>1.416*100000000</f>
        <v>141600000</v>
      </c>
      <c r="BK1073" s="7" t="s">
        <v>11278</v>
      </c>
      <c r="BL1073" s="1" t="str">
        <f t="shared" si="511"/>
        <v>=9040*10000</v>
      </c>
      <c r="BM1073" s="16">
        <f t="shared" si="526"/>
        <v>0.5663716814159292</v>
      </c>
      <c r="BN1073" s="1">
        <f>9040*10000</f>
        <v>90400000</v>
      </c>
    </row>
    <row r="1074" spans="1:66">
      <c r="A1074" s="17">
        <v>270</v>
      </c>
      <c r="B1074">
        <v>600853</v>
      </c>
      <c r="C1074" t="s">
        <v>31</v>
      </c>
      <c r="D1074" s="6" t="s">
        <v>11279</v>
      </c>
      <c r="E1074" s="7" t="str">
        <f t="shared" si="510"/>
        <v>=152.0*100000000</v>
      </c>
      <c r="F1074" s="1">
        <f>152*100000000</f>
        <v>15200000000</v>
      </c>
      <c r="G1074" s="8">
        <f t="shared" si="512"/>
        <v>0.37308039747064137</v>
      </c>
      <c r="H1074" s="6" t="s">
        <v>3996</v>
      </c>
      <c r="I1074" s="6" t="str">
        <f t="shared" si="496"/>
        <v>=110.7*100000000</v>
      </c>
      <c r="J1074" s="1">
        <f>110.7*100000000</f>
        <v>11070000000</v>
      </c>
      <c r="K1074" s="10">
        <f t="shared" si="513"/>
        <v>1.1482631476809626</v>
      </c>
      <c r="L1074" s="6" t="s">
        <v>11280</v>
      </c>
      <c r="M1074" s="6" t="str">
        <f t="shared" si="497"/>
        <v>=51.53*100000000</v>
      </c>
      <c r="N1074" s="1">
        <f>51.53*100000000</f>
        <v>5153000000</v>
      </c>
      <c r="O1074" s="8">
        <f t="shared" si="514"/>
        <v>2.9067475360121304</v>
      </c>
      <c r="P1074" s="6" t="s">
        <v>1807</v>
      </c>
      <c r="Q1074" s="6" t="str">
        <f t="shared" si="498"/>
        <v>=13.19*100000000</v>
      </c>
      <c r="R1074" s="11">
        <f>13.19*100000000</f>
        <v>1319000000</v>
      </c>
      <c r="S1074" s="8">
        <f t="shared" si="515"/>
        <v>-0.88859797297297294</v>
      </c>
      <c r="T1074" s="6" t="s">
        <v>6832</v>
      </c>
      <c r="U1074" s="6" t="str">
        <f t="shared" si="499"/>
        <v>=118.4*100000000</v>
      </c>
      <c r="V1074" s="1">
        <f>118.4*100000000</f>
        <v>11840000000</v>
      </c>
      <c r="W1074" s="8">
        <f t="shared" si="516"/>
        <v>0.47538940809968849</v>
      </c>
      <c r="X1074" s="6" t="s">
        <v>11281</v>
      </c>
      <c r="Y1074" s="6" t="str">
        <f t="shared" si="500"/>
        <v>=80.25*100000000</v>
      </c>
      <c r="Z1074" s="1">
        <f>80.25*100000000</f>
        <v>8025000000</v>
      </c>
      <c r="AA1074" s="8">
        <f t="shared" si="517"/>
        <v>1.5484280724039376</v>
      </c>
      <c r="AB1074" s="6" t="s">
        <v>11282</v>
      </c>
      <c r="AC1074" s="6" t="str">
        <f t="shared" si="501"/>
        <v>=31.49*100000000</v>
      </c>
      <c r="AD1074" s="1">
        <f>31.49*100000000</f>
        <v>3149000000</v>
      </c>
      <c r="AE1074" s="8">
        <f t="shared" si="518"/>
        <v>5.2666666666666657</v>
      </c>
      <c r="AF1074" s="6" t="s">
        <v>7712</v>
      </c>
      <c r="AG1074" s="6" t="str">
        <f t="shared" si="502"/>
        <v>=5.025*100000000</v>
      </c>
      <c r="AH1074" s="1">
        <f>5.025*100000000</f>
        <v>502500000.00000006</v>
      </c>
      <c r="AI1074" s="8">
        <f t="shared" si="519"/>
        <v>-0.95477047704770479</v>
      </c>
      <c r="AJ1074" s="6" t="s">
        <v>9421</v>
      </c>
      <c r="AK1074" s="6" t="str">
        <f t="shared" si="503"/>
        <v>=111.1*100000000</v>
      </c>
      <c r="AL1074" s="1">
        <f>111.1*100000000</f>
        <v>11110000000</v>
      </c>
      <c r="AM1074" s="8">
        <f t="shared" si="520"/>
        <v>0.7068674143493624</v>
      </c>
      <c r="AN1074" s="6" t="s">
        <v>11283</v>
      </c>
      <c r="AO1074" s="6" t="str">
        <f t="shared" si="504"/>
        <v>=65.09*100000000</v>
      </c>
      <c r="AP1074" s="1">
        <f>65.09*100000000</f>
        <v>6509000000</v>
      </c>
      <c r="AQ1074" s="8">
        <f t="shared" si="521"/>
        <v>1.3608995284729779</v>
      </c>
      <c r="AR1074" s="6" t="s">
        <v>10509</v>
      </c>
      <c r="AS1074" s="6" t="str">
        <f t="shared" si="505"/>
        <v>=27.57*100000000</v>
      </c>
      <c r="AT1074" s="1">
        <f>27.57*100000000</f>
        <v>2757000000</v>
      </c>
      <c r="AU1074" s="8">
        <f t="shared" si="522"/>
        <v>3.1489841986455982</v>
      </c>
      <c r="AV1074" s="6" t="s">
        <v>1686</v>
      </c>
      <c r="AW1074" s="6" t="str">
        <f t="shared" si="506"/>
        <v>=6.645*100000000</v>
      </c>
      <c r="AX1074" s="1">
        <f>6.645*100000000</f>
        <v>664500000</v>
      </c>
      <c r="AY1074" s="10">
        <f t="shared" si="523"/>
        <v>-0.9367745004757374</v>
      </c>
      <c r="AZ1074" s="6" t="s">
        <v>11284</v>
      </c>
      <c r="BA1074" s="6" t="str">
        <f t="shared" si="507"/>
        <v>=105.1*100000000</v>
      </c>
      <c r="BB1074" s="1">
        <f>105.1*100000000</f>
        <v>10510000000</v>
      </c>
      <c r="BC1074" s="8">
        <f t="shared" si="524"/>
        <v>0.55312546179991129</v>
      </c>
      <c r="BD1074" s="6" t="s">
        <v>9323</v>
      </c>
      <c r="BE1074" s="6" t="str">
        <f t="shared" si="508"/>
        <v>=67.67*100000000</v>
      </c>
      <c r="BF1074" s="1">
        <f>67.67*100000000</f>
        <v>6767000000</v>
      </c>
      <c r="BG1074" s="8">
        <f t="shared" si="525"/>
        <v>1.7441200324412003</v>
      </c>
      <c r="BH1074" s="6" t="s">
        <v>10512</v>
      </c>
      <c r="BI1074" s="6" t="str">
        <f t="shared" si="509"/>
        <v>=24.66*100000000</v>
      </c>
      <c r="BJ1074" s="1">
        <f>24.66*100000000</f>
        <v>2466000000</v>
      </c>
      <c r="BK1074" s="6" t="s">
        <v>11285</v>
      </c>
      <c r="BL1074" s="1" t="str">
        <f t="shared" si="511"/>
        <v>=5.875*100000000</v>
      </c>
      <c r="BM1074" s="16">
        <f t="shared" si="526"/>
        <v>3.1974468085106382</v>
      </c>
      <c r="BN1074" s="1">
        <f>5.875*100000000</f>
        <v>587500000</v>
      </c>
    </row>
    <row r="1075" spans="1:66">
      <c r="A1075" s="18"/>
      <c r="B1075">
        <v>600853</v>
      </c>
      <c r="C1075" t="s">
        <v>48</v>
      </c>
      <c r="D1075" s="6" t="s">
        <v>11286</v>
      </c>
      <c r="E1075" s="7" t="str">
        <f t="shared" si="510"/>
        <v>=3.770*100000000</v>
      </c>
      <c r="F1075" s="1">
        <f>3.77*100000000</f>
        <v>377000000</v>
      </c>
      <c r="G1075" s="8">
        <f t="shared" si="512"/>
        <v>0.62710401381096226</v>
      </c>
      <c r="H1075" s="6" t="s">
        <v>1760</v>
      </c>
      <c r="I1075" s="6" t="str">
        <f t="shared" si="496"/>
        <v>=2.317*100000000</v>
      </c>
      <c r="J1075" s="1">
        <f>2.317*100000000</f>
        <v>231700000.00000003</v>
      </c>
      <c r="K1075" s="10">
        <f t="shared" si="513"/>
        <v>2.1357423196643666</v>
      </c>
      <c r="L1075" s="7" t="s">
        <v>7708</v>
      </c>
      <c r="M1075" s="6" t="str">
        <f t="shared" si="497"/>
        <v>=7389*10000</v>
      </c>
      <c r="N1075" s="1">
        <f>7389*10000</f>
        <v>73890000</v>
      </c>
      <c r="O1075" s="8">
        <f t="shared" si="514"/>
        <v>21.862004950495049</v>
      </c>
      <c r="P1075" s="7" t="s">
        <v>11287</v>
      </c>
      <c r="Q1075" s="6" t="str">
        <f t="shared" si="498"/>
        <v>=323.2*10000</v>
      </c>
      <c r="R1075" s="11">
        <f>323.2*10000</f>
        <v>3232000</v>
      </c>
      <c r="S1075" s="8">
        <f t="shared" si="515"/>
        <v>-0.98857142857142855</v>
      </c>
      <c r="T1075" s="6" t="s">
        <v>11288</v>
      </c>
      <c r="U1075" s="6" t="str">
        <f t="shared" si="499"/>
        <v>=2.828*100000000</v>
      </c>
      <c r="V1075" s="1">
        <f>2.828*100000000</f>
        <v>282800000</v>
      </c>
      <c r="W1075" s="8">
        <f t="shared" si="516"/>
        <v>0.5860908581043186</v>
      </c>
      <c r="X1075" s="6" t="s">
        <v>11289</v>
      </c>
      <c r="Y1075" s="6" t="str">
        <f t="shared" si="500"/>
        <v>=1.783*100000000</v>
      </c>
      <c r="Z1075" s="1">
        <f>1.783*100000000</f>
        <v>178300000</v>
      </c>
      <c r="AA1075" s="8">
        <f t="shared" si="517"/>
        <v>2.3452157598499062</v>
      </c>
      <c r="AB1075" s="7" t="s">
        <v>11290</v>
      </c>
      <c r="AC1075" s="6" t="str">
        <f t="shared" si="501"/>
        <v>=5330*10000</v>
      </c>
      <c r="AD1075" s="1">
        <f>5330*10000</f>
        <v>53300000</v>
      </c>
      <c r="AE1075" s="8">
        <f t="shared" si="518"/>
        <v>-10.426954368588611</v>
      </c>
      <c r="AF1075" s="7">
        <f>-565.4*10000</f>
        <v>-5654000</v>
      </c>
      <c r="AG1075" s="6" t="str">
        <f t="shared" si="502"/>
        <v>=-5654000</v>
      </c>
      <c r="AH1075" s="1">
        <f>-5654000</f>
        <v>-5654000</v>
      </c>
      <c r="AI1075" s="8">
        <f t="shared" si="519"/>
        <v>-1.0185073649754501</v>
      </c>
      <c r="AJ1075" s="6" t="s">
        <v>10779</v>
      </c>
      <c r="AK1075" s="6" t="str">
        <f t="shared" si="503"/>
        <v>=3.055*100000000</v>
      </c>
      <c r="AL1075" s="1">
        <f>3.055*100000000</f>
        <v>305500000</v>
      </c>
      <c r="AM1075" s="8">
        <f t="shared" si="520"/>
        <v>1.2202034883720929</v>
      </c>
      <c r="AN1075" s="6" t="s">
        <v>11291</v>
      </c>
      <c r="AO1075" s="6" t="str">
        <f t="shared" si="504"/>
        <v>=1.376*100000000</v>
      </c>
      <c r="AP1075" s="1">
        <f>1.376*100000000</f>
        <v>137600000</v>
      </c>
      <c r="AQ1075" s="8">
        <f t="shared" si="521"/>
        <v>1.999781992587748</v>
      </c>
      <c r="AR1075" s="7" t="s">
        <v>11292</v>
      </c>
      <c r="AS1075" s="6" t="str">
        <f t="shared" si="505"/>
        <v>=4587*10000</v>
      </c>
      <c r="AT1075" s="1">
        <f>4587*10000</f>
        <v>45870000</v>
      </c>
      <c r="AU1075" s="8">
        <f t="shared" si="522"/>
        <v>-8.8638779358820496</v>
      </c>
      <c r="AV1075" s="7">
        <f>-583.3*10000</f>
        <v>-5833000</v>
      </c>
      <c r="AW1075" s="6" t="str">
        <f t="shared" si="506"/>
        <v>=-5833000</v>
      </c>
      <c r="AX1075" s="1">
        <f>-5833000</f>
        <v>-5833000</v>
      </c>
      <c r="AY1075" s="10">
        <f t="shared" si="523"/>
        <v>-1.0268925772245274</v>
      </c>
      <c r="AZ1075" s="6" t="s">
        <v>5480</v>
      </c>
      <c r="BA1075" s="6" t="str">
        <f t="shared" si="507"/>
        <v>=2.169*100000000</v>
      </c>
      <c r="BB1075" s="1">
        <f>2.169*100000000</f>
        <v>216900000</v>
      </c>
      <c r="BC1075" s="8">
        <f t="shared" si="524"/>
        <v>0.59368111682586333</v>
      </c>
      <c r="BD1075" s="6" t="s">
        <v>10949</v>
      </c>
      <c r="BE1075" s="6" t="str">
        <f t="shared" si="508"/>
        <v>=1.361*100000000</v>
      </c>
      <c r="BF1075" s="1">
        <f>1.361*100000000</f>
        <v>136100000</v>
      </c>
      <c r="BG1075" s="8">
        <f t="shared" si="525"/>
        <v>2.2061248527679624</v>
      </c>
      <c r="BH1075" s="7" t="s">
        <v>11293</v>
      </c>
      <c r="BI1075" s="6" t="str">
        <f t="shared" si="509"/>
        <v>=4245*10000</v>
      </c>
      <c r="BJ1075" s="1">
        <f>4245*10000</f>
        <v>42450000</v>
      </c>
      <c r="BK1075" s="7">
        <f>-310*10000</f>
        <v>-3100000</v>
      </c>
      <c r="BL1075" s="1" t="str">
        <f t="shared" si="511"/>
        <v>=-3100000</v>
      </c>
      <c r="BM1075" s="16">
        <f t="shared" si="526"/>
        <v>-14.693548387096774</v>
      </c>
      <c r="BN1075" s="1">
        <f>-3100000</f>
        <v>-3100000</v>
      </c>
    </row>
    <row r="1076" spans="1:66">
      <c r="A1076" s="18"/>
      <c r="B1076">
        <v>600853</v>
      </c>
      <c r="C1076" t="s">
        <v>58</v>
      </c>
      <c r="D1076" s="6" t="s">
        <v>361</v>
      </c>
      <c r="E1076" s="7" t="str">
        <f t="shared" si="510"/>
        <v>=3.732*100000000</v>
      </c>
      <c r="F1076" s="1">
        <f>3.732*100000000</f>
        <v>373200000</v>
      </c>
      <c r="G1076" s="8">
        <f t="shared" si="512"/>
        <v>0.62049500651324363</v>
      </c>
      <c r="H1076" s="6" t="s">
        <v>9243</v>
      </c>
      <c r="I1076" s="6" t="str">
        <f t="shared" si="496"/>
        <v>=2.303*100000000</v>
      </c>
      <c r="J1076" s="1">
        <f>2.303*100000000</f>
        <v>230300000</v>
      </c>
      <c r="K1076" s="10">
        <f t="shared" si="513"/>
        <v>2.1088012958963285</v>
      </c>
      <c r="L1076" s="7" t="s">
        <v>11294</v>
      </c>
      <c r="M1076" s="6" t="str">
        <f t="shared" si="497"/>
        <v>=7408*10000</v>
      </c>
      <c r="N1076" s="1">
        <f>7408*10000</f>
        <v>74080000</v>
      </c>
      <c r="O1076" s="8">
        <f t="shared" si="514"/>
        <v>20.189931350114417</v>
      </c>
      <c r="P1076" s="7" t="s">
        <v>11295</v>
      </c>
      <c r="Q1076" s="6" t="str">
        <f t="shared" si="498"/>
        <v>=349.6*10000</v>
      </c>
      <c r="R1076" s="11">
        <f>349.6*10000</f>
        <v>3496000</v>
      </c>
      <c r="S1076" s="8">
        <f t="shared" si="515"/>
        <v>-0.98754985754985758</v>
      </c>
      <c r="T1076" s="6" t="s">
        <v>11296</v>
      </c>
      <c r="U1076" s="6" t="str">
        <f t="shared" si="499"/>
        <v>=2.808*100000000</v>
      </c>
      <c r="V1076" s="1">
        <f>2.808*100000000</f>
        <v>280800000</v>
      </c>
      <c r="W1076" s="8">
        <f t="shared" si="516"/>
        <v>0.5669642857142857</v>
      </c>
      <c r="X1076" s="6" t="s">
        <v>10936</v>
      </c>
      <c r="Y1076" s="6" t="str">
        <f t="shared" si="500"/>
        <v>=1.792*100000000</v>
      </c>
      <c r="Z1076" s="1">
        <f>1.792*100000000</f>
        <v>179200000</v>
      </c>
      <c r="AA1076" s="8">
        <f t="shared" si="517"/>
        <v>2.3451558708232221</v>
      </c>
      <c r="AB1076" s="7" t="s">
        <v>11297</v>
      </c>
      <c r="AC1076" s="6" t="str">
        <f t="shared" si="501"/>
        <v>=5357*10000</v>
      </c>
      <c r="AD1076" s="1">
        <f>5357*10000</f>
        <v>53570000</v>
      </c>
      <c r="AE1076" s="8">
        <f t="shared" si="518"/>
        <v>-10.378501400560225</v>
      </c>
      <c r="AF1076" s="7">
        <f>-571.2*10000</f>
        <v>-5712000</v>
      </c>
      <c r="AG1076" s="6" t="str">
        <f t="shared" si="502"/>
        <v>=-5712000</v>
      </c>
      <c r="AH1076" s="1">
        <f>-5712000</f>
        <v>-5712000</v>
      </c>
      <c r="AI1076" s="8">
        <f t="shared" si="519"/>
        <v>-1.0186544741998693</v>
      </c>
      <c r="AJ1076" s="6" t="s">
        <v>3877</v>
      </c>
      <c r="AK1076" s="6" t="str">
        <f t="shared" si="503"/>
        <v>=3.062*100000000</v>
      </c>
      <c r="AL1076" s="1">
        <f>3.062*100000000</f>
        <v>306200000</v>
      </c>
      <c r="AM1076" s="8">
        <f t="shared" si="520"/>
        <v>1.2252906976744187</v>
      </c>
      <c r="AN1076" s="6" t="s">
        <v>11291</v>
      </c>
      <c r="AO1076" s="6" t="str">
        <f t="shared" si="504"/>
        <v>=1.376*100000000</v>
      </c>
      <c r="AP1076" s="1">
        <f>1.376*100000000</f>
        <v>137600000</v>
      </c>
      <c r="AQ1076" s="8">
        <f t="shared" si="521"/>
        <v>1.9984746132054914</v>
      </c>
      <c r="AR1076" s="7" t="s">
        <v>11298</v>
      </c>
      <c r="AS1076" s="6" t="str">
        <f t="shared" si="505"/>
        <v>=4589*10000</v>
      </c>
      <c r="AT1076" s="1">
        <f>4589*10000</f>
        <v>45890000</v>
      </c>
      <c r="AU1076" s="8">
        <f t="shared" si="522"/>
        <v>-9.2669789227166284</v>
      </c>
      <c r="AV1076" s="7">
        <f>-555.1*10000</f>
        <v>-5551000</v>
      </c>
      <c r="AW1076" s="6" t="str">
        <f t="shared" si="506"/>
        <v>=-5551000</v>
      </c>
      <c r="AX1076" s="1">
        <f>-5551000</f>
        <v>-5551000</v>
      </c>
      <c r="AY1076" s="10">
        <f t="shared" si="523"/>
        <v>-1.0255924389119411</v>
      </c>
      <c r="AZ1076" s="6" t="s">
        <v>5480</v>
      </c>
      <c r="BA1076" s="6" t="str">
        <f t="shared" si="507"/>
        <v>=2.169*100000000</v>
      </c>
      <c r="BB1076" s="1">
        <f>2.169*100000000</f>
        <v>216900000</v>
      </c>
      <c r="BC1076" s="8">
        <f t="shared" si="524"/>
        <v>0.59485294117647058</v>
      </c>
      <c r="BD1076" s="6" t="s">
        <v>4637</v>
      </c>
      <c r="BE1076" s="6" t="str">
        <f t="shared" si="508"/>
        <v>=1.360*100000000</v>
      </c>
      <c r="BF1076" s="1">
        <f>1.36*100000000</f>
        <v>136000000</v>
      </c>
      <c r="BG1076" s="8">
        <f t="shared" si="525"/>
        <v>2.2189349112426036</v>
      </c>
      <c r="BH1076" s="7" t="s">
        <v>11299</v>
      </c>
      <c r="BI1076" s="6" t="str">
        <f t="shared" si="509"/>
        <v>=4225*10000</v>
      </c>
      <c r="BJ1076" s="1">
        <f>4225*10000</f>
        <v>42250000</v>
      </c>
      <c r="BK1076" s="7">
        <f>-309.7*10000</f>
        <v>-3097000</v>
      </c>
      <c r="BL1076" s="1" t="str">
        <f t="shared" si="511"/>
        <v>=-3097000</v>
      </c>
      <c r="BM1076" s="16">
        <f t="shared" si="526"/>
        <v>-14.642234420406846</v>
      </c>
      <c r="BN1076" s="1">
        <f>-3097000</f>
        <v>-3097000</v>
      </c>
    </row>
    <row r="1077" spans="1:66">
      <c r="A1077" s="19"/>
      <c r="B1077">
        <v>600853</v>
      </c>
      <c r="C1077" t="s">
        <v>68</v>
      </c>
      <c r="D1077" s="6" t="s">
        <v>4510</v>
      </c>
      <c r="E1077" s="7" t="str">
        <f t="shared" si="510"/>
        <v>=3.196*100000000</v>
      </c>
      <c r="F1077" s="1">
        <f>3.196*100000000</f>
        <v>319600000</v>
      </c>
      <c r="G1077" s="8">
        <f t="shared" si="512"/>
        <v>0.73131094257854823</v>
      </c>
      <c r="H1077" s="6" t="s">
        <v>1570</v>
      </c>
      <c r="I1077" s="6" t="str">
        <f t="shared" si="496"/>
        <v>=1.846*100000000</v>
      </c>
      <c r="J1077" s="1">
        <f>1.846*100000000</f>
        <v>184600000</v>
      </c>
      <c r="K1077" s="10">
        <f t="shared" si="513"/>
        <v>2.9887640449438204</v>
      </c>
      <c r="L1077" s="7" t="s">
        <v>11300</v>
      </c>
      <c r="M1077" s="6" t="str">
        <f t="shared" si="497"/>
        <v>=4628*10000</v>
      </c>
      <c r="N1077" s="1">
        <f>4628*10000</f>
        <v>46280000</v>
      </c>
      <c r="O1077" s="8">
        <f t="shared" si="514"/>
        <v>62.492934558924404</v>
      </c>
      <c r="P1077" s="7" t="s">
        <v>11301</v>
      </c>
      <c r="Q1077" s="6" t="str">
        <f t="shared" si="498"/>
        <v>=72.89*10000</v>
      </c>
      <c r="R1077" s="11">
        <f>72.89*10000</f>
        <v>728900</v>
      </c>
      <c r="S1077" s="8">
        <f t="shared" si="515"/>
        <v>-0.99672845601436266</v>
      </c>
      <c r="T1077" s="6" t="s">
        <v>4740</v>
      </c>
      <c r="U1077" s="6" t="str">
        <f t="shared" si="499"/>
        <v>=2.228*100000000</v>
      </c>
      <c r="V1077" s="1">
        <f>2.228*100000000</f>
        <v>222800000.00000003</v>
      </c>
      <c r="W1077" s="8">
        <f t="shared" si="516"/>
        <v>0.72713178294573666</v>
      </c>
      <c r="X1077" s="6" t="s">
        <v>1469</v>
      </c>
      <c r="Y1077" s="6" t="str">
        <f t="shared" si="500"/>
        <v>=1.290*100000000</v>
      </c>
      <c r="Z1077" s="1">
        <f>1.29*100000000</f>
        <v>129000000</v>
      </c>
      <c r="AA1077" s="8">
        <f t="shared" si="517"/>
        <v>3.9406357717349674</v>
      </c>
      <c r="AB1077" s="7" t="s">
        <v>11302</v>
      </c>
      <c r="AC1077" s="6" t="str">
        <f t="shared" si="501"/>
        <v>=2611*10000</v>
      </c>
      <c r="AD1077" s="1">
        <f>2611*10000</f>
        <v>26110000</v>
      </c>
      <c r="AE1077" s="8">
        <f t="shared" si="518"/>
        <v>-4.5577054094563296</v>
      </c>
      <c r="AF1077" s="7">
        <f>-733.9*10000</f>
        <v>-7339000</v>
      </c>
      <c r="AG1077" s="6" t="str">
        <f t="shared" si="502"/>
        <v>=-7339000</v>
      </c>
      <c r="AH1077" s="1">
        <f>-7339000</f>
        <v>-7339000</v>
      </c>
      <c r="AI1077" s="8">
        <f t="shared" si="519"/>
        <v>-1.0324590888987173</v>
      </c>
      <c r="AJ1077" s="6" t="s">
        <v>11303</v>
      </c>
      <c r="AK1077" s="6" t="str">
        <f t="shared" si="503"/>
        <v>=2.261*100000000</v>
      </c>
      <c r="AL1077" s="1">
        <f>2.261*100000000</f>
        <v>226100000</v>
      </c>
      <c r="AM1077" s="8">
        <f t="shared" si="520"/>
        <v>1.3287671232876712</v>
      </c>
      <c r="AN1077" s="7" t="s">
        <v>2205</v>
      </c>
      <c r="AO1077" s="6" t="str">
        <f t="shared" si="504"/>
        <v>=9709*10000</v>
      </c>
      <c r="AP1077" s="1">
        <f>9709*10000</f>
        <v>97090000</v>
      </c>
      <c r="AQ1077" s="8">
        <f t="shared" si="521"/>
        <v>3.0811265237494747</v>
      </c>
      <c r="AR1077" s="7" t="s">
        <v>11304</v>
      </c>
      <c r="AS1077" s="6" t="str">
        <f t="shared" si="505"/>
        <v>=2379*10000</v>
      </c>
      <c r="AT1077" s="1">
        <f>2379*10000</f>
        <v>23790000</v>
      </c>
      <c r="AU1077" s="8">
        <f t="shared" si="522"/>
        <v>-3.529505582137161</v>
      </c>
      <c r="AV1077" s="7">
        <f>-940.5*10000</f>
        <v>-9405000</v>
      </c>
      <c r="AW1077" s="6" t="str">
        <f t="shared" si="506"/>
        <v>=-9405000</v>
      </c>
      <c r="AX1077" s="1">
        <f>-9405000</f>
        <v>-9405000</v>
      </c>
      <c r="AY1077" s="10">
        <f t="shared" si="523"/>
        <v>-1.063719512195122</v>
      </c>
      <c r="AZ1077" s="6" t="s">
        <v>4451</v>
      </c>
      <c r="BA1077" s="6" t="str">
        <f t="shared" si="507"/>
        <v>=1.476*100000000</v>
      </c>
      <c r="BB1077" s="1">
        <f>1.476*100000000</f>
        <v>147600000</v>
      </c>
      <c r="BC1077" s="8">
        <f t="shared" si="524"/>
        <v>0.75151299394802418</v>
      </c>
      <c r="BD1077" s="7" t="s">
        <v>11305</v>
      </c>
      <c r="BE1077" s="6" t="str">
        <f t="shared" si="508"/>
        <v>=8427*10000</v>
      </c>
      <c r="BF1077" s="1">
        <f>8427*10000</f>
        <v>84270000</v>
      </c>
      <c r="BG1077" s="8">
        <f t="shared" si="525"/>
        <v>3.3618012422360248</v>
      </c>
      <c r="BH1077" s="7" t="s">
        <v>11306</v>
      </c>
      <c r="BI1077" s="6" t="str">
        <f t="shared" si="509"/>
        <v>=1932*10000</v>
      </c>
      <c r="BJ1077" s="1">
        <f>1932*10000</f>
        <v>19320000</v>
      </c>
      <c r="BK1077" s="7">
        <f>-888.2*10000</f>
        <v>-8882000</v>
      </c>
      <c r="BL1077" s="1" t="str">
        <f t="shared" si="511"/>
        <v>=-8882000</v>
      </c>
      <c r="BM1077" s="16">
        <f t="shared" si="526"/>
        <v>-3.1751857689709526</v>
      </c>
      <c r="BN1077" s="1">
        <f>-8882000</f>
        <v>-8882000</v>
      </c>
    </row>
    <row r="1078" spans="1:66">
      <c r="A1078" s="17">
        <v>271</v>
      </c>
      <c r="B1078">
        <v>600855</v>
      </c>
      <c r="C1078" t="s">
        <v>31</v>
      </c>
      <c r="D1078" s="6" t="s">
        <v>11307</v>
      </c>
      <c r="E1078" s="7" t="str">
        <f t="shared" si="510"/>
        <v>=27.85*100000000</v>
      </c>
      <c r="F1078" s="1">
        <f>27.85*100000000</f>
        <v>2785000000</v>
      </c>
      <c r="G1078" s="8">
        <f t="shared" si="512"/>
        <v>0.75267463813719315</v>
      </c>
      <c r="H1078" s="6" t="s">
        <v>4531</v>
      </c>
      <c r="I1078" s="6" t="str">
        <f t="shared" si="496"/>
        <v>=15.89*100000000</v>
      </c>
      <c r="J1078" s="1">
        <f>15.89*100000000</f>
        <v>1589000000</v>
      </c>
      <c r="K1078" s="10">
        <f t="shared" si="513"/>
        <v>0.62707352037681752</v>
      </c>
      <c r="L1078" s="6" t="s">
        <v>11308</v>
      </c>
      <c r="M1078" s="6" t="str">
        <f t="shared" si="497"/>
        <v>=9.766*100000000</v>
      </c>
      <c r="N1078" s="1">
        <f>9.766*100000000</f>
        <v>976600000</v>
      </c>
      <c r="O1078" s="8">
        <f t="shared" si="514"/>
        <v>2.9220883534136544</v>
      </c>
      <c r="P1078" s="6" t="s">
        <v>6140</v>
      </c>
      <c r="Q1078" s="6" t="str">
        <f t="shared" si="498"/>
        <v>=2.490*100000000</v>
      </c>
      <c r="R1078" s="11">
        <f>2.49*100000000</f>
        <v>249000000.00000003</v>
      </c>
      <c r="S1078" s="8">
        <f t="shared" si="515"/>
        <v>-0.9098805646036916</v>
      </c>
      <c r="T1078" s="6" t="s">
        <v>11309</v>
      </c>
      <c r="U1078" s="6" t="str">
        <f t="shared" si="499"/>
        <v>=27.63*100000000</v>
      </c>
      <c r="V1078" s="1">
        <f>27.63*100000000</f>
        <v>2763000000</v>
      </c>
      <c r="W1078" s="8">
        <f t="shared" si="516"/>
        <v>0.9094678645473393</v>
      </c>
      <c r="X1078" s="6" t="s">
        <v>11310</v>
      </c>
      <c r="Y1078" s="6" t="str">
        <f t="shared" si="500"/>
        <v>=14.47*100000000</v>
      </c>
      <c r="Z1078" s="1">
        <f>14.47*100000000</f>
        <v>1447000000</v>
      </c>
      <c r="AA1078" s="8">
        <f t="shared" si="517"/>
        <v>0.74337349397590335</v>
      </c>
      <c r="AB1078" s="6" t="s">
        <v>11311</v>
      </c>
      <c r="AC1078" s="6" t="str">
        <f t="shared" si="501"/>
        <v>=8.300*100000000</v>
      </c>
      <c r="AD1078" s="1">
        <f>8.3*100000000</f>
        <v>830000000.00000012</v>
      </c>
      <c r="AE1078" s="8">
        <f t="shared" si="518"/>
        <v>4.6578050443081125</v>
      </c>
      <c r="AF1078" s="6" t="s">
        <v>2938</v>
      </c>
      <c r="AG1078" s="6" t="str">
        <f t="shared" si="502"/>
        <v>=1.467*100000000</v>
      </c>
      <c r="AH1078" s="1">
        <f>1.467*100000000</f>
        <v>146700000</v>
      </c>
      <c r="AI1078" s="8">
        <f t="shared" si="519"/>
        <v>-0.94340277777777781</v>
      </c>
      <c r="AJ1078" s="6" t="s">
        <v>11312</v>
      </c>
      <c r="AK1078" s="6" t="str">
        <f t="shared" si="503"/>
        <v>=25.92*100000000</v>
      </c>
      <c r="AL1078" s="1">
        <f>25.92*100000000</f>
        <v>2592000000</v>
      </c>
      <c r="AM1078" s="8">
        <f t="shared" si="520"/>
        <v>0.85806451612903223</v>
      </c>
      <c r="AN1078" s="6" t="s">
        <v>11313</v>
      </c>
      <c r="AO1078" s="6" t="str">
        <f t="shared" si="504"/>
        <v>=13.95*100000000</v>
      </c>
      <c r="AP1078" s="1">
        <f>13.95*100000000</f>
        <v>1395000000</v>
      </c>
      <c r="AQ1078" s="8">
        <f t="shared" si="521"/>
        <v>0.58793397837222539</v>
      </c>
      <c r="AR1078" s="6" t="s">
        <v>8152</v>
      </c>
      <c r="AS1078" s="6" t="str">
        <f t="shared" si="505"/>
        <v>=8.785*100000000</v>
      </c>
      <c r="AT1078" s="1">
        <f>8.785*100000000</f>
        <v>878500000</v>
      </c>
      <c r="AU1078" s="8">
        <f t="shared" si="522"/>
        <v>1.7521929824561404</v>
      </c>
      <c r="AV1078" s="6" t="s">
        <v>11314</v>
      </c>
      <c r="AW1078" s="6" t="str">
        <f t="shared" si="506"/>
        <v>=3.192*100000000</v>
      </c>
      <c r="AX1078" s="1">
        <f>3.192*100000000</f>
        <v>319200000</v>
      </c>
      <c r="AY1078" s="10">
        <f t="shared" si="523"/>
        <v>-0.86457361052184978</v>
      </c>
      <c r="AZ1078" s="6" t="s">
        <v>11315</v>
      </c>
      <c r="BA1078" s="6" t="str">
        <f t="shared" si="507"/>
        <v>=23.57*100000000</v>
      </c>
      <c r="BB1078" s="1">
        <f>23.57*100000000</f>
        <v>2357000000</v>
      </c>
      <c r="BC1078" s="8">
        <f t="shared" si="524"/>
        <v>1.6154016866400356</v>
      </c>
      <c r="BD1078" s="6" t="s">
        <v>11316</v>
      </c>
      <c r="BE1078" s="6" t="str">
        <f t="shared" si="508"/>
        <v>=9.012*100000000</v>
      </c>
      <c r="BF1078" s="1">
        <f>9.012*100000000</f>
        <v>901200000</v>
      </c>
      <c r="BG1078" s="8">
        <f t="shared" si="525"/>
        <v>0.6958976289047798</v>
      </c>
      <c r="BH1078" s="6" t="s">
        <v>11317</v>
      </c>
      <c r="BI1078" s="6" t="str">
        <f t="shared" si="509"/>
        <v>=5.314*100000000</v>
      </c>
      <c r="BJ1078" s="1">
        <f>5.314*100000000</f>
        <v>531400000</v>
      </c>
      <c r="BK1078" s="6" t="s">
        <v>11318</v>
      </c>
      <c r="BL1078" s="1" t="str">
        <f t="shared" si="511"/>
        <v>=1.610*100000000</v>
      </c>
      <c r="BM1078" s="16">
        <f t="shared" si="526"/>
        <v>2.3006211180124225</v>
      </c>
      <c r="BN1078" s="1">
        <f>1.61*100000000</f>
        <v>161000000</v>
      </c>
    </row>
    <row r="1079" spans="1:66">
      <c r="A1079" s="18"/>
      <c r="B1079">
        <v>600855</v>
      </c>
      <c r="C1079" t="s">
        <v>48</v>
      </c>
      <c r="D1079" s="6" t="s">
        <v>2013</v>
      </c>
      <c r="E1079" s="7" t="str">
        <f t="shared" si="510"/>
        <v>=1.293*100000000</v>
      </c>
      <c r="F1079" s="1">
        <f>1.293*100000000</f>
        <v>129300000</v>
      </c>
      <c r="G1079" s="8">
        <f t="shared" si="512"/>
        <v>0.24207492795389066</v>
      </c>
      <c r="H1079" s="6" t="s">
        <v>2741</v>
      </c>
      <c r="I1079" s="6" t="str">
        <f t="shared" si="496"/>
        <v>=1.041*100000000</v>
      </c>
      <c r="J1079" s="1">
        <f>1.041*100000000</f>
        <v>104099999.99999999</v>
      </c>
      <c r="K1079" s="10">
        <f t="shared" si="513"/>
        <v>0.18322345987724467</v>
      </c>
      <c r="L1079" s="7" t="s">
        <v>11319</v>
      </c>
      <c r="M1079" s="6" t="str">
        <f t="shared" si="497"/>
        <v>=8798*10000</v>
      </c>
      <c r="N1079" s="1">
        <f>8798*10000</f>
        <v>87980000</v>
      </c>
      <c r="O1079" s="8">
        <f t="shared" si="514"/>
        <v>-3.0992603197327608</v>
      </c>
      <c r="P1079" s="7">
        <f>-4191*10000</f>
        <v>-41910000</v>
      </c>
      <c r="Q1079" s="6" t="str">
        <f t="shared" si="498"/>
        <v>=-41910000</v>
      </c>
      <c r="R1079" s="11">
        <f>-41910000</f>
        <v>-41910000</v>
      </c>
      <c r="S1079" s="8">
        <f t="shared" si="515"/>
        <v>-1.3457920792079208</v>
      </c>
      <c r="T1079" s="6" t="s">
        <v>11320</v>
      </c>
      <c r="U1079" s="6" t="str">
        <f t="shared" si="499"/>
        <v>=1.212*100000000</v>
      </c>
      <c r="V1079" s="1">
        <f>1.212*100000000</f>
        <v>121200000</v>
      </c>
      <c r="W1079" s="8">
        <f t="shared" si="516"/>
        <v>0.3033659533283149</v>
      </c>
      <c r="X1079" s="7" t="s">
        <v>11321</v>
      </c>
      <c r="Y1079" s="6" t="str">
        <f t="shared" si="500"/>
        <v>=9299*10000</v>
      </c>
      <c r="Z1079" s="1">
        <f>9299*10000</f>
        <v>92990000</v>
      </c>
      <c r="AA1079" s="8">
        <f t="shared" si="517"/>
        <v>-0.11353670162059104</v>
      </c>
      <c r="AB1079" s="6" t="s">
        <v>11322</v>
      </c>
      <c r="AC1079" s="6" t="str">
        <f t="shared" si="501"/>
        <v>=1.049*100000000</v>
      </c>
      <c r="AD1079" s="1">
        <f>1.049*100000000</f>
        <v>104900000</v>
      </c>
      <c r="AE1079" s="8">
        <f t="shared" si="518"/>
        <v>-3.5216346153846154</v>
      </c>
      <c r="AF1079" s="7">
        <f>-4160*10000</f>
        <v>-41600000</v>
      </c>
      <c r="AG1079" s="6" t="str">
        <f t="shared" si="502"/>
        <v>=-41600000</v>
      </c>
      <c r="AH1079" s="1">
        <f>-41600000</f>
        <v>-41600000</v>
      </c>
      <c r="AI1079" s="8">
        <f t="shared" si="519"/>
        <v>-1.3691215616681456</v>
      </c>
      <c r="AJ1079" s="6" t="s">
        <v>2877</v>
      </c>
      <c r="AK1079" s="6" t="str">
        <f t="shared" si="503"/>
        <v>=1.127*100000000</v>
      </c>
      <c r="AL1079" s="1">
        <f>1.127*100000000</f>
        <v>112700000</v>
      </c>
      <c r="AM1079" s="8">
        <f t="shared" si="520"/>
        <v>0.5828651685393258</v>
      </c>
      <c r="AN1079" s="7" t="s">
        <v>11323</v>
      </c>
      <c r="AO1079" s="6" t="str">
        <f t="shared" si="504"/>
        <v>=7120*10000</v>
      </c>
      <c r="AP1079" s="1">
        <f>7120*10000</f>
        <v>71200000</v>
      </c>
      <c r="AQ1079" s="8">
        <f t="shared" si="521"/>
        <v>44.58258642765685</v>
      </c>
      <c r="AR1079" s="7" t="s">
        <v>11324</v>
      </c>
      <c r="AS1079" s="6" t="str">
        <f t="shared" si="505"/>
        <v>=156.2*10000</v>
      </c>
      <c r="AT1079" s="1">
        <f>156.2*10000</f>
        <v>1562000</v>
      </c>
      <c r="AU1079" s="8">
        <f t="shared" si="522"/>
        <v>-1.9253554502369667</v>
      </c>
      <c r="AV1079" s="7">
        <f>-168.8*10000</f>
        <v>-1688000</v>
      </c>
      <c r="AW1079" s="6" t="str">
        <f t="shared" si="506"/>
        <v>=-1688000</v>
      </c>
      <c r="AX1079" s="1">
        <f>-1688000</f>
        <v>-1688000</v>
      </c>
      <c r="AY1079" s="10">
        <f t="shared" si="523"/>
        <v>-1.0088562434417629</v>
      </c>
      <c r="AZ1079" s="6" t="s">
        <v>11325</v>
      </c>
      <c r="BA1079" s="6" t="str">
        <f t="shared" si="507"/>
        <v>=1.906*100000000</v>
      </c>
      <c r="BB1079" s="1">
        <f>1.906*100000000</f>
        <v>190600000</v>
      </c>
      <c r="BC1079" s="8">
        <f t="shared" si="524"/>
        <v>4.8520110531163647</v>
      </c>
      <c r="BD1079" s="7" t="s">
        <v>11326</v>
      </c>
      <c r="BE1079" s="6" t="str">
        <f t="shared" si="508"/>
        <v>=3257*10000</v>
      </c>
      <c r="BF1079" s="1">
        <f>3257*10000</f>
        <v>32570000</v>
      </c>
      <c r="BG1079" s="8">
        <f t="shared" si="525"/>
        <v>21.44658855961406</v>
      </c>
      <c r="BH1079" s="7" t="s">
        <v>11327</v>
      </c>
      <c r="BI1079" s="6" t="str">
        <f t="shared" si="509"/>
        <v>=145.1*10000</v>
      </c>
      <c r="BJ1079" s="1">
        <f>145.1*10000</f>
        <v>1451000</v>
      </c>
      <c r="BK1079" s="7">
        <f>-1910*10000</f>
        <v>-19100000</v>
      </c>
      <c r="BL1079" s="1" t="str">
        <f t="shared" si="511"/>
        <v>=-19100000</v>
      </c>
      <c r="BM1079" s="16">
        <f t="shared" si="526"/>
        <v>-1.0759685863874346</v>
      </c>
      <c r="BN1079" s="1">
        <f>-19100000</f>
        <v>-19100000</v>
      </c>
    </row>
    <row r="1080" spans="1:66">
      <c r="A1080" s="18"/>
      <c r="B1080">
        <v>600855</v>
      </c>
      <c r="C1080" t="s">
        <v>58</v>
      </c>
      <c r="D1080" s="6" t="s">
        <v>2571</v>
      </c>
      <c r="E1080" s="7" t="str">
        <f t="shared" si="510"/>
        <v>=1.353*100000000</v>
      </c>
      <c r="F1080" s="1">
        <f>1.353*100000000</f>
        <v>135300000</v>
      </c>
      <c r="G1080" s="8">
        <f t="shared" si="512"/>
        <v>0.27882797731568998</v>
      </c>
      <c r="H1080" s="6" t="s">
        <v>119</v>
      </c>
      <c r="I1080" s="6" t="str">
        <f t="shared" si="496"/>
        <v>=1.058*100000000</v>
      </c>
      <c r="J1080" s="1">
        <f>1.058*100000000</f>
        <v>105800000</v>
      </c>
      <c r="K1080" s="10">
        <f t="shared" si="513"/>
        <v>0.1788300835654596</v>
      </c>
      <c r="L1080" s="7" t="s">
        <v>11328</v>
      </c>
      <c r="M1080" s="6" t="str">
        <f t="shared" si="497"/>
        <v>=8975*10000</v>
      </c>
      <c r="N1080" s="1">
        <f>8975*10000</f>
        <v>89750000</v>
      </c>
      <c r="O1080" s="8">
        <f t="shared" si="514"/>
        <v>-3.1399618502622793</v>
      </c>
      <c r="P1080" s="7">
        <f>-4194*10000</f>
        <v>-41940000</v>
      </c>
      <c r="Q1080" s="6" t="str">
        <f t="shared" si="498"/>
        <v>=-41940000</v>
      </c>
      <c r="R1080" s="11">
        <f>-41940000</f>
        <v>-41940000</v>
      </c>
      <c r="S1080" s="8">
        <f t="shared" si="515"/>
        <v>-1.2955602536997886</v>
      </c>
      <c r="T1080" s="6" t="s">
        <v>9132</v>
      </c>
      <c r="U1080" s="6" t="str">
        <f t="shared" si="499"/>
        <v>=1.419*100000000</v>
      </c>
      <c r="V1080" s="1">
        <f>1.419*100000000</f>
        <v>141900000</v>
      </c>
      <c r="W1080" s="8">
        <f t="shared" si="516"/>
        <v>0.49211356466876971</v>
      </c>
      <c r="X1080" s="7" t="s">
        <v>8727</v>
      </c>
      <c r="Y1080" s="6" t="str">
        <f t="shared" si="500"/>
        <v>=9510*10000</v>
      </c>
      <c r="Z1080" s="1">
        <f>9510*10000</f>
        <v>95100000</v>
      </c>
      <c r="AA1080" s="8">
        <f t="shared" si="517"/>
        <v>-9.8578199052132706E-2</v>
      </c>
      <c r="AB1080" s="6" t="s">
        <v>8501</v>
      </c>
      <c r="AC1080" s="6" t="str">
        <f t="shared" si="501"/>
        <v>=1.055*100000000</v>
      </c>
      <c r="AD1080" s="1">
        <f>1.055*100000000</f>
        <v>105500000</v>
      </c>
      <c r="AE1080" s="8">
        <f t="shared" si="518"/>
        <v>-3.5287631831255992</v>
      </c>
      <c r="AF1080" s="7">
        <f>-4172*10000</f>
        <v>-41720000</v>
      </c>
      <c r="AG1080" s="6" t="str">
        <f t="shared" si="502"/>
        <v>=-41720000</v>
      </c>
      <c r="AH1080" s="1">
        <f>-41720000</f>
        <v>-41720000</v>
      </c>
      <c r="AI1080" s="8">
        <f t="shared" si="519"/>
        <v>-1.3175038051750381</v>
      </c>
      <c r="AJ1080" s="6" t="s">
        <v>3883</v>
      </c>
      <c r="AK1080" s="6" t="str">
        <f t="shared" si="503"/>
        <v>=1.314*100000000</v>
      </c>
      <c r="AL1080" s="1">
        <f>1.314*100000000</f>
        <v>131400000</v>
      </c>
      <c r="AM1080" s="8">
        <f t="shared" si="520"/>
        <v>0.82804674457429051</v>
      </c>
      <c r="AN1080" s="7" t="s">
        <v>11329</v>
      </c>
      <c r="AO1080" s="6" t="str">
        <f t="shared" si="504"/>
        <v>=7188*10000</v>
      </c>
      <c r="AP1080" s="1">
        <f>7188*10000</f>
        <v>71880000</v>
      </c>
      <c r="AQ1080" s="8">
        <f t="shared" si="521"/>
        <v>54.165003837298542</v>
      </c>
      <c r="AR1080" s="7" t="s">
        <v>11330</v>
      </c>
      <c r="AS1080" s="6" t="str">
        <f t="shared" si="505"/>
        <v>=130.3*10000</v>
      </c>
      <c r="AT1080" s="1">
        <f>130.3*10000</f>
        <v>1303000</v>
      </c>
      <c r="AU1080" s="8">
        <f t="shared" si="522"/>
        <v>-1.7553623188405798</v>
      </c>
      <c r="AV1080" s="7">
        <f>-172.5*10000</f>
        <v>-1725000</v>
      </c>
      <c r="AW1080" s="6" t="str">
        <f t="shared" si="506"/>
        <v>=-1725000</v>
      </c>
      <c r="AX1080" s="1">
        <f>-1725000</f>
        <v>-1725000</v>
      </c>
      <c r="AY1080" s="10">
        <f t="shared" si="523"/>
        <v>-1.0090408805031446</v>
      </c>
      <c r="AZ1080" s="6" t="s">
        <v>4756</v>
      </c>
      <c r="BA1080" s="6" t="str">
        <f t="shared" si="507"/>
        <v>=1.908*100000000</v>
      </c>
      <c r="BB1080" s="1">
        <f>1.908*100000000</f>
        <v>190800000</v>
      </c>
      <c r="BC1080" s="8">
        <f t="shared" si="524"/>
        <v>4.7314508861519977</v>
      </c>
      <c r="BD1080" s="7" t="s">
        <v>11331</v>
      </c>
      <c r="BE1080" s="6" t="str">
        <f t="shared" si="508"/>
        <v>=3329*10000</v>
      </c>
      <c r="BF1080" s="1">
        <f>3329*10000</f>
        <v>33290000</v>
      </c>
      <c r="BG1080" s="8">
        <f t="shared" si="525"/>
        <v>22.118055555555557</v>
      </c>
      <c r="BH1080" s="7" t="s">
        <v>11332</v>
      </c>
      <c r="BI1080" s="6" t="str">
        <f t="shared" si="509"/>
        <v>=144.0*10000</v>
      </c>
      <c r="BJ1080" s="1">
        <f>144*10000</f>
        <v>1440000</v>
      </c>
      <c r="BK1080" s="7">
        <f>-1925*10000</f>
        <v>-19250000</v>
      </c>
      <c r="BL1080" s="1" t="str">
        <f t="shared" si="511"/>
        <v>=-19250000</v>
      </c>
      <c r="BM1080" s="16">
        <f t="shared" si="526"/>
        <v>-1.0748051948051949</v>
      </c>
      <c r="BN1080" s="1">
        <f>-19250000</f>
        <v>-19250000</v>
      </c>
    </row>
    <row r="1081" spans="1:66">
      <c r="A1081" s="19"/>
      <c r="B1081">
        <v>600855</v>
      </c>
      <c r="C1081" t="s">
        <v>68</v>
      </c>
      <c r="D1081" s="6" t="s">
        <v>10411</v>
      </c>
      <c r="E1081" s="7" t="str">
        <f t="shared" si="510"/>
        <v>=1.044*100000000</v>
      </c>
      <c r="F1081" s="1">
        <f>1.044*100000000</f>
        <v>104400000</v>
      </c>
      <c r="G1081" s="8">
        <f t="shared" si="512"/>
        <v>0.29384062461271532</v>
      </c>
      <c r="H1081" s="7" t="s">
        <v>11333</v>
      </c>
      <c r="I1081" s="6" t="str">
        <f t="shared" si="496"/>
        <v>=8069*10000</v>
      </c>
      <c r="J1081" s="1">
        <f>8069*10000</f>
        <v>80690000</v>
      </c>
      <c r="K1081" s="10">
        <f t="shared" si="513"/>
        <v>0.10807470475144192</v>
      </c>
      <c r="L1081" s="7" t="s">
        <v>11334</v>
      </c>
      <c r="M1081" s="6" t="str">
        <f t="shared" si="497"/>
        <v>=7282*10000</v>
      </c>
      <c r="N1081" s="1">
        <f>7282*10000</f>
        <v>72820000</v>
      </c>
      <c r="O1081" s="8">
        <f t="shared" si="514"/>
        <v>-2.5833876929767339</v>
      </c>
      <c r="P1081" s="7">
        <f>-4599*10000</f>
        <v>-45990000</v>
      </c>
      <c r="Q1081" s="6" t="str">
        <f t="shared" si="498"/>
        <v>=-45990000</v>
      </c>
      <c r="R1081" s="11">
        <f>-45990000</f>
        <v>-45990000</v>
      </c>
      <c r="S1081" s="8">
        <f t="shared" si="515"/>
        <v>-1.4051982378854626</v>
      </c>
      <c r="T1081" s="6" t="s">
        <v>7002</v>
      </c>
      <c r="U1081" s="6" t="str">
        <f t="shared" si="499"/>
        <v>=1.135*100000000</v>
      </c>
      <c r="V1081" s="1">
        <f>1.135*100000000</f>
        <v>113500000</v>
      </c>
      <c r="W1081" s="8">
        <f t="shared" si="516"/>
        <v>0.5794600612301698</v>
      </c>
      <c r="X1081" s="7" t="s">
        <v>11335</v>
      </c>
      <c r="Y1081" s="6" t="str">
        <f t="shared" si="500"/>
        <v>=7186*10000</v>
      </c>
      <c r="Z1081" s="1">
        <f>7186*10000</f>
        <v>71860000</v>
      </c>
      <c r="AA1081" s="8">
        <f t="shared" si="517"/>
        <v>-0.19484593837535014</v>
      </c>
      <c r="AB1081" s="7" t="s">
        <v>11336</v>
      </c>
      <c r="AC1081" s="6" t="str">
        <f t="shared" si="501"/>
        <v>=8925*10000</v>
      </c>
      <c r="AD1081" s="1">
        <f>8925*10000</f>
        <v>89250000</v>
      </c>
      <c r="AE1081" s="8">
        <f t="shared" si="518"/>
        <v>-2.9935224480679028</v>
      </c>
      <c r="AF1081" s="7">
        <f>-4477*10000</f>
        <v>-44770000</v>
      </c>
      <c r="AG1081" s="6" t="str">
        <f t="shared" si="502"/>
        <v>=-44770000</v>
      </c>
      <c r="AH1081" s="1">
        <f>-44770000</f>
        <v>-44770000</v>
      </c>
      <c r="AI1081" s="8">
        <f t="shared" si="519"/>
        <v>-1.4329787234042553</v>
      </c>
      <c r="AJ1081" s="6" t="s">
        <v>2179</v>
      </c>
      <c r="AK1081" s="6" t="str">
        <f t="shared" si="503"/>
        <v>=1.034*100000000</v>
      </c>
      <c r="AL1081" s="1">
        <f>1.034*100000000</f>
        <v>103400000</v>
      </c>
      <c r="AM1081" s="8">
        <f t="shared" si="520"/>
        <v>0.84313725490196079</v>
      </c>
      <c r="AN1081" s="7" t="s">
        <v>11337</v>
      </c>
      <c r="AO1081" s="6" t="str">
        <f t="shared" si="504"/>
        <v>=5610*10000</v>
      </c>
      <c r="AP1081" s="1">
        <f>5610*10000</f>
        <v>56100000</v>
      </c>
      <c r="AQ1081" s="8">
        <f t="shared" si="521"/>
        <v>-14.848432485805974</v>
      </c>
      <c r="AR1081" s="7">
        <f>-405.1*10000</f>
        <v>-4051000</v>
      </c>
      <c r="AS1081" s="6" t="str">
        <f t="shared" si="505"/>
        <v>=-4051000</v>
      </c>
      <c r="AT1081" s="1">
        <f>-4051000</f>
        <v>-4051000</v>
      </c>
      <c r="AU1081" s="8">
        <f t="shared" si="522"/>
        <v>-0.43167789001122336</v>
      </c>
      <c r="AV1081" s="7">
        <f>-712.8*10000</f>
        <v>-7128000</v>
      </c>
      <c r="AW1081" s="6" t="str">
        <f t="shared" si="506"/>
        <v>=-7128000</v>
      </c>
      <c r="AX1081" s="1">
        <f>-7128000</f>
        <v>-7128000</v>
      </c>
      <c r="AY1081" s="10">
        <f t="shared" si="523"/>
        <v>-1.0438376383763837</v>
      </c>
      <c r="AZ1081" s="6" t="s">
        <v>5818</v>
      </c>
      <c r="BA1081" s="6" t="str">
        <f t="shared" si="507"/>
        <v>=1.626*100000000</v>
      </c>
      <c r="BB1081" s="1">
        <f>1.626*100000000</f>
        <v>162600000</v>
      </c>
      <c r="BC1081" s="8">
        <f t="shared" si="524"/>
        <v>5.3490823896915272</v>
      </c>
      <c r="BD1081" s="7" t="s">
        <v>11338</v>
      </c>
      <c r="BE1081" s="6" t="str">
        <f t="shared" si="508"/>
        <v>=2561*10000</v>
      </c>
      <c r="BF1081" s="1">
        <f>2561*10000</f>
        <v>25610000</v>
      </c>
      <c r="BG1081" s="8">
        <f t="shared" si="525"/>
        <v>-9.0839646464646471</v>
      </c>
      <c r="BH1081" s="7">
        <f>-316.8*10000</f>
        <v>-3168000</v>
      </c>
      <c r="BI1081" s="6" t="str">
        <f t="shared" si="509"/>
        <v>=-3168000</v>
      </c>
      <c r="BJ1081" s="1">
        <f>-3168000</f>
        <v>-3168000</v>
      </c>
      <c r="BK1081" s="7">
        <f>-2155*10000</f>
        <v>-21550000</v>
      </c>
      <c r="BL1081" s="1" t="str">
        <f t="shared" si="511"/>
        <v>=-21550000</v>
      </c>
      <c r="BM1081" s="16">
        <f t="shared" si="526"/>
        <v>-0.85299303944315541</v>
      </c>
      <c r="BN1081" s="1">
        <f>-21550000</f>
        <v>-21550000</v>
      </c>
    </row>
    <row r="1082" spans="1:66">
      <c r="A1082" s="17">
        <v>272</v>
      </c>
      <c r="B1082">
        <v>600857</v>
      </c>
      <c r="C1082" t="s">
        <v>31</v>
      </c>
      <c r="D1082" s="6" t="s">
        <v>1040</v>
      </c>
      <c r="E1082" s="7" t="str">
        <f t="shared" si="510"/>
        <v>=8.340*100000000</v>
      </c>
      <c r="F1082" s="1">
        <f>8.34*100000000</f>
        <v>834000000</v>
      </c>
      <c r="G1082" s="8">
        <f t="shared" si="512"/>
        <v>0.29202168861347794</v>
      </c>
      <c r="H1082" s="6" t="s">
        <v>10107</v>
      </c>
      <c r="I1082" s="6" t="str">
        <f t="shared" si="496"/>
        <v>=6.455*100000000</v>
      </c>
      <c r="J1082" s="1">
        <f>6.455*100000000</f>
        <v>645500000</v>
      </c>
      <c r="K1082" s="10">
        <f t="shared" si="513"/>
        <v>0.4315812818806829</v>
      </c>
      <c r="L1082" s="6" t="s">
        <v>11339</v>
      </c>
      <c r="M1082" s="6" t="str">
        <f t="shared" si="497"/>
        <v>=4.509*100000000</v>
      </c>
      <c r="N1082" s="1">
        <f>4.509*100000000</f>
        <v>450900000.00000006</v>
      </c>
      <c r="O1082" s="8">
        <f t="shared" si="514"/>
        <v>1.0031097290093294</v>
      </c>
      <c r="P1082" s="6" t="s">
        <v>11340</v>
      </c>
      <c r="Q1082" s="6" t="str">
        <f t="shared" si="498"/>
        <v>=2.251*100000000</v>
      </c>
      <c r="R1082" s="11">
        <f>2.251*100000000</f>
        <v>225100000</v>
      </c>
      <c r="S1082" s="8">
        <f t="shared" si="515"/>
        <v>-0.69444821501289533</v>
      </c>
      <c r="T1082" s="6" t="s">
        <v>11341</v>
      </c>
      <c r="U1082" s="6" t="str">
        <f t="shared" si="499"/>
        <v>=7.367*100000000</v>
      </c>
      <c r="V1082" s="1">
        <f>7.367*100000000</f>
        <v>736700000</v>
      </c>
      <c r="W1082" s="8">
        <f t="shared" si="516"/>
        <v>0.33363504706734248</v>
      </c>
      <c r="X1082" s="6" t="s">
        <v>8311</v>
      </c>
      <c r="Y1082" s="6" t="str">
        <f t="shared" si="500"/>
        <v>=5.524*100000000</v>
      </c>
      <c r="Z1082" s="1">
        <f>5.524*100000000</f>
        <v>552400000</v>
      </c>
      <c r="AA1082" s="8">
        <f t="shared" si="517"/>
        <v>0.57334092851039586</v>
      </c>
      <c r="AB1082" s="6" t="s">
        <v>3610</v>
      </c>
      <c r="AC1082" s="6" t="str">
        <f t="shared" si="501"/>
        <v>=3.511*100000000</v>
      </c>
      <c r="AD1082" s="1">
        <f>3.511*100000000</f>
        <v>351100000</v>
      </c>
      <c r="AE1082" s="8">
        <f t="shared" si="518"/>
        <v>2.5565235008103726</v>
      </c>
      <c r="AF1082" s="7" t="s">
        <v>2130</v>
      </c>
      <c r="AG1082" s="6" t="str">
        <f t="shared" si="502"/>
        <v>=9872*10000</v>
      </c>
      <c r="AH1082" s="1">
        <f>9872*10000</f>
        <v>98720000</v>
      </c>
      <c r="AI1082" s="8">
        <f t="shared" si="519"/>
        <v>-0.90225742574257428</v>
      </c>
      <c r="AJ1082" s="6" t="s">
        <v>3659</v>
      </c>
      <c r="AK1082" s="6" t="str">
        <f t="shared" si="503"/>
        <v>=10.10*100000000</v>
      </c>
      <c r="AL1082" s="1">
        <f>10.1*100000000</f>
        <v>1010000000</v>
      </c>
      <c r="AM1082" s="8">
        <f t="shared" si="520"/>
        <v>0.42534575218741177</v>
      </c>
      <c r="AN1082" s="6" t="s">
        <v>8568</v>
      </c>
      <c r="AO1082" s="6" t="str">
        <f t="shared" si="504"/>
        <v>=7.086*100000000</v>
      </c>
      <c r="AP1082" s="1">
        <f>7.086*100000000</f>
        <v>708600000</v>
      </c>
      <c r="AQ1082" s="8">
        <f t="shared" si="521"/>
        <v>0.46951472418083784</v>
      </c>
      <c r="AR1082" s="6" t="s">
        <v>4539</v>
      </c>
      <c r="AS1082" s="6" t="str">
        <f t="shared" si="505"/>
        <v>=4.822*100000000</v>
      </c>
      <c r="AT1082" s="1">
        <f>4.822*100000000</f>
        <v>482200000</v>
      </c>
      <c r="AU1082" s="8">
        <f t="shared" si="522"/>
        <v>0.81551204819277112</v>
      </c>
      <c r="AV1082" s="6" t="s">
        <v>11342</v>
      </c>
      <c r="AW1082" s="6" t="str">
        <f t="shared" si="506"/>
        <v>=2.656*100000000</v>
      </c>
      <c r="AX1082" s="1">
        <f>2.656*100000000</f>
        <v>265600000</v>
      </c>
      <c r="AY1082" s="10">
        <f t="shared" si="523"/>
        <v>-0.73397435897435892</v>
      </c>
      <c r="AZ1082" s="6" t="s">
        <v>11343</v>
      </c>
      <c r="BA1082" s="6" t="str">
        <f t="shared" si="507"/>
        <v>=9.984*100000000</v>
      </c>
      <c r="BB1082" s="1">
        <f>9.984*100000000</f>
        <v>998400000</v>
      </c>
      <c r="BC1082" s="8">
        <f t="shared" si="524"/>
        <v>0.37539606006336962</v>
      </c>
      <c r="BD1082" s="6" t="s">
        <v>10536</v>
      </c>
      <c r="BE1082" s="6" t="str">
        <f t="shared" si="508"/>
        <v>=7.259*100000000</v>
      </c>
      <c r="BF1082" s="1">
        <f>7.259*100000000</f>
        <v>725900000</v>
      </c>
      <c r="BG1082" s="8">
        <f t="shared" si="525"/>
        <v>0.49948357777318736</v>
      </c>
      <c r="BH1082" s="6" t="s">
        <v>5918</v>
      </c>
      <c r="BI1082" s="6" t="str">
        <f t="shared" si="509"/>
        <v>=4.841*100000000</v>
      </c>
      <c r="BJ1082" s="1">
        <f>4.841*100000000</f>
        <v>484100000</v>
      </c>
      <c r="BK1082" s="6" t="s">
        <v>5303</v>
      </c>
      <c r="BL1082" s="1" t="str">
        <f t="shared" si="511"/>
        <v>=2.709*100000000</v>
      </c>
      <c r="BM1082" s="16">
        <f t="shared" si="526"/>
        <v>0.78700627537836843</v>
      </c>
      <c r="BN1082" s="1">
        <f>2.709*100000000</f>
        <v>270900000</v>
      </c>
    </row>
    <row r="1083" spans="1:66">
      <c r="A1083" s="18"/>
      <c r="B1083">
        <v>600857</v>
      </c>
      <c r="C1083" t="s">
        <v>48</v>
      </c>
      <c r="D1083" s="7" t="s">
        <v>11344</v>
      </c>
      <c r="E1083" s="7" t="str">
        <f t="shared" si="510"/>
        <v>=4629*10000</v>
      </c>
      <c r="F1083" s="1">
        <f>4629*10000</f>
        <v>46290000</v>
      </c>
      <c r="G1083" s="8">
        <f t="shared" si="512"/>
        <v>0.26130790190735692</v>
      </c>
      <c r="H1083" s="7" t="s">
        <v>11345</v>
      </c>
      <c r="I1083" s="6" t="str">
        <f t="shared" si="496"/>
        <v>=3670*10000</v>
      </c>
      <c r="J1083" s="1">
        <f>3670*10000</f>
        <v>36700000</v>
      </c>
      <c r="K1083" s="10">
        <f t="shared" si="513"/>
        <v>0.13201727328809376</v>
      </c>
      <c r="L1083" s="7" t="s">
        <v>11346</v>
      </c>
      <c r="M1083" s="6" t="str">
        <f t="shared" si="497"/>
        <v>=3242*10000</v>
      </c>
      <c r="N1083" s="1">
        <f>3242*10000</f>
        <v>32420000</v>
      </c>
      <c r="O1083" s="8">
        <f t="shared" si="514"/>
        <v>1.9963031423290203</v>
      </c>
      <c r="P1083" s="7" t="s">
        <v>11347</v>
      </c>
      <c r="Q1083" s="6" t="str">
        <f t="shared" si="498"/>
        <v>=1082*10000</v>
      </c>
      <c r="R1083" s="11">
        <f>1082*10000</f>
        <v>10820000</v>
      </c>
      <c r="S1083" s="8">
        <f t="shared" si="515"/>
        <v>-0.73316892725030824</v>
      </c>
      <c r="T1083" s="7" t="s">
        <v>11348</v>
      </c>
      <c r="U1083" s="6" t="str">
        <f t="shared" si="499"/>
        <v>=4055*10000</v>
      </c>
      <c r="V1083" s="1">
        <f>4055*10000</f>
        <v>40550000</v>
      </c>
      <c r="W1083" s="8">
        <f t="shared" si="516"/>
        <v>0.38679890560875513</v>
      </c>
      <c r="X1083" s="7" t="s">
        <v>6143</v>
      </c>
      <c r="Y1083" s="6" t="str">
        <f t="shared" si="500"/>
        <v>=2924*10000</v>
      </c>
      <c r="Z1083" s="1">
        <f>2924*10000</f>
        <v>29240000</v>
      </c>
      <c r="AA1083" s="8">
        <f t="shared" si="517"/>
        <v>0.10715638015903067</v>
      </c>
      <c r="AB1083" s="7" t="s">
        <v>6654</v>
      </c>
      <c r="AC1083" s="6" t="str">
        <f t="shared" si="501"/>
        <v>=2641*10000</v>
      </c>
      <c r="AD1083" s="1">
        <f>2641*10000</f>
        <v>26410000</v>
      </c>
      <c r="AE1083" s="8">
        <f t="shared" si="518"/>
        <v>9.5093513728611221</v>
      </c>
      <c r="AF1083" s="7" t="s">
        <v>11349</v>
      </c>
      <c r="AG1083" s="6" t="str">
        <f t="shared" si="502"/>
        <v>=251.3*10000</v>
      </c>
      <c r="AH1083" s="1">
        <f>251.3*10000</f>
        <v>2513000</v>
      </c>
      <c r="AI1083" s="8">
        <f t="shared" si="519"/>
        <v>-0.95248629230478354</v>
      </c>
      <c r="AJ1083" s="7" t="s">
        <v>10991</v>
      </c>
      <c r="AK1083" s="6" t="str">
        <f t="shared" si="503"/>
        <v>=5289*10000</v>
      </c>
      <c r="AL1083" s="1">
        <f>5289*10000</f>
        <v>52890000</v>
      </c>
      <c r="AM1083" s="8">
        <f t="shared" si="520"/>
        <v>5.3166069295101551E-2</v>
      </c>
      <c r="AN1083" s="7" t="s">
        <v>11350</v>
      </c>
      <c r="AO1083" s="6" t="str">
        <f t="shared" si="504"/>
        <v>=5022*10000</v>
      </c>
      <c r="AP1083" s="1">
        <f>5022*10000</f>
        <v>50220000</v>
      </c>
      <c r="AQ1083" s="8">
        <f t="shared" si="521"/>
        <v>0.26244343891402716</v>
      </c>
      <c r="AR1083" s="7" t="s">
        <v>11351</v>
      </c>
      <c r="AS1083" s="6" t="str">
        <f t="shared" si="505"/>
        <v>=3978*10000</v>
      </c>
      <c r="AT1083" s="1">
        <f>3978*10000</f>
        <v>39780000</v>
      </c>
      <c r="AU1083" s="8">
        <f t="shared" si="522"/>
        <v>1.4815970056144729</v>
      </c>
      <c r="AV1083" s="7" t="s">
        <v>4858</v>
      </c>
      <c r="AW1083" s="6" t="str">
        <f t="shared" si="506"/>
        <v>=1603*10000</v>
      </c>
      <c r="AX1083" s="1">
        <f>1603*10000</f>
        <v>16030000</v>
      </c>
      <c r="AY1083" s="10">
        <f t="shared" si="523"/>
        <v>-0.66295206055508826</v>
      </c>
      <c r="AZ1083" s="7" t="s">
        <v>11352</v>
      </c>
      <c r="BA1083" s="6" t="str">
        <f t="shared" si="507"/>
        <v>=4756*10000</v>
      </c>
      <c r="BB1083" s="1">
        <f>4756*10000</f>
        <v>47560000</v>
      </c>
      <c r="BC1083" s="8">
        <f t="shared" si="524"/>
        <v>0.21264660887302397</v>
      </c>
      <c r="BD1083" s="7" t="s">
        <v>11353</v>
      </c>
      <c r="BE1083" s="6" t="str">
        <f t="shared" si="508"/>
        <v>=3922*10000</v>
      </c>
      <c r="BF1083" s="1">
        <f>3922*10000</f>
        <v>39220000</v>
      </c>
      <c r="BG1083" s="8">
        <f t="shared" si="525"/>
        <v>0.23917851500789888</v>
      </c>
      <c r="BH1083" s="7" t="s">
        <v>4200</v>
      </c>
      <c r="BI1083" s="6" t="str">
        <f t="shared" si="509"/>
        <v>=3165*10000</v>
      </c>
      <c r="BJ1083" s="1">
        <f>3165*10000</f>
        <v>31650000</v>
      </c>
      <c r="BK1083" s="7" t="s">
        <v>2597</v>
      </c>
      <c r="BL1083" s="1" t="str">
        <f t="shared" si="511"/>
        <v>=1491*10000</v>
      </c>
      <c r="BM1083" s="16">
        <f t="shared" si="526"/>
        <v>1.1227364185110664</v>
      </c>
      <c r="BN1083" s="1">
        <f>1491*10000</f>
        <v>14910000</v>
      </c>
    </row>
    <row r="1084" spans="1:66">
      <c r="A1084" s="18"/>
      <c r="B1084">
        <v>600857</v>
      </c>
      <c r="C1084" t="s">
        <v>58</v>
      </c>
      <c r="D1084" s="7" t="s">
        <v>11354</v>
      </c>
      <c r="E1084" s="7" t="str">
        <f t="shared" si="510"/>
        <v>=4452*10000</v>
      </c>
      <c r="F1084" s="1">
        <f>4452*10000</f>
        <v>44520000</v>
      </c>
      <c r="G1084" s="8">
        <f t="shared" si="512"/>
        <v>0.20912547528517111</v>
      </c>
      <c r="H1084" s="7" t="s">
        <v>11355</v>
      </c>
      <c r="I1084" s="6" t="str">
        <f t="shared" si="496"/>
        <v>=3682*10000</v>
      </c>
      <c r="J1084" s="1">
        <f>3682*10000</f>
        <v>36820000</v>
      </c>
      <c r="K1084" s="10">
        <f t="shared" si="513"/>
        <v>0.1336206896551724</v>
      </c>
      <c r="L1084" s="7" t="s">
        <v>11356</v>
      </c>
      <c r="M1084" s="6" t="str">
        <f t="shared" si="497"/>
        <v>=3248*10000</v>
      </c>
      <c r="N1084" s="1">
        <f>3248*10000</f>
        <v>32480000</v>
      </c>
      <c r="O1084" s="8">
        <f t="shared" si="514"/>
        <v>2.0018484288354896</v>
      </c>
      <c r="P1084" s="7" t="s">
        <v>11347</v>
      </c>
      <c r="Q1084" s="6" t="str">
        <f t="shared" si="498"/>
        <v>=1082*10000</v>
      </c>
      <c r="R1084" s="11">
        <f>1082*10000</f>
        <v>10820000</v>
      </c>
      <c r="S1084" s="8">
        <f t="shared" si="515"/>
        <v>-0.61107117181883541</v>
      </c>
      <c r="T1084" s="7" t="s">
        <v>3293</v>
      </c>
      <c r="U1084" s="6" t="str">
        <f t="shared" si="499"/>
        <v>=2782*10000</v>
      </c>
      <c r="V1084" s="1">
        <f>2782*10000</f>
        <v>27820000</v>
      </c>
      <c r="W1084" s="8">
        <f t="shared" si="516"/>
        <v>0.42666666666666669</v>
      </c>
      <c r="X1084" s="7" t="s">
        <v>11357</v>
      </c>
      <c r="Y1084" s="6" t="str">
        <f t="shared" si="500"/>
        <v>=1950*10000</v>
      </c>
      <c r="Z1084" s="1">
        <f>1950*10000</f>
        <v>19500000</v>
      </c>
      <c r="AA1084" s="8">
        <f t="shared" si="517"/>
        <v>0.16976604679064186</v>
      </c>
      <c r="AB1084" s="7" t="s">
        <v>11358</v>
      </c>
      <c r="AC1084" s="6" t="str">
        <f t="shared" si="501"/>
        <v>=1667*10000</v>
      </c>
      <c r="AD1084" s="1">
        <f>1667*10000</f>
        <v>16670000</v>
      </c>
      <c r="AE1084" s="8">
        <f t="shared" si="518"/>
        <v>-3.2295038116891801</v>
      </c>
      <c r="AF1084" s="7">
        <f>-747.7*10000</f>
        <v>-7477000</v>
      </c>
      <c r="AG1084" s="6" t="str">
        <f t="shared" si="502"/>
        <v>=-7477000</v>
      </c>
      <c r="AH1084" s="1">
        <f>-7477000</f>
        <v>-7477000</v>
      </c>
      <c r="AI1084" s="8">
        <f t="shared" si="519"/>
        <v>-1.1422835394862036</v>
      </c>
      <c r="AJ1084" s="7" t="s">
        <v>8534</v>
      </c>
      <c r="AK1084" s="6" t="str">
        <f t="shared" si="503"/>
        <v>=5255*10000</v>
      </c>
      <c r="AL1084" s="1">
        <f>5255*10000</f>
        <v>52550000</v>
      </c>
      <c r="AM1084" s="8">
        <f t="shared" si="520"/>
        <v>4.141894569956401E-2</v>
      </c>
      <c r="AN1084" s="7" t="s">
        <v>7321</v>
      </c>
      <c r="AO1084" s="6" t="str">
        <f t="shared" si="504"/>
        <v>=5046*10000</v>
      </c>
      <c r="AP1084" s="1">
        <f>5046*10000</f>
        <v>50460000</v>
      </c>
      <c r="AQ1084" s="8">
        <f t="shared" si="521"/>
        <v>0.26213106553276638</v>
      </c>
      <c r="AR1084" s="7" t="s">
        <v>10302</v>
      </c>
      <c r="AS1084" s="6" t="str">
        <f t="shared" si="505"/>
        <v>=3998*10000</v>
      </c>
      <c r="AT1084" s="1">
        <f>3998*10000</f>
        <v>39980000</v>
      </c>
      <c r="AU1084" s="8">
        <f t="shared" si="522"/>
        <v>1.4940736119775422</v>
      </c>
      <c r="AV1084" s="7" t="s">
        <v>4858</v>
      </c>
      <c r="AW1084" s="6" t="str">
        <f t="shared" si="506"/>
        <v>=1603*10000</v>
      </c>
      <c r="AX1084" s="1">
        <f>1603*10000</f>
        <v>16030000</v>
      </c>
      <c r="AY1084" s="10">
        <f t="shared" si="523"/>
        <v>-0.66569343065693432</v>
      </c>
      <c r="AZ1084" s="7" t="s">
        <v>11359</v>
      </c>
      <c r="BA1084" s="6" t="str">
        <f t="shared" si="507"/>
        <v>=4795*10000</v>
      </c>
      <c r="BB1084" s="1">
        <f>4795*10000</f>
        <v>47950000</v>
      </c>
      <c r="BC1084" s="8">
        <f t="shared" si="524"/>
        <v>0.21700507614213199</v>
      </c>
      <c r="BD1084" s="7" t="s">
        <v>7705</v>
      </c>
      <c r="BE1084" s="6" t="str">
        <f t="shared" si="508"/>
        <v>=3940*10000</v>
      </c>
      <c r="BF1084" s="1">
        <f>3940*10000</f>
        <v>39400000</v>
      </c>
      <c r="BG1084" s="8">
        <f t="shared" si="525"/>
        <v>0.23782595036129436</v>
      </c>
      <c r="BH1084" s="7" t="s">
        <v>11360</v>
      </c>
      <c r="BI1084" s="6" t="str">
        <f t="shared" si="509"/>
        <v>=3183*10000</v>
      </c>
      <c r="BJ1084" s="1">
        <f>3183*10000</f>
        <v>31830000</v>
      </c>
      <c r="BK1084" s="7" t="s">
        <v>2597</v>
      </c>
      <c r="BL1084" s="1" t="str">
        <f t="shared" si="511"/>
        <v>=1491*10000</v>
      </c>
      <c r="BM1084" s="16">
        <f t="shared" si="526"/>
        <v>1.1348088531187124</v>
      </c>
      <c r="BN1084" s="1">
        <f>1491*10000</f>
        <v>14910000</v>
      </c>
    </row>
    <row r="1085" spans="1:66">
      <c r="A1085" s="19"/>
      <c r="B1085">
        <v>600857</v>
      </c>
      <c r="C1085" t="s">
        <v>68</v>
      </c>
      <c r="D1085" s="7" t="s">
        <v>8479</v>
      </c>
      <c r="E1085" s="7" t="str">
        <f t="shared" si="510"/>
        <v>=3586*10000</v>
      </c>
      <c r="F1085" s="1">
        <f>3586*10000</f>
        <v>35860000</v>
      </c>
      <c r="G1085" s="8">
        <f t="shared" si="512"/>
        <v>0.16126943005181346</v>
      </c>
      <c r="H1085" s="7" t="s">
        <v>11361</v>
      </c>
      <c r="I1085" s="6" t="str">
        <f t="shared" si="496"/>
        <v>=3088*10000</v>
      </c>
      <c r="J1085" s="1">
        <f>3088*10000</f>
        <v>30880000</v>
      </c>
      <c r="K1085" s="10">
        <f t="shared" si="513"/>
        <v>0.1111910759265923</v>
      </c>
      <c r="L1085" s="7" t="s">
        <v>11362</v>
      </c>
      <c r="M1085" s="6" t="str">
        <f t="shared" si="497"/>
        <v>=2779*10000</v>
      </c>
      <c r="N1085" s="1">
        <f>2779*10000</f>
        <v>27790000</v>
      </c>
      <c r="O1085" s="8">
        <f t="shared" si="514"/>
        <v>2.5932247220067235</v>
      </c>
      <c r="P1085" s="7" t="s">
        <v>11363</v>
      </c>
      <c r="Q1085" s="6" t="str">
        <f t="shared" si="498"/>
        <v>=773.4*10000</v>
      </c>
      <c r="R1085" s="11">
        <f>773.4*10000</f>
        <v>7734000</v>
      </c>
      <c r="S1085" s="8">
        <f t="shared" si="515"/>
        <v>-0.65626666666666666</v>
      </c>
      <c r="T1085" s="7" t="s">
        <v>11364</v>
      </c>
      <c r="U1085" s="6" t="str">
        <f t="shared" si="499"/>
        <v>=2250*10000</v>
      </c>
      <c r="V1085" s="1">
        <f>2250*10000</f>
        <v>22500000</v>
      </c>
      <c r="W1085" s="8">
        <f t="shared" si="516"/>
        <v>0.29533678756476683</v>
      </c>
      <c r="X1085" s="7" t="s">
        <v>8429</v>
      </c>
      <c r="Y1085" s="6" t="str">
        <f t="shared" si="500"/>
        <v>=1737*10000</v>
      </c>
      <c r="Z1085" s="1">
        <f>1737*10000</f>
        <v>17370000</v>
      </c>
      <c r="AA1085" s="8">
        <f t="shared" si="517"/>
        <v>0.12281835811247575</v>
      </c>
      <c r="AB1085" s="7" t="s">
        <v>7686</v>
      </c>
      <c r="AC1085" s="6" t="str">
        <f t="shared" si="501"/>
        <v>=1547*10000</v>
      </c>
      <c r="AD1085" s="1">
        <f>1547*10000</f>
        <v>15470000</v>
      </c>
      <c r="AE1085" s="8">
        <f t="shared" si="518"/>
        <v>-3.0723375753516411</v>
      </c>
      <c r="AF1085" s="7">
        <f>-746.5*10000</f>
        <v>-7465000</v>
      </c>
      <c r="AG1085" s="6" t="str">
        <f t="shared" si="502"/>
        <v>=-7465000</v>
      </c>
      <c r="AH1085" s="1">
        <f>-7465000</f>
        <v>-7465000</v>
      </c>
      <c r="AI1085" s="8">
        <f t="shared" si="519"/>
        <v>-1.1810574824157167</v>
      </c>
      <c r="AJ1085" s="7" t="s">
        <v>11365</v>
      </c>
      <c r="AK1085" s="6" t="str">
        <f t="shared" si="503"/>
        <v>=4123*10000</v>
      </c>
      <c r="AL1085" s="1">
        <f>4123*10000</f>
        <v>41230000</v>
      </c>
      <c r="AM1085" s="8">
        <f t="shared" si="520"/>
        <v>-1.2218495448011501E-2</v>
      </c>
      <c r="AN1085" s="7" t="s">
        <v>11366</v>
      </c>
      <c r="AO1085" s="6" t="str">
        <f t="shared" si="504"/>
        <v>=4174*10000</v>
      </c>
      <c r="AP1085" s="1">
        <f>4174*10000</f>
        <v>41740000</v>
      </c>
      <c r="AQ1085" s="8">
        <f t="shared" si="521"/>
        <v>0.24004753416518124</v>
      </c>
      <c r="AR1085" s="7" t="s">
        <v>11367</v>
      </c>
      <c r="AS1085" s="6" t="str">
        <f t="shared" si="505"/>
        <v>=3366*10000</v>
      </c>
      <c r="AT1085" s="1">
        <f>3366*10000</f>
        <v>33660000</v>
      </c>
      <c r="AU1085" s="8">
        <f t="shared" si="522"/>
        <v>1.7933609958506225</v>
      </c>
      <c r="AV1085" s="7" t="s">
        <v>11368</v>
      </c>
      <c r="AW1085" s="6" t="str">
        <f t="shared" si="506"/>
        <v>=1205*10000</v>
      </c>
      <c r="AX1085" s="1">
        <f>1205*10000</f>
        <v>12050000</v>
      </c>
      <c r="AY1085" s="10">
        <f t="shared" si="523"/>
        <v>-0.67103467103467107</v>
      </c>
      <c r="AZ1085" s="7" t="s">
        <v>11369</v>
      </c>
      <c r="BA1085" s="6" t="str">
        <f t="shared" si="507"/>
        <v>=3663*10000</v>
      </c>
      <c r="BB1085" s="1">
        <f>3663*10000</f>
        <v>36630000</v>
      </c>
      <c r="BC1085" s="8">
        <f t="shared" si="524"/>
        <v>0.18009020618556701</v>
      </c>
      <c r="BD1085" s="7" t="s">
        <v>11370</v>
      </c>
      <c r="BE1085" s="6" t="str">
        <f t="shared" si="508"/>
        <v>=3104*10000</v>
      </c>
      <c r="BF1085" s="1">
        <f>3104*10000</f>
        <v>31040000</v>
      </c>
      <c r="BG1085" s="8">
        <f t="shared" si="525"/>
        <v>0.21773244409572381</v>
      </c>
      <c r="BH1085" s="7" t="s">
        <v>11371</v>
      </c>
      <c r="BI1085" s="6" t="str">
        <f t="shared" si="509"/>
        <v>=2549*10000</v>
      </c>
      <c r="BJ1085" s="1">
        <f>2549*10000</f>
        <v>25490000</v>
      </c>
      <c r="BK1085" s="7" t="s">
        <v>11372</v>
      </c>
      <c r="BL1085" s="1" t="str">
        <f t="shared" si="511"/>
        <v>=1122*10000</v>
      </c>
      <c r="BM1085" s="16">
        <f t="shared" si="526"/>
        <v>1.2718360071301247</v>
      </c>
      <c r="BN1085" s="1">
        <f>1122*10000</f>
        <v>11220000</v>
      </c>
    </row>
    <row r="1086" spans="1:66">
      <c r="A1086" s="17">
        <v>273</v>
      </c>
      <c r="B1086">
        <v>600858</v>
      </c>
      <c r="C1086" t="s">
        <v>31</v>
      </c>
      <c r="D1086" s="6" t="s">
        <v>11373</v>
      </c>
      <c r="E1086" s="7" t="str">
        <f t="shared" si="510"/>
        <v>=56.71*100000000</v>
      </c>
      <c r="F1086" s="1">
        <f>56.71*100000000</f>
        <v>5671000000</v>
      </c>
      <c r="G1086" s="8">
        <f t="shared" si="512"/>
        <v>0.28013544018058689</v>
      </c>
      <c r="H1086" s="6" t="s">
        <v>11374</v>
      </c>
      <c r="I1086" s="6" t="str">
        <f t="shared" si="496"/>
        <v>=44.30*100000000</v>
      </c>
      <c r="J1086" s="1">
        <f>44.3*100000000</f>
        <v>4430000000</v>
      </c>
      <c r="K1086" s="10">
        <f t="shared" si="513"/>
        <v>0.4751914751914752</v>
      </c>
      <c r="L1086" s="6" t="s">
        <v>11375</v>
      </c>
      <c r="M1086" s="6" t="str">
        <f t="shared" si="497"/>
        <v>=30.03*100000000</v>
      </c>
      <c r="N1086" s="1">
        <f>30.03*100000000</f>
        <v>3003000000</v>
      </c>
      <c r="O1086" s="8">
        <f t="shared" si="514"/>
        <v>0.80360360360360383</v>
      </c>
      <c r="P1086" s="6" t="s">
        <v>2630</v>
      </c>
      <c r="Q1086" s="6" t="str">
        <f t="shared" si="498"/>
        <v>=16.65*100000000</v>
      </c>
      <c r="R1086" s="11">
        <f>16.65*100000000</f>
        <v>1664999999.9999998</v>
      </c>
      <c r="S1086" s="8">
        <f t="shared" si="515"/>
        <v>-0.69235033259423506</v>
      </c>
      <c r="T1086" s="6" t="s">
        <v>11376</v>
      </c>
      <c r="U1086" s="6" t="str">
        <f t="shared" si="499"/>
        <v>=54.12*100000000</v>
      </c>
      <c r="V1086" s="1">
        <f>54.12*100000000</f>
        <v>5412000000</v>
      </c>
      <c r="W1086" s="8">
        <f t="shared" si="516"/>
        <v>0.40062111801242234</v>
      </c>
      <c r="X1086" s="6" t="s">
        <v>11377</v>
      </c>
      <c r="Y1086" s="6" t="str">
        <f t="shared" si="500"/>
        <v>=38.64*100000000</v>
      </c>
      <c r="Z1086" s="1">
        <f>38.64*100000000</f>
        <v>3864000000</v>
      </c>
      <c r="AA1086" s="8">
        <f t="shared" si="517"/>
        <v>0.53211736716891356</v>
      </c>
      <c r="AB1086" s="6" t="s">
        <v>8563</v>
      </c>
      <c r="AC1086" s="6" t="str">
        <f t="shared" si="501"/>
        <v>=25.22*100000000</v>
      </c>
      <c r="AD1086" s="1">
        <f>25.22*100000000</f>
        <v>2522000000</v>
      </c>
      <c r="AE1086" s="8">
        <f t="shared" si="518"/>
        <v>0.9281345565749235</v>
      </c>
      <c r="AF1086" s="6" t="s">
        <v>3120</v>
      </c>
      <c r="AG1086" s="6" t="str">
        <f t="shared" si="502"/>
        <v>=13.08*100000000</v>
      </c>
      <c r="AH1086" s="1">
        <f>13.08*100000000</f>
        <v>1308000000</v>
      </c>
      <c r="AI1086" s="8">
        <f t="shared" si="519"/>
        <v>-0.89331158238172925</v>
      </c>
      <c r="AJ1086" s="6" t="s">
        <v>2736</v>
      </c>
      <c r="AK1086" s="6" t="str">
        <f t="shared" si="503"/>
        <v>=122.6*100000000</v>
      </c>
      <c r="AL1086" s="1">
        <f>122.6*100000000</f>
        <v>12260000000</v>
      </c>
      <c r="AM1086" s="8">
        <f t="shared" si="520"/>
        <v>0.33087277464177162</v>
      </c>
      <c r="AN1086" s="6" t="s">
        <v>11378</v>
      </c>
      <c r="AO1086" s="6" t="str">
        <f t="shared" si="504"/>
        <v>=92.12*100000000</v>
      </c>
      <c r="AP1086" s="1">
        <f>92.12*100000000</f>
        <v>9212000000</v>
      </c>
      <c r="AQ1086" s="8">
        <f t="shared" si="521"/>
        <v>0.43870060908948932</v>
      </c>
      <c r="AR1086" s="6" t="s">
        <v>11379</v>
      </c>
      <c r="AS1086" s="6" t="str">
        <f t="shared" si="505"/>
        <v>=64.03*100000000</v>
      </c>
      <c r="AT1086" s="1">
        <f>64.03*100000000</f>
        <v>6403000000</v>
      </c>
      <c r="AU1086" s="8">
        <f t="shared" si="522"/>
        <v>0.77221145862164386</v>
      </c>
      <c r="AV1086" s="6" t="s">
        <v>1116</v>
      </c>
      <c r="AW1086" s="6" t="str">
        <f t="shared" si="506"/>
        <v>=36.13*100000000</v>
      </c>
      <c r="AX1086" s="1">
        <f>36.13*100000000</f>
        <v>3613000000.0000005</v>
      </c>
      <c r="AY1086" s="10">
        <f t="shared" si="523"/>
        <v>-0.72711480362537761</v>
      </c>
      <c r="AZ1086" s="6" t="s">
        <v>3108</v>
      </c>
      <c r="BA1086" s="6" t="str">
        <f t="shared" si="507"/>
        <v>=132.4*100000000</v>
      </c>
      <c r="BB1086" s="1">
        <f>132.4*100000000</f>
        <v>13240000000</v>
      </c>
      <c r="BC1086" s="8">
        <f t="shared" si="524"/>
        <v>0.3725896744764669</v>
      </c>
      <c r="BD1086" s="6" t="s">
        <v>11380</v>
      </c>
      <c r="BE1086" s="6" t="str">
        <f t="shared" si="508"/>
        <v>=96.46*100000000</v>
      </c>
      <c r="BF1086" s="1">
        <f>96.46*100000000</f>
        <v>9646000000</v>
      </c>
      <c r="BG1086" s="8">
        <f t="shared" si="525"/>
        <v>0.42692307692307713</v>
      </c>
      <c r="BH1086" s="6" t="s">
        <v>1627</v>
      </c>
      <c r="BI1086" s="6" t="str">
        <f t="shared" si="509"/>
        <v>=67.60*100000000</v>
      </c>
      <c r="BJ1086" s="1">
        <f>67.6*100000000</f>
        <v>6759999999.999999</v>
      </c>
      <c r="BK1086" s="6" t="s">
        <v>11381</v>
      </c>
      <c r="BL1086" s="1" t="str">
        <f t="shared" si="511"/>
        <v>=38.16*100000000</v>
      </c>
      <c r="BM1086" s="16">
        <f t="shared" si="526"/>
        <v>0.77148846960167716</v>
      </c>
      <c r="BN1086" s="1">
        <f>38.16*100000000</f>
        <v>3815999999.9999995</v>
      </c>
    </row>
    <row r="1087" spans="1:66">
      <c r="A1087" s="18"/>
      <c r="B1087">
        <v>600858</v>
      </c>
      <c r="C1087" t="s">
        <v>48</v>
      </c>
      <c r="D1087" s="6" t="s">
        <v>4274</v>
      </c>
      <c r="E1087" s="7" t="str">
        <f t="shared" si="510"/>
        <v>=1.239*100000000</v>
      </c>
      <c r="F1087" s="1">
        <f>1.239*100000000</f>
        <v>123900000.00000001</v>
      </c>
      <c r="G1087" s="8">
        <f t="shared" si="512"/>
        <v>-1.196172248803816E-2</v>
      </c>
      <c r="H1087" s="6" t="s">
        <v>10388</v>
      </c>
      <c r="I1087" s="6" t="str">
        <f t="shared" ref="I1087:I1150" si="527">"="&amp;H1087</f>
        <v>=1.254*100000000</v>
      </c>
      <c r="J1087" s="1">
        <f>1.254*100000000</f>
        <v>125400000</v>
      </c>
      <c r="K1087" s="10">
        <f t="shared" si="513"/>
        <v>0.11466666666666667</v>
      </c>
      <c r="L1087" s="6" t="s">
        <v>4588</v>
      </c>
      <c r="M1087" s="6" t="str">
        <f t="shared" ref="M1087:M1150" si="528">"="&amp;L1087</f>
        <v>=1.125*100000000</v>
      </c>
      <c r="N1087" s="1">
        <f>1.125*100000000</f>
        <v>112500000</v>
      </c>
      <c r="O1087" s="8">
        <f t="shared" si="514"/>
        <v>1.5022241992882561</v>
      </c>
      <c r="P1087" s="7" t="s">
        <v>11382</v>
      </c>
      <c r="Q1087" s="6" t="str">
        <f t="shared" ref="Q1087:Q1150" si="529">"="&amp;P1087</f>
        <v>=4496*10000</v>
      </c>
      <c r="R1087" s="11">
        <f>4496*10000</f>
        <v>44960000</v>
      </c>
      <c r="S1087" s="8">
        <f t="shared" si="515"/>
        <v>-1.1579761068165846</v>
      </c>
      <c r="T1087" s="6">
        <f>-2.846*100000000</f>
        <v>-284600000</v>
      </c>
      <c r="U1087" s="6" t="str">
        <f t="shared" ref="U1087:U1150" si="530">"="&amp;T1087</f>
        <v>=-284600000</v>
      </c>
      <c r="V1087" s="1">
        <f>-284600000</f>
        <v>-284600000</v>
      </c>
      <c r="W1087" s="8">
        <f t="shared" si="516"/>
        <v>0.59887640449438206</v>
      </c>
      <c r="X1087" s="6">
        <f>-1.78*100000000</f>
        <v>-178000000</v>
      </c>
      <c r="Y1087" s="6" t="str">
        <f t="shared" ref="Y1087:Y1150" si="531">"="&amp;X1087</f>
        <v>=-178000000</v>
      </c>
      <c r="Z1087" s="1">
        <f>-178000000</f>
        <v>-178000000</v>
      </c>
      <c r="AA1087" s="8">
        <f t="shared" si="517"/>
        <v>-2.5725232621784347E-2</v>
      </c>
      <c r="AB1087" s="6">
        <f>-1.827*100000000</f>
        <v>-182700000</v>
      </c>
      <c r="AC1087" s="6" t="str">
        <f t="shared" ref="AC1087:AC1150" si="532">"="&amp;AB1087</f>
        <v>=-182700000</v>
      </c>
      <c r="AD1087" s="1">
        <f>-182700000</f>
        <v>-182700000</v>
      </c>
      <c r="AE1087" s="8">
        <f t="shared" si="518"/>
        <v>0.38199697428139184</v>
      </c>
      <c r="AF1087" s="6">
        <f>-1.322*100000000</f>
        <v>-132200000</v>
      </c>
      <c r="AG1087" s="6" t="str">
        <f t="shared" ref="AG1087:AG1150" si="533">"="&amp;AF1087</f>
        <v>=-132200000</v>
      </c>
      <c r="AH1087" s="1">
        <f>-132200000</f>
        <v>-132200000</v>
      </c>
      <c r="AI1087" s="8">
        <f t="shared" si="519"/>
        <v>-1.8691650230111769</v>
      </c>
      <c r="AJ1087" s="6" t="s">
        <v>11383</v>
      </c>
      <c r="AK1087" s="6" t="str">
        <f t="shared" ref="AK1087:AK1150" si="534">"="&amp;AJ1087</f>
        <v>=1.521*100000000</v>
      </c>
      <c r="AL1087" s="1">
        <f>1.521*100000000</f>
        <v>152100000</v>
      </c>
      <c r="AM1087" s="8">
        <f t="shared" si="520"/>
        <v>0.37647058823529411</v>
      </c>
      <c r="AN1087" s="6" t="s">
        <v>6548</v>
      </c>
      <c r="AO1087" s="6" t="str">
        <f t="shared" ref="AO1087:AO1150" si="535">"="&amp;AN1087</f>
        <v>=1.105*100000000</v>
      </c>
      <c r="AP1087" s="1">
        <f>1.105*100000000</f>
        <v>110500000</v>
      </c>
      <c r="AQ1087" s="8">
        <f t="shared" si="521"/>
        <v>-2.8998242530755586E-2</v>
      </c>
      <c r="AR1087" s="6" t="s">
        <v>9249</v>
      </c>
      <c r="AS1087" s="6" t="str">
        <f t="shared" ref="AS1087:AS1150" si="536">"="&amp;AR1087</f>
        <v>=1.138*100000000</v>
      </c>
      <c r="AT1087" s="1">
        <f>1.138*100000000</f>
        <v>113799999.99999999</v>
      </c>
      <c r="AU1087" s="8">
        <f t="shared" si="522"/>
        <v>0.20067524794260377</v>
      </c>
      <c r="AV1087" s="7" t="s">
        <v>11384</v>
      </c>
      <c r="AW1087" s="6" t="str">
        <f t="shared" ref="AW1087:AW1150" si="537">"="&amp;AV1087</f>
        <v>=9478*10000</v>
      </c>
      <c r="AX1087" s="1">
        <f>9478*10000</f>
        <v>94780000</v>
      </c>
      <c r="AY1087" s="10">
        <f t="shared" si="523"/>
        <v>-0.41924019607843138</v>
      </c>
      <c r="AZ1087" s="6" t="s">
        <v>5679</v>
      </c>
      <c r="BA1087" s="6" t="str">
        <f t="shared" ref="BA1087:BA1150" si="538">"="&amp;AZ1087</f>
        <v>=1.632*100000000</v>
      </c>
      <c r="BB1087" s="1">
        <f>1.632*100000000</f>
        <v>163200000</v>
      </c>
      <c r="BC1087" s="8">
        <f t="shared" si="524"/>
        <v>1.2033211826650465</v>
      </c>
      <c r="BD1087" s="7" t="s">
        <v>11385</v>
      </c>
      <c r="BE1087" s="6" t="str">
        <f t="shared" ref="BE1087:BE1150" si="539">"="&amp;BD1087</f>
        <v>=7407*10000</v>
      </c>
      <c r="BF1087" s="1">
        <f>7407*10000</f>
        <v>74070000</v>
      </c>
      <c r="BG1087" s="8">
        <f t="shared" si="525"/>
        <v>-0.31920955882352953</v>
      </c>
      <c r="BH1087" s="6" t="s">
        <v>6254</v>
      </c>
      <c r="BI1087" s="6" t="str">
        <f t="shared" ref="BI1087:BI1150" si="540">"="&amp;BH1087</f>
        <v>=1.088*100000000</v>
      </c>
      <c r="BJ1087" s="1">
        <f>1.088*100000000</f>
        <v>108800000.00000001</v>
      </c>
      <c r="BK1087" s="7" t="s">
        <v>11386</v>
      </c>
      <c r="BL1087" s="1" t="str">
        <f t="shared" si="511"/>
        <v>=9195*10000</v>
      </c>
      <c r="BM1087" s="16">
        <f t="shared" si="526"/>
        <v>0.18325176726481801</v>
      </c>
      <c r="BN1087" s="1">
        <f>9195*10000</f>
        <v>91950000</v>
      </c>
    </row>
    <row r="1088" spans="1:66">
      <c r="A1088" s="18"/>
      <c r="B1088">
        <v>600858</v>
      </c>
      <c r="C1088" t="s">
        <v>58</v>
      </c>
      <c r="D1088" s="6" t="s">
        <v>261</v>
      </c>
      <c r="E1088" s="7" t="str">
        <f t="shared" si="510"/>
        <v>=1.211*100000000</v>
      </c>
      <c r="F1088" s="1">
        <f>1.211*100000000</f>
        <v>121100000.00000001</v>
      </c>
      <c r="G1088" s="8">
        <f t="shared" si="512"/>
        <v>-2.5744167337087689E-2</v>
      </c>
      <c r="H1088" s="6" t="s">
        <v>11387</v>
      </c>
      <c r="I1088" s="6" t="str">
        <f t="shared" si="527"/>
        <v>=1.243*100000000</v>
      </c>
      <c r="J1088" s="1">
        <f>1.243*100000000</f>
        <v>124300000.00000001</v>
      </c>
      <c r="K1088" s="10">
        <f t="shared" si="513"/>
        <v>0.10587188612099643</v>
      </c>
      <c r="L1088" s="6" t="s">
        <v>6891</v>
      </c>
      <c r="M1088" s="6" t="str">
        <f t="shared" si="528"/>
        <v>=1.124*100000000</v>
      </c>
      <c r="N1088" s="1">
        <f>1.124*100000000</f>
        <v>112400000.00000001</v>
      </c>
      <c r="O1088" s="8">
        <f t="shared" si="514"/>
        <v>1.4878264718902172</v>
      </c>
      <c r="P1088" s="7" t="s">
        <v>8340</v>
      </c>
      <c r="Q1088" s="6" t="str">
        <f t="shared" si="529"/>
        <v>=4518*10000</v>
      </c>
      <c r="R1088" s="11">
        <f>4518*10000</f>
        <v>45180000</v>
      </c>
      <c r="S1088" s="8">
        <f t="shared" si="515"/>
        <v>-1.1531525423728815</v>
      </c>
      <c r="T1088" s="6">
        <f>-2.95*100000000</f>
        <v>-295000000</v>
      </c>
      <c r="U1088" s="6" t="str">
        <f t="shared" si="530"/>
        <v>=-295000000</v>
      </c>
      <c r="V1088" s="1">
        <f>-295000000</f>
        <v>-295000000</v>
      </c>
      <c r="W1088" s="8">
        <f t="shared" si="516"/>
        <v>0.79987797437461872</v>
      </c>
      <c r="X1088" s="6">
        <f>-1.639*100000000</f>
        <v>-163900000</v>
      </c>
      <c r="Y1088" s="6" t="str">
        <f t="shared" si="531"/>
        <v>=-163900000</v>
      </c>
      <c r="Z1088" s="1">
        <f>-163900000</f>
        <v>-163900000</v>
      </c>
      <c r="AA1088" s="8">
        <f t="shared" si="517"/>
        <v>-3.7015276145710929E-2</v>
      </c>
      <c r="AB1088" s="6">
        <f>-1.702*100000000</f>
        <v>-170200000</v>
      </c>
      <c r="AC1088" s="6" t="str">
        <f t="shared" si="532"/>
        <v>=-170200000</v>
      </c>
      <c r="AD1088" s="1">
        <f>-170200000</f>
        <v>-170200000</v>
      </c>
      <c r="AE1088" s="8">
        <f t="shared" si="518"/>
        <v>0.29923664122137406</v>
      </c>
      <c r="AF1088" s="6">
        <f>-1.31*100000000</f>
        <v>-131000000</v>
      </c>
      <c r="AG1088" s="6" t="str">
        <f t="shared" si="533"/>
        <v>=-131000000</v>
      </c>
      <c r="AH1088" s="1">
        <f>-131000000</f>
        <v>-131000000</v>
      </c>
      <c r="AI1088" s="8">
        <f t="shared" si="519"/>
        <v>-2.0471622701838532</v>
      </c>
      <c r="AJ1088" s="6" t="s">
        <v>4464</v>
      </c>
      <c r="AK1088" s="6" t="str">
        <f t="shared" si="534"/>
        <v>=1.251*100000000</v>
      </c>
      <c r="AL1088" s="1">
        <f>1.251*100000000</f>
        <v>125099999.99999999</v>
      </c>
      <c r="AM1088" s="8">
        <f t="shared" si="520"/>
        <v>0.18241965973534957</v>
      </c>
      <c r="AN1088" s="6" t="s">
        <v>119</v>
      </c>
      <c r="AO1088" s="6" t="str">
        <f t="shared" si="535"/>
        <v>=1.058*100000000</v>
      </c>
      <c r="AP1088" s="1">
        <f>1.058*100000000</f>
        <v>105800000</v>
      </c>
      <c r="AQ1088" s="8">
        <f t="shared" si="521"/>
        <v>-4.0797824116047147E-2</v>
      </c>
      <c r="AR1088" s="6" t="s">
        <v>2913</v>
      </c>
      <c r="AS1088" s="6" t="str">
        <f t="shared" si="536"/>
        <v>=1.103*100000000</v>
      </c>
      <c r="AT1088" s="1">
        <f>1.103*100000000</f>
        <v>110300000</v>
      </c>
      <c r="AU1088" s="8">
        <f t="shared" si="522"/>
        <v>0.12253205780582128</v>
      </c>
      <c r="AV1088" s="7" t="s">
        <v>4898</v>
      </c>
      <c r="AW1088" s="6" t="str">
        <f t="shared" si="537"/>
        <v>=9826*10000</v>
      </c>
      <c r="AX1088" s="1">
        <f>9826*10000</f>
        <v>98260000</v>
      </c>
      <c r="AY1088" s="10">
        <f t="shared" si="523"/>
        <v>-0.12424242424242436</v>
      </c>
      <c r="AZ1088" s="6" t="s">
        <v>11388</v>
      </c>
      <c r="BA1088" s="6" t="str">
        <f t="shared" si="538"/>
        <v>=1.122*100000000</v>
      </c>
      <c r="BB1088" s="1">
        <f>1.122*100000000</f>
        <v>112200000.00000001</v>
      </c>
      <c r="BC1088" s="8">
        <f t="shared" si="524"/>
        <v>0.42784423517434483</v>
      </c>
      <c r="BD1088" s="7" t="s">
        <v>11389</v>
      </c>
      <c r="BE1088" s="6" t="str">
        <f t="shared" si="539"/>
        <v>=7858*10000</v>
      </c>
      <c r="BF1088" s="1">
        <f>7858*10000</f>
        <v>78580000</v>
      </c>
      <c r="BG1088" s="8">
        <f t="shared" si="525"/>
        <v>-0.30705467372134032</v>
      </c>
      <c r="BH1088" s="6" t="s">
        <v>10000</v>
      </c>
      <c r="BI1088" s="6" t="str">
        <f t="shared" si="540"/>
        <v>=1.134*100000000</v>
      </c>
      <c r="BJ1088" s="1">
        <f>1.134*100000000</f>
        <v>113399999.99999999</v>
      </c>
      <c r="BK1088" s="7" t="s">
        <v>11390</v>
      </c>
      <c r="BL1088" s="1" t="str">
        <f t="shared" si="511"/>
        <v>=9639*10000</v>
      </c>
      <c r="BM1088" s="16">
        <f t="shared" si="526"/>
        <v>0.17647058823529396</v>
      </c>
      <c r="BN1088" s="1">
        <f>9639*10000</f>
        <v>96390000</v>
      </c>
    </row>
    <row r="1089" spans="1:66">
      <c r="A1089" s="19"/>
      <c r="B1089">
        <v>600858</v>
      </c>
      <c r="C1089" t="s">
        <v>68</v>
      </c>
      <c r="D1089" s="7" t="s">
        <v>11391</v>
      </c>
      <c r="E1089" s="7" t="str">
        <f t="shared" si="510"/>
        <v>=1147*10000</v>
      </c>
      <c r="F1089" s="1">
        <f>1147*10000</f>
        <v>11470000</v>
      </c>
      <c r="G1089" s="8">
        <f t="shared" si="512"/>
        <v>-0.70122427715550928</v>
      </c>
      <c r="H1089" s="7" t="s">
        <v>11392</v>
      </c>
      <c r="I1089" s="6" t="str">
        <f t="shared" si="527"/>
        <v>=3839*10000</v>
      </c>
      <c r="J1089" s="1">
        <f>3839*10000</f>
        <v>38390000</v>
      </c>
      <c r="K1089" s="10">
        <f t="shared" si="513"/>
        <v>-0.24533123648515825</v>
      </c>
      <c r="L1089" s="7" t="s">
        <v>11393</v>
      </c>
      <c r="M1089" s="6" t="str">
        <f t="shared" si="528"/>
        <v>=5087*10000</v>
      </c>
      <c r="N1089" s="1">
        <f>5087*10000</f>
        <v>50870000</v>
      </c>
      <c r="O1089" s="8">
        <f t="shared" si="514"/>
        <v>0.9535330261136713</v>
      </c>
      <c r="P1089" s="7" t="s">
        <v>11394</v>
      </c>
      <c r="Q1089" s="6" t="str">
        <f t="shared" si="529"/>
        <v>=2604*10000</v>
      </c>
      <c r="R1089" s="11">
        <f>2604*10000</f>
        <v>26040000</v>
      </c>
      <c r="S1089" s="8">
        <f t="shared" si="515"/>
        <v>-1.0609550561797754</v>
      </c>
      <c r="T1089" s="6">
        <f>-4.272*100000000</f>
        <v>-427200000</v>
      </c>
      <c r="U1089" s="6" t="str">
        <f t="shared" si="530"/>
        <v>=-427200000</v>
      </c>
      <c r="V1089" s="1">
        <f>-427200000</f>
        <v>-427200000</v>
      </c>
      <c r="W1089" s="8">
        <f t="shared" si="516"/>
        <v>0.93565926597190752</v>
      </c>
      <c r="X1089" s="6">
        <f>-2.207*100000000</f>
        <v>-220699999.99999997</v>
      </c>
      <c r="Y1089" s="6" t="str">
        <f t="shared" si="531"/>
        <v>=-220700000</v>
      </c>
      <c r="Z1089" s="1">
        <f>-220700000</f>
        <v>-220700000</v>
      </c>
      <c r="AA1089" s="8">
        <f t="shared" si="517"/>
        <v>5.5980861244019138E-2</v>
      </c>
      <c r="AB1089" s="6">
        <f>-2.09*100000000</f>
        <v>-209000000</v>
      </c>
      <c r="AC1089" s="6" t="str">
        <f t="shared" si="532"/>
        <v>=-209000000</v>
      </c>
      <c r="AD1089" s="1">
        <f>-209000000</f>
        <v>-209000000</v>
      </c>
      <c r="AE1089" s="8">
        <f t="shared" si="518"/>
        <v>0.76371308016877637</v>
      </c>
      <c r="AF1089" s="6">
        <f>-1.185*100000000</f>
        <v>-118500000</v>
      </c>
      <c r="AG1089" s="6" t="str">
        <f t="shared" si="533"/>
        <v>=-118500000</v>
      </c>
      <c r="AH1089" s="1">
        <f>-118500000</f>
        <v>-118500000</v>
      </c>
      <c r="AI1089" s="8">
        <f t="shared" si="519"/>
        <v>-4.1541123236624964</v>
      </c>
      <c r="AJ1089" s="7" t="s">
        <v>2595</v>
      </c>
      <c r="AK1089" s="6" t="str">
        <f t="shared" si="534"/>
        <v>=3757*10000</v>
      </c>
      <c r="AL1089" s="1">
        <f>3757*10000</f>
        <v>37570000</v>
      </c>
      <c r="AM1089" s="8">
        <f t="shared" si="520"/>
        <v>0.20147105852254557</v>
      </c>
      <c r="AN1089" s="7" t="s">
        <v>11395</v>
      </c>
      <c r="AO1089" s="6" t="str">
        <f t="shared" si="535"/>
        <v>=3127*10000</v>
      </c>
      <c r="AP1089" s="1">
        <f>3127*10000</f>
        <v>31270000</v>
      </c>
      <c r="AQ1089" s="8">
        <f t="shared" si="521"/>
        <v>-0.45955755271344623</v>
      </c>
      <c r="AR1089" s="7" t="s">
        <v>4067</v>
      </c>
      <c r="AS1089" s="6" t="str">
        <f t="shared" si="536"/>
        <v>=5786*10000</v>
      </c>
      <c r="AT1089" s="1">
        <f>5786*10000</f>
        <v>57860000</v>
      </c>
      <c r="AU1089" s="8">
        <f t="shared" si="522"/>
        <v>-9.4239198497182222E-2</v>
      </c>
      <c r="AV1089" s="7" t="s">
        <v>11396</v>
      </c>
      <c r="AW1089" s="6" t="str">
        <f t="shared" si="537"/>
        <v>=6388*10000</v>
      </c>
      <c r="AX1089" s="1">
        <f>6388*10000</f>
        <v>63880000</v>
      </c>
      <c r="AY1089" s="10">
        <f t="shared" si="523"/>
        <v>-87.994416451041815</v>
      </c>
      <c r="AZ1089" s="7">
        <f>-73.43*10000</f>
        <v>-734300.00000000012</v>
      </c>
      <c r="BA1089" s="6" t="str">
        <f t="shared" si="538"/>
        <v>=-734300</v>
      </c>
      <c r="BB1089" s="1">
        <f>-734300</f>
        <v>-734300</v>
      </c>
      <c r="BC1089" s="8">
        <f t="shared" si="524"/>
        <v>-1.0457793017456358</v>
      </c>
      <c r="BD1089" s="7" t="s">
        <v>11397</v>
      </c>
      <c r="BE1089" s="6" t="str">
        <f t="shared" si="539"/>
        <v>=1604*10000</v>
      </c>
      <c r="BF1089" s="1">
        <f>1604*10000</f>
        <v>16040000</v>
      </c>
      <c r="BG1089" s="8">
        <f t="shared" si="525"/>
        <v>-0.72016748080949056</v>
      </c>
      <c r="BH1089" s="7" t="s">
        <v>11398</v>
      </c>
      <c r="BI1089" s="6" t="str">
        <f t="shared" si="540"/>
        <v>=5732*10000</v>
      </c>
      <c r="BJ1089" s="1">
        <f>5732*10000</f>
        <v>57320000</v>
      </c>
      <c r="BK1089" s="7" t="s">
        <v>11399</v>
      </c>
      <c r="BL1089" s="1" t="str">
        <f t="shared" si="511"/>
        <v>=5837*10000</v>
      </c>
      <c r="BM1089" s="16">
        <f t="shared" si="526"/>
        <v>-1.798869282165496E-2</v>
      </c>
      <c r="BN1089" s="1">
        <f>5837*10000</f>
        <v>58370000</v>
      </c>
    </row>
    <row r="1090" spans="1:66">
      <c r="A1090" s="17">
        <v>274</v>
      </c>
      <c r="B1090">
        <v>600860</v>
      </c>
      <c r="C1090" t="s">
        <v>31</v>
      </c>
      <c r="D1090" s="6" t="s">
        <v>350</v>
      </c>
      <c r="E1090" s="7" t="str">
        <f t="shared" ref="E1090:E1153" si="541">"="&amp;D1090</f>
        <v>=11.83*100000000</v>
      </c>
      <c r="F1090" s="1">
        <f>11.83*100000000</f>
        <v>1183000000</v>
      </c>
      <c r="G1090" s="8">
        <f t="shared" si="512"/>
        <v>0.38768328445747802</v>
      </c>
      <c r="H1090" s="6" t="s">
        <v>11400</v>
      </c>
      <c r="I1090" s="6" t="str">
        <f t="shared" si="527"/>
        <v>=8.525*100000000</v>
      </c>
      <c r="J1090" s="1">
        <f>8.525*100000000</f>
        <v>852500000</v>
      </c>
      <c r="K1090" s="10">
        <f t="shared" si="513"/>
        <v>0.61887580706418532</v>
      </c>
      <c r="L1090" s="6" t="s">
        <v>8173</v>
      </c>
      <c r="M1090" s="6" t="str">
        <f t="shared" si="528"/>
        <v>=5.266*100000000</v>
      </c>
      <c r="N1090" s="1">
        <f>5.266*100000000</f>
        <v>526600000</v>
      </c>
      <c r="O1090" s="8">
        <f t="shared" si="514"/>
        <v>1.1302588996763754</v>
      </c>
      <c r="P1090" s="6" t="s">
        <v>11401</v>
      </c>
      <c r="Q1090" s="6" t="str">
        <f t="shared" si="529"/>
        <v>=2.472*100000000</v>
      </c>
      <c r="R1090" s="11">
        <f>2.472*100000000</f>
        <v>247200000</v>
      </c>
      <c r="S1090" s="8">
        <f t="shared" si="515"/>
        <v>-0.77279411764705885</v>
      </c>
      <c r="T1090" s="6" t="s">
        <v>3741</v>
      </c>
      <c r="U1090" s="6" t="str">
        <f t="shared" si="530"/>
        <v>=10.88*100000000</v>
      </c>
      <c r="V1090" s="1">
        <f>10.88*100000000</f>
        <v>1088000000</v>
      </c>
      <c r="W1090" s="8">
        <f t="shared" si="516"/>
        <v>0.33398724865129964</v>
      </c>
      <c r="X1090" s="6" t="s">
        <v>258</v>
      </c>
      <c r="Y1090" s="6" t="str">
        <f t="shared" si="531"/>
        <v>=8.156*100000000</v>
      </c>
      <c r="Z1090" s="1">
        <f>8.156*100000000</f>
        <v>815600000</v>
      </c>
      <c r="AA1090" s="8">
        <f t="shared" si="517"/>
        <v>0.55708285605192809</v>
      </c>
      <c r="AB1090" s="6" t="s">
        <v>4822</v>
      </c>
      <c r="AC1090" s="6" t="str">
        <f t="shared" si="532"/>
        <v>=5.238*100000000</v>
      </c>
      <c r="AD1090" s="1">
        <f>5.238*100000000</f>
        <v>523800000.00000006</v>
      </c>
      <c r="AE1090" s="8">
        <f t="shared" si="518"/>
        <v>1.7139896373056998</v>
      </c>
      <c r="AF1090" s="6" t="s">
        <v>4932</v>
      </c>
      <c r="AG1090" s="6" t="str">
        <f t="shared" si="533"/>
        <v>=1.930*100000000</v>
      </c>
      <c r="AH1090" s="1">
        <f>1.93*100000000</f>
        <v>193000000</v>
      </c>
      <c r="AI1090" s="8">
        <f t="shared" si="519"/>
        <v>-0.83862876254180607</v>
      </c>
      <c r="AJ1090" s="6" t="s">
        <v>11402</v>
      </c>
      <c r="AK1090" s="6" t="str">
        <f t="shared" si="534"/>
        <v>=11.96*100000000</v>
      </c>
      <c r="AL1090" s="1">
        <f>11.96*100000000</f>
        <v>1196000000</v>
      </c>
      <c r="AM1090" s="8">
        <f t="shared" si="520"/>
        <v>0.34790938803110577</v>
      </c>
      <c r="AN1090" s="6" t="s">
        <v>11403</v>
      </c>
      <c r="AO1090" s="6" t="str">
        <f t="shared" si="535"/>
        <v>=8.873*100000000</v>
      </c>
      <c r="AP1090" s="1">
        <f>8.873*100000000</f>
        <v>887299999.99999988</v>
      </c>
      <c r="AQ1090" s="8">
        <f t="shared" si="521"/>
        <v>0.49075940860215034</v>
      </c>
      <c r="AR1090" s="6" t="s">
        <v>11404</v>
      </c>
      <c r="AS1090" s="6" t="str">
        <f t="shared" si="536"/>
        <v>=5.952*100000000</v>
      </c>
      <c r="AT1090" s="1">
        <f>5.952*100000000</f>
        <v>595200000</v>
      </c>
      <c r="AU1090" s="8">
        <f t="shared" si="522"/>
        <v>1.3703703703703705</v>
      </c>
      <c r="AV1090" s="6" t="s">
        <v>11405</v>
      </c>
      <c r="AW1090" s="6" t="str">
        <f t="shared" si="537"/>
        <v>=2.511*100000000</v>
      </c>
      <c r="AX1090" s="1">
        <f>2.511*100000000</f>
        <v>251100000</v>
      </c>
      <c r="AY1090" s="10">
        <f t="shared" si="523"/>
        <v>-0.77620320855614977</v>
      </c>
      <c r="AZ1090" s="6" t="s">
        <v>2433</v>
      </c>
      <c r="BA1090" s="6" t="str">
        <f t="shared" si="538"/>
        <v>=11.22*100000000</v>
      </c>
      <c r="BB1090" s="1">
        <f>11.22*100000000</f>
        <v>1122000000</v>
      </c>
      <c r="BC1090" s="8">
        <f t="shared" si="524"/>
        <v>0.46993318485523383</v>
      </c>
      <c r="BD1090" s="6" t="s">
        <v>359</v>
      </c>
      <c r="BE1090" s="6" t="str">
        <f t="shared" si="539"/>
        <v>=7.633*100000000</v>
      </c>
      <c r="BF1090" s="1">
        <f>7.633*100000000</f>
        <v>763300000</v>
      </c>
      <c r="BG1090" s="8">
        <f t="shared" si="525"/>
        <v>0.60694736842105268</v>
      </c>
      <c r="BH1090" s="6" t="s">
        <v>11406</v>
      </c>
      <c r="BI1090" s="6" t="str">
        <f t="shared" si="540"/>
        <v>=4.750*100000000</v>
      </c>
      <c r="BJ1090" s="1">
        <f>4.75*100000000</f>
        <v>475000000</v>
      </c>
      <c r="BK1090" s="6" t="s">
        <v>1939</v>
      </c>
      <c r="BL1090" s="1" t="str">
        <f t="shared" ref="BL1090:BL1153" si="542">"="&amp;BK1090</f>
        <v>=2.358*100000000</v>
      </c>
      <c r="BM1090" s="16">
        <f t="shared" si="526"/>
        <v>1.0144189991518235</v>
      </c>
      <c r="BN1090" s="1">
        <f>2.358*100000000</f>
        <v>235800000</v>
      </c>
    </row>
    <row r="1091" spans="1:66">
      <c r="A1091" s="18"/>
      <c r="B1091">
        <v>600860</v>
      </c>
      <c r="C1091" t="s">
        <v>48</v>
      </c>
      <c r="D1091" s="7">
        <f>-3664*10000</f>
        <v>-36640000</v>
      </c>
      <c r="E1091" s="7" t="str">
        <f t="shared" si="541"/>
        <v>=-36640000</v>
      </c>
      <c r="F1091" s="1">
        <f>-36640000</f>
        <v>-36640000</v>
      </c>
      <c r="G1091" s="8">
        <f t="shared" ref="G1091:G1154" si="543">(F1091-J1091)/J1091</f>
        <v>2.2714285714285714</v>
      </c>
      <c r="H1091" s="7">
        <f>-1120*10000</f>
        <v>-11200000</v>
      </c>
      <c r="I1091" s="6" t="str">
        <f t="shared" si="527"/>
        <v>=-11200000</v>
      </c>
      <c r="J1091" s="1">
        <f>-11200000</f>
        <v>-11200000</v>
      </c>
      <c r="K1091" s="10">
        <f t="shared" ref="K1091:K1154" si="544">(J1091-N1091)/N1091</f>
        <v>-14.81692573402418</v>
      </c>
      <c r="L1091" s="7" t="s">
        <v>11407</v>
      </c>
      <c r="M1091" s="6" t="str">
        <f t="shared" si="528"/>
        <v>=81.06*10000</v>
      </c>
      <c r="N1091" s="1">
        <f>81.06*10000</f>
        <v>810600</v>
      </c>
      <c r="O1091" s="8">
        <f t="shared" ref="O1091:O1154" si="545">(N1091-R1091)/R1091</f>
        <v>-1.1903710662282763</v>
      </c>
      <c r="P1091" s="7">
        <f>-425.8*10000</f>
        <v>-4258000</v>
      </c>
      <c r="Q1091" s="6" t="str">
        <f t="shared" si="529"/>
        <v>=-4258000</v>
      </c>
      <c r="R1091" s="11">
        <f>-4258000</f>
        <v>-4258000</v>
      </c>
      <c r="S1091" s="8">
        <f t="shared" ref="S1091:S1154" si="546">(R1091-V1091)/V1091</f>
        <v>-1.034987674609696</v>
      </c>
      <c r="T1091" s="6" t="s">
        <v>10324</v>
      </c>
      <c r="U1091" s="6" t="str">
        <f t="shared" si="530"/>
        <v>=1.217*100000000</v>
      </c>
      <c r="V1091" s="1">
        <f>1.217*100000000</f>
        <v>121700000.00000001</v>
      </c>
      <c r="W1091" s="8">
        <f t="shared" ref="W1091:W1154" si="547">(V1091-Z1091)/Z1091</f>
        <v>-3.3975571315996849</v>
      </c>
      <c r="X1091" s="7">
        <f>-5076*10000</f>
        <v>-50760000</v>
      </c>
      <c r="Y1091" s="6" t="str">
        <f t="shared" si="531"/>
        <v>=-50760000</v>
      </c>
      <c r="Z1091" s="1">
        <f>-50760000</f>
        <v>-50760000</v>
      </c>
      <c r="AA1091" s="8">
        <f t="shared" ref="AA1091:AA1154" si="548">(Z1091-AD1091)/AD1091</f>
        <v>0.36708860759493672</v>
      </c>
      <c r="AB1091" s="7">
        <f>-3713*10000</f>
        <v>-37130000</v>
      </c>
      <c r="AC1091" s="6" t="str">
        <f t="shared" si="532"/>
        <v>=-37130000</v>
      </c>
      <c r="AD1091" s="1">
        <f>-37130000</f>
        <v>-37130000</v>
      </c>
      <c r="AE1091" s="8">
        <f t="shared" ref="AE1091:AE1154" si="549">(AD1091-AH1091)/AH1091</f>
        <v>-2.1091484313208543E-2</v>
      </c>
      <c r="AF1091" s="7">
        <f>-3793*10000</f>
        <v>-37930000</v>
      </c>
      <c r="AG1091" s="6" t="str">
        <f t="shared" si="533"/>
        <v>=-37930000</v>
      </c>
      <c r="AH1091" s="1">
        <f>-37930000</f>
        <v>-37930000</v>
      </c>
      <c r="AI1091" s="8">
        <f t="shared" ref="AI1091:AI1154" si="550">(AH1091-AL1091)/AL1091</f>
        <v>-0.76278924327704811</v>
      </c>
      <c r="AJ1091" s="6">
        <f>-1.599*100000000</f>
        <v>-159900000</v>
      </c>
      <c r="AK1091" s="6" t="str">
        <f t="shared" si="534"/>
        <v>=-159900000</v>
      </c>
      <c r="AL1091" s="1">
        <f>-159900000</f>
        <v>-159900000</v>
      </c>
      <c r="AM1091" s="8">
        <f t="shared" ref="AM1091:AM1154" si="551">(AL1091-AP1091)/AP1091</f>
        <v>1.0092988187986931</v>
      </c>
      <c r="AN1091" s="7">
        <f>-7958*10000</f>
        <v>-79580000</v>
      </c>
      <c r="AO1091" s="6" t="str">
        <f t="shared" si="535"/>
        <v>=-79580000</v>
      </c>
      <c r="AP1091" s="1">
        <f>-79580000</f>
        <v>-79580000</v>
      </c>
      <c r="AQ1091" s="8">
        <f t="shared" ref="AQ1091:AQ1154" si="552">(AP1091-AT1091)/AT1091</f>
        <v>0.67536842105263162</v>
      </c>
      <c r="AR1091" s="7">
        <f>-4750*10000</f>
        <v>-47500000</v>
      </c>
      <c r="AS1091" s="6" t="str">
        <f t="shared" si="536"/>
        <v>=-47500000</v>
      </c>
      <c r="AT1091" s="1">
        <f>-47500000</f>
        <v>-47500000</v>
      </c>
      <c r="AU1091" s="8">
        <f t="shared" ref="AU1091:AU1154" si="553">(AT1091-AX1091)/AX1091</f>
        <v>0.54572079401236573</v>
      </c>
      <c r="AV1091" s="7">
        <f>-3073*10000</f>
        <v>-30730000</v>
      </c>
      <c r="AW1091" s="6" t="str">
        <f t="shared" si="537"/>
        <v>=-30730000</v>
      </c>
      <c r="AX1091" s="1">
        <f>-30730000</f>
        <v>-30730000</v>
      </c>
      <c r="AY1091" s="10">
        <f t="shared" ref="AY1091:AY1154" si="554">(AX1091-BB1091)/BB1091</f>
        <v>-0.77748008689355541</v>
      </c>
      <c r="AZ1091" s="6">
        <f>-1.381*100000000</f>
        <v>-138100000</v>
      </c>
      <c r="BA1091" s="6" t="str">
        <f t="shared" si="538"/>
        <v>=-138100000</v>
      </c>
      <c r="BB1091" s="1">
        <f>-138100000</f>
        <v>-138100000</v>
      </c>
      <c r="BC1091" s="8">
        <f t="shared" ref="BC1091:BC1154" si="555">(BB1091-BF1091)/BF1091</f>
        <v>1.144077006675982</v>
      </c>
      <c r="BD1091" s="7">
        <f>-6441*10000</f>
        <v>-64410000</v>
      </c>
      <c r="BE1091" s="6" t="str">
        <f t="shared" si="539"/>
        <v>=-64410000</v>
      </c>
      <c r="BF1091" s="1">
        <f>-64410000</f>
        <v>-64410000</v>
      </c>
      <c r="BG1091" s="8">
        <f t="shared" ref="BG1091:BG1154" si="556">(BF1091-BJ1091)/BJ1091</f>
        <v>0.58606254617089382</v>
      </c>
      <c r="BH1091" s="7">
        <f>-4061*10000</f>
        <v>-40610000</v>
      </c>
      <c r="BI1091" s="6" t="str">
        <f t="shared" si="540"/>
        <v>=-40610000</v>
      </c>
      <c r="BJ1091" s="1">
        <f>-40610000</f>
        <v>-40610000</v>
      </c>
      <c r="BK1091" s="7">
        <f>-2443*10000</f>
        <v>-24430000</v>
      </c>
      <c r="BL1091" s="1" t="str">
        <f t="shared" si="542"/>
        <v>=-24430000</v>
      </c>
      <c r="BM1091" s="16">
        <f t="shared" ref="BM1091:BM1154" si="557">(BJ1091-BN1091)/BN1091</f>
        <v>0.66230045026606632</v>
      </c>
      <c r="BN1091" s="1">
        <f>-24430000</f>
        <v>-24430000</v>
      </c>
    </row>
    <row r="1092" spans="1:66">
      <c r="A1092" s="18"/>
      <c r="B1092">
        <v>600860</v>
      </c>
      <c r="C1092" t="s">
        <v>58</v>
      </c>
      <c r="D1092" s="7">
        <f>-3708*10000</f>
        <v>-37080000</v>
      </c>
      <c r="E1092" s="7" t="str">
        <f t="shared" si="541"/>
        <v>=-37080000</v>
      </c>
      <c r="F1092" s="1">
        <f>-37080000</f>
        <v>-37080000</v>
      </c>
      <c r="G1092" s="8">
        <f t="shared" si="543"/>
        <v>2.5517241379310347</v>
      </c>
      <c r="H1092" s="7">
        <f>-1044*10000</f>
        <v>-10440000</v>
      </c>
      <c r="I1092" s="6" t="str">
        <f t="shared" si="527"/>
        <v>=-10440000</v>
      </c>
      <c r="J1092" s="1">
        <f>-10440000</f>
        <v>-10440000</v>
      </c>
      <c r="K1092" s="10">
        <f t="shared" si="544"/>
        <v>-9.4878048780487809</v>
      </c>
      <c r="L1092" s="7" t="s">
        <v>11408</v>
      </c>
      <c r="M1092" s="6" t="str">
        <f t="shared" si="528"/>
        <v>=123.0*10000</v>
      </c>
      <c r="N1092" s="1">
        <f>123*10000</f>
        <v>1230000</v>
      </c>
      <c r="O1092" s="8">
        <f t="shared" si="545"/>
        <v>-1.314176245210728</v>
      </c>
      <c r="P1092" s="7">
        <f>-391.5*10000</f>
        <v>-3915000</v>
      </c>
      <c r="Q1092" s="6" t="str">
        <f t="shared" si="529"/>
        <v>=-3915000</v>
      </c>
      <c r="R1092" s="11">
        <f>-3915000</f>
        <v>-3915000</v>
      </c>
      <c r="S1092" s="8">
        <f t="shared" si="546"/>
        <v>-1.0320901639344262</v>
      </c>
      <c r="T1092" s="6" t="s">
        <v>4573</v>
      </c>
      <c r="U1092" s="6" t="str">
        <f t="shared" si="530"/>
        <v>=1.220*100000000</v>
      </c>
      <c r="V1092" s="1">
        <f>1.22*100000000</f>
        <v>122000000</v>
      </c>
      <c r="W1092" s="8">
        <f t="shared" si="547"/>
        <v>-3.4512758689973881</v>
      </c>
      <c r="X1092" s="7">
        <f>-4977*10000</f>
        <v>-49770000</v>
      </c>
      <c r="Y1092" s="6" t="str">
        <f t="shared" si="531"/>
        <v>=-49770000</v>
      </c>
      <c r="Z1092" s="1">
        <f>-49770000</f>
        <v>-49770000</v>
      </c>
      <c r="AA1092" s="8">
        <f t="shared" si="548"/>
        <v>0.36505759736697752</v>
      </c>
      <c r="AB1092" s="7">
        <f>-3646*10000</f>
        <v>-36460000</v>
      </c>
      <c r="AC1092" s="6" t="str">
        <f t="shared" si="532"/>
        <v>=-36460000</v>
      </c>
      <c r="AD1092" s="1">
        <f>-36460000</f>
        <v>-36460000</v>
      </c>
      <c r="AE1092" s="8">
        <f t="shared" si="549"/>
        <v>-3.1092213659314378E-2</v>
      </c>
      <c r="AF1092" s="7">
        <f>-3763*10000</f>
        <v>-37630000</v>
      </c>
      <c r="AG1092" s="6" t="str">
        <f t="shared" si="533"/>
        <v>=-37630000</v>
      </c>
      <c r="AH1092" s="1">
        <f>-37630000</f>
        <v>-37630000</v>
      </c>
      <c r="AI1092" s="8">
        <f t="shared" si="550"/>
        <v>-0.7645181476846058</v>
      </c>
      <c r="AJ1092" s="6">
        <f>-1.598*100000000</f>
        <v>-159800000</v>
      </c>
      <c r="AK1092" s="6" t="str">
        <f t="shared" si="534"/>
        <v>=-159800000</v>
      </c>
      <c r="AL1092" s="1">
        <f>-159800000</f>
        <v>-159800000</v>
      </c>
      <c r="AM1092" s="8">
        <f t="shared" si="551"/>
        <v>1.0227848101265822</v>
      </c>
      <c r="AN1092" s="7">
        <f>-7900*10000</f>
        <v>-79000000</v>
      </c>
      <c r="AO1092" s="6" t="str">
        <f t="shared" si="535"/>
        <v>=-79000000</v>
      </c>
      <c r="AP1092" s="1">
        <f>-79000000</f>
        <v>-79000000</v>
      </c>
      <c r="AQ1092" s="8">
        <f t="shared" si="552"/>
        <v>0.68299957392415855</v>
      </c>
      <c r="AR1092" s="7">
        <f>-4694*10000</f>
        <v>-46940000</v>
      </c>
      <c r="AS1092" s="6" t="str">
        <f t="shared" si="536"/>
        <v>=-46940000</v>
      </c>
      <c r="AT1092" s="1">
        <f>-46940000</f>
        <v>-46940000</v>
      </c>
      <c r="AU1092" s="8">
        <f t="shared" si="553"/>
        <v>0.58688302907369849</v>
      </c>
      <c r="AV1092" s="7">
        <f>-2958*10000</f>
        <v>-29580000</v>
      </c>
      <c r="AW1092" s="6" t="str">
        <f t="shared" si="537"/>
        <v>=-29580000</v>
      </c>
      <c r="AX1092" s="1">
        <f>-29580000</f>
        <v>-29580000</v>
      </c>
      <c r="AY1092" s="10">
        <f t="shared" si="554"/>
        <v>-0.76449044585987258</v>
      </c>
      <c r="AZ1092" s="6">
        <f>-1.256*100000000</f>
        <v>-125600000</v>
      </c>
      <c r="BA1092" s="6" t="str">
        <f t="shared" si="538"/>
        <v>=-125600000</v>
      </c>
      <c r="BB1092" s="1">
        <f>-125600000</f>
        <v>-125600000</v>
      </c>
      <c r="BC1092" s="8">
        <f t="shared" si="555"/>
        <v>1.3337049424005947</v>
      </c>
      <c r="BD1092" s="7">
        <f>-5382*10000</f>
        <v>-53820000</v>
      </c>
      <c r="BE1092" s="6" t="str">
        <f t="shared" si="539"/>
        <v>=-53820000</v>
      </c>
      <c r="BF1092" s="1">
        <f>-53820000</f>
        <v>-53820000</v>
      </c>
      <c r="BG1092" s="8">
        <f t="shared" si="556"/>
        <v>0.39973992197659297</v>
      </c>
      <c r="BH1092" s="7">
        <f>-3845*10000</f>
        <v>-38450000</v>
      </c>
      <c r="BI1092" s="6" t="str">
        <f t="shared" si="540"/>
        <v>=-38450000</v>
      </c>
      <c r="BJ1092" s="1">
        <f>-38450000</f>
        <v>-38450000</v>
      </c>
      <c r="BK1092" s="7">
        <f>-2418*10000</f>
        <v>-24180000</v>
      </c>
      <c r="BL1092" s="1" t="str">
        <f t="shared" si="542"/>
        <v>=-24180000</v>
      </c>
      <c r="BM1092" s="16">
        <f t="shared" si="557"/>
        <v>0.59015715467328367</v>
      </c>
      <c r="BN1092" s="1">
        <f>-24180000</f>
        <v>-24180000</v>
      </c>
    </row>
    <row r="1093" spans="1:66">
      <c r="A1093" s="19"/>
      <c r="B1093">
        <v>600860</v>
      </c>
      <c r="C1093" t="s">
        <v>68</v>
      </c>
      <c r="D1093" s="7">
        <f>-4124*10000</f>
        <v>-41240000</v>
      </c>
      <c r="E1093" s="7" t="str">
        <f t="shared" si="541"/>
        <v>=-41240000</v>
      </c>
      <c r="F1093" s="1">
        <f>-41240000</f>
        <v>-41240000</v>
      </c>
      <c r="G1093" s="8">
        <f t="shared" si="543"/>
        <v>2.0845175766641737</v>
      </c>
      <c r="H1093" s="7">
        <f>-1337*10000</f>
        <v>-13370000</v>
      </c>
      <c r="I1093" s="6" t="str">
        <f t="shared" si="527"/>
        <v>=-13370000</v>
      </c>
      <c r="J1093" s="1">
        <f>-13370000</f>
        <v>-13370000</v>
      </c>
      <c r="K1093" s="10">
        <f t="shared" si="544"/>
        <v>20.606334841628961</v>
      </c>
      <c r="L1093" s="7">
        <f>-61.88*10000</f>
        <v>-618800</v>
      </c>
      <c r="M1093" s="6" t="str">
        <f t="shared" si="528"/>
        <v>=-618800</v>
      </c>
      <c r="N1093" s="1">
        <f>-618800</f>
        <v>-618800</v>
      </c>
      <c r="O1093" s="8">
        <f t="shared" si="545"/>
        <v>-0.86640759930915368</v>
      </c>
      <c r="P1093" s="7">
        <f>-463.2*10000</f>
        <v>-4632000</v>
      </c>
      <c r="Q1093" s="6" t="str">
        <f t="shared" si="529"/>
        <v>=-4632000</v>
      </c>
      <c r="R1093" s="11">
        <f>-4632000</f>
        <v>-4632000</v>
      </c>
      <c r="S1093" s="8">
        <f t="shared" si="546"/>
        <v>-1.0387939698492463</v>
      </c>
      <c r="T1093" s="6" t="s">
        <v>11409</v>
      </c>
      <c r="U1093" s="6" t="str">
        <f t="shared" si="530"/>
        <v>=1.194*100000000</v>
      </c>
      <c r="V1093" s="1">
        <f>1.194*100000000</f>
        <v>119400000</v>
      </c>
      <c r="W1093" s="8">
        <f t="shared" si="547"/>
        <v>-3.3063550318717403</v>
      </c>
      <c r="X1093" s="7">
        <f>-5177*10000</f>
        <v>-51770000</v>
      </c>
      <c r="Y1093" s="6" t="str">
        <f t="shared" si="531"/>
        <v>=-51770000</v>
      </c>
      <c r="Z1093" s="1">
        <f>-51770000</f>
        <v>-51770000</v>
      </c>
      <c r="AA1093" s="8">
        <f t="shared" si="548"/>
        <v>0.3823765020026702</v>
      </c>
      <c r="AB1093" s="7">
        <f>-3745*10000</f>
        <v>-37450000</v>
      </c>
      <c r="AC1093" s="6" t="str">
        <f t="shared" si="532"/>
        <v>=-37450000</v>
      </c>
      <c r="AD1093" s="1">
        <f>-37450000</f>
        <v>-37450000</v>
      </c>
      <c r="AE1093" s="8">
        <f t="shared" si="549"/>
        <v>-8.7347803070407619E-3</v>
      </c>
      <c r="AF1093" s="7">
        <f>-3778*10000</f>
        <v>-37780000</v>
      </c>
      <c r="AG1093" s="6" t="str">
        <f t="shared" si="533"/>
        <v>=-37780000</v>
      </c>
      <c r="AH1093" s="1">
        <f>-37780000</f>
        <v>-37780000</v>
      </c>
      <c r="AI1093" s="8">
        <f t="shared" si="550"/>
        <v>-0.76750769230769234</v>
      </c>
      <c r="AJ1093" s="6">
        <f>-1.625*100000000</f>
        <v>-162500000</v>
      </c>
      <c r="AK1093" s="6" t="str">
        <f t="shared" si="534"/>
        <v>=-162500000</v>
      </c>
      <c r="AL1093" s="1">
        <f>-162500000</f>
        <v>-162500000</v>
      </c>
      <c r="AM1093" s="8">
        <f t="shared" si="551"/>
        <v>1.0017245627001725</v>
      </c>
      <c r="AN1093" s="7">
        <f>-8118*10000</f>
        <v>-81180000</v>
      </c>
      <c r="AO1093" s="6" t="str">
        <f t="shared" si="535"/>
        <v>=-81180000</v>
      </c>
      <c r="AP1093" s="1">
        <f>-81180000</f>
        <v>-81180000</v>
      </c>
      <c r="AQ1093" s="8">
        <f t="shared" si="552"/>
        <v>0.67277972388213481</v>
      </c>
      <c r="AR1093" s="7">
        <f>-4853*10000</f>
        <v>-48530000</v>
      </c>
      <c r="AS1093" s="6" t="str">
        <f t="shared" si="536"/>
        <v>=-48530000</v>
      </c>
      <c r="AT1093" s="1">
        <f>-48530000</f>
        <v>-48530000</v>
      </c>
      <c r="AU1093" s="8">
        <f t="shared" si="553"/>
        <v>0.6011217419993401</v>
      </c>
      <c r="AV1093" s="7">
        <f>-3031*10000</f>
        <v>-30310000</v>
      </c>
      <c r="AW1093" s="6" t="str">
        <f t="shared" si="537"/>
        <v>=-30310000</v>
      </c>
      <c r="AX1093" s="1">
        <f>-30310000</f>
        <v>-30310000</v>
      </c>
      <c r="AY1093" s="10">
        <f t="shared" si="554"/>
        <v>-0.77141779788838616</v>
      </c>
      <c r="AZ1093" s="6">
        <f>-1.326*100000000</f>
        <v>-132600000</v>
      </c>
      <c r="BA1093" s="6" t="str">
        <f t="shared" si="538"/>
        <v>=-132600000</v>
      </c>
      <c r="BB1093" s="1">
        <f>-132600000</f>
        <v>-132600000</v>
      </c>
      <c r="BC1093" s="8">
        <f t="shared" si="555"/>
        <v>1.2092635788070643</v>
      </c>
      <c r="BD1093" s="7">
        <f>-6002*10000</f>
        <v>-60020000</v>
      </c>
      <c r="BE1093" s="6" t="str">
        <f t="shared" si="539"/>
        <v>=-60020000</v>
      </c>
      <c r="BF1093" s="1">
        <f>-60020000</f>
        <v>-60020000</v>
      </c>
      <c r="BG1093" s="8">
        <f t="shared" si="556"/>
        <v>0.45963035019455251</v>
      </c>
      <c r="BH1093" s="7">
        <f>-4112*10000</f>
        <v>-41120000</v>
      </c>
      <c r="BI1093" s="6" t="str">
        <f t="shared" si="540"/>
        <v>=-41120000</v>
      </c>
      <c r="BJ1093" s="1">
        <f>-41120000</f>
        <v>-41120000</v>
      </c>
      <c r="BK1093" s="7">
        <f>-2553*10000</f>
        <v>-25530000</v>
      </c>
      <c r="BL1093" s="1" t="str">
        <f t="shared" si="542"/>
        <v>=-25530000</v>
      </c>
      <c r="BM1093" s="16">
        <f t="shared" si="557"/>
        <v>0.61065413239326283</v>
      </c>
      <c r="BN1093" s="1">
        <f>-25530000</f>
        <v>-25530000</v>
      </c>
    </row>
    <row r="1094" spans="1:66">
      <c r="A1094" s="17">
        <v>275</v>
      </c>
      <c r="B1094">
        <v>600861</v>
      </c>
      <c r="C1094" t="s">
        <v>31</v>
      </c>
      <c r="D1094" s="6" t="s">
        <v>11410</v>
      </c>
      <c r="E1094" s="7" t="str">
        <f t="shared" si="541"/>
        <v>=6.973*100000000</v>
      </c>
      <c r="F1094" s="1">
        <f>6.973*100000000</f>
        <v>697300000</v>
      </c>
      <c r="G1094" s="8">
        <f t="shared" si="543"/>
        <v>0.32415495632358526</v>
      </c>
      <c r="H1094" s="6" t="s">
        <v>8173</v>
      </c>
      <c r="I1094" s="6" t="str">
        <f t="shared" si="527"/>
        <v>=5.266*100000000</v>
      </c>
      <c r="J1094" s="1">
        <f>5.266*100000000</f>
        <v>526600000</v>
      </c>
      <c r="K1094" s="10">
        <f t="shared" si="544"/>
        <v>0.45832179451675437</v>
      </c>
      <c r="L1094" s="6" t="s">
        <v>6540</v>
      </c>
      <c r="M1094" s="6" t="str">
        <f t="shared" si="528"/>
        <v>=3.611*100000000</v>
      </c>
      <c r="N1094" s="1">
        <f>3.611*100000000</f>
        <v>361100000</v>
      </c>
      <c r="O1094" s="8">
        <f t="shared" si="545"/>
        <v>0.86230015471892729</v>
      </c>
      <c r="P1094" s="6" t="s">
        <v>5300</v>
      </c>
      <c r="Q1094" s="6" t="str">
        <f t="shared" si="529"/>
        <v>=1.939*100000000</v>
      </c>
      <c r="R1094" s="11">
        <f>1.939*100000000</f>
        <v>193900000</v>
      </c>
      <c r="S1094" s="8">
        <f t="shared" si="546"/>
        <v>-0.72457386363636367</v>
      </c>
      <c r="T1094" s="6" t="s">
        <v>11411</v>
      </c>
      <c r="U1094" s="6" t="str">
        <f t="shared" si="530"/>
        <v>=7.040*100000000</v>
      </c>
      <c r="V1094" s="1">
        <f>7.04*100000000</f>
        <v>704000000</v>
      </c>
      <c r="W1094" s="8">
        <f t="shared" si="547"/>
        <v>0.39102944082197194</v>
      </c>
      <c r="X1094" s="6" t="s">
        <v>6543</v>
      </c>
      <c r="Y1094" s="6" t="str">
        <f t="shared" si="531"/>
        <v>=5.061*100000000</v>
      </c>
      <c r="Z1094" s="1">
        <f>5.061*100000000</f>
        <v>506100000</v>
      </c>
      <c r="AA1094" s="8">
        <f t="shared" si="548"/>
        <v>0.56155507559395246</v>
      </c>
      <c r="AB1094" s="6" t="s">
        <v>5823</v>
      </c>
      <c r="AC1094" s="6" t="str">
        <f t="shared" si="532"/>
        <v>=3.241*100000000</v>
      </c>
      <c r="AD1094" s="1">
        <f>3.241*100000000</f>
        <v>324100000</v>
      </c>
      <c r="AE1094" s="8">
        <f t="shared" si="549"/>
        <v>0.81874298540965207</v>
      </c>
      <c r="AF1094" s="6" t="s">
        <v>11412</v>
      </c>
      <c r="AG1094" s="6" t="str">
        <f t="shared" si="533"/>
        <v>=1.782*100000000</v>
      </c>
      <c r="AH1094" s="1">
        <f>1.782*100000000</f>
        <v>178200000</v>
      </c>
      <c r="AI1094" s="8">
        <f t="shared" si="550"/>
        <v>-0.91734693877551021</v>
      </c>
      <c r="AJ1094" s="6" t="s">
        <v>4361</v>
      </c>
      <c r="AK1094" s="6" t="str">
        <f t="shared" si="534"/>
        <v>=21.56*100000000</v>
      </c>
      <c r="AL1094" s="1">
        <f>21.56*100000000</f>
        <v>2156000000</v>
      </c>
      <c r="AM1094" s="8">
        <f t="shared" si="551"/>
        <v>0.43637574950033309</v>
      </c>
      <c r="AN1094" s="6" t="s">
        <v>9328</v>
      </c>
      <c r="AO1094" s="6" t="str">
        <f t="shared" si="535"/>
        <v>=15.01*100000000</v>
      </c>
      <c r="AP1094" s="1">
        <f>15.01*100000000</f>
        <v>1501000000</v>
      </c>
      <c r="AQ1094" s="8">
        <f t="shared" si="552"/>
        <v>0.48320158102766814</v>
      </c>
      <c r="AR1094" s="6" t="s">
        <v>11413</v>
      </c>
      <c r="AS1094" s="6" t="str">
        <f t="shared" si="536"/>
        <v>=10.12*100000000</v>
      </c>
      <c r="AT1094" s="1">
        <f>10.12*100000000</f>
        <v>1011999999.9999999</v>
      </c>
      <c r="AU1094" s="8">
        <f t="shared" si="553"/>
        <v>0.82309493784903598</v>
      </c>
      <c r="AV1094" s="6" t="s">
        <v>5131</v>
      </c>
      <c r="AW1094" s="6" t="str">
        <f t="shared" si="537"/>
        <v>=5.551*100000000</v>
      </c>
      <c r="AX1094" s="1">
        <f>5.551*100000000</f>
        <v>555100000</v>
      </c>
      <c r="AY1094" s="10">
        <f t="shared" si="554"/>
        <v>-0.71073475768629502</v>
      </c>
      <c r="AZ1094" s="6" t="s">
        <v>11414</v>
      </c>
      <c r="BA1094" s="6" t="str">
        <f t="shared" si="538"/>
        <v>=19.19*100000000</v>
      </c>
      <c r="BB1094" s="1">
        <f>19.19*100000000</f>
        <v>1919000000.0000002</v>
      </c>
      <c r="BC1094" s="8">
        <f t="shared" si="555"/>
        <v>0.38756326825741161</v>
      </c>
      <c r="BD1094" s="6" t="s">
        <v>9100</v>
      </c>
      <c r="BE1094" s="6" t="str">
        <f t="shared" si="539"/>
        <v>=13.83*100000000</v>
      </c>
      <c r="BF1094" s="1">
        <f>13.83*100000000</f>
        <v>1383000000</v>
      </c>
      <c r="BG1094" s="8">
        <f t="shared" si="556"/>
        <v>0.42606723035677457</v>
      </c>
      <c r="BH1094" s="6" t="s">
        <v>11415</v>
      </c>
      <c r="BI1094" s="6" t="str">
        <f t="shared" si="540"/>
        <v>=9.698*100000000</v>
      </c>
      <c r="BJ1094" s="1">
        <f>9.698*100000000</f>
        <v>969800000</v>
      </c>
      <c r="BK1094" s="6" t="s">
        <v>11416</v>
      </c>
      <c r="BL1094" s="1" t="str">
        <f t="shared" si="542"/>
        <v>=5.495*100000000</v>
      </c>
      <c r="BM1094" s="16">
        <f t="shared" si="557"/>
        <v>0.76487716105550496</v>
      </c>
      <c r="BN1094" s="1">
        <f>5.495*100000000</f>
        <v>549500000</v>
      </c>
    </row>
    <row r="1095" spans="1:66">
      <c r="A1095" s="18"/>
      <c r="B1095">
        <v>600861</v>
      </c>
      <c r="C1095" t="s">
        <v>48</v>
      </c>
      <c r="D1095" s="7">
        <f>-6462*10000</f>
        <v>-64620000</v>
      </c>
      <c r="E1095" s="7" t="str">
        <f t="shared" si="541"/>
        <v>=-64620000</v>
      </c>
      <c r="F1095" s="1">
        <f>-64620000</f>
        <v>-64620000</v>
      </c>
      <c r="G1095" s="8">
        <f t="shared" si="543"/>
        <v>1.2069672131147542</v>
      </c>
      <c r="H1095" s="7">
        <f>-2928*10000</f>
        <v>-29280000</v>
      </c>
      <c r="I1095" s="6" t="str">
        <f t="shared" si="527"/>
        <v>=-29280000</v>
      </c>
      <c r="J1095" s="1">
        <f>-29280000</f>
        <v>-29280000</v>
      </c>
      <c r="K1095" s="10">
        <f t="shared" si="544"/>
        <v>0.57673667205169632</v>
      </c>
      <c r="L1095" s="7">
        <f>-1857*10000</f>
        <v>-18570000</v>
      </c>
      <c r="M1095" s="6" t="str">
        <f t="shared" si="528"/>
        <v>=-18570000</v>
      </c>
      <c r="N1095" s="1">
        <f>-18570000</f>
        <v>-18570000</v>
      </c>
      <c r="O1095" s="8">
        <f t="shared" si="545"/>
        <v>1.6092454685963187</v>
      </c>
      <c r="P1095" s="7">
        <f>-711.7*10000</f>
        <v>-7117000</v>
      </c>
      <c r="Q1095" s="6" t="str">
        <f t="shared" si="529"/>
        <v>=-7117000</v>
      </c>
      <c r="R1095" s="11">
        <f>-7117000</f>
        <v>-7117000</v>
      </c>
      <c r="S1095" s="8">
        <f t="shared" si="546"/>
        <v>-0.90922193877551016</v>
      </c>
      <c r="T1095" s="7">
        <f>-7840*10000</f>
        <v>-78400000</v>
      </c>
      <c r="U1095" s="6" t="str">
        <f t="shared" si="530"/>
        <v>=-78400000</v>
      </c>
      <c r="V1095" s="1">
        <f>-78400000</f>
        <v>-78400000</v>
      </c>
      <c r="W1095" s="8">
        <f t="shared" si="547"/>
        <v>-0.30803177405119153</v>
      </c>
      <c r="X1095" s="6">
        <f>-1.133*100000000</f>
        <v>-113300000</v>
      </c>
      <c r="Y1095" s="6" t="str">
        <f t="shared" si="531"/>
        <v>=-113300000</v>
      </c>
      <c r="Z1095" s="1">
        <f>-113300000</f>
        <v>-113300000</v>
      </c>
      <c r="AA1095" s="8">
        <f t="shared" si="548"/>
        <v>0.12067260138476756</v>
      </c>
      <c r="AB1095" s="6">
        <f>-1.011*100000000</f>
        <v>-101099999.99999999</v>
      </c>
      <c r="AC1095" s="6" t="str">
        <f t="shared" si="532"/>
        <v>=-101100000</v>
      </c>
      <c r="AD1095" s="1">
        <f>-101100000</f>
        <v>-101100000</v>
      </c>
      <c r="AE1095" s="8">
        <f t="shared" si="549"/>
        <v>0.55037570924704804</v>
      </c>
      <c r="AF1095" s="7">
        <f>-6521*10000</f>
        <v>-65210000</v>
      </c>
      <c r="AG1095" s="6" t="str">
        <f t="shared" si="533"/>
        <v>=-65210000</v>
      </c>
      <c r="AH1095" s="1">
        <f>-65210000</f>
        <v>-65210000</v>
      </c>
      <c r="AI1095" s="8">
        <f t="shared" si="550"/>
        <v>-2.7283328915981979</v>
      </c>
      <c r="AJ1095" s="7" t="s">
        <v>11417</v>
      </c>
      <c r="AK1095" s="6" t="str">
        <f t="shared" si="534"/>
        <v>=3773*10000</v>
      </c>
      <c r="AL1095" s="1">
        <f>3773*10000</f>
        <v>37730000</v>
      </c>
      <c r="AM1095" s="8">
        <f t="shared" si="551"/>
        <v>0.39792515746572804</v>
      </c>
      <c r="AN1095" s="7" t="s">
        <v>11418</v>
      </c>
      <c r="AO1095" s="6" t="str">
        <f t="shared" si="535"/>
        <v>=2699*10000</v>
      </c>
      <c r="AP1095" s="1">
        <f>2699*10000</f>
        <v>26990000</v>
      </c>
      <c r="AQ1095" s="8">
        <f t="shared" si="552"/>
        <v>4.3696829079659709E-2</v>
      </c>
      <c r="AR1095" s="7" t="s">
        <v>11419</v>
      </c>
      <c r="AS1095" s="6" t="str">
        <f t="shared" si="536"/>
        <v>=2586*10000</v>
      </c>
      <c r="AT1095" s="1">
        <f>2586*10000</f>
        <v>25860000</v>
      </c>
      <c r="AU1095" s="8">
        <f t="shared" si="553"/>
        <v>0.59432799013563498</v>
      </c>
      <c r="AV1095" s="7" t="s">
        <v>8733</v>
      </c>
      <c r="AW1095" s="6" t="str">
        <f t="shared" si="537"/>
        <v>=1622*10000</v>
      </c>
      <c r="AX1095" s="1">
        <f>1622*10000</f>
        <v>16220000</v>
      </c>
      <c r="AY1095" s="10">
        <f t="shared" si="554"/>
        <v>-0.7142857142857143</v>
      </c>
      <c r="AZ1095" s="7" t="s">
        <v>11420</v>
      </c>
      <c r="BA1095" s="6" t="str">
        <f t="shared" si="538"/>
        <v>=5677*10000</v>
      </c>
      <c r="BB1095" s="1">
        <f>5677*10000</f>
        <v>56770000</v>
      </c>
      <c r="BC1095" s="8">
        <f t="shared" si="555"/>
        <v>0.32392723880597013</v>
      </c>
      <c r="BD1095" s="7" t="s">
        <v>11421</v>
      </c>
      <c r="BE1095" s="6" t="str">
        <f t="shared" si="539"/>
        <v>=4288*10000</v>
      </c>
      <c r="BF1095" s="1">
        <f>4288*10000</f>
        <v>42880000</v>
      </c>
      <c r="BG1095" s="8">
        <f t="shared" si="556"/>
        <v>0.17802197802197803</v>
      </c>
      <c r="BH1095" s="7" t="s">
        <v>11422</v>
      </c>
      <c r="BI1095" s="6" t="str">
        <f t="shared" si="540"/>
        <v>=3640*10000</v>
      </c>
      <c r="BJ1095" s="1">
        <f>3640*10000</f>
        <v>36400000</v>
      </c>
      <c r="BK1095" s="7" t="s">
        <v>9274</v>
      </c>
      <c r="BL1095" s="1" t="str">
        <f t="shared" si="542"/>
        <v>=2637*10000</v>
      </c>
      <c r="BM1095" s="16">
        <f t="shared" si="557"/>
        <v>0.38035646568069775</v>
      </c>
      <c r="BN1095" s="1">
        <f>2637*10000</f>
        <v>26370000</v>
      </c>
    </row>
    <row r="1096" spans="1:66">
      <c r="A1096" s="18"/>
      <c r="B1096">
        <v>600861</v>
      </c>
      <c r="C1096" t="s">
        <v>58</v>
      </c>
      <c r="D1096" s="7">
        <f>-6162*10000</f>
        <v>-61620000</v>
      </c>
      <c r="E1096" s="7" t="str">
        <f t="shared" si="541"/>
        <v>=-61620000</v>
      </c>
      <c r="F1096" s="1">
        <f>-61620000</f>
        <v>-61620000</v>
      </c>
      <c r="G1096" s="8">
        <f t="shared" si="543"/>
        <v>1.2546652030735455</v>
      </c>
      <c r="H1096" s="7">
        <f>-2733*10000</f>
        <v>-27330000</v>
      </c>
      <c r="I1096" s="6" t="str">
        <f t="shared" si="527"/>
        <v>=-27330000</v>
      </c>
      <c r="J1096" s="1">
        <f>-27330000</f>
        <v>-27330000</v>
      </c>
      <c r="K1096" s="10">
        <f t="shared" si="544"/>
        <v>0.64144144144144144</v>
      </c>
      <c r="L1096" s="7">
        <f>-1665*10000</f>
        <v>-16650000</v>
      </c>
      <c r="M1096" s="6" t="str">
        <f t="shared" si="528"/>
        <v>=-16650000</v>
      </c>
      <c r="N1096" s="1">
        <f>-16650000</f>
        <v>-16650000</v>
      </c>
      <c r="O1096" s="8">
        <f t="shared" si="545"/>
        <v>1.3915541511060041</v>
      </c>
      <c r="P1096" s="7">
        <f>-696.2*10000</f>
        <v>-6962000</v>
      </c>
      <c r="Q1096" s="6" t="str">
        <f t="shared" si="529"/>
        <v>=-6962000</v>
      </c>
      <c r="R1096" s="11">
        <f>-6962000</f>
        <v>-6962000</v>
      </c>
      <c r="S1096" s="8">
        <f t="shared" si="546"/>
        <v>-0.9097485092040446</v>
      </c>
      <c r="T1096" s="7">
        <f>-7714*10000</f>
        <v>-77140000</v>
      </c>
      <c r="U1096" s="6" t="str">
        <f t="shared" si="530"/>
        <v>=-77140000</v>
      </c>
      <c r="V1096" s="1">
        <f>-77140000</f>
        <v>-77140000</v>
      </c>
      <c r="W1096" s="8">
        <f t="shared" si="547"/>
        <v>-0.31308993766696347</v>
      </c>
      <c r="X1096" s="6">
        <f>-1.123*100000000</f>
        <v>-112300000</v>
      </c>
      <c r="Y1096" s="6" t="str">
        <f t="shared" si="531"/>
        <v>=-112300000</v>
      </c>
      <c r="Z1096" s="1">
        <f>-112300000</f>
        <v>-112300000</v>
      </c>
      <c r="AA1096" s="8">
        <f t="shared" si="548"/>
        <v>0.11630218687872763</v>
      </c>
      <c r="AB1096" s="6">
        <f>-1.006*100000000</f>
        <v>-100600000</v>
      </c>
      <c r="AC1096" s="6" t="str">
        <f t="shared" si="532"/>
        <v>=-100600000</v>
      </c>
      <c r="AD1096" s="1">
        <f>-100600000</f>
        <v>-100600000</v>
      </c>
      <c r="AE1096" s="8">
        <f t="shared" si="549"/>
        <v>0.52424242424242429</v>
      </c>
      <c r="AF1096" s="7">
        <f>-6600*10000</f>
        <v>-66000000</v>
      </c>
      <c r="AG1096" s="6" t="str">
        <f t="shared" si="533"/>
        <v>=-66000000</v>
      </c>
      <c r="AH1096" s="1">
        <f>-66000000</f>
        <v>-66000000</v>
      </c>
      <c r="AI1096" s="8">
        <f t="shared" si="550"/>
        <v>-2.944035346097202</v>
      </c>
      <c r="AJ1096" s="7" t="s">
        <v>11423</v>
      </c>
      <c r="AK1096" s="6" t="str">
        <f t="shared" si="534"/>
        <v>=3395*10000</v>
      </c>
      <c r="AL1096" s="1">
        <f>3395*10000</f>
        <v>33950000</v>
      </c>
      <c r="AM1096" s="8">
        <f t="shared" si="551"/>
        <v>0.26396128071481756</v>
      </c>
      <c r="AN1096" s="7" t="s">
        <v>11424</v>
      </c>
      <c r="AO1096" s="6" t="str">
        <f t="shared" si="535"/>
        <v>=2686*10000</v>
      </c>
      <c r="AP1096" s="1">
        <f>2686*10000</f>
        <v>26860000</v>
      </c>
      <c r="AQ1096" s="8">
        <f t="shared" si="552"/>
        <v>7.8799249530956857E-3</v>
      </c>
      <c r="AR1096" s="7" t="s">
        <v>7601</v>
      </c>
      <c r="AS1096" s="6" t="str">
        <f t="shared" si="536"/>
        <v>=2665*10000</v>
      </c>
      <c r="AT1096" s="1">
        <f>2665*10000</f>
        <v>26650000</v>
      </c>
      <c r="AU1096" s="8">
        <f t="shared" si="553"/>
        <v>0.63196570728720147</v>
      </c>
      <c r="AV1096" s="7" t="s">
        <v>7580</v>
      </c>
      <c r="AW1096" s="6" t="str">
        <f t="shared" si="537"/>
        <v>=1633*10000</v>
      </c>
      <c r="AX1096" s="1">
        <f>1633*10000</f>
        <v>16330000</v>
      </c>
      <c r="AY1096" s="10">
        <f t="shared" si="554"/>
        <v>-0.72161609273781113</v>
      </c>
      <c r="AZ1096" s="7" t="s">
        <v>7393</v>
      </c>
      <c r="BA1096" s="6" t="str">
        <f t="shared" si="538"/>
        <v>=5866*10000</v>
      </c>
      <c r="BB1096" s="1">
        <f>5866*10000</f>
        <v>58660000</v>
      </c>
      <c r="BC1096" s="8">
        <f t="shared" si="555"/>
        <v>0.35818476499189628</v>
      </c>
      <c r="BD1096" s="7" t="s">
        <v>11425</v>
      </c>
      <c r="BE1096" s="6" t="str">
        <f t="shared" si="539"/>
        <v>=4319*10000</v>
      </c>
      <c r="BF1096" s="1">
        <f>4319*10000</f>
        <v>43190000</v>
      </c>
      <c r="BG1096" s="8">
        <f t="shared" si="556"/>
        <v>0.17908817908817909</v>
      </c>
      <c r="BH1096" s="7" t="s">
        <v>11369</v>
      </c>
      <c r="BI1096" s="6" t="str">
        <f t="shared" si="540"/>
        <v>=3663*10000</v>
      </c>
      <c r="BJ1096" s="1">
        <f>3663*10000</f>
        <v>36630000</v>
      </c>
      <c r="BK1096" s="7" t="s">
        <v>11426</v>
      </c>
      <c r="BL1096" s="1" t="str">
        <f t="shared" si="542"/>
        <v>=2651*10000</v>
      </c>
      <c r="BM1096" s="16">
        <f t="shared" si="557"/>
        <v>0.38174273858921159</v>
      </c>
      <c r="BN1096" s="1">
        <f>2651*10000</f>
        <v>26510000</v>
      </c>
    </row>
    <row r="1097" spans="1:66">
      <c r="A1097" s="19"/>
      <c r="B1097">
        <v>600861</v>
      </c>
      <c r="C1097" t="s">
        <v>68</v>
      </c>
      <c r="D1097" s="7">
        <f>-6013*10000</f>
        <v>-60130000</v>
      </c>
      <c r="E1097" s="7" t="str">
        <f t="shared" si="541"/>
        <v>=-60130000</v>
      </c>
      <c r="F1097" s="1">
        <f>-60130000</f>
        <v>-60130000</v>
      </c>
      <c r="G1097" s="8">
        <f t="shared" si="543"/>
        <v>1.0856746444675685</v>
      </c>
      <c r="H1097" s="7">
        <f>-2883*10000</f>
        <v>-28830000</v>
      </c>
      <c r="I1097" s="6" t="str">
        <f t="shared" si="527"/>
        <v>=-28830000</v>
      </c>
      <c r="J1097" s="1">
        <f>-28830000</f>
        <v>-28830000</v>
      </c>
      <c r="K1097" s="10">
        <f t="shared" si="544"/>
        <v>0.62789384528514969</v>
      </c>
      <c r="L1097" s="7">
        <f>-1771*10000</f>
        <v>-17710000</v>
      </c>
      <c r="M1097" s="6" t="str">
        <f t="shared" si="528"/>
        <v>=-17710000</v>
      </c>
      <c r="N1097" s="1">
        <f>-17710000</f>
        <v>-17710000</v>
      </c>
      <c r="O1097" s="8">
        <f t="shared" si="545"/>
        <v>1.3232323232323233</v>
      </c>
      <c r="P1097" s="7">
        <f>-762.3*10000</f>
        <v>-7623000</v>
      </c>
      <c r="Q1097" s="6" t="str">
        <f t="shared" si="529"/>
        <v>=-7623000</v>
      </c>
      <c r="R1097" s="11">
        <f>-7623000</f>
        <v>-7623000</v>
      </c>
      <c r="S1097" s="8">
        <f t="shared" si="546"/>
        <v>-0.9000917431192661</v>
      </c>
      <c r="T1097" s="7">
        <f>-7630*10000</f>
        <v>-76300000</v>
      </c>
      <c r="U1097" s="6" t="str">
        <f t="shared" si="530"/>
        <v>=-76300000</v>
      </c>
      <c r="V1097" s="1">
        <f>-76300000</f>
        <v>-76300000</v>
      </c>
      <c r="W1097" s="8">
        <f t="shared" si="547"/>
        <v>-0.31261261261261264</v>
      </c>
      <c r="X1097" s="6">
        <f>-1.11*100000000</f>
        <v>-111000000.00000001</v>
      </c>
      <c r="Y1097" s="6" t="str">
        <f t="shared" si="531"/>
        <v>=-111000000</v>
      </c>
      <c r="Z1097" s="1">
        <f>-111000000</f>
        <v>-111000000</v>
      </c>
      <c r="AA1097" s="8">
        <f t="shared" si="548"/>
        <v>0.12382302318517768</v>
      </c>
      <c r="AB1097" s="7">
        <f>-9877*10000</f>
        <v>-98770000</v>
      </c>
      <c r="AC1097" s="6" t="str">
        <f t="shared" si="532"/>
        <v>=-98770000</v>
      </c>
      <c r="AD1097" s="1">
        <f>-98770000</f>
        <v>-98770000</v>
      </c>
      <c r="AE1097" s="8">
        <f t="shared" si="549"/>
        <v>0.48593350383631712</v>
      </c>
      <c r="AF1097" s="7">
        <f>-6647*10000</f>
        <v>-66470000</v>
      </c>
      <c r="AG1097" s="6" t="str">
        <f t="shared" si="533"/>
        <v>=-66470000</v>
      </c>
      <c r="AH1097" s="1">
        <f>-66470000</f>
        <v>-66470000</v>
      </c>
      <c r="AI1097" s="8">
        <f t="shared" si="550"/>
        <v>-5.931008902077151</v>
      </c>
      <c r="AJ1097" s="7" t="s">
        <v>11427</v>
      </c>
      <c r="AK1097" s="6" t="str">
        <f t="shared" si="534"/>
        <v>=1348*10000</v>
      </c>
      <c r="AL1097" s="1">
        <f>1348*10000</f>
        <v>13480000</v>
      </c>
      <c r="AM1097" s="8">
        <f t="shared" si="551"/>
        <v>-4.5325779036827198E-2</v>
      </c>
      <c r="AN1097" s="7" t="s">
        <v>11032</v>
      </c>
      <c r="AO1097" s="6" t="str">
        <f t="shared" si="535"/>
        <v>=1412*10000</v>
      </c>
      <c r="AP1097" s="1">
        <f>1412*10000</f>
        <v>14120000</v>
      </c>
      <c r="AQ1097" s="8">
        <f t="shared" si="552"/>
        <v>-0.12024922118380062</v>
      </c>
      <c r="AR1097" s="7" t="s">
        <v>11428</v>
      </c>
      <c r="AS1097" s="6" t="str">
        <f t="shared" si="536"/>
        <v>=1605*10000</v>
      </c>
      <c r="AT1097" s="1">
        <f>1605*10000</f>
        <v>16050000</v>
      </c>
      <c r="AU1097" s="8">
        <f t="shared" si="553"/>
        <v>0.40052356020942409</v>
      </c>
      <c r="AV1097" s="7" t="s">
        <v>11429</v>
      </c>
      <c r="AW1097" s="6" t="str">
        <f t="shared" si="537"/>
        <v>=1146*10000</v>
      </c>
      <c r="AX1097" s="1">
        <f>1146*10000</f>
        <v>11460000</v>
      </c>
      <c r="AY1097" s="10">
        <f t="shared" si="554"/>
        <v>-0.74247191011235958</v>
      </c>
      <c r="AZ1097" s="7" t="s">
        <v>11430</v>
      </c>
      <c r="BA1097" s="6" t="str">
        <f t="shared" si="538"/>
        <v>=4450*10000</v>
      </c>
      <c r="BB1097" s="1">
        <f>4450*10000</f>
        <v>44500000</v>
      </c>
      <c r="BC1097" s="8">
        <f t="shared" si="555"/>
        <v>0.286871023713129</v>
      </c>
      <c r="BD1097" s="7" t="s">
        <v>11138</v>
      </c>
      <c r="BE1097" s="6" t="str">
        <f t="shared" si="539"/>
        <v>=3458*10000</v>
      </c>
      <c r="BF1097" s="1">
        <f>3458*10000</f>
        <v>34580000</v>
      </c>
      <c r="BG1097" s="8">
        <f t="shared" si="556"/>
        <v>0.21248246844319776</v>
      </c>
      <c r="BH1097" s="7" t="s">
        <v>9783</v>
      </c>
      <c r="BI1097" s="6" t="str">
        <f t="shared" si="540"/>
        <v>=2852*10000</v>
      </c>
      <c r="BJ1097" s="1">
        <f>2852*10000</f>
        <v>28520000</v>
      </c>
      <c r="BK1097" s="7" t="s">
        <v>2244</v>
      </c>
      <c r="BL1097" s="1" t="str">
        <f t="shared" si="542"/>
        <v>=1755*10000</v>
      </c>
      <c r="BM1097" s="16">
        <f t="shared" si="557"/>
        <v>0.62507122507122503</v>
      </c>
      <c r="BN1097" s="1">
        <f>1755*10000</f>
        <v>17550000</v>
      </c>
    </row>
    <row r="1098" spans="1:66">
      <c r="A1098" s="17">
        <v>276</v>
      </c>
      <c r="B1098">
        <v>600862</v>
      </c>
      <c r="C1098" t="s">
        <v>31</v>
      </c>
      <c r="D1098" s="6" t="s">
        <v>5241</v>
      </c>
      <c r="E1098" s="7" t="str">
        <f t="shared" si="541"/>
        <v>=38.08*100000000</v>
      </c>
      <c r="F1098" s="1">
        <f>38.08*100000000</f>
        <v>3808000000</v>
      </c>
      <c r="G1098" s="8">
        <f t="shared" si="543"/>
        <v>0.33614035087719296</v>
      </c>
      <c r="H1098" s="6" t="s">
        <v>11431</v>
      </c>
      <c r="I1098" s="6" t="str">
        <f t="shared" si="527"/>
        <v>=28.50*100000000</v>
      </c>
      <c r="J1098" s="1">
        <f>28.5*100000000</f>
        <v>2850000000</v>
      </c>
      <c r="K1098" s="10">
        <f t="shared" si="544"/>
        <v>0.47362978283350571</v>
      </c>
      <c r="L1098" s="6" t="s">
        <v>11432</v>
      </c>
      <c r="M1098" s="6" t="str">
        <f t="shared" si="528"/>
        <v>=19.34*100000000</v>
      </c>
      <c r="N1098" s="1">
        <f>19.34*100000000</f>
        <v>1934000000</v>
      </c>
      <c r="O1098" s="8">
        <f t="shared" si="545"/>
        <v>0.9523521098324248</v>
      </c>
      <c r="P1098" s="6" t="s">
        <v>11433</v>
      </c>
      <c r="Q1098" s="6" t="str">
        <f t="shared" si="529"/>
        <v>=9.906*100000000</v>
      </c>
      <c r="R1098" s="11">
        <f>9.906*100000000</f>
        <v>990600000</v>
      </c>
      <c r="S1098" s="8">
        <f t="shared" si="546"/>
        <v>-0.65982142857142856</v>
      </c>
      <c r="T1098" s="6" t="s">
        <v>8595</v>
      </c>
      <c r="U1098" s="6" t="str">
        <f t="shared" si="530"/>
        <v>=29.12*100000000</v>
      </c>
      <c r="V1098" s="1">
        <f>29.12*100000000</f>
        <v>2912000000</v>
      </c>
      <c r="W1098" s="8">
        <f t="shared" si="547"/>
        <v>0.24604193410355157</v>
      </c>
      <c r="X1098" s="6" t="s">
        <v>152</v>
      </c>
      <c r="Y1098" s="6" t="str">
        <f t="shared" si="531"/>
        <v>=23.37*100000000</v>
      </c>
      <c r="Z1098" s="1">
        <f>23.37*100000000</f>
        <v>2337000000</v>
      </c>
      <c r="AA1098" s="8">
        <f t="shared" si="548"/>
        <v>0.32108535895986418</v>
      </c>
      <c r="AB1098" s="6" t="s">
        <v>7630</v>
      </c>
      <c r="AC1098" s="6" t="str">
        <f t="shared" si="532"/>
        <v>=17.69*100000000</v>
      </c>
      <c r="AD1098" s="1">
        <f>17.69*100000000</f>
        <v>1769000000.0000002</v>
      </c>
      <c r="AE1098" s="8">
        <f t="shared" si="549"/>
        <v>1.2956138074227876</v>
      </c>
      <c r="AF1098" s="6" t="s">
        <v>11434</v>
      </c>
      <c r="AG1098" s="6" t="str">
        <f t="shared" si="533"/>
        <v>=7.706*100000000</v>
      </c>
      <c r="AH1098" s="1">
        <f>7.706*100000000</f>
        <v>770600000</v>
      </c>
      <c r="AI1098" s="8">
        <f t="shared" si="550"/>
        <v>-0.68839466235341695</v>
      </c>
      <c r="AJ1098" s="6" t="s">
        <v>11435</v>
      </c>
      <c r="AK1098" s="6" t="str">
        <f t="shared" si="534"/>
        <v>=24.73*100000000</v>
      </c>
      <c r="AL1098" s="1">
        <f>24.73*100000000</f>
        <v>2473000000</v>
      </c>
      <c r="AM1098" s="8">
        <f t="shared" si="551"/>
        <v>0.15506772536198038</v>
      </c>
      <c r="AN1098" s="6" t="s">
        <v>1020</v>
      </c>
      <c r="AO1098" s="6" t="str">
        <f t="shared" si="535"/>
        <v>=21.41*100000000</v>
      </c>
      <c r="AP1098" s="1">
        <f>21.41*100000000</f>
        <v>2141000000</v>
      </c>
      <c r="AQ1098" s="8">
        <f t="shared" si="552"/>
        <v>0.47961299239806499</v>
      </c>
      <c r="AR1098" s="6" t="s">
        <v>11310</v>
      </c>
      <c r="AS1098" s="6" t="str">
        <f t="shared" si="536"/>
        <v>=14.47*100000000</v>
      </c>
      <c r="AT1098" s="1">
        <f>14.47*100000000</f>
        <v>1447000000</v>
      </c>
      <c r="AU1098" s="8">
        <f t="shared" si="553"/>
        <v>1.1176642763061613</v>
      </c>
      <c r="AV1098" s="6" t="s">
        <v>11436</v>
      </c>
      <c r="AW1098" s="6" t="str">
        <f t="shared" si="537"/>
        <v>=6.833*100000000</v>
      </c>
      <c r="AX1098" s="1">
        <f>6.833*100000000</f>
        <v>683300000</v>
      </c>
      <c r="AY1098" s="10">
        <f t="shared" si="554"/>
        <v>-0.7424425179042593</v>
      </c>
      <c r="AZ1098" s="6" t="s">
        <v>6871</v>
      </c>
      <c r="BA1098" s="6" t="str">
        <f t="shared" si="538"/>
        <v>=26.53*100000000</v>
      </c>
      <c r="BB1098" s="1">
        <f>26.53*100000000</f>
        <v>2653000000</v>
      </c>
      <c r="BC1098" s="8">
        <f t="shared" si="555"/>
        <v>0.31531978185423881</v>
      </c>
      <c r="BD1098" s="6" t="s">
        <v>11437</v>
      </c>
      <c r="BE1098" s="6" t="str">
        <f t="shared" si="539"/>
        <v>=20.17*100000000</v>
      </c>
      <c r="BF1098" s="1">
        <f>20.17*100000000</f>
        <v>2017000000.0000002</v>
      </c>
      <c r="BG1098" s="8">
        <f t="shared" si="556"/>
        <v>0.44899425287356337</v>
      </c>
      <c r="BH1098" s="6" t="s">
        <v>7089</v>
      </c>
      <c r="BI1098" s="6" t="str">
        <f t="shared" si="540"/>
        <v>=13.92*100000000</v>
      </c>
      <c r="BJ1098" s="1">
        <f>13.92*100000000</f>
        <v>1392000000</v>
      </c>
      <c r="BK1098" s="6" t="s">
        <v>3748</v>
      </c>
      <c r="BL1098" s="1" t="str">
        <f t="shared" si="542"/>
        <v>=7.085*100000000</v>
      </c>
      <c r="BM1098" s="16">
        <f t="shared" si="557"/>
        <v>0.96471418489767113</v>
      </c>
      <c r="BN1098" s="1">
        <f>7.085*100000000</f>
        <v>708500000</v>
      </c>
    </row>
    <row r="1099" spans="1:66">
      <c r="A1099" s="18"/>
      <c r="B1099">
        <v>600862</v>
      </c>
      <c r="C1099" t="s">
        <v>48</v>
      </c>
      <c r="D1099" s="6" t="s">
        <v>11438</v>
      </c>
      <c r="E1099" s="7" t="str">
        <f t="shared" si="541"/>
        <v>=7.051*100000000</v>
      </c>
      <c r="F1099" s="1">
        <f>7.051*100000000</f>
        <v>705100000</v>
      </c>
      <c r="G1099" s="8">
        <f t="shared" si="543"/>
        <v>4.8787743566860033E-2</v>
      </c>
      <c r="H1099" s="6" t="s">
        <v>11439</v>
      </c>
      <c r="I1099" s="6" t="str">
        <f t="shared" si="527"/>
        <v>=6.723*100000000</v>
      </c>
      <c r="J1099" s="1">
        <f>6.723*100000000</f>
        <v>672300000</v>
      </c>
      <c r="K1099" s="10">
        <f t="shared" si="544"/>
        <v>0.48837724153199008</v>
      </c>
      <c r="L1099" s="6" t="s">
        <v>11440</v>
      </c>
      <c r="M1099" s="6" t="str">
        <f t="shared" si="528"/>
        <v>=4.517*100000000</v>
      </c>
      <c r="N1099" s="1">
        <f>4.517*100000000</f>
        <v>451700000.00000006</v>
      </c>
      <c r="O1099" s="8">
        <f t="shared" si="545"/>
        <v>0.61610017889087676</v>
      </c>
      <c r="P1099" s="6" t="s">
        <v>8084</v>
      </c>
      <c r="Q1099" s="6" t="str">
        <f t="shared" si="529"/>
        <v>=2.795*100000000</v>
      </c>
      <c r="R1099" s="11">
        <f>2.795*100000000</f>
        <v>279500000</v>
      </c>
      <c r="S1099" s="8">
        <f t="shared" si="546"/>
        <v>-0.45228297080148933</v>
      </c>
      <c r="T1099" s="6" t="s">
        <v>1064</v>
      </c>
      <c r="U1099" s="6" t="str">
        <f t="shared" si="530"/>
        <v>=5.103*100000000</v>
      </c>
      <c r="V1099" s="1">
        <f>5.103*100000000</f>
        <v>510300000</v>
      </c>
      <c r="W1099" s="8">
        <f t="shared" si="547"/>
        <v>9.7419354838709532E-2</v>
      </c>
      <c r="X1099" s="6" t="s">
        <v>1677</v>
      </c>
      <c r="Y1099" s="6" t="str">
        <f t="shared" si="531"/>
        <v>=4.650*100000000</v>
      </c>
      <c r="Z1099" s="1">
        <f>4.65*100000000</f>
        <v>465000000.00000006</v>
      </c>
      <c r="AA1099" s="8">
        <f t="shared" si="548"/>
        <v>0.24431362055124448</v>
      </c>
      <c r="AB1099" s="6" t="s">
        <v>352</v>
      </c>
      <c r="AC1099" s="6" t="str">
        <f t="shared" si="532"/>
        <v>=3.737*100000000</v>
      </c>
      <c r="AD1099" s="1">
        <f>3.737*100000000</f>
        <v>373700000</v>
      </c>
      <c r="AE1099" s="8">
        <f t="shared" si="549"/>
        <v>0.81407766990291264</v>
      </c>
      <c r="AF1099" s="6" t="s">
        <v>7522</v>
      </c>
      <c r="AG1099" s="6" t="str">
        <f t="shared" si="533"/>
        <v>=2.060*100000000</v>
      </c>
      <c r="AH1099" s="1">
        <f>2.06*100000000</f>
        <v>206000000</v>
      </c>
      <c r="AI1099" s="8">
        <f t="shared" si="550"/>
        <v>-0.6899924755455229</v>
      </c>
      <c r="AJ1099" s="6" t="s">
        <v>1686</v>
      </c>
      <c r="AK1099" s="6" t="str">
        <f t="shared" si="534"/>
        <v>=6.645*100000000</v>
      </c>
      <c r="AL1099" s="1">
        <f>6.645*100000000</f>
        <v>664500000</v>
      </c>
      <c r="AM1099" s="8">
        <f t="shared" si="551"/>
        <v>0.48924249215598387</v>
      </c>
      <c r="AN1099" s="6" t="s">
        <v>11441</v>
      </c>
      <c r="AO1099" s="6" t="str">
        <f t="shared" si="535"/>
        <v>=4.462*100000000</v>
      </c>
      <c r="AP1099" s="1">
        <f>4.462*100000000</f>
        <v>446200000</v>
      </c>
      <c r="AQ1099" s="8">
        <f t="shared" si="552"/>
        <v>0.32482185273159148</v>
      </c>
      <c r="AR1099" s="6" t="s">
        <v>11442</v>
      </c>
      <c r="AS1099" s="6" t="str">
        <f t="shared" si="536"/>
        <v>=3.368*100000000</v>
      </c>
      <c r="AT1099" s="1">
        <f>3.368*100000000</f>
        <v>336800000</v>
      </c>
      <c r="AU1099" s="8">
        <f t="shared" si="553"/>
        <v>1.2438374417055296</v>
      </c>
      <c r="AV1099" s="6" t="s">
        <v>1454</v>
      </c>
      <c r="AW1099" s="6" t="str">
        <f t="shared" si="537"/>
        <v>=1.501*100000000</v>
      </c>
      <c r="AX1099" s="1">
        <f>1.501*100000000</f>
        <v>150100000</v>
      </c>
      <c r="AY1099" s="10">
        <f t="shared" si="554"/>
        <v>-0.68611459640317862</v>
      </c>
      <c r="AZ1099" s="6" t="s">
        <v>11443</v>
      </c>
      <c r="BA1099" s="6" t="str">
        <f t="shared" si="538"/>
        <v>=4.782*100000000</v>
      </c>
      <c r="BB1099" s="1">
        <f>4.782*100000000</f>
        <v>478200000</v>
      </c>
      <c r="BC1099" s="8">
        <f t="shared" si="555"/>
        <v>0.4468986384266263</v>
      </c>
      <c r="BD1099" s="6" t="s">
        <v>4380</v>
      </c>
      <c r="BE1099" s="6" t="str">
        <f t="shared" si="539"/>
        <v>=3.305*100000000</v>
      </c>
      <c r="BF1099" s="1">
        <f>3.305*100000000</f>
        <v>330500000</v>
      </c>
      <c r="BG1099" s="8">
        <f t="shared" si="556"/>
        <v>0.58665386461833868</v>
      </c>
      <c r="BH1099" s="6" t="s">
        <v>8460</v>
      </c>
      <c r="BI1099" s="6" t="str">
        <f t="shared" si="540"/>
        <v>=2.083*100000000</v>
      </c>
      <c r="BJ1099" s="1">
        <f>2.083*100000000</f>
        <v>208300000.00000003</v>
      </c>
      <c r="BK1099" s="7" t="s">
        <v>11444</v>
      </c>
      <c r="BL1099" s="1" t="str">
        <f t="shared" si="542"/>
        <v>=5761*10000</v>
      </c>
      <c r="BM1099" s="16">
        <f t="shared" si="557"/>
        <v>2.6156917201874679</v>
      </c>
      <c r="BN1099" s="1">
        <f>5761*10000</f>
        <v>57610000</v>
      </c>
    </row>
    <row r="1100" spans="1:66">
      <c r="A1100" s="18"/>
      <c r="B1100">
        <v>600862</v>
      </c>
      <c r="C1100" t="s">
        <v>58</v>
      </c>
      <c r="D1100" s="6" t="s">
        <v>11445</v>
      </c>
      <c r="E1100" s="7" t="str">
        <f t="shared" si="541"/>
        <v>=7.058*100000000</v>
      </c>
      <c r="F1100" s="1">
        <f>7.058*100000000</f>
        <v>705800000</v>
      </c>
      <c r="G1100" s="8">
        <f t="shared" si="543"/>
        <v>3.9010746356543502E-2</v>
      </c>
      <c r="H1100" s="6" t="s">
        <v>10768</v>
      </c>
      <c r="I1100" s="6" t="str">
        <f t="shared" si="527"/>
        <v>=6.793*100000000</v>
      </c>
      <c r="J1100" s="1">
        <f>6.793*100000000</f>
        <v>679300000</v>
      </c>
      <c r="K1100" s="10">
        <f t="shared" si="544"/>
        <v>0.47931184668989568</v>
      </c>
      <c r="L1100" s="6" t="s">
        <v>11446</v>
      </c>
      <c r="M1100" s="6" t="str">
        <f t="shared" si="528"/>
        <v>=4.592*100000000</v>
      </c>
      <c r="N1100" s="1">
        <f>4.592*100000000</f>
        <v>459199999.99999994</v>
      </c>
      <c r="O1100" s="8">
        <f t="shared" si="545"/>
        <v>0.61918194640338486</v>
      </c>
      <c r="P1100" s="6" t="s">
        <v>4516</v>
      </c>
      <c r="Q1100" s="6" t="str">
        <f t="shared" si="529"/>
        <v>=2.836*100000000</v>
      </c>
      <c r="R1100" s="11">
        <f>2.836*100000000</f>
        <v>283600000</v>
      </c>
      <c r="S1100" s="8">
        <f t="shared" si="546"/>
        <v>-0.45091965150048402</v>
      </c>
      <c r="T1100" s="6" t="s">
        <v>7668</v>
      </c>
      <c r="U1100" s="6" t="str">
        <f t="shared" si="530"/>
        <v>=5.165*100000000</v>
      </c>
      <c r="V1100" s="1">
        <f>5.165*100000000</f>
        <v>516500000</v>
      </c>
      <c r="W1100" s="8">
        <f t="shared" si="547"/>
        <v>0.10623259798672106</v>
      </c>
      <c r="X1100" s="6" t="s">
        <v>11447</v>
      </c>
      <c r="Y1100" s="6" t="str">
        <f t="shared" si="531"/>
        <v>=4.669*100000000</v>
      </c>
      <c r="Z1100" s="1">
        <f>4.669*100000000</f>
        <v>466899999.99999994</v>
      </c>
      <c r="AA1100" s="8">
        <f t="shared" si="548"/>
        <v>0.24043570669500516</v>
      </c>
      <c r="AB1100" s="6" t="s">
        <v>11448</v>
      </c>
      <c r="AC1100" s="6" t="str">
        <f t="shared" si="532"/>
        <v>=3.764*100000000</v>
      </c>
      <c r="AD1100" s="1">
        <f>3.764*100000000</f>
        <v>376400000</v>
      </c>
      <c r="AE1100" s="8">
        <f t="shared" si="549"/>
        <v>0.81135707410972113</v>
      </c>
      <c r="AF1100" s="6" t="s">
        <v>4755</v>
      </c>
      <c r="AG1100" s="6" t="str">
        <f t="shared" si="533"/>
        <v>=2.078*100000000</v>
      </c>
      <c r="AH1100" s="1">
        <f>2.078*100000000</f>
        <v>207799999.99999997</v>
      </c>
      <c r="AI1100" s="8">
        <f t="shared" si="550"/>
        <v>-0.68868913857677905</v>
      </c>
      <c r="AJ1100" s="6" t="s">
        <v>10251</v>
      </c>
      <c r="AK1100" s="6" t="str">
        <f t="shared" si="534"/>
        <v>=6.675*100000000</v>
      </c>
      <c r="AL1100" s="1">
        <f>6.675*100000000</f>
        <v>667500000</v>
      </c>
      <c r="AM1100" s="8">
        <f t="shared" si="551"/>
        <v>0.462853385930309</v>
      </c>
      <c r="AN1100" s="6" t="s">
        <v>11449</v>
      </c>
      <c r="AO1100" s="6" t="str">
        <f t="shared" si="535"/>
        <v>=4.563*100000000</v>
      </c>
      <c r="AP1100" s="1">
        <f>4.563*100000000</f>
        <v>456300000</v>
      </c>
      <c r="AQ1100" s="8">
        <f t="shared" si="552"/>
        <v>0.32184241019698723</v>
      </c>
      <c r="AR1100" s="6" t="s">
        <v>11450</v>
      </c>
      <c r="AS1100" s="6" t="str">
        <f t="shared" si="536"/>
        <v>=3.452*100000000</v>
      </c>
      <c r="AT1100" s="1">
        <f>3.452*100000000</f>
        <v>345200000</v>
      </c>
      <c r="AU1100" s="8">
        <f t="shared" si="553"/>
        <v>1.172435494021397</v>
      </c>
      <c r="AV1100" s="6" t="s">
        <v>2165</v>
      </c>
      <c r="AW1100" s="6" t="str">
        <f t="shared" si="537"/>
        <v>=1.589*100000000</v>
      </c>
      <c r="AX1100" s="1">
        <f>1.589*100000000</f>
        <v>158900000</v>
      </c>
      <c r="AY1100" s="10">
        <f t="shared" si="554"/>
        <v>-0.66978387364921033</v>
      </c>
      <c r="AZ1100" s="6" t="s">
        <v>4048</v>
      </c>
      <c r="BA1100" s="6" t="str">
        <f t="shared" si="538"/>
        <v>=4.812*100000000</v>
      </c>
      <c r="BB1100" s="1">
        <f>4.812*100000000</f>
        <v>481200000</v>
      </c>
      <c r="BC1100" s="8">
        <f t="shared" si="555"/>
        <v>0.44028733912002394</v>
      </c>
      <c r="BD1100" s="6" t="s">
        <v>3485</v>
      </c>
      <c r="BE1100" s="6" t="str">
        <f t="shared" si="539"/>
        <v>=3.341*100000000</v>
      </c>
      <c r="BF1100" s="1">
        <f>3.341*100000000</f>
        <v>334100000</v>
      </c>
      <c r="BG1100" s="8">
        <f t="shared" si="556"/>
        <v>0.60393662986077745</v>
      </c>
      <c r="BH1100" s="6" t="s">
        <v>8460</v>
      </c>
      <c r="BI1100" s="6" t="str">
        <f t="shared" si="540"/>
        <v>=2.083*100000000</v>
      </c>
      <c r="BJ1100" s="1">
        <f>2.083*100000000</f>
        <v>208300000.00000003</v>
      </c>
      <c r="BK1100" s="7" t="s">
        <v>11451</v>
      </c>
      <c r="BL1100" s="1" t="str">
        <f t="shared" si="542"/>
        <v>=6686*10000</v>
      </c>
      <c r="BM1100" s="16">
        <f t="shared" si="557"/>
        <v>2.1154651510619207</v>
      </c>
      <c r="BN1100" s="1">
        <f>6686*10000</f>
        <v>66860000</v>
      </c>
    </row>
    <row r="1101" spans="1:66">
      <c r="A1101" s="19"/>
      <c r="B1101">
        <v>600862</v>
      </c>
      <c r="C1101" t="s">
        <v>68</v>
      </c>
      <c r="D1101" s="6" t="s">
        <v>11452</v>
      </c>
      <c r="E1101" s="7" t="str">
        <f t="shared" si="541"/>
        <v>=5.913*100000000</v>
      </c>
      <c r="F1101" s="1">
        <f>5.913*100000000</f>
        <v>591300000</v>
      </c>
      <c r="G1101" s="8">
        <f t="shared" si="543"/>
        <v>3.9739757341304728E-2</v>
      </c>
      <c r="H1101" s="6" t="s">
        <v>11453</v>
      </c>
      <c r="I1101" s="6" t="str">
        <f t="shared" si="527"/>
        <v>=5.687*100000000</v>
      </c>
      <c r="J1101" s="1">
        <f>5.687*100000000</f>
        <v>568700000</v>
      </c>
      <c r="K1101" s="10">
        <f t="shared" si="544"/>
        <v>0.48098958333333336</v>
      </c>
      <c r="L1101" s="6" t="s">
        <v>11454</v>
      </c>
      <c r="M1101" s="6" t="str">
        <f t="shared" si="528"/>
        <v>=3.840*100000000</v>
      </c>
      <c r="N1101" s="1">
        <f>3.84*100000000</f>
        <v>384000000</v>
      </c>
      <c r="O1101" s="8">
        <f t="shared" si="545"/>
        <v>0.61888701517706579</v>
      </c>
      <c r="P1101" s="6" t="s">
        <v>10787</v>
      </c>
      <c r="Q1101" s="6" t="str">
        <f t="shared" si="529"/>
        <v>=2.372*100000000</v>
      </c>
      <c r="R1101" s="11">
        <f>2.372*100000000</f>
        <v>237200000</v>
      </c>
      <c r="S1101" s="8">
        <f t="shared" si="546"/>
        <v>-0.44811540251279663</v>
      </c>
      <c r="T1101" s="6" t="s">
        <v>11455</v>
      </c>
      <c r="U1101" s="6" t="str">
        <f t="shared" si="530"/>
        <v>=4.298*100000000</v>
      </c>
      <c r="V1101" s="1">
        <f>4.298*100000000</f>
        <v>429800000</v>
      </c>
      <c r="W1101" s="8">
        <f t="shared" si="547"/>
        <v>7.3694728953285035E-2</v>
      </c>
      <c r="X1101" s="6" t="s">
        <v>4230</v>
      </c>
      <c r="Y1101" s="6" t="str">
        <f t="shared" si="531"/>
        <v>=4.003*100000000</v>
      </c>
      <c r="Z1101" s="1">
        <f>4.003*100000000</f>
        <v>400300000</v>
      </c>
      <c r="AA1101" s="8">
        <f t="shared" si="548"/>
        <v>0.2447139303482587</v>
      </c>
      <c r="AB1101" s="6" t="s">
        <v>5724</v>
      </c>
      <c r="AC1101" s="6" t="str">
        <f t="shared" si="532"/>
        <v>=3.216*100000000</v>
      </c>
      <c r="AD1101" s="1">
        <f>3.216*100000000</f>
        <v>321600000</v>
      </c>
      <c r="AE1101" s="8">
        <f t="shared" si="549"/>
        <v>0.73275862068965514</v>
      </c>
      <c r="AF1101" s="6" t="s">
        <v>11456</v>
      </c>
      <c r="AG1101" s="6" t="str">
        <f t="shared" si="533"/>
        <v>=1.856*100000000</v>
      </c>
      <c r="AH1101" s="1">
        <f>1.856*100000000</f>
        <v>185600000</v>
      </c>
      <c r="AI1101" s="8">
        <f t="shared" si="550"/>
        <v>-0.67121346324180686</v>
      </c>
      <c r="AJ1101" s="6" t="s">
        <v>11457</v>
      </c>
      <c r="AK1101" s="6" t="str">
        <f t="shared" si="534"/>
        <v>=5.645*100000000</v>
      </c>
      <c r="AL1101" s="1">
        <f>5.645*100000000</f>
        <v>564500000</v>
      </c>
      <c r="AM1101" s="8">
        <f t="shared" si="551"/>
        <v>0.54912184412733256</v>
      </c>
      <c r="AN1101" s="6" t="s">
        <v>7799</v>
      </c>
      <c r="AO1101" s="6" t="str">
        <f t="shared" si="535"/>
        <v>=3.644*100000000</v>
      </c>
      <c r="AP1101" s="1">
        <f>3.644*100000000</f>
        <v>364400000</v>
      </c>
      <c r="AQ1101" s="8">
        <f t="shared" si="552"/>
        <v>0.34019860242736299</v>
      </c>
      <c r="AR1101" s="6" t="s">
        <v>3692</v>
      </c>
      <c r="AS1101" s="6" t="str">
        <f t="shared" si="536"/>
        <v>=2.719*100000000</v>
      </c>
      <c r="AT1101" s="1">
        <f>2.719*100000000</f>
        <v>271900000</v>
      </c>
      <c r="AU1101" s="8">
        <f t="shared" si="553"/>
        <v>1.22140522875817</v>
      </c>
      <c r="AV1101" s="6" t="s">
        <v>11458</v>
      </c>
      <c r="AW1101" s="6" t="str">
        <f t="shared" si="537"/>
        <v>=1.224*100000000</v>
      </c>
      <c r="AX1101" s="1">
        <f>1.224*100000000</f>
        <v>122400000</v>
      </c>
      <c r="AY1101" s="10">
        <f t="shared" si="554"/>
        <v>-0.66112956810631229</v>
      </c>
      <c r="AZ1101" s="6" t="s">
        <v>8308</v>
      </c>
      <c r="BA1101" s="6" t="str">
        <f t="shared" si="538"/>
        <v>=3.612*100000000</v>
      </c>
      <c r="BB1101" s="1">
        <f>3.612*100000000</f>
        <v>361200000</v>
      </c>
      <c r="BC1101" s="8">
        <f t="shared" si="555"/>
        <v>0.34927157265595815</v>
      </c>
      <c r="BD1101" s="6" t="s">
        <v>7444</v>
      </c>
      <c r="BE1101" s="6" t="str">
        <f t="shared" si="539"/>
        <v>=2.677*100000000</v>
      </c>
      <c r="BF1101" s="1">
        <f>2.677*100000000</f>
        <v>267700000</v>
      </c>
      <c r="BG1101" s="8">
        <f t="shared" si="556"/>
        <v>0.70184361093452008</v>
      </c>
      <c r="BH1101" s="6" t="s">
        <v>11459</v>
      </c>
      <c r="BI1101" s="6" t="str">
        <f t="shared" si="540"/>
        <v>=1.573*100000000</v>
      </c>
      <c r="BJ1101" s="1">
        <f>1.573*100000000</f>
        <v>157300000</v>
      </c>
      <c r="BK1101" s="7" t="s">
        <v>7057</v>
      </c>
      <c r="BL1101" s="1" t="str">
        <f t="shared" si="542"/>
        <v>=7068*10000</v>
      </c>
      <c r="BM1101" s="16">
        <f t="shared" si="557"/>
        <v>1.2255234861346915</v>
      </c>
      <c r="BN1101" s="1">
        <f>7068*10000</f>
        <v>70680000</v>
      </c>
    </row>
    <row r="1102" spans="1:66">
      <c r="A1102" s="17">
        <v>277</v>
      </c>
      <c r="B1102">
        <v>600866</v>
      </c>
      <c r="C1102" t="s">
        <v>31</v>
      </c>
      <c r="D1102" s="6" t="s">
        <v>11460</v>
      </c>
      <c r="E1102" s="7" t="str">
        <f t="shared" si="541"/>
        <v>=12.35*100000000</v>
      </c>
      <c r="F1102" s="1">
        <f>12.35*100000000</f>
        <v>1235000000</v>
      </c>
      <c r="G1102" s="8">
        <f t="shared" si="543"/>
        <v>0.49715116983876834</v>
      </c>
      <c r="H1102" s="6" t="s">
        <v>9097</v>
      </c>
      <c r="I1102" s="6" t="str">
        <f t="shared" si="527"/>
        <v>=8.249*100000000</v>
      </c>
      <c r="J1102" s="1">
        <f>8.249*100000000</f>
        <v>824900000</v>
      </c>
      <c r="K1102" s="10">
        <f t="shared" si="544"/>
        <v>0.4197934595524957</v>
      </c>
      <c r="L1102" s="6" t="s">
        <v>7125</v>
      </c>
      <c r="M1102" s="6" t="str">
        <f t="shared" si="528"/>
        <v>=5.810*100000000</v>
      </c>
      <c r="N1102" s="1">
        <f>5.81*100000000</f>
        <v>581000000</v>
      </c>
      <c r="O1102" s="8">
        <f t="shared" si="545"/>
        <v>0.91118421052631582</v>
      </c>
      <c r="P1102" s="6" t="s">
        <v>1500</v>
      </c>
      <c r="Q1102" s="6" t="str">
        <f t="shared" si="529"/>
        <v>=3.040*100000000</v>
      </c>
      <c r="R1102" s="11">
        <f>3.04*100000000</f>
        <v>304000000</v>
      </c>
      <c r="S1102" s="8">
        <f t="shared" si="546"/>
        <v>-0.72759856630824371</v>
      </c>
      <c r="T1102" s="6" t="s">
        <v>5042</v>
      </c>
      <c r="U1102" s="6" t="str">
        <f t="shared" si="530"/>
        <v>=11.16*100000000</v>
      </c>
      <c r="V1102" s="1">
        <f>11.16*100000000</f>
        <v>1116000000</v>
      </c>
      <c r="W1102" s="8">
        <f t="shared" si="547"/>
        <v>0.38461538461538464</v>
      </c>
      <c r="X1102" s="6" t="s">
        <v>11461</v>
      </c>
      <c r="Y1102" s="6" t="str">
        <f t="shared" si="531"/>
        <v>=8.060*100000000</v>
      </c>
      <c r="Z1102" s="1">
        <f>8.06*100000000</f>
        <v>806000000</v>
      </c>
      <c r="AA1102" s="8">
        <f t="shared" si="548"/>
        <v>0.37730690362269309</v>
      </c>
      <c r="AB1102" s="6" t="s">
        <v>8398</v>
      </c>
      <c r="AC1102" s="6" t="str">
        <f t="shared" si="532"/>
        <v>=5.852*100000000</v>
      </c>
      <c r="AD1102" s="1">
        <f>5.852*100000000</f>
        <v>585200000</v>
      </c>
      <c r="AE1102" s="8">
        <f t="shared" si="549"/>
        <v>1.0404463040446303</v>
      </c>
      <c r="AF1102" s="6" t="s">
        <v>10108</v>
      </c>
      <c r="AG1102" s="6" t="str">
        <f t="shared" si="533"/>
        <v>=2.868*100000000</v>
      </c>
      <c r="AH1102" s="1">
        <f>2.868*100000000</f>
        <v>286800000</v>
      </c>
      <c r="AI1102" s="8">
        <f t="shared" si="550"/>
        <v>-0.72685714285714287</v>
      </c>
      <c r="AJ1102" s="6" t="s">
        <v>2851</v>
      </c>
      <c r="AK1102" s="6" t="str">
        <f t="shared" si="534"/>
        <v>=10.50*100000000</v>
      </c>
      <c r="AL1102" s="1">
        <f>10.5*100000000</f>
        <v>1050000000</v>
      </c>
      <c r="AM1102" s="8">
        <f t="shared" si="551"/>
        <v>0.24304486800047373</v>
      </c>
      <c r="AN1102" s="6" t="s">
        <v>10254</v>
      </c>
      <c r="AO1102" s="6" t="str">
        <f t="shared" si="535"/>
        <v>=8.447*100000000</v>
      </c>
      <c r="AP1102" s="1">
        <f>8.447*100000000</f>
        <v>844699999.99999988</v>
      </c>
      <c r="AQ1102" s="8">
        <f t="shared" si="552"/>
        <v>0.52500451345008103</v>
      </c>
      <c r="AR1102" s="6" t="s">
        <v>11462</v>
      </c>
      <c r="AS1102" s="6" t="str">
        <f t="shared" si="536"/>
        <v>=5.539*100000000</v>
      </c>
      <c r="AT1102" s="1">
        <f>5.539*100000000</f>
        <v>553900000</v>
      </c>
      <c r="AU1102" s="8">
        <f t="shared" si="553"/>
        <v>0.8581013082858101</v>
      </c>
      <c r="AV1102" s="6" t="s">
        <v>11463</v>
      </c>
      <c r="AW1102" s="6" t="str">
        <f t="shared" si="537"/>
        <v>=2.981*100000000</v>
      </c>
      <c r="AX1102" s="1">
        <f>2.981*100000000</f>
        <v>298100000</v>
      </c>
      <c r="AY1102" s="10">
        <f t="shared" si="554"/>
        <v>-0.65300896286811771</v>
      </c>
      <c r="AZ1102" s="6" t="s">
        <v>11464</v>
      </c>
      <c r="BA1102" s="6" t="str">
        <f t="shared" si="538"/>
        <v>=8.591*100000000</v>
      </c>
      <c r="BB1102" s="1">
        <f>8.591*100000000</f>
        <v>859099999.99999988</v>
      </c>
      <c r="BC1102" s="8">
        <f t="shared" si="555"/>
        <v>0.33670452777345555</v>
      </c>
      <c r="BD1102" s="6" t="s">
        <v>164</v>
      </c>
      <c r="BE1102" s="6" t="str">
        <f t="shared" si="539"/>
        <v>=6.427*100000000</v>
      </c>
      <c r="BF1102" s="1">
        <f>6.427*100000000</f>
        <v>642700000</v>
      </c>
      <c r="BG1102" s="8">
        <f t="shared" si="556"/>
        <v>0.44882777276825969</v>
      </c>
      <c r="BH1102" s="6" t="s">
        <v>11465</v>
      </c>
      <c r="BI1102" s="6" t="str">
        <f t="shared" si="540"/>
        <v>=4.436*100000000</v>
      </c>
      <c r="BJ1102" s="1">
        <f>4.436*100000000</f>
        <v>443600000</v>
      </c>
      <c r="BK1102" s="6" t="s">
        <v>3900</v>
      </c>
      <c r="BL1102" s="1" t="str">
        <f t="shared" si="542"/>
        <v>=2.313*100000000</v>
      </c>
      <c r="BM1102" s="16">
        <f t="shared" si="557"/>
        <v>0.91785559878945067</v>
      </c>
      <c r="BN1102" s="1">
        <f>2.313*100000000</f>
        <v>231300000.00000003</v>
      </c>
    </row>
    <row r="1103" spans="1:66">
      <c r="A1103" s="18"/>
      <c r="B1103">
        <v>600866</v>
      </c>
      <c r="C1103" t="s">
        <v>48</v>
      </c>
      <c r="D1103" s="6" t="s">
        <v>7898</v>
      </c>
      <c r="E1103" s="7" t="str">
        <f t="shared" si="541"/>
        <v>=1.173*100000000</v>
      </c>
      <c r="F1103" s="1">
        <f>1.173*100000000</f>
        <v>117300000</v>
      </c>
      <c r="G1103" s="8">
        <f t="shared" si="543"/>
        <v>0.34225883968417437</v>
      </c>
      <c r="H1103" s="7" t="s">
        <v>11466</v>
      </c>
      <c r="I1103" s="6" t="str">
        <f t="shared" si="527"/>
        <v>=8739*10000</v>
      </c>
      <c r="J1103" s="1">
        <f>8739*10000</f>
        <v>87390000</v>
      </c>
      <c r="K1103" s="10">
        <f t="shared" si="544"/>
        <v>4.5710183080052653E-2</v>
      </c>
      <c r="L1103" s="7" t="s">
        <v>11467</v>
      </c>
      <c r="M1103" s="6" t="str">
        <f t="shared" si="528"/>
        <v>=8357*10000</v>
      </c>
      <c r="N1103" s="1">
        <f>8357*10000</f>
        <v>83570000</v>
      </c>
      <c r="O1103" s="8">
        <f t="shared" si="545"/>
        <v>1.3136766334440753</v>
      </c>
      <c r="P1103" s="7" t="s">
        <v>11468</v>
      </c>
      <c r="Q1103" s="6" t="str">
        <f t="shared" si="529"/>
        <v>=3612*10000</v>
      </c>
      <c r="R1103" s="11">
        <f>3612*10000</f>
        <v>36120000</v>
      </c>
      <c r="S1103" s="8">
        <f t="shared" si="546"/>
        <v>-0.77081218274111674</v>
      </c>
      <c r="T1103" s="6" t="s">
        <v>11469</v>
      </c>
      <c r="U1103" s="6" t="str">
        <f t="shared" si="530"/>
        <v>=1.576*100000000</v>
      </c>
      <c r="V1103" s="1">
        <f>1.576*100000000</f>
        <v>157600000</v>
      </c>
      <c r="W1103" s="8">
        <f t="shared" si="547"/>
        <v>0.36096718480138185</v>
      </c>
      <c r="X1103" s="6" t="s">
        <v>4465</v>
      </c>
      <c r="Y1103" s="6" t="str">
        <f t="shared" si="531"/>
        <v>=1.158*100000000</v>
      </c>
      <c r="Z1103" s="1">
        <f>1.158*100000000</f>
        <v>115799999.99999999</v>
      </c>
      <c r="AA1103" s="8">
        <f t="shared" si="548"/>
        <v>0.32237067488866034</v>
      </c>
      <c r="AB1103" s="7" t="s">
        <v>11470</v>
      </c>
      <c r="AC1103" s="6" t="str">
        <f t="shared" si="532"/>
        <v>=8757*10000</v>
      </c>
      <c r="AD1103" s="1">
        <f>8757*10000</f>
        <v>87570000</v>
      </c>
      <c r="AE1103" s="8">
        <f t="shared" si="549"/>
        <v>1.595435684647303</v>
      </c>
      <c r="AF1103" s="7" t="s">
        <v>3556</v>
      </c>
      <c r="AG1103" s="6" t="str">
        <f t="shared" si="533"/>
        <v>=3374*10000</v>
      </c>
      <c r="AH1103" s="1">
        <f>3374*10000</f>
        <v>33740000</v>
      </c>
      <c r="AI1103" s="8">
        <f t="shared" si="550"/>
        <v>-0.79313304721030042</v>
      </c>
      <c r="AJ1103" s="6" t="s">
        <v>4978</v>
      </c>
      <c r="AK1103" s="6" t="str">
        <f t="shared" si="534"/>
        <v>=1.631*100000000</v>
      </c>
      <c r="AL1103" s="1">
        <f>1.631*100000000</f>
        <v>163100000</v>
      </c>
      <c r="AM1103" s="8">
        <f t="shared" si="551"/>
        <v>0.24598930481283424</v>
      </c>
      <c r="AN1103" s="6" t="s">
        <v>8667</v>
      </c>
      <c r="AO1103" s="6" t="str">
        <f t="shared" si="535"/>
        <v>=1.309*100000000</v>
      </c>
      <c r="AP1103" s="1">
        <f>1.309*100000000</f>
        <v>130900000</v>
      </c>
      <c r="AQ1103" s="8">
        <f t="shared" si="552"/>
        <v>0.62548118713522916</v>
      </c>
      <c r="AR1103" s="7" t="s">
        <v>11471</v>
      </c>
      <c r="AS1103" s="6" t="str">
        <f t="shared" si="536"/>
        <v>=8053*10000</v>
      </c>
      <c r="AT1103" s="1">
        <f>8053*10000</f>
        <v>80530000</v>
      </c>
      <c r="AU1103" s="8">
        <f t="shared" si="553"/>
        <v>1.0733779608650875</v>
      </c>
      <c r="AV1103" s="7" t="s">
        <v>11472</v>
      </c>
      <c r="AW1103" s="6" t="str">
        <f t="shared" si="537"/>
        <v>=3884*10000</v>
      </c>
      <c r="AX1103" s="1">
        <f>3884*10000</f>
        <v>38840000</v>
      </c>
      <c r="AY1103" s="10">
        <f t="shared" si="554"/>
        <v>-0.10651023694501956</v>
      </c>
      <c r="AZ1103" s="7" t="s">
        <v>11473</v>
      </c>
      <c r="BA1103" s="6" t="str">
        <f t="shared" si="538"/>
        <v>=4347*10000</v>
      </c>
      <c r="BB1103" s="1">
        <f>4347*10000</f>
        <v>43470000</v>
      </c>
      <c r="BC1103" s="8">
        <f t="shared" si="555"/>
        <v>0.32570905763952424</v>
      </c>
      <c r="BD1103" s="7" t="s">
        <v>10290</v>
      </c>
      <c r="BE1103" s="6" t="str">
        <f t="shared" si="539"/>
        <v>=3279*10000</v>
      </c>
      <c r="BF1103" s="1">
        <f>3279*10000</f>
        <v>32790000</v>
      </c>
      <c r="BG1103" s="8">
        <f t="shared" si="556"/>
        <v>0.98126888217522656</v>
      </c>
      <c r="BH1103" s="7" t="s">
        <v>11474</v>
      </c>
      <c r="BI1103" s="6" t="str">
        <f t="shared" si="540"/>
        <v>=1655*10000</v>
      </c>
      <c r="BJ1103" s="1">
        <f>1655*10000</f>
        <v>16550000</v>
      </c>
      <c r="BK1103" s="7" t="s">
        <v>11475</v>
      </c>
      <c r="BL1103" s="1" t="str">
        <f t="shared" si="542"/>
        <v>=794.4*10000</v>
      </c>
      <c r="BM1103" s="16">
        <f t="shared" si="557"/>
        <v>1.0833333333333333</v>
      </c>
      <c r="BN1103" s="1">
        <f>794.4*10000</f>
        <v>7944000</v>
      </c>
    </row>
    <row r="1104" spans="1:66">
      <c r="A1104" s="18"/>
      <c r="B1104">
        <v>600866</v>
      </c>
      <c r="C1104" t="s">
        <v>58</v>
      </c>
      <c r="D1104" s="6" t="s">
        <v>6548</v>
      </c>
      <c r="E1104" s="7" t="str">
        <f t="shared" si="541"/>
        <v>=1.105*100000000</v>
      </c>
      <c r="F1104" s="1">
        <f>1.105*100000000</f>
        <v>110500000</v>
      </c>
      <c r="G1104" s="8">
        <f t="shared" si="543"/>
        <v>0.32732732732732733</v>
      </c>
      <c r="H1104" s="7" t="s">
        <v>7528</v>
      </c>
      <c r="I1104" s="6" t="str">
        <f t="shared" si="527"/>
        <v>=8325*10000</v>
      </c>
      <c r="J1104" s="1">
        <f>8325*10000</f>
        <v>83250000</v>
      </c>
      <c r="K1104" s="10">
        <f t="shared" si="544"/>
        <v>4.3756268806419259E-2</v>
      </c>
      <c r="L1104" s="7" t="s">
        <v>11476</v>
      </c>
      <c r="M1104" s="6" t="str">
        <f t="shared" si="528"/>
        <v>=7976*10000</v>
      </c>
      <c r="N1104" s="1">
        <f>7976*10000</f>
        <v>79760000</v>
      </c>
      <c r="O1104" s="8">
        <f t="shared" si="545"/>
        <v>1.2039237358386294</v>
      </c>
      <c r="P1104" s="7" t="s">
        <v>8418</v>
      </c>
      <c r="Q1104" s="6" t="str">
        <f t="shared" si="529"/>
        <v>=3619*10000</v>
      </c>
      <c r="R1104" s="11">
        <f>3619*10000</f>
        <v>36190000</v>
      </c>
      <c r="S1104" s="8">
        <f t="shared" si="546"/>
        <v>-0.76890166028097062</v>
      </c>
      <c r="T1104" s="6" t="s">
        <v>10293</v>
      </c>
      <c r="U1104" s="6" t="str">
        <f t="shared" si="530"/>
        <v>=1.566*100000000</v>
      </c>
      <c r="V1104" s="1">
        <f>1.566*100000000</f>
        <v>156600000</v>
      </c>
      <c r="W1104" s="8">
        <f t="shared" si="547"/>
        <v>0.36055603822762816</v>
      </c>
      <c r="X1104" s="6" t="s">
        <v>7907</v>
      </c>
      <c r="Y1104" s="6" t="str">
        <f t="shared" si="531"/>
        <v>=1.151*100000000</v>
      </c>
      <c r="Z1104" s="1">
        <f>1.151*100000000</f>
        <v>115100000</v>
      </c>
      <c r="AA1104" s="8">
        <f t="shared" si="548"/>
        <v>0.31497772192391182</v>
      </c>
      <c r="AB1104" s="7" t="s">
        <v>11477</v>
      </c>
      <c r="AC1104" s="6" t="str">
        <f t="shared" si="532"/>
        <v>=8753*10000</v>
      </c>
      <c r="AD1104" s="1">
        <f>8753*10000</f>
        <v>87530000</v>
      </c>
      <c r="AE1104" s="8">
        <f t="shared" si="549"/>
        <v>1.6011887072808322</v>
      </c>
      <c r="AF1104" s="7" t="s">
        <v>4466</v>
      </c>
      <c r="AG1104" s="6" t="str">
        <f t="shared" si="533"/>
        <v>=3365*10000</v>
      </c>
      <c r="AH1104" s="1">
        <f>3365*10000</f>
        <v>33650000</v>
      </c>
      <c r="AI1104" s="8">
        <f t="shared" si="550"/>
        <v>-0.78621346886912324</v>
      </c>
      <c r="AJ1104" s="6" t="s">
        <v>6289</v>
      </c>
      <c r="AK1104" s="6" t="str">
        <f t="shared" si="534"/>
        <v>=1.574*100000000</v>
      </c>
      <c r="AL1104" s="1">
        <f>1.574*100000000</f>
        <v>157400000</v>
      </c>
      <c r="AM1104" s="8">
        <f t="shared" si="551"/>
        <v>0.23161189358372458</v>
      </c>
      <c r="AN1104" s="6" t="s">
        <v>5505</v>
      </c>
      <c r="AO1104" s="6" t="str">
        <f t="shared" si="535"/>
        <v>=1.278*100000000</v>
      </c>
      <c r="AP1104" s="1">
        <f>1.278*100000000</f>
        <v>127800000</v>
      </c>
      <c r="AQ1104" s="8">
        <f t="shared" si="552"/>
        <v>0.58678917308169853</v>
      </c>
      <c r="AR1104" s="7" t="s">
        <v>11478</v>
      </c>
      <c r="AS1104" s="6" t="str">
        <f t="shared" si="536"/>
        <v>=8054*10000</v>
      </c>
      <c r="AT1104" s="1">
        <f>8054*10000</f>
        <v>80540000</v>
      </c>
      <c r="AU1104" s="8">
        <f t="shared" si="553"/>
        <v>1.0715020576131686</v>
      </c>
      <c r="AV1104" s="7" t="s">
        <v>11479</v>
      </c>
      <c r="AW1104" s="6" t="str">
        <f t="shared" si="537"/>
        <v>=3888*10000</v>
      </c>
      <c r="AX1104" s="1">
        <f>3888*10000</f>
        <v>38880000</v>
      </c>
      <c r="AY1104" s="10">
        <f t="shared" si="554"/>
        <v>-8.0416272469252606E-2</v>
      </c>
      <c r="AZ1104" s="7" t="s">
        <v>11480</v>
      </c>
      <c r="BA1104" s="6" t="str">
        <f t="shared" si="538"/>
        <v>=4228*10000</v>
      </c>
      <c r="BB1104" s="1">
        <f>4228*10000</f>
        <v>42280000</v>
      </c>
      <c r="BC1104" s="8">
        <f t="shared" si="555"/>
        <v>0.32248983421958088</v>
      </c>
      <c r="BD1104" s="7" t="s">
        <v>11481</v>
      </c>
      <c r="BE1104" s="6" t="str">
        <f t="shared" si="539"/>
        <v>=3197*10000</v>
      </c>
      <c r="BF1104" s="1">
        <f>3197*10000</f>
        <v>31970000</v>
      </c>
      <c r="BG1104" s="8">
        <f t="shared" si="556"/>
        <v>0.93055555555555558</v>
      </c>
      <c r="BH1104" s="7" t="s">
        <v>11482</v>
      </c>
      <c r="BI1104" s="6" t="str">
        <f t="shared" si="540"/>
        <v>=1656*10000</v>
      </c>
      <c r="BJ1104" s="1">
        <f>1656*10000</f>
        <v>16560000</v>
      </c>
      <c r="BK1104" s="7" t="s">
        <v>11483</v>
      </c>
      <c r="BL1104" s="1" t="str">
        <f t="shared" si="542"/>
        <v>=793.4*10000</v>
      </c>
      <c r="BM1104" s="16">
        <f t="shared" si="557"/>
        <v>1.0872195613813964</v>
      </c>
      <c r="BN1104" s="1">
        <f>793.4*10000</f>
        <v>7934000</v>
      </c>
    </row>
    <row r="1105" spans="1:66">
      <c r="A1105" s="19"/>
      <c r="B1105">
        <v>600866</v>
      </c>
      <c r="C1105" t="s">
        <v>68</v>
      </c>
      <c r="D1105" s="6" t="s">
        <v>7680</v>
      </c>
      <c r="E1105" s="7" t="str">
        <f t="shared" si="541"/>
        <v>=1.065*100000000</v>
      </c>
      <c r="F1105" s="1">
        <f>1.065*100000000</f>
        <v>106500000</v>
      </c>
      <c r="G1105" s="8">
        <f t="shared" si="543"/>
        <v>0.3379396984924623</v>
      </c>
      <c r="H1105" s="7" t="s">
        <v>11484</v>
      </c>
      <c r="I1105" s="6" t="str">
        <f t="shared" si="527"/>
        <v>=7960*10000</v>
      </c>
      <c r="J1105" s="1">
        <f>7960*10000</f>
        <v>79600000</v>
      </c>
      <c r="K1105" s="10">
        <f t="shared" si="544"/>
        <v>4.6955149283177691E-2</v>
      </c>
      <c r="L1105" s="7" t="s">
        <v>11485</v>
      </c>
      <c r="M1105" s="6" t="str">
        <f t="shared" si="528"/>
        <v>=7603*10000</v>
      </c>
      <c r="N1105" s="1">
        <f>7603*10000</f>
        <v>76030000</v>
      </c>
      <c r="O1105" s="8">
        <f t="shared" si="545"/>
        <v>1.1967639410574977</v>
      </c>
      <c r="P1105" s="7" t="s">
        <v>11486</v>
      </c>
      <c r="Q1105" s="6" t="str">
        <f t="shared" si="529"/>
        <v>=3461*10000</v>
      </c>
      <c r="R1105" s="11">
        <f>3461*10000</f>
        <v>34610000</v>
      </c>
      <c r="S1105" s="8">
        <f t="shared" si="546"/>
        <v>-0.76724949562878275</v>
      </c>
      <c r="T1105" s="6" t="s">
        <v>11487</v>
      </c>
      <c r="U1105" s="6" t="str">
        <f t="shared" si="530"/>
        <v>=1.487*100000000</v>
      </c>
      <c r="V1105" s="1">
        <f>1.487*100000000</f>
        <v>148700000</v>
      </c>
      <c r="W1105" s="8">
        <f t="shared" si="547"/>
        <v>0.35428051001821476</v>
      </c>
      <c r="X1105" s="6" t="s">
        <v>4295</v>
      </c>
      <c r="Y1105" s="6" t="str">
        <f t="shared" si="531"/>
        <v>=1.098*100000000</v>
      </c>
      <c r="Z1105" s="1">
        <f>1.098*100000000</f>
        <v>109800000.00000001</v>
      </c>
      <c r="AA1105" s="8">
        <f t="shared" si="548"/>
        <v>0.31261207411835046</v>
      </c>
      <c r="AB1105" s="7" t="s">
        <v>11488</v>
      </c>
      <c r="AC1105" s="6" t="str">
        <f t="shared" si="532"/>
        <v>=8365*10000</v>
      </c>
      <c r="AD1105" s="1">
        <f>8365*10000</f>
        <v>83650000</v>
      </c>
      <c r="AE1105" s="8">
        <f t="shared" si="549"/>
        <v>1.5954080049643189</v>
      </c>
      <c r="AF1105" s="7" t="s">
        <v>6725</v>
      </c>
      <c r="AG1105" s="6" t="str">
        <f t="shared" si="533"/>
        <v>=3223*10000</v>
      </c>
      <c r="AH1105" s="1">
        <f>3223*10000</f>
        <v>32230000</v>
      </c>
      <c r="AI1105" s="8">
        <f t="shared" si="550"/>
        <v>-0.78455882352941175</v>
      </c>
      <c r="AJ1105" s="6" t="s">
        <v>2069</v>
      </c>
      <c r="AK1105" s="6" t="str">
        <f t="shared" si="534"/>
        <v>=1.496*100000000</v>
      </c>
      <c r="AL1105" s="1">
        <f>1.496*100000000</f>
        <v>149600000</v>
      </c>
      <c r="AM1105" s="8">
        <f t="shared" si="551"/>
        <v>0.22723543888433126</v>
      </c>
      <c r="AN1105" s="6" t="s">
        <v>9050</v>
      </c>
      <c r="AO1105" s="6" t="str">
        <f t="shared" si="535"/>
        <v>=1.219*100000000</v>
      </c>
      <c r="AP1105" s="1">
        <f>1.219*100000000</f>
        <v>121900000.00000001</v>
      </c>
      <c r="AQ1105" s="8">
        <f t="shared" si="552"/>
        <v>0.58085851381143838</v>
      </c>
      <c r="AR1105" s="7" t="s">
        <v>11489</v>
      </c>
      <c r="AS1105" s="6" t="str">
        <f t="shared" si="536"/>
        <v>=7711*10000</v>
      </c>
      <c r="AT1105" s="1">
        <f>7711*10000</f>
        <v>77110000</v>
      </c>
      <c r="AU1105" s="8">
        <f t="shared" si="553"/>
        <v>1.0806799784133838</v>
      </c>
      <c r="AV1105" s="7" t="s">
        <v>9993</v>
      </c>
      <c r="AW1105" s="6" t="str">
        <f t="shared" si="537"/>
        <v>=3706*10000</v>
      </c>
      <c r="AX1105" s="1">
        <f>3706*10000</f>
        <v>37060000</v>
      </c>
      <c r="AY1105" s="10">
        <f t="shared" si="554"/>
        <v>-0.12346263008514664</v>
      </c>
      <c r="AZ1105" s="7" t="s">
        <v>11480</v>
      </c>
      <c r="BA1105" s="6" t="str">
        <f t="shared" si="538"/>
        <v>=4228*10000</v>
      </c>
      <c r="BB1105" s="1">
        <f>4228*10000</f>
        <v>42280000</v>
      </c>
      <c r="BC1105" s="8">
        <f t="shared" si="555"/>
        <v>0.32248983421958088</v>
      </c>
      <c r="BD1105" s="7" t="s">
        <v>11481</v>
      </c>
      <c r="BE1105" s="6" t="str">
        <f t="shared" si="539"/>
        <v>=3197*10000</v>
      </c>
      <c r="BF1105" s="1">
        <f>3197*10000</f>
        <v>31970000</v>
      </c>
      <c r="BG1105" s="8">
        <f t="shared" si="556"/>
        <v>0.93055555555555558</v>
      </c>
      <c r="BH1105" s="7" t="s">
        <v>11482</v>
      </c>
      <c r="BI1105" s="6" t="str">
        <f t="shared" si="540"/>
        <v>=1656*10000</v>
      </c>
      <c r="BJ1105" s="1">
        <f>1656*10000</f>
        <v>16560000</v>
      </c>
      <c r="BK1105" s="7" t="s">
        <v>11483</v>
      </c>
      <c r="BL1105" s="1" t="str">
        <f t="shared" si="542"/>
        <v>=793.4*10000</v>
      </c>
      <c r="BM1105" s="16">
        <f t="shared" si="557"/>
        <v>1.0872195613813964</v>
      </c>
      <c r="BN1105" s="1">
        <f>793.4*10000</f>
        <v>7934000</v>
      </c>
    </row>
    <row r="1106" spans="1:66">
      <c r="A1106" s="17">
        <v>278</v>
      </c>
      <c r="B1106">
        <v>600873</v>
      </c>
      <c r="C1106" t="s">
        <v>31</v>
      </c>
      <c r="D1106" s="6" t="s">
        <v>11490</v>
      </c>
      <c r="E1106" s="7" t="str">
        <f t="shared" si="541"/>
        <v>=228.4*100000000</v>
      </c>
      <c r="F1106" s="1">
        <f>228.4*100000000</f>
        <v>22840000000</v>
      </c>
      <c r="G1106" s="8">
        <f t="shared" si="543"/>
        <v>0.40294840294840278</v>
      </c>
      <c r="H1106" s="6" t="s">
        <v>11491</v>
      </c>
      <c r="I1106" s="6" t="str">
        <f t="shared" si="527"/>
        <v>=162.8*100000000</v>
      </c>
      <c r="J1106" s="1">
        <f>162.8*100000000</f>
        <v>16280000000.000002</v>
      </c>
      <c r="K1106" s="10">
        <f t="shared" si="544"/>
        <v>0.47597461468721686</v>
      </c>
      <c r="L1106" s="6" t="s">
        <v>3245</v>
      </c>
      <c r="M1106" s="6" t="str">
        <f t="shared" si="528"/>
        <v>=110.3*100000000</v>
      </c>
      <c r="N1106" s="1">
        <f>110.3*100000000</f>
        <v>11030000000</v>
      </c>
      <c r="O1106" s="8">
        <f t="shared" si="545"/>
        <v>1.0779954785229842</v>
      </c>
      <c r="P1106" s="6" t="s">
        <v>1347</v>
      </c>
      <c r="Q1106" s="6" t="str">
        <f t="shared" si="529"/>
        <v>=53.08*100000000</v>
      </c>
      <c r="R1106" s="11">
        <f>53.08*100000000</f>
        <v>5308000000</v>
      </c>
      <c r="S1106" s="8">
        <f t="shared" si="546"/>
        <v>-0.68868035190615839</v>
      </c>
      <c r="T1106" s="6" t="s">
        <v>1850</v>
      </c>
      <c r="U1106" s="6" t="str">
        <f t="shared" si="530"/>
        <v>=170.5*100000000</v>
      </c>
      <c r="V1106" s="1">
        <f>170.5*100000000</f>
        <v>17050000000</v>
      </c>
      <c r="W1106" s="8">
        <f t="shared" si="547"/>
        <v>0.41142384105960267</v>
      </c>
      <c r="X1106" s="6" t="s">
        <v>1170</v>
      </c>
      <c r="Y1106" s="6" t="str">
        <f t="shared" si="531"/>
        <v>=120.8*100000000</v>
      </c>
      <c r="Z1106" s="1">
        <f>120.8*100000000</f>
        <v>12080000000</v>
      </c>
      <c r="AA1106" s="8">
        <f t="shared" si="548"/>
        <v>0.48457662529187662</v>
      </c>
      <c r="AB1106" s="6" t="s">
        <v>11492</v>
      </c>
      <c r="AC1106" s="6" t="str">
        <f t="shared" si="532"/>
        <v>=81.37*100000000</v>
      </c>
      <c r="AD1106" s="1">
        <f>81.37*100000000</f>
        <v>8137000000</v>
      </c>
      <c r="AE1106" s="8">
        <f t="shared" si="549"/>
        <v>1.0470440251572326</v>
      </c>
      <c r="AF1106" s="6" t="s">
        <v>11493</v>
      </c>
      <c r="AG1106" s="6" t="str">
        <f t="shared" si="533"/>
        <v>=39.75*100000000</v>
      </c>
      <c r="AH1106" s="1">
        <f>39.75*100000000</f>
        <v>3975000000</v>
      </c>
      <c r="AI1106" s="8">
        <f t="shared" si="550"/>
        <v>-0.72680412371134018</v>
      </c>
      <c r="AJ1106" s="6" t="s">
        <v>11494</v>
      </c>
      <c r="AK1106" s="6" t="str">
        <f t="shared" si="534"/>
        <v>=145.5*100000000</v>
      </c>
      <c r="AL1106" s="1">
        <f>145.5*100000000</f>
        <v>14550000000</v>
      </c>
      <c r="AM1106" s="8">
        <f t="shared" si="551"/>
        <v>0.34722222222222221</v>
      </c>
      <c r="AN1106" s="6" t="s">
        <v>11495</v>
      </c>
      <c r="AO1106" s="6" t="str">
        <f t="shared" si="535"/>
        <v>=108.0*100000000</v>
      </c>
      <c r="AP1106" s="1">
        <f>108*100000000</f>
        <v>10800000000</v>
      </c>
      <c r="AQ1106" s="8">
        <f t="shared" si="552"/>
        <v>0.54727793696275073</v>
      </c>
      <c r="AR1106" s="6" t="s">
        <v>11496</v>
      </c>
      <c r="AS1106" s="6" t="str">
        <f t="shared" si="536"/>
        <v>=69.80*100000000</v>
      </c>
      <c r="AT1106" s="1">
        <f>69.8*100000000</f>
        <v>6980000000</v>
      </c>
      <c r="AU1106" s="8">
        <f t="shared" si="553"/>
        <v>1.0910724985020968</v>
      </c>
      <c r="AV1106" s="6" t="s">
        <v>11497</v>
      </c>
      <c r="AW1106" s="6" t="str">
        <f t="shared" si="537"/>
        <v>=33.38*100000000</v>
      </c>
      <c r="AX1106" s="1">
        <f>33.38*100000000</f>
        <v>3338000000.0000005</v>
      </c>
      <c r="AY1106" s="10">
        <f t="shared" si="554"/>
        <v>-0.73612648221343868</v>
      </c>
      <c r="AZ1106" s="6" t="s">
        <v>880</v>
      </c>
      <c r="BA1106" s="6" t="str">
        <f t="shared" si="538"/>
        <v>=126.5*100000000</v>
      </c>
      <c r="BB1106" s="1">
        <f>126.5*100000000</f>
        <v>12650000000</v>
      </c>
      <c r="BC1106" s="8">
        <f t="shared" si="555"/>
        <v>0.36021505376344087</v>
      </c>
      <c r="BD1106" s="6" t="s">
        <v>11498</v>
      </c>
      <c r="BE1106" s="6" t="str">
        <f t="shared" si="539"/>
        <v>=93.00*100000000</v>
      </c>
      <c r="BF1106" s="1">
        <f>93*100000000</f>
        <v>9300000000</v>
      </c>
      <c r="BG1106" s="8">
        <f t="shared" si="556"/>
        <v>0.47900763358778625</v>
      </c>
      <c r="BH1106" s="6" t="s">
        <v>11499</v>
      </c>
      <c r="BI1106" s="6" t="str">
        <f t="shared" si="540"/>
        <v>=62.88*100000000</v>
      </c>
      <c r="BJ1106" s="1">
        <f>62.88*100000000</f>
        <v>6288000000</v>
      </c>
      <c r="BK1106" s="6" t="s">
        <v>11500</v>
      </c>
      <c r="BL1106" s="1" t="str">
        <f t="shared" si="542"/>
        <v>=32.07*100000000</v>
      </c>
      <c r="BM1106" s="16">
        <f t="shared" si="557"/>
        <v>0.96071094480823205</v>
      </c>
      <c r="BN1106" s="1">
        <f>32.07*100000000</f>
        <v>3207000000</v>
      </c>
    </row>
    <row r="1107" spans="1:66">
      <c r="A1107" s="18"/>
      <c r="B1107">
        <v>600873</v>
      </c>
      <c r="C1107" t="s">
        <v>48</v>
      </c>
      <c r="D1107" s="6" t="s">
        <v>3017</v>
      </c>
      <c r="E1107" s="7" t="str">
        <f t="shared" si="541"/>
        <v>=28.71*100000000</v>
      </c>
      <c r="F1107" s="1">
        <f>28.71*100000000</f>
        <v>2871000000</v>
      </c>
      <c r="G1107" s="8">
        <f t="shared" si="543"/>
        <v>0.79325421611492786</v>
      </c>
      <c r="H1107" s="6" t="s">
        <v>3130</v>
      </c>
      <c r="I1107" s="6" t="str">
        <f t="shared" si="527"/>
        <v>=16.01*100000000</v>
      </c>
      <c r="J1107" s="1">
        <f>16.01*100000000</f>
        <v>1601000000.0000002</v>
      </c>
      <c r="K1107" s="10">
        <f t="shared" si="544"/>
        <v>0.31769547325102898</v>
      </c>
      <c r="L1107" s="6" t="s">
        <v>1396</v>
      </c>
      <c r="M1107" s="6" t="str">
        <f t="shared" si="528"/>
        <v>=12.15*100000000</v>
      </c>
      <c r="N1107" s="1">
        <f>12.15*100000000</f>
        <v>1215000000</v>
      </c>
      <c r="O1107" s="8">
        <f t="shared" si="545"/>
        <v>1.4436846339501206</v>
      </c>
      <c r="P1107" s="6" t="s">
        <v>11501</v>
      </c>
      <c r="Q1107" s="6" t="str">
        <f t="shared" si="529"/>
        <v>=4.972*100000000</v>
      </c>
      <c r="R1107" s="11">
        <f>4.972*100000000</f>
        <v>497200000.00000006</v>
      </c>
      <c r="S1107" s="8">
        <f t="shared" si="546"/>
        <v>-0.58077571669477235</v>
      </c>
      <c r="T1107" s="6" t="s">
        <v>4494</v>
      </c>
      <c r="U1107" s="6" t="str">
        <f t="shared" si="530"/>
        <v>=11.86*100000000</v>
      </c>
      <c r="V1107" s="1">
        <f>11.86*100000000</f>
        <v>1186000000</v>
      </c>
      <c r="W1107" s="8">
        <f t="shared" si="547"/>
        <v>0.19315895372233399</v>
      </c>
      <c r="X1107" s="6" t="s">
        <v>11502</v>
      </c>
      <c r="Y1107" s="6" t="str">
        <f t="shared" si="531"/>
        <v>=9.940*100000000</v>
      </c>
      <c r="Z1107" s="1">
        <f>9.94*100000000</f>
        <v>994000000</v>
      </c>
      <c r="AA1107" s="8">
        <f t="shared" si="548"/>
        <v>0.28291171915332991</v>
      </c>
      <c r="AB1107" s="6" t="s">
        <v>11503</v>
      </c>
      <c r="AC1107" s="6" t="str">
        <f t="shared" si="532"/>
        <v>=7.748*100000000</v>
      </c>
      <c r="AD1107" s="1">
        <f>7.748*100000000</f>
        <v>774800000</v>
      </c>
      <c r="AE1107" s="8">
        <f t="shared" si="549"/>
        <v>1.5486842105263159</v>
      </c>
      <c r="AF1107" s="6" t="s">
        <v>1500</v>
      </c>
      <c r="AG1107" s="6" t="str">
        <f t="shared" si="533"/>
        <v>=3.040*100000000</v>
      </c>
      <c r="AH1107" s="1">
        <f>3.04*100000000</f>
        <v>304000000</v>
      </c>
      <c r="AI1107" s="8">
        <f t="shared" si="550"/>
        <v>-0.74105621805792166</v>
      </c>
      <c r="AJ1107" s="6" t="s">
        <v>11504</v>
      </c>
      <c r="AK1107" s="6" t="str">
        <f t="shared" si="534"/>
        <v>=11.74*100000000</v>
      </c>
      <c r="AL1107" s="1">
        <f>11.74*100000000</f>
        <v>1174000000</v>
      </c>
      <c r="AM1107" s="8">
        <f t="shared" si="551"/>
        <v>0.14424951267056529</v>
      </c>
      <c r="AN1107" s="6" t="s">
        <v>1683</v>
      </c>
      <c r="AO1107" s="6" t="str">
        <f t="shared" si="535"/>
        <v>=10.26*100000000</v>
      </c>
      <c r="AP1107" s="1">
        <f>10.26*100000000</f>
        <v>1026000000</v>
      </c>
      <c r="AQ1107" s="8">
        <f t="shared" si="552"/>
        <v>0.26729249011857709</v>
      </c>
      <c r="AR1107" s="6" t="s">
        <v>11505</v>
      </c>
      <c r="AS1107" s="6" t="str">
        <f t="shared" si="536"/>
        <v>=8.096*100000000</v>
      </c>
      <c r="AT1107" s="1">
        <f>8.096*100000000</f>
        <v>809600000</v>
      </c>
      <c r="AU1107" s="8">
        <f t="shared" si="553"/>
        <v>0.95981602517550235</v>
      </c>
      <c r="AV1107" s="6" t="s">
        <v>2970</v>
      </c>
      <c r="AW1107" s="6" t="str">
        <f t="shared" si="537"/>
        <v>=4.131*100000000</v>
      </c>
      <c r="AX1107" s="1">
        <f>4.131*100000000</f>
        <v>413100000</v>
      </c>
      <c r="AY1107" s="10">
        <f t="shared" si="554"/>
        <v>-0.66</v>
      </c>
      <c r="AZ1107" s="6" t="s">
        <v>1396</v>
      </c>
      <c r="BA1107" s="6" t="str">
        <f t="shared" si="538"/>
        <v>=12.15*100000000</v>
      </c>
      <c r="BB1107" s="1">
        <f>12.15*100000000</f>
        <v>1215000000</v>
      </c>
      <c r="BC1107" s="8">
        <f t="shared" si="555"/>
        <v>0.37365743357829262</v>
      </c>
      <c r="BD1107" s="6" t="s">
        <v>10282</v>
      </c>
      <c r="BE1107" s="6" t="str">
        <f t="shared" si="539"/>
        <v>=8.845*100000000</v>
      </c>
      <c r="BF1107" s="1">
        <f>8.845*100000000</f>
        <v>884500000.00000012</v>
      </c>
      <c r="BG1107" s="8">
        <f t="shared" si="556"/>
        <v>0.53213234020440003</v>
      </c>
      <c r="BH1107" s="6" t="s">
        <v>11506</v>
      </c>
      <c r="BI1107" s="6" t="str">
        <f t="shared" si="540"/>
        <v>=5.773*100000000</v>
      </c>
      <c r="BJ1107" s="1">
        <f>5.773*100000000</f>
        <v>577300000</v>
      </c>
      <c r="BK1107" s="6" t="s">
        <v>11507</v>
      </c>
      <c r="BL1107" s="1" t="str">
        <f t="shared" si="542"/>
        <v>=3.015*100000000</v>
      </c>
      <c r="BM1107" s="16">
        <f t="shared" si="557"/>
        <v>0.91475953565505808</v>
      </c>
      <c r="BN1107" s="1">
        <f>3.015*100000000</f>
        <v>301500000</v>
      </c>
    </row>
    <row r="1108" spans="1:66">
      <c r="A1108" s="18"/>
      <c r="B1108">
        <v>600873</v>
      </c>
      <c r="C1108" t="s">
        <v>58</v>
      </c>
      <c r="D1108" s="6" t="s">
        <v>2823</v>
      </c>
      <c r="E1108" s="7" t="str">
        <f t="shared" si="541"/>
        <v>=28.25*100000000</v>
      </c>
      <c r="F1108" s="1">
        <f>28.25*100000000</f>
        <v>2825000000</v>
      </c>
      <c r="G1108" s="8">
        <f t="shared" si="543"/>
        <v>0.77449748743718594</v>
      </c>
      <c r="H1108" s="6" t="s">
        <v>7437</v>
      </c>
      <c r="I1108" s="6" t="str">
        <f t="shared" si="527"/>
        <v>=15.92*100000000</v>
      </c>
      <c r="J1108" s="1">
        <f>15.92*100000000</f>
        <v>1592000000</v>
      </c>
      <c r="K1108" s="10">
        <f t="shared" si="544"/>
        <v>0.31679073614557485</v>
      </c>
      <c r="L1108" s="6" t="s">
        <v>1435</v>
      </c>
      <c r="M1108" s="6" t="str">
        <f t="shared" si="528"/>
        <v>=12.09*100000000</v>
      </c>
      <c r="N1108" s="1">
        <f>12.09*100000000</f>
        <v>1209000000</v>
      </c>
      <c r="O1108" s="8">
        <f t="shared" si="545"/>
        <v>1.4355358581788877</v>
      </c>
      <c r="P1108" s="6" t="s">
        <v>98</v>
      </c>
      <c r="Q1108" s="6" t="str">
        <f t="shared" si="529"/>
        <v>=4.964*100000000</v>
      </c>
      <c r="R1108" s="11">
        <f>4.964*100000000</f>
        <v>496400000.00000006</v>
      </c>
      <c r="S1108" s="8">
        <f t="shared" si="546"/>
        <v>-0.57860780984719862</v>
      </c>
      <c r="T1108" s="6" t="s">
        <v>2035</v>
      </c>
      <c r="U1108" s="6" t="str">
        <f t="shared" si="530"/>
        <v>=11.78*100000000</v>
      </c>
      <c r="V1108" s="1">
        <f>11.78*100000000</f>
        <v>1178000000</v>
      </c>
      <c r="W1108" s="8">
        <f t="shared" si="547"/>
        <v>0.19074092792883843</v>
      </c>
      <c r="X1108" s="6" t="s">
        <v>11508</v>
      </c>
      <c r="Y1108" s="6" t="str">
        <f t="shared" si="531"/>
        <v>=9.893*100000000</v>
      </c>
      <c r="Z1108" s="1">
        <f>9.893*100000000</f>
        <v>989300000.00000012</v>
      </c>
      <c r="AA1108" s="8">
        <f t="shared" si="548"/>
        <v>0.28999869604902873</v>
      </c>
      <c r="AB1108" s="6" t="s">
        <v>11509</v>
      </c>
      <c r="AC1108" s="6" t="str">
        <f t="shared" si="532"/>
        <v>=7.669*100000000</v>
      </c>
      <c r="AD1108" s="1">
        <f>7.669*100000000</f>
        <v>766900000</v>
      </c>
      <c r="AE1108" s="8">
        <f t="shared" si="549"/>
        <v>1.5640254095620194</v>
      </c>
      <c r="AF1108" s="6" t="s">
        <v>8282</v>
      </c>
      <c r="AG1108" s="6" t="str">
        <f t="shared" si="533"/>
        <v>=2.991*100000000</v>
      </c>
      <c r="AH1108" s="1">
        <f>2.991*100000000</f>
        <v>299100000</v>
      </c>
      <c r="AI1108" s="8">
        <f t="shared" si="550"/>
        <v>-0.7439212328767123</v>
      </c>
      <c r="AJ1108" s="6" t="s">
        <v>7004</v>
      </c>
      <c r="AK1108" s="6" t="str">
        <f t="shared" si="534"/>
        <v>=11.68*100000000</v>
      </c>
      <c r="AL1108" s="1">
        <f>11.68*100000000</f>
        <v>1168000000</v>
      </c>
      <c r="AM1108" s="8">
        <f t="shared" si="551"/>
        <v>0.14847590953785644</v>
      </c>
      <c r="AN1108" s="6" t="s">
        <v>6860</v>
      </c>
      <c r="AO1108" s="6" t="str">
        <f t="shared" si="535"/>
        <v>=10.17*100000000</v>
      </c>
      <c r="AP1108" s="1">
        <f>10.17*100000000</f>
        <v>1017000000</v>
      </c>
      <c r="AQ1108" s="8">
        <f t="shared" si="552"/>
        <v>0.27331914360836357</v>
      </c>
      <c r="AR1108" s="6" t="s">
        <v>11510</v>
      </c>
      <c r="AS1108" s="6" t="str">
        <f t="shared" si="536"/>
        <v>=7.987*100000000</v>
      </c>
      <c r="AT1108" s="1">
        <f>7.987*100000000</f>
        <v>798700000</v>
      </c>
      <c r="AU1108" s="8">
        <f t="shared" si="553"/>
        <v>0.97063903281519859</v>
      </c>
      <c r="AV1108" s="6" t="s">
        <v>5427</v>
      </c>
      <c r="AW1108" s="6" t="str">
        <f t="shared" si="537"/>
        <v>=4.053*100000000</v>
      </c>
      <c r="AX1108" s="1">
        <f>4.053*100000000</f>
        <v>405300000</v>
      </c>
      <c r="AY1108" s="10">
        <f t="shared" si="554"/>
        <v>-0.66641975308641976</v>
      </c>
      <c r="AZ1108" s="6" t="s">
        <v>1396</v>
      </c>
      <c r="BA1108" s="6" t="str">
        <f t="shared" si="538"/>
        <v>=12.15*100000000</v>
      </c>
      <c r="BB1108" s="1">
        <f>12.15*100000000</f>
        <v>1215000000</v>
      </c>
      <c r="BC1108" s="8">
        <f t="shared" si="555"/>
        <v>0.37117706805100986</v>
      </c>
      <c r="BD1108" s="6" t="s">
        <v>477</v>
      </c>
      <c r="BE1108" s="6" t="str">
        <f t="shared" si="539"/>
        <v>=8.861*100000000</v>
      </c>
      <c r="BF1108" s="1">
        <f>8.861*100000000</f>
        <v>886100000.00000012</v>
      </c>
      <c r="BG1108" s="8">
        <f t="shared" si="556"/>
        <v>0.5378340853870186</v>
      </c>
      <c r="BH1108" s="6" t="s">
        <v>11511</v>
      </c>
      <c r="BI1108" s="6" t="str">
        <f t="shared" si="540"/>
        <v>=5.762*100000000</v>
      </c>
      <c r="BJ1108" s="1">
        <f>5.762*100000000</f>
        <v>576200000</v>
      </c>
      <c r="BK1108" s="6" t="s">
        <v>6961</v>
      </c>
      <c r="BL1108" s="1" t="str">
        <f t="shared" si="542"/>
        <v>=3.010*100000000</v>
      </c>
      <c r="BM1108" s="16">
        <f t="shared" si="557"/>
        <v>0.91428571428571426</v>
      </c>
      <c r="BN1108" s="1">
        <f>3.01*100000000</f>
        <v>301000000</v>
      </c>
    </row>
    <row r="1109" spans="1:66">
      <c r="A1109" s="19"/>
      <c r="B1109">
        <v>600873</v>
      </c>
      <c r="C1109" t="s">
        <v>68</v>
      </c>
      <c r="D1109" s="6" t="s">
        <v>11512</v>
      </c>
      <c r="E1109" s="7" t="str">
        <f t="shared" si="541"/>
        <v>=23.76*100000000</v>
      </c>
      <c r="F1109" s="1">
        <f>23.76*100000000</f>
        <v>2376000000</v>
      </c>
      <c r="G1109" s="8">
        <f t="shared" si="543"/>
        <v>0.7639198218262806</v>
      </c>
      <c r="H1109" s="6" t="s">
        <v>2049</v>
      </c>
      <c r="I1109" s="6" t="str">
        <f t="shared" si="527"/>
        <v>=13.47*100000000</v>
      </c>
      <c r="J1109" s="1">
        <f>13.47*100000000</f>
        <v>1347000000</v>
      </c>
      <c r="K1109" s="10">
        <f t="shared" si="544"/>
        <v>0.32188420019627084</v>
      </c>
      <c r="L1109" s="6" t="s">
        <v>2896</v>
      </c>
      <c r="M1109" s="6" t="str">
        <f t="shared" si="528"/>
        <v>=10.19*100000000</v>
      </c>
      <c r="N1109" s="1">
        <f>10.19*100000000</f>
        <v>1019000000</v>
      </c>
      <c r="O1109" s="8">
        <f t="shared" si="545"/>
        <v>1.4554216867469878</v>
      </c>
      <c r="P1109" s="6" t="s">
        <v>3687</v>
      </c>
      <c r="Q1109" s="6" t="str">
        <f t="shared" si="529"/>
        <v>=4.150*100000000</v>
      </c>
      <c r="R1109" s="11">
        <f>4.15*100000000</f>
        <v>415000000.00000006</v>
      </c>
      <c r="S1109" s="8">
        <f t="shared" si="546"/>
        <v>-0.5870646766169153</v>
      </c>
      <c r="T1109" s="6" t="s">
        <v>1093</v>
      </c>
      <c r="U1109" s="6" t="str">
        <f t="shared" si="530"/>
        <v>=10.05*100000000</v>
      </c>
      <c r="V1109" s="1">
        <f>10.05*100000000</f>
        <v>1005000000.0000001</v>
      </c>
      <c r="W1109" s="8">
        <f t="shared" si="547"/>
        <v>0.20330459770114956</v>
      </c>
      <c r="X1109" s="6" t="s">
        <v>11513</v>
      </c>
      <c r="Y1109" s="6" t="str">
        <f t="shared" si="531"/>
        <v>=8.352*100000000</v>
      </c>
      <c r="Z1109" s="1">
        <f>8.352*100000000</f>
        <v>835200000</v>
      </c>
      <c r="AA1109" s="8">
        <f t="shared" si="548"/>
        <v>0.29187935034802787</v>
      </c>
      <c r="AB1109" s="6" t="s">
        <v>11514</v>
      </c>
      <c r="AC1109" s="6" t="str">
        <f t="shared" si="532"/>
        <v>=6.465*100000000</v>
      </c>
      <c r="AD1109" s="1">
        <f>6.465*100000000</f>
        <v>646500000</v>
      </c>
      <c r="AE1109" s="8">
        <f t="shared" si="549"/>
        <v>1.6005631536604985</v>
      </c>
      <c r="AF1109" s="6" t="s">
        <v>11515</v>
      </c>
      <c r="AG1109" s="6" t="str">
        <f t="shared" si="533"/>
        <v>=2.486*100000000</v>
      </c>
      <c r="AH1109" s="1">
        <f>2.486*100000000</f>
        <v>248600000.00000003</v>
      </c>
      <c r="AI1109" s="8">
        <f t="shared" si="550"/>
        <v>-0.75239043824701191</v>
      </c>
      <c r="AJ1109" s="6" t="s">
        <v>602</v>
      </c>
      <c r="AK1109" s="6" t="str">
        <f t="shared" si="534"/>
        <v>=10.04*100000000</v>
      </c>
      <c r="AL1109" s="1">
        <f>10.04*100000000</f>
        <v>1003999999.9999999</v>
      </c>
      <c r="AM1109" s="8">
        <f t="shared" si="551"/>
        <v>0.1569486056695088</v>
      </c>
      <c r="AN1109" s="6" t="s">
        <v>11516</v>
      </c>
      <c r="AO1109" s="6" t="str">
        <f t="shared" si="535"/>
        <v>=8.678*100000000</v>
      </c>
      <c r="AP1109" s="1">
        <f>8.678*100000000</f>
        <v>867800000.00000012</v>
      </c>
      <c r="AQ1109" s="8">
        <f t="shared" si="552"/>
        <v>0.29271562639654419</v>
      </c>
      <c r="AR1109" s="6" t="s">
        <v>11517</v>
      </c>
      <c r="AS1109" s="6" t="str">
        <f t="shared" si="536"/>
        <v>=6.713*100000000</v>
      </c>
      <c r="AT1109" s="1">
        <f>6.713*100000000</f>
        <v>671300000</v>
      </c>
      <c r="AU1109" s="8">
        <f t="shared" si="553"/>
        <v>0.938492636442391</v>
      </c>
      <c r="AV1109" s="6" t="s">
        <v>4815</v>
      </c>
      <c r="AW1109" s="6" t="str">
        <f t="shared" si="537"/>
        <v>=3.463*100000000</v>
      </c>
      <c r="AX1109" s="1">
        <f>3.463*100000000</f>
        <v>346300000</v>
      </c>
      <c r="AY1109" s="10">
        <f t="shared" si="554"/>
        <v>-0.66049019607843129</v>
      </c>
      <c r="AZ1109" s="6" t="s">
        <v>660</v>
      </c>
      <c r="BA1109" s="6" t="str">
        <f t="shared" si="538"/>
        <v>=10.20*100000000</v>
      </c>
      <c r="BB1109" s="1">
        <f>10.2*100000000</f>
        <v>1019999999.9999999</v>
      </c>
      <c r="BC1109" s="8">
        <f t="shared" si="555"/>
        <v>0.37152077450584897</v>
      </c>
      <c r="BD1109" s="6" t="s">
        <v>11518</v>
      </c>
      <c r="BE1109" s="6" t="str">
        <f t="shared" si="539"/>
        <v>=7.437*100000000</v>
      </c>
      <c r="BF1109" s="1">
        <f>7.437*100000000</f>
        <v>743700000</v>
      </c>
      <c r="BG1109" s="8">
        <f t="shared" si="556"/>
        <v>0.54486913169921058</v>
      </c>
      <c r="BH1109" s="6" t="s">
        <v>11519</v>
      </c>
      <c r="BI1109" s="6" t="str">
        <f t="shared" si="540"/>
        <v>=4.814*100000000</v>
      </c>
      <c r="BJ1109" s="1">
        <f>4.814*100000000</f>
        <v>481400000</v>
      </c>
      <c r="BK1109" s="6" t="s">
        <v>11520</v>
      </c>
      <c r="BL1109" s="1" t="str">
        <f t="shared" si="542"/>
        <v>=2.534*100000000</v>
      </c>
      <c r="BM1109" s="16">
        <f t="shared" si="557"/>
        <v>0.89976322020520938</v>
      </c>
      <c r="BN1109" s="1">
        <f>2.534*100000000</f>
        <v>253399999.99999997</v>
      </c>
    </row>
    <row r="1110" spans="1:66">
      <c r="A1110" s="17">
        <v>279</v>
      </c>
      <c r="B1110">
        <v>600874</v>
      </c>
      <c r="C1110" t="s">
        <v>31</v>
      </c>
      <c r="D1110" s="6" t="s">
        <v>11521</v>
      </c>
      <c r="E1110" s="7" t="str">
        <f t="shared" si="541"/>
        <v>=45.36*100000000</v>
      </c>
      <c r="F1110" s="1">
        <f>45.36*100000000</f>
        <v>4536000000</v>
      </c>
      <c r="G1110" s="8">
        <f t="shared" si="543"/>
        <v>0.38928024502297093</v>
      </c>
      <c r="H1110" s="6" t="s">
        <v>8179</v>
      </c>
      <c r="I1110" s="6" t="str">
        <f t="shared" si="527"/>
        <v>=32.65*100000000</v>
      </c>
      <c r="J1110" s="1">
        <f>32.65*100000000</f>
        <v>3265000000</v>
      </c>
      <c r="K1110" s="10">
        <f t="shared" si="544"/>
        <v>0.71481092436974791</v>
      </c>
      <c r="L1110" s="6" t="s">
        <v>3955</v>
      </c>
      <c r="M1110" s="6" t="str">
        <f t="shared" si="528"/>
        <v>=19.04*100000000</v>
      </c>
      <c r="N1110" s="1">
        <f>19.04*100000000</f>
        <v>1904000000</v>
      </c>
      <c r="O1110" s="8">
        <f t="shared" si="545"/>
        <v>1.1752541985604936</v>
      </c>
      <c r="P1110" s="6" t="s">
        <v>6210</v>
      </c>
      <c r="Q1110" s="6" t="str">
        <f t="shared" si="529"/>
        <v>=8.753*100000000</v>
      </c>
      <c r="R1110" s="11">
        <f>8.753*100000000</f>
        <v>875300000</v>
      </c>
      <c r="S1110" s="8">
        <f t="shared" si="546"/>
        <v>-0.73980380499405474</v>
      </c>
      <c r="T1110" s="6" t="s">
        <v>8938</v>
      </c>
      <c r="U1110" s="6" t="str">
        <f t="shared" si="530"/>
        <v>=33.64*100000000</v>
      </c>
      <c r="V1110" s="1">
        <f>33.64*100000000</f>
        <v>3364000000</v>
      </c>
      <c r="W1110" s="8">
        <f t="shared" si="547"/>
        <v>0.3564516129032258</v>
      </c>
      <c r="X1110" s="6" t="s">
        <v>9586</v>
      </c>
      <c r="Y1110" s="6" t="str">
        <f t="shared" si="531"/>
        <v>=24.80*100000000</v>
      </c>
      <c r="Z1110" s="1">
        <f>24.8*100000000</f>
        <v>2480000000</v>
      </c>
      <c r="AA1110" s="8">
        <f t="shared" si="548"/>
        <v>0.63050624589086124</v>
      </c>
      <c r="AB1110" s="6" t="s">
        <v>8044</v>
      </c>
      <c r="AC1110" s="6" t="str">
        <f t="shared" si="532"/>
        <v>=15.21*100000000</v>
      </c>
      <c r="AD1110" s="1">
        <f>15.21*100000000</f>
        <v>1521000000</v>
      </c>
      <c r="AE1110" s="8">
        <f t="shared" si="549"/>
        <v>1.1234119782214156</v>
      </c>
      <c r="AF1110" s="6" t="s">
        <v>10114</v>
      </c>
      <c r="AG1110" s="6" t="str">
        <f t="shared" si="533"/>
        <v>=7.163*100000000</v>
      </c>
      <c r="AH1110" s="1">
        <f>7.163*100000000</f>
        <v>716300000</v>
      </c>
      <c r="AI1110" s="8">
        <f t="shared" si="550"/>
        <v>-0.74875482286916872</v>
      </c>
      <c r="AJ1110" s="6" t="s">
        <v>11522</v>
      </c>
      <c r="AK1110" s="6" t="str">
        <f t="shared" si="534"/>
        <v>=28.51*100000000</v>
      </c>
      <c r="AL1110" s="1">
        <f>28.51*100000000</f>
        <v>2851000000</v>
      </c>
      <c r="AM1110" s="8">
        <f t="shared" si="551"/>
        <v>0.46883049974240082</v>
      </c>
      <c r="AN1110" s="6" t="s">
        <v>11523</v>
      </c>
      <c r="AO1110" s="6" t="str">
        <f t="shared" si="535"/>
        <v>=19.41*100000000</v>
      </c>
      <c r="AP1110" s="1">
        <f>19.41*100000000</f>
        <v>1941000000</v>
      </c>
      <c r="AQ1110" s="8">
        <f t="shared" si="552"/>
        <v>0.58448979591836736</v>
      </c>
      <c r="AR1110" s="6" t="s">
        <v>9748</v>
      </c>
      <c r="AS1110" s="6" t="str">
        <f t="shared" si="536"/>
        <v>=12.25*100000000</v>
      </c>
      <c r="AT1110" s="1">
        <f>12.25*100000000</f>
        <v>1225000000</v>
      </c>
      <c r="AU1110" s="8">
        <f t="shared" si="553"/>
        <v>1.067161660479244</v>
      </c>
      <c r="AV1110" s="6" t="s">
        <v>11524</v>
      </c>
      <c r="AW1110" s="6" t="str">
        <f t="shared" si="537"/>
        <v>=5.926*100000000</v>
      </c>
      <c r="AX1110" s="1">
        <f>5.926*100000000</f>
        <v>592600000</v>
      </c>
      <c r="AY1110" s="10">
        <f t="shared" si="554"/>
        <v>-0.75792483660130716</v>
      </c>
      <c r="AZ1110" s="6" t="s">
        <v>210</v>
      </c>
      <c r="BA1110" s="6" t="str">
        <f t="shared" si="538"/>
        <v>=24.48*100000000</v>
      </c>
      <c r="BB1110" s="1">
        <f>24.48*100000000</f>
        <v>2448000000</v>
      </c>
      <c r="BC1110" s="8">
        <f t="shared" si="555"/>
        <v>0.41502890173410406</v>
      </c>
      <c r="BD1110" s="6" t="s">
        <v>11525</v>
      </c>
      <c r="BE1110" s="6" t="str">
        <f t="shared" si="539"/>
        <v>=17.30*100000000</v>
      </c>
      <c r="BF1110" s="1">
        <f>17.3*100000000</f>
        <v>1730000000</v>
      </c>
      <c r="BG1110" s="8">
        <f t="shared" si="556"/>
        <v>0.56137184115523464</v>
      </c>
      <c r="BH1110" s="6" t="s">
        <v>11526</v>
      </c>
      <c r="BI1110" s="6" t="str">
        <f t="shared" si="540"/>
        <v>=11.08*100000000</v>
      </c>
      <c r="BJ1110" s="1">
        <f>11.08*100000000</f>
        <v>1108000000</v>
      </c>
      <c r="BK1110" s="6" t="s">
        <v>4953</v>
      </c>
      <c r="BL1110" s="1" t="str">
        <f t="shared" si="542"/>
        <v>=4.929*100000000</v>
      </c>
      <c r="BM1110" s="16">
        <f t="shared" si="557"/>
        <v>1.2479204706837086</v>
      </c>
      <c r="BN1110" s="1">
        <f>4.929*100000000</f>
        <v>492900000</v>
      </c>
    </row>
    <row r="1111" spans="1:66">
      <c r="A1111" s="18"/>
      <c r="B1111">
        <v>600874</v>
      </c>
      <c r="C1111" t="s">
        <v>48</v>
      </c>
      <c r="D1111" s="6" t="s">
        <v>11527</v>
      </c>
      <c r="E1111" s="7" t="str">
        <f t="shared" si="541"/>
        <v>=8.970*100000000</v>
      </c>
      <c r="F1111" s="1">
        <f>8.97*100000000</f>
        <v>897000000.00000012</v>
      </c>
      <c r="G1111" s="8">
        <f t="shared" si="543"/>
        <v>0.28583715596330295</v>
      </c>
      <c r="H1111" s="6" t="s">
        <v>8975</v>
      </c>
      <c r="I1111" s="6" t="str">
        <f t="shared" si="527"/>
        <v>=6.976*100000000</v>
      </c>
      <c r="J1111" s="1">
        <f>6.976*100000000</f>
        <v>697600000</v>
      </c>
      <c r="K1111" s="10">
        <f t="shared" si="544"/>
        <v>0.71190184049079752</v>
      </c>
      <c r="L1111" s="6" t="s">
        <v>3067</v>
      </c>
      <c r="M1111" s="6" t="str">
        <f t="shared" si="528"/>
        <v>=4.075*100000000</v>
      </c>
      <c r="N1111" s="1">
        <f>4.075*100000000</f>
        <v>407500000</v>
      </c>
      <c r="O1111" s="8">
        <f t="shared" si="545"/>
        <v>0.95819317635752044</v>
      </c>
      <c r="P1111" s="6" t="s">
        <v>9246</v>
      </c>
      <c r="Q1111" s="6" t="str">
        <f t="shared" si="529"/>
        <v>=2.081*100000000</v>
      </c>
      <c r="R1111" s="11">
        <f>2.081*100000000</f>
        <v>208100000</v>
      </c>
      <c r="S1111" s="8">
        <f t="shared" si="546"/>
        <v>-0.7122113124049233</v>
      </c>
      <c r="T1111" s="6" t="s">
        <v>11528</v>
      </c>
      <c r="U1111" s="6" t="str">
        <f t="shared" si="530"/>
        <v>=7.231*100000000</v>
      </c>
      <c r="V1111" s="1">
        <f>7.231*100000000</f>
        <v>723100000</v>
      </c>
      <c r="W1111" s="8">
        <f t="shared" si="547"/>
        <v>0.21857094708459723</v>
      </c>
      <c r="X1111" s="6" t="s">
        <v>11529</v>
      </c>
      <c r="Y1111" s="6" t="str">
        <f t="shared" si="531"/>
        <v>=5.934*100000000</v>
      </c>
      <c r="Z1111" s="1">
        <f>5.934*100000000</f>
        <v>593400000</v>
      </c>
      <c r="AA1111" s="8">
        <f t="shared" si="548"/>
        <v>0.75147579693034239</v>
      </c>
      <c r="AB1111" s="6" t="s">
        <v>5205</v>
      </c>
      <c r="AC1111" s="6" t="str">
        <f t="shared" si="532"/>
        <v>=3.388*100000000</v>
      </c>
      <c r="AD1111" s="1">
        <f>3.388*100000000</f>
        <v>338800000</v>
      </c>
      <c r="AE1111" s="8">
        <f t="shared" si="549"/>
        <v>1.0166666666666666</v>
      </c>
      <c r="AF1111" s="6" t="s">
        <v>11530</v>
      </c>
      <c r="AG1111" s="6" t="str">
        <f t="shared" si="533"/>
        <v>=1.680*100000000</v>
      </c>
      <c r="AH1111" s="1">
        <f>1.68*100000000</f>
        <v>168000000</v>
      </c>
      <c r="AI1111" s="8">
        <f t="shared" si="550"/>
        <v>-0.73405097356340032</v>
      </c>
      <c r="AJ1111" s="6" t="s">
        <v>11531</v>
      </c>
      <c r="AK1111" s="6" t="str">
        <f t="shared" si="534"/>
        <v>=6.317*100000000</v>
      </c>
      <c r="AL1111" s="1">
        <f>6.317*100000000</f>
        <v>631700000</v>
      </c>
      <c r="AM1111" s="8">
        <f t="shared" si="551"/>
        <v>0.26340000000000002</v>
      </c>
      <c r="AN1111" s="6" t="s">
        <v>11532</v>
      </c>
      <c r="AO1111" s="6" t="str">
        <f t="shared" si="535"/>
        <v>=5.000*100000000</v>
      </c>
      <c r="AP1111" s="1">
        <f>5*100000000</f>
        <v>500000000</v>
      </c>
      <c r="AQ1111" s="8">
        <f t="shared" si="552"/>
        <v>0.74155346569139668</v>
      </c>
      <c r="AR1111" s="6" t="s">
        <v>6530</v>
      </c>
      <c r="AS1111" s="6" t="str">
        <f t="shared" si="536"/>
        <v>=2.871*100000000</v>
      </c>
      <c r="AT1111" s="1">
        <f>2.871*100000000</f>
        <v>287100000</v>
      </c>
      <c r="AU1111" s="8">
        <f t="shared" si="553"/>
        <v>1.2118644067796611</v>
      </c>
      <c r="AV1111" s="6" t="s">
        <v>10581</v>
      </c>
      <c r="AW1111" s="6" t="str">
        <f t="shared" si="537"/>
        <v>=1.298*100000000</v>
      </c>
      <c r="AX1111" s="1">
        <f>1.298*100000000</f>
        <v>129800000</v>
      </c>
      <c r="AY1111" s="10">
        <f t="shared" si="554"/>
        <v>-0.81242774566473985</v>
      </c>
      <c r="AZ1111" s="6" t="s">
        <v>11533</v>
      </c>
      <c r="BA1111" s="6" t="str">
        <f t="shared" si="538"/>
        <v>=6.920*100000000</v>
      </c>
      <c r="BB1111" s="1">
        <f>6.92*100000000</f>
        <v>692000000</v>
      </c>
      <c r="BC1111" s="8">
        <f t="shared" si="555"/>
        <v>0.21574139142656359</v>
      </c>
      <c r="BD1111" s="6" t="s">
        <v>11534</v>
      </c>
      <c r="BE1111" s="6" t="str">
        <f t="shared" si="539"/>
        <v>=5.692*100000000</v>
      </c>
      <c r="BF1111" s="1">
        <f>5.692*100000000</f>
        <v>569200000</v>
      </c>
      <c r="BG1111" s="8">
        <f t="shared" si="556"/>
        <v>0.45724526369687662</v>
      </c>
      <c r="BH1111" s="6" t="s">
        <v>11535</v>
      </c>
      <c r="BI1111" s="6" t="str">
        <f t="shared" si="540"/>
        <v>=3.906*100000000</v>
      </c>
      <c r="BJ1111" s="1">
        <f>3.906*100000000</f>
        <v>390600000</v>
      </c>
      <c r="BK1111" s="6" t="s">
        <v>1701</v>
      </c>
      <c r="BL1111" s="1" t="str">
        <f t="shared" si="542"/>
        <v>=1.480*100000000</v>
      </c>
      <c r="BM1111" s="16">
        <f t="shared" si="557"/>
        <v>1.6391891891891892</v>
      </c>
      <c r="BN1111" s="1">
        <f>1.48*100000000</f>
        <v>148000000</v>
      </c>
    </row>
    <row r="1112" spans="1:66">
      <c r="A1112" s="18"/>
      <c r="B1112">
        <v>600874</v>
      </c>
      <c r="C1112" t="s">
        <v>58</v>
      </c>
      <c r="D1112" s="6" t="s">
        <v>6671</v>
      </c>
      <c r="E1112" s="7" t="str">
        <f t="shared" si="541"/>
        <v>=8.961*100000000</v>
      </c>
      <c r="F1112" s="1">
        <f>8.961*100000000</f>
        <v>896100000</v>
      </c>
      <c r="G1112" s="8">
        <f t="shared" si="543"/>
        <v>0.28972366148531953</v>
      </c>
      <c r="H1112" s="6" t="s">
        <v>3070</v>
      </c>
      <c r="I1112" s="6" t="str">
        <f t="shared" si="527"/>
        <v>=6.948*100000000</v>
      </c>
      <c r="J1112" s="1">
        <f>6.948*100000000</f>
        <v>694800000</v>
      </c>
      <c r="K1112" s="10">
        <f t="shared" si="544"/>
        <v>0.70880472208558776</v>
      </c>
      <c r="L1112" s="6" t="s">
        <v>8779</v>
      </c>
      <c r="M1112" s="6" t="str">
        <f t="shared" si="528"/>
        <v>=4.066*100000000</v>
      </c>
      <c r="N1112" s="1">
        <f>4.066*100000000</f>
        <v>406600000</v>
      </c>
      <c r="O1112" s="8">
        <f t="shared" si="545"/>
        <v>0.9529298751200771</v>
      </c>
      <c r="P1112" s="6" t="s">
        <v>11536</v>
      </c>
      <c r="Q1112" s="6" t="str">
        <f t="shared" si="529"/>
        <v>=2.082*100000000</v>
      </c>
      <c r="R1112" s="11">
        <f>2.082*100000000</f>
        <v>208199999.99999997</v>
      </c>
      <c r="S1112" s="8">
        <f t="shared" si="546"/>
        <v>-0.71010860484544691</v>
      </c>
      <c r="T1112" s="6" t="s">
        <v>11537</v>
      </c>
      <c r="U1112" s="6" t="str">
        <f t="shared" si="530"/>
        <v>=7.182*100000000</v>
      </c>
      <c r="V1112" s="1">
        <f>7.182*100000000</f>
        <v>718200000</v>
      </c>
      <c r="W1112" s="8">
        <f t="shared" si="547"/>
        <v>0.21461187214611871</v>
      </c>
      <c r="X1112" s="6" t="s">
        <v>11452</v>
      </c>
      <c r="Y1112" s="6" t="str">
        <f t="shared" si="531"/>
        <v>=5.913*100000000</v>
      </c>
      <c r="Z1112" s="1">
        <f>5.913*100000000</f>
        <v>591300000</v>
      </c>
      <c r="AA1112" s="8">
        <f t="shared" si="548"/>
        <v>0.75877453896490188</v>
      </c>
      <c r="AB1112" s="6" t="s">
        <v>5834</v>
      </c>
      <c r="AC1112" s="6" t="str">
        <f t="shared" si="532"/>
        <v>=3.362*100000000</v>
      </c>
      <c r="AD1112" s="1">
        <f>3.362*100000000</f>
        <v>336200000</v>
      </c>
      <c r="AE1112" s="8">
        <f t="shared" si="549"/>
        <v>1.0289680144840072</v>
      </c>
      <c r="AF1112" s="6" t="s">
        <v>11538</v>
      </c>
      <c r="AG1112" s="6" t="str">
        <f t="shared" si="533"/>
        <v>=1.657*100000000</v>
      </c>
      <c r="AH1112" s="1">
        <f>1.657*100000000</f>
        <v>165700000</v>
      </c>
      <c r="AI1112" s="8">
        <f t="shared" si="550"/>
        <v>-0.7367752184273233</v>
      </c>
      <c r="AJ1112" s="6" t="s">
        <v>11539</v>
      </c>
      <c r="AK1112" s="6" t="str">
        <f t="shared" si="534"/>
        <v>=6.295*100000000</v>
      </c>
      <c r="AL1112" s="1">
        <f>6.295*100000000</f>
        <v>629500000</v>
      </c>
      <c r="AM1112" s="8">
        <f t="shared" si="551"/>
        <v>0.25124229775392581</v>
      </c>
      <c r="AN1112" s="6" t="s">
        <v>1664</v>
      </c>
      <c r="AO1112" s="6" t="str">
        <f t="shared" si="535"/>
        <v>=5.031*100000000</v>
      </c>
      <c r="AP1112" s="1">
        <f>5.031*100000000</f>
        <v>503099999.99999994</v>
      </c>
      <c r="AQ1112" s="8">
        <f t="shared" si="552"/>
        <v>0.75174094707520867</v>
      </c>
      <c r="AR1112" s="6" t="s">
        <v>4488</v>
      </c>
      <c r="AS1112" s="6" t="str">
        <f t="shared" si="536"/>
        <v>=2.872*100000000</v>
      </c>
      <c r="AT1112" s="1">
        <f>2.872*100000000</f>
        <v>287200000</v>
      </c>
      <c r="AU1112" s="8">
        <f t="shared" si="553"/>
        <v>1.2507836990595611</v>
      </c>
      <c r="AV1112" s="6" t="s">
        <v>8712</v>
      </c>
      <c r="AW1112" s="6" t="str">
        <f t="shared" si="537"/>
        <v>=1.276*100000000</v>
      </c>
      <c r="AX1112" s="1">
        <f>1.276*100000000</f>
        <v>127600000</v>
      </c>
      <c r="AY1112" s="10">
        <f t="shared" si="554"/>
        <v>-0.81635002878526197</v>
      </c>
      <c r="AZ1112" s="6" t="s">
        <v>3070</v>
      </c>
      <c r="BA1112" s="6" t="str">
        <f t="shared" si="538"/>
        <v>=6.948*100000000</v>
      </c>
      <c r="BB1112" s="1">
        <f>6.948*100000000</f>
        <v>694800000</v>
      </c>
      <c r="BC1112" s="8">
        <f t="shared" si="555"/>
        <v>0.20834782608695651</v>
      </c>
      <c r="BD1112" s="6" t="s">
        <v>11540</v>
      </c>
      <c r="BE1112" s="6" t="str">
        <f t="shared" si="539"/>
        <v>=5.750*100000000</v>
      </c>
      <c r="BF1112" s="1">
        <f>5.75*100000000</f>
        <v>575000000</v>
      </c>
      <c r="BG1112" s="8">
        <f t="shared" si="556"/>
        <v>0.460502921005842</v>
      </c>
      <c r="BH1112" s="6" t="s">
        <v>6721</v>
      </c>
      <c r="BI1112" s="6" t="str">
        <f t="shared" si="540"/>
        <v>=3.937*100000000</v>
      </c>
      <c r="BJ1112" s="1">
        <f>3.937*100000000</f>
        <v>393700000</v>
      </c>
      <c r="BK1112" s="6" t="s">
        <v>11541</v>
      </c>
      <c r="BL1112" s="1" t="str">
        <f t="shared" si="542"/>
        <v>=1.490*100000000</v>
      </c>
      <c r="BM1112" s="16">
        <f t="shared" si="557"/>
        <v>1.642281879194631</v>
      </c>
      <c r="BN1112" s="1">
        <f>1.49*100000000</f>
        <v>149000000</v>
      </c>
    </row>
    <row r="1113" spans="1:66">
      <c r="A1113" s="19"/>
      <c r="B1113">
        <v>600874</v>
      </c>
      <c r="C1113" t="s">
        <v>68</v>
      </c>
      <c r="D1113" s="6" t="s">
        <v>11542</v>
      </c>
      <c r="E1113" s="7" t="str">
        <f t="shared" si="541"/>
        <v>=7.190*100000000</v>
      </c>
      <c r="F1113" s="1">
        <f>7.19*100000000</f>
        <v>719000000</v>
      </c>
      <c r="G1113" s="8">
        <f t="shared" si="543"/>
        <v>0.2336993822923816</v>
      </c>
      <c r="H1113" s="6" t="s">
        <v>11543</v>
      </c>
      <c r="I1113" s="6" t="str">
        <f t="shared" si="527"/>
        <v>=5.828*100000000</v>
      </c>
      <c r="J1113" s="1">
        <f>5.828*100000000</f>
        <v>582800000</v>
      </c>
      <c r="K1113" s="10">
        <f t="shared" si="544"/>
        <v>0.73091773091773093</v>
      </c>
      <c r="L1113" s="6" t="s">
        <v>11544</v>
      </c>
      <c r="M1113" s="6" t="str">
        <f t="shared" si="528"/>
        <v>=3.367*100000000</v>
      </c>
      <c r="N1113" s="1">
        <f>3.367*100000000</f>
        <v>336700000</v>
      </c>
      <c r="O1113" s="8">
        <f t="shared" si="545"/>
        <v>0.92951289398280801</v>
      </c>
      <c r="P1113" s="6" t="s">
        <v>8302</v>
      </c>
      <c r="Q1113" s="6" t="str">
        <f t="shared" si="529"/>
        <v>=1.745*100000000</v>
      </c>
      <c r="R1113" s="11">
        <f>1.745*100000000</f>
        <v>174500000</v>
      </c>
      <c r="S1113" s="8">
        <f t="shared" si="546"/>
        <v>-0.71209371390859599</v>
      </c>
      <c r="T1113" s="6" t="s">
        <v>11545</v>
      </c>
      <c r="U1113" s="6" t="str">
        <f t="shared" si="530"/>
        <v>=6.061*100000000</v>
      </c>
      <c r="V1113" s="1">
        <f>6.061*100000000</f>
        <v>606100000</v>
      </c>
      <c r="W1113" s="8">
        <f t="shared" si="547"/>
        <v>0.26323468111713216</v>
      </c>
      <c r="X1113" s="6" t="s">
        <v>10765</v>
      </c>
      <c r="Y1113" s="6" t="str">
        <f t="shared" si="531"/>
        <v>=4.798*100000000</v>
      </c>
      <c r="Z1113" s="1">
        <f>4.798*100000000</f>
        <v>479800000</v>
      </c>
      <c r="AA1113" s="8">
        <f t="shared" si="548"/>
        <v>0.73212996389891694</v>
      </c>
      <c r="AB1113" s="6" t="s">
        <v>11546</v>
      </c>
      <c r="AC1113" s="6" t="str">
        <f t="shared" si="532"/>
        <v>=2.770*100000000</v>
      </c>
      <c r="AD1113" s="1">
        <f>2.77*100000000</f>
        <v>277000000</v>
      </c>
      <c r="AE1113" s="8">
        <f t="shared" si="549"/>
        <v>1.0518518518518518</v>
      </c>
      <c r="AF1113" s="6" t="s">
        <v>11547</v>
      </c>
      <c r="AG1113" s="6" t="str">
        <f t="shared" si="533"/>
        <v>=1.350*100000000</v>
      </c>
      <c r="AH1113" s="1">
        <f>1.35*100000000</f>
        <v>135000000</v>
      </c>
      <c r="AI1113" s="8">
        <f t="shared" si="550"/>
        <v>-0.7448015122873346</v>
      </c>
      <c r="AJ1113" s="6" t="s">
        <v>11548</v>
      </c>
      <c r="AK1113" s="6" t="str">
        <f t="shared" si="534"/>
        <v>=5.290*100000000</v>
      </c>
      <c r="AL1113" s="1">
        <f>5.29*100000000</f>
        <v>529000000</v>
      </c>
      <c r="AM1113" s="8">
        <f t="shared" si="551"/>
        <v>0.28118188423347074</v>
      </c>
      <c r="AN1113" s="6" t="s">
        <v>11070</v>
      </c>
      <c r="AO1113" s="6" t="str">
        <f t="shared" si="535"/>
        <v>=4.129*100000000</v>
      </c>
      <c r="AP1113" s="1">
        <f>4.129*100000000</f>
        <v>412899999.99999994</v>
      </c>
      <c r="AQ1113" s="8">
        <f t="shared" si="552"/>
        <v>0.78667243617481586</v>
      </c>
      <c r="AR1113" s="6" t="s">
        <v>5043</v>
      </c>
      <c r="AS1113" s="6" t="str">
        <f t="shared" si="536"/>
        <v>=2.311*100000000</v>
      </c>
      <c r="AT1113" s="1">
        <f>2.311*100000000</f>
        <v>231100000</v>
      </c>
      <c r="AU1113" s="8">
        <f t="shared" si="553"/>
        <v>1.3714725500256542</v>
      </c>
      <c r="AV1113" s="7" t="s">
        <v>11549</v>
      </c>
      <c r="AW1113" s="6" t="str">
        <f t="shared" si="537"/>
        <v>=9745*10000</v>
      </c>
      <c r="AX1113" s="1">
        <f>9745*10000</f>
        <v>97450000</v>
      </c>
      <c r="AY1113" s="10">
        <f t="shared" si="554"/>
        <v>-0.81501518602885348</v>
      </c>
      <c r="AZ1113" s="6" t="s">
        <v>1897</v>
      </c>
      <c r="BA1113" s="6" t="str">
        <f t="shared" si="538"/>
        <v>=5.268*100000000</v>
      </c>
      <c r="BB1113" s="1">
        <f>5.268*100000000</f>
        <v>526800000</v>
      </c>
      <c r="BC1113" s="8">
        <f t="shared" si="555"/>
        <v>0.19455782312925171</v>
      </c>
      <c r="BD1113" s="6" t="s">
        <v>11550</v>
      </c>
      <c r="BE1113" s="6" t="str">
        <f t="shared" si="539"/>
        <v>=4.410*100000000</v>
      </c>
      <c r="BF1113" s="1">
        <f>4.41*100000000</f>
        <v>441000000</v>
      </c>
      <c r="BG1113" s="8">
        <f t="shared" si="556"/>
        <v>0.46268656716417911</v>
      </c>
      <c r="BH1113" s="6" t="s">
        <v>11507</v>
      </c>
      <c r="BI1113" s="6" t="str">
        <f t="shared" si="540"/>
        <v>=3.015*100000000</v>
      </c>
      <c r="BJ1113" s="1">
        <f>3.015*100000000</f>
        <v>301500000</v>
      </c>
      <c r="BK1113" s="6" t="s">
        <v>4468</v>
      </c>
      <c r="BL1113" s="1" t="str">
        <f t="shared" si="542"/>
        <v>=1.131*100000000</v>
      </c>
      <c r="BM1113" s="16">
        <f t="shared" si="557"/>
        <v>1.6657824933687002</v>
      </c>
      <c r="BN1113" s="1">
        <f>1.131*100000000</f>
        <v>113100000</v>
      </c>
    </row>
    <row r="1114" spans="1:66">
      <c r="A1114" s="17">
        <v>280</v>
      </c>
      <c r="B1114">
        <v>600875</v>
      </c>
      <c r="C1114" t="s">
        <v>31</v>
      </c>
      <c r="D1114" s="6" t="s">
        <v>11551</v>
      </c>
      <c r="E1114" s="7" t="str">
        <f t="shared" si="541"/>
        <v>=467.6*100000000</v>
      </c>
      <c r="F1114" s="1">
        <f>467.6*100000000</f>
        <v>46760000000</v>
      </c>
      <c r="G1114" s="8">
        <f t="shared" si="543"/>
        <v>0.43259803921568646</v>
      </c>
      <c r="H1114" s="6" t="s">
        <v>11552</v>
      </c>
      <c r="I1114" s="6" t="str">
        <f t="shared" si="527"/>
        <v>=326.4*100000000</v>
      </c>
      <c r="J1114" s="1">
        <f>326.4*100000000</f>
        <v>32639999999.999996</v>
      </c>
      <c r="K1114" s="10">
        <f t="shared" si="544"/>
        <v>0.46960828455650588</v>
      </c>
      <c r="L1114" s="6" t="s">
        <v>11553</v>
      </c>
      <c r="M1114" s="6" t="str">
        <f t="shared" si="528"/>
        <v>=222.1*100000000</v>
      </c>
      <c r="N1114" s="1">
        <f>222.1*100000000</f>
        <v>22210000000</v>
      </c>
      <c r="O1114" s="8">
        <f t="shared" si="545"/>
        <v>1.091337099811676</v>
      </c>
      <c r="P1114" s="6" t="s">
        <v>11106</v>
      </c>
      <c r="Q1114" s="6" t="str">
        <f t="shared" si="529"/>
        <v>=106.2*100000000</v>
      </c>
      <c r="R1114" s="11">
        <f>106.2*100000000</f>
        <v>10620000000</v>
      </c>
      <c r="S1114" s="8">
        <f t="shared" si="546"/>
        <v>-0.70695364238410596</v>
      </c>
      <c r="T1114" s="6" t="s">
        <v>11554</v>
      </c>
      <c r="U1114" s="6" t="str">
        <f t="shared" si="530"/>
        <v>=362.4*100000000</v>
      </c>
      <c r="V1114" s="1">
        <f>362.4*100000000</f>
        <v>36240000000</v>
      </c>
      <c r="W1114" s="8">
        <f t="shared" si="547"/>
        <v>0.37794676806083649</v>
      </c>
      <c r="X1114" s="6" t="s">
        <v>11555</v>
      </c>
      <c r="Y1114" s="6" t="str">
        <f t="shared" si="531"/>
        <v>=263.0*100000000</v>
      </c>
      <c r="Z1114" s="1">
        <f>263*100000000</f>
        <v>26300000000</v>
      </c>
      <c r="AA1114" s="8">
        <f t="shared" si="548"/>
        <v>0.5272938443670151</v>
      </c>
      <c r="AB1114" s="6" t="s">
        <v>11556</v>
      </c>
      <c r="AC1114" s="6" t="str">
        <f t="shared" si="532"/>
        <v>=172.2*100000000</v>
      </c>
      <c r="AD1114" s="1">
        <f>172.2*100000000</f>
        <v>17220000000</v>
      </c>
      <c r="AE1114" s="8">
        <f t="shared" si="549"/>
        <v>1.1753410813542193</v>
      </c>
      <c r="AF1114" s="6" t="s">
        <v>11557</v>
      </c>
      <c r="AG1114" s="6" t="str">
        <f t="shared" si="533"/>
        <v>=79.16*100000000</v>
      </c>
      <c r="AH1114" s="1">
        <f>79.16*100000000</f>
        <v>7916000000</v>
      </c>
      <c r="AI1114" s="8">
        <f t="shared" si="550"/>
        <v>-0.75091252359974825</v>
      </c>
      <c r="AJ1114" s="6" t="s">
        <v>11558</v>
      </c>
      <c r="AK1114" s="6" t="str">
        <f t="shared" si="534"/>
        <v>=317.8*100000000</v>
      </c>
      <c r="AL1114" s="1">
        <f>317.8*100000000</f>
        <v>31780000000</v>
      </c>
      <c r="AM1114" s="8">
        <f t="shared" si="551"/>
        <v>0.43282236248872857</v>
      </c>
      <c r="AN1114" s="6" t="s">
        <v>11559</v>
      </c>
      <c r="AO1114" s="6" t="str">
        <f t="shared" si="535"/>
        <v>=221.8*100000000</v>
      </c>
      <c r="AP1114" s="1">
        <f>221.8*100000000</f>
        <v>22180000000</v>
      </c>
      <c r="AQ1114" s="8">
        <f t="shared" si="552"/>
        <v>0.4487263226649249</v>
      </c>
      <c r="AR1114" s="6" t="s">
        <v>11560</v>
      </c>
      <c r="AS1114" s="6" t="str">
        <f t="shared" si="536"/>
        <v>=153.1*100000000</v>
      </c>
      <c r="AT1114" s="1">
        <f>153.1*100000000</f>
        <v>15310000000</v>
      </c>
      <c r="AU1114" s="8">
        <f t="shared" si="553"/>
        <v>1.0184574818721164</v>
      </c>
      <c r="AV1114" s="6" t="s">
        <v>5385</v>
      </c>
      <c r="AW1114" s="6" t="str">
        <f t="shared" si="537"/>
        <v>=75.85*100000000</v>
      </c>
      <c r="AX1114" s="1">
        <f>75.85*100000000</f>
        <v>7584999999.999999</v>
      </c>
      <c r="AY1114" s="10">
        <f t="shared" si="554"/>
        <v>-0.74487050117726206</v>
      </c>
      <c r="AZ1114" s="6" t="s">
        <v>11561</v>
      </c>
      <c r="BA1114" s="6" t="str">
        <f t="shared" si="538"/>
        <v>=297.3*100000000</v>
      </c>
      <c r="BB1114" s="1">
        <f>297.3*100000000</f>
        <v>29730000000</v>
      </c>
      <c r="BC1114" s="8">
        <f t="shared" si="555"/>
        <v>0.38343415542112613</v>
      </c>
      <c r="BD1114" s="6" t="s">
        <v>11562</v>
      </c>
      <c r="BE1114" s="6" t="str">
        <f t="shared" si="539"/>
        <v>=214.9*100000000</v>
      </c>
      <c r="BF1114" s="1">
        <f>214.9*100000000</f>
        <v>21490000000</v>
      </c>
      <c r="BG1114" s="8">
        <f t="shared" si="556"/>
        <v>0.33230006199628004</v>
      </c>
      <c r="BH1114" s="6" t="s">
        <v>11563</v>
      </c>
      <c r="BI1114" s="6" t="str">
        <f t="shared" si="540"/>
        <v>=161.3*100000000</v>
      </c>
      <c r="BJ1114" s="1">
        <f>161.3*100000000</f>
        <v>16130000000.000002</v>
      </c>
      <c r="BK1114" s="6" t="s">
        <v>11496</v>
      </c>
      <c r="BL1114" s="1" t="str">
        <f t="shared" si="542"/>
        <v>=69.80*100000000</v>
      </c>
      <c r="BM1114" s="16">
        <f t="shared" si="557"/>
        <v>1.3108882521489975</v>
      </c>
      <c r="BN1114" s="1">
        <f>69.8*100000000</f>
        <v>6980000000</v>
      </c>
    </row>
    <row r="1115" spans="1:66">
      <c r="A1115" s="18"/>
      <c r="B1115">
        <v>600875</v>
      </c>
      <c r="C1115" t="s">
        <v>48</v>
      </c>
      <c r="D1115" s="6" t="s">
        <v>11564</v>
      </c>
      <c r="E1115" s="7" t="str">
        <f t="shared" si="541"/>
        <v>=26.58*100000000</v>
      </c>
      <c r="F1115" s="1">
        <f>26.58*100000000</f>
        <v>2658000000</v>
      </c>
      <c r="G1115" s="8">
        <f t="shared" si="543"/>
        <v>0.18291054739652871</v>
      </c>
      <c r="H1115" s="6" t="s">
        <v>11565</v>
      </c>
      <c r="I1115" s="6" t="str">
        <f t="shared" si="527"/>
        <v>=22.47*100000000</v>
      </c>
      <c r="J1115" s="1">
        <f>22.47*100000000</f>
        <v>2247000000</v>
      </c>
      <c r="K1115" s="10">
        <f t="shared" si="544"/>
        <v>0.37431192660550439</v>
      </c>
      <c r="L1115" s="6" t="s">
        <v>11566</v>
      </c>
      <c r="M1115" s="6" t="str">
        <f t="shared" si="528"/>
        <v>=16.35*100000000</v>
      </c>
      <c r="N1115" s="1">
        <f>16.35*100000000</f>
        <v>1635000000.0000002</v>
      </c>
      <c r="O1115" s="8">
        <f t="shared" si="545"/>
        <v>1.2654842732437304</v>
      </c>
      <c r="P1115" s="6" t="s">
        <v>11567</v>
      </c>
      <c r="Q1115" s="6" t="str">
        <f t="shared" si="529"/>
        <v>=7.217*100000000</v>
      </c>
      <c r="R1115" s="11">
        <f>7.217*100000000</f>
        <v>721700000</v>
      </c>
      <c r="S1115" s="8">
        <f t="shared" si="546"/>
        <v>-0.66587962962962965</v>
      </c>
      <c r="T1115" s="6" t="s">
        <v>8924</v>
      </c>
      <c r="U1115" s="6" t="str">
        <f t="shared" si="530"/>
        <v>=21.60*100000000</v>
      </c>
      <c r="V1115" s="1">
        <f>21.6*100000000</f>
        <v>2160000000</v>
      </c>
      <c r="W1115" s="8">
        <f t="shared" si="547"/>
        <v>0.3559322033898305</v>
      </c>
      <c r="X1115" s="6" t="s">
        <v>1586</v>
      </c>
      <c r="Y1115" s="6" t="str">
        <f t="shared" si="531"/>
        <v>=15.93*100000000</v>
      </c>
      <c r="Z1115" s="1">
        <f>15.93*100000000</f>
        <v>1593000000</v>
      </c>
      <c r="AA1115" s="8">
        <f t="shared" si="548"/>
        <v>0.34657650042265425</v>
      </c>
      <c r="AB1115" s="6" t="s">
        <v>350</v>
      </c>
      <c r="AC1115" s="6" t="str">
        <f t="shared" si="532"/>
        <v>=11.83*100000000</v>
      </c>
      <c r="AD1115" s="1">
        <f>11.83*100000000</f>
        <v>1183000000</v>
      </c>
      <c r="AE1115" s="8">
        <f t="shared" si="549"/>
        <v>1.5218503517373694</v>
      </c>
      <c r="AF1115" s="6" t="s">
        <v>2335</v>
      </c>
      <c r="AG1115" s="6" t="str">
        <f t="shared" si="533"/>
        <v>=4.691*100000000</v>
      </c>
      <c r="AH1115" s="1">
        <f>4.691*100000000</f>
        <v>469100000</v>
      </c>
      <c r="AI1115" s="8">
        <f t="shared" si="550"/>
        <v>-0.71078914919852032</v>
      </c>
      <c r="AJ1115" s="6" t="s">
        <v>11568</v>
      </c>
      <c r="AK1115" s="6" t="str">
        <f t="shared" si="534"/>
        <v>=16.22*100000000</v>
      </c>
      <c r="AL1115" s="1">
        <f>16.22*100000000</f>
        <v>1622000000</v>
      </c>
      <c r="AM1115" s="8">
        <f t="shared" si="551"/>
        <v>0.24577572964669739</v>
      </c>
      <c r="AN1115" s="6" t="s">
        <v>11569</v>
      </c>
      <c r="AO1115" s="6" t="str">
        <f t="shared" si="535"/>
        <v>=13.02*100000000</v>
      </c>
      <c r="AP1115" s="1">
        <f>13.02*100000000</f>
        <v>1302000000</v>
      </c>
      <c r="AQ1115" s="8">
        <f t="shared" si="552"/>
        <v>0.45328719723183392</v>
      </c>
      <c r="AR1115" s="6" t="s">
        <v>8923</v>
      </c>
      <c r="AS1115" s="6" t="str">
        <f t="shared" si="536"/>
        <v>=8.959*100000000</v>
      </c>
      <c r="AT1115" s="1">
        <f>8.959*100000000</f>
        <v>895900000</v>
      </c>
      <c r="AU1115" s="8">
        <f t="shared" si="553"/>
        <v>1.1055229142185663</v>
      </c>
      <c r="AV1115" s="6" t="s">
        <v>11570</v>
      </c>
      <c r="AW1115" s="6" t="str">
        <f t="shared" si="537"/>
        <v>=4.255*100000000</v>
      </c>
      <c r="AX1115" s="1">
        <f>4.255*100000000</f>
        <v>425500000</v>
      </c>
      <c r="AY1115" s="10">
        <f t="shared" si="554"/>
        <v>-0.65657788539144468</v>
      </c>
      <c r="AZ1115" s="6" t="s">
        <v>903</v>
      </c>
      <c r="BA1115" s="6" t="str">
        <f t="shared" si="538"/>
        <v>=12.39*100000000</v>
      </c>
      <c r="BB1115" s="1">
        <f>12.39*100000000</f>
        <v>1239000000</v>
      </c>
      <c r="BC1115" s="8">
        <f t="shared" si="555"/>
        <v>0.15470643056849953</v>
      </c>
      <c r="BD1115" s="6" t="s">
        <v>2138</v>
      </c>
      <c r="BE1115" s="6" t="str">
        <f t="shared" si="539"/>
        <v>=10.73*100000000</v>
      </c>
      <c r="BF1115" s="1">
        <f>10.73*100000000</f>
        <v>1073000000</v>
      </c>
      <c r="BG1115" s="8">
        <f t="shared" si="556"/>
        <v>0.61256387135557555</v>
      </c>
      <c r="BH1115" s="6" t="s">
        <v>11571</v>
      </c>
      <c r="BI1115" s="6" t="str">
        <f t="shared" si="540"/>
        <v>=6.654*100000000</v>
      </c>
      <c r="BJ1115" s="1">
        <f>6.654*100000000</f>
        <v>665400000</v>
      </c>
      <c r="BK1115" s="6" t="s">
        <v>11572</v>
      </c>
      <c r="BL1115" s="1" t="str">
        <f t="shared" si="542"/>
        <v>=2.918*100000000</v>
      </c>
      <c r="BM1115" s="16">
        <f t="shared" si="557"/>
        <v>1.2803289924605894</v>
      </c>
      <c r="BN1115" s="1">
        <f>2.918*100000000</f>
        <v>291800000</v>
      </c>
    </row>
    <row r="1116" spans="1:66">
      <c r="A1116" s="18"/>
      <c r="B1116">
        <v>600875</v>
      </c>
      <c r="C1116" t="s">
        <v>58</v>
      </c>
      <c r="D1116" s="6" t="s">
        <v>11573</v>
      </c>
      <c r="E1116" s="7" t="str">
        <f t="shared" si="541"/>
        <v>=26.67*100000000</v>
      </c>
      <c r="F1116" s="1">
        <f>26.67*100000000</f>
        <v>2667000000</v>
      </c>
      <c r="G1116" s="8">
        <f t="shared" si="543"/>
        <v>0.18428063943161635</v>
      </c>
      <c r="H1116" s="6" t="s">
        <v>6447</v>
      </c>
      <c r="I1116" s="6" t="str">
        <f t="shared" si="527"/>
        <v>=22.52*100000000</v>
      </c>
      <c r="J1116" s="1">
        <f>22.52*100000000</f>
        <v>2252000000</v>
      </c>
      <c r="K1116" s="10">
        <f t="shared" si="544"/>
        <v>0.38244321669736037</v>
      </c>
      <c r="L1116" s="6" t="s">
        <v>11574</v>
      </c>
      <c r="M1116" s="6" t="str">
        <f t="shared" si="528"/>
        <v>=16.29*100000000</v>
      </c>
      <c r="N1116" s="1">
        <f>16.29*100000000</f>
        <v>1629000000</v>
      </c>
      <c r="O1116" s="8">
        <f t="shared" si="545"/>
        <v>1.2394830904591696</v>
      </c>
      <c r="P1116" s="6" t="s">
        <v>7147</v>
      </c>
      <c r="Q1116" s="6" t="str">
        <f t="shared" si="529"/>
        <v>=7.274*100000000</v>
      </c>
      <c r="R1116" s="11">
        <f>7.274*100000000</f>
        <v>727400000</v>
      </c>
      <c r="S1116" s="8">
        <f t="shared" si="546"/>
        <v>-0.64808901790033868</v>
      </c>
      <c r="T1116" s="6" t="s">
        <v>11575</v>
      </c>
      <c r="U1116" s="6" t="str">
        <f t="shared" si="530"/>
        <v>=20.67*100000000</v>
      </c>
      <c r="V1116" s="1">
        <f>20.67*100000000</f>
        <v>2067000000.0000002</v>
      </c>
      <c r="W1116" s="8">
        <f t="shared" si="547"/>
        <v>0.32840616966580993</v>
      </c>
      <c r="X1116" s="6" t="s">
        <v>345</v>
      </c>
      <c r="Y1116" s="6" t="str">
        <f t="shared" si="531"/>
        <v>=15.56*100000000</v>
      </c>
      <c r="Z1116" s="1">
        <f>15.56*100000000</f>
        <v>1556000000</v>
      </c>
      <c r="AA1116" s="8">
        <f t="shared" si="548"/>
        <v>0.35304347826086957</v>
      </c>
      <c r="AB1116" s="6" t="s">
        <v>910</v>
      </c>
      <c r="AC1116" s="6" t="str">
        <f t="shared" si="532"/>
        <v>=11.50*100000000</v>
      </c>
      <c r="AD1116" s="1">
        <f>11.5*100000000</f>
        <v>1150000000</v>
      </c>
      <c r="AE1116" s="8">
        <f t="shared" si="549"/>
        <v>1.5027203482045701</v>
      </c>
      <c r="AF1116" s="6" t="s">
        <v>11576</v>
      </c>
      <c r="AG1116" s="6" t="str">
        <f t="shared" si="533"/>
        <v>=4.595*100000000</v>
      </c>
      <c r="AH1116" s="1">
        <f>4.595*100000000</f>
        <v>459500000</v>
      </c>
      <c r="AI1116" s="8">
        <f t="shared" si="550"/>
        <v>-0.70899303356554777</v>
      </c>
      <c r="AJ1116" s="6" t="s">
        <v>7244</v>
      </c>
      <c r="AK1116" s="6" t="str">
        <f t="shared" si="534"/>
        <v>=15.79*100000000</v>
      </c>
      <c r="AL1116" s="1">
        <f>15.79*100000000</f>
        <v>1579000000</v>
      </c>
      <c r="AM1116" s="8">
        <f t="shared" si="551"/>
        <v>0.21742482652274481</v>
      </c>
      <c r="AN1116" s="6" t="s">
        <v>2657</v>
      </c>
      <c r="AO1116" s="6" t="str">
        <f t="shared" si="535"/>
        <v>=12.97*100000000</v>
      </c>
      <c r="AP1116" s="1">
        <f>12.97*100000000</f>
        <v>1297000000</v>
      </c>
      <c r="AQ1116" s="8">
        <f t="shared" si="552"/>
        <v>0.41285403050108932</v>
      </c>
      <c r="AR1116" s="6" t="s">
        <v>11577</v>
      </c>
      <c r="AS1116" s="6" t="str">
        <f t="shared" si="536"/>
        <v>=9.180*100000000</v>
      </c>
      <c r="AT1116" s="1">
        <f>9.18*100000000</f>
        <v>918000000</v>
      </c>
      <c r="AU1116" s="8">
        <f t="shared" si="553"/>
        <v>1.1418572095193658</v>
      </c>
      <c r="AV1116" s="6" t="s">
        <v>11578</v>
      </c>
      <c r="AW1116" s="6" t="str">
        <f t="shared" si="537"/>
        <v>=4.286*100000000</v>
      </c>
      <c r="AX1116" s="1">
        <f>4.286*100000000</f>
        <v>428599999.99999994</v>
      </c>
      <c r="AY1116" s="10">
        <f t="shared" si="554"/>
        <v>-0.66384313725490196</v>
      </c>
      <c r="AZ1116" s="6" t="s">
        <v>901</v>
      </c>
      <c r="BA1116" s="6" t="str">
        <f t="shared" si="538"/>
        <v>=12.75*100000000</v>
      </c>
      <c r="BB1116" s="1">
        <f>12.75*100000000</f>
        <v>1275000000</v>
      </c>
      <c r="BC1116" s="8">
        <f t="shared" si="555"/>
        <v>0.22596153846153846</v>
      </c>
      <c r="BD1116" s="6" t="s">
        <v>706</v>
      </c>
      <c r="BE1116" s="6" t="str">
        <f t="shared" si="539"/>
        <v>=10.40*100000000</v>
      </c>
      <c r="BF1116" s="1">
        <f>10.4*100000000</f>
        <v>1040000000</v>
      </c>
      <c r="BG1116" s="8">
        <f t="shared" si="556"/>
        <v>0.64400885235535887</v>
      </c>
      <c r="BH1116" s="6" t="s">
        <v>11579</v>
      </c>
      <c r="BI1116" s="6" t="str">
        <f t="shared" si="540"/>
        <v>=6.326*100000000</v>
      </c>
      <c r="BJ1116" s="1">
        <f>6.326*100000000</f>
        <v>632600000</v>
      </c>
      <c r="BK1116" s="6" t="s">
        <v>11580</v>
      </c>
      <c r="BL1116" s="1" t="str">
        <f t="shared" si="542"/>
        <v>=2.995*100000000</v>
      </c>
      <c r="BM1116" s="16">
        <f t="shared" si="557"/>
        <v>1.1121869782971618</v>
      </c>
      <c r="BN1116" s="1">
        <f>2.995*100000000</f>
        <v>299500000</v>
      </c>
    </row>
    <row r="1117" spans="1:66">
      <c r="A1117" s="19"/>
      <c r="B1117">
        <v>600875</v>
      </c>
      <c r="C1117" t="s">
        <v>68</v>
      </c>
      <c r="D1117" s="6" t="s">
        <v>11581</v>
      </c>
      <c r="E1117" s="7" t="str">
        <f t="shared" si="541"/>
        <v>=24.29*100000000</v>
      </c>
      <c r="F1117" s="1">
        <f>24.29*100000000</f>
        <v>2429000000</v>
      </c>
      <c r="G1117" s="8">
        <f t="shared" si="543"/>
        <v>0.22491174987392853</v>
      </c>
      <c r="H1117" s="6" t="s">
        <v>1815</v>
      </c>
      <c r="I1117" s="6" t="str">
        <f t="shared" si="527"/>
        <v>=19.83*100000000</v>
      </c>
      <c r="J1117" s="1">
        <f>19.83*100000000</f>
        <v>1982999999.9999998</v>
      </c>
      <c r="K1117" s="10">
        <f t="shared" si="544"/>
        <v>0.37708333333333316</v>
      </c>
      <c r="L1117" s="6" t="s">
        <v>6745</v>
      </c>
      <c r="M1117" s="6" t="str">
        <f t="shared" si="528"/>
        <v>=14.40*100000000</v>
      </c>
      <c r="N1117" s="1">
        <f>14.4*100000000</f>
        <v>1440000000</v>
      </c>
      <c r="O1117" s="8">
        <f t="shared" si="545"/>
        <v>1.1031108514677961</v>
      </c>
      <c r="P1117" s="6" t="s">
        <v>11582</v>
      </c>
      <c r="Q1117" s="6" t="str">
        <f t="shared" si="529"/>
        <v>=6.847*100000000</v>
      </c>
      <c r="R1117" s="11">
        <f>6.847*100000000</f>
        <v>684700000</v>
      </c>
      <c r="S1117" s="8">
        <f t="shared" si="546"/>
        <v>-0.64264091858037575</v>
      </c>
      <c r="T1117" s="6" t="s">
        <v>11583</v>
      </c>
      <c r="U1117" s="6" t="str">
        <f t="shared" si="530"/>
        <v>=19.16*100000000</v>
      </c>
      <c r="V1117" s="1">
        <f>19.16*100000000</f>
        <v>1916000000</v>
      </c>
      <c r="W1117" s="8">
        <f t="shared" si="547"/>
        <v>0.34267694463910303</v>
      </c>
      <c r="X1117" s="6" t="s">
        <v>1974</v>
      </c>
      <c r="Y1117" s="6" t="str">
        <f t="shared" si="531"/>
        <v>=14.27*100000000</v>
      </c>
      <c r="Z1117" s="1">
        <f>14.27*100000000</f>
        <v>1427000000</v>
      </c>
      <c r="AA1117" s="8">
        <f t="shared" si="548"/>
        <v>0.39901960784313739</v>
      </c>
      <c r="AB1117" s="6" t="s">
        <v>660</v>
      </c>
      <c r="AC1117" s="6" t="str">
        <f t="shared" si="532"/>
        <v>=10.20*100000000</v>
      </c>
      <c r="AD1117" s="1">
        <f>10.2*100000000</f>
        <v>1019999999.9999999</v>
      </c>
      <c r="AE1117" s="8">
        <f t="shared" si="549"/>
        <v>1.4113475177304957</v>
      </c>
      <c r="AF1117" s="6" t="s">
        <v>11584</v>
      </c>
      <c r="AG1117" s="6" t="str">
        <f t="shared" si="533"/>
        <v>=4.230*100000000</v>
      </c>
      <c r="AH1117" s="1">
        <f>4.23*100000000</f>
        <v>423000000.00000006</v>
      </c>
      <c r="AI1117" s="8">
        <f t="shared" si="550"/>
        <v>-0.69370021723388853</v>
      </c>
      <c r="AJ1117" s="6" t="s">
        <v>2634</v>
      </c>
      <c r="AK1117" s="6" t="str">
        <f t="shared" si="534"/>
        <v>=13.81*100000000</v>
      </c>
      <c r="AL1117" s="1">
        <f>13.81*100000000</f>
        <v>1381000000</v>
      </c>
      <c r="AM1117" s="8">
        <f t="shared" si="551"/>
        <v>0.24414414414414415</v>
      </c>
      <c r="AN1117" s="6" t="s">
        <v>2287</v>
      </c>
      <c r="AO1117" s="6" t="str">
        <f t="shared" si="535"/>
        <v>=11.10*100000000</v>
      </c>
      <c r="AP1117" s="1">
        <f>11.1*100000000</f>
        <v>1110000000</v>
      </c>
      <c r="AQ1117" s="8">
        <f t="shared" si="552"/>
        <v>0.41203409235466226</v>
      </c>
      <c r="AR1117" s="6" t="s">
        <v>1275</v>
      </c>
      <c r="AS1117" s="6" t="str">
        <f t="shared" si="536"/>
        <v>=7.861*100000000</v>
      </c>
      <c r="AT1117" s="1">
        <f>7.861*100000000</f>
        <v>786100000</v>
      </c>
      <c r="AU1117" s="8">
        <f t="shared" si="553"/>
        <v>1.1349809885931559</v>
      </c>
      <c r="AV1117" s="6" t="s">
        <v>3616</v>
      </c>
      <c r="AW1117" s="6" t="str">
        <f t="shared" si="537"/>
        <v>=3.682*100000000</v>
      </c>
      <c r="AX1117" s="1">
        <f>3.682*100000000</f>
        <v>368200000</v>
      </c>
      <c r="AY1117" s="10">
        <f t="shared" si="554"/>
        <v>-0.68203799654576858</v>
      </c>
      <c r="AZ1117" s="6" t="s">
        <v>2669</v>
      </c>
      <c r="BA1117" s="6" t="str">
        <f t="shared" si="538"/>
        <v>=11.58*100000000</v>
      </c>
      <c r="BB1117" s="1">
        <f>11.58*100000000</f>
        <v>1158000000</v>
      </c>
      <c r="BC1117" s="8">
        <f t="shared" si="555"/>
        <v>0.235595390524968</v>
      </c>
      <c r="BD1117" s="6" t="s">
        <v>464</v>
      </c>
      <c r="BE1117" s="6" t="str">
        <f t="shared" si="539"/>
        <v>=9.372*100000000</v>
      </c>
      <c r="BF1117" s="1">
        <f>9.372*100000000</f>
        <v>937200000</v>
      </c>
      <c r="BG1117" s="8">
        <f t="shared" si="556"/>
        <v>0.69078116543388057</v>
      </c>
      <c r="BH1117" s="6" t="s">
        <v>11585</v>
      </c>
      <c r="BI1117" s="6" t="str">
        <f t="shared" si="540"/>
        <v>=5.543*100000000</v>
      </c>
      <c r="BJ1117" s="1">
        <f>5.543*100000000</f>
        <v>554300000</v>
      </c>
      <c r="BK1117" s="6" t="s">
        <v>7899</v>
      </c>
      <c r="BL1117" s="1" t="str">
        <f t="shared" si="542"/>
        <v>=2.593*100000000</v>
      </c>
      <c r="BM1117" s="16">
        <f t="shared" si="557"/>
        <v>1.1376783648283841</v>
      </c>
      <c r="BN1117" s="1">
        <f>2.593*100000000</f>
        <v>259300000</v>
      </c>
    </row>
    <row r="1118" spans="1:66">
      <c r="A1118" s="17">
        <v>281</v>
      </c>
      <c r="B1118">
        <v>600876</v>
      </c>
      <c r="C1118" t="s">
        <v>31</v>
      </c>
      <c r="D1118" s="6" t="s">
        <v>11586</v>
      </c>
      <c r="E1118" s="7" t="str">
        <f t="shared" si="541"/>
        <v>=36.06*100000000</v>
      </c>
      <c r="F1118" s="1">
        <f>36.06*100000000</f>
        <v>3606000000</v>
      </c>
      <c r="G1118" s="8">
        <f t="shared" si="543"/>
        <v>0.28418803418803418</v>
      </c>
      <c r="H1118" s="6" t="s">
        <v>11587</v>
      </c>
      <c r="I1118" s="6" t="str">
        <f t="shared" si="527"/>
        <v>=28.08*100000000</v>
      </c>
      <c r="J1118" s="1">
        <f>28.08*100000000</f>
        <v>2808000000</v>
      </c>
      <c r="K1118" s="10">
        <f t="shared" si="544"/>
        <v>0.76050156739811914</v>
      </c>
      <c r="L1118" s="6" t="s">
        <v>11229</v>
      </c>
      <c r="M1118" s="6" t="str">
        <f t="shared" si="528"/>
        <v>=15.95*100000000</v>
      </c>
      <c r="N1118" s="1">
        <f>15.95*100000000</f>
        <v>1595000000</v>
      </c>
      <c r="O1118" s="8">
        <f t="shared" si="545"/>
        <v>1.0080574090394057</v>
      </c>
      <c r="P1118" s="6" t="s">
        <v>11588</v>
      </c>
      <c r="Q1118" s="6" t="str">
        <f t="shared" si="529"/>
        <v>=7.943*100000000</v>
      </c>
      <c r="R1118" s="11">
        <f>7.943*100000000</f>
        <v>794300000</v>
      </c>
      <c r="S1118" s="8">
        <f t="shared" si="546"/>
        <v>-0.76506950606329494</v>
      </c>
      <c r="T1118" s="6" t="s">
        <v>4336</v>
      </c>
      <c r="U1118" s="6" t="str">
        <f t="shared" si="530"/>
        <v>=33.81*100000000</v>
      </c>
      <c r="V1118" s="1">
        <f>33.81*100000000</f>
        <v>3381000000</v>
      </c>
      <c r="W1118" s="8">
        <f t="shared" si="547"/>
        <v>0.83053600433134811</v>
      </c>
      <c r="X1118" s="6" t="s">
        <v>11589</v>
      </c>
      <c r="Y1118" s="6" t="str">
        <f t="shared" si="531"/>
        <v>=18.47*100000000</v>
      </c>
      <c r="Z1118" s="1">
        <f>18.47*100000000</f>
        <v>1847000000</v>
      </c>
      <c r="AA1118" s="8">
        <f t="shared" si="548"/>
        <v>0.92857888691657098</v>
      </c>
      <c r="AB1118" s="6" t="s">
        <v>11590</v>
      </c>
      <c r="AC1118" s="6" t="str">
        <f t="shared" si="532"/>
        <v>=9.577*100000000</v>
      </c>
      <c r="AD1118" s="1">
        <f>9.577*100000000</f>
        <v>957700000</v>
      </c>
      <c r="AE1118" s="8">
        <f t="shared" si="549"/>
        <v>1.372306167946495</v>
      </c>
      <c r="AF1118" s="6" t="s">
        <v>6426</v>
      </c>
      <c r="AG1118" s="6" t="str">
        <f t="shared" si="533"/>
        <v>=4.037*100000000</v>
      </c>
      <c r="AH1118" s="1">
        <f>4.037*100000000</f>
        <v>403700000</v>
      </c>
      <c r="AI1118" s="8">
        <f t="shared" si="550"/>
        <v>-0.78237196765498651</v>
      </c>
      <c r="AJ1118" s="6" t="s">
        <v>6455</v>
      </c>
      <c r="AK1118" s="6" t="str">
        <f t="shared" si="534"/>
        <v>=18.55*100000000</v>
      </c>
      <c r="AL1118" s="1">
        <f>18.55*100000000</f>
        <v>1855000000</v>
      </c>
      <c r="AM1118" s="8">
        <f t="shared" si="551"/>
        <v>0.40211640211640209</v>
      </c>
      <c r="AN1118" s="6" t="s">
        <v>7965</v>
      </c>
      <c r="AO1118" s="6" t="str">
        <f t="shared" si="535"/>
        <v>=13.23*100000000</v>
      </c>
      <c r="AP1118" s="1">
        <f>13.23*100000000</f>
        <v>1323000000</v>
      </c>
      <c r="AQ1118" s="8">
        <f t="shared" si="552"/>
        <v>0.53944612520363044</v>
      </c>
      <c r="AR1118" s="6" t="s">
        <v>11591</v>
      </c>
      <c r="AS1118" s="6" t="str">
        <f t="shared" si="536"/>
        <v>=8.594*100000000</v>
      </c>
      <c r="AT1118" s="1">
        <f>8.594*100000000</f>
        <v>859400000</v>
      </c>
      <c r="AU1118" s="8">
        <f t="shared" si="553"/>
        <v>0.96479195244627369</v>
      </c>
      <c r="AV1118" s="6" t="s">
        <v>6391</v>
      </c>
      <c r="AW1118" s="6" t="str">
        <f t="shared" si="537"/>
        <v>=4.374*100000000</v>
      </c>
      <c r="AX1118" s="1">
        <f>4.374*100000000</f>
        <v>437399999.99999994</v>
      </c>
      <c r="AY1118" s="10">
        <f t="shared" si="554"/>
        <v>-0.68823948681397007</v>
      </c>
      <c r="AZ1118" s="6" t="s">
        <v>6219</v>
      </c>
      <c r="BA1118" s="6" t="str">
        <f t="shared" si="538"/>
        <v>=14.03*100000000</v>
      </c>
      <c r="BB1118" s="1">
        <f>14.03*100000000</f>
        <v>1403000000</v>
      </c>
      <c r="BC1118" s="8">
        <f t="shared" si="555"/>
        <v>0.38910891089108912</v>
      </c>
      <c r="BD1118" s="6" t="s">
        <v>3659</v>
      </c>
      <c r="BE1118" s="6" t="str">
        <f t="shared" si="539"/>
        <v>=10.10*100000000</v>
      </c>
      <c r="BF1118" s="1">
        <f>10.1*100000000</f>
        <v>1010000000</v>
      </c>
      <c r="BG1118" s="8">
        <f t="shared" si="556"/>
        <v>0.4379271070615034</v>
      </c>
      <c r="BH1118" s="6" t="s">
        <v>7019</v>
      </c>
      <c r="BI1118" s="6" t="str">
        <f t="shared" si="540"/>
        <v>=7.024*100000000</v>
      </c>
      <c r="BJ1118" s="1">
        <f>7.024*100000000</f>
        <v>702400000</v>
      </c>
      <c r="BK1118" s="6" t="s">
        <v>11592</v>
      </c>
      <c r="BL1118" s="1" t="str">
        <f t="shared" si="542"/>
        <v>=3.206*100000000</v>
      </c>
      <c r="BM1118" s="16">
        <f t="shared" si="557"/>
        <v>1.1908920773549594</v>
      </c>
      <c r="BN1118" s="1">
        <f>3.206*100000000</f>
        <v>320600000</v>
      </c>
    </row>
    <row r="1119" spans="1:66">
      <c r="A1119" s="18"/>
      <c r="B1119">
        <v>600876</v>
      </c>
      <c r="C1119" t="s">
        <v>48</v>
      </c>
      <c r="D1119" s="6" t="s">
        <v>11593</v>
      </c>
      <c r="E1119" s="7" t="str">
        <f t="shared" si="541"/>
        <v>=3.626*100000000</v>
      </c>
      <c r="F1119" s="1">
        <f>3.626*100000000</f>
        <v>362600000</v>
      </c>
      <c r="G1119" s="8">
        <f t="shared" si="543"/>
        <v>-0.17777777777777778</v>
      </c>
      <c r="H1119" s="6" t="s">
        <v>11550</v>
      </c>
      <c r="I1119" s="6" t="str">
        <f t="shared" si="527"/>
        <v>=4.410*100000000</v>
      </c>
      <c r="J1119" s="1">
        <f>4.41*100000000</f>
        <v>441000000</v>
      </c>
      <c r="K1119" s="10">
        <f t="shared" si="544"/>
        <v>0.67553191489361697</v>
      </c>
      <c r="L1119" s="6" t="s">
        <v>11594</v>
      </c>
      <c r="M1119" s="6" t="str">
        <f t="shared" si="528"/>
        <v>=2.632*100000000</v>
      </c>
      <c r="N1119" s="1">
        <f>2.632*100000000</f>
        <v>263200000</v>
      </c>
      <c r="O1119" s="8">
        <f t="shared" si="545"/>
        <v>0.39776951672862454</v>
      </c>
      <c r="P1119" s="6" t="s">
        <v>11595</v>
      </c>
      <c r="Q1119" s="6" t="str">
        <f t="shared" si="529"/>
        <v>=1.883*100000000</v>
      </c>
      <c r="R1119" s="11">
        <f>1.883*100000000</f>
        <v>188300000</v>
      </c>
      <c r="S1119" s="8">
        <f t="shared" si="546"/>
        <v>-0.65</v>
      </c>
      <c r="T1119" s="6" t="s">
        <v>4403</v>
      </c>
      <c r="U1119" s="6" t="str">
        <f t="shared" si="530"/>
        <v>=5.380*100000000</v>
      </c>
      <c r="V1119" s="1">
        <f>5.38*100000000</f>
        <v>538000000</v>
      </c>
      <c r="W1119" s="8">
        <f t="shared" si="547"/>
        <v>2.5771276595744679</v>
      </c>
      <c r="X1119" s="6" t="s">
        <v>4857</v>
      </c>
      <c r="Y1119" s="6" t="str">
        <f t="shared" si="531"/>
        <v>=1.504*100000000</v>
      </c>
      <c r="Z1119" s="1">
        <f>1.504*100000000</f>
        <v>150400000</v>
      </c>
      <c r="AA1119" s="8">
        <f t="shared" si="548"/>
        <v>2.7450199203187249</v>
      </c>
      <c r="AB1119" s="7" t="s">
        <v>11596</v>
      </c>
      <c r="AC1119" s="6" t="str">
        <f t="shared" si="532"/>
        <v>=4016*10000</v>
      </c>
      <c r="AD1119" s="1">
        <f>4016*10000</f>
        <v>40160000</v>
      </c>
      <c r="AE1119" s="8">
        <f t="shared" si="549"/>
        <v>1.0658436213991769</v>
      </c>
      <c r="AF1119" s="7" t="s">
        <v>11597</v>
      </c>
      <c r="AG1119" s="6" t="str">
        <f t="shared" si="533"/>
        <v>=1944*10000</v>
      </c>
      <c r="AH1119" s="1">
        <f>1944*10000</f>
        <v>19440000</v>
      </c>
      <c r="AI1119" s="8">
        <f t="shared" si="550"/>
        <v>-0.72382440687597671</v>
      </c>
      <c r="AJ1119" s="7" t="s">
        <v>11598</v>
      </c>
      <c r="AK1119" s="6" t="str">
        <f t="shared" si="534"/>
        <v>=7039*10000</v>
      </c>
      <c r="AL1119" s="1">
        <f>7039*10000</f>
        <v>70390000</v>
      </c>
      <c r="AM1119" s="8">
        <f t="shared" si="551"/>
        <v>0.41515882589465219</v>
      </c>
      <c r="AN1119" s="7" t="s">
        <v>11599</v>
      </c>
      <c r="AO1119" s="6" t="str">
        <f t="shared" si="535"/>
        <v>=4974*10000</v>
      </c>
      <c r="AP1119" s="1">
        <f>4974*10000</f>
        <v>49740000</v>
      </c>
      <c r="AQ1119" s="8">
        <f t="shared" si="552"/>
        <v>1.1138971525711858</v>
      </c>
      <c r="AR1119" s="7" t="s">
        <v>11600</v>
      </c>
      <c r="AS1119" s="6" t="str">
        <f t="shared" si="536"/>
        <v>=2353*10000</v>
      </c>
      <c r="AT1119" s="1">
        <f>2353*10000</f>
        <v>23530000</v>
      </c>
      <c r="AU1119" s="8">
        <f t="shared" si="553"/>
        <v>428.14462885281779</v>
      </c>
      <c r="AV1119" s="7" t="s">
        <v>11601</v>
      </c>
      <c r="AW1119" s="6" t="str">
        <f t="shared" si="537"/>
        <v>=5.483*10000</v>
      </c>
      <c r="AX1119" s="1">
        <f>5.483*10000</f>
        <v>54830</v>
      </c>
      <c r="AY1119" s="10">
        <f t="shared" si="554"/>
        <v>-0.99784642576590732</v>
      </c>
      <c r="AZ1119" s="7" t="s">
        <v>11602</v>
      </c>
      <c r="BA1119" s="6" t="str">
        <f t="shared" si="538"/>
        <v>=2546*10000</v>
      </c>
      <c r="BB1119" s="1">
        <f>2546*10000</f>
        <v>25460000</v>
      </c>
      <c r="BC1119" s="8">
        <f t="shared" si="555"/>
        <v>1.5541733547351524</v>
      </c>
      <c r="BD1119" s="7" t="s">
        <v>11603</v>
      </c>
      <c r="BE1119" s="6" t="str">
        <f t="shared" si="539"/>
        <v>=996.8*10000</v>
      </c>
      <c r="BF1119" s="1">
        <f>996.8*10000</f>
        <v>9968000</v>
      </c>
      <c r="BG1119" s="8">
        <f t="shared" si="556"/>
        <v>-0.73643574828133262</v>
      </c>
      <c r="BH1119" s="7" t="s">
        <v>1273</v>
      </c>
      <c r="BI1119" s="6" t="str">
        <f t="shared" si="540"/>
        <v>=3782*10000</v>
      </c>
      <c r="BJ1119" s="1">
        <f>3782*10000</f>
        <v>37820000</v>
      </c>
      <c r="BK1119" s="7" t="s">
        <v>7580</v>
      </c>
      <c r="BL1119" s="1" t="str">
        <f t="shared" si="542"/>
        <v>=1633*10000</v>
      </c>
      <c r="BM1119" s="16">
        <f t="shared" si="557"/>
        <v>1.3159828536436007</v>
      </c>
      <c r="BN1119" s="1">
        <f>1633*10000</f>
        <v>16330000</v>
      </c>
    </row>
    <row r="1120" spans="1:66">
      <c r="A1120" s="18"/>
      <c r="B1120">
        <v>600876</v>
      </c>
      <c r="C1120" t="s">
        <v>58</v>
      </c>
      <c r="D1120" s="6" t="s">
        <v>8845</v>
      </c>
      <c r="E1120" s="7" t="str">
        <f t="shared" si="541"/>
        <v>=3.658*100000000</v>
      </c>
      <c r="F1120" s="1">
        <f>3.658*100000000</f>
        <v>365800000</v>
      </c>
      <c r="G1120" s="8">
        <f t="shared" si="543"/>
        <v>-0.17853132719514933</v>
      </c>
      <c r="H1120" s="6" t="s">
        <v>6861</v>
      </c>
      <c r="I1120" s="6" t="str">
        <f t="shared" si="527"/>
        <v>=4.453*100000000</v>
      </c>
      <c r="J1120" s="1">
        <f>4.453*100000000</f>
        <v>445300000</v>
      </c>
      <c r="K1120" s="10">
        <f t="shared" si="544"/>
        <v>0.69508945565283609</v>
      </c>
      <c r="L1120" s="6" t="s">
        <v>11604</v>
      </c>
      <c r="M1120" s="6" t="str">
        <f t="shared" si="528"/>
        <v>=2.627*100000000</v>
      </c>
      <c r="N1120" s="1">
        <f>2.627*100000000</f>
        <v>262699999.99999997</v>
      </c>
      <c r="O1120" s="8">
        <f t="shared" si="545"/>
        <v>0.39659755449229117</v>
      </c>
      <c r="P1120" s="6" t="s">
        <v>1511</v>
      </c>
      <c r="Q1120" s="6" t="str">
        <f t="shared" si="529"/>
        <v>=1.881*100000000</v>
      </c>
      <c r="R1120" s="11">
        <f>1.881*100000000</f>
        <v>188100000</v>
      </c>
      <c r="S1120" s="8">
        <f t="shared" si="546"/>
        <v>-0.65320796460176989</v>
      </c>
      <c r="T1120" s="6" t="s">
        <v>11605</v>
      </c>
      <c r="U1120" s="6" t="str">
        <f t="shared" si="530"/>
        <v>=5.424*100000000</v>
      </c>
      <c r="V1120" s="1">
        <f>5.424*100000000</f>
        <v>542400000</v>
      </c>
      <c r="W1120" s="8">
        <f t="shared" si="547"/>
        <v>2.5731225296442686</v>
      </c>
      <c r="X1120" s="6" t="s">
        <v>9995</v>
      </c>
      <c r="Y1120" s="6" t="str">
        <f t="shared" si="531"/>
        <v>=1.518*100000000</v>
      </c>
      <c r="Z1120" s="1">
        <f>1.518*100000000</f>
        <v>151800000</v>
      </c>
      <c r="AA1120" s="8">
        <f t="shared" si="548"/>
        <v>2.5575345676119055</v>
      </c>
      <c r="AB1120" s="7" t="s">
        <v>11606</v>
      </c>
      <c r="AC1120" s="6" t="str">
        <f t="shared" si="532"/>
        <v>=4267*10000</v>
      </c>
      <c r="AD1120" s="1">
        <f>4267*10000</f>
        <v>42670000</v>
      </c>
      <c r="AE1120" s="8">
        <f t="shared" si="549"/>
        <v>1.1960885229027278</v>
      </c>
      <c r="AF1120" s="7" t="s">
        <v>7332</v>
      </c>
      <c r="AG1120" s="6" t="str">
        <f t="shared" si="533"/>
        <v>=1943*10000</v>
      </c>
      <c r="AH1120" s="1">
        <f>1943*10000</f>
        <v>19430000</v>
      </c>
      <c r="AI1120" s="8">
        <f t="shared" si="550"/>
        <v>-0.77617785969358366</v>
      </c>
      <c r="AJ1120" s="7" t="s">
        <v>11607</v>
      </c>
      <c r="AK1120" s="6" t="str">
        <f t="shared" si="534"/>
        <v>=8681*10000</v>
      </c>
      <c r="AL1120" s="1">
        <f>8681*10000</f>
        <v>86810000</v>
      </c>
      <c r="AM1120" s="8">
        <f t="shared" si="551"/>
        <v>0.28398165951782278</v>
      </c>
      <c r="AN1120" s="7" t="s">
        <v>11608</v>
      </c>
      <c r="AO1120" s="6" t="str">
        <f t="shared" si="535"/>
        <v>=6761*10000</v>
      </c>
      <c r="AP1120" s="1">
        <f>6761*10000</f>
        <v>67610000</v>
      </c>
      <c r="AQ1120" s="8">
        <f t="shared" si="552"/>
        <v>1.9205183585313175</v>
      </c>
      <c r="AR1120" s="7" t="s">
        <v>11609</v>
      </c>
      <c r="AS1120" s="6" t="str">
        <f t="shared" si="536"/>
        <v>=2315*10000</v>
      </c>
      <c r="AT1120" s="1">
        <f>2315*10000</f>
        <v>23150000</v>
      </c>
      <c r="AU1120" s="8">
        <f t="shared" si="553"/>
        <v>4.3353307213643699</v>
      </c>
      <c r="AV1120" s="7" t="s">
        <v>11610</v>
      </c>
      <c r="AW1120" s="6" t="str">
        <f t="shared" si="537"/>
        <v>=433.9*10000</v>
      </c>
      <c r="AX1120" s="1">
        <f>433.9*10000</f>
        <v>4339000</v>
      </c>
      <c r="AY1120" s="10">
        <f t="shared" si="554"/>
        <v>-0.86503888024883357</v>
      </c>
      <c r="AZ1120" s="7" t="s">
        <v>11611</v>
      </c>
      <c r="BA1120" s="6" t="str">
        <f t="shared" si="538"/>
        <v>=3215*10000</v>
      </c>
      <c r="BB1120" s="1">
        <f>3215*10000</f>
        <v>32150000</v>
      </c>
      <c r="BC1120" s="8">
        <f t="shared" si="555"/>
        <v>0.86053240740740744</v>
      </c>
      <c r="BD1120" s="7" t="s">
        <v>11612</v>
      </c>
      <c r="BE1120" s="6" t="str">
        <f t="shared" si="539"/>
        <v>=1728*10000</v>
      </c>
      <c r="BF1120" s="1">
        <f>1728*10000</f>
        <v>17280000</v>
      </c>
      <c r="BG1120" s="8">
        <f t="shared" si="556"/>
        <v>-0.56119857795835448</v>
      </c>
      <c r="BH1120" s="7" t="s">
        <v>11613</v>
      </c>
      <c r="BI1120" s="6" t="str">
        <f t="shared" si="540"/>
        <v>=3938*10000</v>
      </c>
      <c r="BJ1120" s="1">
        <f>3938*10000</f>
        <v>39380000</v>
      </c>
      <c r="BK1120" s="7" t="s">
        <v>11614</v>
      </c>
      <c r="BL1120" s="1" t="str">
        <f t="shared" si="542"/>
        <v>=1674*10000</v>
      </c>
      <c r="BM1120" s="16">
        <f t="shared" si="557"/>
        <v>1.3524492234169654</v>
      </c>
      <c r="BN1120" s="1">
        <f>1674*10000</f>
        <v>16740000</v>
      </c>
    </row>
    <row r="1121" spans="1:66">
      <c r="A1121" s="19"/>
      <c r="B1121">
        <v>600876</v>
      </c>
      <c r="C1121" t="s">
        <v>68</v>
      </c>
      <c r="D1121" s="6" t="s">
        <v>11450</v>
      </c>
      <c r="E1121" s="7" t="str">
        <f t="shared" si="541"/>
        <v>=3.452*100000000</v>
      </c>
      <c r="F1121" s="1">
        <f>3.452*100000000</f>
        <v>345200000</v>
      </c>
      <c r="G1121" s="8">
        <f t="shared" si="543"/>
        <v>-0.13113516234583439</v>
      </c>
      <c r="H1121" s="6" t="s">
        <v>11615</v>
      </c>
      <c r="I1121" s="6" t="str">
        <f t="shared" si="527"/>
        <v>=3.973*100000000</v>
      </c>
      <c r="J1121" s="1">
        <f>3.973*100000000</f>
        <v>397300000</v>
      </c>
      <c r="K1121" s="10">
        <f t="shared" si="544"/>
        <v>0.81415525114155252</v>
      </c>
      <c r="L1121" s="6" t="s">
        <v>11616</v>
      </c>
      <c r="M1121" s="6" t="str">
        <f t="shared" si="528"/>
        <v>=2.190*100000000</v>
      </c>
      <c r="N1121" s="1">
        <f>2.19*100000000</f>
        <v>219000000</v>
      </c>
      <c r="O1121" s="8">
        <f t="shared" si="545"/>
        <v>0.39846743295019155</v>
      </c>
      <c r="P1121" s="6" t="s">
        <v>10293</v>
      </c>
      <c r="Q1121" s="6" t="str">
        <f t="shared" si="529"/>
        <v>=1.566*100000000</v>
      </c>
      <c r="R1121" s="11">
        <f>1.566*100000000</f>
        <v>156600000</v>
      </c>
      <c r="S1121" s="8">
        <f t="shared" si="546"/>
        <v>-0.66843108193944523</v>
      </c>
      <c r="T1121" s="6" t="s">
        <v>11617</v>
      </c>
      <c r="U1121" s="6" t="str">
        <f t="shared" si="530"/>
        <v>=4.723*100000000</v>
      </c>
      <c r="V1121" s="1">
        <f>4.723*100000000</f>
        <v>472300000</v>
      </c>
      <c r="W1121" s="8">
        <f t="shared" si="547"/>
        <v>2.7844551282051282</v>
      </c>
      <c r="X1121" s="6" t="s">
        <v>9663</v>
      </c>
      <c r="Y1121" s="6" t="str">
        <f t="shared" si="531"/>
        <v>=1.248*100000000</v>
      </c>
      <c r="Z1121" s="1">
        <f>1.248*100000000</f>
        <v>124800000</v>
      </c>
      <c r="AA1121" s="8">
        <f t="shared" si="548"/>
        <v>2.8106870229007632</v>
      </c>
      <c r="AB1121" s="7" t="s">
        <v>11618</v>
      </c>
      <c r="AC1121" s="6" t="str">
        <f t="shared" si="532"/>
        <v>=3275*10000</v>
      </c>
      <c r="AD1121" s="1">
        <f>3275*10000</f>
        <v>32750000</v>
      </c>
      <c r="AE1121" s="8">
        <f t="shared" si="549"/>
        <v>1.5309119010819165</v>
      </c>
      <c r="AF1121" s="7" t="s">
        <v>11619</v>
      </c>
      <c r="AG1121" s="6" t="str">
        <f t="shared" si="533"/>
        <v>=1294*10000</v>
      </c>
      <c r="AH1121" s="1">
        <f>1294*10000</f>
        <v>12940000</v>
      </c>
      <c r="AI1121" s="8">
        <f t="shared" si="550"/>
        <v>-0.81137026239067056</v>
      </c>
      <c r="AJ1121" s="7" t="s">
        <v>11620</v>
      </c>
      <c r="AK1121" s="6" t="str">
        <f t="shared" si="534"/>
        <v>=6860*10000</v>
      </c>
      <c r="AL1121" s="1">
        <f>6860*10000</f>
        <v>68600000</v>
      </c>
      <c r="AM1121" s="8">
        <f t="shared" si="551"/>
        <v>0.26685133887349954</v>
      </c>
      <c r="AN1121" s="7" t="s">
        <v>11621</v>
      </c>
      <c r="AO1121" s="6" t="str">
        <f t="shared" si="535"/>
        <v>=5415*10000</v>
      </c>
      <c r="AP1121" s="1">
        <f>5415*10000</f>
        <v>54150000</v>
      </c>
      <c r="AQ1121" s="8">
        <f t="shared" si="552"/>
        <v>1.9144241119483316</v>
      </c>
      <c r="AR1121" s="7" t="s">
        <v>5546</v>
      </c>
      <c r="AS1121" s="6" t="str">
        <f t="shared" si="536"/>
        <v>=1858*10000</v>
      </c>
      <c r="AT1121" s="1">
        <f>1858*10000</f>
        <v>18580000</v>
      </c>
      <c r="AU1121" s="8">
        <f t="shared" si="553"/>
        <v>6.6178761787617875</v>
      </c>
      <c r="AV1121" s="7" t="s">
        <v>11622</v>
      </c>
      <c r="AW1121" s="6" t="str">
        <f t="shared" si="537"/>
        <v>=243.9*10000</v>
      </c>
      <c r="AX1121" s="1">
        <f>243.9*10000</f>
        <v>2439000</v>
      </c>
      <c r="AY1121" s="10">
        <f t="shared" si="554"/>
        <v>-0.89482535575679167</v>
      </c>
      <c r="AZ1121" s="7" t="s">
        <v>11623</v>
      </c>
      <c r="BA1121" s="6" t="str">
        <f t="shared" si="538"/>
        <v>=2319*10000</v>
      </c>
      <c r="BB1121" s="1">
        <f>2319*10000</f>
        <v>23190000</v>
      </c>
      <c r="BC1121" s="8">
        <f t="shared" si="555"/>
        <v>1.7735916756368855</v>
      </c>
      <c r="BD1121" s="7" t="s">
        <v>11624</v>
      </c>
      <c r="BE1121" s="6" t="str">
        <f t="shared" si="539"/>
        <v>=836.1*10000</v>
      </c>
      <c r="BF1121" s="1">
        <f>836.1*10000</f>
        <v>8361000</v>
      </c>
      <c r="BG1121" s="8">
        <f t="shared" si="556"/>
        <v>-0.70393059490084986</v>
      </c>
      <c r="BH1121" s="7" t="s">
        <v>11625</v>
      </c>
      <c r="BI1121" s="6" t="str">
        <f t="shared" si="540"/>
        <v>=2824*10000</v>
      </c>
      <c r="BJ1121" s="1">
        <f>2824*10000</f>
        <v>28240000</v>
      </c>
      <c r="BK1121" s="7" t="s">
        <v>4186</v>
      </c>
      <c r="BL1121" s="1" t="str">
        <f t="shared" si="542"/>
        <v>=1150*10000</v>
      </c>
      <c r="BM1121" s="16">
        <f t="shared" si="557"/>
        <v>1.4556521739130435</v>
      </c>
      <c r="BN1121" s="1">
        <f>1150*10000</f>
        <v>11500000</v>
      </c>
    </row>
    <row r="1122" spans="1:66">
      <c r="A1122" s="17">
        <v>282</v>
      </c>
      <c r="B1122">
        <v>600879</v>
      </c>
      <c r="C1122" t="s">
        <v>31</v>
      </c>
      <c r="D1122" s="6" t="s">
        <v>4940</v>
      </c>
      <c r="E1122" s="7" t="str">
        <f t="shared" si="541"/>
        <v>=159.9*100000000</v>
      </c>
      <c r="F1122" s="1">
        <f>159.9*100000000</f>
        <v>15990000000</v>
      </c>
      <c r="G1122" s="8">
        <f t="shared" si="543"/>
        <v>0.45231607629427795</v>
      </c>
      <c r="H1122" s="6" t="s">
        <v>11626</v>
      </c>
      <c r="I1122" s="6" t="str">
        <f t="shared" si="527"/>
        <v>=110.1*100000000</v>
      </c>
      <c r="J1122" s="1">
        <f>110.1*100000000</f>
        <v>11010000000</v>
      </c>
      <c r="K1122" s="10">
        <f t="shared" si="544"/>
        <v>0.60636124890574827</v>
      </c>
      <c r="L1122" s="6" t="s">
        <v>11627</v>
      </c>
      <c r="M1122" s="6" t="str">
        <f t="shared" si="528"/>
        <v>=68.54*100000000</v>
      </c>
      <c r="N1122" s="1">
        <f>68.54*100000000</f>
        <v>6854000000.000001</v>
      </c>
      <c r="O1122" s="8">
        <f t="shared" si="545"/>
        <v>1.3732686980609421</v>
      </c>
      <c r="P1122" s="6" t="s">
        <v>645</v>
      </c>
      <c r="Q1122" s="6" t="str">
        <f t="shared" si="529"/>
        <v>=28.88*100000000</v>
      </c>
      <c r="R1122" s="11">
        <f>28.88*100000000</f>
        <v>2888000000</v>
      </c>
      <c r="S1122" s="8">
        <f t="shared" si="546"/>
        <v>-0.7938615274803712</v>
      </c>
      <c r="T1122" s="6" t="s">
        <v>11628</v>
      </c>
      <c r="U1122" s="6" t="str">
        <f t="shared" si="530"/>
        <v>=140.1*100000000</v>
      </c>
      <c r="V1122" s="1">
        <f>140.1*100000000</f>
        <v>14010000000</v>
      </c>
      <c r="W1122" s="8">
        <f t="shared" si="547"/>
        <v>0.60738871041762277</v>
      </c>
      <c r="X1122" s="6" t="s">
        <v>10615</v>
      </c>
      <c r="Y1122" s="6" t="str">
        <f t="shared" si="531"/>
        <v>=87.16*100000000</v>
      </c>
      <c r="Z1122" s="1">
        <f>87.16*100000000</f>
        <v>8716000000</v>
      </c>
      <c r="AA1122" s="8">
        <f t="shared" si="548"/>
        <v>0.56340807174887897</v>
      </c>
      <c r="AB1122" s="6" t="s">
        <v>11629</v>
      </c>
      <c r="AC1122" s="6" t="str">
        <f t="shared" si="532"/>
        <v>=55.75*100000000</v>
      </c>
      <c r="AD1122" s="1">
        <f>55.75*100000000</f>
        <v>5575000000</v>
      </c>
      <c r="AE1122" s="8">
        <f t="shared" si="549"/>
        <v>1.6322001888574127</v>
      </c>
      <c r="AF1122" s="6" t="s">
        <v>4142</v>
      </c>
      <c r="AG1122" s="6" t="str">
        <f t="shared" si="533"/>
        <v>=21.18*100000000</v>
      </c>
      <c r="AH1122" s="1">
        <f>21.18*100000000</f>
        <v>2118000000</v>
      </c>
      <c r="AI1122" s="8">
        <f t="shared" si="550"/>
        <v>-0.84551422319474834</v>
      </c>
      <c r="AJ1122" s="6" t="s">
        <v>11630</v>
      </c>
      <c r="AK1122" s="6" t="str">
        <f t="shared" si="534"/>
        <v>=137.1*100000000</v>
      </c>
      <c r="AL1122" s="1">
        <f>137.1*100000000</f>
        <v>13710000000</v>
      </c>
      <c r="AM1122" s="8">
        <f t="shared" si="551"/>
        <v>0.4772115073806702</v>
      </c>
      <c r="AN1122" s="6" t="s">
        <v>11631</v>
      </c>
      <c r="AO1122" s="6" t="str">
        <f t="shared" si="535"/>
        <v>=92.81*100000000</v>
      </c>
      <c r="AP1122" s="1">
        <f>92.81*100000000</f>
        <v>9281000000</v>
      </c>
      <c r="AQ1122" s="8">
        <f t="shared" si="552"/>
        <v>0.50787977254264827</v>
      </c>
      <c r="AR1122" s="6" t="s">
        <v>11632</v>
      </c>
      <c r="AS1122" s="6" t="str">
        <f t="shared" si="536"/>
        <v>=61.55*100000000</v>
      </c>
      <c r="AT1122" s="1">
        <f>61.55*100000000</f>
        <v>6155000000</v>
      </c>
      <c r="AU1122" s="8">
        <f t="shared" si="553"/>
        <v>1.2847067557535263</v>
      </c>
      <c r="AV1122" s="6" t="s">
        <v>11633</v>
      </c>
      <c r="AW1122" s="6" t="str">
        <f t="shared" si="537"/>
        <v>=26.94*100000000</v>
      </c>
      <c r="AX1122" s="1">
        <f>26.94*100000000</f>
        <v>2694000000</v>
      </c>
      <c r="AY1122" s="10">
        <f t="shared" si="554"/>
        <v>-0.80088691796008871</v>
      </c>
      <c r="AZ1122" s="6" t="s">
        <v>10644</v>
      </c>
      <c r="BA1122" s="6" t="str">
        <f t="shared" si="538"/>
        <v>=135.3*100000000</v>
      </c>
      <c r="BB1122" s="1">
        <f>135.3*100000000</f>
        <v>13530000000.000002</v>
      </c>
      <c r="BC1122" s="8">
        <f t="shared" si="555"/>
        <v>0.48975996476547035</v>
      </c>
      <c r="BD1122" s="6" t="s">
        <v>11634</v>
      </c>
      <c r="BE1122" s="6" t="str">
        <f t="shared" si="539"/>
        <v>=90.82*100000000</v>
      </c>
      <c r="BF1122" s="1">
        <f>90.82*100000000</f>
        <v>9082000000</v>
      </c>
      <c r="BG1122" s="8">
        <f t="shared" si="556"/>
        <v>0.49596442101795418</v>
      </c>
      <c r="BH1122" s="6" t="s">
        <v>6950</v>
      </c>
      <c r="BI1122" s="6" t="str">
        <f t="shared" si="540"/>
        <v>=60.71*100000000</v>
      </c>
      <c r="BJ1122" s="1">
        <f>60.71*100000000</f>
        <v>6071000000</v>
      </c>
      <c r="BK1122" s="6" t="s">
        <v>11635</v>
      </c>
      <c r="BL1122" s="1" t="str">
        <f t="shared" si="542"/>
        <v>=26.76*100000000</v>
      </c>
      <c r="BM1122" s="16">
        <f t="shared" si="557"/>
        <v>1.2686846038863977</v>
      </c>
      <c r="BN1122" s="1">
        <f>26.76*100000000</f>
        <v>2676000000</v>
      </c>
    </row>
    <row r="1123" spans="1:66">
      <c r="A1123" s="18"/>
      <c r="B1123">
        <v>600879</v>
      </c>
      <c r="C1123" t="s">
        <v>48</v>
      </c>
      <c r="D1123" s="6" t="s">
        <v>4004</v>
      </c>
      <c r="E1123" s="7" t="str">
        <f t="shared" si="541"/>
        <v>=6.291*100000000</v>
      </c>
      <c r="F1123" s="1">
        <f>6.291*100000000</f>
        <v>629100000</v>
      </c>
      <c r="G1123" s="8">
        <f t="shared" si="543"/>
        <v>0.30762835169403452</v>
      </c>
      <c r="H1123" s="6" t="s">
        <v>9528</v>
      </c>
      <c r="I1123" s="6" t="str">
        <f t="shared" si="527"/>
        <v>=4.811*100000000</v>
      </c>
      <c r="J1123" s="1">
        <f>4.811*100000000</f>
        <v>481100000</v>
      </c>
      <c r="K1123" s="10">
        <f t="shared" si="544"/>
        <v>0.32827167310877969</v>
      </c>
      <c r="L1123" s="6" t="s">
        <v>9040</v>
      </c>
      <c r="M1123" s="6" t="str">
        <f t="shared" si="528"/>
        <v>=3.622*100000000</v>
      </c>
      <c r="N1123" s="1">
        <f>3.622*100000000</f>
        <v>362200000</v>
      </c>
      <c r="O1123" s="8">
        <f t="shared" si="545"/>
        <v>1.2482929857231533</v>
      </c>
      <c r="P1123" s="6" t="s">
        <v>7271</v>
      </c>
      <c r="Q1123" s="6" t="str">
        <f t="shared" si="529"/>
        <v>=1.611*100000000</v>
      </c>
      <c r="R1123" s="11">
        <f>1.611*100000000</f>
        <v>161100000</v>
      </c>
      <c r="S1123" s="8">
        <f t="shared" si="546"/>
        <v>-0.74625925342573629</v>
      </c>
      <c r="T1123" s="6" t="s">
        <v>11636</v>
      </c>
      <c r="U1123" s="6" t="str">
        <f t="shared" si="530"/>
        <v>=6.349*100000000</v>
      </c>
      <c r="V1123" s="1">
        <f>6.349*100000000</f>
        <v>634900000</v>
      </c>
      <c r="W1123" s="8">
        <f t="shared" si="547"/>
        <v>0.52363810895128393</v>
      </c>
      <c r="X1123" s="6" t="s">
        <v>11637</v>
      </c>
      <c r="Y1123" s="6" t="str">
        <f t="shared" si="531"/>
        <v>=4.167*100000000</v>
      </c>
      <c r="Z1123" s="1">
        <f>4.167*100000000</f>
        <v>416700000</v>
      </c>
      <c r="AA1123" s="8">
        <f t="shared" si="548"/>
        <v>0.63604240282685498</v>
      </c>
      <c r="AB1123" s="6" t="s">
        <v>4059</v>
      </c>
      <c r="AC1123" s="6" t="str">
        <f t="shared" si="532"/>
        <v>=2.547*100000000</v>
      </c>
      <c r="AD1123" s="1">
        <f>2.547*100000000</f>
        <v>254700000.00000003</v>
      </c>
      <c r="AE1123" s="8">
        <f t="shared" si="549"/>
        <v>3.8662590752770352</v>
      </c>
      <c r="AF1123" s="7" t="s">
        <v>11638</v>
      </c>
      <c r="AG1123" s="6" t="str">
        <f t="shared" si="533"/>
        <v>=5234*10000</v>
      </c>
      <c r="AH1123" s="1">
        <f>5234*10000</f>
        <v>52340000</v>
      </c>
      <c r="AI1123" s="8">
        <f t="shared" si="550"/>
        <v>-0.90924224033292878</v>
      </c>
      <c r="AJ1123" s="6" t="s">
        <v>11639</v>
      </c>
      <c r="AK1123" s="6" t="str">
        <f t="shared" si="534"/>
        <v>=5.767*100000000</v>
      </c>
      <c r="AL1123" s="1">
        <f>5.767*100000000</f>
        <v>576700000</v>
      </c>
      <c r="AM1123" s="8">
        <f t="shared" si="551"/>
        <v>0.30327683615819206</v>
      </c>
      <c r="AN1123" s="6" t="s">
        <v>11640</v>
      </c>
      <c r="AO1123" s="6" t="str">
        <f t="shared" si="535"/>
        <v>=4.425*100000000</v>
      </c>
      <c r="AP1123" s="1">
        <f>4.425*100000000</f>
        <v>442500000</v>
      </c>
      <c r="AQ1123" s="8">
        <f t="shared" si="552"/>
        <v>0.43482490272373542</v>
      </c>
      <c r="AR1123" s="6" t="s">
        <v>9852</v>
      </c>
      <c r="AS1123" s="6" t="str">
        <f t="shared" si="536"/>
        <v>=3.084*100000000</v>
      </c>
      <c r="AT1123" s="1">
        <f>3.084*100000000</f>
        <v>308400000</v>
      </c>
      <c r="AU1123" s="8">
        <f t="shared" si="553"/>
        <v>1.6794092093831452</v>
      </c>
      <c r="AV1123" s="6" t="s">
        <v>7907</v>
      </c>
      <c r="AW1123" s="6" t="str">
        <f t="shared" si="537"/>
        <v>=1.151*100000000</v>
      </c>
      <c r="AX1123" s="1">
        <f>1.151*100000000</f>
        <v>115100000</v>
      </c>
      <c r="AY1123" s="10">
        <f t="shared" si="554"/>
        <v>-0.80567280094546678</v>
      </c>
      <c r="AZ1123" s="6" t="s">
        <v>11641</v>
      </c>
      <c r="BA1123" s="6" t="str">
        <f t="shared" si="538"/>
        <v>=5.923*100000000</v>
      </c>
      <c r="BB1123" s="1">
        <f>5.923*100000000</f>
        <v>592300000</v>
      </c>
      <c r="BC1123" s="8">
        <f t="shared" si="555"/>
        <v>0.36380382224268937</v>
      </c>
      <c r="BD1123" s="6" t="s">
        <v>7808</v>
      </c>
      <c r="BE1123" s="6" t="str">
        <f t="shared" si="539"/>
        <v>=4.343*100000000</v>
      </c>
      <c r="BF1123" s="1">
        <f>4.343*100000000</f>
        <v>434300000</v>
      </c>
      <c r="BG1123" s="8">
        <f t="shared" si="556"/>
        <v>0.55384615384615388</v>
      </c>
      <c r="BH1123" s="6" t="s">
        <v>8084</v>
      </c>
      <c r="BI1123" s="6" t="str">
        <f t="shared" si="540"/>
        <v>=2.795*100000000</v>
      </c>
      <c r="BJ1123" s="1">
        <f>2.795*100000000</f>
        <v>279500000</v>
      </c>
      <c r="BK1123" s="6" t="s">
        <v>11642</v>
      </c>
      <c r="BL1123" s="1" t="str">
        <f t="shared" si="542"/>
        <v>=1.294*100000000</v>
      </c>
      <c r="BM1123" s="16">
        <f t="shared" si="557"/>
        <v>1.1599690880989182</v>
      </c>
      <c r="BN1123" s="1">
        <f>1.294*100000000</f>
        <v>129400000</v>
      </c>
    </row>
    <row r="1124" spans="1:66">
      <c r="A1124" s="18"/>
      <c r="B1124">
        <v>600879</v>
      </c>
      <c r="C1124" t="s">
        <v>58</v>
      </c>
      <c r="D1124" s="6" t="s">
        <v>11643</v>
      </c>
      <c r="E1124" s="7" t="str">
        <f t="shared" si="541"/>
        <v>=6.401*100000000</v>
      </c>
      <c r="F1124" s="1">
        <f>6.401*100000000</f>
        <v>640100000</v>
      </c>
      <c r="G1124" s="8">
        <f t="shared" si="543"/>
        <v>0.31033776867963153</v>
      </c>
      <c r="H1124" s="6" t="s">
        <v>11644</v>
      </c>
      <c r="I1124" s="6" t="str">
        <f t="shared" si="527"/>
        <v>=4.885*100000000</v>
      </c>
      <c r="J1124" s="1">
        <f>4.885*100000000</f>
        <v>488500000</v>
      </c>
      <c r="K1124" s="10">
        <f t="shared" si="544"/>
        <v>0.33835616438356164</v>
      </c>
      <c r="L1124" s="6" t="s">
        <v>11645</v>
      </c>
      <c r="M1124" s="6" t="str">
        <f t="shared" si="528"/>
        <v>=3.650*100000000</v>
      </c>
      <c r="N1124" s="1">
        <f>3.65*100000000</f>
        <v>365000000</v>
      </c>
      <c r="O1124" s="8">
        <f t="shared" si="545"/>
        <v>1.2461538461538462</v>
      </c>
      <c r="P1124" s="6" t="s">
        <v>1463</v>
      </c>
      <c r="Q1124" s="6" t="str">
        <f t="shared" si="529"/>
        <v>=1.625*100000000</v>
      </c>
      <c r="R1124" s="11">
        <f>1.625*100000000</f>
        <v>162500000</v>
      </c>
      <c r="S1124" s="8">
        <f t="shared" si="546"/>
        <v>-0.74688473520249221</v>
      </c>
      <c r="T1124" s="6" t="s">
        <v>11646</v>
      </c>
      <c r="U1124" s="6" t="str">
        <f t="shared" si="530"/>
        <v>=6.420*100000000</v>
      </c>
      <c r="V1124" s="1">
        <f>6.42*100000000</f>
        <v>642000000</v>
      </c>
      <c r="W1124" s="8">
        <f t="shared" si="547"/>
        <v>0.50035054919373689</v>
      </c>
      <c r="X1124" s="6" t="s">
        <v>6340</v>
      </c>
      <c r="Y1124" s="6" t="str">
        <f t="shared" si="531"/>
        <v>=4.279*100000000</v>
      </c>
      <c r="Z1124" s="1">
        <f>4.279*100000000</f>
        <v>427900000</v>
      </c>
      <c r="AA1124" s="8">
        <f t="shared" si="548"/>
        <v>0.63695485845447586</v>
      </c>
      <c r="AB1124" s="6" t="s">
        <v>6344</v>
      </c>
      <c r="AC1124" s="6" t="str">
        <f t="shared" si="532"/>
        <v>=2.614*100000000</v>
      </c>
      <c r="AD1124" s="1">
        <f>2.614*100000000</f>
        <v>261400000</v>
      </c>
      <c r="AE1124" s="8">
        <f t="shared" si="549"/>
        <v>3.3675856307435255</v>
      </c>
      <c r="AF1124" s="7" t="s">
        <v>11647</v>
      </c>
      <c r="AG1124" s="6" t="str">
        <f t="shared" si="533"/>
        <v>=5985*10000</v>
      </c>
      <c r="AH1124" s="1">
        <f>5985*10000</f>
        <v>59850000</v>
      </c>
      <c r="AI1124" s="8">
        <f t="shared" si="550"/>
        <v>-0.89772727272727271</v>
      </c>
      <c r="AJ1124" s="6" t="s">
        <v>8398</v>
      </c>
      <c r="AK1124" s="6" t="str">
        <f t="shared" si="534"/>
        <v>=5.852*100000000</v>
      </c>
      <c r="AL1124" s="1">
        <f>5.852*100000000</f>
        <v>585200000</v>
      </c>
      <c r="AM1124" s="8">
        <f t="shared" si="551"/>
        <v>0.31890917286454812</v>
      </c>
      <c r="AN1124" s="6" t="s">
        <v>10774</v>
      </c>
      <c r="AO1124" s="6" t="str">
        <f t="shared" si="535"/>
        <v>=4.437*100000000</v>
      </c>
      <c r="AP1124" s="1">
        <f>4.437*100000000</f>
        <v>443700000</v>
      </c>
      <c r="AQ1124" s="8">
        <f t="shared" si="552"/>
        <v>0.44152046783625731</v>
      </c>
      <c r="AR1124" s="6" t="s">
        <v>9862</v>
      </c>
      <c r="AS1124" s="6" t="str">
        <f t="shared" si="536"/>
        <v>=3.078*100000000</v>
      </c>
      <c r="AT1124" s="1">
        <f>3.078*100000000</f>
        <v>307800000</v>
      </c>
      <c r="AU1124" s="8">
        <f t="shared" si="553"/>
        <v>1.7190812720848059</v>
      </c>
      <c r="AV1124" s="6" t="s">
        <v>4890</v>
      </c>
      <c r="AW1124" s="6" t="str">
        <f t="shared" si="537"/>
        <v>=1.132*100000000</v>
      </c>
      <c r="AX1124" s="1">
        <f>1.132*100000000</f>
        <v>113199999.99999999</v>
      </c>
      <c r="AY1124" s="10">
        <f t="shared" si="554"/>
        <v>-0.81217852994856476</v>
      </c>
      <c r="AZ1124" s="6" t="s">
        <v>3447</v>
      </c>
      <c r="BA1124" s="6" t="str">
        <f t="shared" si="538"/>
        <v>=6.027*100000000</v>
      </c>
      <c r="BB1124" s="1">
        <f>6.027*100000000</f>
        <v>602700000</v>
      </c>
      <c r="BC1124" s="8">
        <f t="shared" si="555"/>
        <v>0.36542818305391955</v>
      </c>
      <c r="BD1124" s="6" t="s">
        <v>4168</v>
      </c>
      <c r="BE1124" s="6" t="str">
        <f t="shared" si="539"/>
        <v>=4.414*100000000</v>
      </c>
      <c r="BF1124" s="1">
        <f>4.414*100000000</f>
        <v>441399999.99999994</v>
      </c>
      <c r="BG1124" s="8">
        <f t="shared" si="556"/>
        <v>0.54931554931554916</v>
      </c>
      <c r="BH1124" s="6" t="s">
        <v>9859</v>
      </c>
      <c r="BI1124" s="6" t="str">
        <f t="shared" si="540"/>
        <v>=2.849*100000000</v>
      </c>
      <c r="BJ1124" s="1">
        <f>2.849*100000000</f>
        <v>284900000</v>
      </c>
      <c r="BK1124" s="6" t="s">
        <v>11648</v>
      </c>
      <c r="BL1124" s="1" t="str">
        <f t="shared" si="542"/>
        <v>=1.315*100000000</v>
      </c>
      <c r="BM1124" s="16">
        <f t="shared" si="557"/>
        <v>1.1665399239543726</v>
      </c>
      <c r="BN1124" s="1">
        <f>1.315*100000000</f>
        <v>131500000</v>
      </c>
    </row>
    <row r="1125" spans="1:66">
      <c r="A1125" s="19"/>
      <c r="B1125">
        <v>600879</v>
      </c>
      <c r="C1125" t="s">
        <v>68</v>
      </c>
      <c r="D1125" s="6" t="s">
        <v>8620</v>
      </c>
      <c r="E1125" s="7" t="str">
        <f t="shared" si="541"/>
        <v>=5.943*100000000</v>
      </c>
      <c r="F1125" s="1">
        <f>5.943*100000000</f>
        <v>594300000</v>
      </c>
      <c r="G1125" s="8">
        <f t="shared" si="543"/>
        <v>0.30615384615384617</v>
      </c>
      <c r="H1125" s="6" t="s">
        <v>6191</v>
      </c>
      <c r="I1125" s="6" t="str">
        <f t="shared" si="527"/>
        <v>=4.550*100000000</v>
      </c>
      <c r="J1125" s="1">
        <f>4.55*100000000</f>
        <v>455000000</v>
      </c>
      <c r="K1125" s="10">
        <f t="shared" si="544"/>
        <v>0.33157740708223588</v>
      </c>
      <c r="L1125" s="6" t="s">
        <v>6399</v>
      </c>
      <c r="M1125" s="6" t="str">
        <f t="shared" si="528"/>
        <v>=3.417*100000000</v>
      </c>
      <c r="N1125" s="1">
        <f>3.417*100000000</f>
        <v>341700000</v>
      </c>
      <c r="O1125" s="8">
        <f t="shared" si="545"/>
        <v>1.485090909090909</v>
      </c>
      <c r="P1125" s="6" t="s">
        <v>4981</v>
      </c>
      <c r="Q1125" s="6" t="str">
        <f t="shared" si="529"/>
        <v>=1.375*100000000</v>
      </c>
      <c r="R1125" s="11">
        <f>1.375*100000000</f>
        <v>137500000</v>
      </c>
      <c r="S1125" s="8">
        <f t="shared" si="546"/>
        <v>-0.74037009063444104</v>
      </c>
      <c r="T1125" s="6" t="s">
        <v>8364</v>
      </c>
      <c r="U1125" s="6" t="str">
        <f t="shared" si="530"/>
        <v>=5.296*100000000</v>
      </c>
      <c r="V1125" s="1">
        <f>5.296*100000000</f>
        <v>529600000</v>
      </c>
      <c r="W1125" s="8">
        <f t="shared" si="547"/>
        <v>0.46136865342163358</v>
      </c>
      <c r="X1125" s="6" t="s">
        <v>11649</v>
      </c>
      <c r="Y1125" s="6" t="str">
        <f t="shared" si="531"/>
        <v>=3.624*100000000</v>
      </c>
      <c r="Z1125" s="1">
        <f>3.624*100000000</f>
        <v>362400000</v>
      </c>
      <c r="AA1125" s="8">
        <f t="shared" si="548"/>
        <v>0.6692768309534779</v>
      </c>
      <c r="AB1125" s="6" t="s">
        <v>6421</v>
      </c>
      <c r="AC1125" s="6" t="str">
        <f t="shared" si="532"/>
        <v>=2.171*100000000</v>
      </c>
      <c r="AD1125" s="1">
        <f>2.171*100000000</f>
        <v>217099999.99999997</v>
      </c>
      <c r="AE1125" s="8">
        <f t="shared" si="549"/>
        <v>4.1925376704137758</v>
      </c>
      <c r="AF1125" s="7" t="s">
        <v>11650</v>
      </c>
      <c r="AG1125" s="6" t="str">
        <f t="shared" si="533"/>
        <v>=4181*10000</v>
      </c>
      <c r="AH1125" s="1">
        <f>4181*10000</f>
        <v>41810000</v>
      </c>
      <c r="AI1125" s="8">
        <f t="shared" si="550"/>
        <v>-0.91659684819469378</v>
      </c>
      <c r="AJ1125" s="6" t="s">
        <v>11651</v>
      </c>
      <c r="AK1125" s="6" t="str">
        <f t="shared" si="534"/>
        <v>=5.013*100000000</v>
      </c>
      <c r="AL1125" s="1">
        <f>5.013*100000000</f>
        <v>501300000</v>
      </c>
      <c r="AM1125" s="8">
        <f t="shared" si="551"/>
        <v>0.32829888712241656</v>
      </c>
      <c r="AN1125" s="6" t="s">
        <v>11652</v>
      </c>
      <c r="AO1125" s="6" t="str">
        <f t="shared" si="535"/>
        <v>=3.774*100000000</v>
      </c>
      <c r="AP1125" s="1">
        <f>3.774*100000000</f>
        <v>377400000</v>
      </c>
      <c r="AQ1125" s="8">
        <f t="shared" si="552"/>
        <v>0.48465774980330467</v>
      </c>
      <c r="AR1125" s="6" t="s">
        <v>11653</v>
      </c>
      <c r="AS1125" s="6" t="str">
        <f t="shared" si="536"/>
        <v>=2.542*100000000</v>
      </c>
      <c r="AT1125" s="1">
        <f>2.542*100000000</f>
        <v>254199999.99999997</v>
      </c>
      <c r="AU1125" s="8">
        <f t="shared" si="553"/>
        <v>1.6684862481629221</v>
      </c>
      <c r="AV1125" s="7" t="s">
        <v>11654</v>
      </c>
      <c r="AW1125" s="6" t="str">
        <f t="shared" si="537"/>
        <v>=9526*10000</v>
      </c>
      <c r="AX1125" s="1">
        <f>9526*10000</f>
        <v>95260000</v>
      </c>
      <c r="AY1125" s="10">
        <f t="shared" si="554"/>
        <v>-0.80898335672749144</v>
      </c>
      <c r="AZ1125" s="6" t="s">
        <v>6682</v>
      </c>
      <c r="BA1125" s="6" t="str">
        <f t="shared" si="538"/>
        <v>=4.987*100000000</v>
      </c>
      <c r="BB1125" s="1">
        <f>4.987*100000000</f>
        <v>498700000</v>
      </c>
      <c r="BC1125" s="8">
        <f t="shared" si="555"/>
        <v>0.34095186878193062</v>
      </c>
      <c r="BD1125" s="6" t="s">
        <v>1976</v>
      </c>
      <c r="BE1125" s="6" t="str">
        <f t="shared" si="539"/>
        <v>=3.719*100000000</v>
      </c>
      <c r="BF1125" s="1">
        <f>3.719*100000000</f>
        <v>371900000</v>
      </c>
      <c r="BG1125" s="8">
        <f t="shared" si="556"/>
        <v>0.54251347988386567</v>
      </c>
      <c r="BH1125" s="6" t="s">
        <v>6398</v>
      </c>
      <c r="BI1125" s="6" t="str">
        <f t="shared" si="540"/>
        <v>=2.411*100000000</v>
      </c>
      <c r="BJ1125" s="1">
        <f>2.411*100000000</f>
        <v>241100000</v>
      </c>
      <c r="BK1125" s="6" t="s">
        <v>5589</v>
      </c>
      <c r="BL1125" s="1" t="str">
        <f t="shared" si="542"/>
        <v>=1.074*100000000</v>
      </c>
      <c r="BM1125" s="16">
        <f t="shared" si="557"/>
        <v>1.2448789571694601</v>
      </c>
      <c r="BN1125" s="1">
        <f>1.074*100000000</f>
        <v>107400000</v>
      </c>
    </row>
    <row r="1126" spans="1:66">
      <c r="A1126" s="17">
        <v>283</v>
      </c>
      <c r="B1126">
        <v>600882</v>
      </c>
      <c r="C1126" t="s">
        <v>31</v>
      </c>
      <c r="D1126" s="6" t="s">
        <v>11655</v>
      </c>
      <c r="E1126" s="7" t="str">
        <f t="shared" si="541"/>
        <v>=44.78*100000000</v>
      </c>
      <c r="F1126" s="1">
        <f>44.78*100000000</f>
        <v>4478000000</v>
      </c>
      <c r="G1126" s="8">
        <f t="shared" si="543"/>
        <v>0.42430025445292618</v>
      </c>
      <c r="H1126" s="6" t="s">
        <v>3951</v>
      </c>
      <c r="I1126" s="6" t="str">
        <f t="shared" si="527"/>
        <v>=31.44*100000000</v>
      </c>
      <c r="J1126" s="1">
        <f>31.44*100000000</f>
        <v>3144000000</v>
      </c>
      <c r="K1126" s="10">
        <f t="shared" si="544"/>
        <v>0.52104499274310578</v>
      </c>
      <c r="L1126" s="6" t="s">
        <v>11575</v>
      </c>
      <c r="M1126" s="6" t="str">
        <f t="shared" si="528"/>
        <v>=20.67*100000000</v>
      </c>
      <c r="N1126" s="1">
        <f>20.67*100000000</f>
        <v>2067000000.0000002</v>
      </c>
      <c r="O1126" s="8">
        <f t="shared" si="545"/>
        <v>1.1737301503838471</v>
      </c>
      <c r="P1126" s="6" t="s">
        <v>11656</v>
      </c>
      <c r="Q1126" s="6" t="str">
        <f t="shared" si="529"/>
        <v>=9.509*100000000</v>
      </c>
      <c r="R1126" s="11">
        <f>9.509*100000000</f>
        <v>950900000</v>
      </c>
      <c r="S1126" s="8">
        <f t="shared" si="546"/>
        <v>-0.66599929750614684</v>
      </c>
      <c r="T1126" s="6" t="s">
        <v>814</v>
      </c>
      <c r="U1126" s="6" t="str">
        <f t="shared" si="530"/>
        <v>=28.47*100000000</v>
      </c>
      <c r="V1126" s="1">
        <f>28.47*100000000</f>
        <v>2847000000</v>
      </c>
      <c r="W1126" s="8">
        <f t="shared" si="547"/>
        <v>0.5175906183368868</v>
      </c>
      <c r="X1126" s="6" t="s">
        <v>11657</v>
      </c>
      <c r="Y1126" s="6" t="str">
        <f t="shared" si="531"/>
        <v>=18.76*100000000</v>
      </c>
      <c r="Z1126" s="1">
        <f>18.76*100000000</f>
        <v>1876000000.0000002</v>
      </c>
      <c r="AA1126" s="8">
        <f t="shared" si="548"/>
        <v>0.73222530009233633</v>
      </c>
      <c r="AB1126" s="6" t="s">
        <v>4527</v>
      </c>
      <c r="AC1126" s="6" t="str">
        <f t="shared" si="532"/>
        <v>=10.83*100000000</v>
      </c>
      <c r="AD1126" s="1">
        <f>10.83*100000000</f>
        <v>1083000000</v>
      </c>
      <c r="AE1126" s="8">
        <f t="shared" si="549"/>
        <v>1.7396913736402733</v>
      </c>
      <c r="AF1126" s="6" t="s">
        <v>5932</v>
      </c>
      <c r="AG1126" s="6" t="str">
        <f t="shared" si="533"/>
        <v>=3.953*100000000</v>
      </c>
      <c r="AH1126" s="1">
        <f>3.953*100000000</f>
        <v>395300000</v>
      </c>
      <c r="AI1126" s="8">
        <f t="shared" si="550"/>
        <v>-0.77333715596330277</v>
      </c>
      <c r="AJ1126" s="6" t="s">
        <v>7352</v>
      </c>
      <c r="AK1126" s="6" t="str">
        <f t="shared" si="534"/>
        <v>=17.44*100000000</v>
      </c>
      <c r="AL1126" s="1">
        <f>17.44*100000000</f>
        <v>1744000000.0000002</v>
      </c>
      <c r="AM1126" s="8">
        <f t="shared" si="551"/>
        <v>0.50474547023295968</v>
      </c>
      <c r="AN1126" s="6" t="s">
        <v>2788</v>
      </c>
      <c r="AO1126" s="6" t="str">
        <f t="shared" si="535"/>
        <v>=11.59*100000000</v>
      </c>
      <c r="AP1126" s="1">
        <f>11.59*100000000</f>
        <v>1159000000</v>
      </c>
      <c r="AQ1126" s="8">
        <f t="shared" si="552"/>
        <v>0.62324929971988796</v>
      </c>
      <c r="AR1126" s="6" t="s">
        <v>11658</v>
      </c>
      <c r="AS1126" s="6" t="str">
        <f t="shared" si="536"/>
        <v>=7.140*100000000</v>
      </c>
      <c r="AT1126" s="1">
        <f>7.14*100000000</f>
        <v>714000000</v>
      </c>
      <c r="AU1126" s="8">
        <f t="shared" si="553"/>
        <v>1.3959731543624161</v>
      </c>
      <c r="AV1126" s="6" t="s">
        <v>1534</v>
      </c>
      <c r="AW1126" s="6" t="str">
        <f t="shared" si="537"/>
        <v>=2.980*100000000</v>
      </c>
      <c r="AX1126" s="1">
        <f>2.98*100000000</f>
        <v>298000000</v>
      </c>
      <c r="AY1126" s="10">
        <f t="shared" si="554"/>
        <v>-0.75693311582381728</v>
      </c>
      <c r="AZ1126" s="6" t="s">
        <v>2418</v>
      </c>
      <c r="BA1126" s="6" t="str">
        <f t="shared" si="538"/>
        <v>=12.26*100000000</v>
      </c>
      <c r="BB1126" s="1">
        <f>12.26*100000000</f>
        <v>1226000000</v>
      </c>
      <c r="BC1126" s="8">
        <f t="shared" si="555"/>
        <v>0.59510798855061153</v>
      </c>
      <c r="BD1126" s="6" t="s">
        <v>11659</v>
      </c>
      <c r="BE1126" s="6" t="str">
        <f t="shared" si="539"/>
        <v>=7.686*100000000</v>
      </c>
      <c r="BF1126" s="1">
        <f>7.686*100000000</f>
        <v>768600000</v>
      </c>
      <c r="BG1126" s="8">
        <f t="shared" si="556"/>
        <v>0.65575183110728108</v>
      </c>
      <c r="BH1126" s="6" t="s">
        <v>11660</v>
      </c>
      <c r="BI1126" s="6" t="str">
        <f t="shared" si="540"/>
        <v>=4.642*100000000</v>
      </c>
      <c r="BJ1126" s="1">
        <f>4.642*100000000</f>
        <v>464200000.00000006</v>
      </c>
      <c r="BK1126" s="6" t="s">
        <v>2374</v>
      </c>
      <c r="BL1126" s="1" t="str">
        <f t="shared" si="542"/>
        <v>=1.892*100000000</v>
      </c>
      <c r="BM1126" s="16">
        <f t="shared" si="557"/>
        <v>1.4534883720930236</v>
      </c>
      <c r="BN1126" s="1">
        <f>1.892*100000000</f>
        <v>189200000</v>
      </c>
    </row>
    <row r="1127" spans="1:66">
      <c r="A1127" s="18"/>
      <c r="B1127">
        <v>600882</v>
      </c>
      <c r="C1127" t="s">
        <v>48</v>
      </c>
      <c r="D1127" s="6" t="s">
        <v>8270</v>
      </c>
      <c r="E1127" s="7" t="str">
        <f t="shared" si="541"/>
        <v>=2.299*100000000</v>
      </c>
      <c r="F1127" s="1">
        <f>2.299*100000000</f>
        <v>229900000</v>
      </c>
      <c r="G1127" s="8">
        <f t="shared" si="543"/>
        <v>0.3092255125284738</v>
      </c>
      <c r="H1127" s="6" t="s">
        <v>11661</v>
      </c>
      <c r="I1127" s="6" t="str">
        <f t="shared" si="527"/>
        <v>=1.756*100000000</v>
      </c>
      <c r="J1127" s="1">
        <f>1.756*100000000</f>
        <v>175600000</v>
      </c>
      <c r="K1127" s="10">
        <f t="shared" si="544"/>
        <v>0.20438957475994513</v>
      </c>
      <c r="L1127" s="6" t="s">
        <v>3893</v>
      </c>
      <c r="M1127" s="6" t="str">
        <f t="shared" si="528"/>
        <v>=1.458*100000000</v>
      </c>
      <c r="N1127" s="1">
        <f>1.458*100000000</f>
        <v>145800000</v>
      </c>
      <c r="O1127" s="8">
        <f t="shared" si="545"/>
        <v>2.1087420042643923</v>
      </c>
      <c r="P1127" s="7" t="s">
        <v>11662</v>
      </c>
      <c r="Q1127" s="6" t="str">
        <f t="shared" si="529"/>
        <v>=4690*10000</v>
      </c>
      <c r="R1127" s="11">
        <f>4690*10000</f>
        <v>46900000</v>
      </c>
      <c r="S1127" s="8">
        <f t="shared" si="546"/>
        <v>-0.51679373583350507</v>
      </c>
      <c r="T1127" s="7" t="s">
        <v>2090</v>
      </c>
      <c r="U1127" s="6" t="str">
        <f t="shared" si="530"/>
        <v>=9706*10000</v>
      </c>
      <c r="V1127" s="1">
        <f>9706*10000</f>
        <v>97060000</v>
      </c>
      <c r="W1127" s="8">
        <f t="shared" si="547"/>
        <v>0.45342917041030251</v>
      </c>
      <c r="X1127" s="7" t="s">
        <v>11663</v>
      </c>
      <c r="Y1127" s="6" t="str">
        <f t="shared" si="531"/>
        <v>=6678*10000</v>
      </c>
      <c r="Z1127" s="1">
        <f>6678*10000</f>
        <v>66780000</v>
      </c>
      <c r="AA1127" s="8">
        <f t="shared" si="548"/>
        <v>0.51120162932790225</v>
      </c>
      <c r="AB1127" s="7" t="s">
        <v>11664</v>
      </c>
      <c r="AC1127" s="6" t="str">
        <f t="shared" si="532"/>
        <v>=4419*10000</v>
      </c>
      <c r="AD1127" s="1">
        <f>4419*10000</f>
        <v>44190000</v>
      </c>
      <c r="AE1127" s="8">
        <f t="shared" si="549"/>
        <v>3.7277201241039908</v>
      </c>
      <c r="AF1127" s="7" t="s">
        <v>11665</v>
      </c>
      <c r="AG1127" s="6" t="str">
        <f t="shared" si="533"/>
        <v>=934.7*10000</v>
      </c>
      <c r="AH1127" s="1">
        <f>934.7*10000</f>
        <v>9347000</v>
      </c>
      <c r="AI1127" s="8">
        <f t="shared" si="550"/>
        <v>-0.52649442755825737</v>
      </c>
      <c r="AJ1127" s="7" t="s">
        <v>11143</v>
      </c>
      <c r="AK1127" s="6" t="str">
        <f t="shared" si="534"/>
        <v>=1974*10000</v>
      </c>
      <c r="AL1127" s="1">
        <f>1974*10000</f>
        <v>19740000</v>
      </c>
      <c r="AM1127" s="8">
        <f t="shared" si="551"/>
        <v>0.74227714033539272</v>
      </c>
      <c r="AN1127" s="7" t="s">
        <v>4939</v>
      </c>
      <c r="AO1127" s="6" t="str">
        <f t="shared" si="535"/>
        <v>=1133*10000</v>
      </c>
      <c r="AP1127" s="1">
        <f>1133*10000</f>
        <v>11330000</v>
      </c>
      <c r="AQ1127" s="8">
        <f t="shared" si="552"/>
        <v>2.5550674615625981</v>
      </c>
      <c r="AR1127" s="7" t="s">
        <v>11666</v>
      </c>
      <c r="AS1127" s="6" t="str">
        <f t="shared" si="536"/>
        <v>=318.7*10000</v>
      </c>
      <c r="AT1127" s="1">
        <f>318.7*10000</f>
        <v>3187000</v>
      </c>
      <c r="AU1127" s="8">
        <f t="shared" si="553"/>
        <v>-1.6577915376676986</v>
      </c>
      <c r="AV1127" s="7">
        <f>-484.5*10000</f>
        <v>-4845000</v>
      </c>
      <c r="AW1127" s="6" t="str">
        <f t="shared" si="537"/>
        <v>=-4845000</v>
      </c>
      <c r="AX1127" s="1">
        <f>-4845000</f>
        <v>-4845000</v>
      </c>
      <c r="AY1127" s="10">
        <f t="shared" si="554"/>
        <v>0.51311680199875076</v>
      </c>
      <c r="AZ1127" s="7">
        <f>-320.2*10000</f>
        <v>-3202000</v>
      </c>
      <c r="BA1127" s="6" t="str">
        <f t="shared" si="538"/>
        <v>=-3202000</v>
      </c>
      <c r="BB1127" s="1">
        <f>-3202000</f>
        <v>-3202000</v>
      </c>
      <c r="BC1127" s="8">
        <f t="shared" si="555"/>
        <v>-0.84938852304797741</v>
      </c>
      <c r="BD1127" s="7">
        <f>-2126*10000</f>
        <v>-21260000</v>
      </c>
      <c r="BE1127" s="6" t="str">
        <f t="shared" si="539"/>
        <v>=-21260000</v>
      </c>
      <c r="BF1127" s="1">
        <f>-21260000</f>
        <v>-21260000</v>
      </c>
      <c r="BG1127" s="8">
        <f t="shared" si="556"/>
        <v>-6.9991251093613302E-2</v>
      </c>
      <c r="BH1127" s="7">
        <f>-2286*10000</f>
        <v>-22860000</v>
      </c>
      <c r="BI1127" s="6" t="str">
        <f t="shared" si="540"/>
        <v>=-22860000</v>
      </c>
      <c r="BJ1127" s="1">
        <f>-22860000</f>
        <v>-22860000</v>
      </c>
      <c r="BK1127" s="7">
        <f>-2671*10000</f>
        <v>-26710000</v>
      </c>
      <c r="BL1127" s="1" t="str">
        <f t="shared" si="542"/>
        <v>=-26710000</v>
      </c>
      <c r="BM1127" s="16">
        <f t="shared" si="557"/>
        <v>-0.14414077124672409</v>
      </c>
      <c r="BN1127" s="1">
        <f>-26710000</f>
        <v>-26710000</v>
      </c>
    </row>
    <row r="1128" spans="1:66">
      <c r="A1128" s="18"/>
      <c r="B1128">
        <v>600882</v>
      </c>
      <c r="C1128" t="s">
        <v>58</v>
      </c>
      <c r="D1128" s="6" t="s">
        <v>10580</v>
      </c>
      <c r="E1128" s="7" t="str">
        <f t="shared" si="541"/>
        <v>=2.325*100000000</v>
      </c>
      <c r="F1128" s="1">
        <f>2.325*100000000</f>
        <v>232500000.00000003</v>
      </c>
      <c r="G1128" s="8">
        <f t="shared" si="543"/>
        <v>0.3165345413363535</v>
      </c>
      <c r="H1128" s="6" t="s">
        <v>2181</v>
      </c>
      <c r="I1128" s="6" t="str">
        <f t="shared" si="527"/>
        <v>=1.766*100000000</v>
      </c>
      <c r="J1128" s="1">
        <f>1.766*100000000</f>
        <v>176600000</v>
      </c>
      <c r="K1128" s="10">
        <f t="shared" si="544"/>
        <v>0.2021783526208305</v>
      </c>
      <c r="L1128" s="6" t="s">
        <v>8513</v>
      </c>
      <c r="M1128" s="6" t="str">
        <f t="shared" si="528"/>
        <v>=1.469*100000000</v>
      </c>
      <c r="N1128" s="1">
        <f>1.469*100000000</f>
        <v>146900000</v>
      </c>
      <c r="O1128" s="8">
        <f t="shared" si="545"/>
        <v>2.0848383032339353</v>
      </c>
      <c r="P1128" s="7" t="s">
        <v>11667</v>
      </c>
      <c r="Q1128" s="6" t="str">
        <f t="shared" si="529"/>
        <v>=4762*10000</v>
      </c>
      <c r="R1128" s="11">
        <f>4762*10000</f>
        <v>47620000</v>
      </c>
      <c r="S1128" s="8">
        <f t="shared" si="546"/>
        <v>-0.50020990764063811</v>
      </c>
      <c r="T1128" s="7" t="s">
        <v>11668</v>
      </c>
      <c r="U1128" s="6" t="str">
        <f t="shared" si="530"/>
        <v>=9528*10000</v>
      </c>
      <c r="V1128" s="1">
        <f>9528*10000</f>
        <v>95280000</v>
      </c>
      <c r="W1128" s="8">
        <f t="shared" si="547"/>
        <v>0.46202240294614089</v>
      </c>
      <c r="X1128" s="7" t="s">
        <v>7294</v>
      </c>
      <c r="Y1128" s="6" t="str">
        <f t="shared" si="531"/>
        <v>=6517*10000</v>
      </c>
      <c r="Z1128" s="1">
        <f>6517*10000</f>
        <v>65170000</v>
      </c>
      <c r="AA1128" s="8">
        <f t="shared" si="548"/>
        <v>0.53811659192825112</v>
      </c>
      <c r="AB1128" s="7" t="s">
        <v>11669</v>
      </c>
      <c r="AC1128" s="6" t="str">
        <f t="shared" si="532"/>
        <v>=4237*10000</v>
      </c>
      <c r="AD1128" s="1">
        <f>4237*10000</f>
        <v>42370000</v>
      </c>
      <c r="AE1128" s="8">
        <f t="shared" si="549"/>
        <v>3.5378601263789227</v>
      </c>
      <c r="AF1128" s="7" t="s">
        <v>11670</v>
      </c>
      <c r="AG1128" s="6" t="str">
        <f t="shared" si="533"/>
        <v>=933.7*10000</v>
      </c>
      <c r="AH1128" s="1">
        <f>933.7*10000</f>
        <v>9337000</v>
      </c>
      <c r="AI1128" s="8">
        <f t="shared" si="550"/>
        <v>-0.58575865128660165</v>
      </c>
      <c r="AJ1128" s="7" t="s">
        <v>11671</v>
      </c>
      <c r="AK1128" s="6" t="str">
        <f t="shared" si="534"/>
        <v>=2254*10000</v>
      </c>
      <c r="AL1128" s="1">
        <f>2254*10000</f>
        <v>22540000</v>
      </c>
      <c r="AM1128" s="8">
        <f t="shared" si="551"/>
        <v>0.87989991659716427</v>
      </c>
      <c r="AN1128" s="7" t="s">
        <v>11672</v>
      </c>
      <c r="AO1128" s="6" t="str">
        <f t="shared" si="535"/>
        <v>=1199*10000</v>
      </c>
      <c r="AP1128" s="1">
        <f>1199*10000</f>
        <v>11990000</v>
      </c>
      <c r="AQ1128" s="8">
        <f t="shared" si="552"/>
        <v>2.5473372781065087</v>
      </c>
      <c r="AR1128" s="7" t="s">
        <v>11673</v>
      </c>
      <c r="AS1128" s="6" t="str">
        <f t="shared" si="536"/>
        <v>=338.0*10000</v>
      </c>
      <c r="AT1128" s="1">
        <f>338*10000</f>
        <v>3380000</v>
      </c>
      <c r="AU1128" s="8">
        <f t="shared" si="553"/>
        <v>-1.6851814311777822</v>
      </c>
      <c r="AV1128" s="7">
        <f>-493.3*10000</f>
        <v>-4933000</v>
      </c>
      <c r="AW1128" s="6" t="str">
        <f t="shared" si="537"/>
        <v>=-4933000</v>
      </c>
      <c r="AX1128" s="1">
        <f>-4933000</f>
        <v>-4933000</v>
      </c>
      <c r="AY1128" s="10">
        <f t="shared" si="554"/>
        <v>2.2411300919842314</v>
      </c>
      <c r="AZ1128" s="7">
        <f>-152.2*10000</f>
        <v>-1522000</v>
      </c>
      <c r="BA1128" s="6" t="str">
        <f t="shared" si="538"/>
        <v>=-1522000</v>
      </c>
      <c r="BB1128" s="1">
        <f>-1522000</f>
        <v>-1522000</v>
      </c>
      <c r="BC1128" s="8">
        <f t="shared" si="555"/>
        <v>-0.92285859097820577</v>
      </c>
      <c r="BD1128" s="7">
        <f>-1973*10000</f>
        <v>-19730000</v>
      </c>
      <c r="BE1128" s="6" t="str">
        <f t="shared" si="539"/>
        <v>=-19730000</v>
      </c>
      <c r="BF1128" s="1">
        <f>-19730000</f>
        <v>-19730000</v>
      </c>
      <c r="BG1128" s="8">
        <f t="shared" si="556"/>
        <v>-9.7025171624713955E-2</v>
      </c>
      <c r="BH1128" s="7">
        <f>-2185*10000</f>
        <v>-21850000</v>
      </c>
      <c r="BI1128" s="6" t="str">
        <f t="shared" si="540"/>
        <v>=-21850000</v>
      </c>
      <c r="BJ1128" s="1">
        <f>-21850000</f>
        <v>-21850000</v>
      </c>
      <c r="BK1128" s="7">
        <f>-2610*10000</f>
        <v>-26100000</v>
      </c>
      <c r="BL1128" s="1" t="str">
        <f t="shared" si="542"/>
        <v>=-26100000</v>
      </c>
      <c r="BM1128" s="16">
        <f t="shared" si="557"/>
        <v>-0.16283524904214558</v>
      </c>
      <c r="BN1128" s="1">
        <f>-26100000</f>
        <v>-26100000</v>
      </c>
    </row>
    <row r="1129" spans="1:66">
      <c r="A1129" s="19"/>
      <c r="B1129">
        <v>600882</v>
      </c>
      <c r="C1129" t="s">
        <v>68</v>
      </c>
      <c r="D1129" s="6" t="s">
        <v>9217</v>
      </c>
      <c r="E1129" s="7" t="str">
        <f t="shared" si="541"/>
        <v>=1.938*100000000</v>
      </c>
      <c r="F1129" s="1">
        <f>1.938*100000000</f>
        <v>193800000</v>
      </c>
      <c r="G1129" s="8">
        <f t="shared" si="543"/>
        <v>0.23596938775510204</v>
      </c>
      <c r="H1129" s="6" t="s">
        <v>617</v>
      </c>
      <c r="I1129" s="6" t="str">
        <f t="shared" si="527"/>
        <v>=1.568*100000000</v>
      </c>
      <c r="J1129" s="1">
        <f>1.568*100000000</f>
        <v>156800000</v>
      </c>
      <c r="K1129" s="10">
        <f t="shared" si="544"/>
        <v>0.24840764331210191</v>
      </c>
      <c r="L1129" s="6" t="s">
        <v>6145</v>
      </c>
      <c r="M1129" s="6" t="str">
        <f t="shared" si="528"/>
        <v>=1.256*100000000</v>
      </c>
      <c r="N1129" s="1">
        <f>1.256*100000000</f>
        <v>125600000</v>
      </c>
      <c r="O1129" s="8">
        <f t="shared" si="545"/>
        <v>2.11199207135778</v>
      </c>
      <c r="P1129" s="7" t="s">
        <v>3737</v>
      </c>
      <c r="Q1129" s="6" t="str">
        <f t="shared" si="529"/>
        <v>=4036*10000</v>
      </c>
      <c r="R1129" s="11">
        <f>4036*10000</f>
        <v>40360000</v>
      </c>
      <c r="S1129" s="8">
        <f t="shared" si="546"/>
        <v>-0.45444714787780482</v>
      </c>
      <c r="T1129" s="7" t="s">
        <v>11674</v>
      </c>
      <c r="U1129" s="6" t="str">
        <f t="shared" si="530"/>
        <v>=7398*10000</v>
      </c>
      <c r="V1129" s="1">
        <f>7398*10000</f>
        <v>73980000</v>
      </c>
      <c r="W1129" s="8">
        <f t="shared" si="547"/>
        <v>0.26030664395229985</v>
      </c>
      <c r="X1129" s="7" t="s">
        <v>7698</v>
      </c>
      <c r="Y1129" s="6" t="str">
        <f t="shared" si="531"/>
        <v>=5870*10000</v>
      </c>
      <c r="Z1129" s="1">
        <f>5870*10000</f>
        <v>58700000</v>
      </c>
      <c r="AA1129" s="8">
        <f t="shared" si="548"/>
        <v>0.62020425062103235</v>
      </c>
      <c r="AB1129" s="7" t="s">
        <v>4760</v>
      </c>
      <c r="AC1129" s="6" t="str">
        <f t="shared" si="532"/>
        <v>=3623*10000</v>
      </c>
      <c r="AD1129" s="1">
        <f>3623*10000</f>
        <v>36230000</v>
      </c>
      <c r="AE1129" s="8">
        <f t="shared" si="549"/>
        <v>2.5694581280788178</v>
      </c>
      <c r="AF1129" s="7" t="s">
        <v>11675</v>
      </c>
      <c r="AG1129" s="6" t="str">
        <f t="shared" si="533"/>
        <v>=1015*10000</v>
      </c>
      <c r="AH1129" s="1">
        <f>1015*10000</f>
        <v>10150000</v>
      </c>
      <c r="AI1129" s="8">
        <f t="shared" si="550"/>
        <v>-0.47217888715548623</v>
      </c>
      <c r="AJ1129" s="7" t="s">
        <v>11676</v>
      </c>
      <c r="AK1129" s="6" t="str">
        <f t="shared" si="534"/>
        <v>=1923*10000</v>
      </c>
      <c r="AL1129" s="1">
        <f>1923*10000</f>
        <v>19230000</v>
      </c>
      <c r="AM1129" s="8">
        <f t="shared" si="551"/>
        <v>0.63242784380305606</v>
      </c>
      <c r="AN1129" s="7" t="s">
        <v>11677</v>
      </c>
      <c r="AO1129" s="6" t="str">
        <f t="shared" si="535"/>
        <v>=1178*10000</v>
      </c>
      <c r="AP1129" s="1">
        <f>1178*10000</f>
        <v>11780000</v>
      </c>
      <c r="AQ1129" s="8">
        <f t="shared" si="552"/>
        <v>2.0267214799588902</v>
      </c>
      <c r="AR1129" s="7" t="s">
        <v>11678</v>
      </c>
      <c r="AS1129" s="6" t="str">
        <f t="shared" si="536"/>
        <v>=389.2*10000</v>
      </c>
      <c r="AT1129" s="1">
        <f>389.2*10000</f>
        <v>3892000</v>
      </c>
      <c r="AU1129" s="8">
        <f t="shared" si="553"/>
        <v>-1.8402417962003454</v>
      </c>
      <c r="AV1129" s="7">
        <f>-463.2*10000</f>
        <v>-4632000</v>
      </c>
      <c r="AW1129" s="6" t="str">
        <f t="shared" si="537"/>
        <v>=-4632000</v>
      </c>
      <c r="AX1129" s="1">
        <f>-4632000</f>
        <v>-4632000</v>
      </c>
      <c r="AY1129" s="10">
        <f t="shared" si="554"/>
        <v>-1.4353383458646616</v>
      </c>
      <c r="AZ1129" s="7" t="s">
        <v>11679</v>
      </c>
      <c r="BA1129" s="6" t="str">
        <f t="shared" si="538"/>
        <v>=1064*10000</v>
      </c>
      <c r="BB1129" s="1">
        <f>1064*10000</f>
        <v>10640000</v>
      </c>
      <c r="BC1129" s="8">
        <f t="shared" si="555"/>
        <v>-3.2376445846477391</v>
      </c>
      <c r="BD1129" s="7">
        <f>-475.5*10000</f>
        <v>-4755000</v>
      </c>
      <c r="BE1129" s="6" t="str">
        <f t="shared" si="539"/>
        <v>=-4755000</v>
      </c>
      <c r="BF1129" s="1">
        <f>-4755000</f>
        <v>-4755000</v>
      </c>
      <c r="BG1129" s="8">
        <f t="shared" si="556"/>
        <v>-0.47545504688361834</v>
      </c>
      <c r="BH1129" s="7">
        <f>-906.5*10000</f>
        <v>-9065000</v>
      </c>
      <c r="BI1129" s="6" t="str">
        <f t="shared" si="540"/>
        <v>=-9065000</v>
      </c>
      <c r="BJ1129" s="1">
        <f>-9065000</f>
        <v>-9065000</v>
      </c>
      <c r="BK1129" s="7">
        <f>-2014*10000</f>
        <v>-20140000</v>
      </c>
      <c r="BL1129" s="1" t="str">
        <f t="shared" si="542"/>
        <v>=-20140000</v>
      </c>
      <c r="BM1129" s="16">
        <f t="shared" si="557"/>
        <v>-0.54990069513406159</v>
      </c>
      <c r="BN1129" s="1">
        <f>-20140000</f>
        <v>-20140000</v>
      </c>
    </row>
    <row r="1130" spans="1:66">
      <c r="A1130" s="17">
        <v>284</v>
      </c>
      <c r="B1130">
        <v>600888</v>
      </c>
      <c r="C1130" t="s">
        <v>31</v>
      </c>
      <c r="D1130" s="6" t="s">
        <v>11680</v>
      </c>
      <c r="E1130" s="7" t="str">
        <f t="shared" si="541"/>
        <v>=82.26*100000000</v>
      </c>
      <c r="F1130" s="1">
        <f>82.26*100000000</f>
        <v>8226000000.000001</v>
      </c>
      <c r="G1130" s="8">
        <f t="shared" si="543"/>
        <v>0.33236151603498559</v>
      </c>
      <c r="H1130" s="6" t="s">
        <v>10626</v>
      </c>
      <c r="I1130" s="6" t="str">
        <f t="shared" si="527"/>
        <v>=61.74*100000000</v>
      </c>
      <c r="J1130" s="1">
        <f>61.74*100000000</f>
        <v>6174000000</v>
      </c>
      <c r="K1130" s="10">
        <f t="shared" si="544"/>
        <v>0.54620586025544704</v>
      </c>
      <c r="L1130" s="6" t="s">
        <v>11681</v>
      </c>
      <c r="M1130" s="6" t="str">
        <f t="shared" si="528"/>
        <v>=39.93*100000000</v>
      </c>
      <c r="N1130" s="1">
        <f>39.93*100000000</f>
        <v>3993000000</v>
      </c>
      <c r="O1130" s="8">
        <f t="shared" si="545"/>
        <v>1.2024269167126309</v>
      </c>
      <c r="P1130" s="6" t="s">
        <v>7281</v>
      </c>
      <c r="Q1130" s="6" t="str">
        <f t="shared" si="529"/>
        <v>=18.13*100000000</v>
      </c>
      <c r="R1130" s="11">
        <f>18.13*100000000</f>
        <v>1813000000</v>
      </c>
      <c r="S1130" s="8">
        <f t="shared" si="546"/>
        <v>-0.68287563407381491</v>
      </c>
      <c r="T1130" s="6" t="s">
        <v>11682</v>
      </c>
      <c r="U1130" s="6" t="str">
        <f t="shared" si="530"/>
        <v>=57.17*100000000</v>
      </c>
      <c r="V1130" s="1">
        <f>57.17*100000000</f>
        <v>5717000000</v>
      </c>
      <c r="W1130" s="8">
        <f t="shared" si="547"/>
        <v>0.46853326483431801</v>
      </c>
      <c r="X1130" s="6" t="s">
        <v>11683</v>
      </c>
      <c r="Y1130" s="6" t="str">
        <f t="shared" si="531"/>
        <v>=38.93*100000000</v>
      </c>
      <c r="Z1130" s="1">
        <f>38.93*100000000</f>
        <v>3893000000</v>
      </c>
      <c r="AA1130" s="8">
        <f t="shared" si="548"/>
        <v>0.65871325095867062</v>
      </c>
      <c r="AB1130" s="6" t="s">
        <v>11684</v>
      </c>
      <c r="AC1130" s="6" t="str">
        <f t="shared" si="532"/>
        <v>=23.47*100000000</v>
      </c>
      <c r="AD1130" s="1">
        <f>23.47*100000000</f>
        <v>2347000000</v>
      </c>
      <c r="AE1130" s="8">
        <f t="shared" si="549"/>
        <v>1.5535850288325534</v>
      </c>
      <c r="AF1130" s="6" t="s">
        <v>4559</v>
      </c>
      <c r="AG1130" s="6" t="str">
        <f t="shared" si="533"/>
        <v>=9.191*100000000</v>
      </c>
      <c r="AH1130" s="1">
        <f>9.191*100000000</f>
        <v>919100000.00000012</v>
      </c>
      <c r="AI1130" s="8">
        <f t="shared" si="550"/>
        <v>-0.80642375737152483</v>
      </c>
      <c r="AJ1130" s="6" t="s">
        <v>8958</v>
      </c>
      <c r="AK1130" s="6" t="str">
        <f t="shared" si="534"/>
        <v>=47.48*100000000</v>
      </c>
      <c r="AL1130" s="1">
        <f>47.48*100000000</f>
        <v>4748000000</v>
      </c>
      <c r="AM1130" s="8">
        <f t="shared" si="551"/>
        <v>0.36436781609195423</v>
      </c>
      <c r="AN1130" s="6" t="s">
        <v>11685</v>
      </c>
      <c r="AO1130" s="6" t="str">
        <f t="shared" si="535"/>
        <v>=34.80*100000000</v>
      </c>
      <c r="AP1130" s="1">
        <f>34.8*100000000</f>
        <v>3479999999.9999995</v>
      </c>
      <c r="AQ1130" s="8">
        <f t="shared" si="552"/>
        <v>0.54460719041278272</v>
      </c>
      <c r="AR1130" s="6" t="s">
        <v>11686</v>
      </c>
      <c r="AS1130" s="6" t="str">
        <f t="shared" si="536"/>
        <v>=22.53*100000000</v>
      </c>
      <c r="AT1130" s="1">
        <f>22.53*100000000</f>
        <v>2253000000</v>
      </c>
      <c r="AU1130" s="8">
        <f t="shared" si="553"/>
        <v>0.92564102564102568</v>
      </c>
      <c r="AV1130" s="6" t="s">
        <v>8818</v>
      </c>
      <c r="AW1130" s="6" t="str">
        <f t="shared" si="537"/>
        <v>=11.70*100000000</v>
      </c>
      <c r="AX1130" s="1">
        <f>11.7*100000000</f>
        <v>1170000000</v>
      </c>
      <c r="AY1130" s="10">
        <f t="shared" si="554"/>
        <v>-0.759802915212482</v>
      </c>
      <c r="AZ1130" s="6" t="s">
        <v>3406</v>
      </c>
      <c r="BA1130" s="6" t="str">
        <f t="shared" si="538"/>
        <v>=48.71*100000000</v>
      </c>
      <c r="BB1130" s="1">
        <f>48.71*100000000</f>
        <v>4871000000</v>
      </c>
      <c r="BC1130" s="8">
        <f t="shared" si="555"/>
        <v>0.39690278176082611</v>
      </c>
      <c r="BD1130" s="6" t="s">
        <v>11687</v>
      </c>
      <c r="BE1130" s="6" t="str">
        <f t="shared" si="539"/>
        <v>=34.87*100000000</v>
      </c>
      <c r="BF1130" s="1">
        <f>34.87*100000000</f>
        <v>3486999999.9999995</v>
      </c>
      <c r="BG1130" s="8">
        <f t="shared" si="556"/>
        <v>0.51806704397039594</v>
      </c>
      <c r="BH1130" s="6" t="s">
        <v>7498</v>
      </c>
      <c r="BI1130" s="6" t="str">
        <f t="shared" si="540"/>
        <v>=22.97*100000000</v>
      </c>
      <c r="BJ1130" s="1">
        <f>22.97*100000000</f>
        <v>2297000000</v>
      </c>
      <c r="BK1130" s="6" t="s">
        <v>373</v>
      </c>
      <c r="BL1130" s="1" t="str">
        <f t="shared" si="542"/>
        <v>=10.97*100000000</v>
      </c>
      <c r="BM1130" s="16">
        <f t="shared" si="557"/>
        <v>1.0938924339106655</v>
      </c>
      <c r="BN1130" s="1">
        <f>10.97*100000000</f>
        <v>1097000000</v>
      </c>
    </row>
    <row r="1131" spans="1:66">
      <c r="A1131" s="18"/>
      <c r="B1131">
        <v>600888</v>
      </c>
      <c r="C1131" t="s">
        <v>48</v>
      </c>
      <c r="D1131" s="6" t="s">
        <v>11688</v>
      </c>
      <c r="E1131" s="7" t="str">
        <f t="shared" si="541"/>
        <v>=9.008*100000000</v>
      </c>
      <c r="F1131" s="1">
        <f>9.008*100000000</f>
        <v>900799999.99999988</v>
      </c>
      <c r="G1131" s="8">
        <f t="shared" si="543"/>
        <v>0.50033311125916036</v>
      </c>
      <c r="H1131" s="6" t="s">
        <v>11689</v>
      </c>
      <c r="I1131" s="6" t="str">
        <f t="shared" si="527"/>
        <v>=6.004*100000000</v>
      </c>
      <c r="J1131" s="1">
        <f>6.004*100000000</f>
        <v>600400000</v>
      </c>
      <c r="K1131" s="10">
        <f t="shared" si="544"/>
        <v>0.83160463697376452</v>
      </c>
      <c r="L1131" s="6" t="s">
        <v>4096</v>
      </c>
      <c r="M1131" s="6" t="str">
        <f t="shared" si="528"/>
        <v>=3.278*100000000</v>
      </c>
      <c r="N1131" s="1">
        <f>3.278*100000000</f>
        <v>327800000</v>
      </c>
      <c r="O1131" s="8">
        <f t="shared" si="545"/>
        <v>1.2148648648648648</v>
      </c>
      <c r="P1131" s="6" t="s">
        <v>1701</v>
      </c>
      <c r="Q1131" s="6" t="str">
        <f t="shared" si="529"/>
        <v>=1.480*100000000</v>
      </c>
      <c r="R1131" s="11">
        <f>1.48*100000000</f>
        <v>148000000</v>
      </c>
      <c r="S1131" s="8">
        <f t="shared" si="546"/>
        <v>-0.60215053763440862</v>
      </c>
      <c r="T1131" s="6" t="s">
        <v>7936</v>
      </c>
      <c r="U1131" s="6" t="str">
        <f t="shared" si="530"/>
        <v>=3.720*100000000</v>
      </c>
      <c r="V1131" s="1">
        <f>3.72*100000000</f>
        <v>372000000</v>
      </c>
      <c r="W1131" s="8">
        <f t="shared" si="547"/>
        <v>0.43851508120649652</v>
      </c>
      <c r="X1131" s="6" t="s">
        <v>1723</v>
      </c>
      <c r="Y1131" s="6" t="str">
        <f t="shared" si="531"/>
        <v>=2.586*100000000</v>
      </c>
      <c r="Z1131" s="1">
        <f>2.586*100000000</f>
        <v>258600000</v>
      </c>
      <c r="AA1131" s="8">
        <f t="shared" si="548"/>
        <v>0.79958246346555328</v>
      </c>
      <c r="AB1131" s="6" t="s">
        <v>7904</v>
      </c>
      <c r="AC1131" s="6" t="str">
        <f t="shared" si="532"/>
        <v>=1.437*100000000</v>
      </c>
      <c r="AD1131" s="1">
        <f>1.437*100000000</f>
        <v>143700000</v>
      </c>
      <c r="AE1131" s="8">
        <f t="shared" si="549"/>
        <v>1.2676345273788858</v>
      </c>
      <c r="AF1131" s="7" t="s">
        <v>10422</v>
      </c>
      <c r="AG1131" s="6" t="str">
        <f t="shared" si="533"/>
        <v>=6337*10000</v>
      </c>
      <c r="AH1131" s="1">
        <f>6337*10000</f>
        <v>63370000</v>
      </c>
      <c r="AI1131" s="8">
        <f t="shared" si="550"/>
        <v>-0.69057617187499998</v>
      </c>
      <c r="AJ1131" s="6" t="s">
        <v>1034</v>
      </c>
      <c r="AK1131" s="6" t="str">
        <f t="shared" si="534"/>
        <v>=2.048*100000000</v>
      </c>
      <c r="AL1131" s="1">
        <f>2.048*100000000</f>
        <v>204800000</v>
      </c>
      <c r="AM1131" s="8">
        <f t="shared" si="551"/>
        <v>0.6</v>
      </c>
      <c r="AN1131" s="6" t="s">
        <v>11690</v>
      </c>
      <c r="AO1131" s="6" t="str">
        <f t="shared" si="535"/>
        <v>=1.280*100000000</v>
      </c>
      <c r="AP1131" s="1">
        <f>1.28*100000000</f>
        <v>128000000</v>
      </c>
      <c r="AQ1131" s="8">
        <f t="shared" si="552"/>
        <v>0.48543576650806547</v>
      </c>
      <c r="AR1131" s="7" t="s">
        <v>11691</v>
      </c>
      <c r="AS1131" s="6" t="str">
        <f t="shared" si="536"/>
        <v>=8617*10000</v>
      </c>
      <c r="AT1131" s="1">
        <f>8617*10000</f>
        <v>86170000</v>
      </c>
      <c r="AU1131" s="8">
        <f t="shared" si="553"/>
        <v>0.9157403290351267</v>
      </c>
      <c r="AV1131" s="7" t="s">
        <v>11692</v>
      </c>
      <c r="AW1131" s="6" t="str">
        <f t="shared" si="537"/>
        <v>=4498*10000</v>
      </c>
      <c r="AX1131" s="1">
        <f>4498*10000</f>
        <v>44980000</v>
      </c>
      <c r="AY1131" s="10">
        <f t="shared" si="554"/>
        <v>-0.76968766001024069</v>
      </c>
      <c r="AZ1131" s="6" t="s">
        <v>11693</v>
      </c>
      <c r="BA1131" s="6" t="str">
        <f t="shared" si="538"/>
        <v>=1.953*100000000</v>
      </c>
      <c r="BB1131" s="1">
        <f>1.953*100000000</f>
        <v>195300000</v>
      </c>
      <c r="BC1131" s="8">
        <f t="shared" si="555"/>
        <v>0.26081342801807617</v>
      </c>
      <c r="BD1131" s="6" t="s">
        <v>1448</v>
      </c>
      <c r="BE1131" s="6" t="str">
        <f t="shared" si="539"/>
        <v>=1.549*100000000</v>
      </c>
      <c r="BF1131" s="1">
        <f>1.549*100000000</f>
        <v>154900000</v>
      </c>
      <c r="BG1131" s="8">
        <f t="shared" si="556"/>
        <v>0.4395910780669145</v>
      </c>
      <c r="BH1131" s="6" t="s">
        <v>8529</v>
      </c>
      <c r="BI1131" s="6" t="str">
        <f t="shared" si="540"/>
        <v>=1.076*100000000</v>
      </c>
      <c r="BJ1131" s="1">
        <f>1.076*100000000</f>
        <v>107600000</v>
      </c>
      <c r="BK1131" s="7" t="s">
        <v>11694</v>
      </c>
      <c r="BL1131" s="1" t="str">
        <f t="shared" si="542"/>
        <v>=4776*10000</v>
      </c>
      <c r="BM1131" s="16">
        <f t="shared" si="557"/>
        <v>1.2529313232830821</v>
      </c>
      <c r="BN1131" s="1">
        <f>4776*10000</f>
        <v>47760000</v>
      </c>
    </row>
    <row r="1132" spans="1:66">
      <c r="A1132" s="18"/>
      <c r="B1132">
        <v>600888</v>
      </c>
      <c r="C1132" t="s">
        <v>58</v>
      </c>
      <c r="D1132" s="6" t="s">
        <v>11695</v>
      </c>
      <c r="E1132" s="7" t="str">
        <f t="shared" si="541"/>
        <v>=8.674*100000000</v>
      </c>
      <c r="F1132" s="1">
        <f>8.674*100000000</f>
        <v>867400000</v>
      </c>
      <c r="G1132" s="8">
        <f t="shared" si="543"/>
        <v>0.45074427161732733</v>
      </c>
      <c r="H1132" s="6" t="s">
        <v>11696</v>
      </c>
      <c r="I1132" s="6" t="str">
        <f t="shared" si="527"/>
        <v>=5.979*100000000</v>
      </c>
      <c r="J1132" s="1">
        <f>5.979*100000000</f>
        <v>597900000</v>
      </c>
      <c r="K1132" s="10">
        <f t="shared" si="544"/>
        <v>0.82620647525962121</v>
      </c>
      <c r="L1132" s="6" t="s">
        <v>11697</v>
      </c>
      <c r="M1132" s="6" t="str">
        <f t="shared" si="528"/>
        <v>=3.274*100000000</v>
      </c>
      <c r="N1132" s="1">
        <f>3.274*100000000</f>
        <v>327400000</v>
      </c>
      <c r="O1132" s="8">
        <f t="shared" si="545"/>
        <v>1.2226748133061778</v>
      </c>
      <c r="P1132" s="6" t="s">
        <v>11698</v>
      </c>
      <c r="Q1132" s="6" t="str">
        <f t="shared" si="529"/>
        <v>=1.473*100000000</v>
      </c>
      <c r="R1132" s="11">
        <f>1.473*100000000</f>
        <v>147300000</v>
      </c>
      <c r="S1132" s="8">
        <f t="shared" si="546"/>
        <v>-0.59003618146395764</v>
      </c>
      <c r="T1132" s="6" t="s">
        <v>10403</v>
      </c>
      <c r="U1132" s="6" t="str">
        <f t="shared" si="530"/>
        <v>=3.593*100000000</v>
      </c>
      <c r="V1132" s="1">
        <f>3.593*100000000</f>
        <v>359300000</v>
      </c>
      <c r="W1132" s="8">
        <f t="shared" si="547"/>
        <v>0.47374897456931891</v>
      </c>
      <c r="X1132" s="6" t="s">
        <v>11699</v>
      </c>
      <c r="Y1132" s="6" t="str">
        <f t="shared" si="531"/>
        <v>=2.438*100000000</v>
      </c>
      <c r="Z1132" s="1">
        <f>2.438*100000000</f>
        <v>243800000.00000003</v>
      </c>
      <c r="AA1132" s="8">
        <f t="shared" si="548"/>
        <v>0.80192165558019235</v>
      </c>
      <c r="AB1132" s="6" t="s">
        <v>2571</v>
      </c>
      <c r="AC1132" s="6" t="str">
        <f t="shared" si="532"/>
        <v>=1.353*100000000</v>
      </c>
      <c r="AD1132" s="1">
        <f>1.353*100000000</f>
        <v>135300000</v>
      </c>
      <c r="AE1132" s="8">
        <f t="shared" si="549"/>
        <v>1.0462794918330309</v>
      </c>
      <c r="AF1132" s="7" t="s">
        <v>11700</v>
      </c>
      <c r="AG1132" s="6" t="str">
        <f t="shared" si="533"/>
        <v>=6612*10000</v>
      </c>
      <c r="AH1132" s="1">
        <f>6612*10000</f>
        <v>66120000</v>
      </c>
      <c r="AI1132" s="8">
        <f t="shared" si="550"/>
        <v>-0.58125395820139325</v>
      </c>
      <c r="AJ1132" s="6" t="s">
        <v>1716</v>
      </c>
      <c r="AK1132" s="6" t="str">
        <f t="shared" si="534"/>
        <v>=1.579*100000000</v>
      </c>
      <c r="AL1132" s="1">
        <f>1.579*100000000</f>
        <v>157900000</v>
      </c>
      <c r="AM1132" s="8">
        <f t="shared" si="551"/>
        <v>0.20811017597551645</v>
      </c>
      <c r="AN1132" s="6" t="s">
        <v>4877</v>
      </c>
      <c r="AO1132" s="6" t="str">
        <f t="shared" si="535"/>
        <v>=1.307*100000000</v>
      </c>
      <c r="AP1132" s="1">
        <f>1.307*100000000</f>
        <v>130700000</v>
      </c>
      <c r="AQ1132" s="8">
        <f t="shared" si="552"/>
        <v>0.44803899844892531</v>
      </c>
      <c r="AR1132" s="7" t="s">
        <v>11701</v>
      </c>
      <c r="AS1132" s="6" t="str">
        <f t="shared" si="536"/>
        <v>=9026*10000</v>
      </c>
      <c r="AT1132" s="1">
        <f>9026*10000</f>
        <v>90260000</v>
      </c>
      <c r="AU1132" s="8">
        <f t="shared" si="553"/>
        <v>0.99557815609109002</v>
      </c>
      <c r="AV1132" s="7" t="s">
        <v>4448</v>
      </c>
      <c r="AW1132" s="6" t="str">
        <f t="shared" si="537"/>
        <v>=4523*10000</v>
      </c>
      <c r="AX1132" s="1">
        <f>4523*10000</f>
        <v>45230000</v>
      </c>
      <c r="AY1132" s="10">
        <f t="shared" si="554"/>
        <v>-0.76993896236012205</v>
      </c>
      <c r="AZ1132" s="6" t="s">
        <v>5144</v>
      </c>
      <c r="BA1132" s="6" t="str">
        <f t="shared" si="538"/>
        <v>=1.966*100000000</v>
      </c>
      <c r="BB1132" s="1">
        <f>1.966*100000000</f>
        <v>196600000</v>
      </c>
      <c r="BC1132" s="8">
        <f t="shared" si="555"/>
        <v>0.26106478511866582</v>
      </c>
      <c r="BD1132" s="6" t="s">
        <v>2870</v>
      </c>
      <c r="BE1132" s="6" t="str">
        <f t="shared" si="539"/>
        <v>=1.559*100000000</v>
      </c>
      <c r="BF1132" s="1">
        <f>1.559*100000000</f>
        <v>155900000</v>
      </c>
      <c r="BG1132" s="8">
        <f t="shared" si="556"/>
        <v>0.43686635944700458</v>
      </c>
      <c r="BH1132" s="6" t="s">
        <v>1995</v>
      </c>
      <c r="BI1132" s="6" t="str">
        <f t="shared" si="540"/>
        <v>=1.085*100000000</v>
      </c>
      <c r="BJ1132" s="1">
        <f>1.085*100000000</f>
        <v>108500000</v>
      </c>
      <c r="BK1132" s="7" t="s">
        <v>11702</v>
      </c>
      <c r="BL1132" s="1" t="str">
        <f t="shared" si="542"/>
        <v>=4802*10000</v>
      </c>
      <c r="BM1132" s="16">
        <f t="shared" si="557"/>
        <v>1.2594752186588922</v>
      </c>
      <c r="BN1132" s="1">
        <f>4802*10000</f>
        <v>48020000</v>
      </c>
    </row>
    <row r="1133" spans="1:66">
      <c r="A1133" s="19"/>
      <c r="B1133">
        <v>600888</v>
      </c>
      <c r="C1133" t="s">
        <v>68</v>
      </c>
      <c r="D1133" s="6" t="s">
        <v>11007</v>
      </c>
      <c r="E1133" s="7" t="str">
        <f t="shared" si="541"/>
        <v>=8.587*100000000</v>
      </c>
      <c r="F1133" s="1">
        <f>8.587*100000000</f>
        <v>858700000</v>
      </c>
      <c r="G1133" s="8">
        <f t="shared" si="543"/>
        <v>0.44489315160693255</v>
      </c>
      <c r="H1133" s="6" t="s">
        <v>8620</v>
      </c>
      <c r="I1133" s="6" t="str">
        <f t="shared" si="527"/>
        <v>=5.943*100000000</v>
      </c>
      <c r="J1133" s="1">
        <f>5.943*100000000</f>
        <v>594300000</v>
      </c>
      <c r="K1133" s="10">
        <f t="shared" si="544"/>
        <v>0.83199753390875464</v>
      </c>
      <c r="L1133" s="6" t="s">
        <v>7662</v>
      </c>
      <c r="M1133" s="6" t="str">
        <f t="shared" si="528"/>
        <v>=3.244*100000000</v>
      </c>
      <c r="N1133" s="1">
        <f>3.244*100000000</f>
        <v>324400000</v>
      </c>
      <c r="O1133" s="8">
        <f t="shared" si="545"/>
        <v>1.2310866574965613</v>
      </c>
      <c r="P1133" s="6" t="s">
        <v>11703</v>
      </c>
      <c r="Q1133" s="6" t="str">
        <f t="shared" si="529"/>
        <v>=1.454*100000000</v>
      </c>
      <c r="R1133" s="11">
        <f>1.454*100000000</f>
        <v>145400000</v>
      </c>
      <c r="S1133" s="8">
        <f t="shared" si="546"/>
        <v>-0.58610873896954174</v>
      </c>
      <c r="T1133" s="6" t="s">
        <v>11704</v>
      </c>
      <c r="U1133" s="6" t="str">
        <f t="shared" si="530"/>
        <v>=3.513*100000000</v>
      </c>
      <c r="V1133" s="1">
        <f>3.513*100000000</f>
        <v>351300000</v>
      </c>
      <c r="W1133" s="8">
        <f t="shared" si="547"/>
        <v>0.44985555096987206</v>
      </c>
      <c r="X1133" s="6" t="s">
        <v>7400</v>
      </c>
      <c r="Y1133" s="6" t="str">
        <f t="shared" si="531"/>
        <v>=2.423*100000000</v>
      </c>
      <c r="Z1133" s="1">
        <f>2.423*100000000</f>
        <v>242300000</v>
      </c>
      <c r="AA1133" s="8">
        <f t="shared" si="548"/>
        <v>0.78819188191881917</v>
      </c>
      <c r="AB1133" s="6" t="s">
        <v>6812</v>
      </c>
      <c r="AC1133" s="6" t="str">
        <f t="shared" si="532"/>
        <v>=1.355*100000000</v>
      </c>
      <c r="AD1133" s="1">
        <f>1.355*100000000</f>
        <v>135500000</v>
      </c>
      <c r="AE1133" s="8">
        <f t="shared" si="549"/>
        <v>1.1138845553822152</v>
      </c>
      <c r="AF1133" s="7" t="s">
        <v>4594</v>
      </c>
      <c r="AG1133" s="6" t="str">
        <f t="shared" si="533"/>
        <v>=6410*10000</v>
      </c>
      <c r="AH1133" s="1">
        <f>6410*10000</f>
        <v>64100000</v>
      </c>
      <c r="AI1133" s="8">
        <f t="shared" si="550"/>
        <v>-0.54859154929577469</v>
      </c>
      <c r="AJ1133" s="6" t="s">
        <v>3565</v>
      </c>
      <c r="AK1133" s="6" t="str">
        <f t="shared" si="534"/>
        <v>=1.420*100000000</v>
      </c>
      <c r="AL1133" s="1">
        <f>1.42*100000000</f>
        <v>142000000</v>
      </c>
      <c r="AM1133" s="8">
        <f t="shared" si="551"/>
        <v>9.4834232845026983E-2</v>
      </c>
      <c r="AN1133" s="6" t="s">
        <v>10284</v>
      </c>
      <c r="AO1133" s="6" t="str">
        <f t="shared" si="535"/>
        <v>=1.297*100000000</v>
      </c>
      <c r="AP1133" s="1">
        <f>1.297*100000000</f>
        <v>129700000</v>
      </c>
      <c r="AQ1133" s="8">
        <f t="shared" si="552"/>
        <v>0.42355394577982658</v>
      </c>
      <c r="AR1133" s="7" t="s">
        <v>11705</v>
      </c>
      <c r="AS1133" s="6" t="str">
        <f t="shared" si="536"/>
        <v>=9111*10000</v>
      </c>
      <c r="AT1133" s="1">
        <f>9111*10000</f>
        <v>91110000</v>
      </c>
      <c r="AU1133" s="8">
        <f t="shared" si="553"/>
        <v>1.0557310469314078</v>
      </c>
      <c r="AV1133" s="7" t="s">
        <v>1695</v>
      </c>
      <c r="AW1133" s="6" t="str">
        <f t="shared" si="537"/>
        <v>=4432*10000</v>
      </c>
      <c r="AX1133" s="1">
        <f>4432*10000</f>
        <v>44320000</v>
      </c>
      <c r="AY1133" s="10">
        <f t="shared" si="554"/>
        <v>-0.75991332611050921</v>
      </c>
      <c r="AZ1133" s="6" t="s">
        <v>1570</v>
      </c>
      <c r="BA1133" s="6" t="str">
        <f t="shared" si="538"/>
        <v>=1.846*100000000</v>
      </c>
      <c r="BB1133" s="1">
        <f>1.846*100000000</f>
        <v>184600000</v>
      </c>
      <c r="BC1133" s="8">
        <f t="shared" si="555"/>
        <v>0.22657807308970099</v>
      </c>
      <c r="BD1133" s="6" t="s">
        <v>8283</v>
      </c>
      <c r="BE1133" s="6" t="str">
        <f t="shared" si="539"/>
        <v>=1.505*100000000</v>
      </c>
      <c r="BF1133" s="1">
        <f>1.505*100000000</f>
        <v>150500000</v>
      </c>
      <c r="BG1133" s="8">
        <f t="shared" si="556"/>
        <v>0.46543330087633905</v>
      </c>
      <c r="BH1133" s="6" t="s">
        <v>3884</v>
      </c>
      <c r="BI1133" s="6" t="str">
        <f t="shared" si="540"/>
        <v>=1.027*100000000</v>
      </c>
      <c r="BJ1133" s="1">
        <f>1.027*100000000</f>
        <v>102699999.99999999</v>
      </c>
      <c r="BK1133" s="7" t="s">
        <v>11706</v>
      </c>
      <c r="BL1133" s="1" t="str">
        <f t="shared" si="542"/>
        <v>=4555*10000</v>
      </c>
      <c r="BM1133" s="16">
        <f t="shared" si="557"/>
        <v>1.2546652030735452</v>
      </c>
      <c r="BN1133" s="1">
        <f>4555*10000</f>
        <v>45550000</v>
      </c>
    </row>
    <row r="1134" spans="1:66">
      <c r="A1134" s="17">
        <v>285</v>
      </c>
      <c r="B1134">
        <v>600889</v>
      </c>
      <c r="C1134" t="s">
        <v>31</v>
      </c>
      <c r="D1134" s="6" t="s">
        <v>11707</v>
      </c>
      <c r="E1134" s="7" t="str">
        <f t="shared" si="541"/>
        <v>=4.696*100000000</v>
      </c>
      <c r="F1134" s="1">
        <f>4.696*100000000</f>
        <v>469600000</v>
      </c>
      <c r="G1134" s="8">
        <f t="shared" si="543"/>
        <v>0.3398002853067047</v>
      </c>
      <c r="H1134" s="6" t="s">
        <v>11708</v>
      </c>
      <c r="I1134" s="6" t="str">
        <f t="shared" si="527"/>
        <v>=3.505*100000000</v>
      </c>
      <c r="J1134" s="1">
        <f>3.505*100000000</f>
        <v>350500000</v>
      </c>
      <c r="K1134" s="10">
        <f t="shared" si="544"/>
        <v>0.3622230858919549</v>
      </c>
      <c r="L1134" s="6" t="s">
        <v>10413</v>
      </c>
      <c r="M1134" s="6" t="str">
        <f t="shared" si="528"/>
        <v>=2.573*100000000</v>
      </c>
      <c r="N1134" s="1">
        <f>2.573*100000000</f>
        <v>257300000</v>
      </c>
      <c r="O1134" s="8">
        <f t="shared" si="545"/>
        <v>0.85374639769452454</v>
      </c>
      <c r="P1134" s="6" t="s">
        <v>4650</v>
      </c>
      <c r="Q1134" s="6" t="str">
        <f t="shared" si="529"/>
        <v>=1.388*100000000</v>
      </c>
      <c r="R1134" s="11">
        <f>1.388*100000000</f>
        <v>138800000</v>
      </c>
      <c r="S1134" s="8">
        <f t="shared" si="546"/>
        <v>-0.62076502732240435</v>
      </c>
      <c r="T1134" s="6" t="s">
        <v>11709</v>
      </c>
      <c r="U1134" s="6" t="str">
        <f t="shared" si="530"/>
        <v>=3.660*100000000</v>
      </c>
      <c r="V1134" s="1">
        <f>3.66*100000000</f>
        <v>366000000</v>
      </c>
      <c r="W1134" s="8">
        <f t="shared" si="547"/>
        <v>0.4926590538336052</v>
      </c>
      <c r="X1134" s="6" t="s">
        <v>194</v>
      </c>
      <c r="Y1134" s="6" t="str">
        <f t="shared" si="531"/>
        <v>=2.452*100000000</v>
      </c>
      <c r="Z1134" s="1">
        <f>2.452*100000000</f>
        <v>245200000</v>
      </c>
      <c r="AA1134" s="8">
        <f t="shared" si="548"/>
        <v>0.79502196193265007</v>
      </c>
      <c r="AB1134" s="6" t="s">
        <v>8280</v>
      </c>
      <c r="AC1134" s="6" t="str">
        <f t="shared" si="532"/>
        <v>=1.366*100000000</v>
      </c>
      <c r="AD1134" s="1">
        <f>1.366*100000000</f>
        <v>136600000</v>
      </c>
      <c r="AE1134" s="8">
        <f t="shared" si="549"/>
        <v>1.1477987421383649</v>
      </c>
      <c r="AF1134" s="7" t="s">
        <v>3885</v>
      </c>
      <c r="AG1134" s="6" t="str">
        <f t="shared" si="533"/>
        <v>=6360*10000</v>
      </c>
      <c r="AH1134" s="1">
        <f>6360*10000</f>
        <v>63600000</v>
      </c>
      <c r="AI1134" s="8">
        <f t="shared" si="550"/>
        <v>-0.90329937661547821</v>
      </c>
      <c r="AJ1134" s="6" t="s">
        <v>9200</v>
      </c>
      <c r="AK1134" s="6" t="str">
        <f t="shared" si="534"/>
        <v>=6.577*100000000</v>
      </c>
      <c r="AL1134" s="1">
        <f>6.577*100000000</f>
        <v>657700000</v>
      </c>
      <c r="AM1134" s="8">
        <f t="shared" si="551"/>
        <v>0.28632896538235852</v>
      </c>
      <c r="AN1134" s="6" t="s">
        <v>5716</v>
      </c>
      <c r="AO1134" s="6" t="str">
        <f t="shared" si="535"/>
        <v>=5.113*100000000</v>
      </c>
      <c r="AP1134" s="1">
        <f>5.113*100000000</f>
        <v>511300000.00000006</v>
      </c>
      <c r="AQ1134" s="8">
        <f t="shared" si="552"/>
        <v>0.26278093356384291</v>
      </c>
      <c r="AR1134" s="6" t="s">
        <v>11710</v>
      </c>
      <c r="AS1134" s="6" t="str">
        <f t="shared" si="536"/>
        <v>=4.049*100000000</v>
      </c>
      <c r="AT1134" s="1">
        <f>4.049*100000000</f>
        <v>404900000.00000006</v>
      </c>
      <c r="AU1134" s="8">
        <f t="shared" si="553"/>
        <v>0.8788863109048729</v>
      </c>
      <c r="AV1134" s="6" t="s">
        <v>2155</v>
      </c>
      <c r="AW1134" s="6" t="str">
        <f t="shared" si="537"/>
        <v>=2.155*100000000</v>
      </c>
      <c r="AX1134" s="1">
        <f>2.155*100000000</f>
        <v>215499999.99999997</v>
      </c>
      <c r="AY1134" s="10">
        <f t="shared" si="554"/>
        <v>-0.78243311458859155</v>
      </c>
      <c r="AZ1134" s="6" t="s">
        <v>6855</v>
      </c>
      <c r="BA1134" s="6" t="str">
        <f t="shared" si="538"/>
        <v>=9.905*100000000</v>
      </c>
      <c r="BB1134" s="1">
        <f>9.905*100000000</f>
        <v>990499999.99999988</v>
      </c>
      <c r="BC1134" s="8">
        <f t="shared" si="555"/>
        <v>0.35684931506849299</v>
      </c>
      <c r="BD1134" s="6" t="s">
        <v>11711</v>
      </c>
      <c r="BE1134" s="6" t="str">
        <f t="shared" si="539"/>
        <v>=7.300*100000000</v>
      </c>
      <c r="BF1134" s="1">
        <f>7.3*100000000</f>
        <v>730000000</v>
      </c>
      <c r="BG1134" s="8">
        <f t="shared" si="556"/>
        <v>0.32054992764109985</v>
      </c>
      <c r="BH1134" s="6" t="s">
        <v>11712</v>
      </c>
      <c r="BI1134" s="6" t="str">
        <f t="shared" si="540"/>
        <v>=5.528*100000000</v>
      </c>
      <c r="BJ1134" s="1">
        <f>5.528*100000000</f>
        <v>552800000</v>
      </c>
      <c r="BK1134" s="6" t="s">
        <v>8267</v>
      </c>
      <c r="BL1134" s="1" t="str">
        <f t="shared" si="542"/>
        <v>=3.181*100000000</v>
      </c>
      <c r="BM1134" s="16">
        <f t="shared" si="557"/>
        <v>0.73781829613329142</v>
      </c>
      <c r="BN1134" s="1">
        <f>3.181*100000000</f>
        <v>318100000</v>
      </c>
    </row>
    <row r="1135" spans="1:66">
      <c r="A1135" s="18"/>
      <c r="B1135">
        <v>600889</v>
      </c>
      <c r="C1135" t="s">
        <v>48</v>
      </c>
      <c r="D1135" s="6">
        <f>-2.096*100000000</f>
        <v>-209600000</v>
      </c>
      <c r="E1135" s="7" t="str">
        <f t="shared" si="541"/>
        <v>=-209600000</v>
      </c>
      <c r="F1135" s="1">
        <f>-209600000</f>
        <v>-209600000</v>
      </c>
      <c r="G1135" s="8">
        <f t="shared" si="543"/>
        <v>-3.8982300884955752</v>
      </c>
      <c r="H1135" s="7" t="s">
        <v>11713</v>
      </c>
      <c r="I1135" s="6" t="str">
        <f t="shared" si="527"/>
        <v>=7232*10000</v>
      </c>
      <c r="J1135" s="1">
        <f>7232*10000</f>
        <v>72320000</v>
      </c>
      <c r="K1135" s="10">
        <f t="shared" si="544"/>
        <v>-0.33098982423681778</v>
      </c>
      <c r="L1135" s="6" t="s">
        <v>8532</v>
      </c>
      <c r="M1135" s="6" t="str">
        <f t="shared" si="528"/>
        <v>=1.081*100000000</v>
      </c>
      <c r="N1135" s="1">
        <f>1.081*100000000</f>
        <v>108100000</v>
      </c>
      <c r="O1135" s="8">
        <f t="shared" si="545"/>
        <v>-6.8103448275861955E-2</v>
      </c>
      <c r="P1135" s="6" t="s">
        <v>2010</v>
      </c>
      <c r="Q1135" s="6" t="str">
        <f t="shared" si="529"/>
        <v>=1.160*100000000</v>
      </c>
      <c r="R1135" s="11">
        <f>1.16*100000000</f>
        <v>115999999.99999999</v>
      </c>
      <c r="S1135" s="8">
        <f t="shared" si="546"/>
        <v>0.68751818446319446</v>
      </c>
      <c r="T1135" s="7" t="s">
        <v>8338</v>
      </c>
      <c r="U1135" s="6" t="str">
        <f t="shared" si="530"/>
        <v>=6874*10000</v>
      </c>
      <c r="V1135" s="1">
        <f>6874*10000</f>
        <v>68740000</v>
      </c>
      <c r="W1135" s="8">
        <f t="shared" si="547"/>
        <v>-4.3696078431372545</v>
      </c>
      <c r="X1135" s="7">
        <f>-2040*10000</f>
        <v>-20400000</v>
      </c>
      <c r="Y1135" s="6" t="str">
        <f t="shared" si="531"/>
        <v>=-20400000</v>
      </c>
      <c r="Z1135" s="1">
        <f>-20400000</f>
        <v>-20400000</v>
      </c>
      <c r="AA1135" s="8">
        <f t="shared" si="548"/>
        <v>-0.48717948717948717</v>
      </c>
      <c r="AB1135" s="7">
        <f>-3978*10000</f>
        <v>-39780000</v>
      </c>
      <c r="AC1135" s="6" t="str">
        <f t="shared" si="532"/>
        <v>=-39780000</v>
      </c>
      <c r="AD1135" s="1">
        <f>-39780000</f>
        <v>-39780000</v>
      </c>
      <c r="AE1135" s="8">
        <f t="shared" si="549"/>
        <v>0.13107762297412567</v>
      </c>
      <c r="AF1135" s="7">
        <f>-3517*10000</f>
        <v>-35170000</v>
      </c>
      <c r="AG1135" s="6" t="str">
        <f t="shared" si="533"/>
        <v>=-35170000</v>
      </c>
      <c r="AH1135" s="1">
        <f>-35170000</f>
        <v>-35170000</v>
      </c>
      <c r="AI1135" s="8">
        <f t="shared" si="550"/>
        <v>-0.78423312883435581</v>
      </c>
      <c r="AJ1135" s="6">
        <f>-1.63*100000000</f>
        <v>-163000000</v>
      </c>
      <c r="AK1135" s="6" t="str">
        <f t="shared" si="534"/>
        <v>=-163000000</v>
      </c>
      <c r="AL1135" s="1">
        <f>-163000000</f>
        <v>-163000000</v>
      </c>
      <c r="AM1135" s="8">
        <f t="shared" si="551"/>
        <v>1.6844532279314888</v>
      </c>
      <c r="AN1135" s="7">
        <f>-6072*10000</f>
        <v>-60720000</v>
      </c>
      <c r="AO1135" s="6" t="str">
        <f t="shared" si="535"/>
        <v>=-60720000</v>
      </c>
      <c r="AP1135" s="1">
        <f>-60720000</f>
        <v>-60720000</v>
      </c>
      <c r="AQ1135" s="8">
        <f t="shared" si="552"/>
        <v>1.9361702127659575</v>
      </c>
      <c r="AR1135" s="7">
        <f>-2068*10000</f>
        <v>-20680000</v>
      </c>
      <c r="AS1135" s="6" t="str">
        <f t="shared" si="536"/>
        <v>=-20680000</v>
      </c>
      <c r="AT1135" s="1">
        <f>-20680000</f>
        <v>-20680000</v>
      </c>
      <c r="AU1135" s="8">
        <f t="shared" si="553"/>
        <v>18.059907834101381</v>
      </c>
      <c r="AV1135" s="7">
        <f>-108.5*10000</f>
        <v>-1085000</v>
      </c>
      <c r="AW1135" s="6" t="str">
        <f t="shared" si="537"/>
        <v>=-1085000</v>
      </c>
      <c r="AX1135" s="1">
        <f>-1085000</f>
        <v>-1085000</v>
      </c>
      <c r="AY1135" s="10">
        <f t="shared" si="554"/>
        <v>-0.94561403508771935</v>
      </c>
      <c r="AZ1135" s="7">
        <f>-1995*10000</f>
        <v>-19950000</v>
      </c>
      <c r="BA1135" s="6" t="str">
        <f t="shared" si="538"/>
        <v>=-19950000</v>
      </c>
      <c r="BB1135" s="1">
        <f>-19950000</f>
        <v>-19950000</v>
      </c>
      <c r="BC1135" s="8">
        <f t="shared" si="555"/>
        <v>-0.75649945075064084</v>
      </c>
      <c r="BD1135" s="7">
        <f>-8193*10000</f>
        <v>-81930000</v>
      </c>
      <c r="BE1135" s="6" t="str">
        <f t="shared" si="539"/>
        <v>=-81930000</v>
      </c>
      <c r="BF1135" s="1">
        <f>-81930000</f>
        <v>-81930000</v>
      </c>
      <c r="BG1135" s="8">
        <f t="shared" si="556"/>
        <v>0.46068817971117848</v>
      </c>
      <c r="BH1135" s="7">
        <f>-5609*10000</f>
        <v>-56090000</v>
      </c>
      <c r="BI1135" s="6" t="str">
        <f t="shared" si="540"/>
        <v>=-56090000</v>
      </c>
      <c r="BJ1135" s="1">
        <f>-56090000</f>
        <v>-56090000</v>
      </c>
      <c r="BK1135" s="7">
        <f>-1926*10000</f>
        <v>-19260000</v>
      </c>
      <c r="BL1135" s="1" t="str">
        <f t="shared" si="542"/>
        <v>=-19260000</v>
      </c>
      <c r="BM1135" s="16">
        <f t="shared" si="557"/>
        <v>1.9122533748701973</v>
      </c>
      <c r="BN1135" s="1">
        <f>-19260000</f>
        <v>-19260000</v>
      </c>
    </row>
    <row r="1136" spans="1:66">
      <c r="A1136" s="18"/>
      <c r="B1136">
        <v>600889</v>
      </c>
      <c r="C1136" t="s">
        <v>58</v>
      </c>
      <c r="D1136" s="6">
        <f>-1.4*100000000</f>
        <v>-140000000</v>
      </c>
      <c r="E1136" s="7" t="str">
        <f t="shared" si="541"/>
        <v>=-140000000</v>
      </c>
      <c r="F1136" s="1">
        <f>-140000000</f>
        <v>-140000000</v>
      </c>
      <c r="G1136" s="8">
        <f t="shared" si="543"/>
        <v>-1.9735744089012517</v>
      </c>
      <c r="H1136" s="6" t="s">
        <v>8396</v>
      </c>
      <c r="I1136" s="6" t="str">
        <f t="shared" si="527"/>
        <v>=1.438*100000000</v>
      </c>
      <c r="J1136" s="1">
        <f>1.438*100000000</f>
        <v>143800000</v>
      </c>
      <c r="K1136" s="10">
        <f t="shared" si="544"/>
        <v>0.28622540250447209</v>
      </c>
      <c r="L1136" s="6" t="s">
        <v>11714</v>
      </c>
      <c r="M1136" s="6" t="str">
        <f t="shared" si="528"/>
        <v>=1.118*100000000</v>
      </c>
      <c r="N1136" s="1">
        <f>1.118*100000000</f>
        <v>111800000.00000001</v>
      </c>
      <c r="O1136" s="8">
        <f t="shared" si="545"/>
        <v>-4.2808219178082065E-2</v>
      </c>
      <c r="P1136" s="6" t="s">
        <v>11715</v>
      </c>
      <c r="Q1136" s="6" t="str">
        <f t="shared" si="529"/>
        <v>=1.168*100000000</v>
      </c>
      <c r="R1136" s="11">
        <f>1.168*100000000</f>
        <v>116800000</v>
      </c>
      <c r="S1136" s="8">
        <f t="shared" si="546"/>
        <v>0.53260726938721947</v>
      </c>
      <c r="T1136" s="7" t="s">
        <v>11716</v>
      </c>
      <c r="U1136" s="6" t="str">
        <f t="shared" si="530"/>
        <v>=7621*10000</v>
      </c>
      <c r="V1136" s="1">
        <f>7621*10000</f>
        <v>76210000</v>
      </c>
      <c r="W1136" s="8">
        <f t="shared" si="547"/>
        <v>-4.8162243365047575</v>
      </c>
      <c r="X1136" s="7">
        <f>-1997*10000</f>
        <v>-19970000</v>
      </c>
      <c r="Y1136" s="6" t="str">
        <f t="shared" si="531"/>
        <v>=-19970000</v>
      </c>
      <c r="Z1136" s="1">
        <f>-19970000</f>
        <v>-19970000</v>
      </c>
      <c r="AA1136" s="8">
        <f t="shared" si="548"/>
        <v>-0.49250317662007626</v>
      </c>
      <c r="AB1136" s="7">
        <f>-3935*10000</f>
        <v>-39350000</v>
      </c>
      <c r="AC1136" s="6" t="str">
        <f t="shared" si="532"/>
        <v>=-39350000</v>
      </c>
      <c r="AD1136" s="1">
        <f>-39350000</f>
        <v>-39350000</v>
      </c>
      <c r="AE1136" s="8">
        <f t="shared" si="549"/>
        <v>0.12492853058890795</v>
      </c>
      <c r="AF1136" s="7">
        <f>-3498*10000</f>
        <v>-34980000</v>
      </c>
      <c r="AG1136" s="6" t="str">
        <f t="shared" si="533"/>
        <v>=-34980000</v>
      </c>
      <c r="AH1136" s="1">
        <f>-34980000</f>
        <v>-34980000</v>
      </c>
      <c r="AI1136" s="8">
        <f t="shared" si="550"/>
        <v>-0.77677089980855141</v>
      </c>
      <c r="AJ1136" s="6">
        <f>-1.567*100000000</f>
        <v>-156700000</v>
      </c>
      <c r="AK1136" s="6" t="str">
        <f t="shared" si="534"/>
        <v>=-156700000</v>
      </c>
      <c r="AL1136" s="1">
        <f>-156700000</f>
        <v>-156700000</v>
      </c>
      <c r="AM1136" s="8">
        <f t="shared" si="551"/>
        <v>2.5637934955651582</v>
      </c>
      <c r="AN1136" s="7">
        <f>-4397*10000</f>
        <v>-43970000</v>
      </c>
      <c r="AO1136" s="6" t="str">
        <f t="shared" si="535"/>
        <v>=-43970000</v>
      </c>
      <c r="AP1136" s="1">
        <f>-43970000</f>
        <v>-43970000</v>
      </c>
      <c r="AQ1136" s="8">
        <f t="shared" si="552"/>
        <v>1.4387132556849695</v>
      </c>
      <c r="AR1136" s="7">
        <f>-1803*10000</f>
        <v>-18030000</v>
      </c>
      <c r="AS1136" s="6" t="str">
        <f t="shared" si="536"/>
        <v>=-18030000</v>
      </c>
      <c r="AT1136" s="1">
        <f>-18030000</f>
        <v>-18030000</v>
      </c>
      <c r="AU1136" s="8">
        <f t="shared" si="553"/>
        <v>-22.256779061542094</v>
      </c>
      <c r="AV1136" s="7" t="s">
        <v>11717</v>
      </c>
      <c r="AW1136" s="6" t="str">
        <f t="shared" si="537"/>
        <v>=84.82*10000</v>
      </c>
      <c r="AX1136" s="1">
        <f>84.82*10000</f>
        <v>848199.99999999988</v>
      </c>
      <c r="AY1136" s="10">
        <f t="shared" si="554"/>
        <v>-0.9753215013092813</v>
      </c>
      <c r="AZ1136" s="7" t="s">
        <v>10850</v>
      </c>
      <c r="BA1136" s="6" t="str">
        <f t="shared" si="538"/>
        <v>=3437*10000</v>
      </c>
      <c r="BB1136" s="1">
        <f>3437*10000</f>
        <v>34370000</v>
      </c>
      <c r="BC1136" s="8">
        <f t="shared" si="555"/>
        <v>-1.4220284872298625</v>
      </c>
      <c r="BD1136" s="7">
        <f>-8144*10000</f>
        <v>-81440000</v>
      </c>
      <c r="BE1136" s="6" t="str">
        <f t="shared" si="539"/>
        <v>=-81440000</v>
      </c>
      <c r="BF1136" s="1">
        <f>-81440000</f>
        <v>-81440000</v>
      </c>
      <c r="BG1136" s="8">
        <f t="shared" si="556"/>
        <v>0.46395829588351611</v>
      </c>
      <c r="BH1136" s="7">
        <f>-5563*10000</f>
        <v>-55630000</v>
      </c>
      <c r="BI1136" s="6" t="str">
        <f t="shared" si="540"/>
        <v>=-55630000</v>
      </c>
      <c r="BJ1136" s="1">
        <f>-55630000</f>
        <v>-55630000</v>
      </c>
      <c r="BK1136" s="7">
        <f>-1920*10000</f>
        <v>-19200000</v>
      </c>
      <c r="BL1136" s="1" t="str">
        <f t="shared" si="542"/>
        <v>=-19200000</v>
      </c>
      <c r="BM1136" s="16">
        <f t="shared" si="557"/>
        <v>1.8973958333333334</v>
      </c>
      <c r="BN1136" s="1">
        <f>-19200000</f>
        <v>-19200000</v>
      </c>
    </row>
    <row r="1137" spans="1:66">
      <c r="A1137" s="19"/>
      <c r="B1137">
        <v>600889</v>
      </c>
      <c r="C1137" t="s">
        <v>68</v>
      </c>
      <c r="D1137" s="6">
        <f>-1.912*100000000</f>
        <v>-191200000</v>
      </c>
      <c r="E1137" s="7" t="str">
        <f t="shared" si="541"/>
        <v>=-191200000</v>
      </c>
      <c r="F1137" s="1">
        <f>-191200000</f>
        <v>-191200000</v>
      </c>
      <c r="G1137" s="8">
        <f t="shared" si="543"/>
        <v>-2.536977491961415</v>
      </c>
      <c r="H1137" s="6" t="s">
        <v>9639</v>
      </c>
      <c r="I1137" s="6" t="str">
        <f t="shared" si="527"/>
        <v>=1.244*100000000</v>
      </c>
      <c r="J1137" s="1">
        <f>1.244*100000000</f>
        <v>124400000</v>
      </c>
      <c r="K1137" s="10">
        <f t="shared" si="544"/>
        <v>0.13296903460837872</v>
      </c>
      <c r="L1137" s="6" t="s">
        <v>4295</v>
      </c>
      <c r="M1137" s="6" t="str">
        <f t="shared" si="528"/>
        <v>=1.098*100000000</v>
      </c>
      <c r="N1137" s="1">
        <f>1.098*100000000</f>
        <v>109800000.00000001</v>
      </c>
      <c r="O1137" s="8">
        <f t="shared" si="545"/>
        <v>-5.2631578947368293E-2</v>
      </c>
      <c r="P1137" s="6" t="s">
        <v>11203</v>
      </c>
      <c r="Q1137" s="6" t="str">
        <f t="shared" si="529"/>
        <v>=1.159*100000000</v>
      </c>
      <c r="R1137" s="11">
        <f>1.159*100000000</f>
        <v>115900000</v>
      </c>
      <c r="S1137" s="8">
        <f t="shared" si="546"/>
        <v>8.1331757289204099</v>
      </c>
      <c r="T1137" s="7" t="s">
        <v>11718</v>
      </c>
      <c r="U1137" s="6" t="str">
        <f t="shared" si="530"/>
        <v>=1269*10000</v>
      </c>
      <c r="V1137" s="1">
        <f>1269*10000</f>
        <v>12690000</v>
      </c>
      <c r="W1137" s="8">
        <f t="shared" si="547"/>
        <v>-1.55078125</v>
      </c>
      <c r="X1137" s="7">
        <f>-2304*10000</f>
        <v>-23040000</v>
      </c>
      <c r="Y1137" s="6" t="str">
        <f t="shared" si="531"/>
        <v>=-23040000</v>
      </c>
      <c r="Z1137" s="1">
        <f>-23040000</f>
        <v>-23040000</v>
      </c>
      <c r="AA1137" s="8">
        <f t="shared" si="548"/>
        <v>-0.44575414962713494</v>
      </c>
      <c r="AB1137" s="7">
        <f>-4157*10000</f>
        <v>-41570000</v>
      </c>
      <c r="AC1137" s="6" t="str">
        <f t="shared" si="532"/>
        <v>=-41570000</v>
      </c>
      <c r="AD1137" s="1">
        <f>-41570000</f>
        <v>-41570000</v>
      </c>
      <c r="AE1137" s="8">
        <f t="shared" si="549"/>
        <v>0.148025407346037</v>
      </c>
      <c r="AF1137" s="7">
        <f>-3621*10000</f>
        <v>-36210000</v>
      </c>
      <c r="AG1137" s="6" t="str">
        <f t="shared" si="533"/>
        <v>=-36210000</v>
      </c>
      <c r="AH1137" s="1">
        <f>-36210000</f>
        <v>-36210000</v>
      </c>
      <c r="AI1137" s="8">
        <f t="shared" si="550"/>
        <v>-0.72252873563218389</v>
      </c>
      <c r="AJ1137" s="6">
        <f>-1.305*100000000</f>
        <v>-130500000</v>
      </c>
      <c r="AK1137" s="6" t="str">
        <f t="shared" si="534"/>
        <v>=-130500000</v>
      </c>
      <c r="AL1137" s="1">
        <f>-130500000</f>
        <v>-130500000</v>
      </c>
      <c r="AM1137" s="8">
        <f t="shared" si="551"/>
        <v>4.5579216354344121</v>
      </c>
      <c r="AN1137" s="7">
        <f>-2348*10000</f>
        <v>-23480000</v>
      </c>
      <c r="AO1137" s="6" t="str">
        <f t="shared" si="535"/>
        <v>=-23480000</v>
      </c>
      <c r="AP1137" s="1">
        <f>-23480000</f>
        <v>-23480000</v>
      </c>
      <c r="AQ1137" s="8">
        <f t="shared" si="552"/>
        <v>2.3542857142857141</v>
      </c>
      <c r="AR1137" s="7">
        <f>-700*10000</f>
        <v>-7000000</v>
      </c>
      <c r="AS1137" s="6" t="str">
        <f t="shared" si="536"/>
        <v>=-7000000</v>
      </c>
      <c r="AT1137" s="1">
        <f>-7000000</f>
        <v>-7000000</v>
      </c>
      <c r="AU1137" s="8">
        <f t="shared" si="553"/>
        <v>-5.9019607843137258</v>
      </c>
      <c r="AV1137" s="7" t="s">
        <v>11719</v>
      </c>
      <c r="AW1137" s="6" t="str">
        <f t="shared" si="537"/>
        <v>=142.8*10000</v>
      </c>
      <c r="AX1137" s="1">
        <f>142.8*10000</f>
        <v>1428000</v>
      </c>
      <c r="AY1137" s="10">
        <f t="shared" si="554"/>
        <v>-0.78228388473852717</v>
      </c>
      <c r="AZ1137" s="7" t="s">
        <v>11720</v>
      </c>
      <c r="BA1137" s="6" t="str">
        <f t="shared" si="538"/>
        <v>=655.9*10000</v>
      </c>
      <c r="BB1137" s="1">
        <f>655.9*10000</f>
        <v>6559000</v>
      </c>
      <c r="BC1137" s="8">
        <f t="shared" si="555"/>
        <v>-1.0780183180682765</v>
      </c>
      <c r="BD1137" s="7">
        <f>-8407*10000</f>
        <v>-84070000</v>
      </c>
      <c r="BE1137" s="6" t="str">
        <f t="shared" si="539"/>
        <v>=-84070000</v>
      </c>
      <c r="BF1137" s="1">
        <f>-84070000</f>
        <v>-84070000</v>
      </c>
      <c r="BG1137" s="8">
        <f t="shared" si="556"/>
        <v>0.49431212228937077</v>
      </c>
      <c r="BH1137" s="7">
        <f>-5626*10000</f>
        <v>-56260000</v>
      </c>
      <c r="BI1137" s="6" t="str">
        <f t="shared" si="540"/>
        <v>=-56260000</v>
      </c>
      <c r="BJ1137" s="1">
        <f>-56260000</f>
        <v>-56260000</v>
      </c>
      <c r="BK1137" s="7">
        <f>-1921*10000</f>
        <v>-19210000</v>
      </c>
      <c r="BL1137" s="1" t="str">
        <f t="shared" si="542"/>
        <v>=-19210000</v>
      </c>
      <c r="BM1137" s="16">
        <f t="shared" si="557"/>
        <v>1.9286829776158252</v>
      </c>
      <c r="BN1137" s="1">
        <f>-19210000</f>
        <v>-19210000</v>
      </c>
    </row>
    <row r="1138" spans="1:66">
      <c r="A1138" s="17">
        <v>286</v>
      </c>
      <c r="B1138">
        <v>600893</v>
      </c>
      <c r="C1138" t="s">
        <v>31</v>
      </c>
      <c r="D1138" s="6" t="s">
        <v>807</v>
      </c>
      <c r="E1138" s="7" t="str">
        <f t="shared" si="541"/>
        <v>=341.0*100000000</v>
      </c>
      <c r="F1138" s="1">
        <f>341*100000000</f>
        <v>34100000000</v>
      </c>
      <c r="G1138" s="8">
        <f t="shared" si="543"/>
        <v>0.85932388222464562</v>
      </c>
      <c r="H1138" s="6" t="s">
        <v>11721</v>
      </c>
      <c r="I1138" s="6" t="str">
        <f t="shared" si="527"/>
        <v>=183.4*100000000</v>
      </c>
      <c r="J1138" s="1">
        <f>183.4*100000000</f>
        <v>18340000000</v>
      </c>
      <c r="K1138" s="10">
        <f t="shared" si="544"/>
        <v>0.81944444444444442</v>
      </c>
      <c r="L1138" s="6" t="s">
        <v>3647</v>
      </c>
      <c r="M1138" s="6" t="str">
        <f t="shared" si="528"/>
        <v>=100.8*100000000</v>
      </c>
      <c r="N1138" s="1">
        <f>100.8*100000000</f>
        <v>10080000000</v>
      </c>
      <c r="O1138" s="8">
        <f t="shared" si="545"/>
        <v>1.6937466595403528</v>
      </c>
      <c r="P1138" s="6" t="s">
        <v>11722</v>
      </c>
      <c r="Q1138" s="6" t="str">
        <f t="shared" si="529"/>
        <v>=37.42*100000000</v>
      </c>
      <c r="R1138" s="11">
        <f>37.42*100000000</f>
        <v>3742000000</v>
      </c>
      <c r="S1138" s="8">
        <f t="shared" si="546"/>
        <v>-0.86929793922458964</v>
      </c>
      <c r="T1138" s="6" t="s">
        <v>11723</v>
      </c>
      <c r="U1138" s="6" t="str">
        <f t="shared" si="530"/>
        <v>=286.3*100000000</v>
      </c>
      <c r="V1138" s="1">
        <f>286.3*100000000</f>
        <v>28630000000</v>
      </c>
      <c r="W1138" s="8">
        <f t="shared" si="547"/>
        <v>0.85067873303167441</v>
      </c>
      <c r="X1138" s="6" t="s">
        <v>1082</v>
      </c>
      <c r="Y1138" s="6" t="str">
        <f t="shared" si="531"/>
        <v>=154.7*100000000</v>
      </c>
      <c r="Z1138" s="1">
        <f>154.7*100000000</f>
        <v>15469999999.999998</v>
      </c>
      <c r="AA1138" s="8">
        <f t="shared" si="548"/>
        <v>0.68280213205699969</v>
      </c>
      <c r="AB1138" s="6" t="s">
        <v>8785</v>
      </c>
      <c r="AC1138" s="6" t="str">
        <f t="shared" si="532"/>
        <v>=91.93*100000000</v>
      </c>
      <c r="AD1138" s="1">
        <f>91.93*100000000</f>
        <v>9193000000</v>
      </c>
      <c r="AE1138" s="8">
        <f t="shared" si="549"/>
        <v>1.6630938586326764</v>
      </c>
      <c r="AF1138" s="6" t="s">
        <v>11724</v>
      </c>
      <c r="AG1138" s="6" t="str">
        <f t="shared" si="533"/>
        <v>=34.52*100000000</v>
      </c>
      <c r="AH1138" s="1">
        <f>34.52*100000000</f>
        <v>3452000000.0000005</v>
      </c>
      <c r="AI1138" s="8">
        <f t="shared" si="550"/>
        <v>-0.86307021023403407</v>
      </c>
      <c r="AJ1138" s="6" t="s">
        <v>11725</v>
      </c>
      <c r="AK1138" s="6" t="str">
        <f t="shared" si="534"/>
        <v>=252.1*100000000</v>
      </c>
      <c r="AL1138" s="1">
        <f>252.1*100000000</f>
        <v>25210000000</v>
      </c>
      <c r="AM1138" s="8">
        <f t="shared" si="551"/>
        <v>0.97107114933541827</v>
      </c>
      <c r="AN1138" s="6" t="s">
        <v>9396</v>
      </c>
      <c r="AO1138" s="6" t="str">
        <f t="shared" si="535"/>
        <v>=127.9*100000000</v>
      </c>
      <c r="AP1138" s="1">
        <f>127.9*100000000</f>
        <v>12790000000</v>
      </c>
      <c r="AQ1138" s="8">
        <f t="shared" si="552"/>
        <v>0.44945602901178605</v>
      </c>
      <c r="AR1138" s="6" t="s">
        <v>11726</v>
      </c>
      <c r="AS1138" s="6" t="str">
        <f t="shared" si="536"/>
        <v>=88.24*100000000</v>
      </c>
      <c r="AT1138" s="1">
        <f>88.24*100000000</f>
        <v>8824000000</v>
      </c>
      <c r="AU1138" s="8">
        <f t="shared" si="553"/>
        <v>1.6419161676646707</v>
      </c>
      <c r="AV1138" s="6" t="s">
        <v>11727</v>
      </c>
      <c r="AW1138" s="6" t="str">
        <f t="shared" si="537"/>
        <v>=33.40*100000000</v>
      </c>
      <c r="AX1138" s="1">
        <f>33.4*100000000</f>
        <v>3340000000</v>
      </c>
      <c r="AY1138" s="10">
        <f t="shared" si="554"/>
        <v>-0.8554112554112554</v>
      </c>
      <c r="AZ1138" s="6" t="s">
        <v>11728</v>
      </c>
      <c r="BA1138" s="6" t="str">
        <f t="shared" si="538"/>
        <v>=231.0*100000000</v>
      </c>
      <c r="BB1138" s="1">
        <f>231*100000000</f>
        <v>23100000000</v>
      </c>
      <c r="BC1138" s="8">
        <f t="shared" si="555"/>
        <v>0.66787003610108309</v>
      </c>
      <c r="BD1138" s="6" t="s">
        <v>9705</v>
      </c>
      <c r="BE1138" s="6" t="str">
        <f t="shared" si="539"/>
        <v>=138.5*100000000</v>
      </c>
      <c r="BF1138" s="1">
        <f>138.5*100000000</f>
        <v>13850000000</v>
      </c>
      <c r="BG1138" s="8">
        <f t="shared" si="556"/>
        <v>0.66626564003849853</v>
      </c>
      <c r="BH1138" s="6" t="s">
        <v>3997</v>
      </c>
      <c r="BI1138" s="6" t="str">
        <f t="shared" si="540"/>
        <v>=83.12*100000000</v>
      </c>
      <c r="BJ1138" s="1">
        <f>83.12*100000000</f>
        <v>8312000000</v>
      </c>
      <c r="BK1138" s="6" t="s">
        <v>2820</v>
      </c>
      <c r="BL1138" s="1" t="str">
        <f t="shared" si="542"/>
        <v>=27.75*100000000</v>
      </c>
      <c r="BM1138" s="16">
        <f t="shared" si="557"/>
        <v>1.9953153153153154</v>
      </c>
      <c r="BN1138" s="1">
        <f>27.75*100000000</f>
        <v>2775000000</v>
      </c>
    </row>
    <row r="1139" spans="1:66">
      <c r="A1139" s="18"/>
      <c r="B1139">
        <v>600893</v>
      </c>
      <c r="C1139" t="s">
        <v>48</v>
      </c>
      <c r="D1139" s="6" t="s">
        <v>1359</v>
      </c>
      <c r="E1139" s="7" t="str">
        <f t="shared" si="541"/>
        <v>=13.06*100000000</v>
      </c>
      <c r="F1139" s="1">
        <f>13.06*100000000</f>
        <v>1306000000</v>
      </c>
      <c r="G1139" s="8">
        <f t="shared" si="543"/>
        <v>0.47404063205417607</v>
      </c>
      <c r="H1139" s="6" t="s">
        <v>11729</v>
      </c>
      <c r="I1139" s="6" t="str">
        <f t="shared" si="527"/>
        <v>=8.860*100000000</v>
      </c>
      <c r="J1139" s="1">
        <f>8.86*100000000</f>
        <v>886000000</v>
      </c>
      <c r="K1139" s="10">
        <f t="shared" si="544"/>
        <v>0.57203690560681331</v>
      </c>
      <c r="L1139" s="6" t="s">
        <v>11730</v>
      </c>
      <c r="M1139" s="6" t="str">
        <f t="shared" si="528"/>
        <v>=5.636*100000000</v>
      </c>
      <c r="N1139" s="1">
        <f>5.636*100000000</f>
        <v>563600000</v>
      </c>
      <c r="O1139" s="8">
        <f t="shared" si="545"/>
        <v>8.8652196744267453</v>
      </c>
      <c r="P1139" s="7" t="s">
        <v>4742</v>
      </c>
      <c r="Q1139" s="6" t="str">
        <f t="shared" si="529"/>
        <v>=5713*10000</v>
      </c>
      <c r="R1139" s="11">
        <f>5713*10000</f>
        <v>57130000</v>
      </c>
      <c r="S1139" s="8">
        <f t="shared" si="546"/>
        <v>-0.95889928057553953</v>
      </c>
      <c r="T1139" s="6" t="s">
        <v>7163</v>
      </c>
      <c r="U1139" s="6" t="str">
        <f t="shared" si="530"/>
        <v>=13.90*100000000</v>
      </c>
      <c r="V1139" s="1">
        <f>13.9*100000000</f>
        <v>1390000000</v>
      </c>
      <c r="W1139" s="8">
        <f t="shared" si="547"/>
        <v>0.78068152703048932</v>
      </c>
      <c r="X1139" s="6" t="s">
        <v>11731</v>
      </c>
      <c r="Y1139" s="6" t="str">
        <f t="shared" si="531"/>
        <v>=7.806*100000000</v>
      </c>
      <c r="Z1139" s="1">
        <f>7.806*100000000</f>
        <v>780600000</v>
      </c>
      <c r="AA1139" s="8">
        <f t="shared" si="548"/>
        <v>0.53209028459273799</v>
      </c>
      <c r="AB1139" s="6" t="s">
        <v>11732</v>
      </c>
      <c r="AC1139" s="6" t="str">
        <f t="shared" si="532"/>
        <v>=5.095*100000000</v>
      </c>
      <c r="AD1139" s="1">
        <f>5.095*100000000</f>
        <v>509500000</v>
      </c>
      <c r="AE1139" s="8">
        <f t="shared" si="549"/>
        <v>3.1288492706645057</v>
      </c>
      <c r="AF1139" s="6" t="s">
        <v>6043</v>
      </c>
      <c r="AG1139" s="6" t="str">
        <f t="shared" si="533"/>
        <v>=1.234*100000000</v>
      </c>
      <c r="AH1139" s="1">
        <f>1.234*100000000</f>
        <v>123400000</v>
      </c>
      <c r="AI1139" s="8">
        <f t="shared" si="550"/>
        <v>-0.90845697329376851</v>
      </c>
      <c r="AJ1139" s="6" t="s">
        <v>1528</v>
      </c>
      <c r="AK1139" s="6" t="str">
        <f t="shared" si="534"/>
        <v>=13.48*100000000</v>
      </c>
      <c r="AL1139" s="1">
        <f>13.48*100000000</f>
        <v>1348000000</v>
      </c>
      <c r="AM1139" s="8">
        <f t="shared" si="551"/>
        <v>1.4774857562947987</v>
      </c>
      <c r="AN1139" s="6" t="s">
        <v>11733</v>
      </c>
      <c r="AO1139" s="6" t="str">
        <f t="shared" si="535"/>
        <v>=5.441*100000000</v>
      </c>
      <c r="AP1139" s="1">
        <f>5.441*100000000</f>
        <v>544100000</v>
      </c>
      <c r="AQ1139" s="8">
        <f t="shared" si="552"/>
        <v>0.33488714425907773</v>
      </c>
      <c r="AR1139" s="6" t="s">
        <v>6816</v>
      </c>
      <c r="AS1139" s="6" t="str">
        <f t="shared" si="536"/>
        <v>=4.076*100000000</v>
      </c>
      <c r="AT1139" s="1">
        <f>4.076*100000000</f>
        <v>407599999.99999994</v>
      </c>
      <c r="AU1139" s="8">
        <f t="shared" si="553"/>
        <v>-158.13184271395525</v>
      </c>
      <c r="AV1139" s="7">
        <f>-259.4*10000</f>
        <v>-2594000</v>
      </c>
      <c r="AW1139" s="6" t="str">
        <f t="shared" si="537"/>
        <v>=-2594000</v>
      </c>
      <c r="AX1139" s="1">
        <f>-2594000</f>
        <v>-2594000</v>
      </c>
      <c r="AY1139" s="10">
        <f t="shared" si="554"/>
        <v>-1.0020953150242327</v>
      </c>
      <c r="AZ1139" s="6" t="s">
        <v>6194</v>
      </c>
      <c r="BA1139" s="6" t="str">
        <f t="shared" si="538"/>
        <v>=12.38*100000000</v>
      </c>
      <c r="BB1139" s="1">
        <f>12.38*100000000</f>
        <v>1238000000</v>
      </c>
      <c r="BC1139" s="8">
        <f t="shared" si="555"/>
        <v>0.64518272425249168</v>
      </c>
      <c r="BD1139" s="6" t="s">
        <v>9754</v>
      </c>
      <c r="BE1139" s="6" t="str">
        <f t="shared" si="539"/>
        <v>=7.525*100000000</v>
      </c>
      <c r="BF1139" s="1">
        <f>7.525*100000000</f>
        <v>752500000</v>
      </c>
      <c r="BG1139" s="8">
        <f t="shared" si="556"/>
        <v>0.73068077276908927</v>
      </c>
      <c r="BH1139" s="6" t="s">
        <v>7768</v>
      </c>
      <c r="BI1139" s="6" t="str">
        <f t="shared" si="540"/>
        <v>=4.348*100000000</v>
      </c>
      <c r="BJ1139" s="1">
        <f>4.348*100000000</f>
        <v>434800000</v>
      </c>
      <c r="BK1139" s="7">
        <f>-4267*10000</f>
        <v>-42670000</v>
      </c>
      <c r="BL1139" s="1" t="str">
        <f t="shared" si="542"/>
        <v>=-42670000</v>
      </c>
      <c r="BM1139" s="16">
        <f t="shared" si="557"/>
        <v>-11.189828919615655</v>
      </c>
      <c r="BN1139" s="1">
        <f>-42670000</f>
        <v>-42670000</v>
      </c>
    </row>
    <row r="1140" spans="1:66">
      <c r="A1140" s="18"/>
      <c r="B1140">
        <v>600893</v>
      </c>
      <c r="C1140" t="s">
        <v>58</v>
      </c>
      <c r="D1140" s="6" t="s">
        <v>4920</v>
      </c>
      <c r="E1140" s="7" t="str">
        <f t="shared" si="541"/>
        <v>=14.07*100000000</v>
      </c>
      <c r="F1140" s="1">
        <f>14.07*100000000</f>
        <v>1407000000</v>
      </c>
      <c r="G1140" s="8">
        <f t="shared" si="543"/>
        <v>0.53804110188019239</v>
      </c>
      <c r="H1140" s="6" t="s">
        <v>11734</v>
      </c>
      <c r="I1140" s="6" t="str">
        <f t="shared" si="527"/>
        <v>=9.148*100000000</v>
      </c>
      <c r="J1140" s="1">
        <f>9.148*100000000</f>
        <v>914800000</v>
      </c>
      <c r="K1140" s="10">
        <f t="shared" si="544"/>
        <v>0.60322467577988081</v>
      </c>
      <c r="L1140" s="6" t="s">
        <v>11735</v>
      </c>
      <c r="M1140" s="6" t="str">
        <f t="shared" si="528"/>
        <v>=5.706*100000000</v>
      </c>
      <c r="N1140" s="1">
        <f>5.706*100000000</f>
        <v>570600000</v>
      </c>
      <c r="O1140" s="8">
        <f t="shared" si="545"/>
        <v>9.1080602302922937</v>
      </c>
      <c r="P1140" s="7" t="s">
        <v>11736</v>
      </c>
      <c r="Q1140" s="6" t="str">
        <f t="shared" si="529"/>
        <v>=5645*10000</v>
      </c>
      <c r="R1140" s="11">
        <f>5645*10000</f>
        <v>56450000</v>
      </c>
      <c r="S1140" s="8">
        <f t="shared" si="546"/>
        <v>-0.95996453900709222</v>
      </c>
      <c r="T1140" s="6" t="s">
        <v>6213</v>
      </c>
      <c r="U1140" s="6" t="str">
        <f t="shared" si="530"/>
        <v>=14.10*100000000</v>
      </c>
      <c r="V1140" s="1">
        <f>14.1*100000000</f>
        <v>1410000000</v>
      </c>
      <c r="W1140" s="8">
        <f t="shared" si="547"/>
        <v>0.81490539322950184</v>
      </c>
      <c r="X1140" s="6" t="s">
        <v>4007</v>
      </c>
      <c r="Y1140" s="6" t="str">
        <f t="shared" si="531"/>
        <v>=7.769*100000000</v>
      </c>
      <c r="Z1140" s="1">
        <f>7.769*100000000</f>
        <v>776900000</v>
      </c>
      <c r="AA1140" s="8">
        <f t="shared" si="548"/>
        <v>0.53567898794228108</v>
      </c>
      <c r="AB1140" s="6" t="s">
        <v>11737</v>
      </c>
      <c r="AC1140" s="6" t="str">
        <f t="shared" si="532"/>
        <v>=5.059*100000000</v>
      </c>
      <c r="AD1140" s="1">
        <f>5.059*100000000</f>
        <v>505900000</v>
      </c>
      <c r="AE1140" s="8">
        <f t="shared" si="549"/>
        <v>3.1331699346405228</v>
      </c>
      <c r="AF1140" s="6" t="s">
        <v>11458</v>
      </c>
      <c r="AG1140" s="6" t="str">
        <f t="shared" si="533"/>
        <v>=1.224*100000000</v>
      </c>
      <c r="AH1140" s="1">
        <f>1.224*100000000</f>
        <v>122400000</v>
      </c>
      <c r="AI1140" s="8">
        <f t="shared" si="550"/>
        <v>-0.90906389301634472</v>
      </c>
      <c r="AJ1140" s="6" t="s">
        <v>11738</v>
      </c>
      <c r="AK1140" s="6" t="str">
        <f t="shared" si="534"/>
        <v>=13.46*100000000</v>
      </c>
      <c r="AL1140" s="1">
        <f>13.46*100000000</f>
        <v>1346000000</v>
      </c>
      <c r="AM1140" s="8">
        <f t="shared" si="551"/>
        <v>1.5191839790379937</v>
      </c>
      <c r="AN1140" s="6" t="s">
        <v>11739</v>
      </c>
      <c r="AO1140" s="6" t="str">
        <f t="shared" si="535"/>
        <v>=5.343*100000000</v>
      </c>
      <c r="AP1140" s="1">
        <f>5.343*100000000</f>
        <v>534300000</v>
      </c>
      <c r="AQ1140" s="8">
        <f t="shared" si="552"/>
        <v>0.32088998763906057</v>
      </c>
      <c r="AR1140" s="6" t="s">
        <v>136</v>
      </c>
      <c r="AS1140" s="6" t="str">
        <f t="shared" si="536"/>
        <v>=4.045*100000000</v>
      </c>
      <c r="AT1140" s="1">
        <f>4.045*100000000</f>
        <v>404500000</v>
      </c>
      <c r="AU1140" s="8">
        <f t="shared" si="553"/>
        <v>18.107227208313653</v>
      </c>
      <c r="AV1140" s="7" t="s">
        <v>11740</v>
      </c>
      <c r="AW1140" s="6" t="str">
        <f t="shared" si="537"/>
        <v>=2117*10000</v>
      </c>
      <c r="AX1140" s="1">
        <f>2117*10000</f>
        <v>21170000</v>
      </c>
      <c r="AY1140" s="10">
        <f t="shared" si="554"/>
        <v>-0.98393778452200309</v>
      </c>
      <c r="AZ1140" s="6" t="s">
        <v>2034</v>
      </c>
      <c r="BA1140" s="6" t="str">
        <f t="shared" si="538"/>
        <v>=13.18*100000000</v>
      </c>
      <c r="BB1140" s="1">
        <f>13.18*100000000</f>
        <v>1318000000</v>
      </c>
      <c r="BC1140" s="8">
        <f t="shared" si="555"/>
        <v>0.7328424927688667</v>
      </c>
      <c r="BD1140" s="6" t="s">
        <v>11741</v>
      </c>
      <c r="BE1140" s="6" t="str">
        <f t="shared" si="539"/>
        <v>=7.606*100000000</v>
      </c>
      <c r="BF1140" s="1">
        <f>7.606*100000000</f>
        <v>760600000</v>
      </c>
      <c r="BG1140" s="8">
        <f t="shared" si="556"/>
        <v>0.7115211521152115</v>
      </c>
      <c r="BH1140" s="6" t="s">
        <v>10813</v>
      </c>
      <c r="BI1140" s="6" t="str">
        <f t="shared" si="540"/>
        <v>=4.444*100000000</v>
      </c>
      <c r="BJ1140" s="1">
        <f>4.444*100000000</f>
        <v>444400000</v>
      </c>
      <c r="BK1140" s="7">
        <f>-3211*10000</f>
        <v>-32110000</v>
      </c>
      <c r="BL1140" s="1" t="str">
        <f t="shared" si="542"/>
        <v>=-32110000</v>
      </c>
      <c r="BM1140" s="16">
        <f t="shared" si="557"/>
        <v>-14.839925256929305</v>
      </c>
      <c r="BN1140" s="1">
        <f>-32110000</f>
        <v>-32110000</v>
      </c>
    </row>
    <row r="1141" spans="1:66">
      <c r="A1141" s="19"/>
      <c r="B1141">
        <v>600893</v>
      </c>
      <c r="C1141" t="s">
        <v>68</v>
      </c>
      <c r="D1141" s="6" t="s">
        <v>4256</v>
      </c>
      <c r="E1141" s="7" t="str">
        <f t="shared" si="541"/>
        <v>=12.31*100000000</v>
      </c>
      <c r="F1141" s="1">
        <f>12.31*100000000</f>
        <v>1231000000</v>
      </c>
      <c r="G1141" s="8">
        <f t="shared" si="543"/>
        <v>0.49338832949168993</v>
      </c>
      <c r="H1141" s="6" t="s">
        <v>7008</v>
      </c>
      <c r="I1141" s="6" t="str">
        <f t="shared" si="527"/>
        <v>=8.243*100000000</v>
      </c>
      <c r="J1141" s="1">
        <f>8.243*100000000</f>
        <v>824300000</v>
      </c>
      <c r="K1141" s="10">
        <f t="shared" si="544"/>
        <v>0.70028877887788776</v>
      </c>
      <c r="L1141" s="6" t="s">
        <v>11742</v>
      </c>
      <c r="M1141" s="6" t="str">
        <f t="shared" si="528"/>
        <v>=4.848*100000000</v>
      </c>
      <c r="N1141" s="1">
        <f>4.848*100000000</f>
        <v>484800000</v>
      </c>
      <c r="O1141" s="8">
        <f t="shared" si="545"/>
        <v>9.5666957279860512</v>
      </c>
      <c r="P1141" s="7" t="s">
        <v>3193</v>
      </c>
      <c r="Q1141" s="6" t="str">
        <f t="shared" si="529"/>
        <v>=4588*10000</v>
      </c>
      <c r="R1141" s="11">
        <f>4588*10000</f>
        <v>45880000</v>
      </c>
      <c r="S1141" s="8">
        <f t="shared" si="546"/>
        <v>-0.96065180102915948</v>
      </c>
      <c r="T1141" s="6" t="s">
        <v>6857</v>
      </c>
      <c r="U1141" s="6" t="str">
        <f t="shared" si="530"/>
        <v>=11.66*100000000</v>
      </c>
      <c r="V1141" s="1">
        <f>11.66*100000000</f>
        <v>1166000000</v>
      </c>
      <c r="W1141" s="8">
        <f t="shared" si="547"/>
        <v>0.76800606520090975</v>
      </c>
      <c r="X1141" s="6" t="s">
        <v>10244</v>
      </c>
      <c r="Y1141" s="6" t="str">
        <f t="shared" si="531"/>
        <v>=6.595*100000000</v>
      </c>
      <c r="Z1141" s="1">
        <f>6.595*100000000</f>
        <v>659500000</v>
      </c>
      <c r="AA1141" s="8">
        <f t="shared" si="548"/>
        <v>0.55432477020975701</v>
      </c>
      <c r="AB1141" s="6" t="s">
        <v>11743</v>
      </c>
      <c r="AC1141" s="6" t="str">
        <f t="shared" si="532"/>
        <v>=4.243*100000000</v>
      </c>
      <c r="AD1141" s="1">
        <f>4.243*100000000</f>
        <v>424300000.00000006</v>
      </c>
      <c r="AE1141" s="8">
        <f t="shared" si="549"/>
        <v>3.4161115736885934</v>
      </c>
      <c r="AF1141" s="7" t="s">
        <v>11744</v>
      </c>
      <c r="AG1141" s="6" t="str">
        <f t="shared" si="533"/>
        <v>=9608*10000</v>
      </c>
      <c r="AH1141" s="1">
        <f>9608*10000</f>
        <v>96080000</v>
      </c>
      <c r="AI1141" s="8">
        <f t="shared" si="550"/>
        <v>-0.91336339044183945</v>
      </c>
      <c r="AJ1141" s="6" t="s">
        <v>4498</v>
      </c>
      <c r="AK1141" s="6" t="str">
        <f t="shared" si="534"/>
        <v>=11.09*100000000</v>
      </c>
      <c r="AL1141" s="1">
        <f>11.09*100000000</f>
        <v>1109000000</v>
      </c>
      <c r="AM1141" s="8">
        <f t="shared" si="551"/>
        <v>1.4459638288486987</v>
      </c>
      <c r="AN1141" s="6" t="s">
        <v>11745</v>
      </c>
      <c r="AO1141" s="6" t="str">
        <f t="shared" si="535"/>
        <v>=4.534*100000000</v>
      </c>
      <c r="AP1141" s="1">
        <f>4.534*100000000</f>
        <v>453400000</v>
      </c>
      <c r="AQ1141" s="8">
        <f t="shared" si="552"/>
        <v>0.33431430253090055</v>
      </c>
      <c r="AR1141" s="6" t="s">
        <v>11746</v>
      </c>
      <c r="AS1141" s="6" t="str">
        <f t="shared" si="536"/>
        <v>=3.398*100000000</v>
      </c>
      <c r="AT1141" s="1">
        <f>3.398*100000000</f>
        <v>339800000</v>
      </c>
      <c r="AU1141" s="8">
        <f t="shared" si="553"/>
        <v>34.443830186711175</v>
      </c>
      <c r="AV1141" s="7" t="s">
        <v>11747</v>
      </c>
      <c r="AW1141" s="6" t="str">
        <f t="shared" si="537"/>
        <v>=958.7*10000</v>
      </c>
      <c r="AX1141" s="1">
        <f>958.7*10000</f>
        <v>9587000</v>
      </c>
      <c r="AY1141" s="10">
        <f t="shared" si="554"/>
        <v>-0.99115590405904064</v>
      </c>
      <c r="AZ1141" s="6" t="s">
        <v>4079</v>
      </c>
      <c r="BA1141" s="6" t="str">
        <f t="shared" si="538"/>
        <v>=10.84*100000000</v>
      </c>
      <c r="BB1141" s="1">
        <f>10.84*100000000</f>
        <v>1084000000</v>
      </c>
      <c r="BC1141" s="8">
        <f t="shared" si="555"/>
        <v>0.61405598570577724</v>
      </c>
      <c r="BD1141" s="6" t="s">
        <v>2061</v>
      </c>
      <c r="BE1141" s="6" t="str">
        <f t="shared" si="539"/>
        <v>=6.716*100000000</v>
      </c>
      <c r="BF1141" s="1">
        <f>6.716*100000000</f>
        <v>671600000</v>
      </c>
      <c r="BG1141" s="8">
        <f t="shared" si="556"/>
        <v>0.80489115829078206</v>
      </c>
      <c r="BH1141" s="6" t="s">
        <v>11748</v>
      </c>
      <c r="BI1141" s="6" t="str">
        <f t="shared" si="540"/>
        <v>=3.721*100000000</v>
      </c>
      <c r="BJ1141" s="1">
        <f>3.721*100000000</f>
        <v>372100000</v>
      </c>
      <c r="BK1141" s="7">
        <f>-5018*10000</f>
        <v>-50180000</v>
      </c>
      <c r="BL1141" s="1" t="str">
        <f t="shared" si="542"/>
        <v>=-50180000</v>
      </c>
      <c r="BM1141" s="16">
        <f t="shared" si="557"/>
        <v>-8.4153049023515347</v>
      </c>
      <c r="BN1141" s="1">
        <f>-50180000</f>
        <v>-50180000</v>
      </c>
    </row>
    <row r="1142" spans="1:66">
      <c r="A1142" s="17">
        <v>287</v>
      </c>
      <c r="B1142">
        <v>600894</v>
      </c>
      <c r="C1142" t="s">
        <v>31</v>
      </c>
      <c r="D1142" s="6" t="s">
        <v>11749</v>
      </c>
      <c r="E1142" s="7" t="str">
        <f t="shared" si="541"/>
        <v>=77.67*100000000</v>
      </c>
      <c r="F1142" s="1">
        <f>77.67*100000000</f>
        <v>7767000000</v>
      </c>
      <c r="G1142" s="8">
        <f t="shared" si="543"/>
        <v>0.34586726737133944</v>
      </c>
      <c r="H1142" s="6" t="s">
        <v>11127</v>
      </c>
      <c r="I1142" s="6" t="str">
        <f t="shared" si="527"/>
        <v>=57.71*100000000</v>
      </c>
      <c r="J1142" s="1">
        <f>57.71*100000000</f>
        <v>5771000000</v>
      </c>
      <c r="K1142" s="10">
        <f t="shared" si="544"/>
        <v>0.59905791077860882</v>
      </c>
      <c r="L1142" s="6" t="s">
        <v>11750</v>
      </c>
      <c r="M1142" s="6" t="str">
        <f t="shared" si="528"/>
        <v>=36.09*100000000</v>
      </c>
      <c r="N1142" s="1">
        <f>36.09*100000000</f>
        <v>3609000000.0000005</v>
      </c>
      <c r="O1142" s="8">
        <f t="shared" si="545"/>
        <v>1.4584468664850139</v>
      </c>
      <c r="P1142" s="6" t="s">
        <v>333</v>
      </c>
      <c r="Q1142" s="6" t="str">
        <f t="shared" si="529"/>
        <v>=14.68*100000000</v>
      </c>
      <c r="R1142" s="11">
        <f>14.68*100000000</f>
        <v>1468000000</v>
      </c>
      <c r="S1142" s="8">
        <f t="shared" si="546"/>
        <v>-0.78325705005167578</v>
      </c>
      <c r="T1142" s="6" t="s">
        <v>9126</v>
      </c>
      <c r="U1142" s="6" t="str">
        <f t="shared" si="530"/>
        <v>=67.73*100000000</v>
      </c>
      <c r="V1142" s="1">
        <f>67.73*100000000</f>
        <v>6773000000</v>
      </c>
      <c r="W1142" s="8">
        <f t="shared" si="547"/>
        <v>0.37188576058335021</v>
      </c>
      <c r="X1142" s="6" t="s">
        <v>11751</v>
      </c>
      <c r="Y1142" s="6" t="str">
        <f t="shared" si="531"/>
        <v>=49.37*100000000</v>
      </c>
      <c r="Z1142" s="1">
        <f>49.37*100000000</f>
        <v>4937000000</v>
      </c>
      <c r="AA1142" s="8">
        <f t="shared" si="548"/>
        <v>0.66903313049357671</v>
      </c>
      <c r="AB1142" s="6" t="s">
        <v>2264</v>
      </c>
      <c r="AC1142" s="6" t="str">
        <f t="shared" si="532"/>
        <v>=29.58*100000000</v>
      </c>
      <c r="AD1142" s="1">
        <f>29.58*100000000</f>
        <v>2958000000</v>
      </c>
      <c r="AE1142" s="8">
        <f t="shared" si="549"/>
        <v>1.7038391224862888</v>
      </c>
      <c r="AF1142" s="6" t="s">
        <v>159</v>
      </c>
      <c r="AG1142" s="6" t="str">
        <f t="shared" si="533"/>
        <v>=10.94*100000000</v>
      </c>
      <c r="AH1142" s="1">
        <f>10.94*100000000</f>
        <v>1094000000</v>
      </c>
      <c r="AI1142" s="8">
        <f t="shared" si="550"/>
        <v>-0.82130022868343677</v>
      </c>
      <c r="AJ1142" s="6" t="s">
        <v>11752</v>
      </c>
      <c r="AK1142" s="6" t="str">
        <f t="shared" si="534"/>
        <v>=61.22*100000000</v>
      </c>
      <c r="AL1142" s="1">
        <f>61.22*100000000</f>
        <v>6122000000</v>
      </c>
      <c r="AM1142" s="8">
        <f t="shared" si="551"/>
        <v>0.35262925320371191</v>
      </c>
      <c r="AN1142" s="6" t="s">
        <v>3342</v>
      </c>
      <c r="AO1142" s="6" t="str">
        <f t="shared" si="535"/>
        <v>=45.26*100000000</v>
      </c>
      <c r="AP1142" s="1">
        <f>45.26*100000000</f>
        <v>4526000000</v>
      </c>
      <c r="AQ1142" s="8">
        <f t="shared" si="552"/>
        <v>0.62106017191977081</v>
      </c>
      <c r="AR1142" s="6" t="s">
        <v>3126</v>
      </c>
      <c r="AS1142" s="6" t="str">
        <f t="shared" si="536"/>
        <v>=27.92*100000000</v>
      </c>
      <c r="AT1142" s="1">
        <f>27.92*100000000</f>
        <v>2792000000</v>
      </c>
      <c r="AU1142" s="8">
        <f t="shared" si="553"/>
        <v>1.442694663167104</v>
      </c>
      <c r="AV1142" s="6" t="s">
        <v>5256</v>
      </c>
      <c r="AW1142" s="6" t="str">
        <f t="shared" si="537"/>
        <v>=11.43*100000000</v>
      </c>
      <c r="AX1142" s="1">
        <f>11.43*100000000</f>
        <v>1143000000</v>
      </c>
      <c r="AY1142" s="10">
        <f t="shared" si="554"/>
        <v>-0.79077429983525538</v>
      </c>
      <c r="AZ1142" s="6" t="s">
        <v>11753</v>
      </c>
      <c r="BA1142" s="6" t="str">
        <f t="shared" si="538"/>
        <v>=54.63*100000000</v>
      </c>
      <c r="BB1142" s="1">
        <f>54.63*100000000</f>
        <v>5463000000</v>
      </c>
      <c r="BC1142" s="8">
        <f t="shared" si="555"/>
        <v>0.35089020771513352</v>
      </c>
      <c r="BD1142" s="6" t="s">
        <v>3540</v>
      </c>
      <c r="BE1142" s="6" t="str">
        <f t="shared" si="539"/>
        <v>=40.44*100000000</v>
      </c>
      <c r="BF1142" s="1">
        <f>40.44*100000000</f>
        <v>4044000000</v>
      </c>
      <c r="BG1142" s="8">
        <f t="shared" si="556"/>
        <v>0.63064516129032255</v>
      </c>
      <c r="BH1142" s="6" t="s">
        <v>9586</v>
      </c>
      <c r="BI1142" s="6" t="str">
        <f t="shared" si="540"/>
        <v>=24.80*100000000</v>
      </c>
      <c r="BJ1142" s="1">
        <f>24.8*100000000</f>
        <v>2480000000</v>
      </c>
      <c r="BK1142" s="6" t="s">
        <v>11069</v>
      </c>
      <c r="BL1142" s="1" t="str">
        <f t="shared" si="542"/>
        <v>=10.27*100000000</v>
      </c>
      <c r="BM1142" s="16">
        <f t="shared" si="557"/>
        <v>1.4148003894839338</v>
      </c>
      <c r="BN1142" s="1">
        <f>10.27*100000000</f>
        <v>1027000000</v>
      </c>
    </row>
    <row r="1143" spans="1:66">
      <c r="A1143" s="18"/>
      <c r="B1143">
        <v>600894</v>
      </c>
      <c r="C1143" t="s">
        <v>48</v>
      </c>
      <c r="D1143" s="6" t="s">
        <v>10190</v>
      </c>
      <c r="E1143" s="7" t="str">
        <f t="shared" si="541"/>
        <v>=6.501*100000000</v>
      </c>
      <c r="F1143" s="1">
        <f>6.501*100000000</f>
        <v>650100000</v>
      </c>
      <c r="G1143" s="8">
        <f t="shared" si="543"/>
        <v>0.16924460431654675</v>
      </c>
      <c r="H1143" s="6" t="s">
        <v>4255</v>
      </c>
      <c r="I1143" s="6" t="str">
        <f t="shared" si="527"/>
        <v>=5.560*100000000</v>
      </c>
      <c r="J1143" s="1">
        <f>5.56*100000000</f>
        <v>556000000</v>
      </c>
      <c r="K1143" s="10">
        <f t="shared" si="544"/>
        <v>0.68484848484848482</v>
      </c>
      <c r="L1143" s="6" t="s">
        <v>7533</v>
      </c>
      <c r="M1143" s="6" t="str">
        <f t="shared" si="528"/>
        <v>=3.300*100000000</v>
      </c>
      <c r="N1143" s="1">
        <f>3.3*100000000</f>
        <v>330000000</v>
      </c>
      <c r="O1143" s="8">
        <f t="shared" si="545"/>
        <v>9.1977750309023492</v>
      </c>
      <c r="P1143" s="7" t="s">
        <v>6542</v>
      </c>
      <c r="Q1143" s="6" t="str">
        <f t="shared" si="529"/>
        <v>=3236*10000</v>
      </c>
      <c r="R1143" s="11">
        <f>3236*10000</f>
        <v>32360000</v>
      </c>
      <c r="S1143" s="8">
        <f t="shared" si="546"/>
        <v>-0.9562938951917882</v>
      </c>
      <c r="T1143" s="6" t="s">
        <v>11754</v>
      </c>
      <c r="U1143" s="6" t="str">
        <f t="shared" si="530"/>
        <v>=7.404*100000000</v>
      </c>
      <c r="V1143" s="1">
        <f>7.404*100000000</f>
        <v>740400000</v>
      </c>
      <c r="W1143" s="8">
        <f t="shared" si="547"/>
        <v>0.33718620191439408</v>
      </c>
      <c r="X1143" s="6" t="s">
        <v>3156</v>
      </c>
      <c r="Y1143" s="6" t="str">
        <f t="shared" si="531"/>
        <v>=5.537*100000000</v>
      </c>
      <c r="Z1143" s="1">
        <f>5.537*100000000</f>
        <v>553700000</v>
      </c>
      <c r="AA1143" s="8">
        <f t="shared" si="548"/>
        <v>0.70003070310101323</v>
      </c>
      <c r="AB1143" s="6" t="s">
        <v>11755</v>
      </c>
      <c r="AC1143" s="6" t="str">
        <f t="shared" si="532"/>
        <v>=3.257*100000000</v>
      </c>
      <c r="AD1143" s="1">
        <f>3.257*100000000</f>
        <v>325700000</v>
      </c>
      <c r="AE1143" s="8">
        <f t="shared" si="549"/>
        <v>7.083891784561926</v>
      </c>
      <c r="AF1143" s="7" t="s">
        <v>11756</v>
      </c>
      <c r="AG1143" s="6" t="str">
        <f t="shared" si="533"/>
        <v>=4029*10000</v>
      </c>
      <c r="AH1143" s="1">
        <f>4029*10000</f>
        <v>40290000</v>
      </c>
      <c r="AI1143" s="8">
        <f t="shared" si="550"/>
        <v>-0.90836934273368208</v>
      </c>
      <c r="AJ1143" s="6" t="s">
        <v>7777</v>
      </c>
      <c r="AK1143" s="6" t="str">
        <f t="shared" si="534"/>
        <v>=4.397*100000000</v>
      </c>
      <c r="AL1143" s="1">
        <f>4.397*100000000</f>
        <v>439700000</v>
      </c>
      <c r="AM1143" s="8">
        <f t="shared" si="551"/>
        <v>0.16353532680603333</v>
      </c>
      <c r="AN1143" s="6" t="s">
        <v>11757</v>
      </c>
      <c r="AO1143" s="6" t="str">
        <f t="shared" si="535"/>
        <v>=3.779*100000000</v>
      </c>
      <c r="AP1143" s="1">
        <f>3.779*100000000</f>
        <v>377900000</v>
      </c>
      <c r="AQ1143" s="8">
        <f t="shared" si="552"/>
        <v>0.27755240027045303</v>
      </c>
      <c r="AR1143" s="6" t="s">
        <v>6814</v>
      </c>
      <c r="AS1143" s="6" t="str">
        <f t="shared" si="536"/>
        <v>=2.958*100000000</v>
      </c>
      <c r="AT1143" s="1">
        <f>2.958*100000000</f>
        <v>295800000</v>
      </c>
      <c r="AU1143" s="8">
        <f t="shared" si="553"/>
        <v>1.2753846153846153</v>
      </c>
      <c r="AV1143" s="6" t="s">
        <v>11758</v>
      </c>
      <c r="AW1143" s="6" t="str">
        <f t="shared" si="537"/>
        <v>=1.300*100000000</v>
      </c>
      <c r="AX1143" s="1">
        <f>1.3*100000000</f>
        <v>130000000</v>
      </c>
      <c r="AY1143" s="10">
        <f t="shared" si="554"/>
        <v>-2.7673896783844427E-2</v>
      </c>
      <c r="AZ1143" s="6" t="s">
        <v>6049</v>
      </c>
      <c r="BA1143" s="6" t="str">
        <f t="shared" si="538"/>
        <v>=1.337*100000000</v>
      </c>
      <c r="BB1143" s="1">
        <f>1.337*100000000</f>
        <v>133700000</v>
      </c>
      <c r="BC1143" s="8">
        <f t="shared" si="555"/>
        <v>-0.47216739044611133</v>
      </c>
      <c r="BD1143" s="6" t="s">
        <v>11759</v>
      </c>
      <c r="BE1143" s="6" t="str">
        <f t="shared" si="539"/>
        <v>=2.533*100000000</v>
      </c>
      <c r="BF1143" s="1">
        <f>2.533*100000000</f>
        <v>253300000</v>
      </c>
      <c r="BG1143" s="8">
        <f t="shared" si="556"/>
        <v>1.0103174603174603</v>
      </c>
      <c r="BH1143" s="6" t="s">
        <v>6386</v>
      </c>
      <c r="BI1143" s="6" t="str">
        <f t="shared" si="540"/>
        <v>=1.260*100000000</v>
      </c>
      <c r="BJ1143" s="1">
        <f>1.26*100000000</f>
        <v>126000000</v>
      </c>
      <c r="BK1143" s="7" t="s">
        <v>11760</v>
      </c>
      <c r="BL1143" s="1" t="str">
        <f t="shared" si="542"/>
        <v>=1806*10000</v>
      </c>
      <c r="BM1143" s="16">
        <f t="shared" si="557"/>
        <v>5.9767441860465116</v>
      </c>
      <c r="BN1143" s="1">
        <f>1806*10000</f>
        <v>18060000</v>
      </c>
    </row>
    <row r="1144" spans="1:66">
      <c r="A1144" s="18"/>
      <c r="B1144">
        <v>600894</v>
      </c>
      <c r="C1144" t="s">
        <v>58</v>
      </c>
      <c r="D1144" s="6" t="s">
        <v>11761</v>
      </c>
      <c r="E1144" s="7" t="str">
        <f t="shared" si="541"/>
        <v>=6.499*100000000</v>
      </c>
      <c r="F1144" s="1">
        <f>6.499*100000000</f>
        <v>649900000</v>
      </c>
      <c r="G1144" s="8">
        <f t="shared" si="543"/>
        <v>0.16490410467825775</v>
      </c>
      <c r="H1144" s="6" t="s">
        <v>11762</v>
      </c>
      <c r="I1144" s="6" t="str">
        <f t="shared" si="527"/>
        <v>=5.579*100000000</v>
      </c>
      <c r="J1144" s="1">
        <f>5.579*100000000</f>
        <v>557900000</v>
      </c>
      <c r="K1144" s="10">
        <f t="shared" si="544"/>
        <v>0.68346409173204592</v>
      </c>
      <c r="L1144" s="6" t="s">
        <v>4023</v>
      </c>
      <c r="M1144" s="6" t="str">
        <f t="shared" si="528"/>
        <v>=3.314*100000000</v>
      </c>
      <c r="N1144" s="1">
        <f>3.314*100000000</f>
        <v>331400000</v>
      </c>
      <c r="O1144" s="8">
        <f t="shared" si="545"/>
        <v>9.0637716368053454</v>
      </c>
      <c r="P1144" s="7" t="s">
        <v>11763</v>
      </c>
      <c r="Q1144" s="6" t="str">
        <f t="shared" si="529"/>
        <v>=3293*10000</v>
      </c>
      <c r="R1144" s="11">
        <f>3293*10000</f>
        <v>32930000</v>
      </c>
      <c r="S1144" s="8">
        <f t="shared" si="546"/>
        <v>-0.95550000000000002</v>
      </c>
      <c r="T1144" s="6" t="s">
        <v>6189</v>
      </c>
      <c r="U1144" s="6" t="str">
        <f t="shared" si="530"/>
        <v>=7.400*100000000</v>
      </c>
      <c r="V1144" s="1">
        <f>7.4*100000000</f>
        <v>740000000</v>
      </c>
      <c r="W1144" s="8">
        <f t="shared" si="547"/>
        <v>0.33694670280036132</v>
      </c>
      <c r="X1144" s="6" t="s">
        <v>11764</v>
      </c>
      <c r="Y1144" s="6" t="str">
        <f t="shared" si="531"/>
        <v>=5.535*100000000</v>
      </c>
      <c r="Z1144" s="1">
        <f>5.535*100000000</f>
        <v>553500000</v>
      </c>
      <c r="AA1144" s="8">
        <f t="shared" si="548"/>
        <v>0.7025530605967395</v>
      </c>
      <c r="AB1144" s="6" t="s">
        <v>11765</v>
      </c>
      <c r="AC1144" s="6" t="str">
        <f t="shared" si="532"/>
        <v>=3.251*100000000</v>
      </c>
      <c r="AD1144" s="1">
        <f>3.251*100000000</f>
        <v>325100000</v>
      </c>
      <c r="AE1144" s="8">
        <f t="shared" si="549"/>
        <v>7.0649962788389979</v>
      </c>
      <c r="AF1144" s="7" t="s">
        <v>11766</v>
      </c>
      <c r="AG1144" s="6" t="str">
        <f t="shared" si="533"/>
        <v>=4031*10000</v>
      </c>
      <c r="AH1144" s="1">
        <f>4031*10000</f>
        <v>40310000</v>
      </c>
      <c r="AI1144" s="8">
        <f t="shared" si="550"/>
        <v>-0.90801004107713368</v>
      </c>
      <c r="AJ1144" s="6" t="s">
        <v>9263</v>
      </c>
      <c r="AK1144" s="6" t="str">
        <f t="shared" si="534"/>
        <v>=4.382*100000000</v>
      </c>
      <c r="AL1144" s="1">
        <f>4.382*100000000</f>
        <v>438199999.99999994</v>
      </c>
      <c r="AM1144" s="8">
        <f t="shared" si="551"/>
        <v>0.1617179215270412</v>
      </c>
      <c r="AN1144" s="6" t="s">
        <v>11767</v>
      </c>
      <c r="AO1144" s="6" t="str">
        <f t="shared" si="535"/>
        <v>=3.772*100000000</v>
      </c>
      <c r="AP1144" s="1">
        <f>3.772*100000000</f>
        <v>377200000</v>
      </c>
      <c r="AQ1144" s="8">
        <f t="shared" si="552"/>
        <v>0.2743243243243243</v>
      </c>
      <c r="AR1144" s="6" t="s">
        <v>11768</v>
      </c>
      <c r="AS1144" s="6" t="str">
        <f t="shared" si="536"/>
        <v>=2.960*100000000</v>
      </c>
      <c r="AT1144" s="1">
        <f>2.96*100000000</f>
        <v>296000000</v>
      </c>
      <c r="AU1144" s="8">
        <f t="shared" si="553"/>
        <v>1.2857142857142858</v>
      </c>
      <c r="AV1144" s="6" t="s">
        <v>10489</v>
      </c>
      <c r="AW1144" s="6" t="str">
        <f t="shared" si="537"/>
        <v>=1.295*100000000</v>
      </c>
      <c r="AX1144" s="1">
        <f>1.295*100000000</f>
        <v>129500000</v>
      </c>
      <c r="AY1144" s="10">
        <f t="shared" si="554"/>
        <v>-0.17358008934269303</v>
      </c>
      <c r="AZ1144" s="6" t="s">
        <v>2170</v>
      </c>
      <c r="BA1144" s="6" t="str">
        <f t="shared" si="538"/>
        <v>=1.567*100000000</v>
      </c>
      <c r="BB1144" s="1">
        <f>1.567*100000000</f>
        <v>156700000</v>
      </c>
      <c r="BC1144" s="8">
        <f t="shared" si="555"/>
        <v>-0.43224637681159422</v>
      </c>
      <c r="BD1144" s="6" t="s">
        <v>11769</v>
      </c>
      <c r="BE1144" s="6" t="str">
        <f t="shared" si="539"/>
        <v>=2.760*100000000</v>
      </c>
      <c r="BF1144" s="1">
        <f>2.76*100000000</f>
        <v>276000000</v>
      </c>
      <c r="BG1144" s="8">
        <f t="shared" si="556"/>
        <v>0.83877415056628912</v>
      </c>
      <c r="BH1144" s="6" t="s">
        <v>1454</v>
      </c>
      <c r="BI1144" s="6" t="str">
        <f t="shared" si="540"/>
        <v>=1.501*100000000</v>
      </c>
      <c r="BJ1144" s="1">
        <f>1.501*100000000</f>
        <v>150100000</v>
      </c>
      <c r="BK1144" s="7" t="s">
        <v>5546</v>
      </c>
      <c r="BL1144" s="1" t="str">
        <f t="shared" si="542"/>
        <v>=1858*10000</v>
      </c>
      <c r="BM1144" s="16">
        <f t="shared" si="557"/>
        <v>7.0785791173304631</v>
      </c>
      <c r="BN1144" s="1">
        <f>1858*10000</f>
        <v>18580000</v>
      </c>
    </row>
    <row r="1145" spans="1:66">
      <c r="A1145" s="19"/>
      <c r="B1145">
        <v>600894</v>
      </c>
      <c r="C1145" t="s">
        <v>68</v>
      </c>
      <c r="D1145" s="6" t="s">
        <v>11770</v>
      </c>
      <c r="E1145" s="7" t="str">
        <f t="shared" si="541"/>
        <v>=6.409*100000000</v>
      </c>
      <c r="F1145" s="1">
        <f>6.409*100000000</f>
        <v>640900000</v>
      </c>
      <c r="G1145" s="8">
        <f t="shared" si="543"/>
        <v>0.18509615384615385</v>
      </c>
      <c r="H1145" s="6" t="s">
        <v>6366</v>
      </c>
      <c r="I1145" s="6" t="str">
        <f t="shared" si="527"/>
        <v>=5.408*100000000</v>
      </c>
      <c r="J1145" s="1">
        <f>5.408*100000000</f>
        <v>540800000</v>
      </c>
      <c r="K1145" s="10">
        <f t="shared" si="544"/>
        <v>0.67534076827757128</v>
      </c>
      <c r="L1145" s="6" t="s">
        <v>11771</v>
      </c>
      <c r="M1145" s="6" t="str">
        <f t="shared" si="528"/>
        <v>=3.228*100000000</v>
      </c>
      <c r="N1145" s="1">
        <f>3.228*100000000</f>
        <v>322800000</v>
      </c>
      <c r="O1145" s="8">
        <f t="shared" si="545"/>
        <v>9.9127789046653145</v>
      </c>
      <c r="P1145" s="7" t="s">
        <v>11772</v>
      </c>
      <c r="Q1145" s="6" t="str">
        <f t="shared" si="529"/>
        <v>=2958*10000</v>
      </c>
      <c r="R1145" s="11">
        <f>2958*10000</f>
        <v>29580000</v>
      </c>
      <c r="S1145" s="8">
        <f t="shared" si="546"/>
        <v>-0.95847838293093768</v>
      </c>
      <c r="T1145" s="6" t="s">
        <v>11773</v>
      </c>
      <c r="U1145" s="6" t="str">
        <f t="shared" si="530"/>
        <v>=7.124*100000000</v>
      </c>
      <c r="V1145" s="1">
        <f>7.124*100000000</f>
        <v>712400000</v>
      </c>
      <c r="W1145" s="8">
        <f t="shared" si="547"/>
        <v>0.3444046046423852</v>
      </c>
      <c r="X1145" s="6" t="s">
        <v>6675</v>
      </c>
      <c r="Y1145" s="6" t="str">
        <f t="shared" si="531"/>
        <v>=5.299*100000000</v>
      </c>
      <c r="Z1145" s="1">
        <f>5.299*100000000</f>
        <v>529900000.00000006</v>
      </c>
      <c r="AA1145" s="8">
        <f t="shared" si="548"/>
        <v>0.68543256997455493</v>
      </c>
      <c r="AB1145" s="6" t="s">
        <v>7127</v>
      </c>
      <c r="AC1145" s="6" t="str">
        <f t="shared" si="532"/>
        <v>=3.144*100000000</v>
      </c>
      <c r="AD1145" s="1">
        <f>3.144*100000000</f>
        <v>314400000</v>
      </c>
      <c r="AE1145" s="8">
        <f t="shared" si="549"/>
        <v>7.3306836248012717</v>
      </c>
      <c r="AF1145" s="7" t="s">
        <v>11774</v>
      </c>
      <c r="AG1145" s="6" t="str">
        <f t="shared" si="533"/>
        <v>=3774*10000</v>
      </c>
      <c r="AH1145" s="1">
        <f>3774*10000</f>
        <v>37740000</v>
      </c>
      <c r="AI1145" s="8">
        <f t="shared" si="550"/>
        <v>-0.91061108479393649</v>
      </c>
      <c r="AJ1145" s="6" t="s">
        <v>11775</v>
      </c>
      <c r="AK1145" s="6" t="str">
        <f t="shared" si="534"/>
        <v>=4.222*100000000</v>
      </c>
      <c r="AL1145" s="1">
        <f>4.222*100000000</f>
        <v>422200000.00000006</v>
      </c>
      <c r="AM1145" s="8">
        <f t="shared" si="551"/>
        <v>0.17867113344500296</v>
      </c>
      <c r="AN1145" s="6" t="s">
        <v>2192</v>
      </c>
      <c r="AO1145" s="6" t="str">
        <f t="shared" si="535"/>
        <v>=3.582*100000000</v>
      </c>
      <c r="AP1145" s="1">
        <f>3.582*100000000</f>
        <v>358200000</v>
      </c>
      <c r="AQ1145" s="8">
        <f t="shared" si="552"/>
        <v>0.26260133944307368</v>
      </c>
      <c r="AR1145" s="6" t="s">
        <v>6221</v>
      </c>
      <c r="AS1145" s="6" t="str">
        <f t="shared" si="536"/>
        <v>=2.837*100000000</v>
      </c>
      <c r="AT1145" s="1">
        <f>2.837*100000000</f>
        <v>283700000</v>
      </c>
      <c r="AU1145" s="8">
        <f t="shared" si="553"/>
        <v>1.2444620253164558</v>
      </c>
      <c r="AV1145" s="6" t="s">
        <v>6275</v>
      </c>
      <c r="AW1145" s="6" t="str">
        <f t="shared" si="537"/>
        <v>=1.264*100000000</v>
      </c>
      <c r="AX1145" s="1">
        <f>1.264*100000000</f>
        <v>126400000</v>
      </c>
      <c r="AY1145" s="10">
        <f t="shared" si="554"/>
        <v>-8.2728592162554432E-2</v>
      </c>
      <c r="AZ1145" s="6" t="s">
        <v>11776</v>
      </c>
      <c r="BA1145" s="6" t="str">
        <f t="shared" si="538"/>
        <v>=1.378*100000000</v>
      </c>
      <c r="BB1145" s="1">
        <f>1.378*100000000</f>
        <v>137800000</v>
      </c>
      <c r="BC1145" s="8">
        <f t="shared" si="555"/>
        <v>-0.47384497899961825</v>
      </c>
      <c r="BD1145" s="6" t="s">
        <v>6620</v>
      </c>
      <c r="BE1145" s="6" t="str">
        <f t="shared" si="539"/>
        <v>=2.619*100000000</v>
      </c>
      <c r="BF1145" s="1">
        <f>2.619*100000000</f>
        <v>261900000.00000003</v>
      </c>
      <c r="BG1145" s="8">
        <f t="shared" si="556"/>
        <v>0.83275017494751591</v>
      </c>
      <c r="BH1145" s="6" t="s">
        <v>3573</v>
      </c>
      <c r="BI1145" s="6" t="str">
        <f t="shared" si="540"/>
        <v>=1.429*100000000</v>
      </c>
      <c r="BJ1145" s="1">
        <f>1.429*100000000</f>
        <v>142900000</v>
      </c>
      <c r="BK1145" s="7" t="s">
        <v>11777</v>
      </c>
      <c r="BL1145" s="1" t="str">
        <f t="shared" si="542"/>
        <v>=1808*10000</v>
      </c>
      <c r="BM1145" s="16">
        <f t="shared" si="557"/>
        <v>6.903761061946903</v>
      </c>
      <c r="BN1145" s="1">
        <f>1808*10000</f>
        <v>18080000</v>
      </c>
    </row>
    <row r="1146" spans="1:66">
      <c r="A1146" s="17">
        <v>288</v>
      </c>
      <c r="B1146">
        <v>600898</v>
      </c>
      <c r="C1146" t="s">
        <v>31</v>
      </c>
      <c r="D1146" s="6" t="s">
        <v>9233</v>
      </c>
      <c r="E1146" s="7" t="str">
        <f t="shared" si="541"/>
        <v>=2.357*100000000</v>
      </c>
      <c r="F1146" s="1">
        <f>2.357*100000000</f>
        <v>235700000.00000003</v>
      </c>
      <c r="G1146" s="8">
        <f t="shared" si="543"/>
        <v>0.40047534165181242</v>
      </c>
      <c r="H1146" s="6" t="s">
        <v>9515</v>
      </c>
      <c r="I1146" s="6" t="str">
        <f t="shared" si="527"/>
        <v>=1.683*100000000</v>
      </c>
      <c r="J1146" s="1">
        <f>1.683*100000000</f>
        <v>168300000</v>
      </c>
      <c r="K1146" s="10">
        <f t="shared" si="544"/>
        <v>0.90276992651215371</v>
      </c>
      <c r="L1146" s="7" t="s">
        <v>11778</v>
      </c>
      <c r="M1146" s="6" t="str">
        <f t="shared" si="528"/>
        <v>=8845*10000</v>
      </c>
      <c r="N1146" s="1">
        <f>8845*10000</f>
        <v>88450000</v>
      </c>
      <c r="O1146" s="8">
        <f t="shared" si="545"/>
        <v>1.4022270505160239</v>
      </c>
      <c r="P1146" s="7" t="s">
        <v>11355</v>
      </c>
      <c r="Q1146" s="6" t="str">
        <f t="shared" si="529"/>
        <v>=3682*10000</v>
      </c>
      <c r="R1146" s="11">
        <f>3682*10000</f>
        <v>36820000</v>
      </c>
      <c r="S1146" s="8">
        <f t="shared" si="546"/>
        <v>-0.96081728211131212</v>
      </c>
      <c r="T1146" s="6" t="s">
        <v>11779</v>
      </c>
      <c r="U1146" s="6" t="str">
        <f t="shared" si="530"/>
        <v>=9.397*100000000</v>
      </c>
      <c r="V1146" s="1">
        <f>9.397*100000000</f>
        <v>939700000</v>
      </c>
      <c r="W1146" s="8">
        <f t="shared" si="547"/>
        <v>0.40107350529297747</v>
      </c>
      <c r="X1146" s="6" t="s">
        <v>11780</v>
      </c>
      <c r="Y1146" s="6" t="str">
        <f t="shared" si="531"/>
        <v>=6.707*100000000</v>
      </c>
      <c r="Z1146" s="1">
        <f>6.707*100000000</f>
        <v>670700000</v>
      </c>
      <c r="AA1146" s="8">
        <f t="shared" si="548"/>
        <v>1.4022206303724929</v>
      </c>
      <c r="AB1146" s="6" t="s">
        <v>11781</v>
      </c>
      <c r="AC1146" s="6" t="str">
        <f t="shared" si="532"/>
        <v>=2.792*100000000</v>
      </c>
      <c r="AD1146" s="1">
        <f>2.792*100000000</f>
        <v>279200000</v>
      </c>
      <c r="AE1146" s="8">
        <f t="shared" si="549"/>
        <v>0.26049661399548535</v>
      </c>
      <c r="AF1146" s="6" t="s">
        <v>894</v>
      </c>
      <c r="AG1146" s="6" t="str">
        <f t="shared" si="533"/>
        <v>=2.215*100000000</v>
      </c>
      <c r="AH1146" s="1">
        <f>2.215*100000000</f>
        <v>221500000</v>
      </c>
      <c r="AI1146" s="8">
        <f t="shared" si="550"/>
        <v>-0.69287298946200782</v>
      </c>
      <c r="AJ1146" s="6" t="s">
        <v>11782</v>
      </c>
      <c r="AK1146" s="6" t="str">
        <f t="shared" si="534"/>
        <v>=7.212*100000000</v>
      </c>
      <c r="AL1146" s="1">
        <f>7.212*100000000</f>
        <v>721200000</v>
      </c>
      <c r="AM1146" s="8">
        <f t="shared" si="551"/>
        <v>5.3769725306838108E-2</v>
      </c>
      <c r="AN1146" s="6" t="s">
        <v>11783</v>
      </c>
      <c r="AO1146" s="6" t="str">
        <f t="shared" si="535"/>
        <v>=6.844*100000000</v>
      </c>
      <c r="AP1146" s="1">
        <f>6.844*100000000</f>
        <v>684400000</v>
      </c>
      <c r="AQ1146" s="8">
        <f t="shared" si="552"/>
        <v>0.10156124255593112</v>
      </c>
      <c r="AR1146" s="6" t="s">
        <v>11784</v>
      </c>
      <c r="AS1146" s="6" t="str">
        <f t="shared" si="536"/>
        <v>=6.213*100000000</v>
      </c>
      <c r="AT1146" s="1">
        <f>6.213*100000000</f>
        <v>621300000</v>
      </c>
      <c r="AU1146" s="8">
        <f t="shared" si="553"/>
        <v>0.48992805755395685</v>
      </c>
      <c r="AV1146" s="6" t="s">
        <v>10298</v>
      </c>
      <c r="AW1146" s="6" t="str">
        <f t="shared" si="537"/>
        <v>=4.170*100000000</v>
      </c>
      <c r="AX1146" s="1">
        <f>4.17*100000000</f>
        <v>417000000</v>
      </c>
      <c r="AY1146" s="10">
        <f t="shared" si="554"/>
        <v>-0.84192570128885524</v>
      </c>
      <c r="AZ1146" s="6" t="s">
        <v>11785</v>
      </c>
      <c r="BA1146" s="6" t="str">
        <f t="shared" si="538"/>
        <v>=26.38*100000000</v>
      </c>
      <c r="BB1146" s="1">
        <f>26.38*100000000</f>
        <v>2638000000</v>
      </c>
      <c r="BC1146" s="8">
        <f t="shared" si="555"/>
        <v>0.33097880928355194</v>
      </c>
      <c r="BD1146" s="6" t="s">
        <v>11786</v>
      </c>
      <c r="BE1146" s="6" t="str">
        <f t="shared" si="539"/>
        <v>=19.82*100000000</v>
      </c>
      <c r="BF1146" s="1">
        <f>19.82*100000000</f>
        <v>1982000000</v>
      </c>
      <c r="BG1146" s="8">
        <f t="shared" si="556"/>
        <v>0.33918918918918917</v>
      </c>
      <c r="BH1146" s="6" t="s">
        <v>11787</v>
      </c>
      <c r="BI1146" s="6" t="str">
        <f t="shared" si="540"/>
        <v>=14.80*100000000</v>
      </c>
      <c r="BJ1146" s="1">
        <f>14.8*100000000</f>
        <v>1480000000</v>
      </c>
      <c r="BK1146" s="6" t="s">
        <v>11788</v>
      </c>
      <c r="BL1146" s="1" t="str">
        <f t="shared" si="542"/>
        <v>=8.278*100000000</v>
      </c>
      <c r="BM1146" s="16">
        <f t="shared" si="557"/>
        <v>0.78787146653781104</v>
      </c>
      <c r="BN1146" s="1">
        <f>8.278*100000000</f>
        <v>827800000</v>
      </c>
    </row>
    <row r="1147" spans="1:66">
      <c r="A1147" s="18"/>
      <c r="B1147">
        <v>600898</v>
      </c>
      <c r="C1147" t="s">
        <v>48</v>
      </c>
      <c r="D1147" s="7">
        <f>-4806*10000</f>
        <v>-48060000</v>
      </c>
      <c r="E1147" s="7" t="str">
        <f t="shared" si="541"/>
        <v>=-48060000</v>
      </c>
      <c r="F1147" s="1">
        <f>-48060000</f>
        <v>-48060000</v>
      </c>
      <c r="G1147" s="8">
        <f t="shared" si="543"/>
        <v>0.98267326732673266</v>
      </c>
      <c r="H1147" s="7">
        <f>-2424*10000</f>
        <v>-24240000</v>
      </c>
      <c r="I1147" s="6" t="str">
        <f t="shared" si="527"/>
        <v>=-24240000</v>
      </c>
      <c r="J1147" s="1">
        <f>-24240000</f>
        <v>-24240000</v>
      </c>
      <c r="K1147" s="10">
        <f t="shared" si="544"/>
        <v>0.65573770491803274</v>
      </c>
      <c r="L1147" s="7">
        <f>-1464*10000</f>
        <v>-14640000</v>
      </c>
      <c r="M1147" s="6" t="str">
        <f t="shared" si="528"/>
        <v>=-14640000</v>
      </c>
      <c r="N1147" s="1">
        <f>-14640000</f>
        <v>-14640000</v>
      </c>
      <c r="O1147" s="8">
        <f t="shared" si="545"/>
        <v>2.9217787302437719</v>
      </c>
      <c r="P1147" s="7">
        <f>-373.3*10000</f>
        <v>-3733000</v>
      </c>
      <c r="Q1147" s="6" t="str">
        <f t="shared" si="529"/>
        <v>=-3733000</v>
      </c>
      <c r="R1147" s="11">
        <f>-3733000</f>
        <v>-3733000</v>
      </c>
      <c r="S1147" s="8">
        <f t="shared" si="546"/>
        <v>-0.97722391702257472</v>
      </c>
      <c r="T1147" s="6">
        <f>-1.639*100000000</f>
        <v>-163900000</v>
      </c>
      <c r="U1147" s="6" t="str">
        <f t="shared" si="530"/>
        <v>=-163900000</v>
      </c>
      <c r="V1147" s="1">
        <f>-163900000</f>
        <v>-163900000</v>
      </c>
      <c r="W1147" s="8">
        <f t="shared" si="547"/>
        <v>-8.3333333333333329E-2</v>
      </c>
      <c r="X1147" s="6">
        <f>-1.788*100000000</f>
        <v>-178800000</v>
      </c>
      <c r="Y1147" s="6" t="str">
        <f t="shared" si="531"/>
        <v>=-178800000</v>
      </c>
      <c r="Z1147" s="1">
        <f>-178800000</f>
        <v>-178800000</v>
      </c>
      <c r="AA1147" s="8">
        <f t="shared" si="548"/>
        <v>0.17554240631163709</v>
      </c>
      <c r="AB1147" s="6">
        <f>-1.521*100000000</f>
        <v>-152100000</v>
      </c>
      <c r="AC1147" s="6" t="str">
        <f t="shared" si="532"/>
        <v>=-152100000</v>
      </c>
      <c r="AD1147" s="1">
        <f>-152100000</f>
        <v>-152100000</v>
      </c>
      <c r="AE1147" s="8">
        <f t="shared" si="549"/>
        <v>0.6683119447186574</v>
      </c>
      <c r="AF1147" s="7">
        <f>-9117*10000</f>
        <v>-91170000</v>
      </c>
      <c r="AG1147" s="6" t="str">
        <f t="shared" si="533"/>
        <v>=-91170000</v>
      </c>
      <c r="AH1147" s="1">
        <f>-91170000</f>
        <v>-91170000</v>
      </c>
      <c r="AI1147" s="8">
        <f t="shared" si="550"/>
        <v>-0.90081592689295042</v>
      </c>
      <c r="AJ1147" s="6">
        <f>-9.192*100000000</f>
        <v>-919200000</v>
      </c>
      <c r="AK1147" s="6" t="str">
        <f t="shared" si="534"/>
        <v>=-919200000</v>
      </c>
      <c r="AL1147" s="1">
        <f>-919200000</f>
        <v>-919200000</v>
      </c>
      <c r="AM1147" s="8">
        <f t="shared" si="551"/>
        <v>2.573872472783826</v>
      </c>
      <c r="AN1147" s="6">
        <f>-2.572*100000000</f>
        <v>-257200000</v>
      </c>
      <c r="AO1147" s="6" t="str">
        <f t="shared" si="535"/>
        <v>=-257200000</v>
      </c>
      <c r="AP1147" s="1">
        <f>-257200000</f>
        <v>-257200000</v>
      </c>
      <c r="AQ1147" s="8">
        <f t="shared" si="552"/>
        <v>0.67447916666666663</v>
      </c>
      <c r="AR1147" s="6">
        <f>-1.536*100000000</f>
        <v>-153600000</v>
      </c>
      <c r="AS1147" s="6" t="str">
        <f t="shared" si="536"/>
        <v>=-153600000</v>
      </c>
      <c r="AT1147" s="1">
        <f>-153600000</f>
        <v>-153600000</v>
      </c>
      <c r="AU1147" s="8">
        <f t="shared" si="553"/>
        <v>2.269476372924649</v>
      </c>
      <c r="AV1147" s="7">
        <f>-4698*10000</f>
        <v>-46980000</v>
      </c>
      <c r="AW1147" s="6" t="str">
        <f t="shared" si="537"/>
        <v>=-46980000</v>
      </c>
      <c r="AX1147" s="1">
        <f>-46980000</f>
        <v>-46980000</v>
      </c>
      <c r="AY1147" s="10">
        <f t="shared" si="554"/>
        <v>-0.93711685182706461</v>
      </c>
      <c r="AZ1147" s="6">
        <f>-7.471*100000000</f>
        <v>-747100000</v>
      </c>
      <c r="BA1147" s="6" t="str">
        <f t="shared" si="538"/>
        <v>=-747100000</v>
      </c>
      <c r="BB1147" s="1">
        <f>-747100000</f>
        <v>-747100000</v>
      </c>
      <c r="BC1147" s="8">
        <f t="shared" si="555"/>
        <v>2.1616589081675834</v>
      </c>
      <c r="BD1147" s="6">
        <f>-2.363*100000000</f>
        <v>-236300000</v>
      </c>
      <c r="BE1147" s="6" t="str">
        <f t="shared" si="539"/>
        <v>=-236300000</v>
      </c>
      <c r="BF1147" s="1">
        <f>-236300000</f>
        <v>-236300000</v>
      </c>
      <c r="BG1147" s="8">
        <f t="shared" si="556"/>
        <v>0.76738967838444283</v>
      </c>
      <c r="BH1147" s="6">
        <f>-1.337*100000000</f>
        <v>-133700000</v>
      </c>
      <c r="BI1147" s="6" t="str">
        <f t="shared" si="540"/>
        <v>=-133700000</v>
      </c>
      <c r="BJ1147" s="1">
        <f>-133700000</f>
        <v>-133700000</v>
      </c>
      <c r="BK1147" s="7">
        <f>-1470*10000</f>
        <v>-14700000</v>
      </c>
      <c r="BL1147" s="1" t="str">
        <f t="shared" si="542"/>
        <v>=-14700000</v>
      </c>
      <c r="BM1147" s="16">
        <f t="shared" si="557"/>
        <v>8.0952380952380949</v>
      </c>
      <c r="BN1147" s="1">
        <f>-14700000</f>
        <v>-14700000</v>
      </c>
    </row>
    <row r="1148" spans="1:66">
      <c r="A1148" s="18"/>
      <c r="B1148">
        <v>600898</v>
      </c>
      <c r="C1148" t="s">
        <v>58</v>
      </c>
      <c r="D1148" s="7">
        <f>-4750*10000</f>
        <v>-47500000</v>
      </c>
      <c r="E1148" s="7" t="str">
        <f t="shared" si="541"/>
        <v>=-47500000</v>
      </c>
      <c r="F1148" s="1">
        <f>-47500000</f>
        <v>-47500000</v>
      </c>
      <c r="G1148" s="8">
        <f t="shared" si="543"/>
        <v>0.94274028629856854</v>
      </c>
      <c r="H1148" s="7">
        <f>-2445*10000</f>
        <v>-24450000</v>
      </c>
      <c r="I1148" s="6" t="str">
        <f t="shared" si="527"/>
        <v>=-24450000</v>
      </c>
      <c r="J1148" s="1">
        <f>-24450000</f>
        <v>-24450000</v>
      </c>
      <c r="K1148" s="10">
        <f t="shared" si="544"/>
        <v>0.67465753424657537</v>
      </c>
      <c r="L1148" s="7">
        <f>-1460*10000</f>
        <v>-14600000</v>
      </c>
      <c r="M1148" s="6" t="str">
        <f t="shared" si="528"/>
        <v>=-14600000</v>
      </c>
      <c r="N1148" s="1">
        <f>-14600000</f>
        <v>-14600000</v>
      </c>
      <c r="O1148" s="8">
        <f t="shared" si="545"/>
        <v>2.9406207827260458</v>
      </c>
      <c r="P1148" s="7">
        <f>-370.5*10000</f>
        <v>-3705000</v>
      </c>
      <c r="Q1148" s="6" t="str">
        <f t="shared" si="529"/>
        <v>=-3705000</v>
      </c>
      <c r="R1148" s="11">
        <f>-3705000</f>
        <v>-3705000</v>
      </c>
      <c r="S1148" s="8">
        <f t="shared" si="546"/>
        <v>-0.97743605359317909</v>
      </c>
      <c r="T1148" s="6">
        <f>-1.642*100000000</f>
        <v>-164200000</v>
      </c>
      <c r="U1148" s="6" t="str">
        <f t="shared" si="530"/>
        <v>=-164200000</v>
      </c>
      <c r="V1148" s="1">
        <f>-164200000</f>
        <v>-164200000</v>
      </c>
      <c r="W1148" s="8">
        <f t="shared" si="547"/>
        <v>-8.2681564245810052E-2</v>
      </c>
      <c r="X1148" s="6">
        <f>-1.79*100000000</f>
        <v>-179000000</v>
      </c>
      <c r="Y1148" s="6" t="str">
        <f t="shared" si="531"/>
        <v>=-179000000</v>
      </c>
      <c r="Z1148" s="1">
        <f>-179000000</f>
        <v>-179000000</v>
      </c>
      <c r="AA1148" s="8">
        <f t="shared" si="548"/>
        <v>0.17146596858638743</v>
      </c>
      <c r="AB1148" s="6">
        <f>-1.528*100000000</f>
        <v>-152800000</v>
      </c>
      <c r="AC1148" s="6" t="str">
        <f t="shared" si="532"/>
        <v>=-152800000</v>
      </c>
      <c r="AD1148" s="1">
        <f>-152800000</f>
        <v>-152800000</v>
      </c>
      <c r="AE1148" s="8">
        <f t="shared" si="549"/>
        <v>0.66612146985061604</v>
      </c>
      <c r="AF1148" s="7">
        <f>-9171*10000</f>
        <v>-91710000</v>
      </c>
      <c r="AG1148" s="6" t="str">
        <f t="shared" si="533"/>
        <v>=-91710000</v>
      </c>
      <c r="AH1148" s="1">
        <f>-91710000</f>
        <v>-91710000</v>
      </c>
      <c r="AI1148" s="8">
        <f t="shared" si="550"/>
        <v>-0.90086477137606746</v>
      </c>
      <c r="AJ1148" s="6">
        <f>-9.251*100000000</f>
        <v>-925100000</v>
      </c>
      <c r="AK1148" s="6" t="str">
        <f t="shared" si="534"/>
        <v>=-925100000</v>
      </c>
      <c r="AL1148" s="1">
        <f>-925100000</f>
        <v>-925100000</v>
      </c>
      <c r="AM1148" s="8">
        <f t="shared" si="551"/>
        <v>2.6122608356110892</v>
      </c>
      <c r="AN1148" s="6">
        <f>-2.561*100000000</f>
        <v>-256100000</v>
      </c>
      <c r="AO1148" s="6" t="str">
        <f t="shared" si="535"/>
        <v>=-256100000</v>
      </c>
      <c r="AP1148" s="1">
        <f>-256100000</f>
        <v>-256100000</v>
      </c>
      <c r="AQ1148" s="8">
        <f t="shared" si="552"/>
        <v>0.68154957321076826</v>
      </c>
      <c r="AR1148" s="6">
        <f>-1.523*100000000</f>
        <v>-152300000</v>
      </c>
      <c r="AS1148" s="6" t="str">
        <f t="shared" si="536"/>
        <v>=-152300000</v>
      </c>
      <c r="AT1148" s="1">
        <f>-152300000</f>
        <v>-152300000</v>
      </c>
      <c r="AU1148" s="8">
        <f t="shared" si="553"/>
        <v>2.2383584945779291</v>
      </c>
      <c r="AV1148" s="7">
        <f>-4703*10000</f>
        <v>-47030000</v>
      </c>
      <c r="AW1148" s="6" t="str">
        <f t="shared" si="537"/>
        <v>=-47030000</v>
      </c>
      <c r="AX1148" s="1">
        <f>-47030000</f>
        <v>-47030000</v>
      </c>
      <c r="AY1148" s="10">
        <f t="shared" si="554"/>
        <v>-0.92009853890587834</v>
      </c>
      <c r="AZ1148" s="6">
        <f>-5.886*100000000</f>
        <v>-588600000</v>
      </c>
      <c r="BA1148" s="6" t="str">
        <f t="shared" si="538"/>
        <v>=-588600000</v>
      </c>
      <c r="BB1148" s="1">
        <f>-588600000</f>
        <v>-588600000</v>
      </c>
      <c r="BC1148" s="8">
        <f t="shared" si="555"/>
        <v>1.4983022071307301</v>
      </c>
      <c r="BD1148" s="6">
        <f>-2.356*100000000</f>
        <v>-235600000</v>
      </c>
      <c r="BE1148" s="6" t="str">
        <f t="shared" si="539"/>
        <v>=-235600000</v>
      </c>
      <c r="BF1148" s="1">
        <f>-235600000</f>
        <v>-235600000</v>
      </c>
      <c r="BG1148" s="8">
        <f t="shared" si="556"/>
        <v>0.76744186046511631</v>
      </c>
      <c r="BH1148" s="6">
        <f>-1.333*100000000</f>
        <v>-133300000</v>
      </c>
      <c r="BI1148" s="6" t="str">
        <f t="shared" si="540"/>
        <v>=-133300000</v>
      </c>
      <c r="BJ1148" s="1">
        <f>-133300000</f>
        <v>-133300000</v>
      </c>
      <c r="BK1148" s="7">
        <f>-1461*10000</f>
        <v>-14610000</v>
      </c>
      <c r="BL1148" s="1" t="str">
        <f t="shared" si="542"/>
        <v>=-14610000</v>
      </c>
      <c r="BM1148" s="16">
        <f t="shared" si="557"/>
        <v>8.1238877481177276</v>
      </c>
      <c r="BN1148" s="1">
        <f>-14610000</f>
        <v>-14610000</v>
      </c>
    </row>
    <row r="1149" spans="1:66">
      <c r="A1149" s="19"/>
      <c r="B1149">
        <v>600898</v>
      </c>
      <c r="C1149" t="s">
        <v>68</v>
      </c>
      <c r="D1149" s="7">
        <f>-5119*10000</f>
        <v>-51190000</v>
      </c>
      <c r="E1149" s="7" t="str">
        <f t="shared" si="541"/>
        <v>=-51190000</v>
      </c>
      <c r="F1149" s="1">
        <f>-51190000</f>
        <v>-51190000</v>
      </c>
      <c r="G1149" s="8">
        <f t="shared" si="543"/>
        <v>1.0928045789043337</v>
      </c>
      <c r="H1149" s="7">
        <f>-2446*10000</f>
        <v>-24460000</v>
      </c>
      <c r="I1149" s="6" t="str">
        <f t="shared" si="527"/>
        <v>=-24460000</v>
      </c>
      <c r="J1149" s="1">
        <f>-24460000</f>
        <v>-24460000</v>
      </c>
      <c r="K1149" s="10">
        <f t="shared" si="544"/>
        <v>0.5689544579858884</v>
      </c>
      <c r="L1149" s="7">
        <f>-1559*10000</f>
        <v>-15590000</v>
      </c>
      <c r="M1149" s="6" t="str">
        <f t="shared" si="528"/>
        <v>=-15590000</v>
      </c>
      <c r="N1149" s="1">
        <f>-15590000</f>
        <v>-15590000</v>
      </c>
      <c r="O1149" s="8">
        <f t="shared" si="545"/>
        <v>2.7959581202824446</v>
      </c>
      <c r="P1149" s="7">
        <f>-410.7*10000</f>
        <v>-4107000</v>
      </c>
      <c r="Q1149" s="6" t="str">
        <f t="shared" si="529"/>
        <v>=-4107000</v>
      </c>
      <c r="R1149" s="11">
        <f>-4107000</f>
        <v>-4107000</v>
      </c>
      <c r="S1149" s="8">
        <f t="shared" si="546"/>
        <v>-0.98441366223908922</v>
      </c>
      <c r="T1149" s="6">
        <f>-2.635*100000000</f>
        <v>-263499999.99999997</v>
      </c>
      <c r="U1149" s="6" t="str">
        <f t="shared" si="530"/>
        <v>=-263500000</v>
      </c>
      <c r="V1149" s="1">
        <f>-263500000</f>
        <v>-263500000</v>
      </c>
      <c r="W1149" s="8">
        <f t="shared" si="547"/>
        <v>0.35615028306742152</v>
      </c>
      <c r="X1149" s="6">
        <f>-1.943*100000000</f>
        <v>-194300000</v>
      </c>
      <c r="Y1149" s="6" t="str">
        <f t="shared" si="531"/>
        <v>=-194300000</v>
      </c>
      <c r="Z1149" s="1">
        <f>-194300000</f>
        <v>-194300000</v>
      </c>
      <c r="AA1149" s="8">
        <f t="shared" si="548"/>
        <v>0.30490261920752182</v>
      </c>
      <c r="AB1149" s="6">
        <f>-1.489*100000000</f>
        <v>-148900000</v>
      </c>
      <c r="AC1149" s="6" t="str">
        <f t="shared" si="532"/>
        <v>=-148900000</v>
      </c>
      <c r="AD1149" s="1">
        <f>-148900000</f>
        <v>-148900000</v>
      </c>
      <c r="AE1149" s="8">
        <f t="shared" si="549"/>
        <v>0.6627582356225572</v>
      </c>
      <c r="AF1149" s="7">
        <f>-8955*10000</f>
        <v>-89550000</v>
      </c>
      <c r="AG1149" s="6" t="str">
        <f t="shared" si="533"/>
        <v>=-89550000</v>
      </c>
      <c r="AH1149" s="1">
        <f>-89550000</f>
        <v>-89550000</v>
      </c>
      <c r="AI1149" s="8">
        <f t="shared" si="550"/>
        <v>-0.90221664118803235</v>
      </c>
      <c r="AJ1149" s="6">
        <f>-9.158*100000000</f>
        <v>-915800000</v>
      </c>
      <c r="AK1149" s="6" t="str">
        <f t="shared" si="534"/>
        <v>=-915800000</v>
      </c>
      <c r="AL1149" s="1">
        <f>-915800000</f>
        <v>-915800000</v>
      </c>
      <c r="AM1149" s="8">
        <f t="shared" si="551"/>
        <v>2.8821534548537517</v>
      </c>
      <c r="AN1149" s="6">
        <f>-2.359*100000000</f>
        <v>-235900000</v>
      </c>
      <c r="AO1149" s="6" t="str">
        <f t="shared" si="535"/>
        <v>=-235900000</v>
      </c>
      <c r="AP1149" s="1">
        <f>-235900000</f>
        <v>-235900000</v>
      </c>
      <c r="AQ1149" s="8">
        <f t="shared" si="552"/>
        <v>0.68379728765167735</v>
      </c>
      <c r="AR1149" s="6">
        <f>-1.401*100000000</f>
        <v>-140100000</v>
      </c>
      <c r="AS1149" s="6" t="str">
        <f t="shared" si="536"/>
        <v>=-140100000</v>
      </c>
      <c r="AT1149" s="1">
        <f>-140100000</f>
        <v>-140100000</v>
      </c>
      <c r="AU1149" s="8">
        <f t="shared" si="553"/>
        <v>2.3373034778465938</v>
      </c>
      <c r="AV1149" s="7">
        <f>-4198*10000</f>
        <v>-41980000</v>
      </c>
      <c r="AW1149" s="6" t="str">
        <f t="shared" si="537"/>
        <v>=-41980000</v>
      </c>
      <c r="AX1149" s="1">
        <f>-41980000</f>
        <v>-41980000</v>
      </c>
      <c r="AY1149" s="10">
        <f t="shared" si="554"/>
        <v>-0.9297052913596785</v>
      </c>
      <c r="AZ1149" s="6">
        <f>-5.972*100000000</f>
        <v>-597200000</v>
      </c>
      <c r="BA1149" s="6" t="str">
        <f t="shared" si="538"/>
        <v>=-597200000</v>
      </c>
      <c r="BB1149" s="1">
        <f>-597200000</f>
        <v>-597200000</v>
      </c>
      <c r="BC1149" s="8">
        <f t="shared" si="555"/>
        <v>2.4125714285714284</v>
      </c>
      <c r="BD1149" s="6">
        <f>-1.75*100000000</f>
        <v>-175000000</v>
      </c>
      <c r="BE1149" s="6" t="str">
        <f t="shared" si="539"/>
        <v>=-175000000</v>
      </c>
      <c r="BF1149" s="1">
        <f>-175000000</f>
        <v>-175000000</v>
      </c>
      <c r="BG1149" s="8">
        <f t="shared" si="556"/>
        <v>0.72924901185770752</v>
      </c>
      <c r="BH1149" s="6">
        <f>-1.012*100000000</f>
        <v>-101200000</v>
      </c>
      <c r="BI1149" s="6" t="str">
        <f t="shared" si="540"/>
        <v>=-101200000</v>
      </c>
      <c r="BJ1149" s="1">
        <f>-101200000</f>
        <v>-101200000</v>
      </c>
      <c r="BK1149" s="7">
        <f>-1093*10000</f>
        <v>-10930000</v>
      </c>
      <c r="BL1149" s="1" t="str">
        <f t="shared" si="542"/>
        <v>=-10930000</v>
      </c>
      <c r="BM1149" s="16">
        <f t="shared" si="557"/>
        <v>8.2589204025617562</v>
      </c>
      <c r="BN1149" s="1">
        <f>-10930000</f>
        <v>-10930000</v>
      </c>
    </row>
    <row r="1150" spans="1:66">
      <c r="A1150" s="17">
        <v>289</v>
      </c>
      <c r="B1150">
        <v>600909</v>
      </c>
      <c r="C1150" t="s">
        <v>31</v>
      </c>
      <c r="D1150" s="6" t="s">
        <v>2274</v>
      </c>
      <c r="E1150" s="7" t="str">
        <f t="shared" si="541"/>
        <v>=34.83*100000000</v>
      </c>
      <c r="F1150" s="1">
        <f>34.83*100000000</f>
        <v>3483000000</v>
      </c>
      <c r="G1150" s="8">
        <f t="shared" si="543"/>
        <v>0.53978779840848812</v>
      </c>
      <c r="H1150" s="6" t="s">
        <v>10401</v>
      </c>
      <c r="I1150" s="6" t="str">
        <f t="shared" si="527"/>
        <v>=22.62*100000000</v>
      </c>
      <c r="J1150" s="1">
        <f>22.62*100000000</f>
        <v>2262000000</v>
      </c>
      <c r="K1150" s="10">
        <f t="shared" si="544"/>
        <v>0.50800000000000001</v>
      </c>
      <c r="L1150" s="6" t="s">
        <v>1517</v>
      </c>
      <c r="M1150" s="6" t="str">
        <f t="shared" si="528"/>
        <v>=15.00*100000000</v>
      </c>
      <c r="N1150" s="1">
        <f>15*100000000</f>
        <v>1500000000</v>
      </c>
      <c r="O1150" s="8">
        <f t="shared" si="545"/>
        <v>1.4342745861733204</v>
      </c>
      <c r="P1150" s="6" t="s">
        <v>2658</v>
      </c>
      <c r="Q1150" s="6" t="str">
        <f t="shared" si="529"/>
        <v>=6.162*100000000</v>
      </c>
      <c r="R1150" s="11">
        <f>6.162*100000000</f>
        <v>616200000</v>
      </c>
      <c r="S1150" s="8">
        <f t="shared" si="546"/>
        <v>-0.81644325290437891</v>
      </c>
      <c r="T1150" s="6" t="s">
        <v>11789</v>
      </c>
      <c r="U1150" s="6" t="str">
        <f t="shared" si="530"/>
        <v>=33.57*100000000</v>
      </c>
      <c r="V1150" s="1">
        <f>33.57*100000000</f>
        <v>3357000000</v>
      </c>
      <c r="W1150" s="8">
        <f t="shared" si="547"/>
        <v>0.31802120141342755</v>
      </c>
      <c r="X1150" s="6" t="s">
        <v>529</v>
      </c>
      <c r="Y1150" s="6" t="str">
        <f t="shared" si="531"/>
        <v>=25.47*100000000</v>
      </c>
      <c r="Z1150" s="1">
        <f>25.47*100000000</f>
        <v>2547000000</v>
      </c>
      <c r="AA1150" s="8">
        <f t="shared" si="548"/>
        <v>0.53064903846153844</v>
      </c>
      <c r="AB1150" s="6" t="s">
        <v>1196</v>
      </c>
      <c r="AC1150" s="6" t="str">
        <f t="shared" si="532"/>
        <v>=16.64*100000000</v>
      </c>
      <c r="AD1150" s="1">
        <f>16.64*100000000</f>
        <v>1664000000</v>
      </c>
      <c r="AE1150" s="8">
        <f t="shared" si="549"/>
        <v>1.0201529683137065</v>
      </c>
      <c r="AF1150" s="6" t="s">
        <v>11790</v>
      </c>
      <c r="AG1150" s="6" t="str">
        <f t="shared" si="533"/>
        <v>=8.237*100000000</v>
      </c>
      <c r="AH1150" s="1">
        <f>8.237*100000000</f>
        <v>823700000</v>
      </c>
      <c r="AI1150" s="8">
        <f t="shared" si="550"/>
        <v>-0.74514232673267322</v>
      </c>
      <c r="AJ1150" s="6" t="s">
        <v>11791</v>
      </c>
      <c r="AK1150" s="6" t="str">
        <f t="shared" si="534"/>
        <v>=32.32*100000000</v>
      </c>
      <c r="AL1150" s="1">
        <f>32.32*100000000</f>
        <v>3232000000</v>
      </c>
      <c r="AM1150" s="8">
        <f t="shared" si="551"/>
        <v>0.48120989917506873</v>
      </c>
      <c r="AN1150" s="6" t="s">
        <v>1369</v>
      </c>
      <c r="AO1150" s="6" t="str">
        <f t="shared" si="535"/>
        <v>=21.82*100000000</v>
      </c>
      <c r="AP1150" s="1">
        <f>21.82*100000000</f>
        <v>2182000000</v>
      </c>
      <c r="AQ1150" s="8">
        <f t="shared" si="552"/>
        <v>0.51949860724233987</v>
      </c>
      <c r="AR1150" s="6" t="s">
        <v>220</v>
      </c>
      <c r="AS1150" s="6" t="str">
        <f t="shared" si="536"/>
        <v>=14.36*100000000</v>
      </c>
      <c r="AT1150" s="1">
        <f>14.36*100000000</f>
        <v>1436000000</v>
      </c>
      <c r="AU1150" s="8">
        <f t="shared" si="553"/>
        <v>0.4537355740028346</v>
      </c>
      <c r="AV1150" s="6" t="s">
        <v>11792</v>
      </c>
      <c r="AW1150" s="6" t="str">
        <f t="shared" si="537"/>
        <v>=9.878*100000000</v>
      </c>
      <c r="AX1150" s="1">
        <f>9.878*100000000</f>
        <v>987800000</v>
      </c>
      <c r="AY1150" s="10">
        <f t="shared" si="554"/>
        <v>-0.43906871095968197</v>
      </c>
      <c r="AZ1150" s="6" t="s">
        <v>11793</v>
      </c>
      <c r="BA1150" s="6" t="str">
        <f t="shared" si="538"/>
        <v>=17.61*100000000</v>
      </c>
      <c r="BB1150" s="1">
        <f>17.61*100000000</f>
        <v>1761000000</v>
      </c>
      <c r="BC1150" s="8">
        <f t="shared" si="555"/>
        <v>0.44462674323215751</v>
      </c>
      <c r="BD1150" s="6" t="s">
        <v>2432</v>
      </c>
      <c r="BE1150" s="6" t="str">
        <f t="shared" si="539"/>
        <v>=12.19*100000000</v>
      </c>
      <c r="BF1150" s="1">
        <f>12.19*100000000</f>
        <v>1219000000</v>
      </c>
      <c r="BG1150" s="8">
        <f t="shared" si="556"/>
        <v>0.50475249969139591</v>
      </c>
      <c r="BH1150" s="6" t="s">
        <v>1264</v>
      </c>
      <c r="BI1150" s="6" t="str">
        <f t="shared" si="540"/>
        <v>=8.101*100000000</v>
      </c>
      <c r="BJ1150" s="1">
        <f>8.101*100000000</f>
        <v>810100000.00000012</v>
      </c>
      <c r="BK1150" s="6" t="s">
        <v>3687</v>
      </c>
      <c r="BL1150" s="1" t="str">
        <f t="shared" si="542"/>
        <v>=4.150*100000000</v>
      </c>
      <c r="BM1150" s="16">
        <f t="shared" si="557"/>
        <v>0.95204819277108432</v>
      </c>
      <c r="BN1150" s="1">
        <f>4.15*100000000</f>
        <v>415000000.00000006</v>
      </c>
    </row>
    <row r="1151" spans="1:66">
      <c r="A1151" s="18"/>
      <c r="B1151">
        <v>600909</v>
      </c>
      <c r="C1151" t="s">
        <v>48</v>
      </c>
      <c r="D1151" s="6" t="s">
        <v>7927</v>
      </c>
      <c r="E1151" s="7" t="str">
        <f t="shared" si="541"/>
        <v>=17.94*100000000</v>
      </c>
      <c r="F1151" s="1">
        <f>17.94*100000000</f>
        <v>1794000000.0000002</v>
      </c>
      <c r="G1151" s="8">
        <f t="shared" si="543"/>
        <v>0.45028294260307217</v>
      </c>
      <c r="H1151" s="6" t="s">
        <v>2745</v>
      </c>
      <c r="I1151" s="6" t="str">
        <f t="shared" ref="I1151:I1214" si="558">"="&amp;H1151</f>
        <v>=12.37*100000000</v>
      </c>
      <c r="J1151" s="1">
        <f>12.37*100000000</f>
        <v>1237000000</v>
      </c>
      <c r="K1151" s="10">
        <f t="shared" si="544"/>
        <v>0.5397062484441123</v>
      </c>
      <c r="L1151" s="6" t="s">
        <v>9121</v>
      </c>
      <c r="M1151" s="6" t="str">
        <f t="shared" ref="M1151:M1214" si="559">"="&amp;L1151</f>
        <v>=8.034*100000000</v>
      </c>
      <c r="N1151" s="1">
        <f>8.034*100000000</f>
        <v>803400000.00000012</v>
      </c>
      <c r="O1151" s="8">
        <f t="shared" si="545"/>
        <v>2.5392070484581502</v>
      </c>
      <c r="P1151" s="6" t="s">
        <v>8407</v>
      </c>
      <c r="Q1151" s="6" t="str">
        <f t="shared" ref="Q1151:Q1214" si="560">"="&amp;P1151</f>
        <v>=2.270*100000000</v>
      </c>
      <c r="R1151" s="11">
        <f>2.27*100000000</f>
        <v>227000000</v>
      </c>
      <c r="S1151" s="8">
        <f t="shared" si="546"/>
        <v>-0.8620060790273556</v>
      </c>
      <c r="T1151" s="6" t="s">
        <v>8691</v>
      </c>
      <c r="U1151" s="6" t="str">
        <f t="shared" ref="U1151:U1214" si="561">"="&amp;T1151</f>
        <v>=16.45*100000000</v>
      </c>
      <c r="V1151" s="1">
        <f>16.45*100000000</f>
        <v>1645000000</v>
      </c>
      <c r="W1151" s="8">
        <f t="shared" si="547"/>
        <v>0.25285605483625284</v>
      </c>
      <c r="X1151" s="6" t="s">
        <v>5717</v>
      </c>
      <c r="Y1151" s="6" t="str">
        <f t="shared" ref="Y1151:Y1214" si="562">"="&amp;X1151</f>
        <v>=13.13*100000000</v>
      </c>
      <c r="Z1151" s="1">
        <f>13.13*100000000</f>
        <v>1313000000</v>
      </c>
      <c r="AA1151" s="8">
        <f t="shared" si="548"/>
        <v>0.51546629732225302</v>
      </c>
      <c r="AB1151" s="6" t="s">
        <v>11794</v>
      </c>
      <c r="AC1151" s="6" t="str">
        <f t="shared" ref="AC1151:AC1214" si="563">"="&amp;AB1151</f>
        <v>=8.664*100000000</v>
      </c>
      <c r="AD1151" s="1">
        <f>8.664*100000000</f>
        <v>866400000</v>
      </c>
      <c r="AE1151" s="8">
        <f t="shared" si="549"/>
        <v>1.0181691125087351</v>
      </c>
      <c r="AF1151" s="6" t="s">
        <v>8624</v>
      </c>
      <c r="AG1151" s="6" t="str">
        <f t="shared" ref="AG1151:AG1214" si="564">"="&amp;AF1151</f>
        <v>=4.293*100000000</v>
      </c>
      <c r="AH1151" s="1">
        <f>4.293*100000000</f>
        <v>429300000</v>
      </c>
      <c r="AI1151" s="8">
        <f t="shared" si="550"/>
        <v>-0.71245813797722701</v>
      </c>
      <c r="AJ1151" s="6" t="s">
        <v>9115</v>
      </c>
      <c r="AK1151" s="6" t="str">
        <f t="shared" ref="AK1151:AK1214" si="565">"="&amp;AJ1151</f>
        <v>=14.93*100000000</v>
      </c>
      <c r="AL1151" s="1">
        <f>14.93*100000000</f>
        <v>1493000000</v>
      </c>
      <c r="AM1151" s="8">
        <f t="shared" si="551"/>
        <v>0.31426056338028169</v>
      </c>
      <c r="AN1151" s="6" t="s">
        <v>5038</v>
      </c>
      <c r="AO1151" s="6" t="str">
        <f t="shared" ref="AO1151:AO1214" si="566">"="&amp;AN1151</f>
        <v>=11.36*100000000</v>
      </c>
      <c r="AP1151" s="1">
        <f>11.36*100000000</f>
        <v>1136000000</v>
      </c>
      <c r="AQ1151" s="8">
        <f t="shared" si="552"/>
        <v>0.59237454443509951</v>
      </c>
      <c r="AR1151" s="6" t="s">
        <v>11795</v>
      </c>
      <c r="AS1151" s="6" t="str">
        <f t="shared" ref="AS1151:AS1214" si="567">"="&amp;AR1151</f>
        <v>=7.134*100000000</v>
      </c>
      <c r="AT1151" s="1">
        <f>7.134*100000000</f>
        <v>713400000</v>
      </c>
      <c r="AU1151" s="8">
        <f t="shared" si="553"/>
        <v>0.22053036783575705</v>
      </c>
      <c r="AV1151" s="6" t="s">
        <v>11796</v>
      </c>
      <c r="AW1151" s="6" t="str">
        <f t="shared" ref="AW1151:AW1214" si="568">"="&amp;AV1151</f>
        <v>=5.845*100000000</v>
      </c>
      <c r="AX1151" s="1">
        <f>5.845*100000000</f>
        <v>584500000</v>
      </c>
      <c r="AY1151" s="10">
        <f t="shared" si="554"/>
        <v>-0.13841391509433962</v>
      </c>
      <c r="AZ1151" s="6" t="s">
        <v>7815</v>
      </c>
      <c r="BA1151" s="6" t="str">
        <f t="shared" ref="BA1151:BA1214" si="569">"="&amp;AZ1151</f>
        <v>=6.784*100000000</v>
      </c>
      <c r="BB1151" s="1">
        <f>6.784*100000000</f>
        <v>678400000</v>
      </c>
      <c r="BC1151" s="8">
        <f t="shared" si="555"/>
        <v>0.56241363426992186</v>
      </c>
      <c r="BD1151" s="6" t="s">
        <v>6292</v>
      </c>
      <c r="BE1151" s="6" t="str">
        <f t="shared" ref="BE1151:BE1214" si="570">"="&amp;BD1151</f>
        <v>=4.342*100000000</v>
      </c>
      <c r="BF1151" s="1">
        <f>4.342*100000000</f>
        <v>434199999.99999994</v>
      </c>
      <c r="BG1151" s="8">
        <f t="shared" si="556"/>
        <v>0.39077514413837267</v>
      </c>
      <c r="BH1151" s="6" t="s">
        <v>7833</v>
      </c>
      <c r="BI1151" s="6" t="str">
        <f t="shared" ref="BI1151:BI1214" si="571">"="&amp;BH1151</f>
        <v>=3.122*100000000</v>
      </c>
      <c r="BJ1151" s="1">
        <f>3.122*100000000</f>
        <v>312200000</v>
      </c>
      <c r="BK1151" s="6" t="s">
        <v>11797</v>
      </c>
      <c r="BL1151" s="1" t="str">
        <f t="shared" si="542"/>
        <v>=1.987*100000000</v>
      </c>
      <c r="BM1151" s="16">
        <f t="shared" si="557"/>
        <v>0.57121288374433821</v>
      </c>
      <c r="BN1151" s="1">
        <f>1.987*100000000</f>
        <v>198700000</v>
      </c>
    </row>
    <row r="1152" spans="1:66">
      <c r="A1152" s="18"/>
      <c r="B1152">
        <v>600909</v>
      </c>
      <c r="C1152" t="s">
        <v>58</v>
      </c>
      <c r="D1152" s="6" t="s">
        <v>6779</v>
      </c>
      <c r="E1152" s="7" t="str">
        <f t="shared" si="541"/>
        <v>=17.87*100000000</v>
      </c>
      <c r="F1152" s="1">
        <f>17.87*100000000</f>
        <v>1787000000</v>
      </c>
      <c r="G1152" s="8">
        <f t="shared" si="543"/>
        <v>0.44579288025889968</v>
      </c>
      <c r="H1152" s="6" t="s">
        <v>1800</v>
      </c>
      <c r="I1152" s="6" t="str">
        <f t="shared" si="558"/>
        <v>=12.36*100000000</v>
      </c>
      <c r="J1152" s="1">
        <f>12.36*100000000</f>
        <v>1236000000</v>
      </c>
      <c r="K1152" s="10">
        <f t="shared" si="544"/>
        <v>0.54095499314299944</v>
      </c>
      <c r="L1152" s="6" t="s">
        <v>11798</v>
      </c>
      <c r="M1152" s="6" t="str">
        <f t="shared" si="559"/>
        <v>=8.021*100000000</v>
      </c>
      <c r="N1152" s="1">
        <f>8.021*100000000</f>
        <v>802100000.00000012</v>
      </c>
      <c r="O1152" s="8">
        <f t="shared" si="545"/>
        <v>2.5444100751215206</v>
      </c>
      <c r="P1152" s="6" t="s">
        <v>11799</v>
      </c>
      <c r="Q1152" s="6" t="str">
        <f t="shared" si="560"/>
        <v>=2.263*100000000</v>
      </c>
      <c r="R1152" s="11">
        <f>2.263*100000000</f>
        <v>226300000</v>
      </c>
      <c r="S1152" s="8">
        <f t="shared" si="546"/>
        <v>-0.86133578431372548</v>
      </c>
      <c r="T1152" s="6" t="s">
        <v>6209</v>
      </c>
      <c r="U1152" s="6" t="str">
        <f t="shared" si="561"/>
        <v>=16.32*100000000</v>
      </c>
      <c r="V1152" s="1">
        <f>16.32*100000000</f>
        <v>1632000000</v>
      </c>
      <c r="W1152" s="8">
        <f t="shared" si="547"/>
        <v>0.24106463878326997</v>
      </c>
      <c r="X1152" s="6" t="s">
        <v>1571</v>
      </c>
      <c r="Y1152" s="6" t="str">
        <f t="shared" si="562"/>
        <v>=13.15*100000000</v>
      </c>
      <c r="Z1152" s="1">
        <f>13.15*100000000</f>
        <v>1315000000</v>
      </c>
      <c r="AA1152" s="8">
        <f t="shared" si="548"/>
        <v>0.51724933656397831</v>
      </c>
      <c r="AB1152" s="6" t="s">
        <v>5123</v>
      </c>
      <c r="AC1152" s="6" t="str">
        <f t="shared" si="563"/>
        <v>=8.667*100000000</v>
      </c>
      <c r="AD1152" s="1">
        <f>8.667*100000000</f>
        <v>866700000</v>
      </c>
      <c r="AE1152" s="8">
        <f t="shared" si="549"/>
        <v>1.0221651889874011</v>
      </c>
      <c r="AF1152" s="6" t="s">
        <v>11578</v>
      </c>
      <c r="AG1152" s="6" t="str">
        <f t="shared" si="564"/>
        <v>=4.286*100000000</v>
      </c>
      <c r="AH1152" s="1">
        <f>4.286*100000000</f>
        <v>428599999.99999994</v>
      </c>
      <c r="AI1152" s="8">
        <f t="shared" si="550"/>
        <v>-0.71099123398516517</v>
      </c>
      <c r="AJ1152" s="6" t="s">
        <v>4086</v>
      </c>
      <c r="AK1152" s="6" t="str">
        <f t="shared" si="565"/>
        <v>=14.83*100000000</v>
      </c>
      <c r="AL1152" s="1">
        <f>14.83*100000000</f>
        <v>1483000000</v>
      </c>
      <c r="AM1152" s="8">
        <f t="shared" si="551"/>
        <v>0.30430958663148638</v>
      </c>
      <c r="AN1152" s="6" t="s">
        <v>1378</v>
      </c>
      <c r="AO1152" s="6" t="str">
        <f t="shared" si="566"/>
        <v>=11.37*100000000</v>
      </c>
      <c r="AP1152" s="1">
        <f>11.37*100000000</f>
        <v>1137000000</v>
      </c>
      <c r="AQ1152" s="8">
        <f t="shared" si="552"/>
        <v>0.59154535274356101</v>
      </c>
      <c r="AR1152" s="6" t="s">
        <v>11800</v>
      </c>
      <c r="AS1152" s="6" t="str">
        <f t="shared" si="567"/>
        <v>=7.144*100000000</v>
      </c>
      <c r="AT1152" s="1">
        <f>7.144*100000000</f>
        <v>714400000</v>
      </c>
      <c r="AU1152" s="8">
        <f t="shared" si="553"/>
        <v>0.22057064753118058</v>
      </c>
      <c r="AV1152" s="6" t="s">
        <v>11801</v>
      </c>
      <c r="AW1152" s="6" t="str">
        <f t="shared" si="568"/>
        <v>=5.853*100000000</v>
      </c>
      <c r="AX1152" s="1">
        <f>5.853*100000000</f>
        <v>585300000</v>
      </c>
      <c r="AY1152" s="10">
        <f t="shared" si="554"/>
        <v>-0.12602657906525311</v>
      </c>
      <c r="AZ1152" s="6" t="s">
        <v>11802</v>
      </c>
      <c r="BA1152" s="6" t="str">
        <f t="shared" si="569"/>
        <v>=6.697*100000000</v>
      </c>
      <c r="BB1152" s="1">
        <f>6.697*100000000</f>
        <v>669700000</v>
      </c>
      <c r="BC1152" s="8">
        <f t="shared" si="555"/>
        <v>0.54131185270425775</v>
      </c>
      <c r="BD1152" s="6" t="s">
        <v>8604</v>
      </c>
      <c r="BE1152" s="6" t="str">
        <f t="shared" si="570"/>
        <v>=4.345*100000000</v>
      </c>
      <c r="BF1152" s="1">
        <f>4.345*100000000</f>
        <v>434500000</v>
      </c>
      <c r="BG1152" s="8">
        <f t="shared" si="556"/>
        <v>0.3886225631192074</v>
      </c>
      <c r="BH1152" s="6" t="s">
        <v>1420</v>
      </c>
      <c r="BI1152" s="6" t="str">
        <f t="shared" si="571"/>
        <v>=3.129*100000000</v>
      </c>
      <c r="BJ1152" s="1">
        <f>3.129*100000000</f>
        <v>312900000</v>
      </c>
      <c r="BK1152" s="6" t="s">
        <v>11803</v>
      </c>
      <c r="BL1152" s="1" t="str">
        <f t="shared" si="542"/>
        <v>=1.992*100000000</v>
      </c>
      <c r="BM1152" s="16">
        <f t="shared" si="557"/>
        <v>0.57078313253012047</v>
      </c>
      <c r="BN1152" s="1">
        <f>1.992*100000000</f>
        <v>199200000</v>
      </c>
    </row>
    <row r="1153" spans="1:66">
      <c r="A1153" s="19"/>
      <c r="B1153">
        <v>600909</v>
      </c>
      <c r="C1153" t="s">
        <v>68</v>
      </c>
      <c r="D1153" s="6" t="s">
        <v>1834</v>
      </c>
      <c r="E1153" s="7" t="str">
        <f t="shared" si="541"/>
        <v>=13.88*100000000</v>
      </c>
      <c r="F1153" s="1">
        <f>13.88*100000000</f>
        <v>1388000000</v>
      </c>
      <c r="G1153" s="8">
        <f t="shared" si="543"/>
        <v>0.49908197429528028</v>
      </c>
      <c r="H1153" s="6" t="s">
        <v>11804</v>
      </c>
      <c r="I1153" s="6" t="str">
        <f t="shared" si="558"/>
        <v>=9.259*100000000</v>
      </c>
      <c r="J1153" s="1">
        <f>9.259*100000000</f>
        <v>925900000</v>
      </c>
      <c r="K1153" s="10">
        <f t="shared" si="544"/>
        <v>0.58816466552315605</v>
      </c>
      <c r="L1153" s="6" t="s">
        <v>11805</v>
      </c>
      <c r="M1153" s="6" t="str">
        <f t="shared" si="559"/>
        <v>=5.830*100000000</v>
      </c>
      <c r="N1153" s="1">
        <f>5.83*100000000</f>
        <v>583000000</v>
      </c>
      <c r="O1153" s="8">
        <f t="shared" si="545"/>
        <v>2.3777520278099651</v>
      </c>
      <c r="P1153" s="6" t="s">
        <v>2366</v>
      </c>
      <c r="Q1153" s="6" t="str">
        <f t="shared" si="560"/>
        <v>=1.726*100000000</v>
      </c>
      <c r="R1153" s="11">
        <f>1.726*100000000</f>
        <v>172600000</v>
      </c>
      <c r="S1153" s="8">
        <f t="shared" si="546"/>
        <v>-0.86355731225296439</v>
      </c>
      <c r="T1153" s="6" t="s">
        <v>6523</v>
      </c>
      <c r="U1153" s="6" t="str">
        <f t="shared" si="561"/>
        <v>=12.65*100000000</v>
      </c>
      <c r="V1153" s="1">
        <f>12.65*100000000</f>
        <v>1265000000</v>
      </c>
      <c r="W1153" s="8">
        <f t="shared" si="547"/>
        <v>0.24507874015748032</v>
      </c>
      <c r="X1153" s="6" t="s">
        <v>603</v>
      </c>
      <c r="Y1153" s="6" t="str">
        <f t="shared" si="562"/>
        <v>=10.16*100000000</v>
      </c>
      <c r="Z1153" s="1">
        <f>10.16*100000000</f>
        <v>1016000000</v>
      </c>
      <c r="AA1153" s="8">
        <f t="shared" si="548"/>
        <v>0.56403940886699511</v>
      </c>
      <c r="AB1153" s="6" t="s">
        <v>11806</v>
      </c>
      <c r="AC1153" s="6" t="str">
        <f t="shared" si="563"/>
        <v>=6.496*100000000</v>
      </c>
      <c r="AD1153" s="1">
        <f>6.496*100000000</f>
        <v>649600000</v>
      </c>
      <c r="AE1153" s="8">
        <f t="shared" si="549"/>
        <v>1.0067964164349708</v>
      </c>
      <c r="AF1153" s="6" t="s">
        <v>11807</v>
      </c>
      <c r="AG1153" s="6" t="str">
        <f t="shared" si="564"/>
        <v>=3.237*100000000</v>
      </c>
      <c r="AH1153" s="1">
        <f>3.237*100000000</f>
        <v>323700000</v>
      </c>
      <c r="AI1153" s="8">
        <f t="shared" si="550"/>
        <v>-0.73336079077429983</v>
      </c>
      <c r="AJ1153" s="6" t="s">
        <v>2082</v>
      </c>
      <c r="AK1153" s="6" t="str">
        <f t="shared" si="565"/>
        <v>=12.14*100000000</v>
      </c>
      <c r="AL1153" s="1">
        <f>12.14*100000000</f>
        <v>1214000000</v>
      </c>
      <c r="AM1153" s="8">
        <f t="shared" si="551"/>
        <v>0.3197086639852158</v>
      </c>
      <c r="AN1153" s="6" t="s">
        <v>11808</v>
      </c>
      <c r="AO1153" s="6" t="str">
        <f t="shared" si="566"/>
        <v>=9.199*100000000</v>
      </c>
      <c r="AP1153" s="1">
        <f>9.199*100000000</f>
        <v>919900000</v>
      </c>
      <c r="AQ1153" s="8">
        <f t="shared" si="552"/>
        <v>0.58712905452035891</v>
      </c>
      <c r="AR1153" s="6" t="s">
        <v>11809</v>
      </c>
      <c r="AS1153" s="6" t="str">
        <f t="shared" si="567"/>
        <v>=5.796*100000000</v>
      </c>
      <c r="AT1153" s="1">
        <f>5.796*100000000</f>
        <v>579600000</v>
      </c>
      <c r="AU1153" s="8">
        <f t="shared" si="553"/>
        <v>0.1256554670809866</v>
      </c>
      <c r="AV1153" s="6" t="s">
        <v>4020</v>
      </c>
      <c r="AW1153" s="6" t="str">
        <f t="shared" si="568"/>
        <v>=5.149*100000000</v>
      </c>
      <c r="AX1153" s="1">
        <f>5.149*100000000</f>
        <v>514900000</v>
      </c>
      <c r="AY1153" s="10">
        <f t="shared" si="554"/>
        <v>-0.10886119764624437</v>
      </c>
      <c r="AZ1153" s="6" t="s">
        <v>11810</v>
      </c>
      <c r="BA1153" s="6" t="str">
        <f t="shared" si="569"/>
        <v>=5.778*100000000</v>
      </c>
      <c r="BB1153" s="1">
        <f>5.778*100000000</f>
        <v>577800000</v>
      </c>
      <c r="BC1153" s="8">
        <f t="shared" si="555"/>
        <v>0.60589216231239573</v>
      </c>
      <c r="BD1153" s="6" t="s">
        <v>1752</v>
      </c>
      <c r="BE1153" s="6" t="str">
        <f t="shared" si="570"/>
        <v>=3.598*100000000</v>
      </c>
      <c r="BF1153" s="1">
        <f>3.598*100000000</f>
        <v>359800000</v>
      </c>
      <c r="BG1153" s="8">
        <f t="shared" si="556"/>
        <v>0.46558044806517312</v>
      </c>
      <c r="BH1153" s="6" t="s">
        <v>11811</v>
      </c>
      <c r="BI1153" s="6" t="str">
        <f t="shared" si="571"/>
        <v>=2.455*100000000</v>
      </c>
      <c r="BJ1153" s="1">
        <f>2.455*100000000</f>
        <v>245500000</v>
      </c>
      <c r="BK1153" s="6" t="s">
        <v>6121</v>
      </c>
      <c r="BL1153" s="1" t="str">
        <f t="shared" si="542"/>
        <v>=1.596*100000000</v>
      </c>
      <c r="BM1153" s="16">
        <f t="shared" si="557"/>
        <v>0.53822055137844615</v>
      </c>
      <c r="BN1153" s="1">
        <f>1.596*100000000</f>
        <v>159600000</v>
      </c>
    </row>
    <row r="1154" spans="1:66">
      <c r="A1154" s="17">
        <v>290</v>
      </c>
      <c r="B1154">
        <v>600919</v>
      </c>
      <c r="C1154" t="s">
        <v>31</v>
      </c>
      <c r="D1154" s="6" t="s">
        <v>11812</v>
      </c>
      <c r="E1154" s="7" t="str">
        <f t="shared" ref="E1154:E1217" si="572">"="&amp;D1154</f>
        <v>=637.7*100000000</v>
      </c>
      <c r="F1154" s="1">
        <f>637.7*100000000</f>
        <v>63770000000.000008</v>
      </c>
      <c r="G1154" s="8">
        <f t="shared" si="543"/>
        <v>0.36289805513998735</v>
      </c>
      <c r="H1154" s="6" t="s">
        <v>11813</v>
      </c>
      <c r="I1154" s="6" t="str">
        <f t="shared" si="558"/>
        <v>=467.9*100000000</v>
      </c>
      <c r="J1154" s="1">
        <f>467.9*100000000</f>
        <v>46790000000</v>
      </c>
      <c r="K1154" s="10">
        <f t="shared" si="544"/>
        <v>0.52212101496421615</v>
      </c>
      <c r="L1154" s="6" t="s">
        <v>11814</v>
      </c>
      <c r="M1154" s="6" t="str">
        <f t="shared" si="559"/>
        <v>=307.4*100000000</v>
      </c>
      <c r="N1154" s="1">
        <f>307.4*100000000</f>
        <v>30739999999.999996</v>
      </c>
      <c r="O1154" s="8">
        <f t="shared" si="545"/>
        <v>1.0039113428943935</v>
      </c>
      <c r="P1154" s="6" t="s">
        <v>4674</v>
      </c>
      <c r="Q1154" s="6" t="str">
        <f t="shared" si="560"/>
        <v>=153.4*100000000</v>
      </c>
      <c r="R1154" s="11">
        <f>153.4*100000000</f>
        <v>15340000000</v>
      </c>
      <c r="S1154" s="8">
        <f t="shared" si="546"/>
        <v>-0.70517009417643661</v>
      </c>
      <c r="T1154" s="6" t="s">
        <v>11815</v>
      </c>
      <c r="U1154" s="6" t="str">
        <f t="shared" si="561"/>
        <v>=520.3*100000000</v>
      </c>
      <c r="V1154" s="1">
        <f>520.3*100000000</f>
        <v>52029999999.999992</v>
      </c>
      <c r="W1154" s="8">
        <f t="shared" si="547"/>
        <v>0.38635758060218472</v>
      </c>
      <c r="X1154" s="6" t="s">
        <v>8557</v>
      </c>
      <c r="Y1154" s="6" t="str">
        <f t="shared" si="562"/>
        <v>=375.3*100000000</v>
      </c>
      <c r="Z1154" s="1">
        <f>375.3*100000000</f>
        <v>37530000000</v>
      </c>
      <c r="AA1154" s="8">
        <f t="shared" si="548"/>
        <v>0.49760574620909814</v>
      </c>
      <c r="AB1154" s="6" t="s">
        <v>11816</v>
      </c>
      <c r="AC1154" s="6" t="str">
        <f t="shared" si="563"/>
        <v>=250.6*100000000</v>
      </c>
      <c r="AD1154" s="1">
        <f>250.6*100000000</f>
        <v>25060000000</v>
      </c>
      <c r="AE1154" s="8">
        <f t="shared" si="549"/>
        <v>0.91297709923664128</v>
      </c>
      <c r="AF1154" s="6" t="s">
        <v>11817</v>
      </c>
      <c r="AG1154" s="6" t="str">
        <f t="shared" si="564"/>
        <v>=131.0*100000000</v>
      </c>
      <c r="AH1154" s="1">
        <f>131*100000000</f>
        <v>13100000000</v>
      </c>
      <c r="AI1154" s="8">
        <f t="shared" si="550"/>
        <v>-0.70869468534578606</v>
      </c>
      <c r="AJ1154" s="6" t="s">
        <v>11818</v>
      </c>
      <c r="AK1154" s="6" t="str">
        <f t="shared" si="565"/>
        <v>=449.7*100000000</v>
      </c>
      <c r="AL1154" s="1">
        <f>449.7*100000000</f>
        <v>44970000000</v>
      </c>
      <c r="AM1154" s="8">
        <f t="shared" si="551"/>
        <v>0.35370258880192657</v>
      </c>
      <c r="AN1154" s="6" t="s">
        <v>11819</v>
      </c>
      <c r="AO1154" s="6" t="str">
        <f t="shared" si="566"/>
        <v>=332.2*100000000</v>
      </c>
      <c r="AP1154" s="1">
        <f>332.2*100000000</f>
        <v>33220000000</v>
      </c>
      <c r="AQ1154" s="8">
        <f t="shared" si="552"/>
        <v>0.51551094890510951</v>
      </c>
      <c r="AR1154" s="6" t="s">
        <v>7943</v>
      </c>
      <c r="AS1154" s="6" t="str">
        <f t="shared" si="567"/>
        <v>=219.2*100000000</v>
      </c>
      <c r="AT1154" s="1">
        <f>219.2*100000000</f>
        <v>21920000000</v>
      </c>
      <c r="AU1154" s="8">
        <f t="shared" si="553"/>
        <v>0.97122302158273377</v>
      </c>
      <c r="AV1154" s="6" t="s">
        <v>3232</v>
      </c>
      <c r="AW1154" s="6" t="str">
        <f t="shared" si="568"/>
        <v>=111.2*100000000</v>
      </c>
      <c r="AX1154" s="1">
        <f>111.2*100000000</f>
        <v>11120000000</v>
      </c>
      <c r="AY1154" s="10">
        <f t="shared" si="554"/>
        <v>-0.68427030096536057</v>
      </c>
      <c r="AZ1154" s="6" t="s">
        <v>11820</v>
      </c>
      <c r="BA1154" s="6" t="str">
        <f t="shared" si="569"/>
        <v>=352.2*100000000</v>
      </c>
      <c r="BB1154" s="1">
        <f>352.2*100000000</f>
        <v>35220000000</v>
      </c>
      <c r="BC1154" s="8">
        <f t="shared" si="555"/>
        <v>0.35097813578826237</v>
      </c>
      <c r="BD1154" s="6" t="s">
        <v>11821</v>
      </c>
      <c r="BE1154" s="6" t="str">
        <f t="shared" si="570"/>
        <v>=260.7*100000000</v>
      </c>
      <c r="BF1154" s="1">
        <f>260.7*100000000</f>
        <v>26070000000</v>
      </c>
      <c r="BG1154" s="8">
        <f t="shared" si="556"/>
        <v>0.51393728222996515</v>
      </c>
      <c r="BH1154" s="6" t="s">
        <v>11556</v>
      </c>
      <c r="BI1154" s="6" t="str">
        <f t="shared" si="571"/>
        <v>=172.2*100000000</v>
      </c>
      <c r="BJ1154" s="1">
        <f>172.2*100000000</f>
        <v>17220000000</v>
      </c>
      <c r="BK1154" s="6" t="s">
        <v>11822</v>
      </c>
      <c r="BL1154" s="1" t="str">
        <f t="shared" ref="BL1154:BL1217" si="573">"="&amp;BK1154</f>
        <v>=86.12*100000000</v>
      </c>
      <c r="BM1154" s="16">
        <f t="shared" si="557"/>
        <v>0.99953553181607058</v>
      </c>
      <c r="BN1154" s="1">
        <f>86.12*100000000</f>
        <v>8612000000</v>
      </c>
    </row>
    <row r="1155" spans="1:66">
      <c r="A1155" s="18"/>
      <c r="B1155">
        <v>600919</v>
      </c>
      <c r="C1155" t="s">
        <v>48</v>
      </c>
      <c r="D1155" s="6" t="s">
        <v>11823</v>
      </c>
      <c r="E1155" s="7" t="str">
        <f t="shared" si="572"/>
        <v>=264.1*100000000</v>
      </c>
      <c r="F1155" s="1">
        <f>264.1*100000000</f>
        <v>26410000000.000004</v>
      </c>
      <c r="G1155" s="8">
        <f t="shared" ref="G1155:G1218" si="574">(F1155-J1155)/J1155</f>
        <v>0.29587831207065768</v>
      </c>
      <c r="H1155" s="6" t="s">
        <v>3589</v>
      </c>
      <c r="I1155" s="6" t="str">
        <f t="shared" si="558"/>
        <v>=203.8*100000000</v>
      </c>
      <c r="J1155" s="1">
        <f>203.8*100000000</f>
        <v>20380000000</v>
      </c>
      <c r="K1155" s="10">
        <f t="shared" ref="K1155:K1218" si="575">(J1155-N1155)/N1155</f>
        <v>0.52773613193403301</v>
      </c>
      <c r="L1155" s="6" t="s">
        <v>11824</v>
      </c>
      <c r="M1155" s="6" t="str">
        <f t="shared" si="559"/>
        <v>=133.4*100000000</v>
      </c>
      <c r="N1155" s="1">
        <f>133.4*100000000</f>
        <v>13340000000</v>
      </c>
      <c r="O1155" s="8">
        <f t="shared" ref="O1155:O1218" si="576">(N1155-R1155)/R1155</f>
        <v>1.0239720831436807</v>
      </c>
      <c r="P1155" s="6" t="s">
        <v>11825</v>
      </c>
      <c r="Q1155" s="6" t="str">
        <f t="shared" si="560"/>
        <v>=65.91*100000000</v>
      </c>
      <c r="R1155" s="11">
        <f>65.91*100000000</f>
        <v>6591000000</v>
      </c>
      <c r="S1155" s="8">
        <f t="shared" ref="S1155:S1218" si="577">(R1155-V1155)/V1155</f>
        <v>-0.6067422434367542</v>
      </c>
      <c r="T1155" s="6" t="s">
        <v>11826</v>
      </c>
      <c r="U1155" s="6" t="str">
        <f t="shared" si="561"/>
        <v>=167.6*100000000</v>
      </c>
      <c r="V1155" s="1">
        <f>167.6*100000000</f>
        <v>16760000000</v>
      </c>
      <c r="W1155" s="8">
        <f t="shared" ref="W1155:W1218" si="578">(V1155-Z1155)/Z1155</f>
        <v>0.25449101796407186</v>
      </c>
      <c r="X1155" s="6" t="s">
        <v>11827</v>
      </c>
      <c r="Y1155" s="6" t="str">
        <f t="shared" si="562"/>
        <v>=133.6*100000000</v>
      </c>
      <c r="Z1155" s="1">
        <f>133.6*100000000</f>
        <v>13360000000</v>
      </c>
      <c r="AA1155" s="8">
        <f t="shared" ref="AA1155:AA1218" si="579">(Z1155-AD1155)/AD1155</f>
        <v>0.48974130240856378</v>
      </c>
      <c r="AB1155" s="6" t="s">
        <v>11828</v>
      </c>
      <c r="AC1155" s="6" t="str">
        <f t="shared" si="563"/>
        <v>=89.68*100000000</v>
      </c>
      <c r="AD1155" s="1">
        <f>89.68*100000000</f>
        <v>8968000000</v>
      </c>
      <c r="AE1155" s="8">
        <f t="shared" ref="AE1155:AE1218" si="580">(AD1155-AH1155)/AH1155</f>
        <v>0.90161153519932147</v>
      </c>
      <c r="AF1155" s="6" t="s">
        <v>11829</v>
      </c>
      <c r="AG1155" s="6" t="str">
        <f t="shared" si="564"/>
        <v>=47.16*100000000</v>
      </c>
      <c r="AH1155" s="1">
        <f>47.16*100000000</f>
        <v>4716000000</v>
      </c>
      <c r="AI1155" s="8">
        <f t="shared" ref="AI1155:AI1218" si="581">(AH1155-AL1155)/AL1155</f>
        <v>-0.69923469387755111</v>
      </c>
      <c r="AJ1155" s="6" t="s">
        <v>8213</v>
      </c>
      <c r="AK1155" s="6" t="str">
        <f t="shared" si="565"/>
        <v>=156.8*100000000</v>
      </c>
      <c r="AL1155" s="1">
        <f>156.8*100000000</f>
        <v>15680000000.000002</v>
      </c>
      <c r="AM1155" s="8">
        <f t="shared" ref="AM1155:AM1218" si="582">(AL1155-AP1155)/AP1155</f>
        <v>0.17983446200150505</v>
      </c>
      <c r="AN1155" s="6" t="s">
        <v>631</v>
      </c>
      <c r="AO1155" s="6" t="str">
        <f t="shared" si="566"/>
        <v>=132.9*100000000</v>
      </c>
      <c r="AP1155" s="1">
        <f>132.9*100000000</f>
        <v>13290000000</v>
      </c>
      <c r="AQ1155" s="8">
        <f t="shared" ref="AQ1155:AQ1218" si="583">(AP1155-AT1155)/AT1155</f>
        <v>0.51712328767123283</v>
      </c>
      <c r="AR1155" s="6" t="s">
        <v>11830</v>
      </c>
      <c r="AS1155" s="6" t="str">
        <f t="shared" si="567"/>
        <v>=87.60*100000000</v>
      </c>
      <c r="AT1155" s="1">
        <f>87.6*100000000</f>
        <v>8760000000</v>
      </c>
      <c r="AU1155" s="8">
        <f t="shared" ref="AU1155:AU1218" si="584">(AT1155-AX1155)/AX1155</f>
        <v>1.0987062769525635</v>
      </c>
      <c r="AV1155" s="6" t="s">
        <v>11831</v>
      </c>
      <c r="AW1155" s="6" t="str">
        <f t="shared" si="568"/>
        <v>=41.74*100000000</v>
      </c>
      <c r="AX1155" s="1">
        <f>41.74*100000000</f>
        <v>4174000000</v>
      </c>
      <c r="AY1155" s="10">
        <f t="shared" ref="AY1155:AY1218" si="585">(AX1155-BB1155)/BB1155</f>
        <v>-0.7105409153952843</v>
      </c>
      <c r="AZ1155" s="6" t="s">
        <v>89</v>
      </c>
      <c r="BA1155" s="6" t="str">
        <f t="shared" si="569"/>
        <v>=144.2*100000000</v>
      </c>
      <c r="BB1155" s="1">
        <f>144.2*100000000</f>
        <v>14419999999.999998</v>
      </c>
      <c r="BC1155" s="8">
        <f t="shared" ref="BC1155:BC1218" si="586">(BB1155-BF1155)/BF1155</f>
        <v>0.25938864628820946</v>
      </c>
      <c r="BD1155" s="6" t="s">
        <v>11832</v>
      </c>
      <c r="BE1155" s="6" t="str">
        <f t="shared" si="570"/>
        <v>=114.5*100000000</v>
      </c>
      <c r="BF1155" s="1">
        <f>114.5*100000000</f>
        <v>11450000000</v>
      </c>
      <c r="BG1155" s="8">
        <f t="shared" ref="BG1155:BG1218" si="587">(BF1155-BJ1155)/BJ1155</f>
        <v>0.4484503478810879</v>
      </c>
      <c r="BH1155" s="6" t="s">
        <v>11833</v>
      </c>
      <c r="BI1155" s="6" t="str">
        <f t="shared" si="571"/>
        <v>=79.05*100000000</v>
      </c>
      <c r="BJ1155" s="1">
        <f>79.05*100000000</f>
        <v>7905000000</v>
      </c>
      <c r="BK1155" s="6" t="s">
        <v>722</v>
      </c>
      <c r="BL1155" s="1" t="str">
        <f t="shared" si="573"/>
        <v>=39.60*100000000</v>
      </c>
      <c r="BM1155" s="16">
        <f t="shared" ref="BM1155:BM1218" si="588">(BJ1155-BN1155)/BN1155</f>
        <v>0.99621212121212122</v>
      </c>
      <c r="BN1155" s="1">
        <f>39.6*100000000</f>
        <v>3960000000</v>
      </c>
    </row>
    <row r="1156" spans="1:66">
      <c r="A1156" s="18"/>
      <c r="B1156">
        <v>600919</v>
      </c>
      <c r="C1156" t="s">
        <v>58</v>
      </c>
      <c r="D1156" s="6" t="s">
        <v>11834</v>
      </c>
      <c r="E1156" s="7" t="str">
        <f t="shared" si="572"/>
        <v>=264.8*100000000</v>
      </c>
      <c r="F1156" s="1">
        <f>264.8*100000000</f>
        <v>26480000000</v>
      </c>
      <c r="G1156" s="8">
        <f t="shared" si="574"/>
        <v>0.29740323370896621</v>
      </c>
      <c r="H1156" s="6" t="s">
        <v>10593</v>
      </c>
      <c r="I1156" s="6" t="str">
        <f t="shared" si="558"/>
        <v>=204.1*100000000</v>
      </c>
      <c r="J1156" s="1">
        <f>204.1*100000000</f>
        <v>20410000000</v>
      </c>
      <c r="K1156" s="10">
        <f t="shared" si="575"/>
        <v>0.53343350864012018</v>
      </c>
      <c r="L1156" s="6" t="s">
        <v>8027</v>
      </c>
      <c r="M1156" s="6" t="str">
        <f t="shared" si="559"/>
        <v>=133.1*100000000</v>
      </c>
      <c r="N1156" s="1">
        <f>133.1*100000000</f>
        <v>13310000000</v>
      </c>
      <c r="O1156" s="8">
        <f t="shared" si="576"/>
        <v>1.0308208727494657</v>
      </c>
      <c r="P1156" s="6" t="s">
        <v>11835</v>
      </c>
      <c r="Q1156" s="6" t="str">
        <f t="shared" si="560"/>
        <v>=65.54*100000000</v>
      </c>
      <c r="R1156" s="11">
        <f>65.54*100000000</f>
        <v>6554000000.000001</v>
      </c>
      <c r="S1156" s="8">
        <f t="shared" si="577"/>
        <v>-0.60871641791044773</v>
      </c>
      <c r="T1156" s="6" t="s">
        <v>9470</v>
      </c>
      <c r="U1156" s="6" t="str">
        <f t="shared" si="561"/>
        <v>=167.5*100000000</v>
      </c>
      <c r="V1156" s="1">
        <f>167.5*100000000</f>
        <v>16750000000</v>
      </c>
      <c r="W1156" s="8">
        <f t="shared" si="578"/>
        <v>0.25656414103525865</v>
      </c>
      <c r="X1156" s="6" t="s">
        <v>11836</v>
      </c>
      <c r="Y1156" s="6" t="str">
        <f t="shared" si="562"/>
        <v>=133.3*100000000</v>
      </c>
      <c r="Z1156" s="1">
        <f>133.3*100000000</f>
        <v>13330000000.000002</v>
      </c>
      <c r="AA1156" s="8">
        <f t="shared" si="579"/>
        <v>0.48888640679101997</v>
      </c>
      <c r="AB1156" s="6" t="s">
        <v>11837</v>
      </c>
      <c r="AC1156" s="6" t="str">
        <f t="shared" si="563"/>
        <v>=89.53*100000000</v>
      </c>
      <c r="AD1156" s="1">
        <f>89.53*100000000</f>
        <v>8953000000</v>
      </c>
      <c r="AE1156" s="8">
        <f t="shared" si="580"/>
        <v>0.90327380952380953</v>
      </c>
      <c r="AF1156" s="6" t="s">
        <v>11838</v>
      </c>
      <c r="AG1156" s="6" t="str">
        <f t="shared" si="564"/>
        <v>=47.04*100000000</v>
      </c>
      <c r="AH1156" s="1">
        <f>47.04*100000000</f>
        <v>4704000000</v>
      </c>
      <c r="AI1156" s="8">
        <f t="shared" si="581"/>
        <v>-0.69884763124199745</v>
      </c>
      <c r="AJ1156" s="6" t="s">
        <v>8023</v>
      </c>
      <c r="AK1156" s="6" t="str">
        <f t="shared" si="565"/>
        <v>=156.2*100000000</v>
      </c>
      <c r="AL1156" s="1">
        <f>156.2*100000000</f>
        <v>15619999999.999998</v>
      </c>
      <c r="AM1156" s="8">
        <f t="shared" si="582"/>
        <v>0.17620481927710813</v>
      </c>
      <c r="AN1156" s="6" t="s">
        <v>1792</v>
      </c>
      <c r="AO1156" s="6" t="str">
        <f t="shared" si="566"/>
        <v>=132.8*100000000</v>
      </c>
      <c r="AP1156" s="1">
        <f>132.8*100000000</f>
        <v>13280000000.000002</v>
      </c>
      <c r="AQ1156" s="8">
        <f t="shared" si="583"/>
        <v>0.517367458866545</v>
      </c>
      <c r="AR1156" s="6" t="s">
        <v>11839</v>
      </c>
      <c r="AS1156" s="6" t="str">
        <f t="shared" si="567"/>
        <v>=87.52*100000000</v>
      </c>
      <c r="AT1156" s="1">
        <f>87.52*100000000</f>
        <v>8752000000</v>
      </c>
      <c r="AU1156" s="8">
        <f t="shared" si="584"/>
        <v>1.0962874251497006</v>
      </c>
      <c r="AV1156" s="6" t="s">
        <v>11840</v>
      </c>
      <c r="AW1156" s="6" t="str">
        <f t="shared" si="568"/>
        <v>=41.75*100000000</v>
      </c>
      <c r="AX1156" s="1">
        <f>41.75*100000000</f>
        <v>4175000000</v>
      </c>
      <c r="AY1156" s="10">
        <f t="shared" si="585"/>
        <v>-0.70742817098808686</v>
      </c>
      <c r="AZ1156" s="6" t="s">
        <v>11841</v>
      </c>
      <c r="BA1156" s="6" t="str">
        <f t="shared" si="569"/>
        <v>=142.7*100000000</v>
      </c>
      <c r="BB1156" s="1">
        <f>142.7*100000000</f>
        <v>14269999999.999998</v>
      </c>
      <c r="BC1156" s="8">
        <f t="shared" si="586"/>
        <v>0.2550571679859277</v>
      </c>
      <c r="BD1156" s="6" t="s">
        <v>8628</v>
      </c>
      <c r="BE1156" s="6" t="str">
        <f t="shared" si="570"/>
        <v>=113.7*100000000</v>
      </c>
      <c r="BF1156" s="1">
        <f>113.7*100000000</f>
        <v>11370000000</v>
      </c>
      <c r="BG1156" s="8">
        <f t="shared" si="587"/>
        <v>0.45192184906142258</v>
      </c>
      <c r="BH1156" s="6" t="s">
        <v>11842</v>
      </c>
      <c r="BI1156" s="6" t="str">
        <f t="shared" si="571"/>
        <v>=78.31*100000000</v>
      </c>
      <c r="BJ1156" s="1">
        <f>78.31*100000000</f>
        <v>7831000000</v>
      </c>
      <c r="BK1156" s="6" t="s">
        <v>11843</v>
      </c>
      <c r="BL1156" s="1" t="str">
        <f t="shared" si="573"/>
        <v>=38.95*100000000</v>
      </c>
      <c r="BM1156" s="16">
        <f t="shared" si="588"/>
        <v>1.0105263157894735</v>
      </c>
      <c r="BN1156" s="1">
        <f>38.95*100000000</f>
        <v>3895000000.0000005</v>
      </c>
    </row>
    <row r="1157" spans="1:66">
      <c r="A1157" s="19"/>
      <c r="B1157">
        <v>600919</v>
      </c>
      <c r="C1157" t="s">
        <v>68</v>
      </c>
      <c r="D1157" s="6" t="s">
        <v>10593</v>
      </c>
      <c r="E1157" s="7" t="str">
        <f t="shared" si="572"/>
        <v>=204.1*100000000</v>
      </c>
      <c r="F1157" s="1">
        <f>204.1*100000000</f>
        <v>20410000000</v>
      </c>
      <c r="G1157" s="8">
        <f t="shared" si="574"/>
        <v>0.26612903225806467</v>
      </c>
      <c r="H1157" s="6" t="s">
        <v>11844</v>
      </c>
      <c r="I1157" s="6" t="str">
        <f t="shared" si="558"/>
        <v>=161.2*100000000</v>
      </c>
      <c r="J1157" s="1">
        <f>161.2*100000000</f>
        <v>16119999999.999998</v>
      </c>
      <c r="K1157" s="10">
        <f t="shared" si="575"/>
        <v>0.53377735490009492</v>
      </c>
      <c r="L1157" s="6" t="s">
        <v>11284</v>
      </c>
      <c r="M1157" s="6" t="str">
        <f t="shared" si="559"/>
        <v>=105.1*100000000</v>
      </c>
      <c r="N1157" s="1">
        <f>105.1*100000000</f>
        <v>10510000000</v>
      </c>
      <c r="O1157" s="8">
        <f t="shared" si="576"/>
        <v>0.9484612532443456</v>
      </c>
      <c r="P1157" s="6" t="s">
        <v>11845</v>
      </c>
      <c r="Q1157" s="6" t="str">
        <f t="shared" si="560"/>
        <v>=53.94*100000000</v>
      </c>
      <c r="R1157" s="11">
        <f>53.94*100000000</f>
        <v>5394000000</v>
      </c>
      <c r="S1157" s="8">
        <f t="shared" si="577"/>
        <v>-0.65467349551856591</v>
      </c>
      <c r="T1157" s="6" t="s">
        <v>8023</v>
      </c>
      <c r="U1157" s="6" t="str">
        <f t="shared" si="561"/>
        <v>=156.2*100000000</v>
      </c>
      <c r="V1157" s="1">
        <f>156.2*100000000</f>
        <v>15619999999.999998</v>
      </c>
      <c r="W1157" s="8">
        <f t="shared" si="578"/>
        <v>0.25461847389558218</v>
      </c>
      <c r="X1157" s="6" t="s">
        <v>9498</v>
      </c>
      <c r="Y1157" s="6" t="str">
        <f t="shared" si="562"/>
        <v>=124.5*100000000</v>
      </c>
      <c r="Z1157" s="1">
        <f>124.5*100000000</f>
        <v>12450000000</v>
      </c>
      <c r="AA1157" s="8">
        <f t="shared" si="579"/>
        <v>0.47686832740213525</v>
      </c>
      <c r="AB1157" s="6" t="s">
        <v>11846</v>
      </c>
      <c r="AC1157" s="6" t="str">
        <f t="shared" si="563"/>
        <v>=84.30*100000000</v>
      </c>
      <c r="AD1157" s="1">
        <f>84.3*100000000</f>
        <v>8430000000</v>
      </c>
      <c r="AE1157" s="8">
        <f t="shared" si="580"/>
        <v>0.92553677478300589</v>
      </c>
      <c r="AF1157" s="6" t="s">
        <v>11847</v>
      </c>
      <c r="AG1157" s="6" t="str">
        <f t="shared" si="564"/>
        <v>=43.78*100000000</v>
      </c>
      <c r="AH1157" s="1">
        <f>43.78*100000000</f>
        <v>4378000000</v>
      </c>
      <c r="AI1157" s="8">
        <f t="shared" si="581"/>
        <v>-0.70735294117647063</v>
      </c>
      <c r="AJ1157" s="6" t="s">
        <v>11848</v>
      </c>
      <c r="AK1157" s="6" t="str">
        <f t="shared" si="565"/>
        <v>=149.6*100000000</v>
      </c>
      <c r="AL1157" s="1">
        <f>149.6*100000000</f>
        <v>14960000000</v>
      </c>
      <c r="AM1157" s="8">
        <f t="shared" si="582"/>
        <v>0.22824302134646962</v>
      </c>
      <c r="AN1157" s="6" t="s">
        <v>7207</v>
      </c>
      <c r="AO1157" s="6" t="str">
        <f t="shared" si="566"/>
        <v>=121.8*100000000</v>
      </c>
      <c r="AP1157" s="1">
        <f>121.8*100000000</f>
        <v>12180000000</v>
      </c>
      <c r="AQ1157" s="8">
        <f t="shared" si="583"/>
        <v>0.51643426294820738</v>
      </c>
      <c r="AR1157" s="6" t="s">
        <v>5886</v>
      </c>
      <c r="AS1157" s="6" t="str">
        <f t="shared" si="567"/>
        <v>=80.32*100000000</v>
      </c>
      <c r="AT1157" s="1">
        <f>80.32*100000000</f>
        <v>8031999999.999999</v>
      </c>
      <c r="AU1157" s="8">
        <f t="shared" si="584"/>
        <v>1.0943937418513687</v>
      </c>
      <c r="AV1157" s="6" t="s">
        <v>697</v>
      </c>
      <c r="AW1157" s="6" t="str">
        <f t="shared" si="568"/>
        <v>=38.35*100000000</v>
      </c>
      <c r="AX1157" s="1">
        <f>38.35*100000000</f>
        <v>3835000000</v>
      </c>
      <c r="AY1157" s="10">
        <f t="shared" si="585"/>
        <v>-0.71078431372549022</v>
      </c>
      <c r="AZ1157" s="6" t="s">
        <v>11849</v>
      </c>
      <c r="BA1157" s="6" t="str">
        <f t="shared" si="569"/>
        <v>=132.6*100000000</v>
      </c>
      <c r="BB1157" s="1">
        <f>132.6*100000000</f>
        <v>13260000000</v>
      </c>
      <c r="BC1157" s="8">
        <f t="shared" si="586"/>
        <v>0.2762271414821944</v>
      </c>
      <c r="BD1157" s="6" t="s">
        <v>8892</v>
      </c>
      <c r="BE1157" s="6" t="str">
        <f t="shared" si="570"/>
        <v>=103.9*100000000</v>
      </c>
      <c r="BF1157" s="1">
        <f>103.9*100000000</f>
        <v>10390000000</v>
      </c>
      <c r="BG1157" s="8">
        <f t="shared" si="587"/>
        <v>0.50187915582538289</v>
      </c>
      <c r="BH1157" s="6" t="s">
        <v>11850</v>
      </c>
      <c r="BI1157" s="6" t="str">
        <f t="shared" si="571"/>
        <v>=69.18*100000000</v>
      </c>
      <c r="BJ1157" s="1">
        <f>69.18*100000000</f>
        <v>6918000000.000001</v>
      </c>
      <c r="BK1157" s="6" t="s">
        <v>4700</v>
      </c>
      <c r="BL1157" s="1" t="str">
        <f t="shared" si="573"/>
        <v>=33.24*100000000</v>
      </c>
      <c r="BM1157" s="16">
        <f t="shared" si="588"/>
        <v>1.081227436823105</v>
      </c>
      <c r="BN1157" s="1">
        <f>33.24*100000000</f>
        <v>3324000000</v>
      </c>
    </row>
    <row r="1158" spans="1:66">
      <c r="A1158" s="17">
        <v>291</v>
      </c>
      <c r="B1158">
        <v>600933</v>
      </c>
      <c r="C1158" t="s">
        <v>31</v>
      </c>
      <c r="D1158" s="6" t="s">
        <v>612</v>
      </c>
      <c r="E1158" s="7" t="str">
        <f t="shared" si="572"/>
        <v>=32.06*100000000</v>
      </c>
      <c r="F1158" s="1">
        <f>32.06*100000000</f>
        <v>3206000000</v>
      </c>
      <c r="G1158" s="8">
        <f t="shared" si="574"/>
        <v>0.36309523809523808</v>
      </c>
      <c r="H1158" s="6" t="s">
        <v>11851</v>
      </c>
      <c r="I1158" s="6" t="str">
        <f t="shared" si="558"/>
        <v>=23.52*100000000</v>
      </c>
      <c r="J1158" s="1">
        <f>23.52*100000000</f>
        <v>2352000000</v>
      </c>
      <c r="K1158" s="10">
        <f t="shared" si="575"/>
        <v>0.49618320610687022</v>
      </c>
      <c r="L1158" s="6" t="s">
        <v>7557</v>
      </c>
      <c r="M1158" s="6" t="str">
        <f t="shared" si="559"/>
        <v>=15.72*100000000</v>
      </c>
      <c r="N1158" s="1">
        <f>15.72*100000000</f>
        <v>1572000000</v>
      </c>
      <c r="O1158" s="8">
        <f t="shared" si="576"/>
        <v>0.96156725729972581</v>
      </c>
      <c r="P1158" s="6" t="s">
        <v>8799</v>
      </c>
      <c r="Q1158" s="6" t="str">
        <f t="shared" si="560"/>
        <v>=8.014*100000000</v>
      </c>
      <c r="R1158" s="11">
        <f>8.014*100000000</f>
        <v>801399999.99999988</v>
      </c>
      <c r="S1158" s="8">
        <f t="shared" si="577"/>
        <v>-0.69069857197993056</v>
      </c>
      <c r="T1158" s="6" t="s">
        <v>11852</v>
      </c>
      <c r="U1158" s="6" t="str">
        <f t="shared" si="561"/>
        <v>=25.91*100000000</v>
      </c>
      <c r="V1158" s="1">
        <f>25.91*100000000</f>
        <v>2591000000</v>
      </c>
      <c r="W1158" s="8">
        <f t="shared" si="578"/>
        <v>0.48651749856569132</v>
      </c>
      <c r="X1158" s="6" t="s">
        <v>11853</v>
      </c>
      <c r="Y1158" s="6" t="str">
        <f t="shared" si="562"/>
        <v>=17.43*100000000</v>
      </c>
      <c r="Z1158" s="1">
        <f>17.43*100000000</f>
        <v>1743000000</v>
      </c>
      <c r="AA1158" s="8">
        <f t="shared" si="579"/>
        <v>0.69387755102040838</v>
      </c>
      <c r="AB1158" s="6" t="s">
        <v>9984</v>
      </c>
      <c r="AC1158" s="6" t="str">
        <f t="shared" si="563"/>
        <v>=10.29*100000000</v>
      </c>
      <c r="AD1158" s="1">
        <f>10.29*100000000</f>
        <v>1028999999.9999999</v>
      </c>
      <c r="AE1158" s="8">
        <f t="shared" si="580"/>
        <v>0.6844000654771647</v>
      </c>
      <c r="AF1158" s="6" t="s">
        <v>11854</v>
      </c>
      <c r="AG1158" s="6" t="str">
        <f t="shared" si="564"/>
        <v>=6.109*100000000</v>
      </c>
      <c r="AH1158" s="1">
        <f>6.109*100000000</f>
        <v>610900000</v>
      </c>
      <c r="AI1158" s="8">
        <f t="shared" si="581"/>
        <v>-0.76745336886181958</v>
      </c>
      <c r="AJ1158" s="6" t="s">
        <v>11855</v>
      </c>
      <c r="AK1158" s="6" t="str">
        <f t="shared" si="565"/>
        <v>=26.27*100000000</v>
      </c>
      <c r="AL1158" s="1">
        <f>26.27*100000000</f>
        <v>2627000000</v>
      </c>
      <c r="AM1158" s="8">
        <f t="shared" si="582"/>
        <v>0.36396677050882642</v>
      </c>
      <c r="AN1158" s="6" t="s">
        <v>10734</v>
      </c>
      <c r="AO1158" s="6" t="str">
        <f t="shared" si="566"/>
        <v>=19.26*100000000</v>
      </c>
      <c r="AP1158" s="1">
        <f>19.26*100000000</f>
        <v>1926000000.0000002</v>
      </c>
      <c r="AQ1158" s="8">
        <f t="shared" si="583"/>
        <v>0.53711093375897867</v>
      </c>
      <c r="AR1158" s="6" t="s">
        <v>65</v>
      </c>
      <c r="AS1158" s="6" t="str">
        <f t="shared" si="567"/>
        <v>=12.53*100000000</v>
      </c>
      <c r="AT1158" s="1">
        <f>12.53*100000000</f>
        <v>1253000000</v>
      </c>
      <c r="AU1158" s="8">
        <f t="shared" si="584"/>
        <v>0.99236762601367468</v>
      </c>
      <c r="AV1158" s="6" t="s">
        <v>8466</v>
      </c>
      <c r="AW1158" s="6" t="str">
        <f t="shared" si="568"/>
        <v>=6.289*100000000</v>
      </c>
      <c r="AX1158" s="1">
        <f>6.289*100000000</f>
        <v>628900000</v>
      </c>
      <c r="AY1158" s="10">
        <f t="shared" si="585"/>
        <v>-0.74914240127642606</v>
      </c>
      <c r="AZ1158" s="6" t="s">
        <v>2739</v>
      </c>
      <c r="BA1158" s="6" t="str">
        <f t="shared" si="569"/>
        <v>=25.07*100000000</v>
      </c>
      <c r="BB1158" s="1">
        <f>25.07*100000000</f>
        <v>2507000000</v>
      </c>
      <c r="BC1158" s="8">
        <f t="shared" si="586"/>
        <v>0.33920940170940173</v>
      </c>
      <c r="BD1158" s="6" t="s">
        <v>8112</v>
      </c>
      <c r="BE1158" s="6" t="str">
        <f t="shared" si="570"/>
        <v>=18.72*100000000</v>
      </c>
      <c r="BF1158" s="1">
        <f>18.72*100000000</f>
        <v>1872000000</v>
      </c>
      <c r="BG1158" s="8">
        <f t="shared" si="587"/>
        <v>0.51211631663974155</v>
      </c>
      <c r="BH1158" s="6" t="s">
        <v>6194</v>
      </c>
      <c r="BI1158" s="6" t="str">
        <f t="shared" si="571"/>
        <v>=12.38*100000000</v>
      </c>
      <c r="BJ1158" s="1">
        <f>12.38*100000000</f>
        <v>1238000000</v>
      </c>
      <c r="BK1158" s="6" t="s">
        <v>9335</v>
      </c>
      <c r="BL1158" s="1" t="str">
        <f t="shared" si="573"/>
        <v>=6.394*100000000</v>
      </c>
      <c r="BM1158" s="16">
        <f t="shared" si="588"/>
        <v>0.9361901782921489</v>
      </c>
      <c r="BN1158" s="1">
        <f>6.394*100000000</f>
        <v>639400000</v>
      </c>
    </row>
    <row r="1159" spans="1:66">
      <c r="A1159" s="18"/>
      <c r="B1159">
        <v>600933</v>
      </c>
      <c r="C1159" t="s">
        <v>48</v>
      </c>
      <c r="D1159" s="6" t="s">
        <v>11856</v>
      </c>
      <c r="E1159" s="7" t="str">
        <f t="shared" si="572"/>
        <v>=3.404*100000000</v>
      </c>
      <c r="F1159" s="1">
        <f>3.404*100000000</f>
        <v>340400000</v>
      </c>
      <c r="G1159" s="8">
        <f t="shared" si="574"/>
        <v>0.1160655737704918</v>
      </c>
      <c r="H1159" s="6" t="s">
        <v>11857</v>
      </c>
      <c r="I1159" s="6" t="str">
        <f t="shared" si="558"/>
        <v>=3.050*100000000</v>
      </c>
      <c r="J1159" s="1">
        <f>3.05*100000000</f>
        <v>305000000</v>
      </c>
      <c r="K1159" s="10">
        <f t="shared" si="575"/>
        <v>0.30901287553648071</v>
      </c>
      <c r="L1159" s="6" t="s">
        <v>9240</v>
      </c>
      <c r="M1159" s="6" t="str">
        <f t="shared" si="559"/>
        <v>=2.330*100000000</v>
      </c>
      <c r="N1159" s="1">
        <f>2.33*100000000</f>
        <v>233000000</v>
      </c>
      <c r="O1159" s="8">
        <f t="shared" si="576"/>
        <v>0.87449718423169731</v>
      </c>
      <c r="P1159" s="6" t="s">
        <v>11387</v>
      </c>
      <c r="Q1159" s="6" t="str">
        <f t="shared" si="560"/>
        <v>=1.243*100000000</v>
      </c>
      <c r="R1159" s="11">
        <f>1.243*100000000</f>
        <v>124300000.00000001</v>
      </c>
      <c r="S1159" s="8">
        <f t="shared" si="577"/>
        <v>-0.73809523809523814</v>
      </c>
      <c r="T1159" s="6" t="s">
        <v>11858</v>
      </c>
      <c r="U1159" s="6" t="str">
        <f t="shared" si="561"/>
        <v>=4.746*100000000</v>
      </c>
      <c r="V1159" s="1">
        <f>4.746*100000000</f>
        <v>474600000.00000006</v>
      </c>
      <c r="W1159" s="8">
        <f t="shared" si="578"/>
        <v>0.43297101449275383</v>
      </c>
      <c r="X1159" s="6" t="s">
        <v>6977</v>
      </c>
      <c r="Y1159" s="6" t="str">
        <f t="shared" si="562"/>
        <v>=3.312*100000000</v>
      </c>
      <c r="Z1159" s="1">
        <f>3.312*100000000</f>
        <v>331200000</v>
      </c>
      <c r="AA1159" s="8">
        <f t="shared" si="579"/>
        <v>0.72410203019260799</v>
      </c>
      <c r="AB1159" s="6" t="s">
        <v>3688</v>
      </c>
      <c r="AC1159" s="6" t="str">
        <f t="shared" si="563"/>
        <v>=1.921*100000000</v>
      </c>
      <c r="AD1159" s="1">
        <f>1.921*100000000</f>
        <v>192100000</v>
      </c>
      <c r="AE1159" s="8">
        <f t="shared" si="580"/>
        <v>0.51140833988985068</v>
      </c>
      <c r="AF1159" s="6" t="s">
        <v>6257</v>
      </c>
      <c r="AG1159" s="6" t="str">
        <f t="shared" si="564"/>
        <v>=1.271*100000000</v>
      </c>
      <c r="AH1159" s="1">
        <f>1.271*100000000</f>
        <v>127099999.99999999</v>
      </c>
      <c r="AI1159" s="8">
        <f t="shared" si="581"/>
        <v>-0.762429906542056</v>
      </c>
      <c r="AJ1159" s="6" t="s">
        <v>1497</v>
      </c>
      <c r="AK1159" s="6" t="str">
        <f t="shared" si="565"/>
        <v>=5.350*100000000</v>
      </c>
      <c r="AL1159" s="1">
        <f>5.35*100000000</f>
        <v>534999999.99999994</v>
      </c>
      <c r="AM1159" s="8">
        <f t="shared" si="582"/>
        <v>0.46575342465753411</v>
      </c>
      <c r="AN1159" s="6" t="s">
        <v>11645</v>
      </c>
      <c r="AO1159" s="6" t="str">
        <f t="shared" si="566"/>
        <v>=3.650*100000000</v>
      </c>
      <c r="AP1159" s="1">
        <f>3.65*100000000</f>
        <v>365000000</v>
      </c>
      <c r="AQ1159" s="8">
        <f t="shared" si="583"/>
        <v>0.48918808649530804</v>
      </c>
      <c r="AR1159" s="6" t="s">
        <v>601</v>
      </c>
      <c r="AS1159" s="6" t="str">
        <f t="shared" si="567"/>
        <v>=2.451*100000000</v>
      </c>
      <c r="AT1159" s="1">
        <f>2.451*100000000</f>
        <v>245100000</v>
      </c>
      <c r="AU1159" s="8">
        <f t="shared" si="584"/>
        <v>0.99918433931484507</v>
      </c>
      <c r="AV1159" s="6" t="s">
        <v>4582</v>
      </c>
      <c r="AW1159" s="6" t="str">
        <f t="shared" si="568"/>
        <v>=1.226*100000000</v>
      </c>
      <c r="AX1159" s="1">
        <f>1.226*100000000</f>
        <v>122600000</v>
      </c>
      <c r="AY1159" s="10">
        <f t="shared" si="585"/>
        <v>-0.78748483272664238</v>
      </c>
      <c r="AZ1159" s="6" t="s">
        <v>10120</v>
      </c>
      <c r="BA1159" s="6" t="str">
        <f t="shared" si="569"/>
        <v>=5.769*100000000</v>
      </c>
      <c r="BB1159" s="1">
        <f>5.769*100000000</f>
        <v>576900000</v>
      </c>
      <c r="BC1159" s="8">
        <f t="shared" si="586"/>
        <v>0.24117900172117054</v>
      </c>
      <c r="BD1159" s="6" t="s">
        <v>11859</v>
      </c>
      <c r="BE1159" s="6" t="str">
        <f t="shared" si="570"/>
        <v>=4.648*100000000</v>
      </c>
      <c r="BF1159" s="1">
        <f>4.648*100000000</f>
        <v>464799999.99999994</v>
      </c>
      <c r="BG1159" s="8">
        <f t="shared" si="587"/>
        <v>0.59560590456573959</v>
      </c>
      <c r="BH1159" s="6" t="s">
        <v>5846</v>
      </c>
      <c r="BI1159" s="6" t="str">
        <f t="shared" si="571"/>
        <v>=2.913*100000000</v>
      </c>
      <c r="BJ1159" s="1">
        <f>2.913*100000000</f>
        <v>291300000</v>
      </c>
      <c r="BK1159" s="6" t="s">
        <v>7267</v>
      </c>
      <c r="BL1159" s="1" t="str">
        <f t="shared" si="573"/>
        <v>=1.538*100000000</v>
      </c>
      <c r="BM1159" s="16">
        <f t="shared" si="588"/>
        <v>0.89401820546163846</v>
      </c>
      <c r="BN1159" s="1">
        <f>1.538*100000000</f>
        <v>153800000</v>
      </c>
    </row>
    <row r="1160" spans="1:66">
      <c r="A1160" s="18"/>
      <c r="B1160">
        <v>600933</v>
      </c>
      <c r="C1160" t="s">
        <v>58</v>
      </c>
      <c r="D1160" s="6" t="s">
        <v>11860</v>
      </c>
      <c r="E1160" s="7" t="str">
        <f t="shared" si="572"/>
        <v>=3.489*100000000</v>
      </c>
      <c r="F1160" s="1">
        <f>3.489*100000000</f>
        <v>348900000</v>
      </c>
      <c r="G1160" s="8">
        <f t="shared" si="574"/>
        <v>0.11648</v>
      </c>
      <c r="H1160" s="6" t="s">
        <v>2299</v>
      </c>
      <c r="I1160" s="6" t="str">
        <f t="shared" si="558"/>
        <v>=3.125*100000000</v>
      </c>
      <c r="J1160" s="1">
        <f>3.125*100000000</f>
        <v>312500000</v>
      </c>
      <c r="K1160" s="10">
        <f t="shared" si="575"/>
        <v>0.31302521008403361</v>
      </c>
      <c r="L1160" s="6" t="s">
        <v>4064</v>
      </c>
      <c r="M1160" s="6" t="str">
        <f t="shared" si="559"/>
        <v>=2.380*100000000</v>
      </c>
      <c r="N1160" s="1">
        <f>2.38*100000000</f>
        <v>238000000</v>
      </c>
      <c r="O1160" s="8">
        <f t="shared" si="576"/>
        <v>0.90247801758593149</v>
      </c>
      <c r="P1160" s="6" t="s">
        <v>4464</v>
      </c>
      <c r="Q1160" s="6" t="str">
        <f t="shared" si="560"/>
        <v>=1.251*100000000</v>
      </c>
      <c r="R1160" s="11">
        <f>1.251*100000000</f>
        <v>125099999.99999999</v>
      </c>
      <c r="S1160" s="8">
        <f t="shared" si="577"/>
        <v>-0.74490212071778139</v>
      </c>
      <c r="T1160" s="6" t="s">
        <v>11861</v>
      </c>
      <c r="U1160" s="6" t="str">
        <f t="shared" si="561"/>
        <v>=4.904*100000000</v>
      </c>
      <c r="V1160" s="1">
        <f>4.904*100000000</f>
        <v>490400000</v>
      </c>
      <c r="W1160" s="8">
        <f t="shared" si="578"/>
        <v>0.41447937698298243</v>
      </c>
      <c r="X1160" s="6" t="s">
        <v>11862</v>
      </c>
      <c r="Y1160" s="6" t="str">
        <f t="shared" si="562"/>
        <v>=3.467*100000000</v>
      </c>
      <c r="Z1160" s="1">
        <f>3.467*100000000</f>
        <v>346700000</v>
      </c>
      <c r="AA1160" s="8">
        <f t="shared" si="579"/>
        <v>0.7554430379746836</v>
      </c>
      <c r="AB1160" s="6" t="s">
        <v>5193</v>
      </c>
      <c r="AC1160" s="6" t="str">
        <f t="shared" si="563"/>
        <v>=1.975*100000000</v>
      </c>
      <c r="AD1160" s="1">
        <f>1.975*100000000</f>
        <v>197500000</v>
      </c>
      <c r="AE1160" s="8">
        <f t="shared" si="580"/>
        <v>0.5239197530864198</v>
      </c>
      <c r="AF1160" s="6" t="s">
        <v>1985</v>
      </c>
      <c r="AG1160" s="6" t="str">
        <f t="shared" si="564"/>
        <v>=1.296*100000000</v>
      </c>
      <c r="AH1160" s="1">
        <f>1.296*100000000</f>
        <v>129600000</v>
      </c>
      <c r="AI1160" s="8">
        <f t="shared" si="581"/>
        <v>-0.76803293359584746</v>
      </c>
      <c r="AJ1160" s="6" t="s">
        <v>11863</v>
      </c>
      <c r="AK1160" s="6" t="str">
        <f t="shared" si="565"/>
        <v>=5.587*100000000</v>
      </c>
      <c r="AL1160" s="1">
        <f>5.587*100000000</f>
        <v>558700000</v>
      </c>
      <c r="AM1160" s="8">
        <f t="shared" si="582"/>
        <v>0.43219687259677003</v>
      </c>
      <c r="AN1160" s="6" t="s">
        <v>11864</v>
      </c>
      <c r="AO1160" s="6" t="str">
        <f t="shared" si="566"/>
        <v>=3.901*100000000</v>
      </c>
      <c r="AP1160" s="1">
        <f>3.901*100000000</f>
        <v>390100000</v>
      </c>
      <c r="AQ1160" s="8">
        <f t="shared" si="583"/>
        <v>0.44374537379718726</v>
      </c>
      <c r="AR1160" s="6" t="s">
        <v>11865</v>
      </c>
      <c r="AS1160" s="6" t="str">
        <f t="shared" si="567"/>
        <v>=2.702*100000000</v>
      </c>
      <c r="AT1160" s="1">
        <f>2.702*100000000</f>
        <v>270200000</v>
      </c>
      <c r="AU1160" s="8">
        <f t="shared" si="584"/>
        <v>1.1843168957154404</v>
      </c>
      <c r="AV1160" s="6" t="s">
        <v>2393</v>
      </c>
      <c r="AW1160" s="6" t="str">
        <f t="shared" si="568"/>
        <v>=1.237*100000000</v>
      </c>
      <c r="AX1160" s="1">
        <f>1.237*100000000</f>
        <v>123700000.00000001</v>
      </c>
      <c r="AY1160" s="10">
        <f t="shared" si="585"/>
        <v>-0.79516476237787714</v>
      </c>
      <c r="AZ1160" s="6" t="s">
        <v>11866</v>
      </c>
      <c r="BA1160" s="6" t="str">
        <f t="shared" si="569"/>
        <v>=6.039*100000000</v>
      </c>
      <c r="BB1160" s="1">
        <f>6.039*100000000</f>
        <v>603900000</v>
      </c>
      <c r="BC1160" s="8">
        <f t="shared" si="586"/>
        <v>0.23044009779951086</v>
      </c>
      <c r="BD1160" s="6" t="s">
        <v>11867</v>
      </c>
      <c r="BE1160" s="6" t="str">
        <f t="shared" si="570"/>
        <v>=4.908*100000000</v>
      </c>
      <c r="BF1160" s="1">
        <f>4.908*100000000</f>
        <v>490800000.00000006</v>
      </c>
      <c r="BG1160" s="8">
        <f t="shared" si="587"/>
        <v>0.56405353728489505</v>
      </c>
      <c r="BH1160" s="6" t="s">
        <v>6321</v>
      </c>
      <c r="BI1160" s="6" t="str">
        <f t="shared" si="571"/>
        <v>=3.138*100000000</v>
      </c>
      <c r="BJ1160" s="1">
        <f>3.138*100000000</f>
        <v>313800000</v>
      </c>
      <c r="BK1160" s="6" t="s">
        <v>8264</v>
      </c>
      <c r="BL1160" s="1" t="str">
        <f t="shared" si="573"/>
        <v>=1.581*100000000</v>
      </c>
      <c r="BM1160" s="16">
        <f t="shared" si="588"/>
        <v>0.98481973434535108</v>
      </c>
      <c r="BN1160" s="1">
        <f>1.581*100000000</f>
        <v>158100000</v>
      </c>
    </row>
    <row r="1161" spans="1:66">
      <c r="A1161" s="19"/>
      <c r="B1161">
        <v>600933</v>
      </c>
      <c r="C1161" t="s">
        <v>68</v>
      </c>
      <c r="D1161" s="6" t="s">
        <v>11771</v>
      </c>
      <c r="E1161" s="7" t="str">
        <f t="shared" si="572"/>
        <v>=3.228*100000000</v>
      </c>
      <c r="F1161" s="1">
        <f>3.228*100000000</f>
        <v>322800000</v>
      </c>
      <c r="G1161" s="8">
        <f t="shared" si="574"/>
        <v>0.12005551700208189</v>
      </c>
      <c r="H1161" s="6" t="s">
        <v>2328</v>
      </c>
      <c r="I1161" s="6" t="str">
        <f t="shared" si="558"/>
        <v>=2.882*100000000</v>
      </c>
      <c r="J1161" s="1">
        <f>2.882*100000000</f>
        <v>288200000</v>
      </c>
      <c r="K1161" s="10">
        <f t="shared" si="575"/>
        <v>0.4086021505376346</v>
      </c>
      <c r="L1161" s="6" t="s">
        <v>10285</v>
      </c>
      <c r="M1161" s="6" t="str">
        <f t="shared" si="559"/>
        <v>=2.046*100000000</v>
      </c>
      <c r="N1161" s="1">
        <f>2.046*100000000</f>
        <v>204599999.99999997</v>
      </c>
      <c r="O1161" s="8">
        <f t="shared" si="576"/>
        <v>0.87534372135655336</v>
      </c>
      <c r="P1161" s="6" t="s">
        <v>6900</v>
      </c>
      <c r="Q1161" s="6" t="str">
        <f t="shared" si="560"/>
        <v>=1.091*100000000</v>
      </c>
      <c r="R1161" s="11">
        <f>1.091*100000000</f>
        <v>109100000</v>
      </c>
      <c r="S1161" s="8">
        <f t="shared" si="577"/>
        <v>-0.7506855575868373</v>
      </c>
      <c r="T1161" s="6" t="s">
        <v>4062</v>
      </c>
      <c r="U1161" s="6" t="str">
        <f t="shared" si="561"/>
        <v>=4.376*100000000</v>
      </c>
      <c r="V1161" s="1">
        <f>4.376*100000000</f>
        <v>437600000.00000006</v>
      </c>
      <c r="W1161" s="8">
        <f t="shared" si="578"/>
        <v>0.66704761904761922</v>
      </c>
      <c r="X1161" s="6" t="s">
        <v>10497</v>
      </c>
      <c r="Y1161" s="6" t="str">
        <f t="shared" si="562"/>
        <v>=2.625*100000000</v>
      </c>
      <c r="Z1161" s="1">
        <f>2.625*100000000</f>
        <v>262500000</v>
      </c>
      <c r="AA1161" s="8">
        <f t="shared" si="579"/>
        <v>0.76411290322580649</v>
      </c>
      <c r="AB1161" s="6" t="s">
        <v>4851</v>
      </c>
      <c r="AC1161" s="6" t="str">
        <f t="shared" si="563"/>
        <v>=1.488*100000000</v>
      </c>
      <c r="AD1161" s="1">
        <f>1.488*100000000</f>
        <v>148800000</v>
      </c>
      <c r="AE1161" s="8">
        <f t="shared" si="580"/>
        <v>0.50181671376665316</v>
      </c>
      <c r="AF1161" s="7" t="s">
        <v>11868</v>
      </c>
      <c r="AG1161" s="6" t="str">
        <f t="shared" si="564"/>
        <v>=9908*10000</v>
      </c>
      <c r="AH1161" s="1">
        <f>9908*10000</f>
        <v>99080000</v>
      </c>
      <c r="AI1161" s="8">
        <f t="shared" si="581"/>
        <v>-0.78084494580844943</v>
      </c>
      <c r="AJ1161" s="6" t="s">
        <v>7648</v>
      </c>
      <c r="AK1161" s="6" t="str">
        <f t="shared" si="565"/>
        <v>=4.521*100000000</v>
      </c>
      <c r="AL1161" s="1">
        <f>4.521*100000000</f>
        <v>452100000</v>
      </c>
      <c r="AM1161" s="8">
        <f t="shared" si="582"/>
        <v>0.49801192842942343</v>
      </c>
      <c r="AN1161" s="6" t="s">
        <v>11869</v>
      </c>
      <c r="AO1161" s="6" t="str">
        <f t="shared" si="566"/>
        <v>=3.018*100000000</v>
      </c>
      <c r="AP1161" s="1">
        <f>3.018*100000000</f>
        <v>301800000</v>
      </c>
      <c r="AQ1161" s="8">
        <f t="shared" si="583"/>
        <v>0.44887181949111837</v>
      </c>
      <c r="AR1161" s="6" t="s">
        <v>8460</v>
      </c>
      <c r="AS1161" s="6" t="str">
        <f t="shared" si="567"/>
        <v>=2.083*100000000</v>
      </c>
      <c r="AT1161" s="1">
        <f>2.083*100000000</f>
        <v>208300000.00000003</v>
      </c>
      <c r="AU1161" s="8">
        <f t="shared" si="584"/>
        <v>1.1777313120752748</v>
      </c>
      <c r="AV1161" s="7" t="s">
        <v>11870</v>
      </c>
      <c r="AW1161" s="6" t="str">
        <f t="shared" si="568"/>
        <v>=9565*10000</v>
      </c>
      <c r="AX1161" s="1">
        <f>9565*10000</f>
        <v>95650000</v>
      </c>
      <c r="AY1161" s="10">
        <f t="shared" si="585"/>
        <v>-0.79850431851695813</v>
      </c>
      <c r="AZ1161" s="6" t="s">
        <v>11871</v>
      </c>
      <c r="BA1161" s="6" t="str">
        <f t="shared" si="569"/>
        <v>=4.747*100000000</v>
      </c>
      <c r="BB1161" s="1">
        <f>4.747*100000000</f>
        <v>474700000</v>
      </c>
      <c r="BC1161" s="8">
        <f t="shared" si="586"/>
        <v>0.27951482479784368</v>
      </c>
      <c r="BD1161" s="6" t="s">
        <v>11872</v>
      </c>
      <c r="BE1161" s="6" t="str">
        <f t="shared" si="570"/>
        <v>=3.710*100000000</v>
      </c>
      <c r="BF1161" s="1">
        <f>3.71*100000000</f>
        <v>371000000</v>
      </c>
      <c r="BG1161" s="8">
        <f t="shared" si="587"/>
        <v>0.56276326874473459</v>
      </c>
      <c r="BH1161" s="6" t="s">
        <v>5792</v>
      </c>
      <c r="BI1161" s="6" t="str">
        <f t="shared" si="571"/>
        <v>=2.374*100000000</v>
      </c>
      <c r="BJ1161" s="1">
        <f>2.374*100000000</f>
        <v>237400000</v>
      </c>
      <c r="BK1161" s="6" t="s">
        <v>11409</v>
      </c>
      <c r="BL1161" s="1" t="str">
        <f t="shared" si="573"/>
        <v>=1.194*100000000</v>
      </c>
      <c r="BM1161" s="16">
        <f t="shared" si="588"/>
        <v>0.98827470686767172</v>
      </c>
      <c r="BN1161" s="1">
        <f>1.194*100000000</f>
        <v>119400000</v>
      </c>
    </row>
    <row r="1162" spans="1:66">
      <c r="A1162" s="17">
        <v>292</v>
      </c>
      <c r="B1162">
        <v>600958</v>
      </c>
      <c r="C1162" t="s">
        <v>31</v>
      </c>
      <c r="D1162" s="6" t="s">
        <v>11873</v>
      </c>
      <c r="E1162" s="7" t="str">
        <f t="shared" si="572"/>
        <v>=243.7*100000000</v>
      </c>
      <c r="F1162" s="1">
        <f>243.7*100000000</f>
        <v>24370000000</v>
      </c>
      <c r="G1162" s="8">
        <f t="shared" si="574"/>
        <v>0.29352441613588109</v>
      </c>
      <c r="H1162" s="6" t="s">
        <v>11874</v>
      </c>
      <c r="I1162" s="6" t="str">
        <f t="shared" si="558"/>
        <v>=188.4*100000000</v>
      </c>
      <c r="J1162" s="1">
        <f>188.4*100000000</f>
        <v>18840000000</v>
      </c>
      <c r="K1162" s="10">
        <f t="shared" si="575"/>
        <v>0.41867469879518054</v>
      </c>
      <c r="L1162" s="6" t="s">
        <v>1792</v>
      </c>
      <c r="M1162" s="6" t="str">
        <f t="shared" si="559"/>
        <v>=132.8*100000000</v>
      </c>
      <c r="N1162" s="1">
        <f>132.8*100000000</f>
        <v>13280000000.000002</v>
      </c>
      <c r="O1162" s="8">
        <f t="shared" si="576"/>
        <v>1.5572886578085889</v>
      </c>
      <c r="P1162" s="6" t="s">
        <v>11875</v>
      </c>
      <c r="Q1162" s="6" t="str">
        <f t="shared" si="560"/>
        <v>=51.93*100000000</v>
      </c>
      <c r="R1162" s="11">
        <f>51.93*100000000</f>
        <v>5193000000</v>
      </c>
      <c r="S1162" s="8">
        <f t="shared" si="577"/>
        <v>-0.77548638132295722</v>
      </c>
      <c r="T1162" s="6" t="s">
        <v>5272</v>
      </c>
      <c r="U1162" s="6" t="str">
        <f t="shared" si="561"/>
        <v>=231.3*100000000</v>
      </c>
      <c r="V1162" s="1">
        <f>231.3*100000000</f>
        <v>23130000000</v>
      </c>
      <c r="W1162" s="8">
        <f t="shared" si="578"/>
        <v>0.44112149532710282</v>
      </c>
      <c r="X1162" s="6" t="s">
        <v>11876</v>
      </c>
      <c r="Y1162" s="6" t="str">
        <f t="shared" si="562"/>
        <v>=160.5*100000000</v>
      </c>
      <c r="Z1162" s="1">
        <f>160.5*100000000</f>
        <v>16050000000</v>
      </c>
      <c r="AA1162" s="8">
        <f t="shared" si="579"/>
        <v>0.66753246753246753</v>
      </c>
      <c r="AB1162" s="6" t="s">
        <v>11877</v>
      </c>
      <c r="AC1162" s="6" t="str">
        <f t="shared" si="563"/>
        <v>=96.25*100000000</v>
      </c>
      <c r="AD1162" s="1">
        <f>96.25*100000000</f>
        <v>9625000000</v>
      </c>
      <c r="AE1162" s="8">
        <f t="shared" si="580"/>
        <v>1.5150248236216355</v>
      </c>
      <c r="AF1162" s="6" t="s">
        <v>7408</v>
      </c>
      <c r="AG1162" s="6" t="str">
        <f t="shared" si="564"/>
        <v>=38.27*100000000</v>
      </c>
      <c r="AH1162" s="1">
        <f>38.27*100000000</f>
        <v>3827000000.0000005</v>
      </c>
      <c r="AI1162" s="8">
        <f t="shared" si="581"/>
        <v>-0.79910761154855647</v>
      </c>
      <c r="AJ1162" s="6" t="s">
        <v>11878</v>
      </c>
      <c r="AK1162" s="6" t="str">
        <f t="shared" si="565"/>
        <v>=190.5*100000000</v>
      </c>
      <c r="AL1162" s="1">
        <f>190.5*100000000</f>
        <v>19050000000</v>
      </c>
      <c r="AM1162" s="8">
        <f t="shared" si="582"/>
        <v>0.39970609845701688</v>
      </c>
      <c r="AN1162" s="6" t="s">
        <v>1486</v>
      </c>
      <c r="AO1162" s="6" t="str">
        <f t="shared" si="566"/>
        <v>=136.1*100000000</v>
      </c>
      <c r="AP1162" s="1">
        <f>136.1*100000000</f>
        <v>13610000000</v>
      </c>
      <c r="AQ1162" s="8">
        <f t="shared" si="583"/>
        <v>0.68461443247926701</v>
      </c>
      <c r="AR1162" s="6" t="s">
        <v>11879</v>
      </c>
      <c r="AS1162" s="6" t="str">
        <f t="shared" si="567"/>
        <v>=80.79*100000000</v>
      </c>
      <c r="AT1162" s="1">
        <f>80.79*100000000</f>
        <v>8079000000.000001</v>
      </c>
      <c r="AU1162" s="8">
        <f t="shared" si="584"/>
        <v>0.98598820058997072</v>
      </c>
      <c r="AV1162" s="6" t="s">
        <v>633</v>
      </c>
      <c r="AW1162" s="6" t="str">
        <f t="shared" si="568"/>
        <v>=40.68*100000000</v>
      </c>
      <c r="AX1162" s="1">
        <f>40.68*100000000</f>
        <v>4068000000</v>
      </c>
      <c r="AY1162" s="10">
        <f t="shared" si="585"/>
        <v>-0.60504854368932037</v>
      </c>
      <c r="AZ1162" s="6" t="s">
        <v>8559</v>
      </c>
      <c r="BA1162" s="6" t="str">
        <f t="shared" si="569"/>
        <v>=103.0*100000000</v>
      </c>
      <c r="BB1162" s="1">
        <f>103*100000000</f>
        <v>10300000000</v>
      </c>
      <c r="BC1162" s="8">
        <f t="shared" si="586"/>
        <v>0.56868717636308252</v>
      </c>
      <c r="BD1162" s="6" t="s">
        <v>11880</v>
      </c>
      <c r="BE1162" s="6" t="str">
        <f t="shared" si="570"/>
        <v>=65.66*100000000</v>
      </c>
      <c r="BF1162" s="1">
        <f>65.66*100000000</f>
        <v>6566000000</v>
      </c>
      <c r="BG1162" s="8">
        <f t="shared" si="587"/>
        <v>0.53518821603927968</v>
      </c>
      <c r="BH1162" s="6" t="s">
        <v>11881</v>
      </c>
      <c r="BI1162" s="6" t="str">
        <f t="shared" si="571"/>
        <v>=42.77*100000000</v>
      </c>
      <c r="BJ1162" s="1">
        <f>42.77*100000000</f>
        <v>4277000000.0000005</v>
      </c>
      <c r="BK1162" s="6" t="s">
        <v>3959</v>
      </c>
      <c r="BL1162" s="1" t="str">
        <f t="shared" si="573"/>
        <v>=19.44*100000000</v>
      </c>
      <c r="BM1162" s="16">
        <f t="shared" si="588"/>
        <v>1.2001028806584362</v>
      </c>
      <c r="BN1162" s="1">
        <f>19.44*100000000</f>
        <v>1944000000.0000002</v>
      </c>
    </row>
    <row r="1163" spans="1:66">
      <c r="A1163" s="18"/>
      <c r="B1163">
        <v>600958</v>
      </c>
      <c r="C1163" t="s">
        <v>48</v>
      </c>
      <c r="D1163" s="6" t="s">
        <v>2728</v>
      </c>
      <c r="E1163" s="7" t="str">
        <f t="shared" si="572"/>
        <v>=62.31*100000000</v>
      </c>
      <c r="F1163" s="1">
        <f>62.31*100000000</f>
        <v>6231000000</v>
      </c>
      <c r="G1163" s="8">
        <f t="shared" si="574"/>
        <v>0.26930128335709919</v>
      </c>
      <c r="H1163" s="6" t="s">
        <v>11882</v>
      </c>
      <c r="I1163" s="6" t="str">
        <f t="shared" si="558"/>
        <v>=49.09*100000000</v>
      </c>
      <c r="J1163" s="1">
        <f>49.09*100000000</f>
        <v>4909000000</v>
      </c>
      <c r="K1163" s="10">
        <f t="shared" si="575"/>
        <v>0.61693017127799732</v>
      </c>
      <c r="L1163" s="6" t="s">
        <v>1119</v>
      </c>
      <c r="M1163" s="6" t="str">
        <f t="shared" si="559"/>
        <v>=30.36*100000000</v>
      </c>
      <c r="N1163" s="1">
        <f>30.36*100000000</f>
        <v>3036000000</v>
      </c>
      <c r="O1163" s="8">
        <f t="shared" si="576"/>
        <v>1.2522255192878338</v>
      </c>
      <c r="P1163" s="6" t="s">
        <v>1528</v>
      </c>
      <c r="Q1163" s="6" t="str">
        <f t="shared" si="560"/>
        <v>=13.48*100000000</v>
      </c>
      <c r="R1163" s="11">
        <f>13.48*100000000</f>
        <v>1348000000</v>
      </c>
      <c r="S1163" s="8">
        <f t="shared" si="577"/>
        <v>-0.50018539117538008</v>
      </c>
      <c r="T1163" s="6" t="s">
        <v>701</v>
      </c>
      <c r="U1163" s="6" t="str">
        <f t="shared" si="561"/>
        <v>=26.97*100000000</v>
      </c>
      <c r="V1163" s="1">
        <f>26.97*100000000</f>
        <v>2697000000</v>
      </c>
      <c r="W1163" s="8">
        <f t="shared" si="578"/>
        <v>-0.21507566938300349</v>
      </c>
      <c r="X1163" s="6" t="s">
        <v>304</v>
      </c>
      <c r="Y1163" s="6" t="str">
        <f t="shared" si="562"/>
        <v>=34.36*100000000</v>
      </c>
      <c r="Z1163" s="1">
        <f>34.36*100000000</f>
        <v>3436000000</v>
      </c>
      <c r="AA1163" s="8">
        <f t="shared" si="579"/>
        <v>1.048896839594514</v>
      </c>
      <c r="AB1163" s="6" t="s">
        <v>1970</v>
      </c>
      <c r="AC1163" s="6" t="str">
        <f t="shared" si="563"/>
        <v>=16.77*100000000</v>
      </c>
      <c r="AD1163" s="1">
        <f>16.77*100000000</f>
        <v>1677000000</v>
      </c>
      <c r="AE1163" s="8">
        <f t="shared" si="580"/>
        <v>0.84610303830911493</v>
      </c>
      <c r="AF1163" s="6" t="s">
        <v>5395</v>
      </c>
      <c r="AG1163" s="6" t="str">
        <f t="shared" si="564"/>
        <v>=9.084*100000000</v>
      </c>
      <c r="AH1163" s="1">
        <f>9.084*100000000</f>
        <v>908400000</v>
      </c>
      <c r="AI1163" s="8">
        <f t="shared" si="581"/>
        <v>-0.66979280261723007</v>
      </c>
      <c r="AJ1163" s="6" t="s">
        <v>11883</v>
      </c>
      <c r="AK1163" s="6" t="str">
        <f t="shared" si="565"/>
        <v>=27.51*100000000</v>
      </c>
      <c r="AL1163" s="1">
        <f>27.51*100000000</f>
        <v>2751000000</v>
      </c>
      <c r="AM1163" s="8">
        <f t="shared" si="582"/>
        <v>0.39009600808489137</v>
      </c>
      <c r="AN1163" s="6" t="s">
        <v>9258</v>
      </c>
      <c r="AO1163" s="6" t="str">
        <f t="shared" si="566"/>
        <v>=19.79*100000000</v>
      </c>
      <c r="AP1163" s="1">
        <f>19.79*100000000</f>
        <v>1979000000</v>
      </c>
      <c r="AQ1163" s="8">
        <f t="shared" si="583"/>
        <v>0.39858657243816253</v>
      </c>
      <c r="AR1163" s="6" t="s">
        <v>6138</v>
      </c>
      <c r="AS1163" s="6" t="str">
        <f t="shared" si="567"/>
        <v>=14.15*100000000</v>
      </c>
      <c r="AT1163" s="1">
        <f>14.15*100000000</f>
        <v>1415000000</v>
      </c>
      <c r="AU1163" s="8">
        <f t="shared" si="584"/>
        <v>-1.9404019404019403E-2</v>
      </c>
      <c r="AV1163" s="6" t="s">
        <v>2830</v>
      </c>
      <c r="AW1163" s="6" t="str">
        <f t="shared" si="568"/>
        <v>=14.43*100000000</v>
      </c>
      <c r="AX1163" s="1">
        <f>14.43*100000000</f>
        <v>1443000000</v>
      </c>
      <c r="AY1163" s="10">
        <f t="shared" si="585"/>
        <v>0.14705882352941177</v>
      </c>
      <c r="AZ1163" s="6" t="s">
        <v>11884</v>
      </c>
      <c r="BA1163" s="6" t="str">
        <f t="shared" si="569"/>
        <v>=12.58*100000000</v>
      </c>
      <c r="BB1163" s="1">
        <f>12.58*100000000</f>
        <v>1258000000</v>
      </c>
      <c r="BC1163" s="8">
        <f t="shared" si="586"/>
        <v>0.40386117620801248</v>
      </c>
      <c r="BD1163" s="6" t="s">
        <v>6671</v>
      </c>
      <c r="BE1163" s="6" t="str">
        <f t="shared" si="570"/>
        <v>=8.961*100000000</v>
      </c>
      <c r="BF1163" s="1">
        <f>8.961*100000000</f>
        <v>896100000</v>
      </c>
      <c r="BG1163" s="8">
        <f t="shared" si="587"/>
        <v>0.25803734381580795</v>
      </c>
      <c r="BH1163" s="6" t="s">
        <v>11885</v>
      </c>
      <c r="BI1163" s="6" t="str">
        <f t="shared" si="571"/>
        <v>=7.123*100000000</v>
      </c>
      <c r="BJ1163" s="1">
        <f>7.123*100000000</f>
        <v>712300000</v>
      </c>
      <c r="BK1163" s="6" t="s">
        <v>2805</v>
      </c>
      <c r="BL1163" s="1" t="str">
        <f t="shared" si="573"/>
        <v>=3.823*100000000</v>
      </c>
      <c r="BM1163" s="16">
        <f t="shared" si="588"/>
        <v>0.86319644258435779</v>
      </c>
      <c r="BN1163" s="1">
        <f>3.823*100000000</f>
        <v>382300000</v>
      </c>
    </row>
    <row r="1164" spans="1:66">
      <c r="A1164" s="18"/>
      <c r="B1164">
        <v>600958</v>
      </c>
      <c r="C1164" t="s">
        <v>58</v>
      </c>
      <c r="D1164" s="6" t="s">
        <v>11886</v>
      </c>
      <c r="E1164" s="7" t="str">
        <f t="shared" si="572"/>
        <v>=63.07*100000000</v>
      </c>
      <c r="F1164" s="1">
        <f>63.07*100000000</f>
        <v>6307000000</v>
      </c>
      <c r="G1164" s="8">
        <f t="shared" si="574"/>
        <v>0.26114777044591081</v>
      </c>
      <c r="H1164" s="6" t="s">
        <v>11887</v>
      </c>
      <c r="I1164" s="6" t="str">
        <f t="shared" si="558"/>
        <v>=50.01*100000000</v>
      </c>
      <c r="J1164" s="1">
        <f>50.01*100000000</f>
        <v>5001000000</v>
      </c>
      <c r="K1164" s="10">
        <f t="shared" si="575"/>
        <v>0.59827420901246409</v>
      </c>
      <c r="L1164" s="6" t="s">
        <v>11888</v>
      </c>
      <c r="M1164" s="6" t="str">
        <f t="shared" si="559"/>
        <v>=31.29*100000000</v>
      </c>
      <c r="N1164" s="1">
        <f>31.29*100000000</f>
        <v>3129000000</v>
      </c>
      <c r="O1164" s="8">
        <f t="shared" si="576"/>
        <v>1.1744266851980543</v>
      </c>
      <c r="P1164" s="6" t="s">
        <v>8386</v>
      </c>
      <c r="Q1164" s="6" t="str">
        <f t="shared" si="560"/>
        <v>=14.39*100000000</v>
      </c>
      <c r="R1164" s="11">
        <f>14.39*100000000</f>
        <v>1439000000</v>
      </c>
      <c r="S1164" s="8">
        <f t="shared" si="577"/>
        <v>-0.48348887293610909</v>
      </c>
      <c r="T1164" s="6" t="s">
        <v>11889</v>
      </c>
      <c r="U1164" s="6" t="str">
        <f t="shared" si="561"/>
        <v>=27.86*100000000</v>
      </c>
      <c r="V1164" s="1">
        <f>27.86*100000000</f>
        <v>2786000000</v>
      </c>
      <c r="W1164" s="8">
        <f t="shared" si="578"/>
        <v>-0.21277196948290478</v>
      </c>
      <c r="X1164" s="6" t="s">
        <v>11890</v>
      </c>
      <c r="Y1164" s="6" t="str">
        <f t="shared" si="562"/>
        <v>=35.39*100000000</v>
      </c>
      <c r="Z1164" s="1">
        <f>35.39*100000000</f>
        <v>3539000000</v>
      </c>
      <c r="AA1164" s="8">
        <f t="shared" si="579"/>
        <v>0.99155880697805288</v>
      </c>
      <c r="AB1164" s="6" t="s">
        <v>7092</v>
      </c>
      <c r="AC1164" s="6" t="str">
        <f t="shared" si="563"/>
        <v>=17.77*100000000</v>
      </c>
      <c r="AD1164" s="1">
        <f>17.77*100000000</f>
        <v>1777000000</v>
      </c>
      <c r="AE1164" s="8">
        <f t="shared" si="580"/>
        <v>0.74386653581943085</v>
      </c>
      <c r="AF1164" s="6" t="s">
        <v>2896</v>
      </c>
      <c r="AG1164" s="6" t="str">
        <f t="shared" si="564"/>
        <v>=10.19*100000000</v>
      </c>
      <c r="AH1164" s="1">
        <f>10.19*100000000</f>
        <v>1019000000</v>
      </c>
      <c r="AI1164" s="8">
        <f t="shared" si="581"/>
        <v>-0.64308231173380037</v>
      </c>
      <c r="AJ1164" s="6" t="s">
        <v>4345</v>
      </c>
      <c r="AK1164" s="6" t="str">
        <f t="shared" si="565"/>
        <v>=28.55*100000000</v>
      </c>
      <c r="AL1164" s="1">
        <f>28.55*100000000</f>
        <v>2855000000</v>
      </c>
      <c r="AM1164" s="8">
        <f t="shared" si="582"/>
        <v>0.37723106608779544</v>
      </c>
      <c r="AN1164" s="6" t="s">
        <v>6198</v>
      </c>
      <c r="AO1164" s="6" t="str">
        <f t="shared" si="566"/>
        <v>=20.73*100000000</v>
      </c>
      <c r="AP1164" s="1">
        <f>20.73*100000000</f>
        <v>2073000000</v>
      </c>
      <c r="AQ1164" s="8">
        <f t="shared" si="583"/>
        <v>0.37375745526838966</v>
      </c>
      <c r="AR1164" s="6" t="s">
        <v>7176</v>
      </c>
      <c r="AS1164" s="6" t="str">
        <f t="shared" si="567"/>
        <v>=15.09*100000000</v>
      </c>
      <c r="AT1164" s="1">
        <f>15.09*100000000</f>
        <v>1509000000</v>
      </c>
      <c r="AU1164" s="8">
        <f t="shared" si="584"/>
        <v>-4.0686586141131596E-2</v>
      </c>
      <c r="AV1164" s="6" t="s">
        <v>11891</v>
      </c>
      <c r="AW1164" s="6" t="str">
        <f t="shared" si="568"/>
        <v>=15.73*100000000</v>
      </c>
      <c r="AX1164" s="1">
        <f>15.73*100000000</f>
        <v>1573000000</v>
      </c>
      <c r="AY1164" s="10">
        <f t="shared" si="585"/>
        <v>0.18181818181818182</v>
      </c>
      <c r="AZ1164" s="6" t="s">
        <v>2291</v>
      </c>
      <c r="BA1164" s="6" t="str">
        <f t="shared" si="569"/>
        <v>=13.31*100000000</v>
      </c>
      <c r="BB1164" s="1">
        <f>13.31*100000000</f>
        <v>1331000000</v>
      </c>
      <c r="BC1164" s="8">
        <f t="shared" si="586"/>
        <v>0.33580891208350061</v>
      </c>
      <c r="BD1164" s="6" t="s">
        <v>11892</v>
      </c>
      <c r="BE1164" s="6" t="str">
        <f t="shared" si="570"/>
        <v>=9.964*100000000</v>
      </c>
      <c r="BF1164" s="1">
        <f>9.964*100000000</f>
        <v>996400000</v>
      </c>
      <c r="BG1164" s="8">
        <f t="shared" si="587"/>
        <v>0.19572782911316453</v>
      </c>
      <c r="BH1164" s="6" t="s">
        <v>2623</v>
      </c>
      <c r="BI1164" s="6" t="str">
        <f t="shared" si="571"/>
        <v>=8.333*100000000</v>
      </c>
      <c r="BJ1164" s="1">
        <f>8.333*100000000</f>
        <v>833300000</v>
      </c>
      <c r="BK1164" s="6" t="s">
        <v>11893</v>
      </c>
      <c r="BL1164" s="1" t="str">
        <f t="shared" si="573"/>
        <v>=4.827*100000000</v>
      </c>
      <c r="BM1164" s="16">
        <f t="shared" si="588"/>
        <v>0.72633105448518753</v>
      </c>
      <c r="BN1164" s="1">
        <f>4.827*100000000</f>
        <v>482700000</v>
      </c>
    </row>
    <row r="1165" spans="1:66">
      <c r="A1165" s="19"/>
      <c r="B1165">
        <v>600958</v>
      </c>
      <c r="C1165" t="s">
        <v>68</v>
      </c>
      <c r="D1165" s="6" t="s">
        <v>11894</v>
      </c>
      <c r="E1165" s="7" t="str">
        <f t="shared" si="572"/>
        <v>=53.73*100000000</v>
      </c>
      <c r="F1165" s="1">
        <f>53.73*100000000</f>
        <v>5373000000</v>
      </c>
      <c r="G1165" s="8">
        <f t="shared" si="574"/>
        <v>0.24403797175272054</v>
      </c>
      <c r="H1165" s="6" t="s">
        <v>11895</v>
      </c>
      <c r="I1165" s="6" t="str">
        <f t="shared" si="558"/>
        <v>=43.19*100000000</v>
      </c>
      <c r="J1165" s="1">
        <f>43.19*100000000</f>
        <v>4319000000</v>
      </c>
      <c r="K1165" s="10">
        <f t="shared" si="575"/>
        <v>0.60081541882876199</v>
      </c>
      <c r="L1165" s="6" t="s">
        <v>3534</v>
      </c>
      <c r="M1165" s="6" t="str">
        <f t="shared" si="559"/>
        <v>=26.98*100000000</v>
      </c>
      <c r="N1165" s="1">
        <f>26.98*100000000</f>
        <v>2698000000</v>
      </c>
      <c r="O1165" s="8">
        <f t="shared" si="576"/>
        <v>1.2961702127659573</v>
      </c>
      <c r="P1165" s="6" t="s">
        <v>9227</v>
      </c>
      <c r="Q1165" s="6" t="str">
        <f t="shared" si="560"/>
        <v>=11.75*100000000</v>
      </c>
      <c r="R1165" s="11">
        <f>11.75*100000000</f>
        <v>1175000000</v>
      </c>
      <c r="S1165" s="8">
        <f t="shared" si="577"/>
        <v>-0.56833210874357087</v>
      </c>
      <c r="T1165" s="6" t="s">
        <v>9581</v>
      </c>
      <c r="U1165" s="6" t="str">
        <f t="shared" si="561"/>
        <v>=27.22*100000000</v>
      </c>
      <c r="V1165" s="1">
        <f>27.22*100000000</f>
        <v>2722000000</v>
      </c>
      <c r="W1165" s="8">
        <f t="shared" si="578"/>
        <v>-0.10724827812397507</v>
      </c>
      <c r="X1165" s="6" t="s">
        <v>10756</v>
      </c>
      <c r="Y1165" s="6" t="str">
        <f t="shared" si="562"/>
        <v>=30.49*100000000</v>
      </c>
      <c r="Z1165" s="1">
        <f>30.49*100000000</f>
        <v>3049000000</v>
      </c>
      <c r="AA1165" s="8">
        <f t="shared" si="579"/>
        <v>0.999344262295082</v>
      </c>
      <c r="AB1165" s="6" t="s">
        <v>293</v>
      </c>
      <c r="AC1165" s="6" t="str">
        <f t="shared" si="563"/>
        <v>=15.25*100000000</v>
      </c>
      <c r="AD1165" s="1">
        <f>15.25*100000000</f>
        <v>1525000000</v>
      </c>
      <c r="AE1165" s="8">
        <f t="shared" si="580"/>
        <v>0.88714268036134147</v>
      </c>
      <c r="AF1165" s="6" t="s">
        <v>11896</v>
      </c>
      <c r="AG1165" s="6" t="str">
        <f t="shared" si="564"/>
        <v>=8.081*100000000</v>
      </c>
      <c r="AH1165" s="1">
        <f>8.081*100000000</f>
        <v>808100000</v>
      </c>
      <c r="AI1165" s="8">
        <f t="shared" si="581"/>
        <v>-0.67402178297700688</v>
      </c>
      <c r="AJ1165" s="6" t="s">
        <v>11897</v>
      </c>
      <c r="AK1165" s="6" t="str">
        <f t="shared" si="565"/>
        <v>=24.79*100000000</v>
      </c>
      <c r="AL1165" s="1">
        <f>24.79*100000000</f>
        <v>2479000000</v>
      </c>
      <c r="AM1165" s="8">
        <f t="shared" si="582"/>
        <v>0.38801791713325867</v>
      </c>
      <c r="AN1165" s="6" t="s">
        <v>7590</v>
      </c>
      <c r="AO1165" s="6" t="str">
        <f t="shared" si="566"/>
        <v>=17.86*100000000</v>
      </c>
      <c r="AP1165" s="1">
        <f>17.86*100000000</f>
        <v>1786000000</v>
      </c>
      <c r="AQ1165" s="8">
        <f t="shared" si="583"/>
        <v>0.42424242424242425</v>
      </c>
      <c r="AR1165" s="6" t="s">
        <v>5024</v>
      </c>
      <c r="AS1165" s="6" t="str">
        <f t="shared" si="567"/>
        <v>=12.54*100000000</v>
      </c>
      <c r="AT1165" s="1">
        <f>12.54*100000000</f>
        <v>1254000000</v>
      </c>
      <c r="AU1165" s="8">
        <f t="shared" si="584"/>
        <v>-1.8779342723004695E-2</v>
      </c>
      <c r="AV1165" s="6" t="s">
        <v>9161</v>
      </c>
      <c r="AW1165" s="6" t="str">
        <f t="shared" si="568"/>
        <v>=12.78*100000000</v>
      </c>
      <c r="AX1165" s="1">
        <f>12.78*100000000</f>
        <v>1278000000</v>
      </c>
      <c r="AY1165" s="10">
        <f t="shared" si="585"/>
        <v>-2.34192037470726E-3</v>
      </c>
      <c r="AZ1165" s="6" t="s">
        <v>3969</v>
      </c>
      <c r="BA1165" s="6" t="str">
        <f t="shared" si="569"/>
        <v>=12.81*100000000</v>
      </c>
      <c r="BB1165" s="1">
        <f>12.81*100000000</f>
        <v>1281000000</v>
      </c>
      <c r="BC1165" s="8">
        <f t="shared" si="586"/>
        <v>0.34572959344468956</v>
      </c>
      <c r="BD1165" s="6" t="s">
        <v>56</v>
      </c>
      <c r="BE1165" s="6" t="str">
        <f t="shared" si="570"/>
        <v>=9.519*100000000</v>
      </c>
      <c r="BF1165" s="1">
        <f>9.519*100000000</f>
        <v>951900000</v>
      </c>
      <c r="BG1165" s="8">
        <f t="shared" si="587"/>
        <v>0.2533245556287031</v>
      </c>
      <c r="BH1165" s="6" t="s">
        <v>8458</v>
      </c>
      <c r="BI1165" s="6" t="str">
        <f t="shared" si="571"/>
        <v>=7.595*100000000</v>
      </c>
      <c r="BJ1165" s="1">
        <f>7.595*100000000</f>
        <v>759500000</v>
      </c>
      <c r="BK1165" s="6" t="s">
        <v>11898</v>
      </c>
      <c r="BL1165" s="1" t="str">
        <f t="shared" si="573"/>
        <v>=4.527*100000000</v>
      </c>
      <c r="BM1165" s="16">
        <f t="shared" si="588"/>
        <v>0.67771150872542518</v>
      </c>
      <c r="BN1165" s="1">
        <f>4.527*100000000</f>
        <v>452700000</v>
      </c>
    </row>
    <row r="1166" spans="1:66">
      <c r="A1166" s="17">
        <v>293</v>
      </c>
      <c r="B1166">
        <v>600962</v>
      </c>
      <c r="C1166" t="s">
        <v>31</v>
      </c>
      <c r="D1166" s="6" t="s">
        <v>717</v>
      </c>
      <c r="E1166" s="7" t="str">
        <f t="shared" si="572"/>
        <v>=14.50*100000000</v>
      </c>
      <c r="F1166" s="1">
        <f>14.5*100000000</f>
        <v>1450000000</v>
      </c>
      <c r="G1166" s="8">
        <f t="shared" si="574"/>
        <v>0.51293823038397324</v>
      </c>
      <c r="H1166" s="6" t="s">
        <v>8193</v>
      </c>
      <c r="I1166" s="6" t="str">
        <f t="shared" si="558"/>
        <v>=9.584*100000000</v>
      </c>
      <c r="J1166" s="1">
        <f>9.584*100000000</f>
        <v>958400000</v>
      </c>
      <c r="K1166" s="10">
        <f t="shared" si="575"/>
        <v>0.42916790933492394</v>
      </c>
      <c r="L1166" s="6" t="s">
        <v>11899</v>
      </c>
      <c r="M1166" s="6" t="str">
        <f t="shared" si="559"/>
        <v>=6.706*100000000</v>
      </c>
      <c r="N1166" s="1">
        <f>6.706*100000000</f>
        <v>670600000</v>
      </c>
      <c r="O1166" s="8">
        <f t="shared" si="576"/>
        <v>1.1681215648237957</v>
      </c>
      <c r="P1166" s="6" t="s">
        <v>11900</v>
      </c>
      <c r="Q1166" s="6" t="str">
        <f t="shared" si="560"/>
        <v>=3.093*100000000</v>
      </c>
      <c r="R1166" s="11">
        <f>3.093*100000000</f>
        <v>309300000</v>
      </c>
      <c r="S1166" s="8">
        <f t="shared" si="577"/>
        <v>-0.73057491289198606</v>
      </c>
      <c r="T1166" s="6" t="s">
        <v>7424</v>
      </c>
      <c r="U1166" s="6" t="str">
        <f t="shared" si="561"/>
        <v>=11.48*100000000</v>
      </c>
      <c r="V1166" s="1">
        <f>11.48*100000000</f>
        <v>1148000000</v>
      </c>
      <c r="W1166" s="8">
        <f t="shared" si="578"/>
        <v>0.44202989574174101</v>
      </c>
      <c r="X1166" s="6" t="s">
        <v>1595</v>
      </c>
      <c r="Y1166" s="6" t="str">
        <f t="shared" si="562"/>
        <v>=7.961*100000000</v>
      </c>
      <c r="Z1166" s="1">
        <f>7.961*100000000</f>
        <v>796100000</v>
      </c>
      <c r="AA1166" s="8">
        <f t="shared" si="579"/>
        <v>0.37614520311149524</v>
      </c>
      <c r="AB1166" s="6" t="s">
        <v>3422</v>
      </c>
      <c r="AC1166" s="6" t="str">
        <f t="shared" si="563"/>
        <v>=5.785*100000000</v>
      </c>
      <c r="AD1166" s="1">
        <f>5.785*100000000</f>
        <v>578500000</v>
      </c>
      <c r="AE1166" s="8">
        <f t="shared" si="580"/>
        <v>1.2147779479326186</v>
      </c>
      <c r="AF1166" s="6" t="s">
        <v>3512</v>
      </c>
      <c r="AG1166" s="6" t="str">
        <f t="shared" si="564"/>
        <v>=2.612*100000000</v>
      </c>
      <c r="AH1166" s="1">
        <f>2.612*100000000</f>
        <v>261200000</v>
      </c>
      <c r="AI1166" s="8">
        <f t="shared" si="581"/>
        <v>-0.803609022556391</v>
      </c>
      <c r="AJ1166" s="6" t="s">
        <v>3535</v>
      </c>
      <c r="AK1166" s="6" t="str">
        <f t="shared" si="565"/>
        <v>=13.30*100000000</v>
      </c>
      <c r="AL1166" s="1">
        <f>13.3*100000000</f>
        <v>1330000000</v>
      </c>
      <c r="AM1166" s="8">
        <f t="shared" si="582"/>
        <v>1.0087600060413835</v>
      </c>
      <c r="AN1166" s="6" t="s">
        <v>11901</v>
      </c>
      <c r="AO1166" s="6" t="str">
        <f t="shared" si="566"/>
        <v>=6.621*100000000</v>
      </c>
      <c r="AP1166" s="1">
        <f>6.621*100000000</f>
        <v>662100000</v>
      </c>
      <c r="AQ1166" s="8">
        <f t="shared" si="583"/>
        <v>0.65194610778443118</v>
      </c>
      <c r="AR1166" s="6" t="s">
        <v>9201</v>
      </c>
      <c r="AS1166" s="6" t="str">
        <f t="shared" si="567"/>
        <v>=4.008*100000000</v>
      </c>
      <c r="AT1166" s="1">
        <f>4.008*100000000</f>
        <v>400800000</v>
      </c>
      <c r="AU1166" s="8">
        <f t="shared" si="584"/>
        <v>1.1653160453808753</v>
      </c>
      <c r="AV1166" s="6" t="s">
        <v>5011</v>
      </c>
      <c r="AW1166" s="6" t="str">
        <f t="shared" si="568"/>
        <v>=1.851*100000000</v>
      </c>
      <c r="AX1166" s="1">
        <f>1.851*100000000</f>
        <v>185100000</v>
      </c>
      <c r="AY1166" s="10">
        <f t="shared" si="585"/>
        <v>-0.80782807308970095</v>
      </c>
      <c r="AZ1166" s="6" t="s">
        <v>11902</v>
      </c>
      <c r="BA1166" s="6" t="str">
        <f t="shared" si="569"/>
        <v>=9.632*100000000</v>
      </c>
      <c r="BB1166" s="1">
        <f>9.632*100000000</f>
        <v>963200000</v>
      </c>
      <c r="BC1166" s="8">
        <f t="shared" si="586"/>
        <v>0.63337290147532643</v>
      </c>
      <c r="BD1166" s="6" t="s">
        <v>11903</v>
      </c>
      <c r="BE1166" s="6" t="str">
        <f t="shared" si="570"/>
        <v>=5.897*100000000</v>
      </c>
      <c r="BF1166" s="1">
        <f>5.897*100000000</f>
        <v>589700000</v>
      </c>
      <c r="BG1166" s="8">
        <f t="shared" si="587"/>
        <v>0.48389531957725213</v>
      </c>
      <c r="BH1166" s="6" t="s">
        <v>490</v>
      </c>
      <c r="BI1166" s="6" t="str">
        <f t="shared" si="571"/>
        <v>=3.974*100000000</v>
      </c>
      <c r="BJ1166" s="1">
        <f>3.974*100000000</f>
        <v>397400000</v>
      </c>
      <c r="BK1166" s="6" t="s">
        <v>9903</v>
      </c>
      <c r="BL1166" s="1" t="str">
        <f t="shared" si="573"/>
        <v>=1.978*100000000</v>
      </c>
      <c r="BM1166" s="16">
        <f t="shared" si="588"/>
        <v>1.0091001011122345</v>
      </c>
      <c r="BN1166" s="1">
        <f>1.978*100000000</f>
        <v>197800000</v>
      </c>
    </row>
    <row r="1167" spans="1:66">
      <c r="A1167" s="18"/>
      <c r="B1167">
        <v>600962</v>
      </c>
      <c r="C1167" t="s">
        <v>48</v>
      </c>
      <c r="D1167" s="7">
        <f>-4349*10000</f>
        <v>-43490000</v>
      </c>
      <c r="E1167" s="7" t="str">
        <f t="shared" si="572"/>
        <v>=-43490000</v>
      </c>
      <c r="F1167" s="1">
        <f>-43490000</f>
        <v>-43490000</v>
      </c>
      <c r="G1167" s="8">
        <f t="shared" si="574"/>
        <v>11.316624185783065</v>
      </c>
      <c r="H1167" s="7">
        <f>-353.1*10000</f>
        <v>-3531000</v>
      </c>
      <c r="I1167" s="6" t="str">
        <f t="shared" si="558"/>
        <v>=-3531000</v>
      </c>
      <c r="J1167" s="1">
        <f>-3531000</f>
        <v>-3531000</v>
      </c>
      <c r="K1167" s="10">
        <f t="shared" si="575"/>
        <v>-2.8457919498170412</v>
      </c>
      <c r="L1167" s="7" t="s">
        <v>11904</v>
      </c>
      <c r="M1167" s="6" t="str">
        <f t="shared" si="559"/>
        <v>=191.3*10000</v>
      </c>
      <c r="N1167" s="1">
        <f>191.3*10000</f>
        <v>1913000</v>
      </c>
      <c r="O1167" s="8">
        <f t="shared" si="576"/>
        <v>0.37625899280575542</v>
      </c>
      <c r="P1167" s="7" t="s">
        <v>10309</v>
      </c>
      <c r="Q1167" s="6" t="str">
        <f t="shared" si="560"/>
        <v>=139.0*10000</v>
      </c>
      <c r="R1167" s="11">
        <f>139*10000</f>
        <v>1390000</v>
      </c>
      <c r="S1167" s="8">
        <f t="shared" si="577"/>
        <v>-1.0109362706530292</v>
      </c>
      <c r="T1167" s="6">
        <f>-1.271*100000000</f>
        <v>-127099999.99999999</v>
      </c>
      <c r="U1167" s="6" t="str">
        <f t="shared" si="561"/>
        <v>=-127100000</v>
      </c>
      <c r="V1167" s="1">
        <f>-127100000</f>
        <v>-127100000</v>
      </c>
      <c r="W1167" s="8">
        <f t="shared" si="578"/>
        <v>-59.733826247689464</v>
      </c>
      <c r="X1167" s="7" t="s">
        <v>11905</v>
      </c>
      <c r="Y1167" s="6" t="str">
        <f t="shared" si="562"/>
        <v>=216.4*10000</v>
      </c>
      <c r="Z1167" s="1">
        <f>216.4*10000</f>
        <v>2164000</v>
      </c>
      <c r="AA1167" s="8">
        <f t="shared" si="579"/>
        <v>0.19097413318657128</v>
      </c>
      <c r="AB1167" s="7" t="s">
        <v>11906</v>
      </c>
      <c r="AC1167" s="6" t="str">
        <f t="shared" si="563"/>
        <v>=181.7*10000</v>
      </c>
      <c r="AD1167" s="1">
        <f>181.7*10000</f>
        <v>1817000</v>
      </c>
      <c r="AE1167" s="8">
        <f t="shared" si="580"/>
        <v>0.19854881266490765</v>
      </c>
      <c r="AF1167" s="7" t="s">
        <v>11907</v>
      </c>
      <c r="AG1167" s="6" t="str">
        <f t="shared" si="564"/>
        <v>=151.6*10000</v>
      </c>
      <c r="AH1167" s="1">
        <f>151.6*10000</f>
        <v>1516000</v>
      </c>
      <c r="AI1167" s="8">
        <f t="shared" si="581"/>
        <v>-0.88156250000000003</v>
      </c>
      <c r="AJ1167" s="7" t="s">
        <v>3780</v>
      </c>
      <c r="AK1167" s="6" t="str">
        <f t="shared" si="565"/>
        <v>=1280*10000</v>
      </c>
      <c r="AL1167" s="1">
        <f>1280*10000</f>
        <v>12800000</v>
      </c>
      <c r="AM1167" s="8">
        <f t="shared" si="582"/>
        <v>0.47295742232451093</v>
      </c>
      <c r="AN1167" s="7" t="s">
        <v>11908</v>
      </c>
      <c r="AO1167" s="6" t="str">
        <f t="shared" si="566"/>
        <v>=869.0*10000</v>
      </c>
      <c r="AP1167" s="1">
        <f>869*10000</f>
        <v>8690000</v>
      </c>
      <c r="AQ1167" s="8">
        <f t="shared" si="583"/>
        <v>1.1697877652933832</v>
      </c>
      <c r="AR1167" s="7" t="s">
        <v>11909</v>
      </c>
      <c r="AS1167" s="6" t="str">
        <f t="shared" si="567"/>
        <v>=400.5*10000</v>
      </c>
      <c r="AT1167" s="1">
        <f>400.5*10000</f>
        <v>4005000</v>
      </c>
      <c r="AU1167" s="8">
        <f t="shared" si="584"/>
        <v>3.7452606635071088</v>
      </c>
      <c r="AV1167" s="7" t="s">
        <v>11910</v>
      </c>
      <c r="AW1167" s="6" t="str">
        <f t="shared" si="568"/>
        <v>=84.40*10000</v>
      </c>
      <c r="AX1167" s="1">
        <f>84.4*10000</f>
        <v>844000</v>
      </c>
      <c r="AY1167" s="10">
        <f t="shared" si="585"/>
        <v>-0.94093771868439469</v>
      </c>
      <c r="AZ1167" s="7" t="s">
        <v>11911</v>
      </c>
      <c r="BA1167" s="6" t="str">
        <f t="shared" si="569"/>
        <v>=1429*10000</v>
      </c>
      <c r="BB1167" s="1">
        <f>1429*10000</f>
        <v>14290000</v>
      </c>
      <c r="BC1167" s="8">
        <f t="shared" si="586"/>
        <v>0.56157796962080642</v>
      </c>
      <c r="BD1167" s="7" t="s">
        <v>11912</v>
      </c>
      <c r="BE1167" s="6" t="str">
        <f t="shared" si="570"/>
        <v>=915.1*10000</v>
      </c>
      <c r="BF1167" s="1">
        <f>915.1*10000</f>
        <v>9151000</v>
      </c>
      <c r="BG1167" s="8">
        <f t="shared" si="587"/>
        <v>0.49991804622193081</v>
      </c>
      <c r="BH1167" s="7" t="s">
        <v>11913</v>
      </c>
      <c r="BI1167" s="6" t="str">
        <f t="shared" si="571"/>
        <v>=610.1*10000</v>
      </c>
      <c r="BJ1167" s="1">
        <f>610.1*10000</f>
        <v>6101000</v>
      </c>
      <c r="BK1167" s="7" t="s">
        <v>11914</v>
      </c>
      <c r="BL1167" s="1" t="str">
        <f t="shared" si="573"/>
        <v>=364.7*10000</v>
      </c>
      <c r="BM1167" s="16">
        <f t="shared" si="588"/>
        <v>0.67288182067452695</v>
      </c>
      <c r="BN1167" s="1">
        <f>364.7*10000</f>
        <v>3647000</v>
      </c>
    </row>
    <row r="1168" spans="1:66">
      <c r="A1168" s="18"/>
      <c r="B1168">
        <v>600962</v>
      </c>
      <c r="C1168" t="s">
        <v>58</v>
      </c>
      <c r="D1168" s="7">
        <f>-1038*10000</f>
        <v>-10380000</v>
      </c>
      <c r="E1168" s="7" t="str">
        <f t="shared" si="572"/>
        <v>=-10380000</v>
      </c>
      <c r="F1168" s="1">
        <f>-10380000</f>
        <v>-10380000</v>
      </c>
      <c r="G1168" s="8">
        <f t="shared" si="574"/>
        <v>-5.2751235584843492</v>
      </c>
      <c r="H1168" s="7" t="s">
        <v>11915</v>
      </c>
      <c r="I1168" s="6" t="str">
        <f t="shared" si="558"/>
        <v>=242.8*10000</v>
      </c>
      <c r="J1168" s="1">
        <f>242.8*10000</f>
        <v>2428000</v>
      </c>
      <c r="K1168" s="10">
        <f t="shared" si="575"/>
        <v>-0.56681534344335416</v>
      </c>
      <c r="L1168" s="7" t="s">
        <v>11916</v>
      </c>
      <c r="M1168" s="6" t="str">
        <f t="shared" si="559"/>
        <v>=560.5*10000</v>
      </c>
      <c r="N1168" s="1">
        <f>560.5*10000</f>
        <v>5605000</v>
      </c>
      <c r="O1168" s="8">
        <f t="shared" si="576"/>
        <v>2.7070105820105819</v>
      </c>
      <c r="P1168" s="7" t="s">
        <v>11917</v>
      </c>
      <c r="Q1168" s="6" t="str">
        <f t="shared" si="560"/>
        <v>=151.2*10000</v>
      </c>
      <c r="R1168" s="11">
        <f>151.2*10000</f>
        <v>1512000</v>
      </c>
      <c r="S1168" s="8">
        <f t="shared" si="577"/>
        <v>-1.0125477178423237</v>
      </c>
      <c r="T1168" s="6">
        <f>-1.205*100000000</f>
        <v>-120500000</v>
      </c>
      <c r="U1168" s="6" t="str">
        <f t="shared" si="561"/>
        <v>=-120500000</v>
      </c>
      <c r="V1168" s="1">
        <f>-120500000</f>
        <v>-120500000</v>
      </c>
      <c r="W1168" s="8">
        <f t="shared" si="578"/>
        <v>-21.133667502088556</v>
      </c>
      <c r="X1168" s="7" t="s">
        <v>11918</v>
      </c>
      <c r="Y1168" s="6" t="str">
        <f t="shared" si="562"/>
        <v>=598.5*10000</v>
      </c>
      <c r="Z1168" s="1">
        <f>598.5*10000</f>
        <v>5985000</v>
      </c>
      <c r="AA1168" s="8">
        <f t="shared" si="579"/>
        <v>0.15096153846153845</v>
      </c>
      <c r="AB1168" s="7" t="s">
        <v>11919</v>
      </c>
      <c r="AC1168" s="6" t="str">
        <f t="shared" si="563"/>
        <v>=520.0*10000</v>
      </c>
      <c r="AD1168" s="1">
        <f>520*10000</f>
        <v>5200000</v>
      </c>
      <c r="AE1168" s="8">
        <f t="shared" si="580"/>
        <v>1.0766773162939298</v>
      </c>
      <c r="AF1168" s="7" t="s">
        <v>11920</v>
      </c>
      <c r="AG1168" s="6" t="str">
        <f t="shared" si="564"/>
        <v>=250.4*10000</v>
      </c>
      <c r="AH1168" s="1">
        <f>250.4*10000</f>
        <v>2504000</v>
      </c>
      <c r="AI1168" s="8">
        <f t="shared" si="581"/>
        <v>-0.87616221562809105</v>
      </c>
      <c r="AJ1168" s="7" t="s">
        <v>3304</v>
      </c>
      <c r="AK1168" s="6" t="str">
        <f t="shared" si="565"/>
        <v>=2022*10000</v>
      </c>
      <c r="AL1168" s="1">
        <f>2022*10000</f>
        <v>20220000</v>
      </c>
      <c r="AM1168" s="8">
        <f t="shared" si="582"/>
        <v>0.58837391987431265</v>
      </c>
      <c r="AN1168" s="7" t="s">
        <v>11921</v>
      </c>
      <c r="AO1168" s="6" t="str">
        <f t="shared" si="566"/>
        <v>=1273*10000</v>
      </c>
      <c r="AP1168" s="1">
        <f>1273*10000</f>
        <v>12730000</v>
      </c>
      <c r="AQ1168" s="8">
        <f t="shared" si="583"/>
        <v>1.0482703137570395</v>
      </c>
      <c r="AR1168" s="7" t="s">
        <v>11922</v>
      </c>
      <c r="AS1168" s="6" t="str">
        <f t="shared" si="567"/>
        <v>=621.5*10000</v>
      </c>
      <c r="AT1168" s="1">
        <f>621.5*10000</f>
        <v>6215000</v>
      </c>
      <c r="AU1168" s="8">
        <f t="shared" si="584"/>
        <v>1.6135407905803196</v>
      </c>
      <c r="AV1168" s="7" t="s">
        <v>11923</v>
      </c>
      <c r="AW1168" s="6" t="str">
        <f t="shared" si="568"/>
        <v>=237.8*10000</v>
      </c>
      <c r="AX1168" s="1">
        <f>237.8*10000</f>
        <v>2378000</v>
      </c>
      <c r="AY1168" s="10">
        <f t="shared" si="585"/>
        <v>-0.84447351209941135</v>
      </c>
      <c r="AZ1168" s="7" t="s">
        <v>11924</v>
      </c>
      <c r="BA1168" s="6" t="str">
        <f t="shared" si="569"/>
        <v>=1529*10000</v>
      </c>
      <c r="BB1168" s="1">
        <f>1529*10000</f>
        <v>15290000</v>
      </c>
      <c r="BC1168" s="8">
        <f t="shared" si="586"/>
        <v>0.35309734513274338</v>
      </c>
      <c r="BD1168" s="7" t="s">
        <v>11925</v>
      </c>
      <c r="BE1168" s="6" t="str">
        <f t="shared" si="570"/>
        <v>=1130*10000</v>
      </c>
      <c r="BF1168" s="1">
        <f>1130*10000</f>
        <v>11300000</v>
      </c>
      <c r="BG1168" s="8">
        <f t="shared" si="587"/>
        <v>0.39042697182232067</v>
      </c>
      <c r="BH1168" s="7" t="s">
        <v>11926</v>
      </c>
      <c r="BI1168" s="6" t="str">
        <f t="shared" si="571"/>
        <v>=812.7*10000</v>
      </c>
      <c r="BJ1168" s="1">
        <f>812.7*10000</f>
        <v>8127000</v>
      </c>
      <c r="BK1168" s="7" t="s">
        <v>11927</v>
      </c>
      <c r="BL1168" s="1" t="str">
        <f t="shared" si="573"/>
        <v>=366.4*10000</v>
      </c>
      <c r="BM1168" s="16">
        <f t="shared" si="588"/>
        <v>1.2180676855895196</v>
      </c>
      <c r="BN1168" s="1">
        <f>366.4*10000</f>
        <v>3664000</v>
      </c>
    </row>
    <row r="1169" spans="1:66">
      <c r="A1169" s="19"/>
      <c r="B1169">
        <v>600962</v>
      </c>
      <c r="C1169" t="s">
        <v>68</v>
      </c>
      <c r="D1169" s="7">
        <f>-839*10000</f>
        <v>-8390000</v>
      </c>
      <c r="E1169" s="7" t="str">
        <f t="shared" si="572"/>
        <v>=-8390000</v>
      </c>
      <c r="F1169" s="1">
        <f>-8390000</f>
        <v>-8390000</v>
      </c>
      <c r="G1169" s="8">
        <f t="shared" si="574"/>
        <v>-2.3558500323206206</v>
      </c>
      <c r="H1169" s="7" t="s">
        <v>11928</v>
      </c>
      <c r="I1169" s="6" t="str">
        <f t="shared" si="558"/>
        <v>=618.8*10000</v>
      </c>
      <c r="J1169" s="1">
        <f>618.8*10000</f>
        <v>6188000</v>
      </c>
      <c r="K1169" s="10">
        <f t="shared" si="575"/>
        <v>-0.33426573426573425</v>
      </c>
      <c r="L1169" s="7" t="s">
        <v>11929</v>
      </c>
      <c r="M1169" s="6" t="str">
        <f t="shared" si="559"/>
        <v>=929.5*10000</v>
      </c>
      <c r="N1169" s="1">
        <f>929.5*10000</f>
        <v>9295000</v>
      </c>
      <c r="O1169" s="8">
        <f t="shared" si="576"/>
        <v>4.5926594464500603</v>
      </c>
      <c r="P1169" s="7" t="s">
        <v>11930</v>
      </c>
      <c r="Q1169" s="6" t="str">
        <f t="shared" si="560"/>
        <v>=166.2*10000</v>
      </c>
      <c r="R1169" s="11">
        <f>166.2*10000</f>
        <v>1662000</v>
      </c>
      <c r="S1169" s="8">
        <f t="shared" si="577"/>
        <v>-1.0137015663643858</v>
      </c>
      <c r="T1169" s="6">
        <f>-1.213*100000000</f>
        <v>-121300000.00000001</v>
      </c>
      <c r="U1169" s="6" t="str">
        <f t="shared" si="561"/>
        <v>=-121300000</v>
      </c>
      <c r="V1169" s="1">
        <f>-121300000</f>
        <v>-121300000</v>
      </c>
      <c r="W1169" s="8">
        <f t="shared" si="578"/>
        <v>-21.39340954942838</v>
      </c>
      <c r="X1169" s="7" t="s">
        <v>11931</v>
      </c>
      <c r="Y1169" s="6" t="str">
        <f t="shared" si="562"/>
        <v>=594.8*10000</v>
      </c>
      <c r="Z1169" s="1">
        <f>594.8*10000</f>
        <v>5948000</v>
      </c>
      <c r="AA1169" s="8">
        <f t="shared" si="579"/>
        <v>0.29220073864870738</v>
      </c>
      <c r="AB1169" s="7" t="s">
        <v>11932</v>
      </c>
      <c r="AC1169" s="6" t="str">
        <f t="shared" si="563"/>
        <v>=460.3*10000</v>
      </c>
      <c r="AD1169" s="1">
        <f>460.3*10000</f>
        <v>4603000</v>
      </c>
      <c r="AE1169" s="8">
        <f t="shared" si="580"/>
        <v>0.74686907020872861</v>
      </c>
      <c r="AF1169" s="7" t="s">
        <v>11933</v>
      </c>
      <c r="AG1169" s="6" t="str">
        <f t="shared" si="564"/>
        <v>=263.5*10000</v>
      </c>
      <c r="AH1169" s="1">
        <f>263.5*10000</f>
        <v>2635000</v>
      </c>
      <c r="AI1169" s="8">
        <f t="shared" si="581"/>
        <v>-0.82900713822193384</v>
      </c>
      <c r="AJ1169" s="7" t="s">
        <v>11934</v>
      </c>
      <c r="AK1169" s="6" t="str">
        <f t="shared" si="565"/>
        <v>=1541*10000</v>
      </c>
      <c r="AL1169" s="1">
        <f>1541*10000</f>
        <v>15410000</v>
      </c>
      <c r="AM1169" s="8">
        <f t="shared" si="582"/>
        <v>0.92288495133516346</v>
      </c>
      <c r="AN1169" s="7" t="s">
        <v>11935</v>
      </c>
      <c r="AO1169" s="6" t="str">
        <f t="shared" si="566"/>
        <v>=801.4*10000</v>
      </c>
      <c r="AP1169" s="1">
        <f>801.4*10000</f>
        <v>8014000</v>
      </c>
      <c r="AQ1169" s="8">
        <f t="shared" si="583"/>
        <v>1.2022533663094257</v>
      </c>
      <c r="AR1169" s="7" t="s">
        <v>8345</v>
      </c>
      <c r="AS1169" s="6" t="str">
        <f t="shared" si="567"/>
        <v>=363.9*10000</v>
      </c>
      <c r="AT1169" s="1">
        <f>363.9*10000</f>
        <v>3639000</v>
      </c>
      <c r="AU1169" s="8">
        <f t="shared" si="584"/>
        <v>5.9156214367160773</v>
      </c>
      <c r="AV1169" s="7" t="s">
        <v>11936</v>
      </c>
      <c r="AW1169" s="6" t="str">
        <f t="shared" si="568"/>
        <v>=52.62*10000</v>
      </c>
      <c r="AX1169" s="1">
        <f>52.62*10000</f>
        <v>526200</v>
      </c>
      <c r="AY1169" s="10">
        <f t="shared" si="585"/>
        <v>-0.94836113837095193</v>
      </c>
      <c r="AZ1169" s="7" t="s">
        <v>11937</v>
      </c>
      <c r="BA1169" s="6" t="str">
        <f t="shared" si="569"/>
        <v>=1019*10000</v>
      </c>
      <c r="BB1169" s="1">
        <f>1019*10000</f>
        <v>10190000</v>
      </c>
      <c r="BC1169" s="8">
        <f t="shared" si="586"/>
        <v>4.1815765259175956E-2</v>
      </c>
      <c r="BD1169" s="7" t="s">
        <v>11938</v>
      </c>
      <c r="BE1169" s="6" t="str">
        <f t="shared" si="570"/>
        <v>=978.1*10000</v>
      </c>
      <c r="BF1169" s="1">
        <f>978.1*10000</f>
        <v>9781000</v>
      </c>
      <c r="BG1169" s="8">
        <f t="shared" si="587"/>
        <v>0.24345283498601578</v>
      </c>
      <c r="BH1169" s="7" t="s">
        <v>11939</v>
      </c>
      <c r="BI1169" s="6" t="str">
        <f t="shared" si="571"/>
        <v>=786.6*10000</v>
      </c>
      <c r="BJ1169" s="1">
        <f>786.6*10000</f>
        <v>7866000</v>
      </c>
      <c r="BK1169" s="7" t="s">
        <v>11927</v>
      </c>
      <c r="BL1169" s="1" t="str">
        <f t="shared" si="573"/>
        <v>=366.4*10000</v>
      </c>
      <c r="BM1169" s="16">
        <f t="shared" si="588"/>
        <v>1.1468340611353711</v>
      </c>
      <c r="BN1169" s="1">
        <f>366.4*10000</f>
        <v>3664000</v>
      </c>
    </row>
    <row r="1170" spans="1:66">
      <c r="A1170" s="17">
        <v>294</v>
      </c>
      <c r="B1170">
        <v>600963</v>
      </c>
      <c r="C1170" t="s">
        <v>31</v>
      </c>
      <c r="D1170" s="6" t="s">
        <v>11940</v>
      </c>
      <c r="E1170" s="7" t="str">
        <f t="shared" si="572"/>
        <v>=78.38*100000000</v>
      </c>
      <c r="F1170" s="1">
        <f>78.38*100000000</f>
        <v>7838000000</v>
      </c>
      <c r="G1170" s="8">
        <f t="shared" si="574"/>
        <v>0.35699445983379502</v>
      </c>
      <c r="H1170" s="6" t="s">
        <v>11941</v>
      </c>
      <c r="I1170" s="6" t="str">
        <f t="shared" si="558"/>
        <v>=57.76*100000000</v>
      </c>
      <c r="J1170" s="1">
        <f>57.76*100000000</f>
        <v>5776000000</v>
      </c>
      <c r="K1170" s="10">
        <f t="shared" si="575"/>
        <v>0.47723785166240407</v>
      </c>
      <c r="L1170" s="6" t="s">
        <v>11942</v>
      </c>
      <c r="M1170" s="6" t="str">
        <f t="shared" si="559"/>
        <v>=39.10*100000000</v>
      </c>
      <c r="N1170" s="1">
        <f>39.1*100000000</f>
        <v>3910000000</v>
      </c>
      <c r="O1170" s="8">
        <f t="shared" si="576"/>
        <v>0.99184921039225671</v>
      </c>
      <c r="P1170" s="6" t="s">
        <v>7796</v>
      </c>
      <c r="Q1170" s="6" t="str">
        <f t="shared" si="560"/>
        <v>=19.63*100000000</v>
      </c>
      <c r="R1170" s="11">
        <f>19.63*100000000</f>
        <v>1963000000</v>
      </c>
      <c r="S1170" s="8">
        <f t="shared" si="577"/>
        <v>-0.72414277684092188</v>
      </c>
      <c r="T1170" s="6" t="s">
        <v>11943</v>
      </c>
      <c r="U1170" s="6" t="str">
        <f t="shared" si="561"/>
        <v>=71.16*100000000</v>
      </c>
      <c r="V1170" s="1">
        <f>71.16*100000000</f>
        <v>7116000000</v>
      </c>
      <c r="W1170" s="8">
        <f t="shared" si="578"/>
        <v>0.45610804174340086</v>
      </c>
      <c r="X1170" s="6" t="s">
        <v>11944</v>
      </c>
      <c r="Y1170" s="6" t="str">
        <f t="shared" si="562"/>
        <v>=48.87*100000000</v>
      </c>
      <c r="Z1170" s="1">
        <f>48.87*100000000</f>
        <v>4887000000</v>
      </c>
      <c r="AA1170" s="8">
        <f t="shared" si="579"/>
        <v>0.60439921208141822</v>
      </c>
      <c r="AB1170" s="6" t="s">
        <v>8582</v>
      </c>
      <c r="AC1170" s="6" t="str">
        <f t="shared" si="563"/>
        <v>=30.46*100000000</v>
      </c>
      <c r="AD1170" s="1">
        <f>30.46*100000000</f>
        <v>3046000000</v>
      </c>
      <c r="AE1170" s="8">
        <f t="shared" si="580"/>
        <v>1.4174603174603175</v>
      </c>
      <c r="AF1170" s="6" t="s">
        <v>4377</v>
      </c>
      <c r="AG1170" s="6" t="str">
        <f t="shared" si="564"/>
        <v>=12.60*100000000</v>
      </c>
      <c r="AH1170" s="1">
        <f>12.6*100000000</f>
        <v>1260000000</v>
      </c>
      <c r="AI1170" s="8">
        <f t="shared" si="581"/>
        <v>-0.82268505488319732</v>
      </c>
      <c r="AJ1170" s="6" t="s">
        <v>11945</v>
      </c>
      <c r="AK1170" s="6" t="str">
        <f t="shared" si="565"/>
        <v>=71.06*100000000</v>
      </c>
      <c r="AL1170" s="1">
        <f>71.06*100000000</f>
        <v>7106000000</v>
      </c>
      <c r="AM1170" s="8">
        <f t="shared" si="582"/>
        <v>0.44813531689423275</v>
      </c>
      <c r="AN1170" s="6" t="s">
        <v>11946</v>
      </c>
      <c r="AO1170" s="6" t="str">
        <f t="shared" si="566"/>
        <v>=49.07*100000000</v>
      </c>
      <c r="AP1170" s="1">
        <f>49.07*100000000</f>
        <v>4907000000</v>
      </c>
      <c r="AQ1170" s="8">
        <f t="shared" si="583"/>
        <v>0.56823266219239377</v>
      </c>
      <c r="AR1170" s="6" t="s">
        <v>11888</v>
      </c>
      <c r="AS1170" s="6" t="str">
        <f t="shared" si="567"/>
        <v>=31.29*100000000</v>
      </c>
      <c r="AT1170" s="1">
        <f>31.29*100000000</f>
        <v>3129000000</v>
      </c>
      <c r="AU1170" s="8">
        <f t="shared" si="584"/>
        <v>1.2302209550962224</v>
      </c>
      <c r="AV1170" s="6" t="s">
        <v>6219</v>
      </c>
      <c r="AW1170" s="6" t="str">
        <f t="shared" si="568"/>
        <v>=14.03*100000000</v>
      </c>
      <c r="AX1170" s="1">
        <f>14.03*100000000</f>
        <v>1403000000</v>
      </c>
      <c r="AY1170" s="10">
        <f t="shared" si="585"/>
        <v>-0.79994296306858692</v>
      </c>
      <c r="AZ1170" s="6" t="s">
        <v>11947</v>
      </c>
      <c r="BA1170" s="6" t="str">
        <f t="shared" si="569"/>
        <v>=70.13*100000000</v>
      </c>
      <c r="BB1170" s="1">
        <f>70.13*100000000</f>
        <v>7013000000</v>
      </c>
      <c r="BC1170" s="8">
        <f t="shared" si="586"/>
        <v>0.40203918432626951</v>
      </c>
      <c r="BD1170" s="6" t="s">
        <v>11948</v>
      </c>
      <c r="BE1170" s="6" t="str">
        <f t="shared" si="570"/>
        <v>=50.02*100000000</v>
      </c>
      <c r="BF1170" s="1">
        <f>50.02*100000000</f>
        <v>5002000000</v>
      </c>
      <c r="BG1170" s="8">
        <f t="shared" si="587"/>
        <v>0.47204237786933512</v>
      </c>
      <c r="BH1170" s="6" t="s">
        <v>11949</v>
      </c>
      <c r="BI1170" s="6" t="str">
        <f t="shared" si="571"/>
        <v>=33.98*100000000</v>
      </c>
      <c r="BJ1170" s="1">
        <f>33.98*100000000</f>
        <v>3397999999.9999995</v>
      </c>
      <c r="BK1170" s="6" t="s">
        <v>6845</v>
      </c>
      <c r="BL1170" s="1" t="str">
        <f t="shared" si="573"/>
        <v>=16.10*100000000</v>
      </c>
      <c r="BM1170" s="16">
        <f t="shared" si="588"/>
        <v>1.1105590062111794</v>
      </c>
      <c r="BN1170" s="1">
        <f>16.1*100000000</f>
        <v>1610000000.0000002</v>
      </c>
    </row>
    <row r="1171" spans="1:66">
      <c r="A1171" s="18"/>
      <c r="B1171">
        <v>600963</v>
      </c>
      <c r="C1171" t="s">
        <v>48</v>
      </c>
      <c r="D1171" s="6" t="s">
        <v>10185</v>
      </c>
      <c r="E1171" s="7" t="str">
        <f t="shared" si="572"/>
        <v>=3.393*100000000</v>
      </c>
      <c r="F1171" s="1">
        <f>3.393*100000000</f>
        <v>339300000</v>
      </c>
      <c r="G1171" s="8">
        <f t="shared" si="574"/>
        <v>-0.18885967009323451</v>
      </c>
      <c r="H1171" s="6" t="s">
        <v>11950</v>
      </c>
      <c r="I1171" s="6" t="str">
        <f t="shared" si="558"/>
        <v>=4.183*100000000</v>
      </c>
      <c r="J1171" s="1">
        <f>4.183*100000000</f>
        <v>418300000</v>
      </c>
      <c r="K1171" s="10">
        <f t="shared" si="575"/>
        <v>0.14383374350560568</v>
      </c>
      <c r="L1171" s="6" t="s">
        <v>11951</v>
      </c>
      <c r="M1171" s="6" t="str">
        <f t="shared" si="559"/>
        <v>=3.657*100000000</v>
      </c>
      <c r="N1171" s="1">
        <f>3.657*100000000</f>
        <v>365700000</v>
      </c>
      <c r="O1171" s="8">
        <f t="shared" si="576"/>
        <v>0.9267650158061117</v>
      </c>
      <c r="P1171" s="6" t="s">
        <v>11952</v>
      </c>
      <c r="Q1171" s="6" t="str">
        <f t="shared" si="560"/>
        <v>=1.898*100000000</v>
      </c>
      <c r="R1171" s="11">
        <f>1.898*100000000</f>
        <v>189800000</v>
      </c>
      <c r="S1171" s="8">
        <f t="shared" si="577"/>
        <v>-0.62600985221674876</v>
      </c>
      <c r="T1171" s="6" t="s">
        <v>6445</v>
      </c>
      <c r="U1171" s="6" t="str">
        <f t="shared" si="561"/>
        <v>=5.075*100000000</v>
      </c>
      <c r="V1171" s="1">
        <f>5.075*100000000</f>
        <v>507500000</v>
      </c>
      <c r="W1171" s="8">
        <f t="shared" si="578"/>
        <v>0.6029690461149716</v>
      </c>
      <c r="X1171" s="6" t="s">
        <v>11953</v>
      </c>
      <c r="Y1171" s="6" t="str">
        <f t="shared" si="562"/>
        <v>=3.166*100000000</v>
      </c>
      <c r="Z1171" s="1">
        <f>3.166*100000000</f>
        <v>316600000</v>
      </c>
      <c r="AA1171" s="8">
        <f t="shared" si="579"/>
        <v>0.96890547263681592</v>
      </c>
      <c r="AB1171" s="6" t="s">
        <v>9267</v>
      </c>
      <c r="AC1171" s="6" t="str">
        <f t="shared" si="563"/>
        <v>=1.608*100000000</v>
      </c>
      <c r="AD1171" s="1">
        <f>1.608*100000000</f>
        <v>160800000</v>
      </c>
      <c r="AE1171" s="8">
        <f t="shared" si="580"/>
        <v>0.71100234092360082</v>
      </c>
      <c r="AF1171" s="7" t="s">
        <v>11954</v>
      </c>
      <c r="AG1171" s="6" t="str">
        <f t="shared" si="564"/>
        <v>=9398*10000</v>
      </c>
      <c r="AH1171" s="1">
        <f>9398*10000</f>
        <v>93980000</v>
      </c>
      <c r="AI1171" s="8">
        <f t="shared" si="581"/>
        <v>-0.77473633748801529</v>
      </c>
      <c r="AJ1171" s="6" t="s">
        <v>11955</v>
      </c>
      <c r="AK1171" s="6" t="str">
        <f t="shared" si="565"/>
        <v>=4.172*100000000</v>
      </c>
      <c r="AL1171" s="1">
        <f>4.172*100000000</f>
        <v>417200000</v>
      </c>
      <c r="AM1171" s="8">
        <f t="shared" si="582"/>
        <v>1.7303664921465969</v>
      </c>
      <c r="AN1171" s="6" t="s">
        <v>3397</v>
      </c>
      <c r="AO1171" s="6" t="str">
        <f t="shared" si="566"/>
        <v>=1.528*100000000</v>
      </c>
      <c r="AP1171" s="1">
        <f>1.528*100000000</f>
        <v>152800000</v>
      </c>
      <c r="AQ1171" s="8">
        <f t="shared" si="583"/>
        <v>2.2817869415807559</v>
      </c>
      <c r="AR1171" s="7" t="s">
        <v>2832</v>
      </c>
      <c r="AS1171" s="6" t="str">
        <f t="shared" si="567"/>
        <v>=4656*10000</v>
      </c>
      <c r="AT1171" s="1">
        <f>4656*10000</f>
        <v>46560000</v>
      </c>
      <c r="AU1171" s="8">
        <f t="shared" si="584"/>
        <v>-2.1838291380625479</v>
      </c>
      <c r="AV1171" s="7">
        <f>-3933*10000</f>
        <v>-39330000</v>
      </c>
      <c r="AW1171" s="6" t="str">
        <f t="shared" si="568"/>
        <v>=-39330000</v>
      </c>
      <c r="AX1171" s="1">
        <f>-39330000</f>
        <v>-39330000</v>
      </c>
      <c r="AY1171" s="10">
        <f t="shared" si="585"/>
        <v>-1.0867445963828848</v>
      </c>
      <c r="AZ1171" s="6" t="s">
        <v>11745</v>
      </c>
      <c r="BA1171" s="6" t="str">
        <f t="shared" si="569"/>
        <v>=4.534*100000000</v>
      </c>
      <c r="BB1171" s="1">
        <f>4.534*100000000</f>
        <v>453400000</v>
      </c>
      <c r="BC1171" s="8">
        <f t="shared" si="586"/>
        <v>7.8240190249702732E-2</v>
      </c>
      <c r="BD1171" s="6" t="s">
        <v>4825</v>
      </c>
      <c r="BE1171" s="6" t="str">
        <f t="shared" si="570"/>
        <v>=4.205*100000000</v>
      </c>
      <c r="BF1171" s="1">
        <f>4.205*100000000</f>
        <v>420500000</v>
      </c>
      <c r="BG1171" s="8">
        <f t="shared" si="587"/>
        <v>0.17065701559020044</v>
      </c>
      <c r="BH1171" s="6" t="s">
        <v>11956</v>
      </c>
      <c r="BI1171" s="6" t="str">
        <f t="shared" si="571"/>
        <v>=3.592*100000000</v>
      </c>
      <c r="BJ1171" s="1">
        <f>3.592*100000000</f>
        <v>359200000</v>
      </c>
      <c r="BK1171" s="6" t="s">
        <v>11957</v>
      </c>
      <c r="BL1171" s="1" t="str">
        <f t="shared" si="573"/>
        <v>=1.866*100000000</v>
      </c>
      <c r="BM1171" s="16">
        <f t="shared" si="588"/>
        <v>0.92497320471597</v>
      </c>
      <c r="BN1171" s="1">
        <f>1.866*100000000</f>
        <v>186600000</v>
      </c>
    </row>
    <row r="1172" spans="1:66">
      <c r="A1172" s="18"/>
      <c r="B1172">
        <v>600963</v>
      </c>
      <c r="C1172" t="s">
        <v>58</v>
      </c>
      <c r="D1172" s="6" t="s">
        <v>11958</v>
      </c>
      <c r="E1172" s="7" t="str">
        <f t="shared" si="572"/>
        <v>=3.485*100000000</v>
      </c>
      <c r="F1172" s="1">
        <f>3.485*100000000</f>
        <v>348500000</v>
      </c>
      <c r="G1172" s="8">
        <f t="shared" si="574"/>
        <v>-0.19644915840442703</v>
      </c>
      <c r="H1172" s="6" t="s">
        <v>11959</v>
      </c>
      <c r="I1172" s="6" t="str">
        <f t="shared" si="558"/>
        <v>=4.337*100000000</v>
      </c>
      <c r="J1172" s="1">
        <f>4.337*100000000</f>
        <v>433700000</v>
      </c>
      <c r="K1172" s="10">
        <f t="shared" si="575"/>
        <v>0.15591684434968017</v>
      </c>
      <c r="L1172" s="6" t="s">
        <v>11960</v>
      </c>
      <c r="M1172" s="6" t="str">
        <f t="shared" si="559"/>
        <v>=3.752*100000000</v>
      </c>
      <c r="N1172" s="1">
        <f>3.752*100000000</f>
        <v>375200000</v>
      </c>
      <c r="O1172" s="8">
        <f t="shared" si="576"/>
        <v>0.88070175438596487</v>
      </c>
      <c r="P1172" s="6" t="s">
        <v>11961</v>
      </c>
      <c r="Q1172" s="6" t="str">
        <f t="shared" si="560"/>
        <v>=1.995*100000000</v>
      </c>
      <c r="R1172" s="11">
        <f>1.995*100000000</f>
        <v>199500000</v>
      </c>
      <c r="S1172" s="8">
        <f t="shared" si="577"/>
        <v>-0.60989440750879942</v>
      </c>
      <c r="T1172" s="6" t="s">
        <v>5169</v>
      </c>
      <c r="U1172" s="6" t="str">
        <f t="shared" si="561"/>
        <v>=5.114*100000000</v>
      </c>
      <c r="V1172" s="1">
        <f>5.114*100000000</f>
        <v>511400000</v>
      </c>
      <c r="W1172" s="8">
        <f t="shared" si="578"/>
        <v>0.53343328335832085</v>
      </c>
      <c r="X1172" s="6" t="s">
        <v>1749</v>
      </c>
      <c r="Y1172" s="6" t="str">
        <f t="shared" si="562"/>
        <v>=3.335*100000000</v>
      </c>
      <c r="Z1172" s="1">
        <f>3.335*100000000</f>
        <v>333500000</v>
      </c>
      <c r="AA1172" s="8">
        <f t="shared" si="579"/>
        <v>0.86939461883408076</v>
      </c>
      <c r="AB1172" s="6" t="s">
        <v>11962</v>
      </c>
      <c r="AC1172" s="6" t="str">
        <f t="shared" si="563"/>
        <v>=1.784*100000000</v>
      </c>
      <c r="AD1172" s="1">
        <f>1.784*100000000</f>
        <v>178400000</v>
      </c>
      <c r="AE1172" s="8">
        <f t="shared" si="580"/>
        <v>0.74730656219392777</v>
      </c>
      <c r="AF1172" s="6" t="s">
        <v>4430</v>
      </c>
      <c r="AG1172" s="6" t="str">
        <f t="shared" si="564"/>
        <v>=1.021*100000000</v>
      </c>
      <c r="AH1172" s="1">
        <f>1.021*100000000</f>
        <v>102099999.99999999</v>
      </c>
      <c r="AI1172" s="8">
        <f t="shared" si="581"/>
        <v>-0.73425299323269133</v>
      </c>
      <c r="AJ1172" s="6" t="s">
        <v>11963</v>
      </c>
      <c r="AK1172" s="6" t="str">
        <f t="shared" si="565"/>
        <v>=3.842*100000000</v>
      </c>
      <c r="AL1172" s="1">
        <f>3.842*100000000</f>
        <v>384200000</v>
      </c>
      <c r="AM1172" s="8">
        <f t="shared" si="582"/>
        <v>1.5013020833333333</v>
      </c>
      <c r="AN1172" s="6" t="s">
        <v>10018</v>
      </c>
      <c r="AO1172" s="6" t="str">
        <f t="shared" si="566"/>
        <v>=1.536*100000000</v>
      </c>
      <c r="AP1172" s="1">
        <f>1.536*100000000</f>
        <v>153600000</v>
      </c>
      <c r="AQ1172" s="8">
        <f t="shared" si="583"/>
        <v>2.245984784446323</v>
      </c>
      <c r="AR1172" s="7" t="s">
        <v>11964</v>
      </c>
      <c r="AS1172" s="6" t="str">
        <f t="shared" si="567"/>
        <v>=4732*10000</v>
      </c>
      <c r="AT1172" s="1">
        <f>4732*10000</f>
        <v>47320000</v>
      </c>
      <c r="AU1172" s="8">
        <f t="shared" si="584"/>
        <v>-2.2628769682412595</v>
      </c>
      <c r="AV1172" s="7">
        <f>-3747*10000</f>
        <v>-37470000</v>
      </c>
      <c r="AW1172" s="6" t="str">
        <f t="shared" si="568"/>
        <v>=-37470000</v>
      </c>
      <c r="AX1172" s="1">
        <f>-37470000</f>
        <v>-37470000</v>
      </c>
      <c r="AY1172" s="10">
        <f t="shared" si="585"/>
        <v>-1.0807369101486748</v>
      </c>
      <c r="AZ1172" s="6" t="s">
        <v>2780</v>
      </c>
      <c r="BA1172" s="6" t="str">
        <f t="shared" si="569"/>
        <v>=4.641*100000000</v>
      </c>
      <c r="BB1172" s="1">
        <f>4.641*100000000</f>
        <v>464100000</v>
      </c>
      <c r="BC1172" s="8">
        <f t="shared" si="586"/>
        <v>0.10605338417540515</v>
      </c>
      <c r="BD1172" s="6" t="s">
        <v>11965</v>
      </c>
      <c r="BE1172" s="6" t="str">
        <f t="shared" si="570"/>
        <v>=4.196*100000000</v>
      </c>
      <c r="BF1172" s="1">
        <f>4.196*100000000</f>
        <v>419600000</v>
      </c>
      <c r="BG1172" s="8">
        <f t="shared" si="587"/>
        <v>0.16523188003332406</v>
      </c>
      <c r="BH1172" s="6" t="s">
        <v>11966</v>
      </c>
      <c r="BI1172" s="6" t="str">
        <f t="shared" si="571"/>
        <v>=3.601*100000000</v>
      </c>
      <c r="BJ1172" s="1">
        <f>3.601*100000000</f>
        <v>360100000</v>
      </c>
      <c r="BK1172" s="6" t="s">
        <v>11595</v>
      </c>
      <c r="BL1172" s="1" t="str">
        <f t="shared" si="573"/>
        <v>=1.883*100000000</v>
      </c>
      <c r="BM1172" s="16">
        <f t="shared" si="588"/>
        <v>0.91237387148167814</v>
      </c>
      <c r="BN1172" s="1">
        <f>1.883*100000000</f>
        <v>188300000</v>
      </c>
    </row>
    <row r="1173" spans="1:66">
      <c r="A1173" s="19"/>
      <c r="B1173">
        <v>600963</v>
      </c>
      <c r="C1173" t="s">
        <v>68</v>
      </c>
      <c r="D1173" s="6" t="s">
        <v>11967</v>
      </c>
      <c r="E1173" s="7" t="str">
        <f t="shared" si="572"/>
        <v>=3.021*100000000</v>
      </c>
      <c r="F1173" s="1">
        <f>3.021*100000000</f>
        <v>302100000</v>
      </c>
      <c r="G1173" s="8">
        <f t="shared" si="574"/>
        <v>-0.16199722607489597</v>
      </c>
      <c r="H1173" s="6" t="s">
        <v>1395</v>
      </c>
      <c r="I1173" s="6" t="str">
        <f t="shared" si="558"/>
        <v>=3.605*100000000</v>
      </c>
      <c r="J1173" s="1">
        <f>3.605*100000000</f>
        <v>360500000</v>
      </c>
      <c r="K1173" s="10">
        <f t="shared" si="575"/>
        <v>0.15323096609085093</v>
      </c>
      <c r="L1173" s="6" t="s">
        <v>11968</v>
      </c>
      <c r="M1173" s="6" t="str">
        <f t="shared" si="559"/>
        <v>=3.126*100000000</v>
      </c>
      <c r="N1173" s="1">
        <f>3.126*100000000</f>
        <v>312600000</v>
      </c>
      <c r="O1173" s="8">
        <f t="shared" si="576"/>
        <v>0.86626865671641795</v>
      </c>
      <c r="P1173" s="6" t="s">
        <v>11969</v>
      </c>
      <c r="Q1173" s="6" t="str">
        <f t="shared" si="560"/>
        <v>=1.675*100000000</v>
      </c>
      <c r="R1173" s="11">
        <f>1.675*100000000</f>
        <v>167500000</v>
      </c>
      <c r="S1173" s="8">
        <f t="shared" si="577"/>
        <v>-0.59570359642770943</v>
      </c>
      <c r="T1173" s="6" t="s">
        <v>11970</v>
      </c>
      <c r="U1173" s="6" t="str">
        <f t="shared" si="561"/>
        <v>=4.143*100000000</v>
      </c>
      <c r="V1173" s="1">
        <f>4.143*100000000</f>
        <v>414300000</v>
      </c>
      <c r="W1173" s="8">
        <f t="shared" si="578"/>
        <v>0.54647256438969782</v>
      </c>
      <c r="X1173" s="6" t="s">
        <v>11971</v>
      </c>
      <c r="Y1173" s="6" t="str">
        <f t="shared" si="562"/>
        <v>=2.679*100000000</v>
      </c>
      <c r="Z1173" s="1">
        <f>2.679*100000000</f>
        <v>267899999.99999997</v>
      </c>
      <c r="AA1173" s="8">
        <f t="shared" si="579"/>
        <v>0.90676156583629874</v>
      </c>
      <c r="AB1173" s="6" t="s">
        <v>8699</v>
      </c>
      <c r="AC1173" s="6" t="str">
        <f t="shared" si="563"/>
        <v>=1.405*100000000</v>
      </c>
      <c r="AD1173" s="1">
        <f>1.405*100000000</f>
        <v>140500000</v>
      </c>
      <c r="AE1173" s="8">
        <f t="shared" si="580"/>
        <v>0.60939289805269192</v>
      </c>
      <c r="AF1173" s="7" t="s">
        <v>11972</v>
      </c>
      <c r="AG1173" s="6" t="str">
        <f t="shared" si="564"/>
        <v>=8730*10000</v>
      </c>
      <c r="AH1173" s="1">
        <f>8730*10000</f>
        <v>87300000</v>
      </c>
      <c r="AI1173" s="8">
        <f t="shared" si="581"/>
        <v>-0.72126436781609193</v>
      </c>
      <c r="AJ1173" s="6" t="s">
        <v>2314</v>
      </c>
      <c r="AK1173" s="6" t="str">
        <f t="shared" si="565"/>
        <v>=3.132*100000000</v>
      </c>
      <c r="AL1173" s="1">
        <f>3.132*100000000</f>
        <v>313200000</v>
      </c>
      <c r="AM1173" s="8">
        <f t="shared" si="582"/>
        <v>1.7211120764552563</v>
      </c>
      <c r="AN1173" s="6" t="s">
        <v>7907</v>
      </c>
      <c r="AO1173" s="6" t="str">
        <f t="shared" si="566"/>
        <v>=1.151*100000000</v>
      </c>
      <c r="AP1173" s="1">
        <f>1.151*100000000</f>
        <v>115100000</v>
      </c>
      <c r="AQ1173" s="8">
        <f t="shared" si="583"/>
        <v>2.9675973802137192</v>
      </c>
      <c r="AR1173" s="7" t="s">
        <v>1465</v>
      </c>
      <c r="AS1173" s="6" t="str">
        <f t="shared" si="567"/>
        <v>=2901*10000</v>
      </c>
      <c r="AT1173" s="1">
        <f>2901*10000</f>
        <v>29010000</v>
      </c>
      <c r="AU1173" s="8">
        <f t="shared" si="584"/>
        <v>-1.8937153419593347</v>
      </c>
      <c r="AV1173" s="7">
        <f>-3246*10000</f>
        <v>-32460000</v>
      </c>
      <c r="AW1173" s="6" t="str">
        <f t="shared" si="568"/>
        <v>=-32460000</v>
      </c>
      <c r="AX1173" s="1">
        <f>-32460000</f>
        <v>-32460000</v>
      </c>
      <c r="AY1173" s="10">
        <f t="shared" si="585"/>
        <v>-1.0887127630500137</v>
      </c>
      <c r="AZ1173" s="6" t="s">
        <v>4813</v>
      </c>
      <c r="BA1173" s="6" t="str">
        <f t="shared" si="569"/>
        <v>=3.659*100000000</v>
      </c>
      <c r="BB1173" s="1">
        <f>3.659*100000000</f>
        <v>365900000</v>
      </c>
      <c r="BC1173" s="8">
        <f t="shared" si="586"/>
        <v>7.302052785923753E-2</v>
      </c>
      <c r="BD1173" s="6" t="s">
        <v>11973</v>
      </c>
      <c r="BE1173" s="6" t="str">
        <f t="shared" si="570"/>
        <v>=3.410*100000000</v>
      </c>
      <c r="BF1173" s="1">
        <f>3.41*100000000</f>
        <v>341000000</v>
      </c>
      <c r="BG1173" s="8">
        <f t="shared" si="587"/>
        <v>0.15397631133671744</v>
      </c>
      <c r="BH1173" s="6" t="s">
        <v>11974</v>
      </c>
      <c r="BI1173" s="6" t="str">
        <f t="shared" si="571"/>
        <v>=2.955*100000000</v>
      </c>
      <c r="BJ1173" s="1">
        <f>2.955*100000000</f>
        <v>295500000</v>
      </c>
      <c r="BK1173" s="6" t="s">
        <v>2085</v>
      </c>
      <c r="BL1173" s="1" t="str">
        <f t="shared" si="573"/>
        <v>=1.534*100000000</v>
      </c>
      <c r="BM1173" s="16">
        <f t="shared" si="588"/>
        <v>0.9263363754889179</v>
      </c>
      <c r="BN1173" s="1">
        <f>1.534*100000000</f>
        <v>153400000</v>
      </c>
    </row>
    <row r="1174" spans="1:66">
      <c r="A1174" s="17">
        <v>295</v>
      </c>
      <c r="B1174">
        <v>600970</v>
      </c>
      <c r="C1174" t="s">
        <v>31</v>
      </c>
      <c r="D1174" s="6" t="s">
        <v>11554</v>
      </c>
      <c r="E1174" s="7" t="str">
        <f t="shared" si="572"/>
        <v>=362.4*100000000</v>
      </c>
      <c r="F1174" s="1">
        <f>362.4*100000000</f>
        <v>36240000000</v>
      </c>
      <c r="G1174" s="8">
        <f t="shared" si="574"/>
        <v>0.4496</v>
      </c>
      <c r="H1174" s="6" t="s">
        <v>11975</v>
      </c>
      <c r="I1174" s="6" t="str">
        <f t="shared" si="558"/>
        <v>=250.0*100000000</v>
      </c>
      <c r="J1174" s="1">
        <f>250*100000000</f>
        <v>25000000000</v>
      </c>
      <c r="K1174" s="10">
        <f t="shared" si="575"/>
        <v>1.1008403361344539</v>
      </c>
      <c r="L1174" s="6" t="s">
        <v>11976</v>
      </c>
      <c r="M1174" s="6" t="str">
        <f t="shared" si="559"/>
        <v>=119.0*100000000</v>
      </c>
      <c r="N1174" s="1">
        <f>119*100000000</f>
        <v>11900000000</v>
      </c>
      <c r="O1174" s="8">
        <f t="shared" si="576"/>
        <v>1.1996303142329021</v>
      </c>
      <c r="P1174" s="6" t="s">
        <v>11977</v>
      </c>
      <c r="Q1174" s="6" t="str">
        <f t="shared" si="560"/>
        <v>=54.10*100000000</v>
      </c>
      <c r="R1174" s="11">
        <f>54.1*100000000</f>
        <v>5410000000</v>
      </c>
      <c r="S1174" s="8">
        <f t="shared" si="577"/>
        <v>-0.82285527177472162</v>
      </c>
      <c r="T1174" s="6" t="s">
        <v>11978</v>
      </c>
      <c r="U1174" s="6" t="str">
        <f t="shared" si="561"/>
        <v>=305.4*100000000</v>
      </c>
      <c r="V1174" s="1">
        <f>305.4*100000000</f>
        <v>30539999999.999996</v>
      </c>
      <c r="W1174" s="8">
        <f t="shared" si="578"/>
        <v>0.41782729805013907</v>
      </c>
      <c r="X1174" s="6" t="s">
        <v>11979</v>
      </c>
      <c r="Y1174" s="6" t="str">
        <f t="shared" si="562"/>
        <v>=215.4*100000000</v>
      </c>
      <c r="Z1174" s="1">
        <f>215.4*100000000</f>
        <v>21540000000</v>
      </c>
      <c r="AA1174" s="8">
        <f t="shared" si="579"/>
        <v>1.3228728566806858</v>
      </c>
      <c r="AB1174" s="6" t="s">
        <v>11980</v>
      </c>
      <c r="AC1174" s="6" t="str">
        <f t="shared" si="563"/>
        <v>=92.73*100000000</v>
      </c>
      <c r="AD1174" s="1">
        <f>92.73*100000000</f>
        <v>9273000000</v>
      </c>
      <c r="AE1174" s="8">
        <f t="shared" si="580"/>
        <v>1.421781143901802</v>
      </c>
      <c r="AF1174" s="6" t="s">
        <v>11981</v>
      </c>
      <c r="AG1174" s="6" t="str">
        <f t="shared" si="564"/>
        <v>=38.29*100000000</v>
      </c>
      <c r="AH1174" s="1">
        <f>38.29*100000000</f>
        <v>3829000000</v>
      </c>
      <c r="AI1174" s="8">
        <f t="shared" si="581"/>
        <v>-0.8428805908904391</v>
      </c>
      <c r="AJ1174" s="6" t="s">
        <v>11873</v>
      </c>
      <c r="AK1174" s="6" t="str">
        <f t="shared" si="565"/>
        <v>=243.7*100000000</v>
      </c>
      <c r="AL1174" s="1">
        <f>243.7*100000000</f>
        <v>24370000000</v>
      </c>
      <c r="AM1174" s="8">
        <f t="shared" si="582"/>
        <v>0.44201183431952662</v>
      </c>
      <c r="AN1174" s="6" t="s">
        <v>11982</v>
      </c>
      <c r="AO1174" s="6" t="str">
        <f t="shared" si="566"/>
        <v>=169.0*100000000</v>
      </c>
      <c r="AP1174" s="1">
        <f>169*100000000</f>
        <v>16900000000</v>
      </c>
      <c r="AQ1174" s="8">
        <f t="shared" si="583"/>
        <v>0.49161518093556927</v>
      </c>
      <c r="AR1174" s="6" t="s">
        <v>9417</v>
      </c>
      <c r="AS1174" s="6" t="str">
        <f t="shared" si="567"/>
        <v>=113.3*100000000</v>
      </c>
      <c r="AT1174" s="1">
        <f>113.3*100000000</f>
        <v>11330000000</v>
      </c>
      <c r="AU1174" s="8">
        <f t="shared" si="584"/>
        <v>1.2493547746674607</v>
      </c>
      <c r="AV1174" s="6" t="s">
        <v>11983</v>
      </c>
      <c r="AW1174" s="6" t="str">
        <f t="shared" si="568"/>
        <v>=50.37*100000000</v>
      </c>
      <c r="AX1174" s="1">
        <f>50.37*100000000</f>
        <v>5037000000</v>
      </c>
      <c r="AY1174" s="10">
        <f t="shared" si="585"/>
        <v>-0.76572093023255816</v>
      </c>
      <c r="AZ1174" s="6" t="s">
        <v>8006</v>
      </c>
      <c r="BA1174" s="6" t="str">
        <f t="shared" si="569"/>
        <v>=215.0*100000000</v>
      </c>
      <c r="BB1174" s="1">
        <f>215*100000000</f>
        <v>21500000000</v>
      </c>
      <c r="BC1174" s="8">
        <f t="shared" si="586"/>
        <v>0.51729004940014134</v>
      </c>
      <c r="BD1174" s="6" t="s">
        <v>3317</v>
      </c>
      <c r="BE1174" s="6" t="str">
        <f t="shared" si="570"/>
        <v>=141.7*100000000</v>
      </c>
      <c r="BF1174" s="1">
        <f>141.7*100000000</f>
        <v>14169999999.999998</v>
      </c>
      <c r="BG1174" s="8">
        <f t="shared" si="587"/>
        <v>0.40575396825396809</v>
      </c>
      <c r="BH1174" s="6" t="s">
        <v>3647</v>
      </c>
      <c r="BI1174" s="6" t="str">
        <f t="shared" si="571"/>
        <v>=100.8*100000000</v>
      </c>
      <c r="BJ1174" s="1">
        <f>100.8*100000000</f>
        <v>10080000000</v>
      </c>
      <c r="BK1174" s="6" t="s">
        <v>11984</v>
      </c>
      <c r="BL1174" s="1" t="str">
        <f t="shared" si="573"/>
        <v>=44.95*100000000</v>
      </c>
      <c r="BM1174" s="16">
        <f t="shared" si="588"/>
        <v>1.2424916573971079</v>
      </c>
      <c r="BN1174" s="1">
        <f>44.95*100000000</f>
        <v>4495000000</v>
      </c>
    </row>
    <row r="1175" spans="1:66">
      <c r="A1175" s="18"/>
      <c r="B1175">
        <v>600970</v>
      </c>
      <c r="C1175" t="s">
        <v>48</v>
      </c>
      <c r="D1175" s="6" t="s">
        <v>533</v>
      </c>
      <c r="E1175" s="7" t="str">
        <f t="shared" si="572"/>
        <v>=23.61*100000000</v>
      </c>
      <c r="F1175" s="1">
        <f>23.61*100000000</f>
        <v>2361000000</v>
      </c>
      <c r="G1175" s="8">
        <f t="shared" si="574"/>
        <v>0.23937007874015748</v>
      </c>
      <c r="H1175" s="6" t="s">
        <v>5380</v>
      </c>
      <c r="I1175" s="6" t="str">
        <f t="shared" si="558"/>
        <v>=19.05*100000000</v>
      </c>
      <c r="J1175" s="1">
        <f>19.05*100000000</f>
        <v>1905000000</v>
      </c>
      <c r="K1175" s="10">
        <f t="shared" si="575"/>
        <v>1.3099308839578028</v>
      </c>
      <c r="L1175" s="6" t="s">
        <v>11985</v>
      </c>
      <c r="M1175" s="6" t="str">
        <f t="shared" si="559"/>
        <v>=8.247*100000000</v>
      </c>
      <c r="N1175" s="1">
        <f>8.247*100000000</f>
        <v>824700000</v>
      </c>
      <c r="O1175" s="8">
        <f t="shared" si="576"/>
        <v>1.3725546605293442</v>
      </c>
      <c r="P1175" s="6" t="s">
        <v>249</v>
      </c>
      <c r="Q1175" s="6" t="str">
        <f t="shared" si="560"/>
        <v>=3.476*100000000</v>
      </c>
      <c r="R1175" s="11">
        <f>3.476*100000000</f>
        <v>347600000</v>
      </c>
      <c r="S1175" s="8">
        <f t="shared" si="577"/>
        <v>-0.83109815354713312</v>
      </c>
      <c r="T1175" s="6" t="s">
        <v>11986</v>
      </c>
      <c r="U1175" s="6" t="str">
        <f t="shared" si="561"/>
        <v>=20.58*100000000</v>
      </c>
      <c r="V1175" s="1">
        <f>20.58*100000000</f>
        <v>2057999999.9999998</v>
      </c>
      <c r="W1175" s="8">
        <f t="shared" si="578"/>
        <v>0.10883620689655174</v>
      </c>
      <c r="X1175" s="6" t="s">
        <v>11987</v>
      </c>
      <c r="Y1175" s="6" t="str">
        <f t="shared" si="562"/>
        <v>=18.56*100000000</v>
      </c>
      <c r="Z1175" s="1">
        <f>18.56*100000000</f>
        <v>1855999999.9999998</v>
      </c>
      <c r="AA1175" s="8">
        <f t="shared" si="579"/>
        <v>1.9072681704260648</v>
      </c>
      <c r="AB1175" s="6" t="s">
        <v>11988</v>
      </c>
      <c r="AC1175" s="6" t="str">
        <f t="shared" si="563"/>
        <v>=6.384*100000000</v>
      </c>
      <c r="AD1175" s="1">
        <f>6.384*100000000</f>
        <v>638400000</v>
      </c>
      <c r="AE1175" s="8">
        <f t="shared" si="580"/>
        <v>2.4066168623265742</v>
      </c>
      <c r="AF1175" s="6" t="s">
        <v>11053</v>
      </c>
      <c r="AG1175" s="6" t="str">
        <f t="shared" si="564"/>
        <v>=1.874*100000000</v>
      </c>
      <c r="AH1175" s="1">
        <f>1.874*100000000</f>
        <v>187400000</v>
      </c>
      <c r="AI1175" s="8">
        <f t="shared" si="581"/>
        <v>-0.89315849486887111</v>
      </c>
      <c r="AJ1175" s="6" t="s">
        <v>8971</v>
      </c>
      <c r="AK1175" s="6" t="str">
        <f t="shared" si="565"/>
        <v>=17.54*100000000</v>
      </c>
      <c r="AL1175" s="1">
        <f>17.54*100000000</f>
        <v>1754000000</v>
      </c>
      <c r="AM1175" s="8">
        <f t="shared" si="582"/>
        <v>0.2831016825164594</v>
      </c>
      <c r="AN1175" s="6" t="s">
        <v>170</v>
      </c>
      <c r="AO1175" s="6" t="str">
        <f t="shared" si="566"/>
        <v>=13.67*100000000</v>
      </c>
      <c r="AP1175" s="1">
        <f>13.67*100000000</f>
        <v>1367000000</v>
      </c>
      <c r="AQ1175" s="8">
        <f t="shared" si="583"/>
        <v>0.56766055045871533</v>
      </c>
      <c r="AR1175" s="6" t="s">
        <v>11989</v>
      </c>
      <c r="AS1175" s="6" t="str">
        <f t="shared" si="567"/>
        <v>=8.720*100000000</v>
      </c>
      <c r="AT1175" s="1">
        <f>8.72*100000000</f>
        <v>872000000.00000012</v>
      </c>
      <c r="AU1175" s="8">
        <f t="shared" si="584"/>
        <v>2.2058823529411771</v>
      </c>
      <c r="AV1175" s="6" t="s">
        <v>1700</v>
      </c>
      <c r="AW1175" s="6" t="str">
        <f t="shared" si="568"/>
        <v>=2.720*100000000</v>
      </c>
      <c r="AX1175" s="1">
        <f>2.72*100000000</f>
        <v>272000000</v>
      </c>
      <c r="AY1175" s="10">
        <f t="shared" si="585"/>
        <v>-0.83981154299175498</v>
      </c>
      <c r="AZ1175" s="6" t="s">
        <v>1123</v>
      </c>
      <c r="BA1175" s="6" t="str">
        <f t="shared" si="569"/>
        <v>=16.98*100000000</v>
      </c>
      <c r="BB1175" s="1">
        <f>16.98*100000000</f>
        <v>1698000000</v>
      </c>
      <c r="BC1175" s="8">
        <f t="shared" si="586"/>
        <v>0.363855421686747</v>
      </c>
      <c r="BD1175" s="6" t="s">
        <v>455</v>
      </c>
      <c r="BE1175" s="6" t="str">
        <f t="shared" si="570"/>
        <v>=12.45*100000000</v>
      </c>
      <c r="BF1175" s="1">
        <f>12.45*100000000</f>
        <v>1245000000</v>
      </c>
      <c r="BG1175" s="8">
        <f t="shared" si="587"/>
        <v>0.57455419248766915</v>
      </c>
      <c r="BH1175" s="6" t="s">
        <v>11990</v>
      </c>
      <c r="BI1175" s="6" t="str">
        <f t="shared" si="571"/>
        <v>=7.907*100000000</v>
      </c>
      <c r="BJ1175" s="1">
        <f>7.907*100000000</f>
        <v>790700000</v>
      </c>
      <c r="BK1175" s="6" t="s">
        <v>10938</v>
      </c>
      <c r="BL1175" s="1" t="str">
        <f t="shared" si="573"/>
        <v>=2.201*100000000</v>
      </c>
      <c r="BM1175" s="16">
        <f t="shared" si="588"/>
        <v>2.5924579736483415</v>
      </c>
      <c r="BN1175" s="1">
        <f>2.201*100000000</f>
        <v>220100000</v>
      </c>
    </row>
    <row r="1176" spans="1:66">
      <c r="A1176" s="18"/>
      <c r="B1176">
        <v>600970</v>
      </c>
      <c r="C1176" t="s">
        <v>58</v>
      </c>
      <c r="D1176" s="6" t="s">
        <v>11991</v>
      </c>
      <c r="E1176" s="7" t="str">
        <f t="shared" si="572"/>
        <v>=24.09*100000000</v>
      </c>
      <c r="F1176" s="1">
        <f>24.09*100000000</f>
        <v>2409000000</v>
      </c>
      <c r="G1176" s="8">
        <f t="shared" si="574"/>
        <v>0.25077881619937681</v>
      </c>
      <c r="H1176" s="6" t="s">
        <v>10734</v>
      </c>
      <c r="I1176" s="6" t="str">
        <f t="shared" si="558"/>
        <v>=19.26*100000000</v>
      </c>
      <c r="J1176" s="1">
        <f>19.26*100000000</f>
        <v>1926000000.0000002</v>
      </c>
      <c r="K1176" s="10">
        <f t="shared" si="575"/>
        <v>1.3063106214824569</v>
      </c>
      <c r="L1176" s="6" t="s">
        <v>11992</v>
      </c>
      <c r="M1176" s="6" t="str">
        <f t="shared" si="559"/>
        <v>=8.351*100000000</v>
      </c>
      <c r="N1176" s="1">
        <f>8.351*100000000</f>
        <v>835100000.00000012</v>
      </c>
      <c r="O1176" s="8">
        <f t="shared" si="576"/>
        <v>1.3684061259217246</v>
      </c>
      <c r="P1176" s="6" t="s">
        <v>2955</v>
      </c>
      <c r="Q1176" s="6" t="str">
        <f t="shared" si="560"/>
        <v>=3.526*100000000</v>
      </c>
      <c r="R1176" s="11">
        <f>3.526*100000000</f>
        <v>352600000</v>
      </c>
      <c r="S1176" s="8">
        <f t="shared" si="577"/>
        <v>-0.82949709864603483</v>
      </c>
      <c r="T1176" s="6" t="s">
        <v>7346</v>
      </c>
      <c r="U1176" s="6" t="str">
        <f t="shared" si="561"/>
        <v>=20.68*100000000</v>
      </c>
      <c r="V1176" s="1">
        <f>20.68*100000000</f>
        <v>2068000000</v>
      </c>
      <c r="W1176" s="8">
        <f t="shared" si="578"/>
        <v>0.13191023535851121</v>
      </c>
      <c r="X1176" s="6" t="s">
        <v>5111</v>
      </c>
      <c r="Y1176" s="6" t="str">
        <f t="shared" si="562"/>
        <v>=18.27*100000000</v>
      </c>
      <c r="Z1176" s="1">
        <f>18.27*100000000</f>
        <v>1827000000</v>
      </c>
      <c r="AA1176" s="8">
        <f t="shared" si="579"/>
        <v>1.7749088699878492</v>
      </c>
      <c r="AB1176" s="6" t="s">
        <v>9211</v>
      </c>
      <c r="AC1176" s="6" t="str">
        <f t="shared" si="563"/>
        <v>=6.584*100000000</v>
      </c>
      <c r="AD1176" s="1">
        <f>6.584*100000000</f>
        <v>658400000</v>
      </c>
      <c r="AE1176" s="8">
        <f t="shared" si="580"/>
        <v>2.3591836734693876</v>
      </c>
      <c r="AF1176" s="6" t="s">
        <v>4576</v>
      </c>
      <c r="AG1176" s="6" t="str">
        <f t="shared" si="564"/>
        <v>=1.960*100000000</v>
      </c>
      <c r="AH1176" s="1">
        <f>1.96*100000000</f>
        <v>196000000</v>
      </c>
      <c r="AI1176" s="8">
        <f t="shared" si="581"/>
        <v>-0.89135254988913526</v>
      </c>
      <c r="AJ1176" s="6" t="s">
        <v>6203</v>
      </c>
      <c r="AK1176" s="6" t="str">
        <f t="shared" si="565"/>
        <v>=18.04*100000000</v>
      </c>
      <c r="AL1176" s="1">
        <f>18.04*100000000</f>
        <v>1804000000</v>
      </c>
      <c r="AM1176" s="8">
        <f t="shared" si="582"/>
        <v>0.29504666188083273</v>
      </c>
      <c r="AN1176" s="6" t="s">
        <v>1345</v>
      </c>
      <c r="AO1176" s="6" t="str">
        <f t="shared" si="566"/>
        <v>=13.93*100000000</v>
      </c>
      <c r="AP1176" s="1">
        <f>13.93*100000000</f>
        <v>1393000000</v>
      </c>
      <c r="AQ1176" s="8">
        <f t="shared" si="583"/>
        <v>0.57028519896291285</v>
      </c>
      <c r="AR1176" s="6" t="s">
        <v>11993</v>
      </c>
      <c r="AS1176" s="6" t="str">
        <f t="shared" si="567"/>
        <v>=8.871*100000000</v>
      </c>
      <c r="AT1176" s="1">
        <f>8.871*100000000</f>
        <v>887100000</v>
      </c>
      <c r="AU1176" s="8">
        <f t="shared" si="584"/>
        <v>2.2002164502164501</v>
      </c>
      <c r="AV1176" s="6" t="s">
        <v>9179</v>
      </c>
      <c r="AW1176" s="6" t="str">
        <f t="shared" si="568"/>
        <v>=2.772*100000000</v>
      </c>
      <c r="AX1176" s="1">
        <f>2.772*100000000</f>
        <v>277200000</v>
      </c>
      <c r="AY1176" s="10">
        <f t="shared" si="585"/>
        <v>-0.83694117647058819</v>
      </c>
      <c r="AZ1176" s="6" t="s">
        <v>1424</v>
      </c>
      <c r="BA1176" s="6" t="str">
        <f t="shared" si="569"/>
        <v>=17.00*100000000</v>
      </c>
      <c r="BB1176" s="1">
        <f>17*100000000</f>
        <v>1700000000</v>
      </c>
      <c r="BC1176" s="8">
        <f t="shared" si="586"/>
        <v>0.34175217048145223</v>
      </c>
      <c r="BD1176" s="6" t="s">
        <v>7554</v>
      </c>
      <c r="BE1176" s="6" t="str">
        <f t="shared" si="570"/>
        <v>=12.67*100000000</v>
      </c>
      <c r="BF1176" s="1">
        <f>12.67*100000000</f>
        <v>1267000000</v>
      </c>
      <c r="BG1176" s="8">
        <f t="shared" si="587"/>
        <v>0.58098327926129301</v>
      </c>
      <c r="BH1176" s="6" t="s">
        <v>8799</v>
      </c>
      <c r="BI1176" s="6" t="str">
        <f t="shared" si="571"/>
        <v>=8.014*100000000</v>
      </c>
      <c r="BJ1176" s="1">
        <f>8.014*100000000</f>
        <v>801399999.99999988</v>
      </c>
      <c r="BK1176" s="6" t="s">
        <v>11340</v>
      </c>
      <c r="BL1176" s="1" t="str">
        <f t="shared" si="573"/>
        <v>=2.251*100000000</v>
      </c>
      <c r="BM1176" s="16">
        <f t="shared" si="588"/>
        <v>2.5601954686805857</v>
      </c>
      <c r="BN1176" s="1">
        <f>2.251*100000000</f>
        <v>225100000</v>
      </c>
    </row>
    <row r="1177" spans="1:66">
      <c r="A1177" s="19"/>
      <c r="B1177">
        <v>600970</v>
      </c>
      <c r="C1177" t="s">
        <v>68</v>
      </c>
      <c r="D1177" s="6" t="s">
        <v>11994</v>
      </c>
      <c r="E1177" s="7" t="str">
        <f t="shared" si="572"/>
        <v>=20.33*100000000</v>
      </c>
      <c r="F1177" s="1">
        <f>20.33*100000000</f>
        <v>2032999999.9999998</v>
      </c>
      <c r="G1177" s="8">
        <f t="shared" si="574"/>
        <v>0.25882352941176473</v>
      </c>
      <c r="H1177" s="6" t="s">
        <v>4541</v>
      </c>
      <c r="I1177" s="6" t="str">
        <f t="shared" si="558"/>
        <v>=16.15*100000000</v>
      </c>
      <c r="J1177" s="1">
        <f>16.15*100000000</f>
        <v>1614999999.9999998</v>
      </c>
      <c r="K1177" s="10">
        <f t="shared" si="575"/>
        <v>1.2784988713318282</v>
      </c>
      <c r="L1177" s="6" t="s">
        <v>11995</v>
      </c>
      <c r="M1177" s="6" t="str">
        <f t="shared" si="559"/>
        <v>=7.088*100000000</v>
      </c>
      <c r="N1177" s="1">
        <f>7.088*100000000</f>
        <v>708800000</v>
      </c>
      <c r="O1177" s="8">
        <f t="shared" si="576"/>
        <v>1.3674014696058785</v>
      </c>
      <c r="P1177" s="6" t="s">
        <v>6544</v>
      </c>
      <c r="Q1177" s="6" t="str">
        <f t="shared" si="560"/>
        <v>=2.994*100000000</v>
      </c>
      <c r="R1177" s="11">
        <f>2.994*100000000</f>
        <v>299400000</v>
      </c>
      <c r="S1177" s="8">
        <f t="shared" si="577"/>
        <v>-0.82336283185840708</v>
      </c>
      <c r="T1177" s="6" t="s">
        <v>7537</v>
      </c>
      <c r="U1177" s="6" t="str">
        <f t="shared" si="561"/>
        <v>=16.95*100000000</v>
      </c>
      <c r="V1177" s="1">
        <f>16.95*100000000</f>
        <v>1695000000</v>
      </c>
      <c r="W1177" s="8">
        <f t="shared" si="578"/>
        <v>0.10208062418725618</v>
      </c>
      <c r="X1177" s="6" t="s">
        <v>64</v>
      </c>
      <c r="Y1177" s="6" t="str">
        <f t="shared" si="562"/>
        <v>=15.38*100000000</v>
      </c>
      <c r="Z1177" s="1">
        <f>15.38*100000000</f>
        <v>1538000000</v>
      </c>
      <c r="AA1177" s="8">
        <f t="shared" si="579"/>
        <v>1.8240910760190965</v>
      </c>
      <c r="AB1177" s="6" t="s">
        <v>2900</v>
      </c>
      <c r="AC1177" s="6" t="str">
        <f t="shared" si="563"/>
        <v>=5.446*100000000</v>
      </c>
      <c r="AD1177" s="1">
        <f>5.446*100000000</f>
        <v>544600000</v>
      </c>
      <c r="AE1177" s="8">
        <f t="shared" si="580"/>
        <v>2.5135483870967743</v>
      </c>
      <c r="AF1177" s="6" t="s">
        <v>11996</v>
      </c>
      <c r="AG1177" s="6" t="str">
        <f t="shared" si="564"/>
        <v>=1.550*100000000</v>
      </c>
      <c r="AH1177" s="1">
        <f>1.55*100000000</f>
        <v>155000000</v>
      </c>
      <c r="AI1177" s="8">
        <f t="shared" si="581"/>
        <v>-0.90269930947897048</v>
      </c>
      <c r="AJ1177" s="6" t="s">
        <v>1586</v>
      </c>
      <c r="AK1177" s="6" t="str">
        <f t="shared" si="565"/>
        <v>=15.93*100000000</v>
      </c>
      <c r="AL1177" s="1">
        <f>15.93*100000000</f>
        <v>1593000000</v>
      </c>
      <c r="AM1177" s="8">
        <f t="shared" si="582"/>
        <v>0.37564766839378239</v>
      </c>
      <c r="AN1177" s="6" t="s">
        <v>2669</v>
      </c>
      <c r="AO1177" s="6" t="str">
        <f t="shared" si="566"/>
        <v>=11.58*100000000</v>
      </c>
      <c r="AP1177" s="1">
        <f>11.58*100000000</f>
        <v>1158000000</v>
      </c>
      <c r="AQ1177" s="8">
        <f t="shared" si="583"/>
        <v>0.53519819700384463</v>
      </c>
      <c r="AR1177" s="6" t="s">
        <v>11231</v>
      </c>
      <c r="AS1177" s="6" t="str">
        <f t="shared" si="567"/>
        <v>=7.543*100000000</v>
      </c>
      <c r="AT1177" s="1">
        <f>7.543*100000000</f>
        <v>754300000</v>
      </c>
      <c r="AU1177" s="8">
        <f t="shared" si="584"/>
        <v>2.2967657342657346</v>
      </c>
      <c r="AV1177" s="6" t="s">
        <v>2999</v>
      </c>
      <c r="AW1177" s="6" t="str">
        <f t="shared" si="568"/>
        <v>=2.288*100000000</v>
      </c>
      <c r="AX1177" s="1">
        <f>2.288*100000000</f>
        <v>228799999.99999997</v>
      </c>
      <c r="AY1177" s="10">
        <f t="shared" si="585"/>
        <v>-0.83692088382038488</v>
      </c>
      <c r="AZ1177" s="6" t="s">
        <v>6219</v>
      </c>
      <c r="BA1177" s="6" t="str">
        <f t="shared" si="569"/>
        <v>=14.03*100000000</v>
      </c>
      <c r="BB1177" s="1">
        <f>14.03*100000000</f>
        <v>1403000000</v>
      </c>
      <c r="BC1177" s="8">
        <f t="shared" si="586"/>
        <v>0.38499506416584389</v>
      </c>
      <c r="BD1177" s="6" t="s">
        <v>1409</v>
      </c>
      <c r="BE1177" s="6" t="str">
        <f t="shared" si="570"/>
        <v>=10.13*100000000</v>
      </c>
      <c r="BF1177" s="1">
        <f>10.13*100000000</f>
        <v>1013000000.0000001</v>
      </c>
      <c r="BG1177" s="8">
        <f t="shared" si="587"/>
        <v>0.54162227971389454</v>
      </c>
      <c r="BH1177" s="6" t="s">
        <v>11997</v>
      </c>
      <c r="BI1177" s="6" t="str">
        <f t="shared" si="571"/>
        <v>=6.571*100000000</v>
      </c>
      <c r="BJ1177" s="1">
        <f>6.571*100000000</f>
        <v>657100000</v>
      </c>
      <c r="BK1177" s="6" t="s">
        <v>10936</v>
      </c>
      <c r="BL1177" s="1" t="str">
        <f t="shared" si="573"/>
        <v>=1.792*100000000</v>
      </c>
      <c r="BM1177" s="16">
        <f t="shared" si="588"/>
        <v>2.6668526785714284</v>
      </c>
      <c r="BN1177" s="1">
        <f>1.792*100000000</f>
        <v>179200000</v>
      </c>
    </row>
    <row r="1178" spans="1:66">
      <c r="A1178" s="17">
        <v>296</v>
      </c>
      <c r="B1178">
        <v>600973</v>
      </c>
      <c r="C1178" t="s">
        <v>31</v>
      </c>
      <c r="D1178" s="6" t="s">
        <v>11998</v>
      </c>
      <c r="E1178" s="7" t="str">
        <f t="shared" si="572"/>
        <v>=428.8*100000000</v>
      </c>
      <c r="F1178" s="1">
        <f>428.8*100000000</f>
        <v>42880000000</v>
      </c>
      <c r="G1178" s="8">
        <f t="shared" si="574"/>
        <v>0.35610373181530675</v>
      </c>
      <c r="H1178" s="6" t="s">
        <v>11999</v>
      </c>
      <c r="I1178" s="6" t="str">
        <f t="shared" si="558"/>
        <v>=316.2*100000000</v>
      </c>
      <c r="J1178" s="1">
        <f>316.2*100000000</f>
        <v>31620000000</v>
      </c>
      <c r="K1178" s="10">
        <f t="shared" si="575"/>
        <v>0.53569694026226322</v>
      </c>
      <c r="L1178" s="6" t="s">
        <v>12000</v>
      </c>
      <c r="M1178" s="6" t="str">
        <f t="shared" si="559"/>
        <v>=205.9*100000000</v>
      </c>
      <c r="N1178" s="1">
        <f>205.9*100000000</f>
        <v>20590000000</v>
      </c>
      <c r="O1178" s="8">
        <f t="shared" si="576"/>
        <v>1.2997877806321902</v>
      </c>
      <c r="P1178" s="6" t="s">
        <v>11837</v>
      </c>
      <c r="Q1178" s="6" t="str">
        <f t="shared" si="560"/>
        <v>=89.53*100000000</v>
      </c>
      <c r="R1178" s="11">
        <f>89.53*100000000</f>
        <v>8953000000</v>
      </c>
      <c r="S1178" s="8">
        <f t="shared" si="577"/>
        <v>-0.73882730455075851</v>
      </c>
      <c r="T1178" s="6" t="s">
        <v>12001</v>
      </c>
      <c r="U1178" s="6" t="str">
        <f t="shared" si="561"/>
        <v>=342.8*100000000</v>
      </c>
      <c r="V1178" s="1">
        <f>342.8*100000000</f>
        <v>34280000000</v>
      </c>
      <c r="W1178" s="8">
        <f t="shared" si="578"/>
        <v>0.36248012718600953</v>
      </c>
      <c r="X1178" s="6" t="s">
        <v>12002</v>
      </c>
      <c r="Y1178" s="6" t="str">
        <f t="shared" si="562"/>
        <v>=251.6*100000000</v>
      </c>
      <c r="Z1178" s="1">
        <f>251.6*100000000</f>
        <v>25160000000</v>
      </c>
      <c r="AA1178" s="8">
        <f t="shared" si="579"/>
        <v>0.57841907151819327</v>
      </c>
      <c r="AB1178" s="6" t="s">
        <v>12003</v>
      </c>
      <c r="AC1178" s="6" t="str">
        <f t="shared" si="563"/>
        <v>=159.4*100000000</v>
      </c>
      <c r="AD1178" s="1">
        <f>159.4*100000000</f>
        <v>15940000000</v>
      </c>
      <c r="AE1178" s="8">
        <f t="shared" si="580"/>
        <v>1.4751552795031053</v>
      </c>
      <c r="AF1178" s="6" t="s">
        <v>12004</v>
      </c>
      <c r="AG1178" s="6" t="str">
        <f t="shared" si="564"/>
        <v>=64.40*100000000</v>
      </c>
      <c r="AH1178" s="1">
        <f>64.4*100000000</f>
        <v>6440000000.000001</v>
      </c>
      <c r="AI1178" s="8">
        <f t="shared" si="581"/>
        <v>-0.80649038461538458</v>
      </c>
      <c r="AJ1178" s="6" t="s">
        <v>12005</v>
      </c>
      <c r="AK1178" s="6" t="str">
        <f t="shared" si="565"/>
        <v>=332.8*100000000</v>
      </c>
      <c r="AL1178" s="1">
        <f>332.8*100000000</f>
        <v>33280000000</v>
      </c>
      <c r="AM1178" s="8">
        <f t="shared" si="582"/>
        <v>0.39014202172096907</v>
      </c>
      <c r="AN1178" s="6" t="s">
        <v>12006</v>
      </c>
      <c r="AO1178" s="6" t="str">
        <f t="shared" si="566"/>
        <v>=239.4*100000000</v>
      </c>
      <c r="AP1178" s="1">
        <f>239.4*100000000</f>
        <v>23940000000</v>
      </c>
      <c r="AQ1178" s="8">
        <f t="shared" si="583"/>
        <v>0.62746430999320191</v>
      </c>
      <c r="AR1178" s="6" t="s">
        <v>7924</v>
      </c>
      <c r="AS1178" s="6" t="str">
        <f t="shared" si="567"/>
        <v>=147.1*100000000</v>
      </c>
      <c r="AT1178" s="1">
        <f>147.1*100000000</f>
        <v>14710000000</v>
      </c>
      <c r="AU1178" s="8">
        <f t="shared" si="584"/>
        <v>1.0897854808921721</v>
      </c>
      <c r="AV1178" s="6" t="s">
        <v>12007</v>
      </c>
      <c r="AW1178" s="6" t="str">
        <f t="shared" si="568"/>
        <v>=70.39*100000000</v>
      </c>
      <c r="AX1178" s="1">
        <f>70.39*100000000</f>
        <v>7039000000</v>
      </c>
      <c r="AY1178" s="10">
        <f t="shared" si="585"/>
        <v>-0.78126165320074581</v>
      </c>
      <c r="AZ1178" s="6" t="s">
        <v>12008</v>
      </c>
      <c r="BA1178" s="6" t="str">
        <f t="shared" si="569"/>
        <v>=321.8*100000000</v>
      </c>
      <c r="BB1178" s="1">
        <f>321.8*100000000</f>
        <v>32180000000</v>
      </c>
      <c r="BC1178" s="8">
        <f t="shared" si="586"/>
        <v>0.33748960931005817</v>
      </c>
      <c r="BD1178" s="6" t="s">
        <v>12009</v>
      </c>
      <c r="BE1178" s="6" t="str">
        <f t="shared" si="570"/>
        <v>=240.6*100000000</v>
      </c>
      <c r="BF1178" s="1">
        <f>240.6*100000000</f>
        <v>24060000000</v>
      </c>
      <c r="BG1178" s="8">
        <f t="shared" si="587"/>
        <v>0.57460732984293172</v>
      </c>
      <c r="BH1178" s="6" t="s">
        <v>12010</v>
      </c>
      <c r="BI1178" s="6" t="str">
        <f t="shared" si="571"/>
        <v>=152.8*100000000</v>
      </c>
      <c r="BJ1178" s="1">
        <f>152.8*100000000</f>
        <v>15280000000.000002</v>
      </c>
      <c r="BK1178" s="6" t="s">
        <v>12011</v>
      </c>
      <c r="BL1178" s="1" t="str">
        <f t="shared" si="573"/>
        <v>=65.80*100000000</v>
      </c>
      <c r="BM1178" s="16">
        <f t="shared" si="588"/>
        <v>1.3221884498480245</v>
      </c>
      <c r="BN1178" s="1">
        <f>65.8*100000000</f>
        <v>6580000000</v>
      </c>
    </row>
    <row r="1179" spans="1:66">
      <c r="A1179" s="18"/>
      <c r="B1179">
        <v>600973</v>
      </c>
      <c r="C1179" t="s">
        <v>48</v>
      </c>
      <c r="D1179" s="6">
        <f>-7.121*100000000</f>
        <v>-712100000</v>
      </c>
      <c r="E1179" s="7" t="str">
        <f t="shared" si="572"/>
        <v>=-712100000</v>
      </c>
      <c r="F1179" s="1">
        <f>-712100000</f>
        <v>-712100000</v>
      </c>
      <c r="G1179" s="8">
        <f t="shared" si="574"/>
        <v>-2.5849098597818827</v>
      </c>
      <c r="H1179" s="6" t="s">
        <v>12012</v>
      </c>
      <c r="I1179" s="6" t="str">
        <f t="shared" si="558"/>
        <v>=4.493*100000000</v>
      </c>
      <c r="J1179" s="1">
        <f>4.493*100000000</f>
        <v>449300000.00000006</v>
      </c>
      <c r="K1179" s="10">
        <f t="shared" si="575"/>
        <v>0.49169986719787534</v>
      </c>
      <c r="L1179" s="6" t="s">
        <v>12013</v>
      </c>
      <c r="M1179" s="6" t="str">
        <f t="shared" si="559"/>
        <v>=3.012*100000000</v>
      </c>
      <c r="N1179" s="1">
        <f>3.012*100000000</f>
        <v>301200000</v>
      </c>
      <c r="O1179" s="8">
        <f t="shared" si="576"/>
        <v>0.98288347597103354</v>
      </c>
      <c r="P1179" s="6" t="s">
        <v>7717</v>
      </c>
      <c r="Q1179" s="6" t="str">
        <f t="shared" si="560"/>
        <v>=1.519*100000000</v>
      </c>
      <c r="R1179" s="11">
        <f>1.519*100000000</f>
        <v>151900000</v>
      </c>
      <c r="S1179" s="8">
        <f t="shared" si="577"/>
        <v>-0.55519765739385063</v>
      </c>
      <c r="T1179" s="6" t="s">
        <v>4390</v>
      </c>
      <c r="U1179" s="6" t="str">
        <f t="shared" si="561"/>
        <v>=3.415*100000000</v>
      </c>
      <c r="V1179" s="1">
        <f>3.415*100000000</f>
        <v>341500000</v>
      </c>
      <c r="W1179" s="8">
        <f t="shared" si="578"/>
        <v>0.17112482853223593</v>
      </c>
      <c r="X1179" s="6" t="s">
        <v>5299</v>
      </c>
      <c r="Y1179" s="6" t="str">
        <f t="shared" si="562"/>
        <v>=2.916*100000000</v>
      </c>
      <c r="Z1179" s="1">
        <f>2.916*100000000</f>
        <v>291600000</v>
      </c>
      <c r="AA1179" s="8">
        <f t="shared" si="579"/>
        <v>0.65587734241908002</v>
      </c>
      <c r="AB1179" s="6" t="s">
        <v>5194</v>
      </c>
      <c r="AC1179" s="6" t="str">
        <f t="shared" si="563"/>
        <v>=1.761*100000000</v>
      </c>
      <c r="AD1179" s="1">
        <f>1.761*100000000</f>
        <v>176100000</v>
      </c>
      <c r="AE1179" s="8">
        <f t="shared" si="580"/>
        <v>1.9467871485943775</v>
      </c>
      <c r="AF1179" s="7" t="s">
        <v>12014</v>
      </c>
      <c r="AG1179" s="6" t="str">
        <f t="shared" si="564"/>
        <v>=5976*10000</v>
      </c>
      <c r="AH1179" s="1">
        <f>5976*10000</f>
        <v>59760000</v>
      </c>
      <c r="AI1179" s="8">
        <f t="shared" si="581"/>
        <v>-0.76057692307692304</v>
      </c>
      <c r="AJ1179" s="6" t="s">
        <v>1750</v>
      </c>
      <c r="AK1179" s="6" t="str">
        <f t="shared" si="565"/>
        <v>=2.496*100000000</v>
      </c>
      <c r="AL1179" s="1">
        <f>2.496*100000000</f>
        <v>249600000</v>
      </c>
      <c r="AM1179" s="8">
        <f t="shared" si="582"/>
        <v>4.5226130653266333E-2</v>
      </c>
      <c r="AN1179" s="6" t="s">
        <v>2786</v>
      </c>
      <c r="AO1179" s="6" t="str">
        <f t="shared" si="566"/>
        <v>=2.388*100000000</v>
      </c>
      <c r="AP1179" s="1">
        <f>2.388*100000000</f>
        <v>238800000</v>
      </c>
      <c r="AQ1179" s="8">
        <f t="shared" si="583"/>
        <v>0.54363283775048477</v>
      </c>
      <c r="AR1179" s="6" t="s">
        <v>9543</v>
      </c>
      <c r="AS1179" s="6" t="str">
        <f t="shared" si="567"/>
        <v>=1.547*100000000</v>
      </c>
      <c r="AT1179" s="1">
        <f>1.547*100000000</f>
        <v>154700000</v>
      </c>
      <c r="AU1179" s="8">
        <f t="shared" si="584"/>
        <v>1.4247648902821317</v>
      </c>
      <c r="AV1179" s="7" t="s">
        <v>12015</v>
      </c>
      <c r="AW1179" s="6" t="str">
        <f t="shared" si="568"/>
        <v>=6380*10000</v>
      </c>
      <c r="AX1179" s="1">
        <f>6380*10000</f>
        <v>63800000</v>
      </c>
      <c r="AY1179" s="10">
        <f t="shared" si="585"/>
        <v>-0.65532144786601831</v>
      </c>
      <c r="AZ1179" s="6" t="s">
        <v>5011</v>
      </c>
      <c r="BA1179" s="6" t="str">
        <f t="shared" si="569"/>
        <v>=1.851*100000000</v>
      </c>
      <c r="BB1179" s="1">
        <f>1.851*100000000</f>
        <v>185100000</v>
      </c>
      <c r="BC1179" s="8">
        <f t="shared" si="586"/>
        <v>0.22017139090309823</v>
      </c>
      <c r="BD1179" s="6" t="s">
        <v>6592</v>
      </c>
      <c r="BE1179" s="6" t="str">
        <f t="shared" si="570"/>
        <v>=1.517*100000000</v>
      </c>
      <c r="BF1179" s="1">
        <f>1.517*100000000</f>
        <v>151700000</v>
      </c>
      <c r="BG1179" s="8">
        <f t="shared" si="587"/>
        <v>0.44751908396946566</v>
      </c>
      <c r="BH1179" s="6" t="s">
        <v>12016</v>
      </c>
      <c r="BI1179" s="6" t="str">
        <f t="shared" si="571"/>
        <v>=1.048*100000000</v>
      </c>
      <c r="BJ1179" s="1">
        <f>1.048*100000000</f>
        <v>104800000</v>
      </c>
      <c r="BK1179" s="7" t="s">
        <v>12017</v>
      </c>
      <c r="BL1179" s="1" t="str">
        <f t="shared" si="573"/>
        <v>=4497*10000</v>
      </c>
      <c r="BM1179" s="16">
        <f t="shared" si="588"/>
        <v>1.3304425172337113</v>
      </c>
      <c r="BN1179" s="1">
        <f>4497*10000</f>
        <v>44970000</v>
      </c>
    </row>
    <row r="1180" spans="1:66">
      <c r="A1180" s="18"/>
      <c r="B1180">
        <v>600973</v>
      </c>
      <c r="C1180" t="s">
        <v>58</v>
      </c>
      <c r="D1180" s="6">
        <f>-7.054*100000000</f>
        <v>-705400000</v>
      </c>
      <c r="E1180" s="7" t="str">
        <f t="shared" si="572"/>
        <v>=-705400000</v>
      </c>
      <c r="F1180" s="1">
        <f>-705400000</f>
        <v>-705400000</v>
      </c>
      <c r="G1180" s="8">
        <f t="shared" si="574"/>
        <v>-2.5633865248226955</v>
      </c>
      <c r="H1180" s="6" t="s">
        <v>9821</v>
      </c>
      <c r="I1180" s="6" t="str">
        <f t="shared" si="558"/>
        <v>=4.512*100000000</v>
      </c>
      <c r="J1180" s="1">
        <f>4.512*100000000</f>
        <v>451199999.99999994</v>
      </c>
      <c r="K1180" s="10">
        <f t="shared" si="575"/>
        <v>0.48812664907651693</v>
      </c>
      <c r="L1180" s="6" t="s">
        <v>9845</v>
      </c>
      <c r="M1180" s="6" t="str">
        <f t="shared" si="559"/>
        <v>=3.032*100000000</v>
      </c>
      <c r="N1180" s="1">
        <f>3.032*100000000</f>
        <v>303200000</v>
      </c>
      <c r="O1180" s="8">
        <f t="shared" si="576"/>
        <v>0.98040496407576749</v>
      </c>
      <c r="P1180" s="6" t="s">
        <v>6822</v>
      </c>
      <c r="Q1180" s="6" t="str">
        <f t="shared" si="560"/>
        <v>=1.531*100000000</v>
      </c>
      <c r="R1180" s="11">
        <f>1.531*100000000</f>
        <v>153100000</v>
      </c>
      <c r="S1180" s="8">
        <f t="shared" si="577"/>
        <v>-0.55194615159496629</v>
      </c>
      <c r="T1180" s="6" t="s">
        <v>6399</v>
      </c>
      <c r="U1180" s="6" t="str">
        <f t="shared" si="561"/>
        <v>=3.417*100000000</v>
      </c>
      <c r="V1180" s="1">
        <f>3.417*100000000</f>
        <v>341700000</v>
      </c>
      <c r="W1180" s="8">
        <f t="shared" si="578"/>
        <v>0.17140898183064793</v>
      </c>
      <c r="X1180" s="6" t="s">
        <v>12018</v>
      </c>
      <c r="Y1180" s="6" t="str">
        <f t="shared" si="562"/>
        <v>=2.917*100000000</v>
      </c>
      <c r="Z1180" s="1">
        <f>2.917*100000000</f>
        <v>291700000</v>
      </c>
      <c r="AA1180" s="8">
        <f t="shared" si="579"/>
        <v>0.64430665163472378</v>
      </c>
      <c r="AB1180" s="6" t="s">
        <v>6752</v>
      </c>
      <c r="AC1180" s="6" t="str">
        <f t="shared" si="563"/>
        <v>=1.774*100000000</v>
      </c>
      <c r="AD1180" s="1">
        <f>1.774*100000000</f>
        <v>177400000</v>
      </c>
      <c r="AE1180" s="8">
        <f t="shared" si="580"/>
        <v>1.9249793899422918</v>
      </c>
      <c r="AF1180" s="7" t="s">
        <v>12019</v>
      </c>
      <c r="AG1180" s="6" t="str">
        <f t="shared" si="564"/>
        <v>=6065*10000</v>
      </c>
      <c r="AH1180" s="1">
        <f>6065*10000</f>
        <v>60650000</v>
      </c>
      <c r="AI1180" s="8">
        <f t="shared" si="581"/>
        <v>-0.75681635926222934</v>
      </c>
      <c r="AJ1180" s="6" t="s">
        <v>3475</v>
      </c>
      <c r="AK1180" s="6" t="str">
        <f t="shared" si="565"/>
        <v>=2.494*100000000</v>
      </c>
      <c r="AL1180" s="1">
        <f>2.494*100000000</f>
        <v>249400000.00000003</v>
      </c>
      <c r="AM1180" s="8">
        <f t="shared" si="582"/>
        <v>3.6575228595178845E-2</v>
      </c>
      <c r="AN1180" s="6" t="s">
        <v>4581</v>
      </c>
      <c r="AO1180" s="6" t="str">
        <f t="shared" si="566"/>
        <v>=2.406*100000000</v>
      </c>
      <c r="AP1180" s="1">
        <f>2.406*100000000</f>
        <v>240600000</v>
      </c>
      <c r="AQ1180" s="8">
        <f t="shared" si="583"/>
        <v>0.54627249357326479</v>
      </c>
      <c r="AR1180" s="6" t="s">
        <v>1284</v>
      </c>
      <c r="AS1180" s="6" t="str">
        <f t="shared" si="567"/>
        <v>=1.556*100000000</v>
      </c>
      <c r="AT1180" s="1">
        <f>1.556*100000000</f>
        <v>155600000</v>
      </c>
      <c r="AU1180" s="8">
        <f t="shared" si="584"/>
        <v>1.4172751281652944</v>
      </c>
      <c r="AV1180" s="7" t="s">
        <v>12020</v>
      </c>
      <c r="AW1180" s="6" t="str">
        <f t="shared" si="568"/>
        <v>=6437*10000</v>
      </c>
      <c r="AX1180" s="1">
        <f>6437*10000</f>
        <v>64370000</v>
      </c>
      <c r="AY1180" s="10">
        <f t="shared" si="585"/>
        <v>-0.65355220667384284</v>
      </c>
      <c r="AZ1180" s="6" t="s">
        <v>2197</v>
      </c>
      <c r="BA1180" s="6" t="str">
        <f t="shared" si="569"/>
        <v>=1.858*100000000</v>
      </c>
      <c r="BB1180" s="1">
        <f>1.858*100000000</f>
        <v>185800000</v>
      </c>
      <c r="BC1180" s="8">
        <f t="shared" si="586"/>
        <v>0.19948353776630084</v>
      </c>
      <c r="BD1180" s="6" t="s">
        <v>1448</v>
      </c>
      <c r="BE1180" s="6" t="str">
        <f t="shared" si="570"/>
        <v>=1.549*100000000</v>
      </c>
      <c r="BF1180" s="1">
        <f>1.549*100000000</f>
        <v>154900000</v>
      </c>
      <c r="BG1180" s="8">
        <f t="shared" si="587"/>
        <v>0.45173383317713217</v>
      </c>
      <c r="BH1180" s="6" t="s">
        <v>1937</v>
      </c>
      <c r="BI1180" s="6" t="str">
        <f t="shared" si="571"/>
        <v>=1.067*100000000</v>
      </c>
      <c r="BJ1180" s="1">
        <f>1.067*100000000</f>
        <v>106700000</v>
      </c>
      <c r="BK1180" s="7" t="s">
        <v>12021</v>
      </c>
      <c r="BL1180" s="1" t="str">
        <f t="shared" si="573"/>
        <v>=4468*10000</v>
      </c>
      <c r="BM1180" s="16">
        <f t="shared" si="588"/>
        <v>1.3880931065353626</v>
      </c>
      <c r="BN1180" s="1">
        <f>4468*10000</f>
        <v>44680000</v>
      </c>
    </row>
    <row r="1181" spans="1:66">
      <c r="A1181" s="19"/>
      <c r="B1181">
        <v>600973</v>
      </c>
      <c r="C1181" t="s">
        <v>68</v>
      </c>
      <c r="D1181" s="6">
        <f>-6.459*100000000</f>
        <v>-645900000</v>
      </c>
      <c r="E1181" s="7" t="str">
        <f t="shared" si="572"/>
        <v>=-645900000</v>
      </c>
      <c r="F1181" s="1">
        <f>-645900000</f>
        <v>-645900000</v>
      </c>
      <c r="G1181" s="8">
        <f t="shared" si="574"/>
        <v>-2.8443746430611081</v>
      </c>
      <c r="H1181" s="6" t="s">
        <v>12022</v>
      </c>
      <c r="I1181" s="6" t="str">
        <f t="shared" si="558"/>
        <v>=3.502*100000000</v>
      </c>
      <c r="J1181" s="1">
        <f>3.502*100000000</f>
        <v>350200000</v>
      </c>
      <c r="K1181" s="10">
        <f t="shared" si="575"/>
        <v>0.50623655913978471</v>
      </c>
      <c r="L1181" s="6" t="s">
        <v>10580</v>
      </c>
      <c r="M1181" s="6" t="str">
        <f t="shared" si="559"/>
        <v>=2.325*100000000</v>
      </c>
      <c r="N1181" s="1">
        <f>2.325*100000000</f>
        <v>232500000.00000003</v>
      </c>
      <c r="O1181" s="8">
        <f t="shared" si="576"/>
        <v>0.97536108751062045</v>
      </c>
      <c r="P1181" s="6" t="s">
        <v>12023</v>
      </c>
      <c r="Q1181" s="6" t="str">
        <f t="shared" si="560"/>
        <v>=1.177*100000000</v>
      </c>
      <c r="R1181" s="11">
        <f>1.177*100000000</f>
        <v>117700000</v>
      </c>
      <c r="S1181" s="8">
        <f t="shared" si="577"/>
        <v>-0.55500945179584116</v>
      </c>
      <c r="T1181" s="6" t="s">
        <v>12024</v>
      </c>
      <c r="U1181" s="6" t="str">
        <f t="shared" si="561"/>
        <v>=2.645*100000000</v>
      </c>
      <c r="V1181" s="1">
        <f>2.645*100000000</f>
        <v>264500000</v>
      </c>
      <c r="W1181" s="8">
        <f t="shared" si="578"/>
        <v>0.13130881094952951</v>
      </c>
      <c r="X1181" s="6" t="s">
        <v>10237</v>
      </c>
      <c r="Y1181" s="6" t="str">
        <f t="shared" si="562"/>
        <v>=2.338*100000000</v>
      </c>
      <c r="Z1181" s="1">
        <f>2.338*100000000</f>
        <v>233800000</v>
      </c>
      <c r="AA1181" s="8">
        <f t="shared" si="579"/>
        <v>0.63268156424581001</v>
      </c>
      <c r="AB1181" s="6" t="s">
        <v>12025</v>
      </c>
      <c r="AC1181" s="6" t="str">
        <f t="shared" si="563"/>
        <v>=1.432*100000000</v>
      </c>
      <c r="AD1181" s="1">
        <f>1.432*100000000</f>
        <v>143200000</v>
      </c>
      <c r="AE1181" s="8">
        <f t="shared" si="580"/>
        <v>1.8714658111088831</v>
      </c>
      <c r="AF1181" s="7" t="s">
        <v>12026</v>
      </c>
      <c r="AG1181" s="6" t="str">
        <f t="shared" si="564"/>
        <v>=4987*10000</v>
      </c>
      <c r="AH1181" s="1">
        <f>4987*10000</f>
        <v>49870000</v>
      </c>
      <c r="AI1181" s="8">
        <f t="shared" si="581"/>
        <v>-0.73766438716465021</v>
      </c>
      <c r="AJ1181" s="6" t="s">
        <v>7442</v>
      </c>
      <c r="AK1181" s="6" t="str">
        <f t="shared" si="565"/>
        <v>=1.901*100000000</v>
      </c>
      <c r="AL1181" s="1">
        <f>1.901*100000000</f>
        <v>190100000</v>
      </c>
      <c r="AM1181" s="8">
        <f t="shared" si="582"/>
        <v>4.7568710359408035E-3</v>
      </c>
      <c r="AN1181" s="6" t="s">
        <v>2374</v>
      </c>
      <c r="AO1181" s="6" t="str">
        <f t="shared" si="566"/>
        <v>=1.892*100000000</v>
      </c>
      <c r="AP1181" s="1">
        <f>1.892*100000000</f>
        <v>189200000</v>
      </c>
      <c r="AQ1181" s="8">
        <f t="shared" si="583"/>
        <v>0.58724832214765099</v>
      </c>
      <c r="AR1181" s="6" t="s">
        <v>2162</v>
      </c>
      <c r="AS1181" s="6" t="str">
        <f t="shared" si="567"/>
        <v>=1.192*100000000</v>
      </c>
      <c r="AT1181" s="1">
        <f>1.192*100000000</f>
        <v>119200000</v>
      </c>
      <c r="AU1181" s="8">
        <f t="shared" si="584"/>
        <v>1.4582388121262115</v>
      </c>
      <c r="AV1181" s="7" t="s">
        <v>12027</v>
      </c>
      <c r="AW1181" s="6" t="str">
        <f t="shared" si="568"/>
        <v>=4849*10000</v>
      </c>
      <c r="AX1181" s="1">
        <f>4849*10000</f>
        <v>48490000</v>
      </c>
      <c r="AY1181" s="10">
        <f t="shared" si="585"/>
        <v>-0.66946148602590316</v>
      </c>
      <c r="AZ1181" s="6" t="s">
        <v>2938</v>
      </c>
      <c r="BA1181" s="6" t="str">
        <f t="shared" si="569"/>
        <v>=1.467*100000000</v>
      </c>
      <c r="BB1181" s="1">
        <f>1.467*100000000</f>
        <v>146700000</v>
      </c>
      <c r="BC1181" s="8">
        <f t="shared" si="586"/>
        <v>0.24322033898305084</v>
      </c>
      <c r="BD1181" s="6" t="s">
        <v>12028</v>
      </c>
      <c r="BE1181" s="6" t="str">
        <f t="shared" si="570"/>
        <v>=1.180*100000000</v>
      </c>
      <c r="BF1181" s="1">
        <f>1.18*100000000</f>
        <v>118000000</v>
      </c>
      <c r="BG1181" s="8">
        <f t="shared" si="587"/>
        <v>0.47077153184594289</v>
      </c>
      <c r="BH1181" s="7" t="s">
        <v>12029</v>
      </c>
      <c r="BI1181" s="6" t="str">
        <f t="shared" si="571"/>
        <v>=8023*10000</v>
      </c>
      <c r="BJ1181" s="1">
        <f>8023*10000</f>
        <v>80230000</v>
      </c>
      <c r="BK1181" s="7" t="s">
        <v>7750</v>
      </c>
      <c r="BL1181" s="1" t="str">
        <f t="shared" si="573"/>
        <v>=3439*10000</v>
      </c>
      <c r="BM1181" s="16">
        <f t="shared" si="588"/>
        <v>1.3329456237278279</v>
      </c>
      <c r="BN1181" s="1">
        <f>3439*10000</f>
        <v>34390000</v>
      </c>
    </row>
    <row r="1182" spans="1:66">
      <c r="A1182" s="17">
        <v>297</v>
      </c>
      <c r="B1182">
        <v>600976</v>
      </c>
      <c r="C1182" t="s">
        <v>31</v>
      </c>
      <c r="D1182" s="6" t="s">
        <v>12030</v>
      </c>
      <c r="E1182" s="7" t="str">
        <f t="shared" si="572"/>
        <v>=32.78*100000000</v>
      </c>
      <c r="F1182" s="1">
        <f>32.78*100000000</f>
        <v>3278000000</v>
      </c>
      <c r="G1182" s="8">
        <f t="shared" si="574"/>
        <v>0.25786646201074442</v>
      </c>
      <c r="H1182" s="6" t="s">
        <v>3615</v>
      </c>
      <c r="I1182" s="6" t="str">
        <f t="shared" si="558"/>
        <v>=26.06*100000000</v>
      </c>
      <c r="J1182" s="1">
        <f>26.06*100000000</f>
        <v>2606000000</v>
      </c>
      <c r="K1182" s="10">
        <f t="shared" si="575"/>
        <v>0.45343000557724483</v>
      </c>
      <c r="L1182" s="6" t="s">
        <v>9109</v>
      </c>
      <c r="M1182" s="6" t="str">
        <f t="shared" si="559"/>
        <v>=17.93*100000000</v>
      </c>
      <c r="N1182" s="1">
        <f>17.93*100000000</f>
        <v>1793000000</v>
      </c>
      <c r="O1182" s="8">
        <f t="shared" si="576"/>
        <v>1.1309721892084621</v>
      </c>
      <c r="P1182" s="6" t="s">
        <v>12031</v>
      </c>
      <c r="Q1182" s="6" t="str">
        <f t="shared" si="560"/>
        <v>=8.414*100000000</v>
      </c>
      <c r="R1182" s="11">
        <f>8.414*100000000</f>
        <v>841400000</v>
      </c>
      <c r="S1182" s="8">
        <f t="shared" si="577"/>
        <v>-0.65741042345276868</v>
      </c>
      <c r="T1182" s="6" t="s">
        <v>606</v>
      </c>
      <c r="U1182" s="6" t="str">
        <f t="shared" si="561"/>
        <v>=24.56*100000000</v>
      </c>
      <c r="V1182" s="1">
        <f>24.56*100000000</f>
        <v>2456000000</v>
      </c>
      <c r="W1182" s="8">
        <f t="shared" si="578"/>
        <v>0.52926525529265278</v>
      </c>
      <c r="X1182" s="6" t="s">
        <v>8697</v>
      </c>
      <c r="Y1182" s="6" t="str">
        <f t="shared" si="562"/>
        <v>=16.06*100000000</v>
      </c>
      <c r="Z1182" s="1">
        <f>16.06*100000000</f>
        <v>1605999999.9999998</v>
      </c>
      <c r="AA1182" s="8">
        <f t="shared" si="579"/>
        <v>0.56377799415774077</v>
      </c>
      <c r="AB1182" s="6" t="s">
        <v>11069</v>
      </c>
      <c r="AC1182" s="6" t="str">
        <f t="shared" si="563"/>
        <v>=10.27*100000000</v>
      </c>
      <c r="AD1182" s="1">
        <f>10.27*100000000</f>
        <v>1027000000</v>
      </c>
      <c r="AE1182" s="8">
        <f t="shared" si="580"/>
        <v>1.3319709355131699</v>
      </c>
      <c r="AF1182" s="6" t="s">
        <v>12032</v>
      </c>
      <c r="AG1182" s="6" t="str">
        <f t="shared" si="564"/>
        <v>=4.404*100000000</v>
      </c>
      <c r="AH1182" s="1">
        <f>4.404*100000000</f>
        <v>440400000</v>
      </c>
      <c r="AI1182" s="8">
        <f t="shared" si="581"/>
        <v>-0.80330504689593574</v>
      </c>
      <c r="AJ1182" s="6" t="s">
        <v>12033</v>
      </c>
      <c r="AK1182" s="6" t="str">
        <f t="shared" si="565"/>
        <v>=22.39*100000000</v>
      </c>
      <c r="AL1182" s="1">
        <f>22.39*100000000</f>
        <v>2239000000</v>
      </c>
      <c r="AM1182" s="8">
        <f t="shared" si="582"/>
        <v>0.22216157205240175</v>
      </c>
      <c r="AN1182" s="6" t="s">
        <v>3621</v>
      </c>
      <c r="AO1182" s="6" t="str">
        <f t="shared" si="566"/>
        <v>=18.32*100000000</v>
      </c>
      <c r="AP1182" s="1">
        <f>18.32*100000000</f>
        <v>1832000000</v>
      </c>
      <c r="AQ1182" s="8">
        <f t="shared" si="583"/>
        <v>0.64748201438848918</v>
      </c>
      <c r="AR1182" s="6" t="s">
        <v>12034</v>
      </c>
      <c r="AS1182" s="6" t="str">
        <f t="shared" si="567"/>
        <v>=11.12*100000000</v>
      </c>
      <c r="AT1182" s="1">
        <f>11.12*100000000</f>
        <v>1112000000</v>
      </c>
      <c r="AU1182" s="8">
        <f t="shared" si="584"/>
        <v>1.1588041157056883</v>
      </c>
      <c r="AV1182" s="6" t="s">
        <v>1941</v>
      </c>
      <c r="AW1182" s="6" t="str">
        <f t="shared" si="568"/>
        <v>=5.151*100000000</v>
      </c>
      <c r="AX1182" s="1">
        <f>5.151*100000000</f>
        <v>515100000</v>
      </c>
      <c r="AY1182" s="10">
        <f t="shared" si="585"/>
        <v>-0.76163813049514117</v>
      </c>
      <c r="AZ1182" s="6" t="s">
        <v>2656</v>
      </c>
      <c r="BA1182" s="6" t="str">
        <f t="shared" si="569"/>
        <v>=21.61*100000000</v>
      </c>
      <c r="BB1182" s="1">
        <f>21.61*100000000</f>
        <v>2161000000</v>
      </c>
      <c r="BC1182" s="8">
        <f t="shared" si="586"/>
        <v>0.35741206030150752</v>
      </c>
      <c r="BD1182" s="6" t="s">
        <v>7437</v>
      </c>
      <c r="BE1182" s="6" t="str">
        <f t="shared" si="570"/>
        <v>=15.92*100000000</v>
      </c>
      <c r="BF1182" s="1">
        <f>15.92*100000000</f>
        <v>1592000000</v>
      </c>
      <c r="BG1182" s="8">
        <f t="shared" si="587"/>
        <v>0.48093023255813955</v>
      </c>
      <c r="BH1182" s="6" t="s">
        <v>4101</v>
      </c>
      <c r="BI1182" s="6" t="str">
        <f t="shared" si="571"/>
        <v>=10.75*100000000</v>
      </c>
      <c r="BJ1182" s="1">
        <f>10.75*100000000</f>
        <v>1075000000</v>
      </c>
      <c r="BK1182" s="6" t="s">
        <v>9720</v>
      </c>
      <c r="BL1182" s="1" t="str">
        <f t="shared" si="573"/>
        <v>=4.932*100000000</v>
      </c>
      <c r="BM1182" s="16">
        <f t="shared" si="588"/>
        <v>1.1796431467964312</v>
      </c>
      <c r="BN1182" s="1">
        <f>4.932*100000000</f>
        <v>493200000.00000006</v>
      </c>
    </row>
    <row r="1183" spans="1:66">
      <c r="A1183" s="18"/>
      <c r="B1183">
        <v>600976</v>
      </c>
      <c r="C1183" t="s">
        <v>48</v>
      </c>
      <c r="D1183" s="6" t="s">
        <v>9503</v>
      </c>
      <c r="E1183" s="7" t="str">
        <f t="shared" si="572"/>
        <v>=3.652*100000000</v>
      </c>
      <c r="F1183" s="1">
        <f>3.652*100000000</f>
        <v>365200000</v>
      </c>
      <c r="G1183" s="8">
        <f t="shared" si="574"/>
        <v>0.27915936952714537</v>
      </c>
      <c r="H1183" s="6" t="s">
        <v>12035</v>
      </c>
      <c r="I1183" s="6" t="str">
        <f t="shared" si="558"/>
        <v>=2.855*100000000</v>
      </c>
      <c r="J1183" s="1">
        <f>2.855*100000000</f>
        <v>285500000</v>
      </c>
      <c r="K1183" s="10">
        <f t="shared" si="575"/>
        <v>0.52592196686264026</v>
      </c>
      <c r="L1183" s="6" t="s">
        <v>10874</v>
      </c>
      <c r="M1183" s="6" t="str">
        <f t="shared" si="559"/>
        <v>=1.871*100000000</v>
      </c>
      <c r="N1183" s="1">
        <f>1.871*100000000</f>
        <v>187100000</v>
      </c>
      <c r="O1183" s="8">
        <f t="shared" si="576"/>
        <v>1.3916656014316757</v>
      </c>
      <c r="P1183" s="7" t="s">
        <v>12036</v>
      </c>
      <c r="Q1183" s="6" t="str">
        <f t="shared" si="560"/>
        <v>=7823*10000</v>
      </c>
      <c r="R1183" s="11">
        <f>7823*10000</f>
        <v>78230000</v>
      </c>
      <c r="S1183" s="8">
        <f t="shared" si="577"/>
        <v>-0.51349502487562193</v>
      </c>
      <c r="T1183" s="6" t="s">
        <v>9267</v>
      </c>
      <c r="U1183" s="6" t="str">
        <f t="shared" si="561"/>
        <v>=1.608*100000000</v>
      </c>
      <c r="V1183" s="1">
        <f>1.608*100000000</f>
        <v>160800000</v>
      </c>
      <c r="W1183" s="8">
        <f t="shared" si="578"/>
        <v>0.16437364228819695</v>
      </c>
      <c r="X1183" s="6" t="s">
        <v>1479</v>
      </c>
      <c r="Y1183" s="6" t="str">
        <f t="shared" si="562"/>
        <v>=1.381*100000000</v>
      </c>
      <c r="Z1183" s="1">
        <f>1.381*100000000</f>
        <v>138100000</v>
      </c>
      <c r="AA1183" s="8">
        <f t="shared" si="579"/>
        <v>1.2184738955823293</v>
      </c>
      <c r="AB1183" s="7" t="s">
        <v>12037</v>
      </c>
      <c r="AC1183" s="6" t="str">
        <f t="shared" si="563"/>
        <v>=6225*10000</v>
      </c>
      <c r="AD1183" s="1">
        <f>6225*10000</f>
        <v>62250000</v>
      </c>
      <c r="AE1183" s="8">
        <f t="shared" si="580"/>
        <v>1.7195281782437746</v>
      </c>
      <c r="AF1183" s="7" t="s">
        <v>12038</v>
      </c>
      <c r="AG1183" s="6" t="str">
        <f t="shared" si="564"/>
        <v>=2289*10000</v>
      </c>
      <c r="AH1183" s="1">
        <f>2289*10000</f>
        <v>22890000</v>
      </c>
      <c r="AI1183" s="8">
        <f t="shared" si="581"/>
        <v>-0.78200000000000003</v>
      </c>
      <c r="AJ1183" s="6" t="s">
        <v>2241</v>
      </c>
      <c r="AK1183" s="6" t="str">
        <f t="shared" si="565"/>
        <v>=1.050*100000000</v>
      </c>
      <c r="AL1183" s="1">
        <f>1.05*100000000</f>
        <v>105000000</v>
      </c>
      <c r="AM1183" s="8">
        <f t="shared" si="582"/>
        <v>0.33604784323705306</v>
      </c>
      <c r="AN1183" s="7" t="s">
        <v>12039</v>
      </c>
      <c r="AO1183" s="6" t="str">
        <f t="shared" si="566"/>
        <v>=7859*10000</v>
      </c>
      <c r="AP1183" s="1">
        <f>7859*10000</f>
        <v>78590000</v>
      </c>
      <c r="AQ1183" s="8">
        <f t="shared" si="583"/>
        <v>0.30765391014975041</v>
      </c>
      <c r="AR1183" s="7" t="s">
        <v>12040</v>
      </c>
      <c r="AS1183" s="6" t="str">
        <f t="shared" si="567"/>
        <v>=6010*10000</v>
      </c>
      <c r="AT1183" s="1">
        <f>6010*10000</f>
        <v>60100000</v>
      </c>
      <c r="AU1183" s="8">
        <f t="shared" si="584"/>
        <v>0.95129870129870131</v>
      </c>
      <c r="AV1183" s="7" t="s">
        <v>1989</v>
      </c>
      <c r="AW1183" s="6" t="str">
        <f t="shared" si="568"/>
        <v>=3080*10000</v>
      </c>
      <c r="AX1183" s="1">
        <f>3080*10000</f>
        <v>30800000</v>
      </c>
      <c r="AY1183" s="10">
        <f t="shared" si="585"/>
        <v>-0.67199148029818956</v>
      </c>
      <c r="AZ1183" s="7" t="s">
        <v>12041</v>
      </c>
      <c r="BA1183" s="6" t="str">
        <f t="shared" si="569"/>
        <v>=9390*10000</v>
      </c>
      <c r="BB1183" s="1">
        <f>9390*10000</f>
        <v>93900000</v>
      </c>
      <c r="BC1183" s="8">
        <f t="shared" si="586"/>
        <v>0.17890772128060264</v>
      </c>
      <c r="BD1183" s="7" t="s">
        <v>12042</v>
      </c>
      <c r="BE1183" s="6" t="str">
        <f t="shared" si="570"/>
        <v>=7965*10000</v>
      </c>
      <c r="BF1183" s="1">
        <f>7965*10000</f>
        <v>79650000</v>
      </c>
      <c r="BG1183" s="8">
        <f t="shared" si="587"/>
        <v>0.26428571428571429</v>
      </c>
      <c r="BH1183" s="7" t="s">
        <v>12043</v>
      </c>
      <c r="BI1183" s="6" t="str">
        <f t="shared" si="571"/>
        <v>=6300*10000</v>
      </c>
      <c r="BJ1183" s="1">
        <f>6300*10000</f>
        <v>63000000</v>
      </c>
      <c r="BK1183" s="7" t="s">
        <v>3807</v>
      </c>
      <c r="BL1183" s="1" t="str">
        <f t="shared" si="573"/>
        <v>=3097*10000</v>
      </c>
      <c r="BM1183" s="16">
        <f t="shared" si="588"/>
        <v>1.0342266709719083</v>
      </c>
      <c r="BN1183" s="1">
        <f>3097*10000</f>
        <v>30970000</v>
      </c>
    </row>
    <row r="1184" spans="1:66">
      <c r="A1184" s="18"/>
      <c r="B1184">
        <v>600976</v>
      </c>
      <c r="C1184" t="s">
        <v>58</v>
      </c>
      <c r="D1184" s="6" t="s">
        <v>2443</v>
      </c>
      <c r="E1184" s="7" t="str">
        <f t="shared" si="572"/>
        <v>=3.609*100000000</v>
      </c>
      <c r="F1184" s="1">
        <f>3.609*100000000</f>
        <v>360900000</v>
      </c>
      <c r="G1184" s="8">
        <f t="shared" si="574"/>
        <v>0.27481455316142706</v>
      </c>
      <c r="H1184" s="6" t="s">
        <v>4394</v>
      </c>
      <c r="I1184" s="6" t="str">
        <f t="shared" si="558"/>
        <v>=2.831*100000000</v>
      </c>
      <c r="J1184" s="1">
        <f>2.831*100000000</f>
        <v>283100000</v>
      </c>
      <c r="K1184" s="10">
        <f t="shared" si="575"/>
        <v>0.51796246648793565</v>
      </c>
      <c r="L1184" s="6" t="s">
        <v>12044</v>
      </c>
      <c r="M1184" s="6" t="str">
        <f t="shared" si="559"/>
        <v>=1.865*100000000</v>
      </c>
      <c r="N1184" s="1">
        <f>1.865*100000000</f>
        <v>186500000</v>
      </c>
      <c r="O1184" s="8">
        <f t="shared" si="576"/>
        <v>1.3879641485275289</v>
      </c>
      <c r="P1184" s="7" t="s">
        <v>12045</v>
      </c>
      <c r="Q1184" s="6" t="str">
        <f t="shared" si="560"/>
        <v>=7810*10000</v>
      </c>
      <c r="R1184" s="11">
        <f>7810*10000</f>
        <v>78100000</v>
      </c>
      <c r="S1184" s="8">
        <f t="shared" si="577"/>
        <v>-0.50444162436548223</v>
      </c>
      <c r="T1184" s="6" t="s">
        <v>11469</v>
      </c>
      <c r="U1184" s="6" t="str">
        <f t="shared" si="561"/>
        <v>=1.576*100000000</v>
      </c>
      <c r="V1184" s="1">
        <f>1.576*100000000</f>
        <v>157600000</v>
      </c>
      <c r="W1184" s="8">
        <f t="shared" si="578"/>
        <v>0.16053019145802652</v>
      </c>
      <c r="X1184" s="6" t="s">
        <v>6046</v>
      </c>
      <c r="Y1184" s="6" t="str">
        <f t="shared" si="562"/>
        <v>=1.358*100000000</v>
      </c>
      <c r="Z1184" s="1">
        <f>1.358*100000000</f>
        <v>135800000</v>
      </c>
      <c r="AA1184" s="8">
        <f t="shared" si="579"/>
        <v>1.2614487926727727</v>
      </c>
      <c r="AB1184" s="7" t="s">
        <v>7567</v>
      </c>
      <c r="AC1184" s="6" t="str">
        <f t="shared" si="563"/>
        <v>=6005*10000</v>
      </c>
      <c r="AD1184" s="1">
        <f>6005*10000</f>
        <v>60050000</v>
      </c>
      <c r="AE1184" s="8">
        <f t="shared" si="580"/>
        <v>1.7184246265278407</v>
      </c>
      <c r="AF1184" s="7" t="s">
        <v>12046</v>
      </c>
      <c r="AG1184" s="6" t="str">
        <f t="shared" si="564"/>
        <v>=2209*10000</v>
      </c>
      <c r="AH1184" s="1">
        <f>2209*10000</f>
        <v>22090000</v>
      </c>
      <c r="AI1184" s="8">
        <f t="shared" si="581"/>
        <v>-0.77863513378093996</v>
      </c>
      <c r="AJ1184" s="7" t="s">
        <v>12047</v>
      </c>
      <c r="AK1184" s="6" t="str">
        <f t="shared" si="565"/>
        <v>=9979*10000</v>
      </c>
      <c r="AL1184" s="1">
        <f>9979*10000</f>
        <v>99790000</v>
      </c>
      <c r="AM1184" s="8">
        <f t="shared" si="582"/>
        <v>0.30053434119640299</v>
      </c>
      <c r="AN1184" s="7" t="s">
        <v>12048</v>
      </c>
      <c r="AO1184" s="6" t="str">
        <f t="shared" si="566"/>
        <v>=7673*10000</v>
      </c>
      <c r="AP1184" s="1">
        <f>7673*10000</f>
        <v>76730000</v>
      </c>
      <c r="AQ1184" s="8">
        <f t="shared" si="583"/>
        <v>0.29677201284434679</v>
      </c>
      <c r="AR1184" s="7" t="s">
        <v>12049</v>
      </c>
      <c r="AS1184" s="6" t="str">
        <f t="shared" si="567"/>
        <v>=5917*10000</v>
      </c>
      <c r="AT1184" s="1">
        <f>5917*10000</f>
        <v>59170000</v>
      </c>
      <c r="AU1184" s="8">
        <f t="shared" si="584"/>
        <v>1.0105334692490655</v>
      </c>
      <c r="AV1184" s="7" t="s">
        <v>6641</v>
      </c>
      <c r="AW1184" s="6" t="str">
        <f t="shared" si="568"/>
        <v>=2943*10000</v>
      </c>
      <c r="AX1184" s="1">
        <f>2943*10000</f>
        <v>29430000</v>
      </c>
      <c r="AY1184" s="10">
        <f t="shared" si="585"/>
        <v>-0.66549215730847922</v>
      </c>
      <c r="AZ1184" s="7" t="s">
        <v>11319</v>
      </c>
      <c r="BA1184" s="6" t="str">
        <f t="shared" si="569"/>
        <v>=8798*10000</v>
      </c>
      <c r="BB1184" s="1">
        <f>8798*10000</f>
        <v>87980000</v>
      </c>
      <c r="BC1184" s="8">
        <f t="shared" si="586"/>
        <v>9.0751301760476077E-2</v>
      </c>
      <c r="BD1184" s="7" t="s">
        <v>12050</v>
      </c>
      <c r="BE1184" s="6" t="str">
        <f t="shared" si="570"/>
        <v>=8066*10000</v>
      </c>
      <c r="BF1184" s="1">
        <f>8066*10000</f>
        <v>80660000</v>
      </c>
      <c r="BG1184" s="8">
        <f t="shared" si="587"/>
        <v>0.26129788897576234</v>
      </c>
      <c r="BH1184" s="7" t="s">
        <v>12051</v>
      </c>
      <c r="BI1184" s="6" t="str">
        <f t="shared" si="571"/>
        <v>=6395*10000</v>
      </c>
      <c r="BJ1184" s="1">
        <f>6395*10000</f>
        <v>63950000</v>
      </c>
      <c r="BK1184" s="7" t="s">
        <v>10281</v>
      </c>
      <c r="BL1184" s="1" t="str">
        <f t="shared" si="573"/>
        <v>=3137*10000</v>
      </c>
      <c r="BM1184" s="16">
        <f t="shared" si="588"/>
        <v>1.0385718839655722</v>
      </c>
      <c r="BN1184" s="1">
        <f>3137*10000</f>
        <v>31370000</v>
      </c>
    </row>
    <row r="1185" spans="1:66">
      <c r="A1185" s="19"/>
      <c r="B1185">
        <v>600976</v>
      </c>
      <c r="C1185" t="s">
        <v>68</v>
      </c>
      <c r="D1185" s="6" t="s">
        <v>12052</v>
      </c>
      <c r="E1185" s="7" t="str">
        <f t="shared" si="572"/>
        <v>=3.254*100000000</v>
      </c>
      <c r="F1185" s="1">
        <f>3.254*100000000</f>
        <v>325400000</v>
      </c>
      <c r="G1185" s="8">
        <f t="shared" si="574"/>
        <v>0.26221877424359985</v>
      </c>
      <c r="H1185" s="6" t="s">
        <v>10071</v>
      </c>
      <c r="I1185" s="6" t="str">
        <f t="shared" si="558"/>
        <v>=2.578*100000000</v>
      </c>
      <c r="J1185" s="1">
        <f>2.578*100000000</f>
        <v>257799999.99999997</v>
      </c>
      <c r="K1185" s="10">
        <f t="shared" si="575"/>
        <v>0.53910447761194014</v>
      </c>
      <c r="L1185" s="6" t="s">
        <v>11969</v>
      </c>
      <c r="M1185" s="6" t="str">
        <f t="shared" si="559"/>
        <v>=1.675*100000000</v>
      </c>
      <c r="N1185" s="1">
        <f>1.675*100000000</f>
        <v>167500000</v>
      </c>
      <c r="O1185" s="8">
        <f t="shared" si="576"/>
        <v>1.3698358800226373</v>
      </c>
      <c r="P1185" s="7" t="s">
        <v>7057</v>
      </c>
      <c r="Q1185" s="6" t="str">
        <f t="shared" si="560"/>
        <v>=7068*10000</v>
      </c>
      <c r="R1185" s="11">
        <f>7068*10000</f>
        <v>70680000</v>
      </c>
      <c r="S1185" s="8">
        <f t="shared" si="577"/>
        <v>-0.52468056489576331</v>
      </c>
      <c r="T1185" s="6" t="s">
        <v>11487</v>
      </c>
      <c r="U1185" s="6" t="str">
        <f t="shared" si="561"/>
        <v>=1.487*100000000</v>
      </c>
      <c r="V1185" s="1">
        <f>1.487*100000000</f>
        <v>148700000</v>
      </c>
      <c r="W1185" s="8">
        <f t="shared" si="578"/>
        <v>0.17642405063291139</v>
      </c>
      <c r="X1185" s="6" t="s">
        <v>6275</v>
      </c>
      <c r="Y1185" s="6" t="str">
        <f t="shared" si="562"/>
        <v>=1.264*100000000</v>
      </c>
      <c r="Z1185" s="1">
        <f>1.264*100000000</f>
        <v>126400000</v>
      </c>
      <c r="AA1185" s="8">
        <f t="shared" si="579"/>
        <v>1.1994083869845136</v>
      </c>
      <c r="AB1185" s="7" t="s">
        <v>12053</v>
      </c>
      <c r="AC1185" s="6" t="str">
        <f t="shared" si="563"/>
        <v>=5747*10000</v>
      </c>
      <c r="AD1185" s="1">
        <f>5747*10000</f>
        <v>57470000</v>
      </c>
      <c r="AE1185" s="8">
        <f t="shared" si="580"/>
        <v>2.0247368421052632</v>
      </c>
      <c r="AF1185" s="7" t="s">
        <v>12054</v>
      </c>
      <c r="AG1185" s="6" t="str">
        <f t="shared" si="564"/>
        <v>=1900*10000</v>
      </c>
      <c r="AH1185" s="1">
        <f>1900*10000</f>
        <v>19000000</v>
      </c>
      <c r="AI1185" s="8">
        <f t="shared" si="581"/>
        <v>-0.79488286732160207</v>
      </c>
      <c r="AJ1185" s="7" t="s">
        <v>1047</v>
      </c>
      <c r="AK1185" s="6" t="str">
        <f t="shared" si="565"/>
        <v>=9263*10000</v>
      </c>
      <c r="AL1185" s="1">
        <f>9263*10000</f>
        <v>92630000</v>
      </c>
      <c r="AM1185" s="8">
        <f t="shared" si="582"/>
        <v>0.24569661108122648</v>
      </c>
      <c r="AN1185" s="7" t="s">
        <v>12055</v>
      </c>
      <c r="AO1185" s="6" t="str">
        <f t="shared" si="566"/>
        <v>=7436*10000</v>
      </c>
      <c r="AP1185" s="1">
        <f>7436*10000</f>
        <v>74360000</v>
      </c>
      <c r="AQ1185" s="8">
        <f t="shared" si="583"/>
        <v>0.31447763832420011</v>
      </c>
      <c r="AR1185" s="7" t="s">
        <v>922</v>
      </c>
      <c r="AS1185" s="6" t="str">
        <f t="shared" si="567"/>
        <v>=5657*10000</v>
      </c>
      <c r="AT1185" s="1">
        <f>5657*10000</f>
        <v>56570000</v>
      </c>
      <c r="AU1185" s="8">
        <f t="shared" si="584"/>
        <v>1.0744407774110745</v>
      </c>
      <c r="AV1185" s="7" t="s">
        <v>12056</v>
      </c>
      <c r="AW1185" s="6" t="str">
        <f t="shared" si="568"/>
        <v>=2727*10000</v>
      </c>
      <c r="AX1185" s="1">
        <f>2727*10000</f>
        <v>27270000</v>
      </c>
      <c r="AY1185" s="10">
        <f t="shared" si="585"/>
        <v>-0.66457564575645756</v>
      </c>
      <c r="AZ1185" s="7" t="s">
        <v>12057</v>
      </c>
      <c r="BA1185" s="6" t="str">
        <f t="shared" si="569"/>
        <v>=8130*10000</v>
      </c>
      <c r="BB1185" s="1">
        <f>8130*10000</f>
        <v>81300000</v>
      </c>
      <c r="BC1185" s="8">
        <f t="shared" si="586"/>
        <v>0.11998897919823667</v>
      </c>
      <c r="BD1185" s="7" t="s">
        <v>12058</v>
      </c>
      <c r="BE1185" s="6" t="str">
        <f t="shared" si="570"/>
        <v>=7259*10000</v>
      </c>
      <c r="BF1185" s="1">
        <f>7259*10000</f>
        <v>72590000</v>
      </c>
      <c r="BG1185" s="8">
        <f t="shared" si="587"/>
        <v>0.253713298791019</v>
      </c>
      <c r="BH1185" s="7" t="s">
        <v>12059</v>
      </c>
      <c r="BI1185" s="6" t="str">
        <f t="shared" si="571"/>
        <v>=5790*10000</v>
      </c>
      <c r="BJ1185" s="1">
        <f>5790*10000</f>
        <v>57900000</v>
      </c>
      <c r="BK1185" s="7" t="s">
        <v>12060</v>
      </c>
      <c r="BL1185" s="1" t="str">
        <f t="shared" si="573"/>
        <v>=2915*10000</v>
      </c>
      <c r="BM1185" s="16">
        <f t="shared" si="588"/>
        <v>0.98627787307032588</v>
      </c>
      <c r="BN1185" s="1">
        <f>2915*10000</f>
        <v>29150000</v>
      </c>
    </row>
    <row r="1186" spans="1:66">
      <c r="A1186" s="17">
        <v>298</v>
      </c>
      <c r="B1186">
        <v>600980</v>
      </c>
      <c r="C1186" t="s">
        <v>31</v>
      </c>
      <c r="D1186" s="6" t="s">
        <v>12061</v>
      </c>
      <c r="E1186" s="7" t="str">
        <f t="shared" si="572"/>
        <v>=7.049*100000000</v>
      </c>
      <c r="F1186" s="1">
        <f>7.049*100000000</f>
        <v>704900000</v>
      </c>
      <c r="G1186" s="8">
        <f t="shared" si="574"/>
        <v>0.42346526655896605</v>
      </c>
      <c r="H1186" s="6" t="s">
        <v>129</v>
      </c>
      <c r="I1186" s="6" t="str">
        <f t="shared" si="558"/>
        <v>=4.952*100000000</v>
      </c>
      <c r="J1186" s="1">
        <f>4.952*100000000</f>
        <v>495200000</v>
      </c>
      <c r="K1186" s="10">
        <f t="shared" si="575"/>
        <v>0.51529987760097917</v>
      </c>
      <c r="L1186" s="6" t="s">
        <v>180</v>
      </c>
      <c r="M1186" s="6" t="str">
        <f t="shared" si="559"/>
        <v>=3.268*100000000</v>
      </c>
      <c r="N1186" s="1">
        <f>3.268*100000000</f>
        <v>326800000</v>
      </c>
      <c r="O1186" s="8">
        <f t="shared" si="576"/>
        <v>1.1542518127883981</v>
      </c>
      <c r="P1186" s="6" t="s">
        <v>6592</v>
      </c>
      <c r="Q1186" s="6" t="str">
        <f t="shared" si="560"/>
        <v>=1.517*100000000</v>
      </c>
      <c r="R1186" s="11">
        <f>1.517*100000000</f>
        <v>151700000</v>
      </c>
      <c r="S1186" s="8">
        <f t="shared" si="577"/>
        <v>-0.72216117216117215</v>
      </c>
      <c r="T1186" s="6" t="s">
        <v>12062</v>
      </c>
      <c r="U1186" s="6" t="str">
        <f t="shared" si="561"/>
        <v>=5.460*100000000</v>
      </c>
      <c r="V1186" s="1">
        <f>5.46*100000000</f>
        <v>546000000</v>
      </c>
      <c r="W1186" s="8">
        <f t="shared" si="578"/>
        <v>0.35956175298804782</v>
      </c>
      <c r="X1186" s="6" t="s">
        <v>12063</v>
      </c>
      <c r="Y1186" s="6" t="str">
        <f t="shared" si="562"/>
        <v>=4.016*100000000</v>
      </c>
      <c r="Z1186" s="1">
        <f>4.016*100000000</f>
        <v>401600000</v>
      </c>
      <c r="AA1186" s="8">
        <f t="shared" si="579"/>
        <v>0.58110236220472444</v>
      </c>
      <c r="AB1186" s="6" t="s">
        <v>12064</v>
      </c>
      <c r="AC1186" s="6" t="str">
        <f t="shared" si="563"/>
        <v>=2.540*100000000</v>
      </c>
      <c r="AD1186" s="1">
        <f>2.54*100000000</f>
        <v>254000000</v>
      </c>
      <c r="AE1186" s="8">
        <f t="shared" si="580"/>
        <v>1.0368885324779469</v>
      </c>
      <c r="AF1186" s="6" t="s">
        <v>12065</v>
      </c>
      <c r="AG1186" s="6" t="str">
        <f t="shared" si="564"/>
        <v>=1.247*100000000</v>
      </c>
      <c r="AH1186" s="1">
        <f>1.247*100000000</f>
        <v>124700000.00000001</v>
      </c>
      <c r="AI1186" s="8">
        <f t="shared" si="581"/>
        <v>-0.74984954864593789</v>
      </c>
      <c r="AJ1186" s="6" t="s">
        <v>2068</v>
      </c>
      <c r="AK1186" s="6" t="str">
        <f t="shared" si="565"/>
        <v>=4.985*100000000</v>
      </c>
      <c r="AL1186" s="1">
        <f>4.985*100000000</f>
        <v>498500000.00000006</v>
      </c>
      <c r="AM1186" s="8">
        <f t="shared" si="582"/>
        <v>0.34693326128073509</v>
      </c>
      <c r="AN1186" s="6" t="s">
        <v>1968</v>
      </c>
      <c r="AO1186" s="6" t="str">
        <f t="shared" si="566"/>
        <v>=3.701*100000000</v>
      </c>
      <c r="AP1186" s="1">
        <f>3.701*100000000</f>
        <v>370100000</v>
      </c>
      <c r="AQ1186" s="8">
        <f t="shared" si="583"/>
        <v>0.47862564922093487</v>
      </c>
      <c r="AR1186" s="6" t="s">
        <v>5317</v>
      </c>
      <c r="AS1186" s="6" t="str">
        <f t="shared" si="567"/>
        <v>=2.503*100000000</v>
      </c>
      <c r="AT1186" s="1">
        <f>2.503*100000000</f>
        <v>250300000</v>
      </c>
      <c r="AU1186" s="8">
        <f t="shared" si="584"/>
        <v>1.0267206477732791</v>
      </c>
      <c r="AV1186" s="6" t="s">
        <v>12066</v>
      </c>
      <c r="AW1186" s="6" t="str">
        <f t="shared" si="568"/>
        <v>=1.235*100000000</v>
      </c>
      <c r="AX1186" s="1">
        <f>1.235*100000000</f>
        <v>123500000.00000001</v>
      </c>
      <c r="AY1186" s="10">
        <f t="shared" si="585"/>
        <v>-0.7385690093141406</v>
      </c>
      <c r="AZ1186" s="6" t="s">
        <v>8129</v>
      </c>
      <c r="BA1186" s="6" t="str">
        <f t="shared" si="569"/>
        <v>=4.724*100000000</v>
      </c>
      <c r="BB1186" s="1">
        <f>4.724*100000000</f>
        <v>472400000</v>
      </c>
      <c r="BC1186" s="8">
        <f t="shared" si="586"/>
        <v>0.34014184397163122</v>
      </c>
      <c r="BD1186" s="6" t="s">
        <v>3620</v>
      </c>
      <c r="BE1186" s="6" t="str">
        <f t="shared" si="570"/>
        <v>=3.525*100000000</v>
      </c>
      <c r="BF1186" s="1">
        <f>3.525*100000000</f>
        <v>352500000</v>
      </c>
      <c r="BG1186" s="8">
        <f t="shared" si="587"/>
        <v>0.49681528662420382</v>
      </c>
      <c r="BH1186" s="6" t="s">
        <v>4006</v>
      </c>
      <c r="BI1186" s="6" t="str">
        <f t="shared" si="571"/>
        <v>=2.355*100000000</v>
      </c>
      <c r="BJ1186" s="1">
        <f>2.355*100000000</f>
        <v>235500000</v>
      </c>
      <c r="BK1186" s="7" t="s">
        <v>12067</v>
      </c>
      <c r="BL1186" s="1" t="str">
        <f t="shared" si="573"/>
        <v>=8593*10000</v>
      </c>
      <c r="BM1186" s="16">
        <f t="shared" si="588"/>
        <v>1.7406028162457814</v>
      </c>
      <c r="BN1186" s="1">
        <f>8593*10000</f>
        <v>85930000</v>
      </c>
    </row>
    <row r="1187" spans="1:66">
      <c r="A1187" s="18"/>
      <c r="B1187">
        <v>600980</v>
      </c>
      <c r="C1187" t="s">
        <v>48</v>
      </c>
      <c r="D1187" s="7" t="s">
        <v>12068</v>
      </c>
      <c r="E1187" s="7" t="str">
        <f t="shared" si="572"/>
        <v>=9471*10000</v>
      </c>
      <c r="F1187" s="1">
        <f>9471*10000</f>
        <v>94710000</v>
      </c>
      <c r="G1187" s="8">
        <f t="shared" si="574"/>
        <v>0.40103550295857987</v>
      </c>
      <c r="H1187" s="7" t="s">
        <v>12069</v>
      </c>
      <c r="I1187" s="6" t="str">
        <f t="shared" si="558"/>
        <v>=6760*10000</v>
      </c>
      <c r="J1187" s="1">
        <f>6760*10000</f>
        <v>67600000</v>
      </c>
      <c r="K1187" s="10">
        <f t="shared" si="575"/>
        <v>0.7036290322580645</v>
      </c>
      <c r="L1187" s="7" t="s">
        <v>12070</v>
      </c>
      <c r="M1187" s="6" t="str">
        <f t="shared" si="559"/>
        <v>=3968*10000</v>
      </c>
      <c r="N1187" s="1">
        <f>3968*10000</f>
        <v>39680000</v>
      </c>
      <c r="O1187" s="8">
        <f t="shared" si="576"/>
        <v>1.244343891402715</v>
      </c>
      <c r="P1187" s="7" t="s">
        <v>12071</v>
      </c>
      <c r="Q1187" s="6" t="str">
        <f t="shared" si="560"/>
        <v>=1768*10000</v>
      </c>
      <c r="R1187" s="11">
        <f>1768*10000</f>
        <v>17680000</v>
      </c>
      <c r="S1187" s="8">
        <f t="shared" si="577"/>
        <v>-0.68779798693272121</v>
      </c>
      <c r="T1187" s="7" t="s">
        <v>6288</v>
      </c>
      <c r="U1187" s="6" t="str">
        <f t="shared" si="561"/>
        <v>=5663*10000</v>
      </c>
      <c r="V1187" s="1">
        <f>5663*10000</f>
        <v>56630000</v>
      </c>
      <c r="W1187" s="8">
        <f t="shared" si="578"/>
        <v>0.38663075416258569</v>
      </c>
      <c r="X1187" s="7" t="s">
        <v>12072</v>
      </c>
      <c r="Y1187" s="6" t="str">
        <f t="shared" si="562"/>
        <v>=4084*10000</v>
      </c>
      <c r="Z1187" s="1">
        <f>4084*10000</f>
        <v>40840000</v>
      </c>
      <c r="AA1187" s="8">
        <f t="shared" si="579"/>
        <v>0.65881397238017869</v>
      </c>
      <c r="AB1187" s="7" t="s">
        <v>12073</v>
      </c>
      <c r="AC1187" s="6" t="str">
        <f t="shared" si="563"/>
        <v>=2462*10000</v>
      </c>
      <c r="AD1187" s="1">
        <f>2462*10000</f>
        <v>24620000</v>
      </c>
      <c r="AE1187" s="8">
        <f t="shared" si="580"/>
        <v>1.0516666666666667</v>
      </c>
      <c r="AF1187" s="7" t="s">
        <v>12074</v>
      </c>
      <c r="AG1187" s="6" t="str">
        <f t="shared" si="564"/>
        <v>=1200*10000</v>
      </c>
      <c r="AH1187" s="1">
        <f>1200*10000</f>
        <v>12000000</v>
      </c>
      <c r="AI1187" s="8">
        <f t="shared" si="581"/>
        <v>-0.77806547068614762</v>
      </c>
      <c r="AJ1187" s="7" t="s">
        <v>12075</v>
      </c>
      <c r="AK1187" s="6" t="str">
        <f t="shared" si="565"/>
        <v>=5407*10000</v>
      </c>
      <c r="AL1187" s="1">
        <f>5407*10000</f>
        <v>54070000</v>
      </c>
      <c r="AM1187" s="8">
        <f t="shared" si="582"/>
        <v>0.3288277217989678</v>
      </c>
      <c r="AN1187" s="7" t="s">
        <v>12076</v>
      </c>
      <c r="AO1187" s="6" t="str">
        <f t="shared" si="566"/>
        <v>=4069*10000</v>
      </c>
      <c r="AP1187" s="1">
        <f>4069*10000</f>
        <v>40690000</v>
      </c>
      <c r="AQ1187" s="8">
        <f t="shared" si="583"/>
        <v>0.39492629413781283</v>
      </c>
      <c r="AR1187" s="7" t="s">
        <v>12077</v>
      </c>
      <c r="AS1187" s="6" t="str">
        <f t="shared" si="567"/>
        <v>=2917*10000</v>
      </c>
      <c r="AT1187" s="1">
        <f>2917*10000</f>
        <v>29170000</v>
      </c>
      <c r="AU1187" s="8">
        <f t="shared" si="584"/>
        <v>1.3968775677896468</v>
      </c>
      <c r="AV1187" s="7" t="s">
        <v>3758</v>
      </c>
      <c r="AW1187" s="6" t="str">
        <f t="shared" si="568"/>
        <v>=1217*10000</v>
      </c>
      <c r="AX1187" s="1">
        <f>1217*10000</f>
        <v>12170000</v>
      </c>
      <c r="AY1187" s="10">
        <f t="shared" si="585"/>
        <v>-0.73703543647363867</v>
      </c>
      <c r="AZ1187" s="7" t="s">
        <v>11300</v>
      </c>
      <c r="BA1187" s="6" t="str">
        <f t="shared" si="569"/>
        <v>=4628*10000</v>
      </c>
      <c r="BB1187" s="1">
        <f>4628*10000</f>
        <v>46280000</v>
      </c>
      <c r="BC1187" s="8">
        <f t="shared" si="586"/>
        <v>0.14924261236652595</v>
      </c>
      <c r="BD1187" s="7" t="s">
        <v>9174</v>
      </c>
      <c r="BE1187" s="6" t="str">
        <f t="shared" si="570"/>
        <v>=4027*10000</v>
      </c>
      <c r="BF1187" s="1">
        <f>4027*10000</f>
        <v>40270000</v>
      </c>
      <c r="BG1187" s="8">
        <f t="shared" si="587"/>
        <v>0.71215986394557829</v>
      </c>
      <c r="BH1187" s="7" t="s">
        <v>12078</v>
      </c>
      <c r="BI1187" s="6" t="str">
        <f t="shared" si="571"/>
        <v>=2352*10000</v>
      </c>
      <c r="BJ1187" s="1">
        <f>2352*10000</f>
        <v>23520000</v>
      </c>
      <c r="BK1187" s="7" t="s">
        <v>12079</v>
      </c>
      <c r="BL1187" s="1" t="str">
        <f t="shared" si="573"/>
        <v>=487.8*10000</v>
      </c>
      <c r="BM1187" s="16">
        <f t="shared" si="588"/>
        <v>3.8216482164821648</v>
      </c>
      <c r="BN1187" s="1">
        <f>487.8*10000</f>
        <v>4878000</v>
      </c>
    </row>
    <row r="1188" spans="1:66">
      <c r="A1188" s="18"/>
      <c r="B1188">
        <v>600980</v>
      </c>
      <c r="C1188" t="s">
        <v>58</v>
      </c>
      <c r="D1188" s="7" t="s">
        <v>12080</v>
      </c>
      <c r="E1188" s="7" t="str">
        <f t="shared" si="572"/>
        <v>=9218*10000</v>
      </c>
      <c r="F1188" s="1">
        <f>9218*10000</f>
        <v>92180000</v>
      </c>
      <c r="G1188" s="8">
        <f t="shared" si="574"/>
        <v>0.36502295276173552</v>
      </c>
      <c r="H1188" s="7" t="s">
        <v>12081</v>
      </c>
      <c r="I1188" s="6" t="str">
        <f t="shared" si="558"/>
        <v>=6753*10000</v>
      </c>
      <c r="J1188" s="1">
        <f>6753*10000</f>
        <v>67530000</v>
      </c>
      <c r="K1188" s="10">
        <f t="shared" si="575"/>
        <v>0.69545568666834046</v>
      </c>
      <c r="L1188" s="7" t="s">
        <v>6940</v>
      </c>
      <c r="M1188" s="6" t="str">
        <f t="shared" si="559"/>
        <v>=3983*10000</v>
      </c>
      <c r="N1188" s="1">
        <f>3983*10000</f>
        <v>39830000</v>
      </c>
      <c r="O1188" s="8">
        <f t="shared" si="576"/>
        <v>1.2528280542986425</v>
      </c>
      <c r="P1188" s="7" t="s">
        <v>12071</v>
      </c>
      <c r="Q1188" s="6" t="str">
        <f t="shared" si="560"/>
        <v>=1768*10000</v>
      </c>
      <c r="R1188" s="11">
        <f>1768*10000</f>
        <v>17680000</v>
      </c>
      <c r="S1188" s="8">
        <f t="shared" si="577"/>
        <v>-0.68669147616516035</v>
      </c>
      <c r="T1188" s="7" t="s">
        <v>12082</v>
      </c>
      <c r="U1188" s="6" t="str">
        <f t="shared" si="561"/>
        <v>=5643*10000</v>
      </c>
      <c r="V1188" s="1">
        <f>5643*10000</f>
        <v>56430000</v>
      </c>
      <c r="W1188" s="8">
        <f t="shared" si="578"/>
        <v>0.38785046728971961</v>
      </c>
      <c r="X1188" s="7" t="s">
        <v>12083</v>
      </c>
      <c r="Y1188" s="6" t="str">
        <f t="shared" si="562"/>
        <v>=4066*10000</v>
      </c>
      <c r="Z1188" s="1">
        <f>4066*10000</f>
        <v>40660000</v>
      </c>
      <c r="AA1188" s="8">
        <f t="shared" si="579"/>
        <v>0.65553745928338758</v>
      </c>
      <c r="AB1188" s="7" t="s">
        <v>7303</v>
      </c>
      <c r="AC1188" s="6" t="str">
        <f t="shared" si="563"/>
        <v>=2456*10000</v>
      </c>
      <c r="AD1188" s="1">
        <f>2456*10000</f>
        <v>24560000</v>
      </c>
      <c r="AE1188" s="8">
        <f t="shared" si="580"/>
        <v>1.04837364470392</v>
      </c>
      <c r="AF1188" s="7" t="s">
        <v>11672</v>
      </c>
      <c r="AG1188" s="6" t="str">
        <f t="shared" si="564"/>
        <v>=1199*10000</v>
      </c>
      <c r="AH1188" s="1">
        <f>1199*10000</f>
        <v>11990000</v>
      </c>
      <c r="AI1188" s="8">
        <f t="shared" si="581"/>
        <v>-0.7736881842204606</v>
      </c>
      <c r="AJ1188" s="7" t="s">
        <v>12084</v>
      </c>
      <c r="AK1188" s="6" t="str">
        <f t="shared" si="565"/>
        <v>=5298*10000</v>
      </c>
      <c r="AL1188" s="1">
        <f>5298*10000</f>
        <v>52980000</v>
      </c>
      <c r="AM1188" s="8">
        <f t="shared" si="582"/>
        <v>0.30879446640316205</v>
      </c>
      <c r="AN1188" s="7" t="s">
        <v>12085</v>
      </c>
      <c r="AO1188" s="6" t="str">
        <f t="shared" si="566"/>
        <v>=4048*10000</v>
      </c>
      <c r="AP1188" s="1">
        <f>4048*10000</f>
        <v>40480000</v>
      </c>
      <c r="AQ1188" s="8">
        <f t="shared" si="583"/>
        <v>0.39441956596624184</v>
      </c>
      <c r="AR1188" s="7" t="s">
        <v>8881</v>
      </c>
      <c r="AS1188" s="6" t="str">
        <f t="shared" si="567"/>
        <v>=2903*10000</v>
      </c>
      <c r="AT1188" s="1">
        <f>2903*10000</f>
        <v>29030000</v>
      </c>
      <c r="AU1188" s="8">
        <f t="shared" si="584"/>
        <v>1.3952145214521452</v>
      </c>
      <c r="AV1188" s="7" t="s">
        <v>12086</v>
      </c>
      <c r="AW1188" s="6" t="str">
        <f t="shared" si="568"/>
        <v>=1212*10000</v>
      </c>
      <c r="AX1188" s="1">
        <f>1212*10000</f>
        <v>12120000</v>
      </c>
      <c r="AY1188" s="10">
        <f t="shared" si="585"/>
        <v>-0.73805921763561699</v>
      </c>
      <c r="AZ1188" s="7" t="s">
        <v>12087</v>
      </c>
      <c r="BA1188" s="6" t="str">
        <f t="shared" si="569"/>
        <v>=4627*10000</v>
      </c>
      <c r="BB1188" s="1">
        <f>4627*10000</f>
        <v>46270000</v>
      </c>
      <c r="BC1188" s="8">
        <f t="shared" si="586"/>
        <v>0.14416419386745796</v>
      </c>
      <c r="BD1188" s="7" t="s">
        <v>12088</v>
      </c>
      <c r="BE1188" s="6" t="str">
        <f t="shared" si="570"/>
        <v>=4044*10000</v>
      </c>
      <c r="BF1188" s="1">
        <f>4044*10000</f>
        <v>40440000</v>
      </c>
      <c r="BG1188" s="8">
        <f t="shared" si="587"/>
        <v>0.70632911392405062</v>
      </c>
      <c r="BH1188" s="7" t="s">
        <v>12089</v>
      </c>
      <c r="BI1188" s="6" t="str">
        <f t="shared" si="571"/>
        <v>=2370*10000</v>
      </c>
      <c r="BJ1188" s="1">
        <f>2370*10000</f>
        <v>23700000</v>
      </c>
      <c r="BK1188" s="7" t="s">
        <v>12090</v>
      </c>
      <c r="BL1188" s="1" t="str">
        <f t="shared" si="573"/>
        <v>=491.1*10000</v>
      </c>
      <c r="BM1188" s="16">
        <f t="shared" si="588"/>
        <v>3.8259010384850334</v>
      </c>
      <c r="BN1188" s="1">
        <f>491.1*10000</f>
        <v>4911000</v>
      </c>
    </row>
    <row r="1189" spans="1:66">
      <c r="A1189" s="19"/>
      <c r="B1189">
        <v>600980</v>
      </c>
      <c r="C1189" t="s">
        <v>68</v>
      </c>
      <c r="D1189" s="7" t="s">
        <v>1306</v>
      </c>
      <c r="E1189" s="7" t="str">
        <f t="shared" si="572"/>
        <v>=8021*10000</v>
      </c>
      <c r="F1189" s="1">
        <f>8021*10000</f>
        <v>80210000</v>
      </c>
      <c r="G1189" s="8">
        <f t="shared" si="574"/>
        <v>0.44992769342010125</v>
      </c>
      <c r="H1189" s="7" t="s">
        <v>12091</v>
      </c>
      <c r="I1189" s="6" t="str">
        <f t="shared" si="558"/>
        <v>=5532*10000</v>
      </c>
      <c r="J1189" s="1">
        <f>5532*10000</f>
        <v>55320000</v>
      </c>
      <c r="K1189" s="10">
        <f t="shared" si="575"/>
        <v>0.72767020612117428</v>
      </c>
      <c r="L1189" s="7" t="s">
        <v>8127</v>
      </c>
      <c r="M1189" s="6" t="str">
        <f t="shared" si="559"/>
        <v>=3202*10000</v>
      </c>
      <c r="N1189" s="1">
        <f>3202*10000</f>
        <v>32020000</v>
      </c>
      <c r="O1189" s="8">
        <f t="shared" si="576"/>
        <v>1.4442748091603053</v>
      </c>
      <c r="P1189" s="7" t="s">
        <v>5439</v>
      </c>
      <c r="Q1189" s="6" t="str">
        <f t="shared" si="560"/>
        <v>=1310*10000</v>
      </c>
      <c r="R1189" s="11">
        <f>1310*10000</f>
        <v>13100000</v>
      </c>
      <c r="S1189" s="8">
        <f t="shared" si="577"/>
        <v>-0.72438459920050491</v>
      </c>
      <c r="T1189" s="7" t="s">
        <v>9460</v>
      </c>
      <c r="U1189" s="6" t="str">
        <f t="shared" si="561"/>
        <v>=4753*10000</v>
      </c>
      <c r="V1189" s="1">
        <f>4753*10000</f>
        <v>47530000</v>
      </c>
      <c r="W1189" s="8">
        <f t="shared" si="578"/>
        <v>0.45842282908867749</v>
      </c>
      <c r="X1189" s="7" t="s">
        <v>12092</v>
      </c>
      <c r="Y1189" s="6" t="str">
        <f t="shared" si="562"/>
        <v>=3259*10000</v>
      </c>
      <c r="Z1189" s="1">
        <f>3259*10000</f>
        <v>32590000</v>
      </c>
      <c r="AA1189" s="8">
        <f t="shared" si="579"/>
        <v>0.70807127882599585</v>
      </c>
      <c r="AB1189" s="7" t="s">
        <v>8421</v>
      </c>
      <c r="AC1189" s="6" t="str">
        <f t="shared" si="563"/>
        <v>=1908*10000</v>
      </c>
      <c r="AD1189" s="1">
        <f>1908*10000</f>
        <v>19080000</v>
      </c>
      <c r="AE1189" s="8">
        <f t="shared" si="580"/>
        <v>1.1459903272972669</v>
      </c>
      <c r="AF1189" s="7" t="s">
        <v>12093</v>
      </c>
      <c r="AG1189" s="6" t="str">
        <f t="shared" si="564"/>
        <v>=889.1*10000</v>
      </c>
      <c r="AH1189" s="1">
        <f>889.1*10000</f>
        <v>8891000</v>
      </c>
      <c r="AI1189" s="8">
        <f t="shared" si="581"/>
        <v>-0.80424922941435495</v>
      </c>
      <c r="AJ1189" s="7" t="s">
        <v>12094</v>
      </c>
      <c r="AK1189" s="6" t="str">
        <f t="shared" si="565"/>
        <v>=4542*10000</v>
      </c>
      <c r="AL1189" s="1">
        <f>4542*10000</f>
        <v>45420000</v>
      </c>
      <c r="AM1189" s="8">
        <f t="shared" si="582"/>
        <v>0.46233097231165488</v>
      </c>
      <c r="AN1189" s="7" t="s">
        <v>12095</v>
      </c>
      <c r="AO1189" s="6" t="str">
        <f t="shared" si="566"/>
        <v>=3106*10000</v>
      </c>
      <c r="AP1189" s="1">
        <f>3106*10000</f>
        <v>31060000</v>
      </c>
      <c r="AQ1189" s="8">
        <f t="shared" si="583"/>
        <v>0.40352462720289201</v>
      </c>
      <c r="AR1189" s="7" t="s">
        <v>12096</v>
      </c>
      <c r="AS1189" s="6" t="str">
        <f t="shared" si="567"/>
        <v>=2213*10000</v>
      </c>
      <c r="AT1189" s="1">
        <f>2213*10000</f>
        <v>22130000</v>
      </c>
      <c r="AU1189" s="8">
        <f t="shared" si="584"/>
        <v>1.1998011928429424</v>
      </c>
      <c r="AV1189" s="7" t="s">
        <v>12097</v>
      </c>
      <c r="AW1189" s="6" t="str">
        <f t="shared" si="568"/>
        <v>=1006*10000</v>
      </c>
      <c r="AX1189" s="1">
        <f>1006*10000</f>
        <v>10060000</v>
      </c>
      <c r="AY1189" s="10">
        <f t="shared" si="585"/>
        <v>-0.70298198996161798</v>
      </c>
      <c r="AZ1189" s="7" t="s">
        <v>12098</v>
      </c>
      <c r="BA1189" s="6" t="str">
        <f t="shared" si="569"/>
        <v>=3387*10000</v>
      </c>
      <c r="BB1189" s="1">
        <f>3387*10000</f>
        <v>33870000</v>
      </c>
      <c r="BC1189" s="8">
        <f t="shared" si="586"/>
        <v>9.9675324675324681E-2</v>
      </c>
      <c r="BD1189" s="7" t="s">
        <v>1989</v>
      </c>
      <c r="BE1189" s="6" t="str">
        <f t="shared" si="570"/>
        <v>=3080*10000</v>
      </c>
      <c r="BF1189" s="1">
        <f>3080*10000</f>
        <v>30800000</v>
      </c>
      <c r="BG1189" s="8">
        <f t="shared" si="587"/>
        <v>0.68030551009274409</v>
      </c>
      <c r="BH1189" s="7" t="s">
        <v>12099</v>
      </c>
      <c r="BI1189" s="6" t="str">
        <f t="shared" si="571"/>
        <v>=1833*10000</v>
      </c>
      <c r="BJ1189" s="1">
        <f>1833*10000</f>
        <v>18330000</v>
      </c>
      <c r="BK1189" s="7" t="s">
        <v>12100</v>
      </c>
      <c r="BL1189" s="1" t="str">
        <f t="shared" si="573"/>
        <v>=385.6*10000</v>
      </c>
      <c r="BM1189" s="16">
        <f t="shared" si="588"/>
        <v>3.7536307053941909</v>
      </c>
      <c r="BN1189" s="1">
        <f>385.6*10000</f>
        <v>3856000</v>
      </c>
    </row>
    <row r="1190" spans="1:66">
      <c r="A1190" s="17">
        <v>299</v>
      </c>
      <c r="B1190">
        <v>600985</v>
      </c>
      <c r="C1190" t="s">
        <v>31</v>
      </c>
      <c r="D1190" s="6" t="s">
        <v>12101</v>
      </c>
      <c r="E1190" s="7" t="str">
        <f t="shared" si="572"/>
        <v>=649.6*100000000</v>
      </c>
      <c r="F1190" s="1">
        <f>649.6*100000000</f>
        <v>64960000000</v>
      </c>
      <c r="G1190" s="8">
        <f t="shared" si="574"/>
        <v>0.3388293487221764</v>
      </c>
      <c r="H1190" s="6" t="s">
        <v>9387</v>
      </c>
      <c r="I1190" s="6" t="str">
        <f t="shared" si="558"/>
        <v>=485.2*100000000</v>
      </c>
      <c r="J1190" s="1">
        <f>485.2*100000000</f>
        <v>48520000000</v>
      </c>
      <c r="K1190" s="10">
        <f t="shared" si="575"/>
        <v>0.7365783822476738</v>
      </c>
      <c r="L1190" s="6" t="s">
        <v>4118</v>
      </c>
      <c r="M1190" s="6" t="str">
        <f t="shared" si="559"/>
        <v>=279.4*100000000</v>
      </c>
      <c r="N1190" s="1">
        <f>279.4*100000000</f>
        <v>27939999999.999996</v>
      </c>
      <c r="O1190" s="8">
        <f t="shared" si="576"/>
        <v>1.2157018239492463</v>
      </c>
      <c r="P1190" s="6" t="s">
        <v>3637</v>
      </c>
      <c r="Q1190" s="6" t="str">
        <f t="shared" si="560"/>
        <v>=126.1*100000000</v>
      </c>
      <c r="R1190" s="11">
        <f>126.1*100000000</f>
        <v>12610000000</v>
      </c>
      <c r="S1190" s="8">
        <f t="shared" si="577"/>
        <v>-0.75879877582249422</v>
      </c>
      <c r="T1190" s="6" t="s">
        <v>12102</v>
      </c>
      <c r="U1190" s="6" t="str">
        <f t="shared" si="561"/>
        <v>=522.8*100000000</v>
      </c>
      <c r="V1190" s="1">
        <f>522.8*100000000</f>
        <v>52279999999.999992</v>
      </c>
      <c r="W1190" s="8">
        <f t="shared" si="578"/>
        <v>0.36323337679269863</v>
      </c>
      <c r="X1190" s="6" t="s">
        <v>12103</v>
      </c>
      <c r="Y1190" s="6" t="str">
        <f t="shared" si="562"/>
        <v>=383.5*100000000</v>
      </c>
      <c r="Z1190" s="1">
        <f>383.5*100000000</f>
        <v>38350000000</v>
      </c>
      <c r="AA1190" s="8">
        <f t="shared" si="579"/>
        <v>0.51521137890161994</v>
      </c>
      <c r="AB1190" s="6" t="s">
        <v>8627</v>
      </c>
      <c r="AC1190" s="6" t="str">
        <f t="shared" si="563"/>
        <v>=253.1*100000000</v>
      </c>
      <c r="AD1190" s="1">
        <f>253.1*100000000</f>
        <v>25310000000</v>
      </c>
      <c r="AE1190" s="8">
        <f t="shared" si="580"/>
        <v>1.2658907788719784</v>
      </c>
      <c r="AF1190" s="6" t="s">
        <v>12104</v>
      </c>
      <c r="AG1190" s="6" t="str">
        <f t="shared" si="564"/>
        <v>=111.7*100000000</v>
      </c>
      <c r="AH1190" s="1">
        <f>111.7*100000000</f>
        <v>11170000000</v>
      </c>
      <c r="AI1190" s="8">
        <f t="shared" si="581"/>
        <v>-0.81411216508570483</v>
      </c>
      <c r="AJ1190" s="6" t="s">
        <v>12105</v>
      </c>
      <c r="AK1190" s="6" t="str">
        <f t="shared" si="565"/>
        <v>=600.9*100000000</v>
      </c>
      <c r="AL1190" s="1">
        <f>600.9*100000000</f>
        <v>60090000000</v>
      </c>
      <c r="AM1190" s="8">
        <f t="shared" si="582"/>
        <v>0.29924324324324325</v>
      </c>
      <c r="AN1190" s="6" t="s">
        <v>12106</v>
      </c>
      <c r="AO1190" s="6" t="str">
        <f t="shared" si="566"/>
        <v>=462.5*100000000</v>
      </c>
      <c r="AP1190" s="1">
        <f>462.5*100000000</f>
        <v>46250000000</v>
      </c>
      <c r="AQ1190" s="8">
        <f t="shared" si="583"/>
        <v>0.51589642740085195</v>
      </c>
      <c r="AR1190" s="6" t="s">
        <v>12107</v>
      </c>
      <c r="AS1190" s="6" t="str">
        <f t="shared" si="567"/>
        <v>=305.1*100000000</v>
      </c>
      <c r="AT1190" s="1">
        <f>305.1*100000000</f>
        <v>30510000000.000004</v>
      </c>
      <c r="AU1190" s="8">
        <f t="shared" si="584"/>
        <v>1.4466720128307942</v>
      </c>
      <c r="AV1190" s="6" t="s">
        <v>548</v>
      </c>
      <c r="AW1190" s="6" t="str">
        <f t="shared" si="568"/>
        <v>=124.7*100000000</v>
      </c>
      <c r="AX1190" s="1">
        <f>124.7*100000000</f>
        <v>12470000000</v>
      </c>
      <c r="AY1190" s="10">
        <f t="shared" si="585"/>
        <v>-0.7841813776393215</v>
      </c>
      <c r="AZ1190" s="6" t="s">
        <v>12108</v>
      </c>
      <c r="BA1190" s="6" t="str">
        <f t="shared" si="569"/>
        <v>=577.8*100000000</v>
      </c>
      <c r="BB1190" s="1">
        <f>577.8*100000000</f>
        <v>57779999999.999992</v>
      </c>
      <c r="BC1190" s="8">
        <f t="shared" si="586"/>
        <v>0.18815545959284377</v>
      </c>
      <c r="BD1190" s="6" t="s">
        <v>12109</v>
      </c>
      <c r="BE1190" s="6" t="str">
        <f t="shared" si="570"/>
        <v>=486.3*100000000</v>
      </c>
      <c r="BF1190" s="1">
        <f>486.3*100000000</f>
        <v>48630000000</v>
      </c>
      <c r="BG1190" s="8">
        <f t="shared" si="587"/>
        <v>0.40671102111657509</v>
      </c>
      <c r="BH1190" s="6" t="s">
        <v>12110</v>
      </c>
      <c r="BI1190" s="6" t="str">
        <f t="shared" si="571"/>
        <v>=345.7*100000000</v>
      </c>
      <c r="BJ1190" s="1">
        <f>345.7*100000000</f>
        <v>34570000000</v>
      </c>
      <c r="BK1190" s="6" t="s">
        <v>4704</v>
      </c>
      <c r="BL1190" s="1" t="str">
        <f t="shared" si="573"/>
        <v>=170.2*100000000</v>
      </c>
      <c r="BM1190" s="16">
        <f t="shared" si="588"/>
        <v>1.0311398354876617</v>
      </c>
      <c r="BN1190" s="1">
        <f>170.2*100000000</f>
        <v>17019999999.999998</v>
      </c>
    </row>
    <row r="1191" spans="1:66">
      <c r="A1191" s="18"/>
      <c r="B1191">
        <v>600985</v>
      </c>
      <c r="C1191" t="s">
        <v>48</v>
      </c>
      <c r="D1191" s="6" t="s">
        <v>12111</v>
      </c>
      <c r="E1191" s="7" t="str">
        <f t="shared" si="572"/>
        <v>=62.14*100000000</v>
      </c>
      <c r="F1191" s="1">
        <f>62.14*100000000</f>
        <v>6214000000</v>
      </c>
      <c r="G1191" s="8">
        <f t="shared" si="574"/>
        <v>0.34095813552006904</v>
      </c>
      <c r="H1191" s="6" t="s">
        <v>12112</v>
      </c>
      <c r="I1191" s="6" t="str">
        <f t="shared" si="558"/>
        <v>=46.34*100000000</v>
      </c>
      <c r="J1191" s="1">
        <f>46.34*100000000</f>
        <v>4634000000</v>
      </c>
      <c r="K1191" s="10">
        <f t="shared" si="575"/>
        <v>0.43823711980136559</v>
      </c>
      <c r="L1191" s="6" t="s">
        <v>12113</v>
      </c>
      <c r="M1191" s="6" t="str">
        <f t="shared" si="559"/>
        <v>=32.22*100000000</v>
      </c>
      <c r="N1191" s="1">
        <f>32.22*100000000</f>
        <v>3222000000</v>
      </c>
      <c r="O1191" s="8">
        <f t="shared" si="576"/>
        <v>1.0854368932038836</v>
      </c>
      <c r="P1191" s="6" t="s">
        <v>362</v>
      </c>
      <c r="Q1191" s="6" t="str">
        <f t="shared" si="560"/>
        <v>=15.45*100000000</v>
      </c>
      <c r="R1191" s="11">
        <f>15.45*100000000</f>
        <v>1545000000</v>
      </c>
      <c r="S1191" s="8">
        <f t="shared" si="577"/>
        <v>-0.64326945278226733</v>
      </c>
      <c r="T1191" s="6" t="s">
        <v>12114</v>
      </c>
      <c r="U1191" s="6" t="str">
        <f t="shared" si="561"/>
        <v>=43.31*100000000</v>
      </c>
      <c r="V1191" s="1">
        <f>43.31*100000000</f>
        <v>4331000000</v>
      </c>
      <c r="W1191" s="8">
        <f t="shared" si="578"/>
        <v>0.29129397734048895</v>
      </c>
      <c r="X1191" s="6" t="s">
        <v>12115</v>
      </c>
      <c r="Y1191" s="6" t="str">
        <f t="shared" si="562"/>
        <v>=33.54*100000000</v>
      </c>
      <c r="Z1191" s="1">
        <f>33.54*100000000</f>
        <v>3354000000</v>
      </c>
      <c r="AA1191" s="8">
        <f t="shared" si="579"/>
        <v>0.61638554216867469</v>
      </c>
      <c r="AB1191" s="6" t="s">
        <v>4239</v>
      </c>
      <c r="AC1191" s="6" t="str">
        <f t="shared" si="563"/>
        <v>=20.75*100000000</v>
      </c>
      <c r="AD1191" s="1">
        <f>20.75*100000000</f>
        <v>2075000000</v>
      </c>
      <c r="AE1191" s="8">
        <f t="shared" si="580"/>
        <v>1.1072407839951255</v>
      </c>
      <c r="AF1191" s="6" t="s">
        <v>12116</v>
      </c>
      <c r="AG1191" s="6" t="str">
        <f t="shared" si="564"/>
        <v>=9.847*100000000</v>
      </c>
      <c r="AH1191" s="1">
        <f>9.847*100000000</f>
        <v>984700000</v>
      </c>
      <c r="AI1191" s="8">
        <f t="shared" si="581"/>
        <v>-0.77211293682018056</v>
      </c>
      <c r="AJ1191" s="6" t="s">
        <v>2342</v>
      </c>
      <c r="AK1191" s="6" t="str">
        <f t="shared" si="565"/>
        <v>=43.21*100000000</v>
      </c>
      <c r="AL1191" s="1">
        <f>43.21*100000000</f>
        <v>4321000000</v>
      </c>
      <c r="AM1191" s="8">
        <f t="shared" si="582"/>
        <v>0.24452764976958524</v>
      </c>
      <c r="AN1191" s="6" t="s">
        <v>10223</v>
      </c>
      <c r="AO1191" s="6" t="str">
        <f t="shared" si="566"/>
        <v>=34.72*100000000</v>
      </c>
      <c r="AP1191" s="1">
        <f>34.72*100000000</f>
        <v>3472000000</v>
      </c>
      <c r="AQ1191" s="8">
        <f t="shared" si="583"/>
        <v>0.51087902523933859</v>
      </c>
      <c r="AR1191" s="6" t="s">
        <v>10703</v>
      </c>
      <c r="AS1191" s="6" t="str">
        <f t="shared" si="567"/>
        <v>=22.98*100000000</v>
      </c>
      <c r="AT1191" s="1">
        <f>22.98*100000000</f>
        <v>2298000000</v>
      </c>
      <c r="AU1191" s="8">
        <f t="shared" si="584"/>
        <v>1.0246696035242291</v>
      </c>
      <c r="AV1191" s="6" t="s">
        <v>1587</v>
      </c>
      <c r="AW1191" s="6" t="str">
        <f t="shared" si="568"/>
        <v>=11.35*100000000</v>
      </c>
      <c r="AX1191" s="1">
        <f>11.35*100000000</f>
        <v>1135000000</v>
      </c>
      <c r="AY1191" s="10">
        <f t="shared" si="585"/>
        <v>-0.76373855120732725</v>
      </c>
      <c r="AZ1191" s="6" t="s">
        <v>12117</v>
      </c>
      <c r="BA1191" s="6" t="str">
        <f t="shared" si="569"/>
        <v>=48.04*100000000</v>
      </c>
      <c r="BB1191" s="1">
        <f>48.04*100000000</f>
        <v>4804000000</v>
      </c>
      <c r="BC1191" s="8">
        <f t="shared" si="586"/>
        <v>0.46374162096282756</v>
      </c>
      <c r="BD1191" s="6" t="s">
        <v>4374</v>
      </c>
      <c r="BE1191" s="6" t="str">
        <f t="shared" si="570"/>
        <v>=32.82*100000000</v>
      </c>
      <c r="BF1191" s="1">
        <f>32.82*100000000</f>
        <v>3282000000</v>
      </c>
      <c r="BG1191" s="8">
        <f t="shared" si="587"/>
        <v>0.5265116279069767</v>
      </c>
      <c r="BH1191" s="6" t="s">
        <v>12118</v>
      </c>
      <c r="BI1191" s="6" t="str">
        <f t="shared" si="571"/>
        <v>=21.50*100000000</v>
      </c>
      <c r="BJ1191" s="1">
        <f>21.5*100000000</f>
        <v>2150000000</v>
      </c>
      <c r="BK1191" s="6" t="s">
        <v>1587</v>
      </c>
      <c r="BL1191" s="1" t="str">
        <f t="shared" si="573"/>
        <v>=11.35*100000000</v>
      </c>
      <c r="BM1191" s="16">
        <f t="shared" si="588"/>
        <v>0.89427312775330392</v>
      </c>
      <c r="BN1191" s="1">
        <f>11.35*100000000</f>
        <v>1135000000</v>
      </c>
    </row>
    <row r="1192" spans="1:66">
      <c r="A1192" s="18"/>
      <c r="B1192">
        <v>600985</v>
      </c>
      <c r="C1192" t="s">
        <v>58</v>
      </c>
      <c r="D1192" s="6" t="s">
        <v>12119</v>
      </c>
      <c r="E1192" s="7" t="str">
        <f t="shared" si="572"/>
        <v>=60.43*100000000</v>
      </c>
      <c r="F1192" s="1">
        <f>60.43*100000000</f>
        <v>6043000000</v>
      </c>
      <c r="G1192" s="8">
        <f t="shared" si="574"/>
        <v>0.32376779846659365</v>
      </c>
      <c r="H1192" s="6" t="s">
        <v>3601</v>
      </c>
      <c r="I1192" s="6" t="str">
        <f t="shared" si="558"/>
        <v>=45.65*100000000</v>
      </c>
      <c r="J1192" s="1">
        <f>45.65*100000000</f>
        <v>4565000000</v>
      </c>
      <c r="K1192" s="10">
        <f t="shared" si="575"/>
        <v>0.44690966719492869</v>
      </c>
      <c r="L1192" s="6" t="s">
        <v>6200</v>
      </c>
      <c r="M1192" s="6" t="str">
        <f t="shared" si="559"/>
        <v>=31.55*100000000</v>
      </c>
      <c r="N1192" s="1">
        <f>31.55*100000000</f>
        <v>3155000000</v>
      </c>
      <c r="O1192" s="8">
        <f t="shared" si="576"/>
        <v>1.0935633709356336</v>
      </c>
      <c r="P1192" s="6" t="s">
        <v>8659</v>
      </c>
      <c r="Q1192" s="6" t="str">
        <f t="shared" si="560"/>
        <v>=15.07*100000000</v>
      </c>
      <c r="R1192" s="11">
        <f>15.07*100000000</f>
        <v>1507000000</v>
      </c>
      <c r="S1192" s="8">
        <f t="shared" si="577"/>
        <v>-0.64871794871794874</v>
      </c>
      <c r="T1192" s="6" t="s">
        <v>12120</v>
      </c>
      <c r="U1192" s="6" t="str">
        <f t="shared" si="561"/>
        <v>=42.90*100000000</v>
      </c>
      <c r="V1192" s="1">
        <f>42.9*100000000</f>
        <v>4290000000</v>
      </c>
      <c r="W1192" s="8">
        <f t="shared" si="578"/>
        <v>0.29100210653024394</v>
      </c>
      <c r="X1192" s="6" t="s">
        <v>12121</v>
      </c>
      <c r="Y1192" s="6" t="str">
        <f t="shared" si="562"/>
        <v>=33.23*100000000</v>
      </c>
      <c r="Z1192" s="1">
        <f>33.23*100000000</f>
        <v>3322999999.9999995</v>
      </c>
      <c r="AA1192" s="8">
        <f t="shared" si="579"/>
        <v>0.62335124572545164</v>
      </c>
      <c r="AB1192" s="6" t="s">
        <v>12122</v>
      </c>
      <c r="AC1192" s="6" t="str">
        <f t="shared" si="563"/>
        <v>=20.47*100000000</v>
      </c>
      <c r="AD1192" s="1">
        <f>20.47*100000000</f>
        <v>2047000000</v>
      </c>
      <c r="AE1192" s="8">
        <f t="shared" si="580"/>
        <v>1.1118332817497163</v>
      </c>
      <c r="AF1192" s="6" t="s">
        <v>9931</v>
      </c>
      <c r="AG1192" s="6" t="str">
        <f t="shared" si="564"/>
        <v>=9.693*100000000</v>
      </c>
      <c r="AH1192" s="1">
        <f>9.693*100000000</f>
        <v>969300000</v>
      </c>
      <c r="AI1192" s="8">
        <f t="shared" si="581"/>
        <v>-0.77717241379310342</v>
      </c>
      <c r="AJ1192" s="6" t="s">
        <v>10099</v>
      </c>
      <c r="AK1192" s="6" t="str">
        <f t="shared" si="565"/>
        <v>=43.50*100000000</v>
      </c>
      <c r="AL1192" s="1">
        <f>43.5*100000000</f>
        <v>4350000000</v>
      </c>
      <c r="AM1192" s="8">
        <f t="shared" si="582"/>
        <v>0.25143843498273877</v>
      </c>
      <c r="AN1192" s="6" t="s">
        <v>5247</v>
      </c>
      <c r="AO1192" s="6" t="str">
        <f t="shared" si="566"/>
        <v>=34.76*100000000</v>
      </c>
      <c r="AP1192" s="1">
        <f>34.76*100000000</f>
        <v>3476000000</v>
      </c>
      <c r="AQ1192" s="8">
        <f t="shared" si="583"/>
        <v>0.50411077455646902</v>
      </c>
      <c r="AR1192" s="6" t="s">
        <v>12123</v>
      </c>
      <c r="AS1192" s="6" t="str">
        <f t="shared" si="567"/>
        <v>=23.11*100000000</v>
      </c>
      <c r="AT1192" s="1">
        <f>23.11*100000000</f>
        <v>2311000000</v>
      </c>
      <c r="AU1192" s="8">
        <f t="shared" si="584"/>
        <v>1.0183406113537119</v>
      </c>
      <c r="AV1192" s="6" t="s">
        <v>3338</v>
      </c>
      <c r="AW1192" s="6" t="str">
        <f t="shared" si="568"/>
        <v>=11.45*100000000</v>
      </c>
      <c r="AX1192" s="1">
        <f>11.45*100000000</f>
        <v>1145000000</v>
      </c>
      <c r="AY1192" s="10">
        <f t="shared" si="585"/>
        <v>-0.74165162454873645</v>
      </c>
      <c r="AZ1192" s="6" t="s">
        <v>10267</v>
      </c>
      <c r="BA1192" s="6" t="str">
        <f t="shared" si="569"/>
        <v>=44.32*100000000</v>
      </c>
      <c r="BB1192" s="1">
        <f>44.32*100000000</f>
        <v>4432000000</v>
      </c>
      <c r="BC1192" s="8">
        <f t="shared" si="586"/>
        <v>0.37810945273631863</v>
      </c>
      <c r="BD1192" s="6" t="s">
        <v>12124</v>
      </c>
      <c r="BE1192" s="6" t="str">
        <f t="shared" si="570"/>
        <v>=32.16*100000000</v>
      </c>
      <c r="BF1192" s="1">
        <f>32.16*100000000</f>
        <v>3215999999.9999995</v>
      </c>
      <c r="BG1192" s="8">
        <f t="shared" si="587"/>
        <v>0.51198871650211542</v>
      </c>
      <c r="BH1192" s="6" t="s">
        <v>6022</v>
      </c>
      <c r="BI1192" s="6" t="str">
        <f t="shared" si="571"/>
        <v>=21.27*100000000</v>
      </c>
      <c r="BJ1192" s="1">
        <f>21.27*100000000</f>
        <v>2127000000</v>
      </c>
      <c r="BK1192" s="6" t="s">
        <v>7424</v>
      </c>
      <c r="BL1192" s="1" t="str">
        <f t="shared" si="573"/>
        <v>=11.48*100000000</v>
      </c>
      <c r="BM1192" s="16">
        <f t="shared" si="588"/>
        <v>0.85278745644599308</v>
      </c>
      <c r="BN1192" s="1">
        <f>11.48*100000000</f>
        <v>1148000000</v>
      </c>
    </row>
    <row r="1193" spans="1:66">
      <c r="A1193" s="19"/>
      <c r="B1193">
        <v>600985</v>
      </c>
      <c r="C1193" t="s">
        <v>68</v>
      </c>
      <c r="D1193" s="6" t="s">
        <v>12125</v>
      </c>
      <c r="E1193" s="7" t="str">
        <f t="shared" si="572"/>
        <v>=51.99*100000000</v>
      </c>
      <c r="F1193" s="1">
        <f>51.99*100000000</f>
        <v>5199000000</v>
      </c>
      <c r="G1193" s="8">
        <f t="shared" si="574"/>
        <v>0.31820486815415822</v>
      </c>
      <c r="H1193" s="6" t="s">
        <v>11171</v>
      </c>
      <c r="I1193" s="6" t="str">
        <f t="shared" si="558"/>
        <v>=39.44*100000000</v>
      </c>
      <c r="J1193" s="1">
        <f>39.44*100000000</f>
        <v>3944000000</v>
      </c>
      <c r="K1193" s="10">
        <f t="shared" si="575"/>
        <v>0.44733944954128441</v>
      </c>
      <c r="L1193" s="6" t="s">
        <v>12126</v>
      </c>
      <c r="M1193" s="6" t="str">
        <f t="shared" si="559"/>
        <v>=27.25*100000000</v>
      </c>
      <c r="N1193" s="1">
        <f>27.25*100000000</f>
        <v>2725000000</v>
      </c>
      <c r="O1193" s="8">
        <f t="shared" si="576"/>
        <v>1.0897239263803682</v>
      </c>
      <c r="P1193" s="6" t="s">
        <v>4546</v>
      </c>
      <c r="Q1193" s="6" t="str">
        <f t="shared" si="560"/>
        <v>=13.04*100000000</v>
      </c>
      <c r="R1193" s="11">
        <f>13.04*100000000</f>
        <v>1304000000</v>
      </c>
      <c r="S1193" s="8">
        <f t="shared" si="577"/>
        <v>-0.64468664850136248</v>
      </c>
      <c r="T1193" s="6" t="s">
        <v>12127</v>
      </c>
      <c r="U1193" s="6" t="str">
        <f t="shared" si="561"/>
        <v>=36.70*100000000</v>
      </c>
      <c r="V1193" s="1">
        <f>36.7*100000000</f>
        <v>3670000000.0000005</v>
      </c>
      <c r="W1193" s="8">
        <f t="shared" si="578"/>
        <v>0.28591450595655238</v>
      </c>
      <c r="X1193" s="6" t="s">
        <v>3031</v>
      </c>
      <c r="Y1193" s="6" t="str">
        <f t="shared" si="562"/>
        <v>=28.54*100000000</v>
      </c>
      <c r="Z1193" s="1">
        <f>28.54*100000000</f>
        <v>2854000000</v>
      </c>
      <c r="AA1193" s="8">
        <f t="shared" si="579"/>
        <v>0.64590542099192616</v>
      </c>
      <c r="AB1193" s="6" t="s">
        <v>12128</v>
      </c>
      <c r="AC1193" s="6" t="str">
        <f t="shared" si="563"/>
        <v>=17.34*100000000</v>
      </c>
      <c r="AD1193" s="1">
        <f>17.34*100000000</f>
        <v>1734000000</v>
      </c>
      <c r="AE1193" s="8">
        <f t="shared" si="580"/>
        <v>1.0771442261619546</v>
      </c>
      <c r="AF1193" s="6" t="s">
        <v>12129</v>
      </c>
      <c r="AG1193" s="6" t="str">
        <f t="shared" si="564"/>
        <v>=8.348*100000000</v>
      </c>
      <c r="AH1193" s="1">
        <f>8.348*100000000</f>
        <v>834800000.00000012</v>
      </c>
      <c r="AI1193" s="8">
        <f t="shared" si="581"/>
        <v>-0.77613301153124159</v>
      </c>
      <c r="AJ1193" s="6" t="s">
        <v>12130</v>
      </c>
      <c r="AK1193" s="6" t="str">
        <f t="shared" si="565"/>
        <v>=37.29*100000000</v>
      </c>
      <c r="AL1193" s="1">
        <f>37.29*100000000</f>
        <v>3729000000</v>
      </c>
      <c r="AM1193" s="8">
        <f t="shared" si="582"/>
        <v>0.2388704318936877</v>
      </c>
      <c r="AN1193" s="6" t="s">
        <v>6232</v>
      </c>
      <c r="AO1193" s="6" t="str">
        <f t="shared" si="566"/>
        <v>=30.10*100000000</v>
      </c>
      <c r="AP1193" s="1">
        <f>30.1*100000000</f>
        <v>3010000000</v>
      </c>
      <c r="AQ1193" s="8">
        <f t="shared" si="583"/>
        <v>0.51713709677419351</v>
      </c>
      <c r="AR1193" s="6" t="s">
        <v>3607</v>
      </c>
      <c r="AS1193" s="6" t="str">
        <f t="shared" si="567"/>
        <v>=19.84*100000000</v>
      </c>
      <c r="AT1193" s="1">
        <f>19.84*100000000</f>
        <v>1984000000</v>
      </c>
      <c r="AU1193" s="8">
        <f t="shared" si="584"/>
        <v>1.0600145363928979</v>
      </c>
      <c r="AV1193" s="6" t="s">
        <v>12131</v>
      </c>
      <c r="AW1193" s="6" t="str">
        <f t="shared" si="568"/>
        <v>=9.631*100000000</v>
      </c>
      <c r="AX1193" s="1">
        <f>9.631*100000000</f>
        <v>963100000</v>
      </c>
      <c r="AY1193" s="10">
        <f t="shared" si="585"/>
        <v>-0.75673149785299321</v>
      </c>
      <c r="AZ1193" s="6" t="s">
        <v>12132</v>
      </c>
      <c r="BA1193" s="6" t="str">
        <f t="shared" si="569"/>
        <v>=39.59*100000000</v>
      </c>
      <c r="BB1193" s="1">
        <f>39.59*100000000</f>
        <v>3959000000.0000005</v>
      </c>
      <c r="BC1193" s="8">
        <f t="shared" si="586"/>
        <v>0.36753022452504336</v>
      </c>
      <c r="BD1193" s="6" t="s">
        <v>656</v>
      </c>
      <c r="BE1193" s="6" t="str">
        <f t="shared" si="570"/>
        <v>=28.95*100000000</v>
      </c>
      <c r="BF1193" s="1">
        <f>28.95*100000000</f>
        <v>2895000000</v>
      </c>
      <c r="BG1193" s="8">
        <f t="shared" si="587"/>
        <v>0.52288269331930548</v>
      </c>
      <c r="BH1193" s="6" t="s">
        <v>12133</v>
      </c>
      <c r="BI1193" s="6" t="str">
        <f t="shared" si="571"/>
        <v>=19.01*100000000</v>
      </c>
      <c r="BJ1193" s="1">
        <f>19.01*100000000</f>
        <v>1901000000.0000002</v>
      </c>
      <c r="BK1193" s="6" t="s">
        <v>1683</v>
      </c>
      <c r="BL1193" s="1" t="str">
        <f t="shared" si="573"/>
        <v>=10.26*100000000</v>
      </c>
      <c r="BM1193" s="16">
        <f t="shared" si="588"/>
        <v>0.85282651072124782</v>
      </c>
      <c r="BN1193" s="1">
        <f>10.26*100000000</f>
        <v>1026000000</v>
      </c>
    </row>
    <row r="1194" spans="1:66">
      <c r="A1194" s="17">
        <v>300</v>
      </c>
      <c r="B1194">
        <v>600986</v>
      </c>
      <c r="C1194" t="s">
        <v>31</v>
      </c>
      <c r="D1194" s="6" t="s">
        <v>12134</v>
      </c>
      <c r="E1194" s="7" t="str">
        <f t="shared" si="572"/>
        <v>=142.9*100000000</v>
      </c>
      <c r="F1194" s="1">
        <f>142.9*100000000</f>
        <v>14290000000</v>
      </c>
      <c r="G1194" s="8">
        <f t="shared" si="574"/>
        <v>0.32560296846011133</v>
      </c>
      <c r="H1194" s="6" t="s">
        <v>4719</v>
      </c>
      <c r="I1194" s="6" t="str">
        <f t="shared" si="558"/>
        <v>=107.8*100000000</v>
      </c>
      <c r="J1194" s="1">
        <f>107.8*100000000</f>
        <v>10780000000</v>
      </c>
      <c r="K1194" s="10">
        <f t="shared" si="575"/>
        <v>0.58950162194043076</v>
      </c>
      <c r="L1194" s="6" t="s">
        <v>12135</v>
      </c>
      <c r="M1194" s="6" t="str">
        <f t="shared" si="559"/>
        <v>=67.82*100000000</v>
      </c>
      <c r="N1194" s="1">
        <f>67.82*100000000</f>
        <v>6781999999.999999</v>
      </c>
      <c r="O1194" s="8">
        <f t="shared" si="576"/>
        <v>1.409236234458259</v>
      </c>
      <c r="P1194" s="6" t="s">
        <v>12136</v>
      </c>
      <c r="Q1194" s="6" t="str">
        <f t="shared" si="560"/>
        <v>=28.15*100000000</v>
      </c>
      <c r="R1194" s="11">
        <f>28.15*100000000</f>
        <v>2815000000</v>
      </c>
      <c r="S1194" s="8">
        <f t="shared" si="577"/>
        <v>-0.69603714501673686</v>
      </c>
      <c r="T1194" s="6" t="s">
        <v>12137</v>
      </c>
      <c r="U1194" s="6" t="str">
        <f t="shared" si="561"/>
        <v>=92.61*100000000</v>
      </c>
      <c r="V1194" s="1">
        <f>92.61*100000000</f>
        <v>9261000000</v>
      </c>
      <c r="W1194" s="8">
        <f t="shared" si="578"/>
        <v>0.34353692151457982</v>
      </c>
      <c r="X1194" s="6" t="s">
        <v>12138</v>
      </c>
      <c r="Y1194" s="6" t="str">
        <f t="shared" si="562"/>
        <v>=68.93*100000000</v>
      </c>
      <c r="Z1194" s="1">
        <f>68.93*100000000</f>
        <v>6893000000.000001</v>
      </c>
      <c r="AA1194" s="8">
        <f t="shared" si="579"/>
        <v>0.51861643533818047</v>
      </c>
      <c r="AB1194" s="6" t="s">
        <v>12139</v>
      </c>
      <c r="AC1194" s="6" t="str">
        <f t="shared" si="563"/>
        <v>=45.39*100000000</v>
      </c>
      <c r="AD1194" s="1">
        <f>45.39*100000000</f>
        <v>4539000000</v>
      </c>
      <c r="AE1194" s="8">
        <f t="shared" si="580"/>
        <v>1.0084070796460176</v>
      </c>
      <c r="AF1194" s="6" t="s">
        <v>2144</v>
      </c>
      <c r="AG1194" s="6" t="str">
        <f t="shared" si="564"/>
        <v>=22.60*100000000</v>
      </c>
      <c r="AH1194" s="1">
        <f>22.6*100000000</f>
        <v>2260000000</v>
      </c>
      <c r="AI1194" s="8">
        <f t="shared" si="581"/>
        <v>-0.88029661016949157</v>
      </c>
      <c r="AJ1194" s="6" t="s">
        <v>12140</v>
      </c>
      <c r="AK1194" s="6" t="str">
        <f t="shared" si="565"/>
        <v>=188.8*100000000</v>
      </c>
      <c r="AL1194" s="1">
        <f>188.8*100000000</f>
        <v>18880000000</v>
      </c>
      <c r="AM1194" s="8">
        <f t="shared" si="582"/>
        <v>0.33145275035260913</v>
      </c>
      <c r="AN1194" s="6" t="s">
        <v>2344</v>
      </c>
      <c r="AO1194" s="6" t="str">
        <f t="shared" si="566"/>
        <v>=141.8*100000000</v>
      </c>
      <c r="AP1194" s="1">
        <f>141.8*100000000</f>
        <v>14180000000.000002</v>
      </c>
      <c r="AQ1194" s="8">
        <f t="shared" si="583"/>
        <v>0.65191053122087628</v>
      </c>
      <c r="AR1194" s="6" t="s">
        <v>12141</v>
      </c>
      <c r="AS1194" s="6" t="str">
        <f t="shared" si="567"/>
        <v>=85.84*100000000</v>
      </c>
      <c r="AT1194" s="1">
        <f>85.84*100000000</f>
        <v>8584000000</v>
      </c>
      <c r="AU1194" s="8">
        <f t="shared" si="584"/>
        <v>1.2715003969304048</v>
      </c>
      <c r="AV1194" s="6" t="s">
        <v>6028</v>
      </c>
      <c r="AW1194" s="6" t="str">
        <f t="shared" si="568"/>
        <v>=37.79*100000000</v>
      </c>
      <c r="AX1194" s="1">
        <f>37.79*100000000</f>
        <v>3779000000</v>
      </c>
      <c r="AY1194" s="10">
        <f t="shared" si="585"/>
        <v>-0.73406052076002815</v>
      </c>
      <c r="AZ1194" s="6" t="s">
        <v>1796</v>
      </c>
      <c r="BA1194" s="6" t="str">
        <f t="shared" si="569"/>
        <v>=142.1*100000000</v>
      </c>
      <c r="BB1194" s="1">
        <f>142.1*100000000</f>
        <v>14210000000</v>
      </c>
      <c r="BC1194" s="8">
        <f t="shared" si="586"/>
        <v>0.34564393939393939</v>
      </c>
      <c r="BD1194" s="6" t="s">
        <v>9553</v>
      </c>
      <c r="BE1194" s="6" t="str">
        <f t="shared" si="570"/>
        <v>=105.6*100000000</v>
      </c>
      <c r="BF1194" s="1">
        <f>105.6*100000000</f>
        <v>10560000000</v>
      </c>
      <c r="BG1194" s="8">
        <f t="shared" si="587"/>
        <v>0.52777777777777779</v>
      </c>
      <c r="BH1194" s="6" t="s">
        <v>12142</v>
      </c>
      <c r="BI1194" s="6" t="str">
        <f t="shared" si="571"/>
        <v>=69.12*100000000</v>
      </c>
      <c r="BJ1194" s="1">
        <f>69.12*100000000</f>
        <v>6912000000</v>
      </c>
      <c r="BK1194" s="6" t="s">
        <v>9413</v>
      </c>
      <c r="BL1194" s="1" t="str">
        <f t="shared" si="573"/>
        <v>=29.01*100000000</v>
      </c>
      <c r="BM1194" s="16">
        <f t="shared" si="588"/>
        <v>1.3826266804550156</v>
      </c>
      <c r="BN1194" s="1">
        <f>29.01*100000000</f>
        <v>2901000000</v>
      </c>
    </row>
    <row r="1195" spans="1:66">
      <c r="A1195" s="18"/>
      <c r="B1195">
        <v>600986</v>
      </c>
      <c r="C1195" t="s">
        <v>48</v>
      </c>
      <c r="D1195" s="6" t="s">
        <v>4813</v>
      </c>
      <c r="E1195" s="7" t="str">
        <f t="shared" si="572"/>
        <v>=3.659*100000000</v>
      </c>
      <c r="F1195" s="1">
        <f>3.659*100000000</f>
        <v>365900000</v>
      </c>
      <c r="G1195" s="8">
        <f t="shared" si="574"/>
        <v>0.42428960685091477</v>
      </c>
      <c r="H1195" s="6" t="s">
        <v>12143</v>
      </c>
      <c r="I1195" s="6" t="str">
        <f t="shared" si="558"/>
        <v>=2.569*100000000</v>
      </c>
      <c r="J1195" s="1">
        <f>2.569*100000000</f>
        <v>256900000</v>
      </c>
      <c r="K1195" s="10">
        <f t="shared" si="575"/>
        <v>0.55320435308343407</v>
      </c>
      <c r="L1195" s="6" t="s">
        <v>12144</v>
      </c>
      <c r="M1195" s="6" t="str">
        <f t="shared" si="559"/>
        <v>=1.654*100000000</v>
      </c>
      <c r="N1195" s="1">
        <f>1.654*100000000</f>
        <v>165400000</v>
      </c>
      <c r="O1195" s="8">
        <f t="shared" si="576"/>
        <v>1.5969539959177266</v>
      </c>
      <c r="P1195" s="7" t="s">
        <v>12145</v>
      </c>
      <c r="Q1195" s="6" t="str">
        <f t="shared" si="560"/>
        <v>=6369*10000</v>
      </c>
      <c r="R1195" s="11">
        <f>6369*10000</f>
        <v>63690000</v>
      </c>
      <c r="S1195" s="8">
        <f t="shared" si="577"/>
        <v>0.25201494004324748</v>
      </c>
      <c r="T1195" s="7" t="s">
        <v>11393</v>
      </c>
      <c r="U1195" s="6" t="str">
        <f t="shared" si="561"/>
        <v>=5087*10000</v>
      </c>
      <c r="V1195" s="1">
        <f>5087*10000</f>
        <v>50870000</v>
      </c>
      <c r="W1195" s="8">
        <f t="shared" si="578"/>
        <v>-0.64049469964664307</v>
      </c>
      <c r="X1195" s="6" t="s">
        <v>10872</v>
      </c>
      <c r="Y1195" s="6" t="str">
        <f t="shared" si="562"/>
        <v>=1.415*100000000</v>
      </c>
      <c r="Z1195" s="1">
        <f>1.415*100000000</f>
        <v>141500000</v>
      </c>
      <c r="AA1195" s="8">
        <f t="shared" si="579"/>
        <v>0.75145438791929697</v>
      </c>
      <c r="AB1195" s="7" t="s">
        <v>12146</v>
      </c>
      <c r="AC1195" s="6" t="str">
        <f t="shared" si="563"/>
        <v>=8079*10000</v>
      </c>
      <c r="AD1195" s="1">
        <f>8079*10000</f>
        <v>80790000</v>
      </c>
      <c r="AE1195" s="8">
        <f t="shared" si="580"/>
        <v>1.5318082105922908</v>
      </c>
      <c r="AF1195" s="7" t="s">
        <v>12147</v>
      </c>
      <c r="AG1195" s="6" t="str">
        <f t="shared" si="564"/>
        <v>=3191*10000</v>
      </c>
      <c r="AH1195" s="1">
        <f>3191*10000</f>
        <v>31910000</v>
      </c>
      <c r="AI1195" s="8">
        <f t="shared" si="581"/>
        <v>-1.0131425041186162</v>
      </c>
      <c r="AJ1195" s="6">
        <f>-24.28*100000000</f>
        <v>-2428000000</v>
      </c>
      <c r="AK1195" s="6" t="str">
        <f t="shared" si="565"/>
        <v>=-2428000000</v>
      </c>
      <c r="AL1195" s="1">
        <f>-2428000000</f>
        <v>-2428000000</v>
      </c>
      <c r="AM1195" s="8">
        <f t="shared" si="582"/>
        <v>-13.470467385721623</v>
      </c>
      <c r="AN1195" s="6" t="s">
        <v>5129</v>
      </c>
      <c r="AO1195" s="6" t="str">
        <f t="shared" si="566"/>
        <v>=1.947*100000000</v>
      </c>
      <c r="AP1195" s="1">
        <f>1.947*100000000</f>
        <v>194700000</v>
      </c>
      <c r="AQ1195" s="8">
        <f t="shared" si="583"/>
        <v>0.3917083631165118</v>
      </c>
      <c r="AR1195" s="6" t="s">
        <v>2166</v>
      </c>
      <c r="AS1195" s="6" t="str">
        <f t="shared" si="567"/>
        <v>=1.399*100000000</v>
      </c>
      <c r="AT1195" s="1">
        <f>1.399*100000000</f>
        <v>139900000</v>
      </c>
      <c r="AU1195" s="8">
        <f t="shared" si="584"/>
        <v>2.1185911725367812</v>
      </c>
      <c r="AV1195" s="7" t="s">
        <v>12148</v>
      </c>
      <c r="AW1195" s="6" t="str">
        <f t="shared" si="568"/>
        <v>=4486*10000</v>
      </c>
      <c r="AX1195" s="1">
        <f>4486*10000</f>
        <v>44860000</v>
      </c>
      <c r="AY1195" s="10">
        <f t="shared" si="585"/>
        <v>-0.89785974499089249</v>
      </c>
      <c r="AZ1195" s="6" t="s">
        <v>12149</v>
      </c>
      <c r="BA1195" s="6" t="str">
        <f t="shared" si="569"/>
        <v>=4.392*100000000</v>
      </c>
      <c r="BB1195" s="1">
        <f>4.392*100000000</f>
        <v>439200000.00000006</v>
      </c>
      <c r="BC1195" s="8">
        <f t="shared" si="586"/>
        <v>-0.26073051674802211</v>
      </c>
      <c r="BD1195" s="6" t="s">
        <v>6139</v>
      </c>
      <c r="BE1195" s="6" t="str">
        <f t="shared" si="570"/>
        <v>=5.941*100000000</v>
      </c>
      <c r="BF1195" s="1">
        <f>5.941*100000000</f>
        <v>594100000</v>
      </c>
      <c r="BG1195" s="8">
        <f t="shared" si="587"/>
        <v>0.16627404789948946</v>
      </c>
      <c r="BH1195" s="6" t="s">
        <v>12150</v>
      </c>
      <c r="BI1195" s="6" t="str">
        <f t="shared" si="571"/>
        <v>=5.094*100000000</v>
      </c>
      <c r="BJ1195" s="1">
        <f>5.094*100000000</f>
        <v>509400000.00000006</v>
      </c>
      <c r="BK1195" s="6" t="s">
        <v>1278</v>
      </c>
      <c r="BL1195" s="1" t="str">
        <f t="shared" si="573"/>
        <v>=1.242*100000000</v>
      </c>
      <c r="BM1195" s="16">
        <f t="shared" si="588"/>
        <v>3.1014492753623193</v>
      </c>
      <c r="BN1195" s="1">
        <f>1.242*100000000</f>
        <v>124200000</v>
      </c>
    </row>
    <row r="1196" spans="1:66">
      <c r="A1196" s="18"/>
      <c r="B1196">
        <v>600986</v>
      </c>
      <c r="C1196" t="s">
        <v>58</v>
      </c>
      <c r="D1196" s="6" t="s">
        <v>1699</v>
      </c>
      <c r="E1196" s="7" t="str">
        <f t="shared" si="572"/>
        <v>=3.687*100000000</v>
      </c>
      <c r="F1196" s="1">
        <f>3.687*100000000</f>
        <v>368700000</v>
      </c>
      <c r="G1196" s="8">
        <f t="shared" si="574"/>
        <v>0.41210264266564517</v>
      </c>
      <c r="H1196" s="6" t="s">
        <v>12151</v>
      </c>
      <c r="I1196" s="6" t="str">
        <f t="shared" si="558"/>
        <v>=2.611*100000000</v>
      </c>
      <c r="J1196" s="1">
        <f>2.611*100000000</f>
        <v>261100000.00000003</v>
      </c>
      <c r="K1196" s="10">
        <f t="shared" si="575"/>
        <v>0.58146577831617219</v>
      </c>
      <c r="L1196" s="6" t="s">
        <v>4666</v>
      </c>
      <c r="M1196" s="6" t="str">
        <f t="shared" si="559"/>
        <v>=1.651*100000000</v>
      </c>
      <c r="N1196" s="1">
        <f>1.651*100000000</f>
        <v>165100000</v>
      </c>
      <c r="O1196" s="8">
        <f t="shared" si="576"/>
        <v>1.6156527249683144</v>
      </c>
      <c r="P1196" s="7" t="s">
        <v>6881</v>
      </c>
      <c r="Q1196" s="6" t="str">
        <f t="shared" si="560"/>
        <v>=6312*10000</v>
      </c>
      <c r="R1196" s="11">
        <f>6312*10000</f>
        <v>63120000</v>
      </c>
      <c r="S1196" s="8">
        <f t="shared" si="577"/>
        <v>-0.51779984721161187</v>
      </c>
      <c r="T1196" s="6" t="s">
        <v>8667</v>
      </c>
      <c r="U1196" s="6" t="str">
        <f t="shared" si="561"/>
        <v>=1.309*100000000</v>
      </c>
      <c r="V1196" s="1">
        <f>1.309*100000000</f>
        <v>130900000</v>
      </c>
      <c r="W1196" s="8">
        <f t="shared" si="578"/>
        <v>-0.12265415549597855</v>
      </c>
      <c r="X1196" s="6" t="s">
        <v>2530</v>
      </c>
      <c r="Y1196" s="6" t="str">
        <f t="shared" si="562"/>
        <v>=1.492*100000000</v>
      </c>
      <c r="Z1196" s="1">
        <f>1.492*100000000</f>
        <v>149200000</v>
      </c>
      <c r="AA1196" s="8">
        <f t="shared" si="579"/>
        <v>0.85549061062056964</v>
      </c>
      <c r="AB1196" s="7" t="s">
        <v>12152</v>
      </c>
      <c r="AC1196" s="6" t="str">
        <f t="shared" si="563"/>
        <v>=8041*10000</v>
      </c>
      <c r="AD1196" s="1">
        <f>8041*10000</f>
        <v>80410000</v>
      </c>
      <c r="AE1196" s="8">
        <f t="shared" si="580"/>
        <v>1.5608280254777069</v>
      </c>
      <c r="AF1196" s="7" t="s">
        <v>12153</v>
      </c>
      <c r="AG1196" s="6" t="str">
        <f t="shared" si="564"/>
        <v>=3140*10000</v>
      </c>
      <c r="AH1196" s="1">
        <f>3140*10000</f>
        <v>31400000</v>
      </c>
      <c r="AI1196" s="8">
        <f t="shared" si="581"/>
        <v>-1.0128163265306123</v>
      </c>
      <c r="AJ1196" s="6">
        <f>-24.5*100000000</f>
        <v>-2450000000</v>
      </c>
      <c r="AK1196" s="6" t="str">
        <f t="shared" si="565"/>
        <v>=-2450000000</v>
      </c>
      <c r="AL1196" s="1">
        <f>-2450000000</f>
        <v>-2450000000</v>
      </c>
      <c r="AM1196" s="8">
        <f t="shared" si="582"/>
        <v>-13.589928057553957</v>
      </c>
      <c r="AN1196" s="6" t="s">
        <v>12154</v>
      </c>
      <c r="AO1196" s="6" t="str">
        <f t="shared" si="566"/>
        <v>=1.946*100000000</v>
      </c>
      <c r="AP1196" s="1">
        <f>1.946*100000000</f>
        <v>194600000</v>
      </c>
      <c r="AQ1196" s="8">
        <f t="shared" si="583"/>
        <v>0.38702779757662154</v>
      </c>
      <c r="AR1196" s="6" t="s">
        <v>2447</v>
      </c>
      <c r="AS1196" s="6" t="str">
        <f t="shared" si="567"/>
        <v>=1.403*100000000</v>
      </c>
      <c r="AT1196" s="1">
        <f>1.403*100000000</f>
        <v>140300000</v>
      </c>
      <c r="AU1196" s="8">
        <f t="shared" si="584"/>
        <v>2.1067316209034543</v>
      </c>
      <c r="AV1196" s="7" t="s">
        <v>4895</v>
      </c>
      <c r="AW1196" s="6" t="str">
        <f t="shared" si="568"/>
        <v>=4516*10000</v>
      </c>
      <c r="AX1196" s="1">
        <f>4516*10000</f>
        <v>45160000</v>
      </c>
      <c r="AY1196" s="10">
        <f t="shared" si="585"/>
        <v>-0.89490342099138931</v>
      </c>
      <c r="AZ1196" s="6" t="s">
        <v>12155</v>
      </c>
      <c r="BA1196" s="6" t="str">
        <f t="shared" si="569"/>
        <v>=4.297*100000000</v>
      </c>
      <c r="BB1196" s="1">
        <f>4.297*100000000</f>
        <v>429700000</v>
      </c>
      <c r="BC1196" s="8">
        <f t="shared" si="586"/>
        <v>-0.26459010782132464</v>
      </c>
      <c r="BD1196" s="6" t="s">
        <v>12156</v>
      </c>
      <c r="BE1196" s="6" t="str">
        <f t="shared" si="570"/>
        <v>=5.843*100000000</v>
      </c>
      <c r="BF1196" s="1">
        <f>5.843*100000000</f>
        <v>584300000</v>
      </c>
      <c r="BG1196" s="8">
        <f t="shared" si="587"/>
        <v>0.16883376675335082</v>
      </c>
      <c r="BH1196" s="6" t="s">
        <v>2414</v>
      </c>
      <c r="BI1196" s="6" t="str">
        <f t="shared" si="571"/>
        <v>=4.999*100000000</v>
      </c>
      <c r="BJ1196" s="1">
        <f>4.999*100000000</f>
        <v>499899999.99999994</v>
      </c>
      <c r="BK1196" s="6" t="s">
        <v>6994</v>
      </c>
      <c r="BL1196" s="1" t="str">
        <f t="shared" si="573"/>
        <v>=1.179*100000000</v>
      </c>
      <c r="BM1196" s="16">
        <f t="shared" si="588"/>
        <v>3.2400339270568272</v>
      </c>
      <c r="BN1196" s="1">
        <f>1.179*100000000</f>
        <v>117900000</v>
      </c>
    </row>
    <row r="1197" spans="1:66">
      <c r="A1197" s="19"/>
      <c r="B1197">
        <v>600986</v>
      </c>
      <c r="C1197" t="s">
        <v>68</v>
      </c>
      <c r="D1197" s="6" t="s">
        <v>7441</v>
      </c>
      <c r="E1197" s="7" t="str">
        <f t="shared" si="572"/>
        <v>=3.046*100000000</v>
      </c>
      <c r="F1197" s="1">
        <f>3.046*100000000</f>
        <v>304600000</v>
      </c>
      <c r="G1197" s="8">
        <f t="shared" si="574"/>
        <v>0.43882853094000945</v>
      </c>
      <c r="H1197" s="6" t="s">
        <v>3509</v>
      </c>
      <c r="I1197" s="6" t="str">
        <f t="shared" si="558"/>
        <v>=2.117*100000000</v>
      </c>
      <c r="J1197" s="1">
        <f>2.117*100000000</f>
        <v>211700000</v>
      </c>
      <c r="K1197" s="10">
        <f t="shared" si="575"/>
        <v>0.56236162361623621</v>
      </c>
      <c r="L1197" s="6" t="s">
        <v>6812</v>
      </c>
      <c r="M1197" s="6" t="str">
        <f t="shared" si="559"/>
        <v>=1.355*100000000</v>
      </c>
      <c r="N1197" s="1">
        <f>1.355*100000000</f>
        <v>135500000</v>
      </c>
      <c r="O1197" s="8">
        <f t="shared" si="576"/>
        <v>1.7602363006722346</v>
      </c>
      <c r="P1197" s="7" t="s">
        <v>12157</v>
      </c>
      <c r="Q1197" s="6" t="str">
        <f t="shared" si="560"/>
        <v>=4909*10000</v>
      </c>
      <c r="R1197" s="11">
        <f>4909*10000</f>
        <v>49090000</v>
      </c>
      <c r="S1197" s="8">
        <f t="shared" si="577"/>
        <v>-0.50959040959040947</v>
      </c>
      <c r="T1197" s="6" t="s">
        <v>3882</v>
      </c>
      <c r="U1197" s="6" t="str">
        <f t="shared" si="561"/>
        <v>=1.001*100000000</v>
      </c>
      <c r="V1197" s="1">
        <f>1.001*100000000</f>
        <v>100099999.99999999</v>
      </c>
      <c r="W1197" s="8">
        <f t="shared" si="578"/>
        <v>-8.5009140767824759E-2</v>
      </c>
      <c r="X1197" s="6" t="s">
        <v>5710</v>
      </c>
      <c r="Y1197" s="6" t="str">
        <f t="shared" si="562"/>
        <v>=1.094*100000000</v>
      </c>
      <c r="Z1197" s="1">
        <f>1.094*100000000</f>
        <v>109400000.00000001</v>
      </c>
      <c r="AA1197" s="8">
        <f t="shared" si="579"/>
        <v>0.91862504384426547</v>
      </c>
      <c r="AB1197" s="7" t="s">
        <v>2712</v>
      </c>
      <c r="AC1197" s="6" t="str">
        <f t="shared" si="563"/>
        <v>=5702*10000</v>
      </c>
      <c r="AD1197" s="1">
        <f>5702*10000</f>
        <v>57020000</v>
      </c>
      <c r="AE1197" s="8">
        <f t="shared" si="580"/>
        <v>2.2360953461975028</v>
      </c>
      <c r="AF1197" s="7" t="s">
        <v>12158</v>
      </c>
      <c r="AG1197" s="6" t="str">
        <f t="shared" si="564"/>
        <v>=1762*10000</v>
      </c>
      <c r="AH1197" s="1">
        <f>1762*10000</f>
        <v>17620000</v>
      </c>
      <c r="AI1197" s="8">
        <f t="shared" si="581"/>
        <v>-1.0070395525369558</v>
      </c>
      <c r="AJ1197" s="6">
        <f>-25.03*100000000</f>
        <v>-2503000000</v>
      </c>
      <c r="AK1197" s="6" t="str">
        <f t="shared" si="565"/>
        <v>=-2503000000</v>
      </c>
      <c r="AL1197" s="1">
        <f>-2503000000</f>
        <v>-2503000000</v>
      </c>
      <c r="AM1197" s="8">
        <f t="shared" si="582"/>
        <v>-19.91912320483749</v>
      </c>
      <c r="AN1197" s="6" t="s">
        <v>4431</v>
      </c>
      <c r="AO1197" s="6" t="str">
        <f t="shared" si="566"/>
        <v>=1.323*100000000</v>
      </c>
      <c r="AP1197" s="1">
        <f>1.323*100000000</f>
        <v>132300000</v>
      </c>
      <c r="AQ1197" s="8">
        <f t="shared" si="583"/>
        <v>0.46236321432519067</v>
      </c>
      <c r="AR1197" s="7" t="s">
        <v>12159</v>
      </c>
      <c r="AS1197" s="6" t="str">
        <f t="shared" si="567"/>
        <v>=9047*10000</v>
      </c>
      <c r="AT1197" s="1">
        <f>9047*10000</f>
        <v>90470000</v>
      </c>
      <c r="AU1197" s="8">
        <f t="shared" si="584"/>
        <v>2.8712023962344886</v>
      </c>
      <c r="AV1197" s="7" t="s">
        <v>6559</v>
      </c>
      <c r="AW1197" s="6" t="str">
        <f t="shared" si="568"/>
        <v>=2337*10000</v>
      </c>
      <c r="AX1197" s="1">
        <f>2337*10000</f>
        <v>23370000</v>
      </c>
      <c r="AY1197" s="10">
        <f t="shared" si="585"/>
        <v>-0.91834381551362687</v>
      </c>
      <c r="AZ1197" s="6" t="s">
        <v>2987</v>
      </c>
      <c r="BA1197" s="6" t="str">
        <f t="shared" si="569"/>
        <v>=2.862*100000000</v>
      </c>
      <c r="BB1197" s="1">
        <f>2.862*100000000</f>
        <v>286200000</v>
      </c>
      <c r="BC1197" s="8">
        <f t="shared" si="586"/>
        <v>-0.37890624999999994</v>
      </c>
      <c r="BD1197" s="6" t="s">
        <v>12160</v>
      </c>
      <c r="BE1197" s="6" t="str">
        <f t="shared" si="570"/>
        <v>=4.608*100000000</v>
      </c>
      <c r="BF1197" s="1">
        <f>4.608*100000000</f>
        <v>460799999.99999994</v>
      </c>
      <c r="BG1197" s="8">
        <f t="shared" si="587"/>
        <v>0.16954314720812166</v>
      </c>
      <c r="BH1197" s="6" t="s">
        <v>12161</v>
      </c>
      <c r="BI1197" s="6" t="str">
        <f t="shared" si="571"/>
        <v>=3.940*100000000</v>
      </c>
      <c r="BJ1197" s="1">
        <f>3.94*100000000</f>
        <v>394000000</v>
      </c>
      <c r="BK1197" s="7" t="s">
        <v>12162</v>
      </c>
      <c r="BL1197" s="1" t="str">
        <f t="shared" si="573"/>
        <v>=9022*10000</v>
      </c>
      <c r="BM1197" s="16">
        <f t="shared" si="588"/>
        <v>3.3671026379960098</v>
      </c>
      <c r="BN1197" s="1">
        <f>9022*10000</f>
        <v>90220000</v>
      </c>
    </row>
    <row r="1198" spans="1:66">
      <c r="A1198" s="17">
        <v>301</v>
      </c>
      <c r="B1198">
        <v>600992</v>
      </c>
      <c r="C1198" t="s">
        <v>31</v>
      </c>
      <c r="D1198" s="6" t="s">
        <v>12163</v>
      </c>
      <c r="E1198" s="7" t="str">
        <f t="shared" si="572"/>
        <v>=25.29*100000000</v>
      </c>
      <c r="F1198" s="1">
        <f>25.29*100000000</f>
        <v>2529000000</v>
      </c>
      <c r="G1198" s="8">
        <f t="shared" si="574"/>
        <v>0.45094664371772808</v>
      </c>
      <c r="H1198" s="6" t="s">
        <v>11853</v>
      </c>
      <c r="I1198" s="6" t="str">
        <f t="shared" si="558"/>
        <v>=17.43*100000000</v>
      </c>
      <c r="J1198" s="1">
        <f>17.43*100000000</f>
        <v>1743000000</v>
      </c>
      <c r="K1198" s="10">
        <f t="shared" si="575"/>
        <v>0.59032846715328469</v>
      </c>
      <c r="L1198" s="6" t="s">
        <v>1387</v>
      </c>
      <c r="M1198" s="6" t="str">
        <f t="shared" si="559"/>
        <v>=10.96*100000000</v>
      </c>
      <c r="N1198" s="1">
        <f>10.96*100000000</f>
        <v>1096000000</v>
      </c>
      <c r="O1198" s="8">
        <f t="shared" si="576"/>
        <v>1.5818610129564192</v>
      </c>
      <c r="P1198" s="6" t="s">
        <v>8046</v>
      </c>
      <c r="Q1198" s="6" t="str">
        <f t="shared" si="560"/>
        <v>=4.245*100000000</v>
      </c>
      <c r="R1198" s="11">
        <f>4.245*100000000</f>
        <v>424500000</v>
      </c>
      <c r="S1198" s="8">
        <f t="shared" si="577"/>
        <v>-0.80070422535211272</v>
      </c>
      <c r="T1198" s="6" t="s">
        <v>1875</v>
      </c>
      <c r="U1198" s="6" t="str">
        <f t="shared" si="561"/>
        <v>=21.30*100000000</v>
      </c>
      <c r="V1198" s="1">
        <f>21.3*100000000</f>
        <v>2130000000</v>
      </c>
      <c r="W1198" s="8">
        <f t="shared" si="578"/>
        <v>0.42379679144385024</v>
      </c>
      <c r="X1198" s="6" t="s">
        <v>7094</v>
      </c>
      <c r="Y1198" s="6" t="str">
        <f t="shared" si="562"/>
        <v>=14.96*100000000</v>
      </c>
      <c r="Z1198" s="1">
        <f>14.96*100000000</f>
        <v>1496000000</v>
      </c>
      <c r="AA1198" s="8">
        <f t="shared" si="579"/>
        <v>0.58541754980924121</v>
      </c>
      <c r="AB1198" s="6" t="s">
        <v>12164</v>
      </c>
      <c r="AC1198" s="6" t="str">
        <f t="shared" si="563"/>
        <v>=9.436*100000000</v>
      </c>
      <c r="AD1198" s="1">
        <f>9.436*100000000</f>
        <v>943600000</v>
      </c>
      <c r="AE1198" s="8">
        <f t="shared" si="580"/>
        <v>1.6335473067262072</v>
      </c>
      <c r="AF1198" s="6" t="s">
        <v>3275</v>
      </c>
      <c r="AG1198" s="6" t="str">
        <f t="shared" si="564"/>
        <v>=3.583*100000000</v>
      </c>
      <c r="AH1198" s="1">
        <f>3.583*100000000</f>
        <v>358300000</v>
      </c>
      <c r="AI1198" s="8">
        <f t="shared" si="581"/>
        <v>-0.83624314442413161</v>
      </c>
      <c r="AJ1198" s="6" t="s">
        <v>12165</v>
      </c>
      <c r="AK1198" s="6" t="str">
        <f t="shared" si="565"/>
        <v>=21.88*100000000</v>
      </c>
      <c r="AL1198" s="1">
        <f>21.88*100000000</f>
        <v>2188000000</v>
      </c>
      <c r="AM1198" s="8">
        <f t="shared" si="582"/>
        <v>0.3062686567164179</v>
      </c>
      <c r="AN1198" s="6" t="s">
        <v>3127</v>
      </c>
      <c r="AO1198" s="6" t="str">
        <f t="shared" si="566"/>
        <v>=16.75*100000000</v>
      </c>
      <c r="AP1198" s="1">
        <f>16.75*100000000</f>
        <v>1675000000</v>
      </c>
      <c r="AQ1198" s="8">
        <f t="shared" si="583"/>
        <v>0.53247941445562674</v>
      </c>
      <c r="AR1198" s="6" t="s">
        <v>1379</v>
      </c>
      <c r="AS1198" s="6" t="str">
        <f t="shared" si="567"/>
        <v>=10.93*100000000</v>
      </c>
      <c r="AT1198" s="1">
        <f>10.93*100000000</f>
        <v>1093000000</v>
      </c>
      <c r="AU1198" s="8">
        <f t="shared" si="584"/>
        <v>0.91418563922942209</v>
      </c>
      <c r="AV1198" s="6" t="s">
        <v>12166</v>
      </c>
      <c r="AW1198" s="6" t="str">
        <f t="shared" si="568"/>
        <v>=5.710*100000000</v>
      </c>
      <c r="AX1198" s="1">
        <f>5.71*100000000</f>
        <v>571000000</v>
      </c>
      <c r="AY1198" s="10">
        <f t="shared" si="585"/>
        <v>-0.72495183044315992</v>
      </c>
      <c r="AZ1198" s="6" t="s">
        <v>6011</v>
      </c>
      <c r="BA1198" s="6" t="str">
        <f t="shared" si="569"/>
        <v>=20.76*100000000</v>
      </c>
      <c r="BB1198" s="1">
        <f>20.76*100000000</f>
        <v>2076000000.0000002</v>
      </c>
      <c r="BC1198" s="8">
        <f t="shared" si="586"/>
        <v>0.34630350194552545</v>
      </c>
      <c r="BD1198" s="6" t="s">
        <v>6448</v>
      </c>
      <c r="BE1198" s="6" t="str">
        <f t="shared" si="570"/>
        <v>=15.42*100000000</v>
      </c>
      <c r="BF1198" s="1">
        <f>15.42*100000000</f>
        <v>1542000000</v>
      </c>
      <c r="BG1198" s="8">
        <f t="shared" si="587"/>
        <v>0.56675472464946153</v>
      </c>
      <c r="BH1198" s="6" t="s">
        <v>12167</v>
      </c>
      <c r="BI1198" s="6" t="str">
        <f t="shared" si="571"/>
        <v>=9.842*100000000</v>
      </c>
      <c r="BJ1198" s="1">
        <f>9.842*100000000</f>
        <v>984200000</v>
      </c>
      <c r="BK1198" s="6" t="s">
        <v>9207</v>
      </c>
      <c r="BL1198" s="1" t="str">
        <f t="shared" si="573"/>
        <v>=4.427*100000000</v>
      </c>
      <c r="BM1198" s="16">
        <f t="shared" si="588"/>
        <v>1.2231759656652361</v>
      </c>
      <c r="BN1198" s="1">
        <f>4.427*100000000</f>
        <v>442699999.99999994</v>
      </c>
    </row>
    <row r="1199" spans="1:66">
      <c r="A1199" s="18"/>
      <c r="B1199">
        <v>600992</v>
      </c>
      <c r="C1199" t="s">
        <v>48</v>
      </c>
      <c r="D1199" s="7" t="s">
        <v>12168</v>
      </c>
      <c r="E1199" s="7" t="str">
        <f t="shared" si="572"/>
        <v>=3605*10000</v>
      </c>
      <c r="F1199" s="1">
        <f>3605*10000</f>
        <v>36050000</v>
      </c>
      <c r="G1199" s="8">
        <f t="shared" si="574"/>
        <v>0.3686408504176158</v>
      </c>
      <c r="H1199" s="7" t="s">
        <v>12169</v>
      </c>
      <c r="I1199" s="6" t="str">
        <f t="shared" si="558"/>
        <v>=2634*10000</v>
      </c>
      <c r="J1199" s="1">
        <f>2634*10000</f>
        <v>26340000</v>
      </c>
      <c r="K1199" s="10">
        <f t="shared" si="575"/>
        <v>0.57630161579892281</v>
      </c>
      <c r="L1199" s="7" t="s">
        <v>12170</v>
      </c>
      <c r="M1199" s="6" t="str">
        <f t="shared" si="559"/>
        <v>=1671*10000</v>
      </c>
      <c r="N1199" s="1">
        <f>1671*10000</f>
        <v>16710000</v>
      </c>
      <c r="O1199" s="8">
        <f t="shared" si="576"/>
        <v>2.2997630331753554</v>
      </c>
      <c r="P1199" s="7" t="s">
        <v>12171</v>
      </c>
      <c r="Q1199" s="6" t="str">
        <f t="shared" si="560"/>
        <v>=506.4*10000</v>
      </c>
      <c r="R1199" s="11">
        <f>506.4*10000</f>
        <v>5064000</v>
      </c>
      <c r="S1199" s="8">
        <f t="shared" si="577"/>
        <v>-0.85410544511668107</v>
      </c>
      <c r="T1199" s="7" t="s">
        <v>12172</v>
      </c>
      <c r="U1199" s="6" t="str">
        <f t="shared" si="561"/>
        <v>=3471*10000</v>
      </c>
      <c r="V1199" s="1">
        <f>3471*10000</f>
        <v>34710000</v>
      </c>
      <c r="W1199" s="8">
        <f t="shared" si="578"/>
        <v>0.42898312062577193</v>
      </c>
      <c r="X1199" s="7" t="s">
        <v>12173</v>
      </c>
      <c r="Y1199" s="6" t="str">
        <f t="shared" si="562"/>
        <v>=2429*10000</v>
      </c>
      <c r="Z1199" s="1">
        <f>2429*10000</f>
        <v>24290000</v>
      </c>
      <c r="AA1199" s="8">
        <f t="shared" si="579"/>
        <v>0.62366310160427807</v>
      </c>
      <c r="AB1199" s="7" t="s">
        <v>12174</v>
      </c>
      <c r="AC1199" s="6" t="str">
        <f t="shared" si="563"/>
        <v>=1496*10000</v>
      </c>
      <c r="AD1199" s="1">
        <f>1496*10000</f>
        <v>14960000</v>
      </c>
      <c r="AE1199" s="8">
        <f t="shared" si="580"/>
        <v>-3.6647666547915922</v>
      </c>
      <c r="AF1199" s="7">
        <f>-561.4*10000</f>
        <v>-5614000</v>
      </c>
      <c r="AG1199" s="6" t="str">
        <f t="shared" si="564"/>
        <v>=-5614000</v>
      </c>
      <c r="AH1199" s="1">
        <f>-5614000</f>
        <v>-5614000</v>
      </c>
      <c r="AI1199" s="8">
        <f t="shared" si="581"/>
        <v>-1.1668350668647844</v>
      </c>
      <c r="AJ1199" s="7" t="s">
        <v>4466</v>
      </c>
      <c r="AK1199" s="6" t="str">
        <f t="shared" si="565"/>
        <v>=3365*10000</v>
      </c>
      <c r="AL1199" s="1">
        <f>3365*10000</f>
        <v>33650000</v>
      </c>
      <c r="AM1199" s="8">
        <f t="shared" si="582"/>
        <v>0.4882795223352499</v>
      </c>
      <c r="AN1199" s="7" t="s">
        <v>5935</v>
      </c>
      <c r="AO1199" s="6" t="str">
        <f t="shared" si="566"/>
        <v>=2261*10000</v>
      </c>
      <c r="AP1199" s="1">
        <f>2261*10000</f>
        <v>22610000</v>
      </c>
      <c r="AQ1199" s="8">
        <f t="shared" si="583"/>
        <v>0.52461227242076869</v>
      </c>
      <c r="AR1199" s="7" t="s">
        <v>10976</v>
      </c>
      <c r="AS1199" s="6" t="str">
        <f t="shared" si="567"/>
        <v>=1483*10000</v>
      </c>
      <c r="AT1199" s="1">
        <f>1483*10000</f>
        <v>14830000</v>
      </c>
      <c r="AU1199" s="8">
        <f t="shared" si="584"/>
        <v>1.2500379305113032</v>
      </c>
      <c r="AV1199" s="7" t="s">
        <v>12175</v>
      </c>
      <c r="AW1199" s="6" t="str">
        <f t="shared" si="568"/>
        <v>=659.1*10000</v>
      </c>
      <c r="AX1199" s="1">
        <f>659.1*10000</f>
        <v>6591000</v>
      </c>
      <c r="AY1199" s="10">
        <f t="shared" si="585"/>
        <v>-0.77941767068273093</v>
      </c>
      <c r="AZ1199" s="7" t="s">
        <v>12176</v>
      </c>
      <c r="BA1199" s="6" t="str">
        <f t="shared" si="569"/>
        <v>=2988*10000</v>
      </c>
      <c r="BB1199" s="1">
        <f>2988*10000</f>
        <v>29880000</v>
      </c>
      <c r="BC1199" s="8">
        <f t="shared" si="586"/>
        <v>0.49849548645937813</v>
      </c>
      <c r="BD1199" s="7" t="s">
        <v>12177</v>
      </c>
      <c r="BE1199" s="6" t="str">
        <f t="shared" si="570"/>
        <v>=1994*10000</v>
      </c>
      <c r="BF1199" s="1">
        <f>1994*10000</f>
        <v>19940000</v>
      </c>
      <c r="BG1199" s="8">
        <f t="shared" si="587"/>
        <v>0.43659942363112392</v>
      </c>
      <c r="BH1199" s="7" t="s">
        <v>12178</v>
      </c>
      <c r="BI1199" s="6" t="str">
        <f t="shared" si="571"/>
        <v>=1388*10000</v>
      </c>
      <c r="BJ1199" s="1">
        <f>1388*10000</f>
        <v>13880000</v>
      </c>
      <c r="BK1199" s="7" t="s">
        <v>12179</v>
      </c>
      <c r="BL1199" s="1" t="str">
        <f t="shared" si="573"/>
        <v>=601.6*10000</v>
      </c>
      <c r="BM1199" s="16">
        <f t="shared" si="588"/>
        <v>1.3071808510638299</v>
      </c>
      <c r="BN1199" s="1">
        <f>601.6*10000</f>
        <v>6016000</v>
      </c>
    </row>
    <row r="1200" spans="1:66">
      <c r="A1200" s="18"/>
      <c r="B1200">
        <v>600992</v>
      </c>
      <c r="C1200" t="s">
        <v>58</v>
      </c>
      <c r="D1200" s="7" t="s">
        <v>12180</v>
      </c>
      <c r="E1200" s="7" t="str">
        <f t="shared" si="572"/>
        <v>=3600*10000</v>
      </c>
      <c r="F1200" s="1">
        <f>3600*10000</f>
        <v>36000000</v>
      </c>
      <c r="G1200" s="8">
        <f t="shared" si="574"/>
        <v>0.3693419551160137</v>
      </c>
      <c r="H1200" s="7" t="s">
        <v>12181</v>
      </c>
      <c r="I1200" s="6" t="str">
        <f t="shared" si="558"/>
        <v>=2629*10000</v>
      </c>
      <c r="J1200" s="1">
        <f>2629*10000</f>
        <v>26290000</v>
      </c>
      <c r="K1200" s="10">
        <f t="shared" si="575"/>
        <v>0.57897897897897899</v>
      </c>
      <c r="L1200" s="7" t="s">
        <v>12182</v>
      </c>
      <c r="M1200" s="6" t="str">
        <f t="shared" si="559"/>
        <v>=1665*10000</v>
      </c>
      <c r="N1200" s="1">
        <f>1665*10000</f>
        <v>16650000</v>
      </c>
      <c r="O1200" s="8">
        <f t="shared" si="576"/>
        <v>2.2911642617118009</v>
      </c>
      <c r="P1200" s="7" t="s">
        <v>12183</v>
      </c>
      <c r="Q1200" s="6" t="str">
        <f t="shared" si="560"/>
        <v>=505.9*10000</v>
      </c>
      <c r="R1200" s="11">
        <f>505.9*10000</f>
        <v>5059000</v>
      </c>
      <c r="S1200" s="8">
        <f t="shared" si="577"/>
        <v>-0.8542074927953891</v>
      </c>
      <c r="T1200" s="7" t="s">
        <v>12184</v>
      </c>
      <c r="U1200" s="6" t="str">
        <f t="shared" si="561"/>
        <v>=3470*10000</v>
      </c>
      <c r="V1200" s="1">
        <f>3470*10000</f>
        <v>34700000</v>
      </c>
      <c r="W1200" s="8">
        <f t="shared" si="578"/>
        <v>0.42857142857142855</v>
      </c>
      <c r="X1200" s="7" t="s">
        <v>12173</v>
      </c>
      <c r="Y1200" s="6" t="str">
        <f t="shared" si="562"/>
        <v>=2429*10000</v>
      </c>
      <c r="Z1200" s="1">
        <f>2429*10000</f>
        <v>24290000</v>
      </c>
      <c r="AA1200" s="8">
        <f t="shared" si="579"/>
        <v>0.62366310160427807</v>
      </c>
      <c r="AB1200" s="7" t="s">
        <v>12174</v>
      </c>
      <c r="AC1200" s="6" t="str">
        <f t="shared" si="563"/>
        <v>=1496*10000</v>
      </c>
      <c r="AD1200" s="1">
        <f>1496*10000</f>
        <v>14960000</v>
      </c>
      <c r="AE1200" s="8">
        <f t="shared" si="580"/>
        <v>-3.6647666547915922</v>
      </c>
      <c r="AF1200" s="7">
        <f>-561.4*10000</f>
        <v>-5614000</v>
      </c>
      <c r="AG1200" s="6" t="str">
        <f t="shared" si="564"/>
        <v>=-5614000</v>
      </c>
      <c r="AH1200" s="1">
        <f>-5614000</f>
        <v>-5614000</v>
      </c>
      <c r="AI1200" s="8">
        <f t="shared" si="581"/>
        <v>-1.1671828469326981</v>
      </c>
      <c r="AJ1200" s="7" t="s">
        <v>12185</v>
      </c>
      <c r="AK1200" s="6" t="str">
        <f t="shared" si="565"/>
        <v>=3358*10000</v>
      </c>
      <c r="AL1200" s="1">
        <f>3358*10000</f>
        <v>33580000</v>
      </c>
      <c r="AM1200" s="8">
        <f t="shared" si="582"/>
        <v>0.48584070796460177</v>
      </c>
      <c r="AN1200" s="7" t="s">
        <v>12186</v>
      </c>
      <c r="AO1200" s="6" t="str">
        <f t="shared" si="566"/>
        <v>=2260*10000</v>
      </c>
      <c r="AP1200" s="1">
        <f>2260*10000</f>
        <v>22600000</v>
      </c>
      <c r="AQ1200" s="8">
        <f t="shared" si="583"/>
        <v>0.52393796358732303</v>
      </c>
      <c r="AR1200" s="7" t="s">
        <v>10976</v>
      </c>
      <c r="AS1200" s="6" t="str">
        <f t="shared" si="567"/>
        <v>=1483*10000</v>
      </c>
      <c r="AT1200" s="1">
        <f>1483*10000</f>
        <v>14830000</v>
      </c>
      <c r="AU1200" s="8">
        <f t="shared" si="584"/>
        <v>1.2500379305113032</v>
      </c>
      <c r="AV1200" s="7" t="s">
        <v>12175</v>
      </c>
      <c r="AW1200" s="6" t="str">
        <f t="shared" si="568"/>
        <v>=659.1*10000</v>
      </c>
      <c r="AX1200" s="1">
        <f>659.1*10000</f>
        <v>6591000</v>
      </c>
      <c r="AY1200" s="10">
        <f t="shared" si="585"/>
        <v>-0.77897384305835005</v>
      </c>
      <c r="AZ1200" s="7" t="s">
        <v>12187</v>
      </c>
      <c r="BA1200" s="6" t="str">
        <f t="shared" si="569"/>
        <v>=2982*10000</v>
      </c>
      <c r="BB1200" s="1">
        <f>2982*10000</f>
        <v>29820000</v>
      </c>
      <c r="BC1200" s="8">
        <f t="shared" si="586"/>
        <v>0.49698795180722893</v>
      </c>
      <c r="BD1200" s="7" t="s">
        <v>3284</v>
      </c>
      <c r="BE1200" s="6" t="str">
        <f t="shared" si="570"/>
        <v>=1992*10000</v>
      </c>
      <c r="BF1200" s="1">
        <f>1992*10000</f>
        <v>19920000</v>
      </c>
      <c r="BG1200" s="8">
        <f t="shared" si="587"/>
        <v>0.43619322278298484</v>
      </c>
      <c r="BH1200" s="7" t="s">
        <v>12188</v>
      </c>
      <c r="BI1200" s="6" t="str">
        <f t="shared" si="571"/>
        <v>=1387*10000</v>
      </c>
      <c r="BJ1200" s="1">
        <f>1387*10000</f>
        <v>13870000</v>
      </c>
      <c r="BK1200" s="7" t="s">
        <v>12189</v>
      </c>
      <c r="BL1200" s="1" t="str">
        <f t="shared" si="573"/>
        <v>=601.1*10000</v>
      </c>
      <c r="BM1200" s="16">
        <f t="shared" si="588"/>
        <v>1.3074363666611213</v>
      </c>
      <c r="BN1200" s="1">
        <f>601.1*10000</f>
        <v>6011000</v>
      </c>
    </row>
    <row r="1201" spans="1:66">
      <c r="A1201" s="19"/>
      <c r="B1201">
        <v>600992</v>
      </c>
      <c r="C1201" t="s">
        <v>68</v>
      </c>
      <c r="D1201" s="7" t="s">
        <v>12190</v>
      </c>
      <c r="E1201" s="7" t="str">
        <f t="shared" si="572"/>
        <v>=3103*10000</v>
      </c>
      <c r="F1201" s="1">
        <f>3103*10000</f>
        <v>31030000</v>
      </c>
      <c r="G1201" s="8">
        <f t="shared" si="574"/>
        <v>0.47691575440266537</v>
      </c>
      <c r="H1201" s="7" t="s">
        <v>8475</v>
      </c>
      <c r="I1201" s="6" t="str">
        <f t="shared" si="558"/>
        <v>=2101*10000</v>
      </c>
      <c r="J1201" s="1">
        <f>2101*10000</f>
        <v>21010000</v>
      </c>
      <c r="K1201" s="10">
        <f t="shared" si="575"/>
        <v>0.48690728945506018</v>
      </c>
      <c r="L1201" s="7" t="s">
        <v>12191</v>
      </c>
      <c r="M1201" s="6" t="str">
        <f t="shared" si="559"/>
        <v>=1413*10000</v>
      </c>
      <c r="N1201" s="1">
        <f>1413*10000</f>
        <v>14130000</v>
      </c>
      <c r="O1201" s="8">
        <f t="shared" si="576"/>
        <v>2.286046511627907</v>
      </c>
      <c r="P1201" s="7" t="s">
        <v>12192</v>
      </c>
      <c r="Q1201" s="6" t="str">
        <f t="shared" si="560"/>
        <v>=430.0*10000</v>
      </c>
      <c r="R1201" s="11">
        <f>430*10000</f>
        <v>4300000</v>
      </c>
      <c r="S1201" s="8">
        <f t="shared" si="577"/>
        <v>-0.8575687313680026</v>
      </c>
      <c r="T1201" s="7" t="s">
        <v>11031</v>
      </c>
      <c r="U1201" s="6" t="str">
        <f t="shared" si="561"/>
        <v>=3019*10000</v>
      </c>
      <c r="V1201" s="1">
        <f>3019*10000</f>
        <v>30190000</v>
      </c>
      <c r="W1201" s="8">
        <f t="shared" si="578"/>
        <v>0.47845249755142016</v>
      </c>
      <c r="X1201" s="7" t="s">
        <v>10409</v>
      </c>
      <c r="Y1201" s="6" t="str">
        <f t="shared" si="562"/>
        <v>=2042*10000</v>
      </c>
      <c r="Z1201" s="1">
        <f>2042*10000</f>
        <v>20420000</v>
      </c>
      <c r="AA1201" s="8">
        <f t="shared" si="579"/>
        <v>0.61678543151227239</v>
      </c>
      <c r="AB1201" s="7" t="s">
        <v>12193</v>
      </c>
      <c r="AC1201" s="6" t="str">
        <f t="shared" si="563"/>
        <v>=1263*10000</v>
      </c>
      <c r="AD1201" s="1">
        <f>1263*10000</f>
        <v>12630000</v>
      </c>
      <c r="AE1201" s="8">
        <f t="shared" si="580"/>
        <v>-3.2497328108300678</v>
      </c>
      <c r="AF1201" s="7">
        <f>-561.4*10000</f>
        <v>-5614000</v>
      </c>
      <c r="AG1201" s="6" t="str">
        <f t="shared" si="564"/>
        <v>=-5614000</v>
      </c>
      <c r="AH1201" s="1">
        <f>-5614000</f>
        <v>-5614000</v>
      </c>
      <c r="AI1201" s="8">
        <f t="shared" si="581"/>
        <v>-1.1922602739726027</v>
      </c>
      <c r="AJ1201" s="7" t="s">
        <v>12194</v>
      </c>
      <c r="AK1201" s="6" t="str">
        <f t="shared" si="565"/>
        <v>=2920*10000</v>
      </c>
      <c r="AL1201" s="1">
        <f>2920*10000</f>
        <v>29200000</v>
      </c>
      <c r="AM1201" s="8">
        <f t="shared" si="582"/>
        <v>0.50670794633642935</v>
      </c>
      <c r="AN1201" s="7" t="s">
        <v>12195</v>
      </c>
      <c r="AO1201" s="6" t="str">
        <f t="shared" si="566"/>
        <v>=1938*10000</v>
      </c>
      <c r="AP1201" s="1">
        <f>1938*10000</f>
        <v>19380000</v>
      </c>
      <c r="AQ1201" s="8">
        <f t="shared" si="583"/>
        <v>0.53565768621236132</v>
      </c>
      <c r="AR1201" s="7" t="s">
        <v>4777</v>
      </c>
      <c r="AS1201" s="6" t="str">
        <f t="shared" si="567"/>
        <v>=1262*10000</v>
      </c>
      <c r="AT1201" s="1">
        <f>1262*10000</f>
        <v>12620000</v>
      </c>
      <c r="AU1201" s="8">
        <f t="shared" si="584"/>
        <v>0.96298024576139374</v>
      </c>
      <c r="AV1201" s="7" t="s">
        <v>12196</v>
      </c>
      <c r="AW1201" s="6" t="str">
        <f t="shared" si="568"/>
        <v>=642.9*10000</v>
      </c>
      <c r="AX1201" s="1">
        <f>642.9*10000</f>
        <v>6429000</v>
      </c>
      <c r="AY1201" s="10">
        <f t="shared" si="585"/>
        <v>-0.74896524795001951</v>
      </c>
      <c r="AZ1201" s="7" t="s">
        <v>11338</v>
      </c>
      <c r="BA1201" s="6" t="str">
        <f t="shared" si="569"/>
        <v>=2561*10000</v>
      </c>
      <c r="BB1201" s="1">
        <f>2561*10000</f>
        <v>25610000</v>
      </c>
      <c r="BC1201" s="8">
        <f t="shared" si="586"/>
        <v>0.50381679389312972</v>
      </c>
      <c r="BD1201" s="7" t="s">
        <v>12197</v>
      </c>
      <c r="BE1201" s="6" t="str">
        <f t="shared" si="570"/>
        <v>=1703*10000</v>
      </c>
      <c r="BF1201" s="1">
        <f>1703*10000</f>
        <v>17030000</v>
      </c>
      <c r="BG1201" s="8">
        <f t="shared" si="587"/>
        <v>0.46180257510729616</v>
      </c>
      <c r="BH1201" s="7" t="s">
        <v>12198</v>
      </c>
      <c r="BI1201" s="6" t="str">
        <f t="shared" si="571"/>
        <v>=1165*10000</v>
      </c>
      <c r="BJ1201" s="1">
        <f>1165*10000</f>
        <v>11650000</v>
      </c>
      <c r="BK1201" s="7" t="s">
        <v>12199</v>
      </c>
      <c r="BL1201" s="1" t="str">
        <f t="shared" si="573"/>
        <v>=523.6*10000</v>
      </c>
      <c r="BM1201" s="16">
        <f t="shared" si="588"/>
        <v>1.2249809014514896</v>
      </c>
      <c r="BN1201" s="1">
        <f>523.6*10000</f>
        <v>5236000</v>
      </c>
    </row>
    <row r="1202" spans="1:66">
      <c r="A1202" s="17">
        <v>302</v>
      </c>
      <c r="B1202">
        <v>600993</v>
      </c>
      <c r="C1202" t="s">
        <v>31</v>
      </c>
      <c r="D1202" s="6" t="s">
        <v>6360</v>
      </c>
      <c r="E1202" s="7" t="str">
        <f t="shared" si="572"/>
        <v>=33.85*100000000</v>
      </c>
      <c r="F1202" s="1">
        <f>33.85*100000000</f>
        <v>3385000000</v>
      </c>
      <c r="G1202" s="8">
        <f t="shared" si="574"/>
        <v>0.33794466403162055</v>
      </c>
      <c r="H1202" s="6" t="s">
        <v>8573</v>
      </c>
      <c r="I1202" s="6" t="str">
        <f t="shared" si="558"/>
        <v>=25.30*100000000</v>
      </c>
      <c r="J1202" s="1">
        <f>25.3*100000000</f>
        <v>2530000000</v>
      </c>
      <c r="K1202" s="10">
        <f t="shared" si="575"/>
        <v>0.51678657074340528</v>
      </c>
      <c r="L1202" s="6" t="s">
        <v>2077</v>
      </c>
      <c r="M1202" s="6" t="str">
        <f t="shared" si="559"/>
        <v>=16.68*100000000</v>
      </c>
      <c r="N1202" s="1">
        <f>16.68*100000000</f>
        <v>1668000000</v>
      </c>
      <c r="O1202" s="8">
        <f t="shared" si="576"/>
        <v>0.93728222996515675</v>
      </c>
      <c r="P1202" s="6" t="s">
        <v>12200</v>
      </c>
      <c r="Q1202" s="6" t="str">
        <f t="shared" si="560"/>
        <v>=8.610*100000000</v>
      </c>
      <c r="R1202" s="11">
        <f>8.61*100000000</f>
        <v>861000000</v>
      </c>
      <c r="S1202" s="8">
        <f t="shared" si="577"/>
        <v>-0.69161891117478513</v>
      </c>
      <c r="T1202" s="6" t="s">
        <v>3126</v>
      </c>
      <c r="U1202" s="6" t="str">
        <f t="shared" si="561"/>
        <v>=27.92*100000000</v>
      </c>
      <c r="V1202" s="1">
        <f>27.92*100000000</f>
        <v>2792000000</v>
      </c>
      <c r="W1202" s="8">
        <f t="shared" si="578"/>
        <v>0.60922190201729087</v>
      </c>
      <c r="X1202" s="6" t="s">
        <v>6749</v>
      </c>
      <c r="Y1202" s="6" t="str">
        <f t="shared" si="562"/>
        <v>=17.35*100000000</v>
      </c>
      <c r="Z1202" s="1">
        <f>17.35*100000000</f>
        <v>1735000000.0000002</v>
      </c>
      <c r="AA1202" s="8">
        <f t="shared" si="579"/>
        <v>0.76842319845071883</v>
      </c>
      <c r="AB1202" s="6" t="s">
        <v>12201</v>
      </c>
      <c r="AC1202" s="6" t="str">
        <f t="shared" si="563"/>
        <v>=9.811*100000000</v>
      </c>
      <c r="AD1202" s="1">
        <f>9.811*100000000</f>
        <v>981100000</v>
      </c>
      <c r="AE1202" s="8">
        <f t="shared" si="580"/>
        <v>1.926909307875895</v>
      </c>
      <c r="AF1202" s="6" t="s">
        <v>1935</v>
      </c>
      <c r="AG1202" s="6" t="str">
        <f t="shared" si="564"/>
        <v>=3.352*100000000</v>
      </c>
      <c r="AH1202" s="1">
        <f>3.352*100000000</f>
        <v>335200000</v>
      </c>
      <c r="AI1202" s="8">
        <f t="shared" si="581"/>
        <v>-0.8760813308687615</v>
      </c>
      <c r="AJ1202" s="6" t="s">
        <v>4135</v>
      </c>
      <c r="AK1202" s="6" t="str">
        <f t="shared" si="565"/>
        <v>=27.05*100000000</v>
      </c>
      <c r="AL1202" s="1">
        <f>27.05*100000000</f>
        <v>2705000000</v>
      </c>
      <c r="AM1202" s="8">
        <f t="shared" si="582"/>
        <v>0.40665626625065004</v>
      </c>
      <c r="AN1202" s="6" t="s">
        <v>12202</v>
      </c>
      <c r="AO1202" s="6" t="str">
        <f t="shared" si="566"/>
        <v>=19.23*100000000</v>
      </c>
      <c r="AP1202" s="1">
        <f>19.23*100000000</f>
        <v>1923000000</v>
      </c>
      <c r="AQ1202" s="8">
        <f t="shared" si="583"/>
        <v>0.50823529411764701</v>
      </c>
      <c r="AR1202" s="6" t="s">
        <v>901</v>
      </c>
      <c r="AS1202" s="6" t="str">
        <f t="shared" si="567"/>
        <v>=12.75*100000000</v>
      </c>
      <c r="AT1202" s="1">
        <f>12.75*100000000</f>
        <v>1275000000</v>
      </c>
      <c r="AU1202" s="8">
        <f t="shared" si="584"/>
        <v>1.0901639344262295</v>
      </c>
      <c r="AV1202" s="6" t="s">
        <v>12203</v>
      </c>
      <c r="AW1202" s="6" t="str">
        <f t="shared" si="568"/>
        <v>=6.100*100000000</v>
      </c>
      <c r="AX1202" s="1">
        <f>6.1*100000000</f>
        <v>610000000</v>
      </c>
      <c r="AY1202" s="10">
        <f t="shared" si="585"/>
        <v>-0.72247497725204735</v>
      </c>
      <c r="AZ1202" s="6" t="s">
        <v>4988</v>
      </c>
      <c r="BA1202" s="6" t="str">
        <f t="shared" si="569"/>
        <v>=21.98*100000000</v>
      </c>
      <c r="BB1202" s="1">
        <f>21.98*100000000</f>
        <v>2198000000</v>
      </c>
      <c r="BC1202" s="8">
        <f t="shared" si="586"/>
        <v>0.3806532663316583</v>
      </c>
      <c r="BD1202" s="6" t="s">
        <v>7437</v>
      </c>
      <c r="BE1202" s="6" t="str">
        <f t="shared" si="570"/>
        <v>=15.92*100000000</v>
      </c>
      <c r="BF1202" s="1">
        <f>15.92*100000000</f>
        <v>1592000000</v>
      </c>
      <c r="BG1202" s="8">
        <f t="shared" si="587"/>
        <v>0.48507462686567149</v>
      </c>
      <c r="BH1202" s="6" t="s">
        <v>4538</v>
      </c>
      <c r="BI1202" s="6" t="str">
        <f t="shared" si="571"/>
        <v>=10.72*100000000</v>
      </c>
      <c r="BJ1202" s="1">
        <f>10.72*100000000</f>
        <v>1072000000.0000001</v>
      </c>
      <c r="BK1202" s="6" t="s">
        <v>12204</v>
      </c>
      <c r="BL1202" s="1" t="str">
        <f t="shared" si="573"/>
        <v>=4.965*100000000</v>
      </c>
      <c r="BM1202" s="16">
        <f t="shared" si="588"/>
        <v>1.1591137965760325</v>
      </c>
      <c r="BN1202" s="1">
        <f>4.965*100000000</f>
        <v>496500000</v>
      </c>
    </row>
    <row r="1203" spans="1:66">
      <c r="A1203" s="18"/>
      <c r="B1203">
        <v>600993</v>
      </c>
      <c r="C1203" t="s">
        <v>48</v>
      </c>
      <c r="D1203" s="6" t="s">
        <v>6526</v>
      </c>
      <c r="E1203" s="7" t="str">
        <f t="shared" si="572"/>
        <v>=5.503*100000000</v>
      </c>
      <c r="F1203" s="1">
        <f>5.503*100000000</f>
        <v>550300000</v>
      </c>
      <c r="G1203" s="8">
        <f t="shared" si="574"/>
        <v>0.27709445346948247</v>
      </c>
      <c r="H1203" s="6" t="s">
        <v>12205</v>
      </c>
      <c r="I1203" s="6" t="str">
        <f t="shared" si="558"/>
        <v>=4.309*100000000</v>
      </c>
      <c r="J1203" s="1">
        <f>4.309*100000000</f>
        <v>430900000</v>
      </c>
      <c r="K1203" s="10">
        <f t="shared" si="575"/>
        <v>0.45035341635812859</v>
      </c>
      <c r="L1203" s="6" t="s">
        <v>117</v>
      </c>
      <c r="M1203" s="6" t="str">
        <f t="shared" si="559"/>
        <v>=2.971*100000000</v>
      </c>
      <c r="N1203" s="1">
        <f>2.971*100000000</f>
        <v>297100000</v>
      </c>
      <c r="O1203" s="8">
        <f t="shared" si="576"/>
        <v>1.0937279774489077</v>
      </c>
      <c r="P1203" s="6" t="s">
        <v>9132</v>
      </c>
      <c r="Q1203" s="6" t="str">
        <f t="shared" si="560"/>
        <v>=1.419*100000000</v>
      </c>
      <c r="R1203" s="11">
        <f>1.419*100000000</f>
        <v>141900000</v>
      </c>
      <c r="S1203" s="8">
        <f t="shared" si="577"/>
        <v>-0.71648351648351649</v>
      </c>
      <c r="T1203" s="6" t="s">
        <v>12206</v>
      </c>
      <c r="U1203" s="6" t="str">
        <f t="shared" si="561"/>
        <v>=5.005*100000000</v>
      </c>
      <c r="V1203" s="1">
        <f>5.005*100000000</f>
        <v>500500000</v>
      </c>
      <c r="W1203" s="8">
        <f t="shared" si="578"/>
        <v>0.29127966976264191</v>
      </c>
      <c r="X1203" s="6" t="s">
        <v>12207</v>
      </c>
      <c r="Y1203" s="6" t="str">
        <f t="shared" si="562"/>
        <v>=3.876*100000000</v>
      </c>
      <c r="Z1203" s="1">
        <f>3.876*100000000</f>
        <v>387600000</v>
      </c>
      <c r="AA1203" s="8">
        <f t="shared" si="579"/>
        <v>0.4177029992684711</v>
      </c>
      <c r="AB1203" s="6" t="s">
        <v>8306</v>
      </c>
      <c r="AC1203" s="6" t="str">
        <f t="shared" si="563"/>
        <v>=2.734*100000000</v>
      </c>
      <c r="AD1203" s="1">
        <f>2.734*100000000</f>
        <v>273400000</v>
      </c>
      <c r="AE1203" s="8">
        <f t="shared" si="580"/>
        <v>1.2318367346938774</v>
      </c>
      <c r="AF1203" s="6" t="s">
        <v>2174</v>
      </c>
      <c r="AG1203" s="6" t="str">
        <f t="shared" si="564"/>
        <v>=1.225*100000000</v>
      </c>
      <c r="AH1203" s="1">
        <f>1.225*100000000</f>
        <v>122500000.00000001</v>
      </c>
      <c r="AI1203" s="8">
        <f t="shared" si="581"/>
        <v>-0.71149317004239288</v>
      </c>
      <c r="AJ1203" s="6" t="s">
        <v>12208</v>
      </c>
      <c r="AK1203" s="6" t="str">
        <f t="shared" si="565"/>
        <v>=4.246*100000000</v>
      </c>
      <c r="AL1203" s="1">
        <f>4.246*100000000</f>
        <v>424600000.00000006</v>
      </c>
      <c r="AM1203" s="8">
        <f t="shared" si="582"/>
        <v>0.23898453457834859</v>
      </c>
      <c r="AN1203" s="6" t="s">
        <v>12209</v>
      </c>
      <c r="AO1203" s="6" t="str">
        <f t="shared" si="566"/>
        <v>=3.427*100000000</v>
      </c>
      <c r="AP1203" s="1">
        <f>3.427*100000000</f>
        <v>342700000</v>
      </c>
      <c r="AQ1203" s="8">
        <f t="shared" si="583"/>
        <v>0.36479490242931101</v>
      </c>
      <c r="AR1203" s="6" t="s">
        <v>11405</v>
      </c>
      <c r="AS1203" s="6" t="str">
        <f t="shared" si="567"/>
        <v>=2.511*100000000</v>
      </c>
      <c r="AT1203" s="1">
        <f>2.511*100000000</f>
        <v>251100000</v>
      </c>
      <c r="AU1203" s="8">
        <f t="shared" si="584"/>
        <v>0.63263979193758124</v>
      </c>
      <c r="AV1203" s="6" t="s">
        <v>7267</v>
      </c>
      <c r="AW1203" s="6" t="str">
        <f t="shared" si="568"/>
        <v>=1.538*100000000</v>
      </c>
      <c r="AX1203" s="1">
        <f>1.538*100000000</f>
        <v>153800000</v>
      </c>
      <c r="AY1203" s="10">
        <f t="shared" si="585"/>
        <v>-0.20393374741200829</v>
      </c>
      <c r="AZ1203" s="6" t="s">
        <v>12210</v>
      </c>
      <c r="BA1203" s="6" t="str">
        <f t="shared" si="569"/>
        <v>=1.932*100000000</v>
      </c>
      <c r="BB1203" s="1">
        <f>1.932*100000000</f>
        <v>193200000</v>
      </c>
      <c r="BC1203" s="8">
        <f t="shared" si="586"/>
        <v>0.46363636363636362</v>
      </c>
      <c r="BD1203" s="6" t="s">
        <v>5000</v>
      </c>
      <c r="BE1203" s="6" t="str">
        <f t="shared" si="570"/>
        <v>=1.320*100000000</v>
      </c>
      <c r="BF1203" s="1">
        <f>1.32*100000000</f>
        <v>132000000</v>
      </c>
      <c r="BG1203" s="8">
        <f t="shared" si="587"/>
        <v>0.14285714285714285</v>
      </c>
      <c r="BH1203" s="6" t="s">
        <v>12211</v>
      </c>
      <c r="BI1203" s="6" t="str">
        <f t="shared" si="571"/>
        <v>=1.155*100000000</v>
      </c>
      <c r="BJ1203" s="1">
        <f>1.155*100000000</f>
        <v>115500000</v>
      </c>
      <c r="BK1203" s="7" t="s">
        <v>12212</v>
      </c>
      <c r="BL1203" s="1" t="str">
        <f t="shared" si="573"/>
        <v>=7464*10000</v>
      </c>
      <c r="BM1203" s="16">
        <f t="shared" si="588"/>
        <v>0.547427652733119</v>
      </c>
      <c r="BN1203" s="1">
        <f>7464*10000</f>
        <v>74640000</v>
      </c>
    </row>
    <row r="1204" spans="1:66">
      <c r="A1204" s="18"/>
      <c r="B1204">
        <v>600993</v>
      </c>
      <c r="C1204" t="s">
        <v>58</v>
      </c>
      <c r="D1204" s="6" t="s">
        <v>10145</v>
      </c>
      <c r="E1204" s="7" t="str">
        <f t="shared" si="572"/>
        <v>=5.482*100000000</v>
      </c>
      <c r="F1204" s="1">
        <f>5.482*100000000</f>
        <v>548200000</v>
      </c>
      <c r="G1204" s="8">
        <f t="shared" si="574"/>
        <v>0.27607076350093107</v>
      </c>
      <c r="H1204" s="6" t="s">
        <v>6467</v>
      </c>
      <c r="I1204" s="6" t="str">
        <f t="shared" si="558"/>
        <v>=4.296*100000000</v>
      </c>
      <c r="J1204" s="1">
        <f>4.296*100000000</f>
        <v>429600000</v>
      </c>
      <c r="K1204" s="10">
        <f t="shared" si="575"/>
        <v>0.450371370695476</v>
      </c>
      <c r="L1204" s="6" t="s">
        <v>10878</v>
      </c>
      <c r="M1204" s="6" t="str">
        <f t="shared" si="559"/>
        <v>=2.962*100000000</v>
      </c>
      <c r="N1204" s="1">
        <f>2.962*100000000</f>
        <v>296200000</v>
      </c>
      <c r="O1204" s="8">
        <f t="shared" si="576"/>
        <v>1.0873854827343199</v>
      </c>
      <c r="P1204" s="6" t="s">
        <v>9132</v>
      </c>
      <c r="Q1204" s="6" t="str">
        <f t="shared" si="560"/>
        <v>=1.419*100000000</v>
      </c>
      <c r="R1204" s="11">
        <f>1.419*100000000</f>
        <v>141900000</v>
      </c>
      <c r="S1204" s="8">
        <f t="shared" si="577"/>
        <v>-0.71488848704038577</v>
      </c>
      <c r="T1204" s="6" t="s">
        <v>12213</v>
      </c>
      <c r="U1204" s="6" t="str">
        <f t="shared" si="561"/>
        <v>=4.977*100000000</v>
      </c>
      <c r="V1204" s="1">
        <f>4.977*100000000</f>
        <v>497700000.00000006</v>
      </c>
      <c r="W1204" s="8">
        <f t="shared" si="578"/>
        <v>0.28904428904428919</v>
      </c>
      <c r="X1204" s="6" t="s">
        <v>12214</v>
      </c>
      <c r="Y1204" s="6" t="str">
        <f t="shared" si="562"/>
        <v>=3.861*100000000</v>
      </c>
      <c r="Z1204" s="1">
        <f>3.861*100000000</f>
        <v>386100000</v>
      </c>
      <c r="AA1204" s="8">
        <f t="shared" si="579"/>
        <v>0.41584158415841582</v>
      </c>
      <c r="AB1204" s="6" t="s">
        <v>1046</v>
      </c>
      <c r="AC1204" s="6" t="str">
        <f t="shared" si="563"/>
        <v>=2.727*100000000</v>
      </c>
      <c r="AD1204" s="1">
        <f>2.727*100000000</f>
        <v>272700000</v>
      </c>
      <c r="AE1204" s="8">
        <f t="shared" si="580"/>
        <v>1.2261224489795917</v>
      </c>
      <c r="AF1204" s="6" t="s">
        <v>2174</v>
      </c>
      <c r="AG1204" s="6" t="str">
        <f t="shared" si="564"/>
        <v>=1.225*100000000</v>
      </c>
      <c r="AH1204" s="1">
        <f>1.225*100000000</f>
        <v>122500000.00000001</v>
      </c>
      <c r="AI1204" s="8">
        <f t="shared" si="581"/>
        <v>-0.70999053030303028</v>
      </c>
      <c r="AJ1204" s="6" t="s">
        <v>12215</v>
      </c>
      <c r="AK1204" s="6" t="str">
        <f t="shared" si="565"/>
        <v>=4.224*100000000</v>
      </c>
      <c r="AL1204" s="1">
        <f>4.224*100000000</f>
        <v>422400000</v>
      </c>
      <c r="AM1204" s="8">
        <f t="shared" si="582"/>
        <v>0.23581041544763021</v>
      </c>
      <c r="AN1204" s="6" t="s">
        <v>12216</v>
      </c>
      <c r="AO1204" s="6" t="str">
        <f t="shared" si="566"/>
        <v>=3.418*100000000</v>
      </c>
      <c r="AP1204" s="1">
        <f>3.418*100000000</f>
        <v>341800000</v>
      </c>
      <c r="AQ1204" s="8">
        <f t="shared" si="583"/>
        <v>0.36556132640831002</v>
      </c>
      <c r="AR1204" s="6" t="s">
        <v>5317</v>
      </c>
      <c r="AS1204" s="6" t="str">
        <f t="shared" si="567"/>
        <v>=2.503*100000000</v>
      </c>
      <c r="AT1204" s="1">
        <f>2.503*100000000</f>
        <v>250300000</v>
      </c>
      <c r="AU1204" s="8">
        <f t="shared" si="584"/>
        <v>0.62955729166666663</v>
      </c>
      <c r="AV1204" s="6" t="s">
        <v>10018</v>
      </c>
      <c r="AW1204" s="6" t="str">
        <f t="shared" si="568"/>
        <v>=1.536*100000000</v>
      </c>
      <c r="AX1204" s="1">
        <f>1.536*100000000</f>
        <v>153600000</v>
      </c>
      <c r="AY1204" s="10">
        <f t="shared" si="585"/>
        <v>-0.19874804381846636</v>
      </c>
      <c r="AZ1204" s="6" t="s">
        <v>12217</v>
      </c>
      <c r="BA1204" s="6" t="str">
        <f t="shared" si="569"/>
        <v>=1.917*100000000</v>
      </c>
      <c r="BB1204" s="1">
        <f>1.917*100000000</f>
        <v>191700000</v>
      </c>
      <c r="BC1204" s="8">
        <f t="shared" si="586"/>
        <v>0.4622425629290618</v>
      </c>
      <c r="BD1204" s="6" t="s">
        <v>12218</v>
      </c>
      <c r="BE1204" s="6" t="str">
        <f t="shared" si="570"/>
        <v>=1.311*100000000</v>
      </c>
      <c r="BF1204" s="1">
        <f>1.311*100000000</f>
        <v>131100000</v>
      </c>
      <c r="BG1204" s="8">
        <f t="shared" si="587"/>
        <v>0.14298169136878813</v>
      </c>
      <c r="BH1204" s="6" t="s">
        <v>7620</v>
      </c>
      <c r="BI1204" s="6" t="str">
        <f t="shared" si="571"/>
        <v>=1.147*100000000</v>
      </c>
      <c r="BJ1204" s="1">
        <f>1.147*100000000</f>
        <v>114700000</v>
      </c>
      <c r="BK1204" s="7" t="s">
        <v>12219</v>
      </c>
      <c r="BL1204" s="1" t="str">
        <f t="shared" si="573"/>
        <v>=7446*10000</v>
      </c>
      <c r="BM1204" s="16">
        <f t="shared" si="588"/>
        <v>0.54042438893365563</v>
      </c>
      <c r="BN1204" s="1">
        <f>7446*10000</f>
        <v>74460000</v>
      </c>
    </row>
    <row r="1205" spans="1:66">
      <c r="A1205" s="19"/>
      <c r="B1205">
        <v>600993</v>
      </c>
      <c r="C1205" t="s">
        <v>68</v>
      </c>
      <c r="D1205" s="6" t="s">
        <v>12220</v>
      </c>
      <c r="E1205" s="7" t="str">
        <f t="shared" si="572"/>
        <v>=4.741*100000000</v>
      </c>
      <c r="F1205" s="1">
        <f>4.741*100000000</f>
        <v>474099999.99999994</v>
      </c>
      <c r="G1205" s="8">
        <f t="shared" si="574"/>
        <v>0.26157530601383699</v>
      </c>
      <c r="H1205" s="6" t="s">
        <v>12221</v>
      </c>
      <c r="I1205" s="6" t="str">
        <f t="shared" si="558"/>
        <v>=3.758*100000000</v>
      </c>
      <c r="J1205" s="1">
        <f>3.758*100000000</f>
        <v>375800000</v>
      </c>
      <c r="K1205" s="10">
        <f t="shared" si="575"/>
        <v>0.44427363566487316</v>
      </c>
      <c r="L1205" s="6" t="s">
        <v>2324</v>
      </c>
      <c r="M1205" s="6" t="str">
        <f t="shared" si="559"/>
        <v>=2.602*100000000</v>
      </c>
      <c r="N1205" s="1">
        <f>2.602*100000000</f>
        <v>260200000</v>
      </c>
      <c r="O1205" s="8">
        <f t="shared" si="576"/>
        <v>1.2032176121930567</v>
      </c>
      <c r="P1205" s="6" t="s">
        <v>4873</v>
      </c>
      <c r="Q1205" s="6" t="str">
        <f t="shared" si="560"/>
        <v>=1.181*100000000</v>
      </c>
      <c r="R1205" s="11">
        <f>1.181*100000000</f>
        <v>118100000</v>
      </c>
      <c r="S1205" s="8">
        <f t="shared" si="577"/>
        <v>-0.72573153738968876</v>
      </c>
      <c r="T1205" s="6" t="s">
        <v>1557</v>
      </c>
      <c r="U1205" s="6" t="str">
        <f t="shared" si="561"/>
        <v>=4.306*100000000</v>
      </c>
      <c r="V1205" s="1">
        <f>4.306*100000000</f>
        <v>430600000</v>
      </c>
      <c r="W1205" s="8">
        <f t="shared" si="578"/>
        <v>0.28922155688622753</v>
      </c>
      <c r="X1205" s="6" t="s">
        <v>6974</v>
      </c>
      <c r="Y1205" s="6" t="str">
        <f t="shared" si="562"/>
        <v>=3.340*100000000</v>
      </c>
      <c r="Z1205" s="1">
        <f>3.34*100000000</f>
        <v>334000000</v>
      </c>
      <c r="AA1205" s="8">
        <f t="shared" si="579"/>
        <v>0.40928270042194093</v>
      </c>
      <c r="AB1205" s="6" t="s">
        <v>10211</v>
      </c>
      <c r="AC1205" s="6" t="str">
        <f t="shared" si="563"/>
        <v>=2.370*100000000</v>
      </c>
      <c r="AD1205" s="1">
        <f>2.37*100000000</f>
        <v>237000000</v>
      </c>
      <c r="AE1205" s="8">
        <f t="shared" si="580"/>
        <v>1.2876447876447876</v>
      </c>
      <c r="AF1205" s="6" t="s">
        <v>344</v>
      </c>
      <c r="AG1205" s="6" t="str">
        <f t="shared" si="564"/>
        <v>=1.036*100000000</v>
      </c>
      <c r="AH1205" s="1">
        <f>1.036*100000000</f>
        <v>103600000</v>
      </c>
      <c r="AI1205" s="8">
        <f t="shared" si="581"/>
        <v>-0.70684776457272214</v>
      </c>
      <c r="AJ1205" s="6" t="s">
        <v>2849</v>
      </c>
      <c r="AK1205" s="6" t="str">
        <f t="shared" si="565"/>
        <v>=3.534*100000000</v>
      </c>
      <c r="AL1205" s="1">
        <f>3.534*100000000</f>
        <v>353400000</v>
      </c>
      <c r="AM1205" s="8">
        <f t="shared" si="582"/>
        <v>0.22156930521949533</v>
      </c>
      <c r="AN1205" s="6" t="s">
        <v>12222</v>
      </c>
      <c r="AO1205" s="6" t="str">
        <f t="shared" si="566"/>
        <v>=2.893*100000000</v>
      </c>
      <c r="AP1205" s="1">
        <f>2.893*100000000</f>
        <v>289300000</v>
      </c>
      <c r="AQ1205" s="8">
        <f t="shared" si="583"/>
        <v>0.35313376987839101</v>
      </c>
      <c r="AR1205" s="6" t="s">
        <v>12223</v>
      </c>
      <c r="AS1205" s="6" t="str">
        <f t="shared" si="567"/>
        <v>=2.138*100000000</v>
      </c>
      <c r="AT1205" s="1">
        <f>2.138*100000000</f>
        <v>213800000</v>
      </c>
      <c r="AU1205" s="8">
        <f t="shared" si="584"/>
        <v>0.64335126825518829</v>
      </c>
      <c r="AV1205" s="6" t="s">
        <v>1478</v>
      </c>
      <c r="AW1205" s="6" t="str">
        <f t="shared" si="568"/>
        <v>=1.301*100000000</v>
      </c>
      <c r="AX1205" s="1">
        <f>1.301*100000000</f>
        <v>130100000</v>
      </c>
      <c r="AY1205" s="10">
        <f t="shared" si="585"/>
        <v>-0.20959902794653706</v>
      </c>
      <c r="AZ1205" s="6" t="s">
        <v>2045</v>
      </c>
      <c r="BA1205" s="6" t="str">
        <f t="shared" si="569"/>
        <v>=1.646*100000000</v>
      </c>
      <c r="BB1205" s="1">
        <f>1.646*100000000</f>
        <v>164600000</v>
      </c>
      <c r="BC1205" s="8">
        <f t="shared" si="586"/>
        <v>0.45278022947925861</v>
      </c>
      <c r="BD1205" s="6" t="s">
        <v>12224</v>
      </c>
      <c r="BE1205" s="6" t="str">
        <f t="shared" si="570"/>
        <v>=1.133*100000000</v>
      </c>
      <c r="BF1205" s="1">
        <f>1.133*100000000</f>
        <v>113300000</v>
      </c>
      <c r="BG1205" s="8">
        <f t="shared" si="587"/>
        <v>0.1547085201793722</v>
      </c>
      <c r="BH1205" s="7" t="s">
        <v>12225</v>
      </c>
      <c r="BI1205" s="6" t="str">
        <f t="shared" si="571"/>
        <v>=9812*10000</v>
      </c>
      <c r="BJ1205" s="1">
        <f>9812*10000</f>
        <v>98120000</v>
      </c>
      <c r="BK1205" s="7" t="s">
        <v>3185</v>
      </c>
      <c r="BL1205" s="1" t="str">
        <f t="shared" si="573"/>
        <v>=6374*10000</v>
      </c>
      <c r="BM1205" s="16">
        <f t="shared" si="588"/>
        <v>0.53937872607467841</v>
      </c>
      <c r="BN1205" s="1">
        <f>6374*10000</f>
        <v>63740000</v>
      </c>
    </row>
    <row r="1206" spans="1:66">
      <c r="A1206" s="17">
        <v>303</v>
      </c>
      <c r="B1206">
        <v>600995</v>
      </c>
      <c r="C1206" t="s">
        <v>31</v>
      </c>
      <c r="D1206" s="6" t="s">
        <v>12226</v>
      </c>
      <c r="E1206" s="7" t="str">
        <f t="shared" si="572"/>
        <v>=21.64*100000000</v>
      </c>
      <c r="F1206" s="1">
        <f>21.64*100000000</f>
        <v>2164000000</v>
      </c>
      <c r="G1206" s="8">
        <f t="shared" si="574"/>
        <v>0.40885416666666669</v>
      </c>
      <c r="H1206" s="6" t="s">
        <v>4548</v>
      </c>
      <c r="I1206" s="6" t="str">
        <f t="shared" si="558"/>
        <v>=15.36*100000000</v>
      </c>
      <c r="J1206" s="1">
        <f>15.36*100000000</f>
        <v>1536000000</v>
      </c>
      <c r="K1206" s="10">
        <f t="shared" si="575"/>
        <v>0.46704871060171904</v>
      </c>
      <c r="L1206" s="6" t="s">
        <v>3623</v>
      </c>
      <c r="M1206" s="6" t="str">
        <f t="shared" si="559"/>
        <v>=10.47*100000000</v>
      </c>
      <c r="N1206" s="1">
        <f>10.47*100000000</f>
        <v>1047000000.0000001</v>
      </c>
      <c r="O1206" s="8">
        <f t="shared" si="576"/>
        <v>1.069578968175529</v>
      </c>
      <c r="P1206" s="6" t="s">
        <v>11737</v>
      </c>
      <c r="Q1206" s="6" t="str">
        <f t="shared" si="560"/>
        <v>=5.059*100000000</v>
      </c>
      <c r="R1206" s="11">
        <f>5.059*100000000</f>
        <v>505900000</v>
      </c>
      <c r="S1206" s="8">
        <f t="shared" si="577"/>
        <v>-0.7310473152578415</v>
      </c>
      <c r="T1206" s="6" t="s">
        <v>12227</v>
      </c>
      <c r="U1206" s="6" t="str">
        <f t="shared" si="561"/>
        <v>=18.81*100000000</v>
      </c>
      <c r="V1206" s="1">
        <f>18.81*100000000</f>
        <v>1880999999.9999998</v>
      </c>
      <c r="W1206" s="8">
        <f t="shared" si="578"/>
        <v>0.35518731988472607</v>
      </c>
      <c r="X1206" s="6" t="s">
        <v>1834</v>
      </c>
      <c r="Y1206" s="6" t="str">
        <f t="shared" si="562"/>
        <v>=13.88*100000000</v>
      </c>
      <c r="Z1206" s="1">
        <f>13.88*100000000</f>
        <v>1388000000</v>
      </c>
      <c r="AA1206" s="8">
        <f t="shared" si="579"/>
        <v>0.45584224879379048</v>
      </c>
      <c r="AB1206" s="6" t="s">
        <v>12228</v>
      </c>
      <c r="AC1206" s="6" t="str">
        <f t="shared" si="563"/>
        <v>=9.534*100000000</v>
      </c>
      <c r="AD1206" s="1">
        <f>9.534*100000000</f>
        <v>953400000.00000012</v>
      </c>
      <c r="AE1206" s="8">
        <f t="shared" si="580"/>
        <v>1.1078929913774049</v>
      </c>
      <c r="AF1206" s="6" t="s">
        <v>4614</v>
      </c>
      <c r="AG1206" s="6" t="str">
        <f t="shared" si="564"/>
        <v>=4.523*100000000</v>
      </c>
      <c r="AH1206" s="1">
        <f>4.523*100000000</f>
        <v>452299999.99999994</v>
      </c>
      <c r="AI1206" s="8">
        <f t="shared" si="581"/>
        <v>-0.8049590340664079</v>
      </c>
      <c r="AJ1206" s="6" t="s">
        <v>9137</v>
      </c>
      <c r="AK1206" s="6" t="str">
        <f t="shared" si="565"/>
        <v>=23.19*100000000</v>
      </c>
      <c r="AL1206" s="1">
        <f>23.19*100000000</f>
        <v>2319000000</v>
      </c>
      <c r="AM1206" s="8">
        <f t="shared" si="582"/>
        <v>0.42707692307692308</v>
      </c>
      <c r="AN1206" s="6" t="s">
        <v>6193</v>
      </c>
      <c r="AO1206" s="6" t="str">
        <f t="shared" si="566"/>
        <v>=16.25*100000000</v>
      </c>
      <c r="AP1206" s="1">
        <f>16.25*100000000</f>
        <v>1625000000</v>
      </c>
      <c r="AQ1206" s="8">
        <f t="shared" si="583"/>
        <v>0.41304347826086957</v>
      </c>
      <c r="AR1206" s="6" t="s">
        <v>910</v>
      </c>
      <c r="AS1206" s="6" t="str">
        <f t="shared" si="567"/>
        <v>=11.50*100000000</v>
      </c>
      <c r="AT1206" s="1">
        <f>11.5*100000000</f>
        <v>1150000000</v>
      </c>
      <c r="AU1206" s="8">
        <f t="shared" si="584"/>
        <v>1.0528382720456979</v>
      </c>
      <c r="AV1206" s="6" t="s">
        <v>7930</v>
      </c>
      <c r="AW1206" s="6" t="str">
        <f t="shared" si="568"/>
        <v>=5.602*100000000</v>
      </c>
      <c r="AX1206" s="1">
        <f>5.602*100000000</f>
        <v>560200000</v>
      </c>
      <c r="AY1206" s="10">
        <f t="shared" si="585"/>
        <v>-0.72335802469135801</v>
      </c>
      <c r="AZ1206" s="6" t="s">
        <v>1358</v>
      </c>
      <c r="BA1206" s="6" t="str">
        <f t="shared" si="569"/>
        <v>=20.25*100000000</v>
      </c>
      <c r="BB1206" s="1">
        <f>20.25*100000000</f>
        <v>2025000000</v>
      </c>
      <c r="BC1206" s="8">
        <f t="shared" si="586"/>
        <v>0.318359375</v>
      </c>
      <c r="BD1206" s="6" t="s">
        <v>4548</v>
      </c>
      <c r="BE1206" s="6" t="str">
        <f t="shared" si="570"/>
        <v>=15.36*100000000</v>
      </c>
      <c r="BF1206" s="1">
        <f>15.36*100000000</f>
        <v>1536000000</v>
      </c>
      <c r="BG1206" s="8">
        <f t="shared" si="587"/>
        <v>0.42750929368029739</v>
      </c>
      <c r="BH1206" s="6" t="s">
        <v>649</v>
      </c>
      <c r="BI1206" s="6" t="str">
        <f t="shared" si="571"/>
        <v>=10.76*100000000</v>
      </c>
      <c r="BJ1206" s="1">
        <f>10.76*100000000</f>
        <v>1076000000</v>
      </c>
      <c r="BK1206" s="6" t="s">
        <v>12229</v>
      </c>
      <c r="BL1206" s="1" t="str">
        <f t="shared" si="573"/>
        <v>=5.577*100000000</v>
      </c>
      <c r="BM1206" s="16">
        <f t="shared" si="588"/>
        <v>0.92935269858346781</v>
      </c>
      <c r="BN1206" s="1">
        <f>5.577*100000000</f>
        <v>557700000</v>
      </c>
    </row>
    <row r="1207" spans="1:66">
      <c r="A1207" s="18"/>
      <c r="B1207">
        <v>600995</v>
      </c>
      <c r="C1207" t="s">
        <v>48</v>
      </c>
      <c r="D1207" s="7" t="s">
        <v>12230</v>
      </c>
      <c r="E1207" s="7" t="str">
        <f t="shared" si="572"/>
        <v>=3846*10000</v>
      </c>
      <c r="F1207" s="1">
        <f>3846*10000</f>
        <v>38460000</v>
      </c>
      <c r="G1207" s="8">
        <f t="shared" si="574"/>
        <v>-0.78513966480446928</v>
      </c>
      <c r="H1207" s="6" t="s">
        <v>1745</v>
      </c>
      <c r="I1207" s="6" t="str">
        <f t="shared" si="558"/>
        <v>=1.790*100000000</v>
      </c>
      <c r="J1207" s="1">
        <f>1.79*100000000</f>
        <v>179000000</v>
      </c>
      <c r="K1207" s="10">
        <f t="shared" si="575"/>
        <v>0.24133148404993066</v>
      </c>
      <c r="L1207" s="6" t="s">
        <v>2943</v>
      </c>
      <c r="M1207" s="6" t="str">
        <f t="shared" si="559"/>
        <v>=1.442*100000000</v>
      </c>
      <c r="N1207" s="1">
        <f>1.442*100000000</f>
        <v>144200000</v>
      </c>
      <c r="O1207" s="8">
        <f t="shared" si="576"/>
        <v>0.30027051397655546</v>
      </c>
      <c r="P1207" s="6" t="s">
        <v>10021</v>
      </c>
      <c r="Q1207" s="6" t="str">
        <f t="shared" si="560"/>
        <v>=1.109*100000000</v>
      </c>
      <c r="R1207" s="11">
        <f>1.109*100000000</f>
        <v>110900000</v>
      </c>
      <c r="S1207" s="8">
        <f t="shared" si="577"/>
        <v>-0.10347615198059833</v>
      </c>
      <c r="T1207" s="6" t="s">
        <v>2393</v>
      </c>
      <c r="U1207" s="6" t="str">
        <f t="shared" si="561"/>
        <v>=1.237*100000000</v>
      </c>
      <c r="V1207" s="1">
        <f>1.237*100000000</f>
        <v>123700000.00000001</v>
      </c>
      <c r="W1207" s="8">
        <f t="shared" si="578"/>
        <v>-0.54638797213054635</v>
      </c>
      <c r="X1207" s="6" t="s">
        <v>1046</v>
      </c>
      <c r="Y1207" s="6" t="str">
        <f t="shared" si="562"/>
        <v>=2.727*100000000</v>
      </c>
      <c r="Z1207" s="1">
        <f>2.727*100000000</f>
        <v>272700000</v>
      </c>
      <c r="AA1207" s="8">
        <f t="shared" si="579"/>
        <v>0.31739130434782625</v>
      </c>
      <c r="AB1207" s="6" t="s">
        <v>7597</v>
      </c>
      <c r="AC1207" s="6" t="str">
        <f t="shared" si="563"/>
        <v>=2.070*100000000</v>
      </c>
      <c r="AD1207" s="1">
        <f>2.07*100000000</f>
        <v>206999999.99999997</v>
      </c>
      <c r="AE1207" s="8">
        <f t="shared" si="580"/>
        <v>0.92379182156133799</v>
      </c>
      <c r="AF1207" s="6" t="s">
        <v>8529</v>
      </c>
      <c r="AG1207" s="6" t="str">
        <f t="shared" si="564"/>
        <v>=1.076*100000000</v>
      </c>
      <c r="AH1207" s="1">
        <f>1.076*100000000</f>
        <v>107600000</v>
      </c>
      <c r="AI1207" s="8">
        <f t="shared" si="581"/>
        <v>-0.72917191039516738</v>
      </c>
      <c r="AJ1207" s="6" t="s">
        <v>11615</v>
      </c>
      <c r="AK1207" s="6" t="str">
        <f t="shared" si="565"/>
        <v>=3.973*100000000</v>
      </c>
      <c r="AL1207" s="1">
        <f>3.973*100000000</f>
        <v>397300000</v>
      </c>
      <c r="AM1207" s="8">
        <f t="shared" si="582"/>
        <v>-0.10295777827952134</v>
      </c>
      <c r="AN1207" s="6" t="s">
        <v>12231</v>
      </c>
      <c r="AO1207" s="6" t="str">
        <f t="shared" si="566"/>
        <v>=4.429*100000000</v>
      </c>
      <c r="AP1207" s="1">
        <f>4.429*100000000</f>
        <v>442900000</v>
      </c>
      <c r="AQ1207" s="8">
        <f t="shared" si="583"/>
        <v>0.26506712367894886</v>
      </c>
      <c r="AR1207" s="6" t="s">
        <v>8167</v>
      </c>
      <c r="AS1207" s="6" t="str">
        <f t="shared" si="567"/>
        <v>=3.501*100000000</v>
      </c>
      <c r="AT1207" s="1">
        <f>3.501*100000000</f>
        <v>350100000</v>
      </c>
      <c r="AU1207" s="8">
        <f t="shared" si="584"/>
        <v>0.73316831683168315</v>
      </c>
      <c r="AV1207" s="6" t="s">
        <v>5930</v>
      </c>
      <c r="AW1207" s="6" t="str">
        <f t="shared" si="568"/>
        <v>=2.020*100000000</v>
      </c>
      <c r="AX1207" s="1">
        <f>2.02*100000000</f>
        <v>202000000</v>
      </c>
      <c r="AY1207" s="10">
        <f t="shared" si="585"/>
        <v>-0.424009124607927</v>
      </c>
      <c r="AZ1207" s="6" t="s">
        <v>12232</v>
      </c>
      <c r="BA1207" s="6" t="str">
        <f t="shared" si="569"/>
        <v>=3.507*100000000</v>
      </c>
      <c r="BB1207" s="1">
        <f>3.507*100000000</f>
        <v>350700000</v>
      </c>
      <c r="BC1207" s="8">
        <f t="shared" si="586"/>
        <v>-8.2657598744441535E-2</v>
      </c>
      <c r="BD1207" s="6" t="s">
        <v>2805</v>
      </c>
      <c r="BE1207" s="6" t="str">
        <f t="shared" si="570"/>
        <v>=3.823*100000000</v>
      </c>
      <c r="BF1207" s="1">
        <f>3.823*100000000</f>
        <v>382300000</v>
      </c>
      <c r="BG1207" s="8">
        <f t="shared" si="587"/>
        <v>0.16059502125075895</v>
      </c>
      <c r="BH1207" s="6" t="s">
        <v>9218</v>
      </c>
      <c r="BI1207" s="6" t="str">
        <f t="shared" si="571"/>
        <v>=3.294*100000000</v>
      </c>
      <c r="BJ1207" s="1">
        <f>3.294*100000000</f>
        <v>329400000</v>
      </c>
      <c r="BK1207" s="6" t="s">
        <v>8175</v>
      </c>
      <c r="BL1207" s="1" t="str">
        <f t="shared" si="573"/>
        <v>=2.180*100000000</v>
      </c>
      <c r="BM1207" s="16">
        <f t="shared" si="588"/>
        <v>0.51100917431192638</v>
      </c>
      <c r="BN1207" s="1">
        <f>2.18*100000000</f>
        <v>218000000.00000003</v>
      </c>
    </row>
    <row r="1208" spans="1:66">
      <c r="A1208" s="18"/>
      <c r="B1208">
        <v>600995</v>
      </c>
      <c r="C1208" t="s">
        <v>58</v>
      </c>
      <c r="D1208" s="7" t="s">
        <v>3796</v>
      </c>
      <c r="E1208" s="7" t="str">
        <f t="shared" si="572"/>
        <v>=3661*10000</v>
      </c>
      <c r="F1208" s="1">
        <f>3661*10000</f>
        <v>36610000</v>
      </c>
      <c r="G1208" s="8">
        <f t="shared" si="574"/>
        <v>-0.7943258426966292</v>
      </c>
      <c r="H1208" s="6" t="s">
        <v>3905</v>
      </c>
      <c r="I1208" s="6" t="str">
        <f t="shared" si="558"/>
        <v>=1.780*100000000</v>
      </c>
      <c r="J1208" s="1">
        <f>1.78*100000000</f>
        <v>178000000</v>
      </c>
      <c r="K1208" s="10">
        <f t="shared" si="575"/>
        <v>0.24737210932025228</v>
      </c>
      <c r="L1208" s="6" t="s">
        <v>12233</v>
      </c>
      <c r="M1208" s="6" t="str">
        <f t="shared" si="559"/>
        <v>=1.427*100000000</v>
      </c>
      <c r="N1208" s="1">
        <f>1.427*100000000</f>
        <v>142700000</v>
      </c>
      <c r="O1208" s="8">
        <f t="shared" si="576"/>
        <v>0.28327338129496388</v>
      </c>
      <c r="P1208" s="6" t="s">
        <v>12234</v>
      </c>
      <c r="Q1208" s="6" t="str">
        <f t="shared" si="560"/>
        <v>=1.112*100000000</v>
      </c>
      <c r="R1208" s="11">
        <f>1.112*100000000</f>
        <v>111200000.00000001</v>
      </c>
      <c r="S1208" s="8">
        <f t="shared" si="577"/>
        <v>-0.1588502269288955</v>
      </c>
      <c r="T1208" s="6" t="s">
        <v>5195</v>
      </c>
      <c r="U1208" s="6" t="str">
        <f t="shared" si="561"/>
        <v>=1.322*100000000</v>
      </c>
      <c r="V1208" s="1">
        <f>1.322*100000000</f>
        <v>132200000</v>
      </c>
      <c r="W1208" s="8">
        <f t="shared" si="578"/>
        <v>-0.54849726775956287</v>
      </c>
      <c r="X1208" s="6" t="s">
        <v>12235</v>
      </c>
      <c r="Y1208" s="6" t="str">
        <f t="shared" si="562"/>
        <v>=2.928*100000000</v>
      </c>
      <c r="Z1208" s="1">
        <f>2.928*100000000</f>
        <v>292800000</v>
      </c>
      <c r="AA1208" s="8">
        <f t="shared" si="579"/>
        <v>0.28252299605781866</v>
      </c>
      <c r="AB1208" s="6" t="s">
        <v>10165</v>
      </c>
      <c r="AC1208" s="6" t="str">
        <f t="shared" si="563"/>
        <v>=2.283*100000000</v>
      </c>
      <c r="AD1208" s="1">
        <f>2.283*100000000</f>
        <v>228300000</v>
      </c>
      <c r="AE1208" s="8">
        <f t="shared" si="580"/>
        <v>1.0849315068493151</v>
      </c>
      <c r="AF1208" s="6" t="s">
        <v>6533</v>
      </c>
      <c r="AG1208" s="6" t="str">
        <f t="shared" si="564"/>
        <v>=1.095*100000000</v>
      </c>
      <c r="AH1208" s="1">
        <f>1.095*100000000</f>
        <v>109500000</v>
      </c>
      <c r="AI1208" s="8">
        <f t="shared" si="581"/>
        <v>-0.72362443210499749</v>
      </c>
      <c r="AJ1208" s="6" t="s">
        <v>3984</v>
      </c>
      <c r="AK1208" s="6" t="str">
        <f t="shared" si="565"/>
        <v>=3.962*100000000</v>
      </c>
      <c r="AL1208" s="1">
        <f>3.962*100000000</f>
        <v>396200000</v>
      </c>
      <c r="AM1208" s="8">
        <f t="shared" si="582"/>
        <v>-0.10785859040756586</v>
      </c>
      <c r="AN1208" s="6" t="s">
        <v>12236</v>
      </c>
      <c r="AO1208" s="6" t="str">
        <f t="shared" si="566"/>
        <v>=4.441*100000000</v>
      </c>
      <c r="AP1208" s="1">
        <f>4.441*100000000</f>
        <v>444100000</v>
      </c>
      <c r="AQ1208" s="8">
        <f t="shared" si="583"/>
        <v>0.26560273582217153</v>
      </c>
      <c r="AR1208" s="6" t="s">
        <v>12237</v>
      </c>
      <c r="AS1208" s="6" t="str">
        <f t="shared" si="567"/>
        <v>=3.509*100000000</v>
      </c>
      <c r="AT1208" s="1">
        <f>3.509*100000000</f>
        <v>350900000</v>
      </c>
      <c r="AU1208" s="8">
        <f t="shared" si="584"/>
        <v>0.73455264458724667</v>
      </c>
      <c r="AV1208" s="6" t="s">
        <v>9775</v>
      </c>
      <c r="AW1208" s="6" t="str">
        <f t="shared" si="568"/>
        <v>=2.023*100000000</v>
      </c>
      <c r="AX1208" s="1">
        <f>2.023*100000000</f>
        <v>202300000</v>
      </c>
      <c r="AY1208" s="10">
        <f t="shared" si="585"/>
        <v>-0.4181765890135174</v>
      </c>
      <c r="AZ1208" s="6" t="s">
        <v>1513</v>
      </c>
      <c r="BA1208" s="6" t="str">
        <f t="shared" si="569"/>
        <v>=3.477*100000000</v>
      </c>
      <c r="BB1208" s="1">
        <f>3.477*100000000</f>
        <v>347700000</v>
      </c>
      <c r="BC1208" s="8">
        <f t="shared" si="586"/>
        <v>-9.4531249999999997E-2</v>
      </c>
      <c r="BD1208" s="6" t="s">
        <v>11454</v>
      </c>
      <c r="BE1208" s="6" t="str">
        <f t="shared" si="570"/>
        <v>=3.840*100000000</v>
      </c>
      <c r="BF1208" s="1">
        <f>3.84*100000000</f>
        <v>384000000</v>
      </c>
      <c r="BG1208" s="8">
        <f t="shared" si="587"/>
        <v>0.16047144152311876</v>
      </c>
      <c r="BH1208" s="6" t="s">
        <v>7366</v>
      </c>
      <c r="BI1208" s="6" t="str">
        <f t="shared" si="571"/>
        <v>=3.309*100000000</v>
      </c>
      <c r="BJ1208" s="1">
        <f>3.309*100000000</f>
        <v>330900000</v>
      </c>
      <c r="BK1208" s="6" t="s">
        <v>8376</v>
      </c>
      <c r="BL1208" s="1" t="str">
        <f t="shared" si="573"/>
        <v>=2.191*100000000</v>
      </c>
      <c r="BM1208" s="16">
        <f t="shared" si="588"/>
        <v>0.51026928343222289</v>
      </c>
      <c r="BN1208" s="1">
        <f>2.191*100000000</f>
        <v>219099999.99999997</v>
      </c>
    </row>
    <row r="1209" spans="1:66">
      <c r="A1209" s="19"/>
      <c r="B1209">
        <v>600995</v>
      </c>
      <c r="C1209" t="s">
        <v>68</v>
      </c>
      <c r="D1209" s="7" t="s">
        <v>3810</v>
      </c>
      <c r="E1209" s="7" t="str">
        <f t="shared" si="572"/>
        <v>=1576*10000</v>
      </c>
      <c r="F1209" s="1">
        <f>1576*10000</f>
        <v>15760000</v>
      </c>
      <c r="G1209" s="8">
        <f t="shared" si="574"/>
        <v>-0.89685863874345551</v>
      </c>
      <c r="H1209" s="6" t="s">
        <v>3397</v>
      </c>
      <c r="I1209" s="6" t="str">
        <f t="shared" si="558"/>
        <v>=1.528*100000000</v>
      </c>
      <c r="J1209" s="1">
        <f>1.528*100000000</f>
        <v>152800000</v>
      </c>
      <c r="K1209" s="10">
        <f t="shared" si="575"/>
        <v>0.2453137734311327</v>
      </c>
      <c r="L1209" s="6" t="s">
        <v>12238</v>
      </c>
      <c r="M1209" s="6" t="str">
        <f t="shared" si="559"/>
        <v>=1.227*100000000</v>
      </c>
      <c r="N1209" s="1">
        <f>1.227*100000000</f>
        <v>122700000.00000001</v>
      </c>
      <c r="O1209" s="8">
        <f t="shared" si="576"/>
        <v>0.25614250614250628</v>
      </c>
      <c r="P1209" s="7" t="s">
        <v>12239</v>
      </c>
      <c r="Q1209" s="6" t="str">
        <f t="shared" si="560"/>
        <v>=9768*10000</v>
      </c>
      <c r="R1209" s="11">
        <f>9768*10000</f>
        <v>97680000</v>
      </c>
      <c r="S1209" s="8">
        <f t="shared" si="577"/>
        <v>-0.11761517615176152</v>
      </c>
      <c r="T1209" s="6" t="s">
        <v>10006</v>
      </c>
      <c r="U1209" s="6" t="str">
        <f t="shared" si="561"/>
        <v>=1.107*100000000</v>
      </c>
      <c r="V1209" s="1">
        <f>1.107*100000000</f>
        <v>110700000</v>
      </c>
      <c r="W1209" s="8">
        <f t="shared" si="578"/>
        <v>-0.55861244019138756</v>
      </c>
      <c r="X1209" s="6" t="s">
        <v>7881</v>
      </c>
      <c r="Y1209" s="6" t="str">
        <f t="shared" si="562"/>
        <v>=2.508*100000000</v>
      </c>
      <c r="Z1209" s="1">
        <f>2.508*100000000</f>
        <v>250800000</v>
      </c>
      <c r="AA1209" s="8">
        <f t="shared" si="579"/>
        <v>0.28286445012787725</v>
      </c>
      <c r="AB1209" s="6" t="s">
        <v>1992</v>
      </c>
      <c r="AC1209" s="6" t="str">
        <f t="shared" si="563"/>
        <v>=1.955*100000000</v>
      </c>
      <c r="AD1209" s="1">
        <f>1.955*100000000</f>
        <v>195500000</v>
      </c>
      <c r="AE1209" s="8">
        <f t="shared" si="580"/>
        <v>1.0800085115437812</v>
      </c>
      <c r="AF1209" s="7" t="s">
        <v>12240</v>
      </c>
      <c r="AG1209" s="6" t="str">
        <f t="shared" si="564"/>
        <v>=9399*10000</v>
      </c>
      <c r="AH1209" s="1">
        <f>9399*10000</f>
        <v>93990000</v>
      </c>
      <c r="AI1209" s="8">
        <f t="shared" si="581"/>
        <v>-0.71698283649503158</v>
      </c>
      <c r="AJ1209" s="6" t="s">
        <v>12241</v>
      </c>
      <c r="AK1209" s="6" t="str">
        <f t="shared" si="565"/>
        <v>=3.321*100000000</v>
      </c>
      <c r="AL1209" s="1">
        <f>3.321*100000000</f>
        <v>332100000</v>
      </c>
      <c r="AM1209" s="8">
        <f t="shared" si="582"/>
        <v>-0.13108320251177394</v>
      </c>
      <c r="AN1209" s="6" t="s">
        <v>124</v>
      </c>
      <c r="AO1209" s="6" t="str">
        <f t="shared" si="566"/>
        <v>=3.822*100000000</v>
      </c>
      <c r="AP1209" s="1">
        <f>3.822*100000000</f>
        <v>382200000</v>
      </c>
      <c r="AQ1209" s="8">
        <f t="shared" si="583"/>
        <v>0.2659821132825439</v>
      </c>
      <c r="AR1209" s="6" t="s">
        <v>12242</v>
      </c>
      <c r="AS1209" s="6" t="str">
        <f t="shared" si="567"/>
        <v>=3.019*100000000</v>
      </c>
      <c r="AT1209" s="1">
        <f>3.019*100000000</f>
        <v>301900000</v>
      </c>
      <c r="AU1209" s="8">
        <f t="shared" si="584"/>
        <v>0.73605520414031056</v>
      </c>
      <c r="AV1209" s="6" t="s">
        <v>10072</v>
      </c>
      <c r="AW1209" s="6" t="str">
        <f t="shared" si="568"/>
        <v>=1.739*100000000</v>
      </c>
      <c r="AX1209" s="1">
        <f>1.739*100000000</f>
        <v>173900000</v>
      </c>
      <c r="AY1209" s="10">
        <f t="shared" si="585"/>
        <v>-0.41269841269841268</v>
      </c>
      <c r="AZ1209" s="6" t="s">
        <v>12243</v>
      </c>
      <c r="BA1209" s="6" t="str">
        <f t="shared" si="569"/>
        <v>=2.961*100000000</v>
      </c>
      <c r="BB1209" s="1">
        <f>2.961*100000000</f>
        <v>296100000</v>
      </c>
      <c r="BC1209" s="8">
        <f t="shared" si="586"/>
        <v>-9.8904443091905048E-2</v>
      </c>
      <c r="BD1209" s="6" t="s">
        <v>12244</v>
      </c>
      <c r="BE1209" s="6" t="str">
        <f t="shared" si="570"/>
        <v>=3.286*100000000</v>
      </c>
      <c r="BF1209" s="1">
        <f>3.286*100000000</f>
        <v>328600000</v>
      </c>
      <c r="BG1209" s="8">
        <f t="shared" si="587"/>
        <v>0.16072059342988343</v>
      </c>
      <c r="BH1209" s="6" t="s">
        <v>4394</v>
      </c>
      <c r="BI1209" s="6" t="str">
        <f t="shared" si="571"/>
        <v>=2.831*100000000</v>
      </c>
      <c r="BJ1209" s="1">
        <f>2.831*100000000</f>
        <v>283100000</v>
      </c>
      <c r="BK1209" s="6" t="s">
        <v>12245</v>
      </c>
      <c r="BL1209" s="1" t="str">
        <f t="shared" si="573"/>
        <v>=1.873*100000000</v>
      </c>
      <c r="BM1209" s="16">
        <f t="shared" si="588"/>
        <v>0.5114789108382275</v>
      </c>
      <c r="BN1209" s="1">
        <f>1.873*100000000</f>
        <v>187300000</v>
      </c>
    </row>
    <row r="1210" spans="1:66">
      <c r="A1210" s="17">
        <v>304</v>
      </c>
      <c r="B1210">
        <v>600999</v>
      </c>
      <c r="C1210" t="s">
        <v>31</v>
      </c>
      <c r="D1210" s="6" t="s">
        <v>4683</v>
      </c>
      <c r="E1210" s="7" t="str">
        <f t="shared" si="572"/>
        <v>=294.3*100000000</v>
      </c>
      <c r="F1210" s="1">
        <f>294.3*100000000</f>
        <v>29430000000</v>
      </c>
      <c r="G1210" s="8">
        <f t="shared" si="574"/>
        <v>0.3512396694214876</v>
      </c>
      <c r="H1210" s="6" t="s">
        <v>12246</v>
      </c>
      <c r="I1210" s="6" t="str">
        <f t="shared" si="558"/>
        <v>=217.8*100000000</v>
      </c>
      <c r="J1210" s="1">
        <f>217.8*100000000</f>
        <v>21780000000</v>
      </c>
      <c r="K1210" s="10">
        <f t="shared" si="575"/>
        <v>0.51882845188284521</v>
      </c>
      <c r="L1210" s="6" t="s">
        <v>12247</v>
      </c>
      <c r="M1210" s="6" t="str">
        <f t="shared" si="559"/>
        <v>=143.4*100000000</v>
      </c>
      <c r="N1210" s="1">
        <f>143.4*100000000</f>
        <v>14340000000</v>
      </c>
      <c r="O1210" s="8">
        <f t="shared" si="576"/>
        <v>1.4052331432405234</v>
      </c>
      <c r="P1210" s="6" t="s">
        <v>12248</v>
      </c>
      <c r="Q1210" s="6" t="str">
        <f t="shared" si="560"/>
        <v>=59.62*100000000</v>
      </c>
      <c r="R1210" s="11">
        <f>59.62*100000000</f>
        <v>5962000000</v>
      </c>
      <c r="S1210" s="8">
        <f t="shared" si="577"/>
        <v>-0.75444810543657326</v>
      </c>
      <c r="T1210" s="6" t="s">
        <v>12249</v>
      </c>
      <c r="U1210" s="6" t="str">
        <f t="shared" si="561"/>
        <v>=242.8*100000000</v>
      </c>
      <c r="V1210" s="1">
        <f>242.8*100000000</f>
        <v>24280000000</v>
      </c>
      <c r="W1210" s="8">
        <f t="shared" si="578"/>
        <v>0.3564245810055866</v>
      </c>
      <c r="X1210" s="6" t="s">
        <v>7344</v>
      </c>
      <c r="Y1210" s="6" t="str">
        <f t="shared" si="562"/>
        <v>=179.0*100000000</v>
      </c>
      <c r="Z1210" s="1">
        <f>179*100000000</f>
        <v>17900000000</v>
      </c>
      <c r="AA1210" s="8">
        <f t="shared" si="579"/>
        <v>0.55652173913043479</v>
      </c>
      <c r="AB1210" s="6" t="s">
        <v>4727</v>
      </c>
      <c r="AC1210" s="6" t="str">
        <f t="shared" si="563"/>
        <v>=115.0*100000000</v>
      </c>
      <c r="AD1210" s="1">
        <f>115*100000000</f>
        <v>11500000000</v>
      </c>
      <c r="AE1210" s="8">
        <f t="shared" si="580"/>
        <v>1.3536635284486287</v>
      </c>
      <c r="AF1210" s="6" t="s">
        <v>12250</v>
      </c>
      <c r="AG1210" s="6" t="str">
        <f t="shared" si="564"/>
        <v>=48.86*100000000</v>
      </c>
      <c r="AH1210" s="1">
        <f>48.86*100000000</f>
        <v>4886000000</v>
      </c>
      <c r="AI1210" s="8">
        <f t="shared" si="581"/>
        <v>-0.73885622661678252</v>
      </c>
      <c r="AJ1210" s="6" t="s">
        <v>12251</v>
      </c>
      <c r="AK1210" s="6" t="str">
        <f t="shared" si="565"/>
        <v>=187.1*100000000</v>
      </c>
      <c r="AL1210" s="1">
        <f>187.1*100000000</f>
        <v>18710000000</v>
      </c>
      <c r="AM1210" s="8">
        <f t="shared" si="582"/>
        <v>0.45038759689922481</v>
      </c>
      <c r="AN1210" s="6" t="s">
        <v>12252</v>
      </c>
      <c r="AO1210" s="6" t="str">
        <f t="shared" si="566"/>
        <v>=129.0*100000000</v>
      </c>
      <c r="AP1210" s="1">
        <f>129*100000000</f>
        <v>12900000000</v>
      </c>
      <c r="AQ1210" s="8">
        <f t="shared" si="583"/>
        <v>0.51053864168618246</v>
      </c>
      <c r="AR1210" s="6" t="s">
        <v>12253</v>
      </c>
      <c r="AS1210" s="6" t="str">
        <f t="shared" si="567"/>
        <v>=85.40*100000000</v>
      </c>
      <c r="AT1210" s="1">
        <f>85.4*100000000</f>
        <v>8540000000.000001</v>
      </c>
      <c r="AU1210" s="8">
        <f t="shared" si="584"/>
        <v>0.83814033577270786</v>
      </c>
      <c r="AV1210" s="6" t="s">
        <v>12254</v>
      </c>
      <c r="AW1210" s="6" t="str">
        <f t="shared" si="568"/>
        <v>=46.46*100000000</v>
      </c>
      <c r="AX1210" s="1">
        <f>46.46*100000000</f>
        <v>4646000000</v>
      </c>
      <c r="AY1210" s="10">
        <f t="shared" si="585"/>
        <v>-0.58957597173144871</v>
      </c>
      <c r="AZ1210" s="6" t="s">
        <v>6310</v>
      </c>
      <c r="BA1210" s="6" t="str">
        <f t="shared" si="569"/>
        <v>=113.2*100000000</v>
      </c>
      <c r="BB1210" s="1">
        <f>113.2*100000000</f>
        <v>11320000000</v>
      </c>
      <c r="BC1210" s="8">
        <f t="shared" si="586"/>
        <v>0.45277207392197127</v>
      </c>
      <c r="BD1210" s="6" t="s">
        <v>12255</v>
      </c>
      <c r="BE1210" s="6" t="str">
        <f t="shared" si="570"/>
        <v>=77.92*100000000</v>
      </c>
      <c r="BF1210" s="1">
        <f>77.92*100000000</f>
        <v>7792000000</v>
      </c>
      <c r="BG1210" s="8">
        <f t="shared" si="587"/>
        <v>0.62808190555787713</v>
      </c>
      <c r="BH1210" s="6" t="s">
        <v>5231</v>
      </c>
      <c r="BI1210" s="6" t="str">
        <f t="shared" si="571"/>
        <v>=47.86*100000000</v>
      </c>
      <c r="BJ1210" s="1">
        <f>47.86*100000000</f>
        <v>4786000000</v>
      </c>
      <c r="BK1210" s="6" t="s">
        <v>12256</v>
      </c>
      <c r="BL1210" s="1" t="str">
        <f t="shared" si="573"/>
        <v>=26.22*100000000</v>
      </c>
      <c r="BM1210" s="16">
        <f t="shared" si="588"/>
        <v>0.82532418001525554</v>
      </c>
      <c r="BN1210" s="1">
        <f>26.22*100000000</f>
        <v>2622000000</v>
      </c>
    </row>
    <row r="1211" spans="1:66">
      <c r="A1211" s="18"/>
      <c r="B1211">
        <v>600999</v>
      </c>
      <c r="C1211" t="s">
        <v>48</v>
      </c>
      <c r="D1211" s="6" t="s">
        <v>2340</v>
      </c>
      <c r="E1211" s="7" t="str">
        <f t="shared" si="572"/>
        <v>=138.2*100000000</v>
      </c>
      <c r="F1211" s="1">
        <f>138.2*100000000</f>
        <v>13819999999.999998</v>
      </c>
      <c r="G1211" s="8">
        <f t="shared" si="574"/>
        <v>0.35623159960745809</v>
      </c>
      <c r="H1211" s="6" t="s">
        <v>3999</v>
      </c>
      <c r="I1211" s="6" t="str">
        <f t="shared" si="558"/>
        <v>=101.9*100000000</v>
      </c>
      <c r="J1211" s="1">
        <f>101.9*100000000</f>
        <v>10190000000</v>
      </c>
      <c r="K1211" s="10">
        <f t="shared" si="575"/>
        <v>0.49238429994141769</v>
      </c>
      <c r="L1211" s="6" t="s">
        <v>12257</v>
      </c>
      <c r="M1211" s="6" t="str">
        <f t="shared" si="559"/>
        <v>=68.28*100000000</v>
      </c>
      <c r="N1211" s="1">
        <f>68.28*100000000</f>
        <v>6828000000</v>
      </c>
      <c r="O1211" s="8">
        <f t="shared" si="576"/>
        <v>1.1962045673850112</v>
      </c>
      <c r="P1211" s="6" t="s">
        <v>4418</v>
      </c>
      <c r="Q1211" s="6" t="str">
        <f t="shared" si="560"/>
        <v>=31.09*100000000</v>
      </c>
      <c r="R1211" s="11">
        <f>31.09*100000000</f>
        <v>3109000000</v>
      </c>
      <c r="S1211" s="8">
        <f t="shared" si="577"/>
        <v>-0.72486725663716811</v>
      </c>
      <c r="T1211" s="6" t="s">
        <v>7951</v>
      </c>
      <c r="U1211" s="6" t="str">
        <f t="shared" si="561"/>
        <v>=113.0*100000000</v>
      </c>
      <c r="V1211" s="1">
        <f>113*100000000</f>
        <v>11300000000</v>
      </c>
      <c r="W1211" s="8">
        <f t="shared" si="578"/>
        <v>0.27582702946821724</v>
      </c>
      <c r="X1211" s="6" t="s">
        <v>12258</v>
      </c>
      <c r="Y1211" s="6" t="str">
        <f t="shared" si="562"/>
        <v>=88.57*100000000</v>
      </c>
      <c r="Z1211" s="1">
        <f>88.57*100000000</f>
        <v>8857000000</v>
      </c>
      <c r="AA1211" s="8">
        <f t="shared" si="579"/>
        <v>0.66829911471086834</v>
      </c>
      <c r="AB1211" s="6" t="s">
        <v>12259</v>
      </c>
      <c r="AC1211" s="6" t="str">
        <f t="shared" si="563"/>
        <v>=53.09*100000000</v>
      </c>
      <c r="AD1211" s="1">
        <f>53.09*100000000</f>
        <v>5309000000</v>
      </c>
      <c r="AE1211" s="8">
        <f t="shared" si="580"/>
        <v>1.3062554300608167</v>
      </c>
      <c r="AF1211" s="6" t="s">
        <v>3025</v>
      </c>
      <c r="AG1211" s="6" t="str">
        <f t="shared" si="564"/>
        <v>=23.02*100000000</v>
      </c>
      <c r="AH1211" s="1">
        <f>23.02*100000000</f>
        <v>2302000000</v>
      </c>
      <c r="AI1211" s="8">
        <f t="shared" si="581"/>
        <v>-0.73823061178075966</v>
      </c>
      <c r="AJ1211" s="6" t="s">
        <v>12260</v>
      </c>
      <c r="AK1211" s="6" t="str">
        <f t="shared" si="565"/>
        <v>=87.94*100000000</v>
      </c>
      <c r="AL1211" s="1">
        <f>87.94*100000000</f>
        <v>8794000000</v>
      </c>
      <c r="AM1211" s="8">
        <f t="shared" si="582"/>
        <v>0.4889942431425669</v>
      </c>
      <c r="AN1211" s="6" t="s">
        <v>12261</v>
      </c>
      <c r="AO1211" s="6" t="str">
        <f t="shared" si="566"/>
        <v>=59.06*100000000</v>
      </c>
      <c r="AP1211" s="1">
        <f>59.06*100000000</f>
        <v>5906000000</v>
      </c>
      <c r="AQ1211" s="8">
        <f t="shared" si="583"/>
        <v>0.35770114942528736</v>
      </c>
      <c r="AR1211" s="6" t="s">
        <v>10099</v>
      </c>
      <c r="AS1211" s="6" t="str">
        <f t="shared" si="567"/>
        <v>=43.50*100000000</v>
      </c>
      <c r="AT1211" s="1">
        <f>43.5*100000000</f>
        <v>4350000000</v>
      </c>
      <c r="AU1211" s="8">
        <f t="shared" si="584"/>
        <v>0.61950856291883838</v>
      </c>
      <c r="AV1211" s="6" t="s">
        <v>12262</v>
      </c>
      <c r="AW1211" s="6" t="str">
        <f t="shared" si="568"/>
        <v>=26.86*100000000</v>
      </c>
      <c r="AX1211" s="1">
        <f>26.86*100000000</f>
        <v>2686000000</v>
      </c>
      <c r="AY1211" s="10">
        <f t="shared" si="585"/>
        <v>-0.50634074618636282</v>
      </c>
      <c r="AZ1211" s="6" t="s">
        <v>12263</v>
      </c>
      <c r="BA1211" s="6" t="str">
        <f t="shared" si="569"/>
        <v>=54.41*100000000</v>
      </c>
      <c r="BB1211" s="1">
        <f>54.41*100000000</f>
        <v>5441000000</v>
      </c>
      <c r="BC1211" s="8">
        <f t="shared" si="586"/>
        <v>0.44861554845580404</v>
      </c>
      <c r="BD1211" s="6" t="s">
        <v>6357</v>
      </c>
      <c r="BE1211" s="6" t="str">
        <f t="shared" si="570"/>
        <v>=37.56*100000000</v>
      </c>
      <c r="BF1211" s="1">
        <f>37.56*100000000</f>
        <v>3756000000</v>
      </c>
      <c r="BG1211" s="8">
        <f t="shared" si="587"/>
        <v>0.70262919310970084</v>
      </c>
      <c r="BH1211" s="6" t="s">
        <v>10043</v>
      </c>
      <c r="BI1211" s="6" t="str">
        <f t="shared" si="571"/>
        <v>=22.06*100000000</v>
      </c>
      <c r="BJ1211" s="1">
        <f>22.06*100000000</f>
        <v>2206000000</v>
      </c>
      <c r="BK1211" s="6" t="s">
        <v>12264</v>
      </c>
      <c r="BL1211" s="1" t="str">
        <f t="shared" si="573"/>
        <v>=13.40*100000000</v>
      </c>
      <c r="BM1211" s="16">
        <f t="shared" si="588"/>
        <v>0.64626865671641787</v>
      </c>
      <c r="BN1211" s="1">
        <f>13.4*100000000</f>
        <v>1340000000</v>
      </c>
    </row>
    <row r="1212" spans="1:66">
      <c r="A1212" s="18"/>
      <c r="B1212">
        <v>600999</v>
      </c>
      <c r="C1212" t="s">
        <v>58</v>
      </c>
      <c r="D1212" s="6" t="s">
        <v>12265</v>
      </c>
      <c r="E1212" s="7" t="str">
        <f t="shared" si="572"/>
        <v>=137.0*100000000</v>
      </c>
      <c r="F1212" s="1">
        <f>137*100000000</f>
        <v>13700000000</v>
      </c>
      <c r="G1212" s="8">
        <f t="shared" si="574"/>
        <v>0.3470993117010816</v>
      </c>
      <c r="H1212" s="6" t="s">
        <v>12266</v>
      </c>
      <c r="I1212" s="6" t="str">
        <f t="shared" si="558"/>
        <v>=101.7*100000000</v>
      </c>
      <c r="J1212" s="1">
        <f>101.7*100000000</f>
        <v>10170000000</v>
      </c>
      <c r="K1212" s="10">
        <f t="shared" si="575"/>
        <v>0.49273447820343463</v>
      </c>
      <c r="L1212" s="6" t="s">
        <v>12267</v>
      </c>
      <c r="M1212" s="6" t="str">
        <f t="shared" si="559"/>
        <v>=68.13*100000000</v>
      </c>
      <c r="N1212" s="1">
        <f>68.13*100000000</f>
        <v>6813000000</v>
      </c>
      <c r="O1212" s="8">
        <f t="shared" si="576"/>
        <v>1.1913798649083307</v>
      </c>
      <c r="P1212" s="6" t="s">
        <v>4418</v>
      </c>
      <c r="Q1212" s="6" t="str">
        <f t="shared" si="560"/>
        <v>=31.09*100000000</v>
      </c>
      <c r="R1212" s="11">
        <f>31.09*100000000</f>
        <v>3109000000</v>
      </c>
      <c r="S1212" s="8">
        <f t="shared" si="577"/>
        <v>-0.72511052166224577</v>
      </c>
      <c r="T1212" s="6" t="s">
        <v>12268</v>
      </c>
      <c r="U1212" s="6" t="str">
        <f t="shared" si="561"/>
        <v>=113.1*100000000</v>
      </c>
      <c r="V1212" s="1">
        <f>113.1*100000000</f>
        <v>11310000000</v>
      </c>
      <c r="W1212" s="8">
        <f t="shared" si="578"/>
        <v>0.27594765342960287</v>
      </c>
      <c r="X1212" s="6" t="s">
        <v>9223</v>
      </c>
      <c r="Y1212" s="6" t="str">
        <f t="shared" si="562"/>
        <v>=88.64*100000000</v>
      </c>
      <c r="Z1212" s="1">
        <f>88.64*100000000</f>
        <v>8864000000</v>
      </c>
      <c r="AA1212" s="8">
        <f t="shared" si="579"/>
        <v>0.66867469879518071</v>
      </c>
      <c r="AB1212" s="6" t="s">
        <v>4720</v>
      </c>
      <c r="AC1212" s="6" t="str">
        <f t="shared" si="563"/>
        <v>=53.12*100000000</v>
      </c>
      <c r="AD1212" s="1">
        <f>53.12*100000000</f>
        <v>5312000000</v>
      </c>
      <c r="AE1212" s="8">
        <f t="shared" si="580"/>
        <v>1.3045553145336226</v>
      </c>
      <c r="AF1212" s="6" t="s">
        <v>12269</v>
      </c>
      <c r="AG1212" s="6" t="str">
        <f t="shared" si="564"/>
        <v>=23.05*100000000</v>
      </c>
      <c r="AH1212" s="1">
        <f>23.05*100000000</f>
        <v>2305000000</v>
      </c>
      <c r="AI1212" s="8">
        <f t="shared" si="581"/>
        <v>-0.73729199908821519</v>
      </c>
      <c r="AJ1212" s="6" t="s">
        <v>12270</v>
      </c>
      <c r="AK1212" s="6" t="str">
        <f t="shared" si="565"/>
        <v>=87.74*100000000</v>
      </c>
      <c r="AL1212" s="1">
        <f>87.74*100000000</f>
        <v>8774000000</v>
      </c>
      <c r="AM1212" s="8">
        <f t="shared" si="582"/>
        <v>0.49065579340808696</v>
      </c>
      <c r="AN1212" s="6" t="s">
        <v>4520</v>
      </c>
      <c r="AO1212" s="6" t="str">
        <f t="shared" si="566"/>
        <v>=58.86*100000000</v>
      </c>
      <c r="AP1212" s="1">
        <f>58.86*100000000</f>
        <v>5886000000</v>
      </c>
      <c r="AQ1212" s="8">
        <f t="shared" si="583"/>
        <v>0.36029581696325397</v>
      </c>
      <c r="AR1212" s="6" t="s">
        <v>12271</v>
      </c>
      <c r="AS1212" s="6" t="str">
        <f t="shared" si="567"/>
        <v>=43.27*100000000</v>
      </c>
      <c r="AT1212" s="1">
        <f>43.27*100000000</f>
        <v>4327000000</v>
      </c>
      <c r="AU1212" s="8">
        <f t="shared" si="584"/>
        <v>0.61034611090435431</v>
      </c>
      <c r="AV1212" s="6" t="s">
        <v>12272</v>
      </c>
      <c r="AW1212" s="6" t="str">
        <f t="shared" si="568"/>
        <v>=26.87*100000000</v>
      </c>
      <c r="AX1212" s="1">
        <f>26.87*100000000</f>
        <v>2687000000</v>
      </c>
      <c r="AY1212" s="10">
        <f t="shared" si="585"/>
        <v>-0.5067009362952084</v>
      </c>
      <c r="AZ1212" s="6" t="s">
        <v>12273</v>
      </c>
      <c r="BA1212" s="6" t="str">
        <f t="shared" si="569"/>
        <v>=54.47*100000000</v>
      </c>
      <c r="BB1212" s="1">
        <f>54.47*100000000</f>
        <v>5447000000</v>
      </c>
      <c r="BC1212" s="8">
        <f t="shared" si="586"/>
        <v>0.44482758620689639</v>
      </c>
      <c r="BD1212" s="6" t="s">
        <v>8572</v>
      </c>
      <c r="BE1212" s="6" t="str">
        <f t="shared" si="570"/>
        <v>=37.70*100000000</v>
      </c>
      <c r="BF1212" s="1">
        <f>37.7*100000000</f>
        <v>3770000000.0000005</v>
      </c>
      <c r="BG1212" s="8">
        <f t="shared" si="587"/>
        <v>0.70126353790613738</v>
      </c>
      <c r="BH1212" s="6" t="s">
        <v>12274</v>
      </c>
      <c r="BI1212" s="6" t="str">
        <f t="shared" si="571"/>
        <v>=22.16*100000000</v>
      </c>
      <c r="BJ1212" s="1">
        <f>22.16*100000000</f>
        <v>2216000000</v>
      </c>
      <c r="BK1212" s="6" t="s">
        <v>11738</v>
      </c>
      <c r="BL1212" s="1" t="str">
        <f t="shared" si="573"/>
        <v>=13.46*100000000</v>
      </c>
      <c r="BM1212" s="16">
        <f t="shared" si="588"/>
        <v>0.64635958395245174</v>
      </c>
      <c r="BN1212" s="1">
        <f>13.46*100000000</f>
        <v>1346000000</v>
      </c>
    </row>
    <row r="1213" spans="1:66">
      <c r="A1213" s="19"/>
      <c r="B1213">
        <v>600999</v>
      </c>
      <c r="C1213" t="s">
        <v>68</v>
      </c>
      <c r="D1213" s="6" t="s">
        <v>11113</v>
      </c>
      <c r="E1213" s="7" t="str">
        <f t="shared" si="572"/>
        <v>=116.6*100000000</v>
      </c>
      <c r="F1213" s="1">
        <f>116.6*100000000</f>
        <v>11660000000</v>
      </c>
      <c r="G1213" s="8">
        <f t="shared" si="574"/>
        <v>0.36983082706766918</v>
      </c>
      <c r="H1213" s="6" t="s">
        <v>12275</v>
      </c>
      <c r="I1213" s="6" t="str">
        <f t="shared" si="558"/>
        <v>=85.12*100000000</v>
      </c>
      <c r="J1213" s="1">
        <f>85.12*100000000</f>
        <v>8512000000</v>
      </c>
      <c r="K1213" s="10">
        <f t="shared" si="575"/>
        <v>0.47983310152990266</v>
      </c>
      <c r="L1213" s="6" t="s">
        <v>12276</v>
      </c>
      <c r="M1213" s="6" t="str">
        <f t="shared" si="559"/>
        <v>=57.52*100000000</v>
      </c>
      <c r="N1213" s="1">
        <f>57.52*100000000</f>
        <v>5752000000</v>
      </c>
      <c r="O1213" s="8">
        <f t="shared" si="576"/>
        <v>1.1987767584097859</v>
      </c>
      <c r="P1213" s="6" t="s">
        <v>12277</v>
      </c>
      <c r="Q1213" s="6" t="str">
        <f t="shared" si="560"/>
        <v>=26.16*100000000</v>
      </c>
      <c r="R1213" s="11">
        <f>26.16*100000000</f>
        <v>2616000000</v>
      </c>
      <c r="S1213" s="8">
        <f t="shared" si="577"/>
        <v>-0.7247474747474747</v>
      </c>
      <c r="T1213" s="6" t="s">
        <v>12278</v>
      </c>
      <c r="U1213" s="6" t="str">
        <f t="shared" si="561"/>
        <v>=95.04*100000000</v>
      </c>
      <c r="V1213" s="1">
        <f>95.04*100000000</f>
        <v>9504000000</v>
      </c>
      <c r="W1213" s="8">
        <f t="shared" si="578"/>
        <v>0.3051359516616316</v>
      </c>
      <c r="X1213" s="6" t="s">
        <v>12279</v>
      </c>
      <c r="Y1213" s="6" t="str">
        <f t="shared" si="562"/>
        <v>=72.82*100000000</v>
      </c>
      <c r="Z1213" s="1">
        <f>72.82*100000000</f>
        <v>7281999999.999999</v>
      </c>
      <c r="AA1213" s="8">
        <f t="shared" si="579"/>
        <v>0.67788018433179698</v>
      </c>
      <c r="AB1213" s="6" t="s">
        <v>12280</v>
      </c>
      <c r="AC1213" s="6" t="str">
        <f t="shared" si="563"/>
        <v>=43.40*100000000</v>
      </c>
      <c r="AD1213" s="1">
        <f>43.4*100000000</f>
        <v>4340000000</v>
      </c>
      <c r="AE1213" s="8">
        <f t="shared" si="580"/>
        <v>1.4084350721420644</v>
      </c>
      <c r="AF1213" s="6" t="s">
        <v>1326</v>
      </c>
      <c r="AG1213" s="6" t="str">
        <f t="shared" si="564"/>
        <v>=18.02*100000000</v>
      </c>
      <c r="AH1213" s="1">
        <f>18.02*100000000</f>
        <v>1802000000</v>
      </c>
      <c r="AI1213" s="8">
        <f t="shared" si="581"/>
        <v>-0.75358949815397236</v>
      </c>
      <c r="AJ1213" s="6" t="s">
        <v>12281</v>
      </c>
      <c r="AK1213" s="6" t="str">
        <f t="shared" si="565"/>
        <v>=73.13*100000000</v>
      </c>
      <c r="AL1213" s="1">
        <f>73.13*100000000</f>
        <v>7313000000</v>
      </c>
      <c r="AM1213" s="8">
        <f t="shared" si="582"/>
        <v>0.5112626575738789</v>
      </c>
      <c r="AN1213" s="6" t="s">
        <v>1492</v>
      </c>
      <c r="AO1213" s="6" t="str">
        <f t="shared" si="566"/>
        <v>=48.39*100000000</v>
      </c>
      <c r="AP1213" s="1">
        <f>48.39*100000000</f>
        <v>4839000000</v>
      </c>
      <c r="AQ1213" s="8">
        <f t="shared" si="583"/>
        <v>0.37706317586795673</v>
      </c>
      <c r="AR1213" s="6" t="s">
        <v>12282</v>
      </c>
      <c r="AS1213" s="6" t="str">
        <f t="shared" si="567"/>
        <v>=35.14*100000000</v>
      </c>
      <c r="AT1213" s="1">
        <f>35.14*100000000</f>
        <v>3514000000</v>
      </c>
      <c r="AU1213" s="8">
        <f t="shared" si="584"/>
        <v>0.64821763602251403</v>
      </c>
      <c r="AV1213" s="6" t="s">
        <v>558</v>
      </c>
      <c r="AW1213" s="6" t="str">
        <f t="shared" si="568"/>
        <v>=21.32*100000000</v>
      </c>
      <c r="AX1213" s="1">
        <f>21.32*100000000</f>
        <v>2132000000</v>
      </c>
      <c r="AY1213" s="10">
        <f t="shared" si="585"/>
        <v>-0.52046783625730997</v>
      </c>
      <c r="AZ1213" s="6" t="s">
        <v>12283</v>
      </c>
      <c r="BA1213" s="6" t="str">
        <f t="shared" si="569"/>
        <v>=44.46*100000000</v>
      </c>
      <c r="BB1213" s="1">
        <f>44.46*100000000</f>
        <v>4446000000</v>
      </c>
      <c r="BC1213" s="8">
        <f t="shared" si="586"/>
        <v>0.44868035190615835</v>
      </c>
      <c r="BD1213" s="6" t="s">
        <v>12284</v>
      </c>
      <c r="BE1213" s="6" t="str">
        <f t="shared" si="570"/>
        <v>=30.69*100000000</v>
      </c>
      <c r="BF1213" s="1">
        <f>30.69*100000000</f>
        <v>3069000000</v>
      </c>
      <c r="BG1213" s="8">
        <f t="shared" si="587"/>
        <v>0.70121951219512191</v>
      </c>
      <c r="BH1213" s="6" t="s">
        <v>6203</v>
      </c>
      <c r="BI1213" s="6" t="str">
        <f t="shared" si="571"/>
        <v>=18.04*100000000</v>
      </c>
      <c r="BJ1213" s="1">
        <f>18.04*100000000</f>
        <v>1804000000</v>
      </c>
      <c r="BK1213" s="6" t="s">
        <v>6016</v>
      </c>
      <c r="BL1213" s="1" t="str">
        <f t="shared" si="573"/>
        <v>=10.82*100000000</v>
      </c>
      <c r="BM1213" s="16">
        <f t="shared" si="588"/>
        <v>0.66728280961182995</v>
      </c>
      <c r="BN1213" s="1">
        <f>10.82*100000000</f>
        <v>1082000000</v>
      </c>
    </row>
    <row r="1214" spans="1:66">
      <c r="A1214" s="17">
        <v>305</v>
      </c>
      <c r="B1214">
        <v>601000</v>
      </c>
      <c r="C1214" t="s">
        <v>31</v>
      </c>
      <c r="D1214" s="6" t="s">
        <v>12285</v>
      </c>
      <c r="E1214" s="7" t="str">
        <f t="shared" si="572"/>
        <v>=60.75*100000000</v>
      </c>
      <c r="F1214" s="1">
        <f>60.75*100000000</f>
        <v>6075000000</v>
      </c>
      <c r="G1214" s="8">
        <f t="shared" si="574"/>
        <v>0.33311389071757735</v>
      </c>
      <c r="H1214" s="6" t="s">
        <v>12286</v>
      </c>
      <c r="I1214" s="6" t="str">
        <f t="shared" si="558"/>
        <v>=45.57*100000000</v>
      </c>
      <c r="J1214" s="1">
        <f>45.57*100000000</f>
        <v>4557000000</v>
      </c>
      <c r="K1214" s="10">
        <f t="shared" si="575"/>
        <v>0.42051122194513718</v>
      </c>
      <c r="L1214" s="6" t="s">
        <v>12287</v>
      </c>
      <c r="M1214" s="6" t="str">
        <f t="shared" si="559"/>
        <v>=32.08*100000000</v>
      </c>
      <c r="N1214" s="1">
        <f>32.08*100000000</f>
        <v>3208000000</v>
      </c>
      <c r="O1214" s="8">
        <f t="shared" si="576"/>
        <v>0.80022446689113358</v>
      </c>
      <c r="P1214" s="6" t="s">
        <v>12288</v>
      </c>
      <c r="Q1214" s="6" t="str">
        <f t="shared" si="560"/>
        <v>=17.82*100000000</v>
      </c>
      <c r="R1214" s="11">
        <f>17.82*100000000</f>
        <v>1782000000</v>
      </c>
      <c r="S1214" s="8">
        <f t="shared" si="577"/>
        <v>-0.77261707285951253</v>
      </c>
      <c r="T1214" s="6" t="s">
        <v>12289</v>
      </c>
      <c r="U1214" s="6" t="str">
        <f t="shared" si="561"/>
        <v>=78.37*100000000</v>
      </c>
      <c r="V1214" s="1">
        <f>78.37*100000000</f>
        <v>7837000000</v>
      </c>
      <c r="W1214" s="8">
        <f t="shared" si="578"/>
        <v>0.26403225806451613</v>
      </c>
      <c r="X1214" s="6" t="s">
        <v>12290</v>
      </c>
      <c r="Y1214" s="6" t="str">
        <f t="shared" si="562"/>
        <v>=62.00*100000000</v>
      </c>
      <c r="Z1214" s="1">
        <f>62*100000000</f>
        <v>6200000000</v>
      </c>
      <c r="AA1214" s="8">
        <f t="shared" si="579"/>
        <v>0.58892875448487936</v>
      </c>
      <c r="AB1214" s="6" t="s">
        <v>4348</v>
      </c>
      <c r="AC1214" s="6" t="str">
        <f t="shared" si="563"/>
        <v>=39.02*100000000</v>
      </c>
      <c r="AD1214" s="1">
        <f>39.02*100000000</f>
        <v>3902000000.0000005</v>
      </c>
      <c r="AE1214" s="8">
        <f t="shared" si="580"/>
        <v>0.91368317802844556</v>
      </c>
      <c r="AF1214" s="6" t="s">
        <v>3333</v>
      </c>
      <c r="AG1214" s="6" t="str">
        <f t="shared" si="564"/>
        <v>=20.39*100000000</v>
      </c>
      <c r="AH1214" s="1">
        <f>20.39*100000000</f>
        <v>2039000000</v>
      </c>
      <c r="AI1214" s="8">
        <f t="shared" si="581"/>
        <v>-0.81810883140053525</v>
      </c>
      <c r="AJ1214" s="6" t="s">
        <v>312</v>
      </c>
      <c r="AK1214" s="6" t="str">
        <f t="shared" si="565"/>
        <v>=112.1*100000000</v>
      </c>
      <c r="AL1214" s="1">
        <f>112.1*100000000</f>
        <v>11210000000</v>
      </c>
      <c r="AM1214" s="8">
        <f t="shared" si="582"/>
        <v>0.31418522860492382</v>
      </c>
      <c r="AN1214" s="6" t="s">
        <v>12291</v>
      </c>
      <c r="AO1214" s="6" t="str">
        <f t="shared" si="566"/>
        <v>=85.30*100000000</v>
      </c>
      <c r="AP1214" s="1">
        <f>85.3*100000000</f>
        <v>8530000000</v>
      </c>
      <c r="AQ1214" s="8">
        <f t="shared" si="583"/>
        <v>0.42905009214273748</v>
      </c>
      <c r="AR1214" s="6" t="s">
        <v>10047</v>
      </c>
      <c r="AS1214" s="6" t="str">
        <f t="shared" si="567"/>
        <v>=59.69*100000000</v>
      </c>
      <c r="AT1214" s="1">
        <f>59.69*100000000</f>
        <v>5969000000</v>
      </c>
      <c r="AU1214" s="8">
        <f t="shared" si="584"/>
        <v>0.96931705707687232</v>
      </c>
      <c r="AV1214" s="6" t="s">
        <v>12292</v>
      </c>
      <c r="AW1214" s="6" t="str">
        <f t="shared" si="568"/>
        <v>=30.31*100000000</v>
      </c>
      <c r="AX1214" s="1">
        <f>30.31*100000000</f>
        <v>3031000000</v>
      </c>
      <c r="AY1214" s="10">
        <f t="shared" si="585"/>
        <v>-0.70108481262327416</v>
      </c>
      <c r="AZ1214" s="6" t="s">
        <v>12293</v>
      </c>
      <c r="BA1214" s="6" t="str">
        <f t="shared" si="569"/>
        <v>=101.4*100000000</v>
      </c>
      <c r="BB1214" s="1">
        <f>101.4*100000000</f>
        <v>10140000000</v>
      </c>
      <c r="BC1214" s="8">
        <f t="shared" si="586"/>
        <v>0.412846593284102</v>
      </c>
      <c r="BD1214" s="6" t="s">
        <v>3416</v>
      </c>
      <c r="BE1214" s="6" t="str">
        <f t="shared" si="570"/>
        <v>=71.77*100000000</v>
      </c>
      <c r="BF1214" s="1">
        <f>71.77*100000000</f>
        <v>7177000000</v>
      </c>
      <c r="BG1214" s="8">
        <f t="shared" si="587"/>
        <v>0.60955371159452787</v>
      </c>
      <c r="BH1214" s="6" t="s">
        <v>12294</v>
      </c>
      <c r="BI1214" s="6" t="str">
        <f t="shared" si="571"/>
        <v>=44.59*100000000</v>
      </c>
      <c r="BJ1214" s="1">
        <f>44.59*100000000</f>
        <v>4459000000</v>
      </c>
      <c r="BK1214" s="6" t="s">
        <v>5714</v>
      </c>
      <c r="BL1214" s="1" t="str">
        <f t="shared" si="573"/>
        <v>=18.31*100000000</v>
      </c>
      <c r="BM1214" s="16">
        <f t="shared" si="588"/>
        <v>1.4352812670671766</v>
      </c>
      <c r="BN1214" s="1">
        <f>18.31*100000000</f>
        <v>1830999999.9999998</v>
      </c>
    </row>
    <row r="1215" spans="1:66">
      <c r="A1215" s="18"/>
      <c r="B1215">
        <v>601000</v>
      </c>
      <c r="C1215" t="s">
        <v>48</v>
      </c>
      <c r="D1215" s="6" t="s">
        <v>8688</v>
      </c>
      <c r="E1215" s="7" t="str">
        <f t="shared" si="572"/>
        <v>=25.71*100000000</v>
      </c>
      <c r="F1215" s="1">
        <f>25.71*100000000</f>
        <v>2571000000</v>
      </c>
      <c r="G1215" s="8">
        <f t="shared" si="574"/>
        <v>0.20647583294228075</v>
      </c>
      <c r="H1215" s="6" t="s">
        <v>2646</v>
      </c>
      <c r="I1215" s="6" t="str">
        <f t="shared" ref="I1215:I1278" si="589">"="&amp;H1215</f>
        <v>=21.31*100000000</v>
      </c>
      <c r="J1215" s="1">
        <f>21.31*100000000</f>
        <v>2130999999.9999998</v>
      </c>
      <c r="K1215" s="10">
        <f t="shared" si="575"/>
        <v>0.72550607287449376</v>
      </c>
      <c r="L1215" s="6" t="s">
        <v>11460</v>
      </c>
      <c r="M1215" s="6" t="str">
        <f t="shared" ref="M1215:M1278" si="590">"="&amp;L1215</f>
        <v>=12.35*100000000</v>
      </c>
      <c r="N1215" s="1">
        <f>12.35*100000000</f>
        <v>1235000000</v>
      </c>
      <c r="O1215" s="8">
        <f t="shared" si="576"/>
        <v>0.92697768762677479</v>
      </c>
      <c r="P1215" s="6" t="s">
        <v>11770</v>
      </c>
      <c r="Q1215" s="6" t="str">
        <f t="shared" ref="Q1215:Q1278" si="591">"="&amp;P1215</f>
        <v>=6.409*100000000</v>
      </c>
      <c r="R1215" s="11">
        <f>6.409*100000000</f>
        <v>640900000</v>
      </c>
      <c r="S1215" s="8">
        <f t="shared" si="577"/>
        <v>-0.72727659574468084</v>
      </c>
      <c r="T1215" s="6" t="s">
        <v>4770</v>
      </c>
      <c r="U1215" s="6" t="str">
        <f t="shared" ref="U1215:U1278" si="592">"="&amp;T1215</f>
        <v>=23.50*100000000</v>
      </c>
      <c r="V1215" s="1">
        <f>23.5*100000000</f>
        <v>2350000000</v>
      </c>
      <c r="W1215" s="8">
        <f t="shared" si="578"/>
        <v>0.34209023415191303</v>
      </c>
      <c r="X1215" s="6" t="s">
        <v>6670</v>
      </c>
      <c r="Y1215" s="6" t="str">
        <f t="shared" ref="Y1215:Y1278" si="593">"="&amp;X1215</f>
        <v>=17.51*100000000</v>
      </c>
      <c r="Z1215" s="1">
        <f>17.51*100000000</f>
        <v>1751000000.0000002</v>
      </c>
      <c r="AA1215" s="8">
        <f t="shared" si="579"/>
        <v>0.49148211243611606</v>
      </c>
      <c r="AB1215" s="6" t="s">
        <v>11504</v>
      </c>
      <c r="AC1215" s="6" t="str">
        <f t="shared" ref="AC1215:AC1278" si="594">"="&amp;AB1215</f>
        <v>=11.74*100000000</v>
      </c>
      <c r="AD1215" s="1">
        <f>11.74*100000000</f>
        <v>1174000000</v>
      </c>
      <c r="AE1215" s="8">
        <f t="shared" si="580"/>
        <v>1.1886651752423565</v>
      </c>
      <c r="AF1215" s="6" t="s">
        <v>12295</v>
      </c>
      <c r="AG1215" s="6" t="str">
        <f t="shared" ref="AG1215:AG1278" si="595">"="&amp;AF1215</f>
        <v>=5.364*100000000</v>
      </c>
      <c r="AH1215" s="1">
        <f>5.364*100000000</f>
        <v>536400000</v>
      </c>
      <c r="AI1215" s="8">
        <f t="shared" si="581"/>
        <v>-0.75235457063711908</v>
      </c>
      <c r="AJ1215" s="6" t="s">
        <v>5374</v>
      </c>
      <c r="AK1215" s="6" t="str">
        <f t="shared" ref="AK1215:AK1278" si="596">"="&amp;AJ1215</f>
        <v>=21.66*100000000</v>
      </c>
      <c r="AL1215" s="1">
        <f>21.66*100000000</f>
        <v>2166000000</v>
      </c>
      <c r="AM1215" s="8">
        <f t="shared" si="582"/>
        <v>0.45271629778672035</v>
      </c>
      <c r="AN1215" s="6" t="s">
        <v>5898</v>
      </c>
      <c r="AO1215" s="6" t="str">
        <f t="shared" ref="AO1215:AO1278" si="597">"="&amp;AN1215</f>
        <v>=14.91*100000000</v>
      </c>
      <c r="AP1215" s="1">
        <f>14.91*100000000</f>
        <v>1491000000</v>
      </c>
      <c r="AQ1215" s="8">
        <f t="shared" si="583"/>
        <v>0.35792349726775957</v>
      </c>
      <c r="AR1215" s="6" t="s">
        <v>2659</v>
      </c>
      <c r="AS1215" s="6" t="str">
        <f t="shared" ref="AS1215:AS1278" si="598">"="&amp;AR1215</f>
        <v>=10.98*100000000</v>
      </c>
      <c r="AT1215" s="1">
        <f>10.98*100000000</f>
        <v>1098000000</v>
      </c>
      <c r="AU1215" s="8">
        <f t="shared" si="584"/>
        <v>1.0010934937124112</v>
      </c>
      <c r="AV1215" s="6" t="s">
        <v>12296</v>
      </c>
      <c r="AW1215" s="6" t="str">
        <f t="shared" ref="AW1215:AW1278" si="599">"="&amp;AV1215</f>
        <v>=5.487*100000000</v>
      </c>
      <c r="AX1215" s="1">
        <f>5.487*100000000</f>
        <v>548700000</v>
      </c>
      <c r="AY1215" s="10">
        <f t="shared" si="585"/>
        <v>-0.70875796178343953</v>
      </c>
      <c r="AZ1215" s="6" t="s">
        <v>12297</v>
      </c>
      <c r="BA1215" s="6" t="str">
        <f t="shared" ref="BA1215:BA1278" si="600">"="&amp;AZ1215</f>
        <v>=18.84*100000000</v>
      </c>
      <c r="BB1215" s="1">
        <f>18.84*100000000</f>
        <v>1884000000</v>
      </c>
      <c r="BC1215" s="8">
        <f t="shared" si="586"/>
        <v>0.42619227857683573</v>
      </c>
      <c r="BD1215" s="6" t="s">
        <v>4506</v>
      </c>
      <c r="BE1215" s="6" t="str">
        <f t="shared" ref="BE1215:BE1278" si="601">"="&amp;BD1215</f>
        <v>=13.21*100000000</v>
      </c>
      <c r="BF1215" s="1">
        <f>13.21*100000000</f>
        <v>1321000000</v>
      </c>
      <c r="BG1215" s="8">
        <f t="shared" si="587"/>
        <v>0.369195688225539</v>
      </c>
      <c r="BH1215" s="6" t="s">
        <v>12298</v>
      </c>
      <c r="BI1215" s="6" t="str">
        <f t="shared" ref="BI1215:BI1278" si="602">"="&amp;BH1215</f>
        <v>=9.648*100000000</v>
      </c>
      <c r="BJ1215" s="1">
        <f>9.648*100000000</f>
        <v>964800000</v>
      </c>
      <c r="BK1215" s="6" t="s">
        <v>12299</v>
      </c>
      <c r="BL1215" s="1" t="str">
        <f t="shared" si="573"/>
        <v>=4.676*100000000</v>
      </c>
      <c r="BM1215" s="16">
        <f t="shared" si="588"/>
        <v>1.0633019674935842</v>
      </c>
      <c r="BN1215" s="1">
        <f>4.676*100000000</f>
        <v>467600000</v>
      </c>
    </row>
    <row r="1216" spans="1:66">
      <c r="A1216" s="18"/>
      <c r="B1216">
        <v>601000</v>
      </c>
      <c r="C1216" t="s">
        <v>58</v>
      </c>
      <c r="D1216" s="6" t="s">
        <v>2462</v>
      </c>
      <c r="E1216" s="7" t="str">
        <f t="shared" si="572"/>
        <v>=25.93*100000000</v>
      </c>
      <c r="F1216" s="1">
        <f>25.93*100000000</f>
        <v>2593000000</v>
      </c>
      <c r="G1216" s="8">
        <f t="shared" si="574"/>
        <v>0.20885780885780886</v>
      </c>
      <c r="H1216" s="6" t="s">
        <v>12300</v>
      </c>
      <c r="I1216" s="6" t="str">
        <f t="shared" si="589"/>
        <v>=21.45*100000000</v>
      </c>
      <c r="J1216" s="1">
        <f>21.45*100000000</f>
        <v>2145000000</v>
      </c>
      <c r="K1216" s="10">
        <f t="shared" si="575"/>
        <v>0.72012830793905369</v>
      </c>
      <c r="L1216" s="6" t="s">
        <v>55</v>
      </c>
      <c r="M1216" s="6" t="str">
        <f t="shared" si="590"/>
        <v>=12.47*100000000</v>
      </c>
      <c r="N1216" s="1">
        <f>12.47*100000000</f>
        <v>1247000000</v>
      </c>
      <c r="O1216" s="8">
        <f t="shared" si="576"/>
        <v>0.92023406221127191</v>
      </c>
      <c r="P1216" s="6" t="s">
        <v>616</v>
      </c>
      <c r="Q1216" s="6" t="str">
        <f t="shared" si="591"/>
        <v>=6.494*100000000</v>
      </c>
      <c r="R1216" s="11">
        <f>6.494*100000000</f>
        <v>649400000</v>
      </c>
      <c r="S1216" s="8">
        <f t="shared" si="577"/>
        <v>-0.72691337258200173</v>
      </c>
      <c r="T1216" s="6" t="s">
        <v>8227</v>
      </c>
      <c r="U1216" s="6" t="str">
        <f t="shared" si="592"/>
        <v>=23.78*100000000</v>
      </c>
      <c r="V1216" s="1">
        <f>23.78*100000000</f>
        <v>2378000000</v>
      </c>
      <c r="W1216" s="8">
        <f t="shared" si="578"/>
        <v>0.3344556677890011</v>
      </c>
      <c r="X1216" s="6" t="s">
        <v>12288</v>
      </c>
      <c r="Y1216" s="6" t="str">
        <f t="shared" si="593"/>
        <v>=17.82*100000000</v>
      </c>
      <c r="Z1216" s="1">
        <f>17.82*100000000</f>
        <v>1782000000</v>
      </c>
      <c r="AA1216" s="8">
        <f t="shared" si="579"/>
        <v>0.48623853211009177</v>
      </c>
      <c r="AB1216" s="6" t="s">
        <v>3693</v>
      </c>
      <c r="AC1216" s="6" t="str">
        <f t="shared" si="594"/>
        <v>=11.99*100000000</v>
      </c>
      <c r="AD1216" s="1">
        <f>11.99*100000000</f>
        <v>1199000000</v>
      </c>
      <c r="AE1216" s="8">
        <f t="shared" si="580"/>
        <v>1.1815866084425037</v>
      </c>
      <c r="AF1216" s="6" t="s">
        <v>1216</v>
      </c>
      <c r="AG1216" s="6" t="str">
        <f t="shared" si="595"/>
        <v>=5.496*100000000</v>
      </c>
      <c r="AH1216" s="1">
        <f>5.496*100000000</f>
        <v>549600000</v>
      </c>
      <c r="AI1216" s="8">
        <f t="shared" si="581"/>
        <v>-0.74972677595628412</v>
      </c>
      <c r="AJ1216" s="6" t="s">
        <v>3344</v>
      </c>
      <c r="AK1216" s="6" t="str">
        <f t="shared" si="596"/>
        <v>=21.96*100000000</v>
      </c>
      <c r="AL1216" s="1">
        <f>21.96*100000000</f>
        <v>2196000000</v>
      </c>
      <c r="AM1216" s="8">
        <f t="shared" si="582"/>
        <v>0.45526838966202782</v>
      </c>
      <c r="AN1216" s="6" t="s">
        <v>7176</v>
      </c>
      <c r="AO1216" s="6" t="str">
        <f t="shared" si="597"/>
        <v>=15.09*100000000</v>
      </c>
      <c r="AP1216" s="1">
        <f>15.09*100000000</f>
        <v>1509000000</v>
      </c>
      <c r="AQ1216" s="8">
        <f t="shared" si="583"/>
        <v>0.36068530207394051</v>
      </c>
      <c r="AR1216" s="6" t="s">
        <v>4498</v>
      </c>
      <c r="AS1216" s="6" t="str">
        <f t="shared" si="598"/>
        <v>=11.09*100000000</v>
      </c>
      <c r="AT1216" s="1">
        <f>11.09*100000000</f>
        <v>1109000000</v>
      </c>
      <c r="AU1216" s="8">
        <f t="shared" si="584"/>
        <v>1.0046999276934201</v>
      </c>
      <c r="AV1216" s="6" t="s">
        <v>9206</v>
      </c>
      <c r="AW1216" s="6" t="str">
        <f t="shared" si="599"/>
        <v>=5.532*100000000</v>
      </c>
      <c r="AX1216" s="1">
        <f>5.532*100000000</f>
        <v>553200000</v>
      </c>
      <c r="AY1216" s="10">
        <f t="shared" si="585"/>
        <v>-0.70899526564965809</v>
      </c>
      <c r="AZ1216" s="6" t="s">
        <v>12133</v>
      </c>
      <c r="BA1216" s="6" t="str">
        <f t="shared" si="600"/>
        <v>=19.01*100000000</v>
      </c>
      <c r="BB1216" s="1">
        <f>19.01*100000000</f>
        <v>1901000000.0000002</v>
      </c>
      <c r="BC1216" s="8">
        <f t="shared" si="586"/>
        <v>0.42503748125937052</v>
      </c>
      <c r="BD1216" s="6" t="s">
        <v>6572</v>
      </c>
      <c r="BE1216" s="6" t="str">
        <f t="shared" si="601"/>
        <v>=13.34*100000000</v>
      </c>
      <c r="BF1216" s="1">
        <f>13.34*100000000</f>
        <v>1334000000</v>
      </c>
      <c r="BG1216" s="8">
        <f t="shared" si="587"/>
        <v>0.36848584324989758</v>
      </c>
      <c r="BH1216" s="6" t="s">
        <v>12301</v>
      </c>
      <c r="BI1216" s="6" t="str">
        <f t="shared" si="602"/>
        <v>=9.748*100000000</v>
      </c>
      <c r="BJ1216" s="1">
        <f>9.748*100000000</f>
        <v>974799999.99999988</v>
      </c>
      <c r="BK1216" s="6" t="s">
        <v>3473</v>
      </c>
      <c r="BL1216" s="1" t="str">
        <f t="shared" si="573"/>
        <v>=4.721*100000000</v>
      </c>
      <c r="BM1216" s="16">
        <f t="shared" si="588"/>
        <v>1.0648167761067568</v>
      </c>
      <c r="BN1216" s="1">
        <f>4.721*100000000</f>
        <v>472100000</v>
      </c>
    </row>
    <row r="1217" spans="1:66">
      <c r="A1217" s="19"/>
      <c r="B1217">
        <v>601000</v>
      </c>
      <c r="C1217" t="s">
        <v>68</v>
      </c>
      <c r="D1217" s="6" t="s">
        <v>12302</v>
      </c>
      <c r="E1217" s="7" t="str">
        <f t="shared" si="572"/>
        <v>=21.53*100000000</v>
      </c>
      <c r="F1217" s="1">
        <f>21.53*100000000</f>
        <v>2153000000</v>
      </c>
      <c r="G1217" s="8">
        <f t="shared" si="574"/>
        <v>0.20481253497481813</v>
      </c>
      <c r="H1217" s="6" t="s">
        <v>6779</v>
      </c>
      <c r="I1217" s="6" t="str">
        <f t="shared" si="589"/>
        <v>=17.87*100000000</v>
      </c>
      <c r="J1217" s="1">
        <f>17.87*100000000</f>
        <v>1787000000</v>
      </c>
      <c r="K1217" s="10">
        <f t="shared" si="575"/>
        <v>0.80141129032258063</v>
      </c>
      <c r="L1217" s="6" t="s">
        <v>12303</v>
      </c>
      <c r="M1217" s="6" t="str">
        <f t="shared" si="590"/>
        <v>=9.920*100000000</v>
      </c>
      <c r="N1217" s="1">
        <f>9.92*100000000</f>
        <v>992000000</v>
      </c>
      <c r="O1217" s="8">
        <f t="shared" si="576"/>
        <v>0.93221659524737022</v>
      </c>
      <c r="P1217" s="6" t="s">
        <v>7822</v>
      </c>
      <c r="Q1217" s="6" t="str">
        <f t="shared" si="591"/>
        <v>=5.134*100000000</v>
      </c>
      <c r="R1217" s="11">
        <f>5.134*100000000</f>
        <v>513400000.00000006</v>
      </c>
      <c r="S1217" s="8">
        <f t="shared" si="577"/>
        <v>-0.73965517241379308</v>
      </c>
      <c r="T1217" s="6" t="s">
        <v>8824</v>
      </c>
      <c r="U1217" s="6" t="str">
        <f t="shared" si="592"/>
        <v>=19.72*100000000</v>
      </c>
      <c r="V1217" s="1">
        <f>19.72*100000000</f>
        <v>1972000000</v>
      </c>
      <c r="W1217" s="8">
        <f t="shared" si="578"/>
        <v>0.34332425068119893</v>
      </c>
      <c r="X1217" s="6" t="s">
        <v>333</v>
      </c>
      <c r="Y1217" s="6" t="str">
        <f t="shared" si="593"/>
        <v>=14.68*100000000</v>
      </c>
      <c r="Z1217" s="1">
        <f>14.68*100000000</f>
        <v>1468000000</v>
      </c>
      <c r="AA1217" s="8">
        <f t="shared" si="579"/>
        <v>0.49948927477017385</v>
      </c>
      <c r="AB1217" s="6" t="s">
        <v>7349</v>
      </c>
      <c r="AC1217" s="6" t="str">
        <f t="shared" si="594"/>
        <v>=9.790*100000000</v>
      </c>
      <c r="AD1217" s="1">
        <f>9.79*100000000</f>
        <v>978999999.99999988</v>
      </c>
      <c r="AE1217" s="8">
        <f t="shared" si="580"/>
        <v>1.2144311241800494</v>
      </c>
      <c r="AF1217" s="6" t="s">
        <v>12304</v>
      </c>
      <c r="AG1217" s="6" t="str">
        <f t="shared" si="595"/>
        <v>=4.421*100000000</v>
      </c>
      <c r="AH1217" s="1">
        <f>4.421*100000000</f>
        <v>442100000</v>
      </c>
      <c r="AI1217" s="8">
        <f t="shared" si="581"/>
        <v>-0.74951841359773363</v>
      </c>
      <c r="AJ1217" s="6" t="s">
        <v>1120</v>
      </c>
      <c r="AK1217" s="6" t="str">
        <f t="shared" si="596"/>
        <v>=17.65*100000000</v>
      </c>
      <c r="AL1217" s="1">
        <f>17.65*100000000</f>
        <v>1764999999.9999998</v>
      </c>
      <c r="AM1217" s="8">
        <f t="shared" si="582"/>
        <v>0.45747316267547461</v>
      </c>
      <c r="AN1217" s="6" t="s">
        <v>2050</v>
      </c>
      <c r="AO1217" s="6" t="str">
        <f t="shared" si="597"/>
        <v>=12.11*100000000</v>
      </c>
      <c r="AP1217" s="1">
        <f>12.11*100000000</f>
        <v>1211000000</v>
      </c>
      <c r="AQ1217" s="8">
        <f t="shared" si="583"/>
        <v>0.3561030235162374</v>
      </c>
      <c r="AR1217" s="6" t="s">
        <v>12305</v>
      </c>
      <c r="AS1217" s="6" t="str">
        <f t="shared" si="598"/>
        <v>=8.930*100000000</v>
      </c>
      <c r="AT1217" s="1">
        <f>8.93*100000000</f>
        <v>893000000</v>
      </c>
      <c r="AU1217" s="8">
        <f t="shared" si="584"/>
        <v>0.9991045444369826</v>
      </c>
      <c r="AV1217" s="6" t="s">
        <v>12306</v>
      </c>
      <c r="AW1217" s="6" t="str">
        <f t="shared" si="599"/>
        <v>=4.467*100000000</v>
      </c>
      <c r="AX1217" s="1">
        <f>4.467*100000000</f>
        <v>446699999.99999994</v>
      </c>
      <c r="AY1217" s="10">
        <f t="shared" si="585"/>
        <v>-0.70955786736020809</v>
      </c>
      <c r="AZ1217" s="6" t="s">
        <v>64</v>
      </c>
      <c r="BA1217" s="6" t="str">
        <f t="shared" si="600"/>
        <v>=15.38*100000000</v>
      </c>
      <c r="BB1217" s="1">
        <f>15.38*100000000</f>
        <v>1538000000</v>
      </c>
      <c r="BC1217" s="8">
        <f t="shared" si="586"/>
        <v>0.44548872180451127</v>
      </c>
      <c r="BD1217" s="6" t="s">
        <v>8695</v>
      </c>
      <c r="BE1217" s="6" t="str">
        <f t="shared" si="601"/>
        <v>=10.64*100000000</v>
      </c>
      <c r="BF1217" s="1">
        <f>10.64*100000000</f>
        <v>1064000000</v>
      </c>
      <c r="BG1217" s="8">
        <f t="shared" si="587"/>
        <v>0.3755656108597285</v>
      </c>
      <c r="BH1217" s="6" t="s">
        <v>12307</v>
      </c>
      <c r="BI1217" s="6" t="str">
        <f t="shared" si="602"/>
        <v>=7.735*100000000</v>
      </c>
      <c r="BJ1217" s="1">
        <f>7.735*100000000</f>
        <v>773500000</v>
      </c>
      <c r="BK1217" s="6" t="s">
        <v>12308</v>
      </c>
      <c r="BL1217" s="1" t="str">
        <f t="shared" si="573"/>
        <v>=3.792*100000000</v>
      </c>
      <c r="BM1217" s="16">
        <f t="shared" si="588"/>
        <v>1.0398206751054853</v>
      </c>
      <c r="BN1217" s="1">
        <f>3.792*100000000</f>
        <v>379200000</v>
      </c>
    </row>
    <row r="1218" spans="1:66">
      <c r="A1218" s="17">
        <v>306</v>
      </c>
      <c r="B1218">
        <v>601005</v>
      </c>
      <c r="C1218" t="s">
        <v>31</v>
      </c>
      <c r="D1218" s="6" t="s">
        <v>12309</v>
      </c>
      <c r="E1218" s="7" t="str">
        <f t="shared" ref="E1218:E1281" si="603">"="&amp;D1218</f>
        <v>=398.5*100000000</v>
      </c>
      <c r="F1218" s="1">
        <f>398.5*100000000</f>
        <v>39850000000</v>
      </c>
      <c r="G1218" s="8">
        <f t="shared" si="574"/>
        <v>0.25472292191435753</v>
      </c>
      <c r="H1218" s="6" t="s">
        <v>12310</v>
      </c>
      <c r="I1218" s="6" t="str">
        <f t="shared" si="589"/>
        <v>=317.6*100000000</v>
      </c>
      <c r="J1218" s="1">
        <f>317.6*100000000</f>
        <v>31760000000.000004</v>
      </c>
      <c r="K1218" s="10">
        <f t="shared" si="575"/>
        <v>0.40097044552271743</v>
      </c>
      <c r="L1218" s="6" t="s">
        <v>12311</v>
      </c>
      <c r="M1218" s="6" t="str">
        <f t="shared" si="590"/>
        <v>=226.7*100000000</v>
      </c>
      <c r="N1218" s="1">
        <f>226.7*100000000</f>
        <v>22670000000</v>
      </c>
      <c r="O1218" s="8">
        <f t="shared" si="576"/>
        <v>1.271998396472239</v>
      </c>
      <c r="P1218" s="6" t="s">
        <v>12312</v>
      </c>
      <c r="Q1218" s="6" t="str">
        <f t="shared" si="591"/>
        <v>=99.78*100000000</v>
      </c>
      <c r="R1218" s="11">
        <f>99.78*100000000</f>
        <v>9978000000</v>
      </c>
      <c r="S1218" s="8">
        <f t="shared" si="577"/>
        <v>-0.59256839526337279</v>
      </c>
      <c r="T1218" s="6" t="s">
        <v>12313</v>
      </c>
      <c r="U1218" s="6" t="str">
        <f t="shared" si="592"/>
        <v>=244.9*100000000</v>
      </c>
      <c r="V1218" s="1">
        <f>244.9*100000000</f>
        <v>24490000000</v>
      </c>
      <c r="W1218" s="8">
        <f t="shared" si="578"/>
        <v>0.36586726157278304</v>
      </c>
      <c r="X1218" s="6" t="s">
        <v>9310</v>
      </c>
      <c r="Y1218" s="6" t="str">
        <f t="shared" si="593"/>
        <v>=179.3*100000000</v>
      </c>
      <c r="Z1218" s="1">
        <f>179.3*100000000</f>
        <v>17930000000</v>
      </c>
      <c r="AA1218" s="8">
        <f t="shared" si="579"/>
        <v>0.64043915827996345</v>
      </c>
      <c r="AB1218" s="6" t="s">
        <v>12314</v>
      </c>
      <c r="AC1218" s="6" t="str">
        <f t="shared" si="594"/>
        <v>=109.3*100000000</v>
      </c>
      <c r="AD1218" s="1">
        <f>109.3*100000000</f>
        <v>10930000000</v>
      </c>
      <c r="AE1218" s="8">
        <f t="shared" si="580"/>
        <v>1.1108536114329857</v>
      </c>
      <c r="AF1218" s="6" t="s">
        <v>12315</v>
      </c>
      <c r="AG1218" s="6" t="str">
        <f t="shared" si="595"/>
        <v>=51.78*100000000</v>
      </c>
      <c r="AH1218" s="1">
        <f>51.78*100000000</f>
        <v>5178000000</v>
      </c>
      <c r="AI1218" s="8">
        <f t="shared" si="581"/>
        <v>-0.77947189097103919</v>
      </c>
      <c r="AJ1218" s="6" t="s">
        <v>12316</v>
      </c>
      <c r="AK1218" s="6" t="str">
        <f t="shared" si="596"/>
        <v>=234.8*100000000</v>
      </c>
      <c r="AL1218" s="1">
        <f>234.8*100000000</f>
        <v>23480000000</v>
      </c>
      <c r="AM1218" s="8">
        <f t="shared" si="582"/>
        <v>0.35879629629629628</v>
      </c>
      <c r="AN1218" s="6" t="s">
        <v>12317</v>
      </c>
      <c r="AO1218" s="6" t="str">
        <f t="shared" si="597"/>
        <v>=172.8*100000000</v>
      </c>
      <c r="AP1218" s="1">
        <f>172.8*100000000</f>
        <v>17280000000</v>
      </c>
      <c r="AQ1218" s="8">
        <f t="shared" si="583"/>
        <v>0.50522648083623689</v>
      </c>
      <c r="AR1218" s="6" t="s">
        <v>12318</v>
      </c>
      <c r="AS1218" s="6" t="str">
        <f t="shared" si="598"/>
        <v>=114.8*100000000</v>
      </c>
      <c r="AT1218" s="1">
        <f>114.8*100000000</f>
        <v>11480000000</v>
      </c>
      <c r="AU1218" s="8">
        <f t="shared" si="584"/>
        <v>1.1627731725697061</v>
      </c>
      <c r="AV1218" s="6" t="s">
        <v>1347</v>
      </c>
      <c r="AW1218" s="6" t="str">
        <f t="shared" si="599"/>
        <v>=53.08*100000000</v>
      </c>
      <c r="AX1218" s="1">
        <f>53.08*100000000</f>
        <v>5308000000</v>
      </c>
      <c r="AY1218" s="10">
        <f t="shared" si="585"/>
        <v>-0.76554770318021204</v>
      </c>
      <c r="AZ1218" s="6" t="s">
        <v>12319</v>
      </c>
      <c r="BA1218" s="6" t="str">
        <f t="shared" si="600"/>
        <v>=226.4*100000000</v>
      </c>
      <c r="BB1218" s="1">
        <f>226.4*100000000</f>
        <v>22640000000</v>
      </c>
      <c r="BC1218" s="8">
        <f t="shared" si="586"/>
        <v>0.29816513761467889</v>
      </c>
      <c r="BD1218" s="6" t="s">
        <v>12320</v>
      </c>
      <c r="BE1218" s="6" t="str">
        <f t="shared" si="601"/>
        <v>=174.4*100000000</v>
      </c>
      <c r="BF1218" s="1">
        <f>174.4*100000000</f>
        <v>17440000000</v>
      </c>
      <c r="BG1218" s="8">
        <f t="shared" si="587"/>
        <v>0.57258791704238055</v>
      </c>
      <c r="BH1218" s="6" t="s">
        <v>7068</v>
      </c>
      <c r="BI1218" s="6" t="str">
        <f t="shared" si="602"/>
        <v>=110.9*100000000</v>
      </c>
      <c r="BJ1218" s="1">
        <f>110.9*100000000</f>
        <v>11090000000</v>
      </c>
      <c r="BK1218" s="6" t="s">
        <v>5393</v>
      </c>
      <c r="BL1218" s="1" t="str">
        <f t="shared" ref="BL1218:BL1281" si="604">"="&amp;BK1218</f>
        <v>=51.52*100000000</v>
      </c>
      <c r="BM1218" s="16">
        <f t="shared" si="588"/>
        <v>1.1525621118012421</v>
      </c>
      <c r="BN1218" s="1">
        <f>51.52*100000000</f>
        <v>5152000000</v>
      </c>
    </row>
    <row r="1219" spans="1:66">
      <c r="A1219" s="18"/>
      <c r="B1219">
        <v>601005</v>
      </c>
      <c r="C1219" t="s">
        <v>48</v>
      </c>
      <c r="D1219" s="6" t="s">
        <v>8035</v>
      </c>
      <c r="E1219" s="7" t="str">
        <f t="shared" si="603"/>
        <v>=24.62*100000000</v>
      </c>
      <c r="F1219" s="1">
        <f>24.62*100000000</f>
        <v>2462000000</v>
      </c>
      <c r="G1219" s="8">
        <f t="shared" ref="G1219:G1282" si="605">(F1219-J1219)/J1219</f>
        <v>-0.19172685489166119</v>
      </c>
      <c r="H1219" s="6" t="s">
        <v>8582</v>
      </c>
      <c r="I1219" s="6" t="str">
        <f t="shared" si="589"/>
        <v>=30.46*100000000</v>
      </c>
      <c r="J1219" s="1">
        <f>30.46*100000000</f>
        <v>3046000000</v>
      </c>
      <c r="K1219" s="10">
        <f t="shared" ref="K1219:K1282" si="606">(J1219-N1219)/N1219</f>
        <v>6.3547486033519548E-2</v>
      </c>
      <c r="L1219" s="6" t="s">
        <v>12321</v>
      </c>
      <c r="M1219" s="6" t="str">
        <f t="shared" si="590"/>
        <v>=28.64*100000000</v>
      </c>
      <c r="N1219" s="1">
        <f>28.64*100000000</f>
        <v>2864000000</v>
      </c>
      <c r="O1219" s="8">
        <f t="shared" ref="O1219:O1282" si="607">(N1219-R1219)/R1219</f>
        <v>1.6227106227106227</v>
      </c>
      <c r="P1219" s="6" t="s">
        <v>254</v>
      </c>
      <c r="Q1219" s="6" t="str">
        <f t="shared" si="591"/>
        <v>=10.92*100000000</v>
      </c>
      <c r="R1219" s="11">
        <f>10.92*100000000</f>
        <v>1092000000</v>
      </c>
      <c r="S1219" s="8">
        <f t="shared" ref="S1219:S1282" si="608">(R1219-V1219)/V1219</f>
        <v>0.60328879753340181</v>
      </c>
      <c r="T1219" s="6" t="s">
        <v>12322</v>
      </c>
      <c r="U1219" s="6" t="str">
        <f t="shared" si="592"/>
        <v>=6.811*100000000</v>
      </c>
      <c r="V1219" s="1">
        <f>6.811*100000000</f>
        <v>681100000</v>
      </c>
      <c r="W1219" s="8">
        <f t="shared" ref="W1219:W1282" si="609">(V1219-Z1219)/Z1219</f>
        <v>0.84230457127400593</v>
      </c>
      <c r="X1219" s="6" t="s">
        <v>12323</v>
      </c>
      <c r="Y1219" s="6" t="str">
        <f t="shared" si="593"/>
        <v>=3.697*100000000</v>
      </c>
      <c r="Z1219" s="1">
        <f>3.697*100000000</f>
        <v>369700000</v>
      </c>
      <c r="AA1219" s="8">
        <f t="shared" ref="AA1219:AA1282" si="610">(Z1219-AD1219)/AD1219</f>
        <v>2.0427983539094647</v>
      </c>
      <c r="AB1219" s="6" t="s">
        <v>3932</v>
      </c>
      <c r="AC1219" s="6" t="str">
        <f t="shared" si="594"/>
        <v>=1.215*100000000</v>
      </c>
      <c r="AD1219" s="1">
        <f>1.215*100000000</f>
        <v>121500000.00000001</v>
      </c>
      <c r="AE1219" s="8">
        <f t="shared" ref="AE1219:AE1282" si="611">(AD1219-AH1219)/AH1219</f>
        <v>26.340234023402342</v>
      </c>
      <c r="AF1219" s="7" t="s">
        <v>12324</v>
      </c>
      <c r="AG1219" s="6" t="str">
        <f t="shared" si="595"/>
        <v>=444.4*10000</v>
      </c>
      <c r="AH1219" s="1">
        <f>444.4*10000</f>
        <v>4444000</v>
      </c>
      <c r="AI1219" s="8">
        <f t="shared" ref="AI1219:AI1282" si="612">(AH1219-AL1219)/AL1219</f>
        <v>-0.99483556072051138</v>
      </c>
      <c r="AJ1219" s="6" t="s">
        <v>12325</v>
      </c>
      <c r="AK1219" s="6" t="str">
        <f t="shared" si="596"/>
        <v>=8.605*100000000</v>
      </c>
      <c r="AL1219" s="1">
        <f>8.605*100000000</f>
        <v>860500000</v>
      </c>
      <c r="AM1219" s="8">
        <f t="shared" ref="AM1219:AM1282" si="613">(AL1219-AP1219)/AP1219</f>
        <v>0.21419500493862001</v>
      </c>
      <c r="AN1219" s="6" t="s">
        <v>12326</v>
      </c>
      <c r="AO1219" s="6" t="str">
        <f t="shared" si="597"/>
        <v>=7.087*100000000</v>
      </c>
      <c r="AP1219" s="1">
        <f>7.087*100000000</f>
        <v>708700000</v>
      </c>
      <c r="AQ1219" s="8">
        <f t="shared" ref="AQ1219:AQ1282" si="614">(AP1219-AT1219)/AT1219</f>
        <v>0.17198610881428808</v>
      </c>
      <c r="AR1219" s="6" t="s">
        <v>12327</v>
      </c>
      <c r="AS1219" s="6" t="str">
        <f t="shared" si="598"/>
        <v>=6.047*100000000</v>
      </c>
      <c r="AT1219" s="1">
        <f>6.047*100000000</f>
        <v>604700000</v>
      </c>
      <c r="AU1219" s="8">
        <f t="shared" ref="AU1219:AU1282" si="615">(AT1219-AX1219)/AX1219</f>
        <v>3.3472322070452911</v>
      </c>
      <c r="AV1219" s="6" t="s">
        <v>123</v>
      </c>
      <c r="AW1219" s="6" t="str">
        <f t="shared" si="599"/>
        <v>=1.391*100000000</v>
      </c>
      <c r="AX1219" s="1">
        <f>1.391*100000000</f>
        <v>139100000</v>
      </c>
      <c r="AY1219" s="10">
        <f t="shared" ref="AY1219:AY1282" si="616">(AX1219-BB1219)/BB1219</f>
        <v>-0.920332187857961</v>
      </c>
      <c r="AZ1219" s="6" t="s">
        <v>10203</v>
      </c>
      <c r="BA1219" s="6" t="str">
        <f t="shared" si="600"/>
        <v>=17.46*100000000</v>
      </c>
      <c r="BB1219" s="1">
        <f>17.46*100000000</f>
        <v>1746000000</v>
      </c>
      <c r="BC1219" s="8">
        <f t="shared" ref="BC1219:BC1282" si="617">(BB1219-BF1219)/BF1219</f>
        <v>0.1601328903654485</v>
      </c>
      <c r="BD1219" s="6" t="s">
        <v>4122</v>
      </c>
      <c r="BE1219" s="6" t="str">
        <f t="shared" si="601"/>
        <v>=15.05*100000000</v>
      </c>
      <c r="BF1219" s="1">
        <f>15.05*100000000</f>
        <v>1505000000</v>
      </c>
      <c r="BG1219" s="8">
        <f t="shared" ref="BG1219:BG1282" si="618">(BF1219-BJ1219)/BJ1219</f>
        <v>0.9203776955467653</v>
      </c>
      <c r="BH1219" s="6" t="s">
        <v>12328</v>
      </c>
      <c r="BI1219" s="6" t="str">
        <f t="shared" si="602"/>
        <v>=7.837*100000000</v>
      </c>
      <c r="BJ1219" s="1">
        <f>7.837*100000000</f>
        <v>783700000</v>
      </c>
      <c r="BK1219" s="6" t="s">
        <v>3902</v>
      </c>
      <c r="BL1219" s="1" t="str">
        <f t="shared" si="604"/>
        <v>=3.546*100000000</v>
      </c>
      <c r="BM1219" s="16">
        <f t="shared" ref="BM1219:BM1282" si="619">(BJ1219-BN1219)/BN1219</f>
        <v>1.2100958826847152</v>
      </c>
      <c r="BN1219" s="1">
        <f>3.546*100000000</f>
        <v>354600000</v>
      </c>
    </row>
    <row r="1220" spans="1:66">
      <c r="A1220" s="18"/>
      <c r="B1220">
        <v>601005</v>
      </c>
      <c r="C1220" t="s">
        <v>58</v>
      </c>
      <c r="D1220" s="6" t="s">
        <v>7636</v>
      </c>
      <c r="E1220" s="7" t="str">
        <f t="shared" si="603"/>
        <v>=22.63*100000000</v>
      </c>
      <c r="F1220" s="1">
        <f>22.63*100000000</f>
        <v>2263000000</v>
      </c>
      <c r="G1220" s="8">
        <f t="shared" si="605"/>
        <v>-0.21396318166029871</v>
      </c>
      <c r="H1220" s="6" t="s">
        <v>12329</v>
      </c>
      <c r="I1220" s="6" t="str">
        <f t="shared" si="589"/>
        <v>=28.79*100000000</v>
      </c>
      <c r="J1220" s="1">
        <f>28.79*100000000</f>
        <v>2879000000</v>
      </c>
      <c r="K1220" s="10">
        <f t="shared" si="606"/>
        <v>6.7482387838338889E-2</v>
      </c>
      <c r="L1220" s="6" t="s">
        <v>701</v>
      </c>
      <c r="M1220" s="6" t="str">
        <f t="shared" si="590"/>
        <v>=26.97*100000000</v>
      </c>
      <c r="N1220" s="1">
        <f>26.97*100000000</f>
        <v>2697000000</v>
      </c>
      <c r="O1220" s="8">
        <f t="shared" si="607"/>
        <v>1.4697802197802199</v>
      </c>
      <c r="P1220" s="6" t="s">
        <v>254</v>
      </c>
      <c r="Q1220" s="6" t="str">
        <f t="shared" si="591"/>
        <v>=10.92*100000000</v>
      </c>
      <c r="R1220" s="11">
        <f>10.92*100000000</f>
        <v>1092000000</v>
      </c>
      <c r="S1220" s="8">
        <f t="shared" si="608"/>
        <v>0.7488789237668162</v>
      </c>
      <c r="T1220" s="6" t="s">
        <v>12330</v>
      </c>
      <c r="U1220" s="6" t="str">
        <f t="shared" si="592"/>
        <v>=6.244*100000000</v>
      </c>
      <c r="V1220" s="1">
        <f>6.244*100000000</f>
        <v>624400000</v>
      </c>
      <c r="W1220" s="8">
        <f t="shared" si="609"/>
        <v>0.68574514038876888</v>
      </c>
      <c r="X1220" s="6" t="s">
        <v>1506</v>
      </c>
      <c r="Y1220" s="6" t="str">
        <f t="shared" si="593"/>
        <v>=3.704*100000000</v>
      </c>
      <c r="Z1220" s="1">
        <f>3.704*100000000</f>
        <v>370400000</v>
      </c>
      <c r="AA1220" s="8">
        <f t="shared" si="610"/>
        <v>2.0510708401976934</v>
      </c>
      <c r="AB1220" s="6" t="s">
        <v>4406</v>
      </c>
      <c r="AC1220" s="6" t="str">
        <f t="shared" si="594"/>
        <v>=1.214*100000000</v>
      </c>
      <c r="AD1220" s="1">
        <f>1.214*100000000</f>
        <v>121400000</v>
      </c>
      <c r="AE1220" s="8">
        <f t="shared" si="611"/>
        <v>27.036951501154736</v>
      </c>
      <c r="AF1220" s="7" t="s">
        <v>12331</v>
      </c>
      <c r="AG1220" s="6" t="str">
        <f t="shared" si="595"/>
        <v>=433.0*10000</v>
      </c>
      <c r="AH1220" s="1">
        <f>433*10000</f>
        <v>4330000</v>
      </c>
      <c r="AI1220" s="8">
        <f t="shared" si="612"/>
        <v>-0.99513756316676028</v>
      </c>
      <c r="AJ1220" s="6" t="s">
        <v>12332</v>
      </c>
      <c r="AK1220" s="6" t="str">
        <f t="shared" si="596"/>
        <v>=8.905*100000000</v>
      </c>
      <c r="AL1220" s="1">
        <f>8.905*100000000</f>
        <v>890499999.99999988</v>
      </c>
      <c r="AM1220" s="8">
        <f t="shared" si="613"/>
        <v>0.23389219897464303</v>
      </c>
      <c r="AN1220" s="6" t="s">
        <v>11567</v>
      </c>
      <c r="AO1220" s="6" t="str">
        <f t="shared" si="597"/>
        <v>=7.217*100000000</v>
      </c>
      <c r="AP1220" s="1">
        <f>7.217*100000000</f>
        <v>721700000</v>
      </c>
      <c r="AQ1220" s="8">
        <f t="shared" si="614"/>
        <v>0.16912360278632754</v>
      </c>
      <c r="AR1220" s="6" t="s">
        <v>11006</v>
      </c>
      <c r="AS1220" s="6" t="str">
        <f t="shared" si="598"/>
        <v>=6.173*100000000</v>
      </c>
      <c r="AT1220" s="1">
        <f>6.173*100000000</f>
        <v>617300000</v>
      </c>
      <c r="AU1220" s="8">
        <f t="shared" si="615"/>
        <v>3.06385780118499</v>
      </c>
      <c r="AV1220" s="6" t="s">
        <v>7717</v>
      </c>
      <c r="AW1220" s="6" t="str">
        <f t="shared" si="599"/>
        <v>=1.519*100000000</v>
      </c>
      <c r="AX1220" s="1">
        <f>1.519*100000000</f>
        <v>151900000</v>
      </c>
      <c r="AY1220" s="10">
        <f t="shared" si="616"/>
        <v>-0.91364411597498574</v>
      </c>
      <c r="AZ1220" s="6" t="s">
        <v>9060</v>
      </c>
      <c r="BA1220" s="6" t="str">
        <f t="shared" si="600"/>
        <v>=17.59*100000000</v>
      </c>
      <c r="BB1220" s="1">
        <f>17.59*100000000</f>
        <v>1759000000</v>
      </c>
      <c r="BC1220" s="8">
        <f t="shared" si="617"/>
        <v>0.18771100607697502</v>
      </c>
      <c r="BD1220" s="6" t="s">
        <v>11057</v>
      </c>
      <c r="BE1220" s="6" t="str">
        <f t="shared" si="601"/>
        <v>=14.81*100000000</v>
      </c>
      <c r="BF1220" s="1">
        <f>14.81*100000000</f>
        <v>1481000000</v>
      </c>
      <c r="BG1220" s="8">
        <f t="shared" si="618"/>
        <v>0.94102228047182179</v>
      </c>
      <c r="BH1220" s="6" t="s">
        <v>12333</v>
      </c>
      <c r="BI1220" s="6" t="str">
        <f t="shared" si="602"/>
        <v>=7.630*100000000</v>
      </c>
      <c r="BJ1220" s="1">
        <f>7.63*100000000</f>
        <v>763000000</v>
      </c>
      <c r="BK1220" s="6" t="s">
        <v>3610</v>
      </c>
      <c r="BL1220" s="1" t="str">
        <f t="shared" si="604"/>
        <v>=3.511*100000000</v>
      </c>
      <c r="BM1220" s="16">
        <f t="shared" si="619"/>
        <v>1.1731700370264881</v>
      </c>
      <c r="BN1220" s="1">
        <f>3.511*100000000</f>
        <v>351100000</v>
      </c>
    </row>
    <row r="1221" spans="1:66">
      <c r="A1221" s="19"/>
      <c r="B1221">
        <v>601005</v>
      </c>
      <c r="C1221" t="s">
        <v>68</v>
      </c>
      <c r="D1221" s="6" t="s">
        <v>12334</v>
      </c>
      <c r="E1221" s="7" t="str">
        <f t="shared" si="603"/>
        <v>=22.74*100000000</v>
      </c>
      <c r="F1221" s="1">
        <f>22.74*100000000</f>
        <v>2274000000</v>
      </c>
      <c r="G1221" s="8">
        <f t="shared" si="605"/>
        <v>-0.21041666666666667</v>
      </c>
      <c r="H1221" s="6" t="s">
        <v>9152</v>
      </c>
      <c r="I1221" s="6" t="str">
        <f t="shared" si="589"/>
        <v>=28.80*100000000</v>
      </c>
      <c r="J1221" s="1">
        <f>28.8*100000000</f>
        <v>2880000000</v>
      </c>
      <c r="K1221" s="10">
        <f t="shared" si="606"/>
        <v>6.7853170189099005E-2</v>
      </c>
      <c r="L1221" s="6" t="s">
        <v>701</v>
      </c>
      <c r="M1221" s="6" t="str">
        <f t="shared" si="590"/>
        <v>=26.97*100000000</v>
      </c>
      <c r="N1221" s="1">
        <f>26.97*100000000</f>
        <v>2697000000</v>
      </c>
      <c r="O1221" s="8">
        <f t="shared" si="607"/>
        <v>1.4697802197802199</v>
      </c>
      <c r="P1221" s="6" t="s">
        <v>254</v>
      </c>
      <c r="Q1221" s="6" t="str">
        <f t="shared" si="591"/>
        <v>=10.92*100000000</v>
      </c>
      <c r="R1221" s="11">
        <f>10.92*100000000</f>
        <v>1092000000</v>
      </c>
      <c r="S1221" s="8">
        <f t="shared" si="608"/>
        <v>0.71025841816758029</v>
      </c>
      <c r="T1221" s="6" t="s">
        <v>3745</v>
      </c>
      <c r="U1221" s="6" t="str">
        <f t="shared" si="592"/>
        <v>=6.385*100000000</v>
      </c>
      <c r="V1221" s="1">
        <f>6.385*100000000</f>
        <v>638500000</v>
      </c>
      <c r="W1221" s="8">
        <f t="shared" si="609"/>
        <v>0.72427761274642177</v>
      </c>
      <c r="X1221" s="6" t="s">
        <v>1392</v>
      </c>
      <c r="Y1221" s="6" t="str">
        <f t="shared" si="593"/>
        <v>=3.703*100000000</v>
      </c>
      <c r="Z1221" s="1">
        <f>3.703*100000000</f>
        <v>370300000</v>
      </c>
      <c r="AA1221" s="8">
        <f t="shared" si="610"/>
        <v>2.0502471169686984</v>
      </c>
      <c r="AB1221" s="6" t="s">
        <v>4406</v>
      </c>
      <c r="AC1221" s="6" t="str">
        <f t="shared" si="594"/>
        <v>=1.214*100000000</v>
      </c>
      <c r="AD1221" s="1">
        <f>1.214*100000000</f>
        <v>121400000</v>
      </c>
      <c r="AE1221" s="8">
        <f t="shared" si="611"/>
        <v>28.091780493649651</v>
      </c>
      <c r="AF1221" s="7" t="s">
        <v>12335</v>
      </c>
      <c r="AG1221" s="6" t="str">
        <f t="shared" si="595"/>
        <v>=417.3*10000</v>
      </c>
      <c r="AH1221" s="1">
        <f>417.3*10000</f>
        <v>4173000</v>
      </c>
      <c r="AI1221" s="8">
        <f t="shared" si="612"/>
        <v>-0.99549206006265534</v>
      </c>
      <c r="AJ1221" s="6" t="s">
        <v>12336</v>
      </c>
      <c r="AK1221" s="6" t="str">
        <f t="shared" si="596"/>
        <v>=9.257*100000000</v>
      </c>
      <c r="AL1221" s="1">
        <f>9.257*100000000</f>
        <v>925700000</v>
      </c>
      <c r="AM1221" s="8">
        <f t="shared" si="613"/>
        <v>0.28587303792193358</v>
      </c>
      <c r="AN1221" s="6" t="s">
        <v>12337</v>
      </c>
      <c r="AO1221" s="6" t="str">
        <f t="shared" si="597"/>
        <v>=7.199*100000000</v>
      </c>
      <c r="AP1221" s="1">
        <f>7.199*100000000</f>
        <v>719900000</v>
      </c>
      <c r="AQ1221" s="8">
        <f t="shared" si="614"/>
        <v>0.16923826538898815</v>
      </c>
      <c r="AR1221" s="6" t="s">
        <v>8157</v>
      </c>
      <c r="AS1221" s="6" t="str">
        <f t="shared" si="598"/>
        <v>=6.157*100000000</v>
      </c>
      <c r="AT1221" s="1">
        <f>6.157*100000000</f>
        <v>615700000</v>
      </c>
      <c r="AU1221" s="8">
        <f t="shared" si="615"/>
        <v>3.09375</v>
      </c>
      <c r="AV1221" s="6" t="s">
        <v>4857</v>
      </c>
      <c r="AW1221" s="6" t="str">
        <f t="shared" si="599"/>
        <v>=1.504*100000000</v>
      </c>
      <c r="AX1221" s="1">
        <f>1.504*100000000</f>
        <v>150400000</v>
      </c>
      <c r="AY1221" s="10">
        <f t="shared" si="616"/>
        <v>-0.91588366890380313</v>
      </c>
      <c r="AZ1221" s="6" t="s">
        <v>12338</v>
      </c>
      <c r="BA1221" s="6" t="str">
        <f t="shared" si="600"/>
        <v>=17.88*100000000</v>
      </c>
      <c r="BB1221" s="1">
        <f>17.88*100000000</f>
        <v>1788000000</v>
      </c>
      <c r="BC1221" s="8">
        <f t="shared" si="617"/>
        <v>0.20810810810810812</v>
      </c>
      <c r="BD1221" s="6" t="s">
        <v>11787</v>
      </c>
      <c r="BE1221" s="6" t="str">
        <f t="shared" si="601"/>
        <v>=14.80*100000000</v>
      </c>
      <c r="BF1221" s="1">
        <f>14.8*100000000</f>
        <v>1480000000</v>
      </c>
      <c r="BG1221" s="8">
        <f t="shared" si="618"/>
        <v>0.94200236189476449</v>
      </c>
      <c r="BH1221" s="6" t="s">
        <v>12339</v>
      </c>
      <c r="BI1221" s="6" t="str">
        <f t="shared" si="602"/>
        <v>=7.621*100000000</v>
      </c>
      <c r="BJ1221" s="1">
        <f>7.621*100000000</f>
        <v>762100000</v>
      </c>
      <c r="BK1221" s="6" t="s">
        <v>11708</v>
      </c>
      <c r="BL1221" s="1" t="str">
        <f t="shared" si="604"/>
        <v>=3.505*100000000</v>
      </c>
      <c r="BM1221" s="16">
        <f t="shared" si="619"/>
        <v>1.1743223965763196</v>
      </c>
      <c r="BN1221" s="1">
        <f>3.505*100000000</f>
        <v>350500000</v>
      </c>
    </row>
    <row r="1222" spans="1:66">
      <c r="A1222" s="17">
        <v>307</v>
      </c>
      <c r="B1222">
        <v>601008</v>
      </c>
      <c r="C1222" t="s">
        <v>31</v>
      </c>
      <c r="D1222" s="6" t="s">
        <v>11994</v>
      </c>
      <c r="E1222" s="7" t="str">
        <f t="shared" si="603"/>
        <v>=20.33*100000000</v>
      </c>
      <c r="F1222" s="1">
        <f>20.33*100000000</f>
        <v>2032999999.9999998</v>
      </c>
      <c r="G1222" s="8">
        <f t="shared" si="605"/>
        <v>0.39917412250516154</v>
      </c>
      <c r="H1222" s="6" t="s">
        <v>7428</v>
      </c>
      <c r="I1222" s="6" t="str">
        <f t="shared" si="589"/>
        <v>=14.53*100000000</v>
      </c>
      <c r="J1222" s="1">
        <f>14.53*100000000</f>
        <v>1453000000</v>
      </c>
      <c r="K1222" s="10">
        <f t="shared" si="606"/>
        <v>0.53189246178176064</v>
      </c>
      <c r="L1222" s="6" t="s">
        <v>12340</v>
      </c>
      <c r="M1222" s="6" t="str">
        <f t="shared" si="590"/>
        <v>=9.485*100000000</v>
      </c>
      <c r="N1222" s="1">
        <f>9.485*100000000</f>
        <v>948500000</v>
      </c>
      <c r="O1222" s="8">
        <f t="shared" si="607"/>
        <v>0.96011572638974974</v>
      </c>
      <c r="P1222" s="6" t="s">
        <v>12341</v>
      </c>
      <c r="Q1222" s="6" t="str">
        <f t="shared" si="591"/>
        <v>=4.839*100000000</v>
      </c>
      <c r="R1222" s="11">
        <f>4.839*100000000</f>
        <v>483900000.00000006</v>
      </c>
      <c r="S1222" s="8">
        <f t="shared" si="608"/>
        <v>-0.70166461159062887</v>
      </c>
      <c r="T1222" s="6" t="s">
        <v>11568</v>
      </c>
      <c r="U1222" s="6" t="str">
        <f t="shared" si="592"/>
        <v>=16.22*100000000</v>
      </c>
      <c r="V1222" s="1">
        <f>16.22*100000000</f>
        <v>1622000000</v>
      </c>
      <c r="W1222" s="8">
        <f t="shared" si="609"/>
        <v>0.49493087557603688</v>
      </c>
      <c r="X1222" s="6" t="s">
        <v>8796</v>
      </c>
      <c r="Y1222" s="6" t="str">
        <f t="shared" si="593"/>
        <v>=10.85*100000000</v>
      </c>
      <c r="Z1222" s="1">
        <f>10.85*100000000</f>
        <v>1085000000</v>
      </c>
      <c r="AA1222" s="8">
        <f t="shared" si="610"/>
        <v>0.50925024342745862</v>
      </c>
      <c r="AB1222" s="6" t="s">
        <v>12342</v>
      </c>
      <c r="AC1222" s="6" t="str">
        <f t="shared" si="594"/>
        <v>=7.189*100000000</v>
      </c>
      <c r="AD1222" s="1">
        <f>7.189*100000000</f>
        <v>718900000</v>
      </c>
      <c r="AE1222" s="8">
        <f t="shared" si="611"/>
        <v>0.93564889606892843</v>
      </c>
      <c r="AF1222" s="6" t="s">
        <v>8373</v>
      </c>
      <c r="AG1222" s="6" t="str">
        <f t="shared" si="595"/>
        <v>=3.714*100000000</v>
      </c>
      <c r="AH1222" s="1">
        <f>3.714*100000000</f>
        <v>371400000</v>
      </c>
      <c r="AI1222" s="8">
        <f t="shared" si="612"/>
        <v>-0.73936842105263156</v>
      </c>
      <c r="AJ1222" s="6" t="s">
        <v>8108</v>
      </c>
      <c r="AK1222" s="6" t="str">
        <f t="shared" si="596"/>
        <v>=14.25*100000000</v>
      </c>
      <c r="AL1222" s="1">
        <f>14.25*100000000</f>
        <v>1425000000</v>
      </c>
      <c r="AM1222" s="8">
        <f t="shared" si="613"/>
        <v>0.39705882352941191</v>
      </c>
      <c r="AN1222" s="6" t="s">
        <v>660</v>
      </c>
      <c r="AO1222" s="6" t="str">
        <f t="shared" si="597"/>
        <v>=10.20*100000000</v>
      </c>
      <c r="AP1222" s="1">
        <f>10.2*100000000</f>
        <v>1019999999.9999999</v>
      </c>
      <c r="AQ1222" s="8">
        <f t="shared" si="614"/>
        <v>0.52603231597845579</v>
      </c>
      <c r="AR1222" s="6" t="s">
        <v>12343</v>
      </c>
      <c r="AS1222" s="6" t="str">
        <f t="shared" si="598"/>
        <v>=6.684*100000000</v>
      </c>
      <c r="AT1222" s="1">
        <f>6.684*100000000</f>
        <v>668400000</v>
      </c>
      <c r="AU1222" s="8">
        <f t="shared" si="615"/>
        <v>0.96761848690020602</v>
      </c>
      <c r="AV1222" s="6" t="s">
        <v>12344</v>
      </c>
      <c r="AW1222" s="6" t="str">
        <f t="shared" si="599"/>
        <v>=3.397*100000000</v>
      </c>
      <c r="AX1222" s="1">
        <f>3.397*100000000</f>
        <v>339700000</v>
      </c>
      <c r="AY1222" s="10">
        <f t="shared" si="616"/>
        <v>-0.74381598793363501</v>
      </c>
      <c r="AZ1222" s="6" t="s">
        <v>12345</v>
      </c>
      <c r="BA1222" s="6" t="str">
        <f t="shared" si="600"/>
        <v>=13.26*100000000</v>
      </c>
      <c r="BB1222" s="1">
        <f>13.26*100000000</f>
        <v>1326000000</v>
      </c>
      <c r="BC1222" s="8">
        <f t="shared" si="617"/>
        <v>0.36307565789473684</v>
      </c>
      <c r="BD1222" s="6" t="s">
        <v>12346</v>
      </c>
      <c r="BE1222" s="6" t="str">
        <f t="shared" si="601"/>
        <v>=9.728*100000000</v>
      </c>
      <c r="BF1222" s="1">
        <f>9.728*100000000</f>
        <v>972800000</v>
      </c>
      <c r="BG1222" s="8">
        <f t="shared" si="618"/>
        <v>0.50007710100231306</v>
      </c>
      <c r="BH1222" s="6" t="s">
        <v>3355</v>
      </c>
      <c r="BI1222" s="6" t="str">
        <f t="shared" si="602"/>
        <v>=6.485*100000000</v>
      </c>
      <c r="BJ1222" s="1">
        <f>6.485*100000000</f>
        <v>648500000</v>
      </c>
      <c r="BK1222" s="6" t="s">
        <v>7434</v>
      </c>
      <c r="BL1222" s="1" t="str">
        <f t="shared" si="604"/>
        <v>=3.229*100000000</v>
      </c>
      <c r="BM1222" s="16">
        <f t="shared" si="619"/>
        <v>1.0083617218953236</v>
      </c>
      <c r="BN1222" s="1">
        <f>3.229*100000000</f>
        <v>322900000</v>
      </c>
    </row>
    <row r="1223" spans="1:66">
      <c r="A1223" s="18"/>
      <c r="B1223">
        <v>601008</v>
      </c>
      <c r="C1223" t="s">
        <v>48</v>
      </c>
      <c r="D1223" s="6" t="s">
        <v>2531</v>
      </c>
      <c r="E1223" s="7" t="str">
        <f t="shared" si="603"/>
        <v>=2.541*100000000</v>
      </c>
      <c r="F1223" s="1">
        <f>2.541*100000000</f>
        <v>254100000</v>
      </c>
      <c r="G1223" s="8">
        <f t="shared" si="605"/>
        <v>0.84130434782608698</v>
      </c>
      <c r="H1223" s="6" t="s">
        <v>1727</v>
      </c>
      <c r="I1223" s="6" t="str">
        <f t="shared" si="589"/>
        <v>=1.380*100000000</v>
      </c>
      <c r="J1223" s="1">
        <f>1.38*100000000</f>
        <v>138000000</v>
      </c>
      <c r="K1223" s="10">
        <f t="shared" si="606"/>
        <v>0.57588215142171972</v>
      </c>
      <c r="L1223" s="7" t="s">
        <v>11470</v>
      </c>
      <c r="M1223" s="6" t="str">
        <f t="shared" si="590"/>
        <v>=8757*10000</v>
      </c>
      <c r="N1223" s="1">
        <f>8757*10000</f>
        <v>87570000</v>
      </c>
      <c r="O1223" s="8">
        <f t="shared" si="607"/>
        <v>1.2322202396125415</v>
      </c>
      <c r="P1223" s="7" t="s">
        <v>7524</v>
      </c>
      <c r="Q1223" s="6" t="str">
        <f t="shared" si="591"/>
        <v>=3923*10000</v>
      </c>
      <c r="R1223" s="11">
        <f>3923*10000</f>
        <v>39230000</v>
      </c>
      <c r="S1223" s="8">
        <f t="shared" si="608"/>
        <v>-0.69776579352850543</v>
      </c>
      <c r="T1223" s="6" t="s">
        <v>10581</v>
      </c>
      <c r="U1223" s="6" t="str">
        <f t="shared" si="592"/>
        <v>=1.298*100000000</v>
      </c>
      <c r="V1223" s="1">
        <f>1.298*100000000</f>
        <v>129800000</v>
      </c>
      <c r="W1223" s="8">
        <f t="shared" si="609"/>
        <v>0.87490972121912469</v>
      </c>
      <c r="X1223" s="7" t="s">
        <v>12347</v>
      </c>
      <c r="Y1223" s="6" t="str">
        <f t="shared" si="593"/>
        <v>=6923*10000</v>
      </c>
      <c r="Z1223" s="1">
        <f>6923*10000</f>
        <v>69230000</v>
      </c>
      <c r="AA1223" s="8">
        <f t="shared" si="610"/>
        <v>0.53095975232198145</v>
      </c>
      <c r="AB1223" s="7" t="s">
        <v>12348</v>
      </c>
      <c r="AC1223" s="6" t="str">
        <f t="shared" si="594"/>
        <v>=4522*10000</v>
      </c>
      <c r="AD1223" s="1">
        <f>4522*10000</f>
        <v>45220000</v>
      </c>
      <c r="AE1223" s="8">
        <f t="shared" si="611"/>
        <v>1.4272678475577025</v>
      </c>
      <c r="AF1223" s="7" t="s">
        <v>12349</v>
      </c>
      <c r="AG1223" s="6" t="str">
        <f t="shared" si="595"/>
        <v>=1863*10000</v>
      </c>
      <c r="AH1223" s="1">
        <f>1863*10000</f>
        <v>18630000</v>
      </c>
      <c r="AI1223" s="8">
        <f t="shared" si="612"/>
        <v>-0.64968033095148547</v>
      </c>
      <c r="AJ1223" s="7" t="s">
        <v>12350</v>
      </c>
      <c r="AK1223" s="6" t="str">
        <f t="shared" si="596"/>
        <v>=5318*10000</v>
      </c>
      <c r="AL1223" s="1">
        <f>5318*10000</f>
        <v>53180000</v>
      </c>
      <c r="AM1223" s="8">
        <f t="shared" si="613"/>
        <v>0.18944307761127266</v>
      </c>
      <c r="AN1223" s="7" t="s">
        <v>12351</v>
      </c>
      <c r="AO1223" s="6" t="str">
        <f t="shared" si="597"/>
        <v>=4471*10000</v>
      </c>
      <c r="AP1223" s="1">
        <f>4471*10000</f>
        <v>44710000</v>
      </c>
      <c r="AQ1223" s="8">
        <f t="shared" si="614"/>
        <v>0.61699819168173597</v>
      </c>
      <c r="AR1223" s="7" t="s">
        <v>12352</v>
      </c>
      <c r="AS1223" s="6" t="str">
        <f t="shared" si="598"/>
        <v>=2765*10000</v>
      </c>
      <c r="AT1223" s="1">
        <f>2765*10000</f>
        <v>27650000</v>
      </c>
      <c r="AU1223" s="8">
        <f t="shared" si="615"/>
        <v>1.2946058091286308</v>
      </c>
      <c r="AV1223" s="7" t="s">
        <v>11368</v>
      </c>
      <c r="AW1223" s="6" t="str">
        <f t="shared" si="599"/>
        <v>=1205*10000</v>
      </c>
      <c r="AX1223" s="1">
        <f>1205*10000</f>
        <v>12050000</v>
      </c>
      <c r="AY1223" s="10">
        <f t="shared" si="616"/>
        <v>-0.64848308051341885</v>
      </c>
      <c r="AZ1223" s="7" t="s">
        <v>12353</v>
      </c>
      <c r="BA1223" s="6" t="str">
        <f t="shared" si="600"/>
        <v>=3428*10000</v>
      </c>
      <c r="BB1223" s="1">
        <f>3428*10000</f>
        <v>34280000</v>
      </c>
      <c r="BC1223" s="8">
        <f t="shared" si="617"/>
        <v>-0.15085459499628437</v>
      </c>
      <c r="BD1223" s="7" t="s">
        <v>12354</v>
      </c>
      <c r="BE1223" s="6" t="str">
        <f t="shared" si="601"/>
        <v>=4037*10000</v>
      </c>
      <c r="BF1223" s="1">
        <f>4037*10000</f>
        <v>40370000</v>
      </c>
      <c r="BG1223" s="8">
        <f t="shared" si="618"/>
        <v>1.4600853138330285</v>
      </c>
      <c r="BH1223" s="7" t="s">
        <v>12355</v>
      </c>
      <c r="BI1223" s="6" t="str">
        <f t="shared" si="602"/>
        <v>=1641*10000</v>
      </c>
      <c r="BJ1223" s="1">
        <f>1641*10000</f>
        <v>16410000</v>
      </c>
      <c r="BK1223" s="7" t="s">
        <v>12356</v>
      </c>
      <c r="BL1223" s="1" t="str">
        <f t="shared" si="604"/>
        <v>=763.7*10000</v>
      </c>
      <c r="BM1223" s="16">
        <f t="shared" si="619"/>
        <v>1.1487495089694906</v>
      </c>
      <c r="BN1223" s="1">
        <f>763.7*10000</f>
        <v>7637000</v>
      </c>
    </row>
    <row r="1224" spans="1:66">
      <c r="A1224" s="18"/>
      <c r="B1224">
        <v>601008</v>
      </c>
      <c r="C1224" t="s">
        <v>58</v>
      </c>
      <c r="D1224" s="6" t="s">
        <v>12143</v>
      </c>
      <c r="E1224" s="7" t="str">
        <f t="shared" si="603"/>
        <v>=2.569*100000000</v>
      </c>
      <c r="F1224" s="1">
        <f>2.569*100000000</f>
        <v>256900000</v>
      </c>
      <c r="G1224" s="8">
        <f t="shared" si="605"/>
        <v>0.51563421828908551</v>
      </c>
      <c r="H1224" s="6" t="s">
        <v>12357</v>
      </c>
      <c r="I1224" s="6" t="str">
        <f t="shared" si="589"/>
        <v>=1.695*100000000</v>
      </c>
      <c r="J1224" s="1">
        <f>1.695*100000000</f>
        <v>169500000</v>
      </c>
      <c r="K1224" s="10">
        <f t="shared" si="606"/>
        <v>0.43037974683544306</v>
      </c>
      <c r="L1224" s="6" t="s">
        <v>4577</v>
      </c>
      <c r="M1224" s="6" t="str">
        <f t="shared" si="590"/>
        <v>=1.185*100000000</v>
      </c>
      <c r="N1224" s="1">
        <f>1.185*100000000</f>
        <v>118500000</v>
      </c>
      <c r="O1224" s="8">
        <f t="shared" si="607"/>
        <v>2.0152671755725189</v>
      </c>
      <c r="P1224" s="7" t="s">
        <v>12358</v>
      </c>
      <c r="Q1224" s="6" t="str">
        <f t="shared" si="591"/>
        <v>=3930*10000</v>
      </c>
      <c r="R1224" s="11">
        <f>3930*10000</f>
        <v>39300000</v>
      </c>
      <c r="S1224" s="8">
        <f t="shared" si="608"/>
        <v>-0.7088888888888889</v>
      </c>
      <c r="T1224" s="6" t="s">
        <v>11547</v>
      </c>
      <c r="U1224" s="6" t="str">
        <f t="shared" si="592"/>
        <v>=1.350*100000000</v>
      </c>
      <c r="V1224" s="1">
        <f>1.35*100000000</f>
        <v>135000000</v>
      </c>
      <c r="W1224" s="8">
        <f t="shared" si="609"/>
        <v>0.83673469387755106</v>
      </c>
      <c r="X1224" s="7" t="s">
        <v>12359</v>
      </c>
      <c r="Y1224" s="6" t="str">
        <f t="shared" si="593"/>
        <v>=7350*10000</v>
      </c>
      <c r="Z1224" s="1">
        <f>7350*10000</f>
        <v>73500000</v>
      </c>
      <c r="AA1224" s="8">
        <f t="shared" si="610"/>
        <v>0.53926701570680624</v>
      </c>
      <c r="AB1224" s="7" t="s">
        <v>12360</v>
      </c>
      <c r="AC1224" s="6" t="str">
        <f t="shared" si="594"/>
        <v>=4775*10000</v>
      </c>
      <c r="AD1224" s="1">
        <f>4775*10000</f>
        <v>47750000</v>
      </c>
      <c r="AE1224" s="8">
        <f t="shared" si="611"/>
        <v>1.395885599598595</v>
      </c>
      <c r="AF1224" s="7" t="s">
        <v>7744</v>
      </c>
      <c r="AG1224" s="6" t="str">
        <f t="shared" si="595"/>
        <v>=1993*10000</v>
      </c>
      <c r="AH1224" s="1">
        <f>1993*10000</f>
        <v>19930000</v>
      </c>
      <c r="AI1224" s="8">
        <f t="shared" si="612"/>
        <v>-0.65047351806383724</v>
      </c>
      <c r="AJ1224" s="7" t="s">
        <v>2712</v>
      </c>
      <c r="AK1224" s="6" t="str">
        <f t="shared" si="596"/>
        <v>=5702*10000</v>
      </c>
      <c r="AL1224" s="1">
        <f>5702*10000</f>
        <v>57020000</v>
      </c>
      <c r="AM1224" s="8">
        <f t="shared" si="613"/>
        <v>0.18816420087518232</v>
      </c>
      <c r="AN1224" s="7" t="s">
        <v>2131</v>
      </c>
      <c r="AO1224" s="6" t="str">
        <f t="shared" si="597"/>
        <v>=4799*10000</v>
      </c>
      <c r="AP1224" s="1">
        <f>4799*10000</f>
        <v>47990000</v>
      </c>
      <c r="AQ1224" s="8">
        <f t="shared" si="614"/>
        <v>0.57602627257799677</v>
      </c>
      <c r="AR1224" s="7" t="s">
        <v>7740</v>
      </c>
      <c r="AS1224" s="6" t="str">
        <f t="shared" si="598"/>
        <v>=3045*10000</v>
      </c>
      <c r="AT1224" s="1">
        <f>3045*10000</f>
        <v>30450000</v>
      </c>
      <c r="AU1224" s="8">
        <f t="shared" si="615"/>
        <v>1.2622585438335809</v>
      </c>
      <c r="AV1224" s="7" t="s">
        <v>12361</v>
      </c>
      <c r="AW1224" s="6" t="str">
        <f t="shared" si="599"/>
        <v>=1346*10000</v>
      </c>
      <c r="AX1224" s="1">
        <f>1346*10000</f>
        <v>13460000</v>
      </c>
      <c r="AY1224" s="10">
        <f t="shared" si="616"/>
        <v>-0.6284846812034226</v>
      </c>
      <c r="AZ1224" s="7" t="s">
        <v>4760</v>
      </c>
      <c r="BA1224" s="6" t="str">
        <f t="shared" si="600"/>
        <v>=3623*10000</v>
      </c>
      <c r="BB1224" s="1">
        <f>3623*10000</f>
        <v>36230000</v>
      </c>
      <c r="BC1224" s="8">
        <f t="shared" si="617"/>
        <v>-0.13594085380395898</v>
      </c>
      <c r="BD1224" s="7" t="s">
        <v>10817</v>
      </c>
      <c r="BE1224" s="6" t="str">
        <f t="shared" si="601"/>
        <v>=4193*10000</v>
      </c>
      <c r="BF1224" s="1">
        <f>4193*10000</f>
        <v>41930000</v>
      </c>
      <c r="BG1224" s="8">
        <f t="shared" si="618"/>
        <v>1.3675889328063242</v>
      </c>
      <c r="BH1224" s="7" t="s">
        <v>12362</v>
      </c>
      <c r="BI1224" s="6" t="str">
        <f t="shared" si="602"/>
        <v>=1771*10000</v>
      </c>
      <c r="BJ1224" s="1">
        <f>1771*10000</f>
        <v>17710000</v>
      </c>
      <c r="BK1224" s="7" t="s">
        <v>12363</v>
      </c>
      <c r="BL1224" s="1" t="str">
        <f t="shared" si="604"/>
        <v>=814.8*10000</v>
      </c>
      <c r="BM1224" s="16">
        <f t="shared" si="619"/>
        <v>1.1735395189003437</v>
      </c>
      <c r="BN1224" s="1">
        <f>814.8*10000</f>
        <v>8148000</v>
      </c>
    </row>
    <row r="1225" spans="1:66">
      <c r="A1225" s="19"/>
      <c r="B1225">
        <v>601008</v>
      </c>
      <c r="C1225" t="s">
        <v>68</v>
      </c>
      <c r="D1225" s="6" t="s">
        <v>1558</v>
      </c>
      <c r="E1225" s="7" t="str">
        <f t="shared" si="603"/>
        <v>=1.843*100000000</v>
      </c>
      <c r="F1225" s="1">
        <f>1.843*100000000</f>
        <v>184300000</v>
      </c>
      <c r="G1225" s="8">
        <f t="shared" si="605"/>
        <v>0.5725255972696246</v>
      </c>
      <c r="H1225" s="6" t="s">
        <v>2545</v>
      </c>
      <c r="I1225" s="6" t="str">
        <f t="shared" si="589"/>
        <v>=1.172*100000000</v>
      </c>
      <c r="J1225" s="1">
        <f>1.172*100000000</f>
        <v>117200000</v>
      </c>
      <c r="K1225" s="10">
        <f t="shared" si="606"/>
        <v>0.38370720188902008</v>
      </c>
      <c r="L1225" s="7" t="s">
        <v>4410</v>
      </c>
      <c r="M1225" s="6" t="str">
        <f t="shared" si="590"/>
        <v>=8470*10000</v>
      </c>
      <c r="N1225" s="1">
        <f>8470*10000</f>
        <v>84700000</v>
      </c>
      <c r="O1225" s="8">
        <f t="shared" si="607"/>
        <v>2.3267871170463472</v>
      </c>
      <c r="P1225" s="7" t="s">
        <v>11602</v>
      </c>
      <c r="Q1225" s="6" t="str">
        <f t="shared" si="591"/>
        <v>=2546*10000</v>
      </c>
      <c r="R1225" s="11">
        <f>2546*10000</f>
        <v>25460000</v>
      </c>
      <c r="S1225" s="8">
        <f t="shared" si="608"/>
        <v>-0.73003923231894818</v>
      </c>
      <c r="T1225" s="7" t="s">
        <v>12364</v>
      </c>
      <c r="U1225" s="6" t="str">
        <f t="shared" si="592"/>
        <v>=9431*10000</v>
      </c>
      <c r="V1225" s="1">
        <f>9431*10000</f>
        <v>94310000</v>
      </c>
      <c r="W1225" s="8">
        <f t="shared" si="609"/>
        <v>0.95339685169842581</v>
      </c>
      <c r="X1225" s="7" t="s">
        <v>12365</v>
      </c>
      <c r="Y1225" s="6" t="str">
        <f t="shared" si="593"/>
        <v>=4828*10000</v>
      </c>
      <c r="Z1225" s="1">
        <f>4828*10000</f>
        <v>48280000</v>
      </c>
      <c r="AA1225" s="8">
        <f t="shared" si="610"/>
        <v>0.59129861568885955</v>
      </c>
      <c r="AB1225" s="7" t="s">
        <v>12366</v>
      </c>
      <c r="AC1225" s="6" t="str">
        <f t="shared" si="594"/>
        <v>=3034*10000</v>
      </c>
      <c r="AD1225" s="1">
        <f>3034*10000</f>
        <v>30340000</v>
      </c>
      <c r="AE1225" s="8">
        <f t="shared" si="611"/>
        <v>1.2178362573099415</v>
      </c>
      <c r="AF1225" s="7" t="s">
        <v>12367</v>
      </c>
      <c r="AG1225" s="6" t="str">
        <f t="shared" si="595"/>
        <v>=1368*10000</v>
      </c>
      <c r="AH1225" s="1">
        <f>1368*10000</f>
        <v>13680000</v>
      </c>
      <c r="AI1225" s="8">
        <f t="shared" si="612"/>
        <v>-0.58720579360289682</v>
      </c>
      <c r="AJ1225" s="7" t="s">
        <v>12368</v>
      </c>
      <c r="AK1225" s="6" t="str">
        <f t="shared" si="596"/>
        <v>=3314*10000</v>
      </c>
      <c r="AL1225" s="1">
        <f>3314*10000</f>
        <v>33140000</v>
      </c>
      <c r="AM1225" s="8">
        <f t="shared" si="613"/>
        <v>0.12913117546848382</v>
      </c>
      <c r="AN1225" s="7" t="s">
        <v>12369</v>
      </c>
      <c r="AO1225" s="6" t="str">
        <f t="shared" si="597"/>
        <v>=2935*10000</v>
      </c>
      <c r="AP1225" s="1">
        <f>2935*10000</f>
        <v>29350000</v>
      </c>
      <c r="AQ1225" s="8">
        <f t="shared" si="614"/>
        <v>0.52230290456431538</v>
      </c>
      <c r="AR1225" s="7" t="s">
        <v>12370</v>
      </c>
      <c r="AS1225" s="6" t="str">
        <f t="shared" si="598"/>
        <v>=1928*10000</v>
      </c>
      <c r="AT1225" s="1">
        <f>1928*10000</f>
        <v>19280000</v>
      </c>
      <c r="AU1225" s="8">
        <f t="shared" si="615"/>
        <v>1.2166015175902507</v>
      </c>
      <c r="AV1225" s="7" t="s">
        <v>12371</v>
      </c>
      <c r="AW1225" s="6" t="str">
        <f t="shared" si="599"/>
        <v>=869.8*10000</v>
      </c>
      <c r="AX1225" s="1">
        <f>869.8*10000</f>
        <v>8698000</v>
      </c>
      <c r="AY1225" s="10">
        <f t="shared" si="616"/>
        <v>-0.5311051212938005</v>
      </c>
      <c r="AZ1225" s="7" t="s">
        <v>12372</v>
      </c>
      <c r="BA1225" s="6" t="str">
        <f t="shared" si="600"/>
        <v>=1855*10000</v>
      </c>
      <c r="BB1225" s="1">
        <f>1855*10000</f>
        <v>18550000</v>
      </c>
      <c r="BC1225" s="8">
        <f t="shared" si="617"/>
        <v>-0.3590186592950933</v>
      </c>
      <c r="BD1225" s="7" t="s">
        <v>6925</v>
      </c>
      <c r="BE1225" s="6" t="str">
        <f t="shared" si="601"/>
        <v>=2894*10000</v>
      </c>
      <c r="BF1225" s="1">
        <f>2894*10000</f>
        <v>28940000</v>
      </c>
      <c r="BG1225" s="8">
        <f t="shared" si="618"/>
        <v>0.97542662116040957</v>
      </c>
      <c r="BH1225" s="7" t="s">
        <v>12373</v>
      </c>
      <c r="BI1225" s="6" t="str">
        <f t="shared" si="602"/>
        <v>=1465*10000</v>
      </c>
      <c r="BJ1225" s="1">
        <f>1465*10000</f>
        <v>14650000</v>
      </c>
      <c r="BK1225" s="7" t="s">
        <v>12374</v>
      </c>
      <c r="BL1225" s="1" t="str">
        <f t="shared" si="604"/>
        <v>=629.5*10000</v>
      </c>
      <c r="BM1225" s="16">
        <f t="shared" si="619"/>
        <v>1.3272438443208896</v>
      </c>
      <c r="BN1225" s="1">
        <f>629.5*10000</f>
        <v>6295000</v>
      </c>
    </row>
    <row r="1226" spans="1:66">
      <c r="A1226" s="17">
        <v>308</v>
      </c>
      <c r="B1226">
        <v>601015</v>
      </c>
      <c r="C1226" t="s">
        <v>31</v>
      </c>
      <c r="D1226" s="6" t="s">
        <v>12375</v>
      </c>
      <c r="E1226" s="7" t="str">
        <f t="shared" si="603"/>
        <v>=189.0*100000000</v>
      </c>
      <c r="F1226" s="1">
        <f>189*100000000</f>
        <v>18900000000</v>
      </c>
      <c r="G1226" s="8">
        <f t="shared" si="605"/>
        <v>0.33852691218130332</v>
      </c>
      <c r="H1226" s="6" t="s">
        <v>12376</v>
      </c>
      <c r="I1226" s="6" t="str">
        <f t="shared" si="589"/>
        <v>=141.2*100000000</v>
      </c>
      <c r="J1226" s="1">
        <f>141.2*100000000</f>
        <v>14119999999.999998</v>
      </c>
      <c r="K1226" s="10">
        <f t="shared" si="606"/>
        <v>0.54705817902925369</v>
      </c>
      <c r="L1226" s="6" t="s">
        <v>12377</v>
      </c>
      <c r="M1226" s="6" t="str">
        <f t="shared" si="590"/>
        <v>=91.27*100000000</v>
      </c>
      <c r="N1226" s="1">
        <f>91.27*100000000</f>
        <v>9127000000</v>
      </c>
      <c r="O1226" s="8">
        <f t="shared" si="607"/>
        <v>1.0327394209354119</v>
      </c>
      <c r="P1226" s="6" t="s">
        <v>12378</v>
      </c>
      <c r="Q1226" s="6" t="str">
        <f t="shared" si="591"/>
        <v>=44.90*100000000</v>
      </c>
      <c r="R1226" s="11">
        <f>44.9*100000000</f>
        <v>4490000000</v>
      </c>
      <c r="S1226" s="8">
        <f t="shared" si="608"/>
        <v>-0.53170629954109305</v>
      </c>
      <c r="T1226" s="6" t="s">
        <v>12379</v>
      </c>
      <c r="U1226" s="6" t="str">
        <f t="shared" si="592"/>
        <v>=95.88*100000000</v>
      </c>
      <c r="V1226" s="1">
        <f>95.88*100000000</f>
        <v>9588000000</v>
      </c>
      <c r="W1226" s="8">
        <f t="shared" si="609"/>
        <v>0.64742268041237117</v>
      </c>
      <c r="X1226" s="6" t="s">
        <v>12380</v>
      </c>
      <c r="Y1226" s="6" t="str">
        <f t="shared" si="593"/>
        <v>=58.20*100000000</v>
      </c>
      <c r="Z1226" s="1">
        <f>58.2*100000000</f>
        <v>5820000000</v>
      </c>
      <c r="AA1226" s="8">
        <f t="shared" si="610"/>
        <v>0.69087739686228933</v>
      </c>
      <c r="AB1226" s="6" t="s">
        <v>8250</v>
      </c>
      <c r="AC1226" s="6" t="str">
        <f t="shared" si="594"/>
        <v>=34.42*100000000</v>
      </c>
      <c r="AD1226" s="1">
        <f>34.42*100000000</f>
        <v>3442000000</v>
      </c>
      <c r="AE1226" s="8">
        <f t="shared" si="611"/>
        <v>1.2263906856403621</v>
      </c>
      <c r="AF1226" s="6" t="s">
        <v>10101</v>
      </c>
      <c r="AG1226" s="6" t="str">
        <f t="shared" si="595"/>
        <v>=15.46*100000000</v>
      </c>
      <c r="AH1226" s="1">
        <f>15.46*100000000</f>
        <v>1546000000</v>
      </c>
      <c r="AI1226" s="8">
        <f t="shared" si="612"/>
        <v>-0.83532168726033229</v>
      </c>
      <c r="AJ1226" s="6" t="s">
        <v>12381</v>
      </c>
      <c r="AK1226" s="6" t="str">
        <f t="shared" si="596"/>
        <v>=93.88*100000000</v>
      </c>
      <c r="AL1226" s="1">
        <f>93.88*100000000</f>
        <v>9388000000</v>
      </c>
      <c r="AM1226" s="8">
        <f t="shared" si="613"/>
        <v>0.31190609278926773</v>
      </c>
      <c r="AN1226" s="6" t="s">
        <v>12382</v>
      </c>
      <c r="AO1226" s="6" t="str">
        <f t="shared" si="597"/>
        <v>=71.56*100000000</v>
      </c>
      <c r="AP1226" s="1">
        <f>71.56*100000000</f>
        <v>7156000000</v>
      </c>
      <c r="AQ1226" s="8">
        <f t="shared" si="614"/>
        <v>0.4424511187260633</v>
      </c>
      <c r="AR1226" s="6" t="s">
        <v>12383</v>
      </c>
      <c r="AS1226" s="6" t="str">
        <f t="shared" si="598"/>
        <v>=49.61*100000000</v>
      </c>
      <c r="AT1226" s="1">
        <f>49.61*100000000</f>
        <v>4961000000</v>
      </c>
      <c r="AU1226" s="8">
        <f t="shared" si="615"/>
        <v>0.96786989289964298</v>
      </c>
      <c r="AV1226" s="6" t="s">
        <v>5101</v>
      </c>
      <c r="AW1226" s="6" t="str">
        <f t="shared" si="599"/>
        <v>=25.21*100000000</v>
      </c>
      <c r="AX1226" s="1">
        <f>25.21*100000000</f>
        <v>2521000000</v>
      </c>
      <c r="AY1226" s="10">
        <f t="shared" si="616"/>
        <v>-0.75921680993314233</v>
      </c>
      <c r="AZ1226" s="6" t="s">
        <v>12384</v>
      </c>
      <c r="BA1226" s="6" t="str">
        <f t="shared" si="600"/>
        <v>=104.7*100000000</v>
      </c>
      <c r="BB1226" s="1">
        <f>104.7*100000000</f>
        <v>10470000000</v>
      </c>
      <c r="BC1226" s="8">
        <f t="shared" si="617"/>
        <v>0.42935153583617747</v>
      </c>
      <c r="BD1226" s="6" t="s">
        <v>12385</v>
      </c>
      <c r="BE1226" s="6" t="str">
        <f t="shared" si="601"/>
        <v>=73.25*100000000</v>
      </c>
      <c r="BF1226" s="1">
        <f>73.25*100000000</f>
        <v>7325000000</v>
      </c>
      <c r="BG1226" s="8">
        <f t="shared" si="618"/>
        <v>0.61237068016729035</v>
      </c>
      <c r="BH1226" s="6" t="s">
        <v>12386</v>
      </c>
      <c r="BI1226" s="6" t="str">
        <f t="shared" si="602"/>
        <v>=45.43*100000000</v>
      </c>
      <c r="BJ1226" s="1">
        <f>45.43*100000000</f>
        <v>4543000000</v>
      </c>
      <c r="BK1226" s="6" t="s">
        <v>12387</v>
      </c>
      <c r="BL1226" s="1" t="str">
        <f t="shared" si="604"/>
        <v>=22.10*100000000</v>
      </c>
      <c r="BM1226" s="16">
        <f t="shared" si="619"/>
        <v>1.0556561085972851</v>
      </c>
      <c r="BN1226" s="1">
        <f>22.1*100000000</f>
        <v>2210000000</v>
      </c>
    </row>
    <row r="1227" spans="1:66">
      <c r="A1227" s="18"/>
      <c r="B1227">
        <v>601015</v>
      </c>
      <c r="C1227" t="s">
        <v>48</v>
      </c>
      <c r="D1227" s="6" t="s">
        <v>12388</v>
      </c>
      <c r="E1227" s="7" t="str">
        <f t="shared" si="603"/>
        <v>=20.92*100000000</v>
      </c>
      <c r="F1227" s="1">
        <f>20.92*100000000</f>
        <v>2092000000.0000002</v>
      </c>
      <c r="G1227" s="8">
        <f t="shared" si="605"/>
        <v>0.22697947214076261</v>
      </c>
      <c r="H1227" s="6" t="s">
        <v>4333</v>
      </c>
      <c r="I1227" s="6" t="str">
        <f t="shared" si="589"/>
        <v>=17.05*100000000</v>
      </c>
      <c r="J1227" s="1">
        <f>17.05*100000000</f>
        <v>1705000000</v>
      </c>
      <c r="K1227" s="10">
        <f t="shared" si="606"/>
        <v>0.41611295681063121</v>
      </c>
      <c r="L1227" s="6" t="s">
        <v>1350</v>
      </c>
      <c r="M1227" s="6" t="str">
        <f t="shared" si="590"/>
        <v>=12.04*100000000</v>
      </c>
      <c r="N1227" s="1">
        <f>12.04*100000000</f>
        <v>1204000000</v>
      </c>
      <c r="O1227" s="8">
        <f t="shared" si="607"/>
        <v>0.52154682168583344</v>
      </c>
      <c r="P1227" s="6" t="s">
        <v>12389</v>
      </c>
      <c r="Q1227" s="6" t="str">
        <f t="shared" si="591"/>
        <v>=7.913*100000000</v>
      </c>
      <c r="R1227" s="11">
        <f>7.913*100000000</f>
        <v>791300000</v>
      </c>
      <c r="S1227" s="8">
        <f t="shared" si="608"/>
        <v>0.78905720099479992</v>
      </c>
      <c r="T1227" s="6" t="s">
        <v>9534</v>
      </c>
      <c r="U1227" s="6" t="str">
        <f t="shared" si="592"/>
        <v>=4.423*100000000</v>
      </c>
      <c r="V1227" s="1">
        <f>4.423*100000000</f>
        <v>442300000</v>
      </c>
      <c r="W1227" s="8">
        <f t="shared" si="609"/>
        <v>10.043695380774032</v>
      </c>
      <c r="X1227" s="7" t="s">
        <v>7596</v>
      </c>
      <c r="Y1227" s="6" t="str">
        <f t="shared" si="593"/>
        <v>=4005*10000</v>
      </c>
      <c r="Z1227" s="1">
        <f>4005*10000</f>
        <v>40050000</v>
      </c>
      <c r="AA1227" s="8">
        <f t="shared" si="610"/>
        <v>-1.2470697100555213</v>
      </c>
      <c r="AB1227" s="6">
        <f>-1.621*100000000</f>
        <v>-162100000</v>
      </c>
      <c r="AC1227" s="6" t="str">
        <f t="shared" si="594"/>
        <v>=-162100000</v>
      </c>
      <c r="AD1227" s="1">
        <f>-162100000</f>
        <v>-162100000</v>
      </c>
      <c r="AE1227" s="8">
        <f t="shared" si="611"/>
        <v>0.83308831844396702</v>
      </c>
      <c r="AF1227" s="7">
        <f>-8843*10000</f>
        <v>-88430000</v>
      </c>
      <c r="AG1227" s="6" t="str">
        <f t="shared" si="595"/>
        <v>=-88430000</v>
      </c>
      <c r="AH1227" s="1">
        <f>-88430000</f>
        <v>-88430000</v>
      </c>
      <c r="AI1227" s="8">
        <f t="shared" si="612"/>
        <v>-1.9888180699988818</v>
      </c>
      <c r="AJ1227" s="7" t="s">
        <v>12390</v>
      </c>
      <c r="AK1227" s="6" t="str">
        <f t="shared" si="596"/>
        <v>=8943*10000</v>
      </c>
      <c r="AL1227" s="1">
        <f>8943*10000</f>
        <v>89430000</v>
      </c>
      <c r="AM1227" s="8">
        <f t="shared" si="613"/>
        <v>0.28694776226795221</v>
      </c>
      <c r="AN1227" s="7" t="s">
        <v>12391</v>
      </c>
      <c r="AO1227" s="6" t="str">
        <f t="shared" si="597"/>
        <v>=6949*10000</v>
      </c>
      <c r="AP1227" s="1">
        <f>6949*10000</f>
        <v>69490000</v>
      </c>
      <c r="AQ1227" s="8">
        <f t="shared" si="614"/>
        <v>-12.818027210884354</v>
      </c>
      <c r="AR1227" s="7">
        <f>-588*10000</f>
        <v>-5880000</v>
      </c>
      <c r="AS1227" s="6" t="str">
        <f t="shared" si="598"/>
        <v>=-5880000</v>
      </c>
      <c r="AT1227" s="1">
        <f>-5880000</f>
        <v>-5880000</v>
      </c>
      <c r="AU1227" s="8">
        <f t="shared" si="615"/>
        <v>-1.1236593059936908</v>
      </c>
      <c r="AV1227" s="7" t="s">
        <v>12392</v>
      </c>
      <c r="AW1227" s="6" t="str">
        <f t="shared" si="599"/>
        <v>=4755*10000</v>
      </c>
      <c r="AX1227" s="1">
        <f>4755*10000</f>
        <v>47550000</v>
      </c>
      <c r="AY1227" s="10">
        <f t="shared" si="616"/>
        <v>-0.91146900018618504</v>
      </c>
      <c r="AZ1227" s="6" t="s">
        <v>4966</v>
      </c>
      <c r="BA1227" s="6" t="str">
        <f t="shared" si="600"/>
        <v>=5.371*100000000</v>
      </c>
      <c r="BB1227" s="1">
        <f>5.371*100000000</f>
        <v>537100000</v>
      </c>
      <c r="BC1227" s="8">
        <f t="shared" si="617"/>
        <v>0.84064427690198762</v>
      </c>
      <c r="BD1227" s="6" t="s">
        <v>11572</v>
      </c>
      <c r="BE1227" s="6" t="str">
        <f t="shared" si="601"/>
        <v>=2.918*100000000</v>
      </c>
      <c r="BF1227" s="1">
        <f>2.918*100000000</f>
        <v>291800000</v>
      </c>
      <c r="BG1227" s="8">
        <f t="shared" si="618"/>
        <v>0.97428958051420844</v>
      </c>
      <c r="BH1227" s="6" t="s">
        <v>7646</v>
      </c>
      <c r="BI1227" s="6" t="str">
        <f t="shared" si="602"/>
        <v>=1.478*100000000</v>
      </c>
      <c r="BJ1227" s="1">
        <f>1.478*100000000</f>
        <v>147800000</v>
      </c>
      <c r="BK1227" s="6" t="s">
        <v>2877</v>
      </c>
      <c r="BL1227" s="1" t="str">
        <f t="shared" si="604"/>
        <v>=1.127*100000000</v>
      </c>
      <c r="BM1227" s="16">
        <f t="shared" si="619"/>
        <v>0.31144631765749781</v>
      </c>
      <c r="BN1227" s="1">
        <f>1.127*100000000</f>
        <v>112700000</v>
      </c>
    </row>
    <row r="1228" spans="1:66">
      <c r="A1228" s="18"/>
      <c r="B1228">
        <v>601015</v>
      </c>
      <c r="C1228" t="s">
        <v>58</v>
      </c>
      <c r="D1228" s="6" t="s">
        <v>810</v>
      </c>
      <c r="E1228" s="7" t="str">
        <f t="shared" si="603"/>
        <v>=20.79*100000000</v>
      </c>
      <c r="F1228" s="1">
        <f>20.79*100000000</f>
        <v>2079000000</v>
      </c>
      <c r="G1228" s="8">
        <f t="shared" si="605"/>
        <v>0.21935483870967742</v>
      </c>
      <c r="H1228" s="6" t="s">
        <v>4333</v>
      </c>
      <c r="I1228" s="6" t="str">
        <f t="shared" si="589"/>
        <v>=17.05*100000000</v>
      </c>
      <c r="J1228" s="1">
        <f>17.05*100000000</f>
        <v>1705000000</v>
      </c>
      <c r="K1228" s="10">
        <f t="shared" si="606"/>
        <v>0.41611295681063121</v>
      </c>
      <c r="L1228" s="6" t="s">
        <v>1350</v>
      </c>
      <c r="M1228" s="6" t="str">
        <f t="shared" si="590"/>
        <v>=12.04*100000000</v>
      </c>
      <c r="N1228" s="1">
        <f>12.04*100000000</f>
        <v>1204000000</v>
      </c>
      <c r="O1228" s="8">
        <f t="shared" si="607"/>
        <v>0.52154682168583344</v>
      </c>
      <c r="P1228" s="6" t="s">
        <v>12389</v>
      </c>
      <c r="Q1228" s="6" t="str">
        <f t="shared" si="591"/>
        <v>=7.913*100000000</v>
      </c>
      <c r="R1228" s="11">
        <f>7.913*100000000</f>
        <v>791300000</v>
      </c>
      <c r="S1228" s="8">
        <f t="shared" si="608"/>
        <v>0.79800045444217227</v>
      </c>
      <c r="T1228" s="6" t="s">
        <v>12393</v>
      </c>
      <c r="U1228" s="6" t="str">
        <f t="shared" si="592"/>
        <v>=4.401*100000000</v>
      </c>
      <c r="V1228" s="1">
        <f>4.401*100000000</f>
        <v>440100000</v>
      </c>
      <c r="W1228" s="8">
        <f t="shared" si="609"/>
        <v>10.016270337922403</v>
      </c>
      <c r="X1228" s="7" t="s">
        <v>12394</v>
      </c>
      <c r="Y1228" s="6" t="str">
        <f t="shared" si="593"/>
        <v>=3995*10000</v>
      </c>
      <c r="Z1228" s="1">
        <f>3995*10000</f>
        <v>39950000</v>
      </c>
      <c r="AA1228" s="8">
        <f t="shared" si="610"/>
        <v>-1.2464528069093153</v>
      </c>
      <c r="AB1228" s="6">
        <f>-1.621*100000000</f>
        <v>-162100000</v>
      </c>
      <c r="AC1228" s="6" t="str">
        <f t="shared" si="594"/>
        <v>=-162100000</v>
      </c>
      <c r="AD1228" s="1">
        <f>-162100000</f>
        <v>-162100000</v>
      </c>
      <c r="AE1228" s="8">
        <f t="shared" si="611"/>
        <v>0.83329563447183896</v>
      </c>
      <c r="AF1228" s="7">
        <f>-8842*10000</f>
        <v>-88420000</v>
      </c>
      <c r="AG1228" s="6" t="str">
        <f t="shared" si="595"/>
        <v>=-88420000</v>
      </c>
      <c r="AH1228" s="1">
        <f>-88420000</f>
        <v>-88420000</v>
      </c>
      <c r="AI1228" s="8">
        <f t="shared" si="612"/>
        <v>-2.0011322463768115</v>
      </c>
      <c r="AJ1228" s="7" t="s">
        <v>12395</v>
      </c>
      <c r="AK1228" s="6" t="str">
        <f t="shared" si="596"/>
        <v>=8832*10000</v>
      </c>
      <c r="AL1228" s="1">
        <f>8832*10000</f>
        <v>88320000</v>
      </c>
      <c r="AM1228" s="8">
        <f t="shared" si="613"/>
        <v>0.27134014682596802</v>
      </c>
      <c r="AN1228" s="7" t="s">
        <v>12396</v>
      </c>
      <c r="AO1228" s="6" t="str">
        <f t="shared" si="597"/>
        <v>=6947*10000</v>
      </c>
      <c r="AP1228" s="1">
        <f>6947*10000</f>
        <v>69470000</v>
      </c>
      <c r="AQ1228" s="8">
        <f t="shared" si="614"/>
        <v>-12.836769466689384</v>
      </c>
      <c r="AR1228" s="7">
        <f>-586.9*10000</f>
        <v>-5869000</v>
      </c>
      <c r="AS1228" s="6" t="str">
        <f t="shared" si="598"/>
        <v>=-5869000</v>
      </c>
      <c r="AT1228" s="1">
        <f>-5869000</f>
        <v>-5869000</v>
      </c>
      <c r="AU1228" s="8">
        <f t="shared" si="615"/>
        <v>-1.1234020185029436</v>
      </c>
      <c r="AV1228" s="7" t="s">
        <v>11352</v>
      </c>
      <c r="AW1228" s="6" t="str">
        <f t="shared" si="599"/>
        <v>=4756*10000</v>
      </c>
      <c r="AX1228" s="1">
        <f>4756*10000</f>
        <v>47560000</v>
      </c>
      <c r="AY1228" s="10">
        <f t="shared" si="616"/>
        <v>-0.91021332829903723</v>
      </c>
      <c r="AZ1228" s="6" t="s">
        <v>12397</v>
      </c>
      <c r="BA1228" s="6" t="str">
        <f t="shared" si="600"/>
        <v>=5.297*100000000</v>
      </c>
      <c r="BB1228" s="1">
        <f>5.297*100000000</f>
        <v>529700000</v>
      </c>
      <c r="BC1228" s="8">
        <f t="shared" si="617"/>
        <v>0.81279945242984253</v>
      </c>
      <c r="BD1228" s="6" t="s">
        <v>8273</v>
      </c>
      <c r="BE1228" s="6" t="str">
        <f t="shared" si="601"/>
        <v>=2.922*100000000</v>
      </c>
      <c r="BF1228" s="1">
        <f>2.922*100000000</f>
        <v>292200000</v>
      </c>
      <c r="BG1228" s="8">
        <f t="shared" si="618"/>
        <v>0.97565922920892489</v>
      </c>
      <c r="BH1228" s="6" t="s">
        <v>1293</v>
      </c>
      <c r="BI1228" s="6" t="str">
        <f t="shared" si="602"/>
        <v>=1.479*100000000</v>
      </c>
      <c r="BJ1228" s="1">
        <f>1.479*100000000</f>
        <v>147900000</v>
      </c>
      <c r="BK1228" s="6" t="s">
        <v>6245</v>
      </c>
      <c r="BL1228" s="1" t="str">
        <f t="shared" si="604"/>
        <v>=1.128*100000000</v>
      </c>
      <c r="BM1228" s="16">
        <f t="shared" si="619"/>
        <v>0.31117021276595763</v>
      </c>
      <c r="BN1228" s="1">
        <f>1.128*100000000</f>
        <v>112799999.99999999</v>
      </c>
    </row>
    <row r="1229" spans="1:66">
      <c r="A1229" s="19"/>
      <c r="B1229">
        <v>601015</v>
      </c>
      <c r="C1229" t="s">
        <v>68</v>
      </c>
      <c r="D1229" s="6" t="s">
        <v>12398</v>
      </c>
      <c r="E1229" s="7" t="str">
        <f t="shared" si="603"/>
        <v>=18.93*100000000</v>
      </c>
      <c r="F1229" s="1">
        <f>18.93*100000000</f>
        <v>1893000000</v>
      </c>
      <c r="G1229" s="8">
        <f t="shared" si="605"/>
        <v>0.21658097686375322</v>
      </c>
      <c r="H1229" s="6" t="s">
        <v>345</v>
      </c>
      <c r="I1229" s="6" t="str">
        <f t="shared" si="589"/>
        <v>=15.56*100000000</v>
      </c>
      <c r="J1229" s="1">
        <f>15.56*100000000</f>
        <v>1556000000</v>
      </c>
      <c r="K1229" s="10">
        <f t="shared" si="606"/>
        <v>0.43278084714548803</v>
      </c>
      <c r="L1229" s="6" t="s">
        <v>7503</v>
      </c>
      <c r="M1229" s="6" t="str">
        <f t="shared" si="590"/>
        <v>=10.86*100000000</v>
      </c>
      <c r="N1229" s="1">
        <f>10.86*100000000</f>
        <v>1086000000</v>
      </c>
      <c r="O1229" s="8">
        <f t="shared" si="607"/>
        <v>0.53541637211932702</v>
      </c>
      <c r="P1229" s="6" t="s">
        <v>12399</v>
      </c>
      <c r="Q1229" s="6" t="str">
        <f t="shared" si="591"/>
        <v>=7.073*100000000</v>
      </c>
      <c r="R1229" s="11">
        <f>7.073*100000000</f>
        <v>707300000</v>
      </c>
      <c r="S1229" s="8">
        <f t="shared" si="608"/>
        <v>0.93621680810292907</v>
      </c>
      <c r="T1229" s="6" t="s">
        <v>12400</v>
      </c>
      <c r="U1229" s="6" t="str">
        <f t="shared" si="592"/>
        <v>=3.653*100000000</v>
      </c>
      <c r="V1229" s="1">
        <f>3.653*100000000</f>
        <v>365300000</v>
      </c>
      <c r="W1229" s="8">
        <f t="shared" si="609"/>
        <v>10.734661098618696</v>
      </c>
      <c r="X1229" s="7" t="s">
        <v>6048</v>
      </c>
      <c r="Y1229" s="6" t="str">
        <f t="shared" si="593"/>
        <v>=3113*10000</v>
      </c>
      <c r="Z1229" s="1">
        <f>3113*10000</f>
        <v>31130000</v>
      </c>
      <c r="AA1229" s="8">
        <f t="shared" si="610"/>
        <v>-1.1922791846819023</v>
      </c>
      <c r="AB1229" s="6">
        <f>-1.619*100000000</f>
        <v>-161900000</v>
      </c>
      <c r="AC1229" s="6" t="str">
        <f t="shared" si="594"/>
        <v>=-161900000</v>
      </c>
      <c r="AD1229" s="1">
        <f>-161900000</f>
        <v>-161900000</v>
      </c>
      <c r="AE1229" s="8">
        <f t="shared" si="611"/>
        <v>0.80410073545798977</v>
      </c>
      <c r="AF1229" s="7">
        <f>-8974*10000</f>
        <v>-89740000</v>
      </c>
      <c r="AG1229" s="6" t="str">
        <f t="shared" si="595"/>
        <v>=-89740000</v>
      </c>
      <c r="AH1229" s="1">
        <f>-89740000</f>
        <v>-89740000</v>
      </c>
      <c r="AI1229" s="8">
        <f t="shared" si="612"/>
        <v>-2.3077819877586712</v>
      </c>
      <c r="AJ1229" s="7" t="s">
        <v>3681</v>
      </c>
      <c r="AK1229" s="6" t="str">
        <f t="shared" si="596"/>
        <v>=6862*10000</v>
      </c>
      <c r="AL1229" s="1">
        <f>6862*10000</f>
        <v>68620000</v>
      </c>
      <c r="AM1229" s="8">
        <f t="shared" si="613"/>
        <v>0.50614574187884109</v>
      </c>
      <c r="AN1229" s="7" t="s">
        <v>6649</v>
      </c>
      <c r="AO1229" s="6" t="str">
        <f t="shared" si="597"/>
        <v>=4556*10000</v>
      </c>
      <c r="AP1229" s="1">
        <f>4556*10000</f>
        <v>45560000</v>
      </c>
      <c r="AQ1229" s="8">
        <f t="shared" si="614"/>
        <v>-3.999341672152732</v>
      </c>
      <c r="AR1229" s="7">
        <f>-1519*10000</f>
        <v>-15190000</v>
      </c>
      <c r="AS1229" s="6" t="str">
        <f t="shared" si="598"/>
        <v>=-15190000</v>
      </c>
      <c r="AT1229" s="1">
        <f>-15190000</f>
        <v>-15190000</v>
      </c>
      <c r="AU1229" s="8">
        <f t="shared" si="615"/>
        <v>-1.40388194629088</v>
      </c>
      <c r="AV1229" s="7" t="s">
        <v>12401</v>
      </c>
      <c r="AW1229" s="6" t="str">
        <f t="shared" si="599"/>
        <v>=3761*10000</v>
      </c>
      <c r="AX1229" s="1">
        <f>3761*10000</f>
        <v>37610000</v>
      </c>
      <c r="AY1229" s="10">
        <f t="shared" si="616"/>
        <v>-0.91728612271827581</v>
      </c>
      <c r="AZ1229" s="6" t="s">
        <v>12402</v>
      </c>
      <c r="BA1229" s="6" t="str">
        <f t="shared" si="600"/>
        <v>=4.547*100000000</v>
      </c>
      <c r="BB1229" s="1">
        <f>4.547*100000000</f>
        <v>454700000</v>
      </c>
      <c r="BC1229" s="8">
        <f t="shared" si="617"/>
        <v>0.70172155688622739</v>
      </c>
      <c r="BD1229" s="6" t="s">
        <v>6557</v>
      </c>
      <c r="BE1229" s="6" t="str">
        <f t="shared" si="601"/>
        <v>=2.672*100000000</v>
      </c>
      <c r="BF1229" s="1">
        <f>2.672*100000000</f>
        <v>267200000.00000003</v>
      </c>
      <c r="BG1229" s="8">
        <f t="shared" si="618"/>
        <v>1.0257771038665657</v>
      </c>
      <c r="BH1229" s="6" t="s">
        <v>3449</v>
      </c>
      <c r="BI1229" s="6" t="str">
        <f t="shared" si="602"/>
        <v>=1.319*100000000</v>
      </c>
      <c r="BJ1229" s="1">
        <f>1.319*100000000</f>
        <v>131900000</v>
      </c>
      <c r="BK1229" s="6" t="s">
        <v>8494</v>
      </c>
      <c r="BL1229" s="1" t="str">
        <f t="shared" si="604"/>
        <v>=1.057*100000000</v>
      </c>
      <c r="BM1229" s="16">
        <f t="shared" si="619"/>
        <v>0.2478713339640492</v>
      </c>
      <c r="BN1229" s="1">
        <f>1.057*100000000</f>
        <v>105700000</v>
      </c>
    </row>
    <row r="1230" spans="1:66">
      <c r="A1230" s="17">
        <v>309</v>
      </c>
      <c r="B1230">
        <v>601016</v>
      </c>
      <c r="C1230" t="s">
        <v>31</v>
      </c>
      <c r="D1230" s="6" t="s">
        <v>11890</v>
      </c>
      <c r="E1230" s="7" t="str">
        <f t="shared" si="603"/>
        <v>=35.39*100000000</v>
      </c>
      <c r="F1230" s="1">
        <f>35.39*100000000</f>
        <v>3539000000</v>
      </c>
      <c r="G1230" s="8">
        <f t="shared" si="605"/>
        <v>0.36588189888074102</v>
      </c>
      <c r="H1230" s="6" t="s">
        <v>11852</v>
      </c>
      <c r="I1230" s="6" t="str">
        <f t="shared" si="589"/>
        <v>=25.91*100000000</v>
      </c>
      <c r="J1230" s="1">
        <f>25.91*100000000</f>
        <v>2591000000</v>
      </c>
      <c r="K1230" s="10">
        <f t="shared" si="606"/>
        <v>0.44345403899721447</v>
      </c>
      <c r="L1230" s="6" t="s">
        <v>2649</v>
      </c>
      <c r="M1230" s="6" t="str">
        <f t="shared" si="590"/>
        <v>=17.95*100000000</v>
      </c>
      <c r="N1230" s="1">
        <f>17.95*100000000</f>
        <v>1795000000</v>
      </c>
      <c r="O1230" s="8">
        <f t="shared" si="607"/>
        <v>1.0282485875706215</v>
      </c>
      <c r="P1230" s="6" t="s">
        <v>12403</v>
      </c>
      <c r="Q1230" s="6" t="str">
        <f t="shared" si="591"/>
        <v>=8.850*100000000</v>
      </c>
      <c r="R1230" s="11">
        <f>8.85*100000000</f>
        <v>885000000</v>
      </c>
      <c r="S1230" s="8">
        <f t="shared" si="608"/>
        <v>-0.66816647919010119</v>
      </c>
      <c r="T1230" s="6" t="s">
        <v>11573</v>
      </c>
      <c r="U1230" s="6" t="str">
        <f t="shared" si="592"/>
        <v>=26.67*100000000</v>
      </c>
      <c r="V1230" s="1">
        <f>26.67*100000000</f>
        <v>2667000000</v>
      </c>
      <c r="W1230" s="8">
        <f t="shared" si="609"/>
        <v>0.32686567164179087</v>
      </c>
      <c r="X1230" s="6" t="s">
        <v>4922</v>
      </c>
      <c r="Y1230" s="6" t="str">
        <f t="shared" si="593"/>
        <v>=20.10*100000000</v>
      </c>
      <c r="Z1230" s="1">
        <f>20.1*100000000</f>
        <v>2010000000.0000002</v>
      </c>
      <c r="AA1230" s="8">
        <f t="shared" si="610"/>
        <v>0.48230088495575241</v>
      </c>
      <c r="AB1230" s="6" t="s">
        <v>5912</v>
      </c>
      <c r="AC1230" s="6" t="str">
        <f t="shared" si="594"/>
        <v>=13.56*100000000</v>
      </c>
      <c r="AD1230" s="1">
        <f>13.56*100000000</f>
        <v>1356000000</v>
      </c>
      <c r="AE1230" s="8">
        <f t="shared" si="611"/>
        <v>1.1853344077356971</v>
      </c>
      <c r="AF1230" s="6" t="s">
        <v>6960</v>
      </c>
      <c r="AG1230" s="6" t="str">
        <f t="shared" si="595"/>
        <v>=6.205*100000000</v>
      </c>
      <c r="AH1230" s="1">
        <f>6.205*100000000</f>
        <v>620500000</v>
      </c>
      <c r="AI1230" s="8">
        <f t="shared" si="612"/>
        <v>-0.7505026135906715</v>
      </c>
      <c r="AJ1230" s="6" t="s">
        <v>8240</v>
      </c>
      <c r="AK1230" s="6" t="str">
        <f t="shared" si="596"/>
        <v>=24.87*100000000</v>
      </c>
      <c r="AL1230" s="1">
        <f>24.87*100000000</f>
        <v>2487000000</v>
      </c>
      <c r="AM1230" s="8">
        <f t="shared" si="613"/>
        <v>0.38551532033426184</v>
      </c>
      <c r="AN1230" s="6" t="s">
        <v>2649</v>
      </c>
      <c r="AO1230" s="6" t="str">
        <f t="shared" si="597"/>
        <v>=17.95*100000000</v>
      </c>
      <c r="AP1230" s="1">
        <f>17.95*100000000</f>
        <v>1795000000</v>
      </c>
      <c r="AQ1230" s="8">
        <f t="shared" si="614"/>
        <v>0.46291768541157297</v>
      </c>
      <c r="AR1230" s="6" t="s">
        <v>6848</v>
      </c>
      <c r="AS1230" s="6" t="str">
        <f t="shared" si="598"/>
        <v>=12.27*100000000</v>
      </c>
      <c r="AT1230" s="1">
        <f>12.27*100000000</f>
        <v>1227000000</v>
      </c>
      <c r="AU1230" s="8">
        <f t="shared" si="615"/>
        <v>1.2248413417951043</v>
      </c>
      <c r="AV1230" s="6" t="s">
        <v>12404</v>
      </c>
      <c r="AW1230" s="6" t="str">
        <f t="shared" si="599"/>
        <v>=5.515*100000000</v>
      </c>
      <c r="AX1230" s="1">
        <f>5.515*100000000</f>
        <v>551500000</v>
      </c>
      <c r="AY1230" s="10">
        <f t="shared" si="616"/>
        <v>-0.76788720538720534</v>
      </c>
      <c r="AZ1230" s="6" t="s">
        <v>11512</v>
      </c>
      <c r="BA1230" s="6" t="str">
        <f t="shared" si="600"/>
        <v>=23.76*100000000</v>
      </c>
      <c r="BB1230" s="1">
        <f>23.76*100000000</f>
        <v>2376000000</v>
      </c>
      <c r="BC1230" s="8">
        <f t="shared" si="617"/>
        <v>0.32220367278797996</v>
      </c>
      <c r="BD1230" s="6" t="s">
        <v>1342</v>
      </c>
      <c r="BE1230" s="6" t="str">
        <f t="shared" si="601"/>
        <v>=17.97*100000000</v>
      </c>
      <c r="BF1230" s="1">
        <f>17.97*100000000</f>
        <v>1797000000</v>
      </c>
      <c r="BG1230" s="8">
        <f t="shared" si="618"/>
        <v>0.48145094806265459</v>
      </c>
      <c r="BH1230" s="6" t="s">
        <v>598</v>
      </c>
      <c r="BI1230" s="6" t="str">
        <f t="shared" si="602"/>
        <v>=12.13*100000000</v>
      </c>
      <c r="BJ1230" s="1">
        <f>12.13*100000000</f>
        <v>1213000000</v>
      </c>
      <c r="BK1230" s="6" t="s">
        <v>9648</v>
      </c>
      <c r="BL1230" s="1" t="str">
        <f t="shared" si="604"/>
        <v>=6.106*100000000</v>
      </c>
      <c r="BM1230" s="16">
        <f t="shared" si="619"/>
        <v>0.98657058630854899</v>
      </c>
      <c r="BN1230" s="1">
        <f>6.106*100000000</f>
        <v>610600000</v>
      </c>
    </row>
    <row r="1231" spans="1:66">
      <c r="A1231" s="18"/>
      <c r="B1231">
        <v>601016</v>
      </c>
      <c r="C1231" t="s">
        <v>48</v>
      </c>
      <c r="D1231" s="6" t="s">
        <v>12405</v>
      </c>
      <c r="E1231" s="7" t="str">
        <f t="shared" si="603"/>
        <v>=9.147*100000000</v>
      </c>
      <c r="F1231" s="1">
        <f>9.147*100000000</f>
        <v>914700000</v>
      </c>
      <c r="G1231" s="8">
        <f t="shared" si="605"/>
        <v>8.8232050292268663E-3</v>
      </c>
      <c r="H1231" s="6" t="s">
        <v>12406</v>
      </c>
      <c r="I1231" s="6" t="str">
        <f t="shared" si="589"/>
        <v>=9.067*100000000</v>
      </c>
      <c r="J1231" s="1">
        <f>9.067*100000000</f>
        <v>906700000</v>
      </c>
      <c r="K1231" s="10">
        <f t="shared" si="606"/>
        <v>0.2406951286261631</v>
      </c>
      <c r="L1231" s="6" t="s">
        <v>12407</v>
      </c>
      <c r="M1231" s="6" t="str">
        <f t="shared" si="590"/>
        <v>=7.308*100000000</v>
      </c>
      <c r="N1231" s="1">
        <f>7.308*100000000</f>
        <v>730800000</v>
      </c>
      <c r="O1231" s="8">
        <f t="shared" si="607"/>
        <v>0.91409114719748563</v>
      </c>
      <c r="P1231" s="6" t="s">
        <v>12408</v>
      </c>
      <c r="Q1231" s="6" t="str">
        <f t="shared" si="591"/>
        <v>=3.818*100000000</v>
      </c>
      <c r="R1231" s="11">
        <f>3.818*100000000</f>
        <v>381800000</v>
      </c>
      <c r="S1231" s="8">
        <f t="shared" si="608"/>
        <v>-0.50912831061969654</v>
      </c>
      <c r="T1231" s="6" t="s">
        <v>12409</v>
      </c>
      <c r="U1231" s="6" t="str">
        <f t="shared" si="592"/>
        <v>=7.778*100000000</v>
      </c>
      <c r="V1231" s="1">
        <f>7.778*100000000</f>
        <v>777800000</v>
      </c>
      <c r="W1231" s="8">
        <f t="shared" si="609"/>
        <v>0.17244498040397949</v>
      </c>
      <c r="X1231" s="6" t="s">
        <v>12410</v>
      </c>
      <c r="Y1231" s="6" t="str">
        <f t="shared" si="593"/>
        <v>=6.634*100000000</v>
      </c>
      <c r="Z1231" s="1">
        <f>6.634*100000000</f>
        <v>663400000</v>
      </c>
      <c r="AA1231" s="8">
        <f t="shared" si="610"/>
        <v>0.39928285171904682</v>
      </c>
      <c r="AB1231" s="6" t="s">
        <v>12220</v>
      </c>
      <c r="AC1231" s="6" t="str">
        <f t="shared" si="594"/>
        <v>=4.741*100000000</v>
      </c>
      <c r="AD1231" s="1">
        <f>4.741*100000000</f>
        <v>474099999.99999994</v>
      </c>
      <c r="AE1231" s="8">
        <f t="shared" si="611"/>
        <v>1.5935448577680522</v>
      </c>
      <c r="AF1231" s="6" t="s">
        <v>7247</v>
      </c>
      <c r="AG1231" s="6" t="str">
        <f t="shared" si="595"/>
        <v>=1.828*100000000</v>
      </c>
      <c r="AH1231" s="1">
        <f>1.828*100000000</f>
        <v>182800000</v>
      </c>
      <c r="AI1231" s="8">
        <f t="shared" si="612"/>
        <v>-0.75343943889937959</v>
      </c>
      <c r="AJ1231" s="6" t="s">
        <v>4613</v>
      </c>
      <c r="AK1231" s="6" t="str">
        <f t="shared" si="596"/>
        <v>=7.414*100000000</v>
      </c>
      <c r="AL1231" s="1">
        <f>7.414*100000000</f>
        <v>741400000</v>
      </c>
      <c r="AM1231" s="8">
        <f t="shared" si="613"/>
        <v>0.37169287696577241</v>
      </c>
      <c r="AN1231" s="6" t="s">
        <v>6380</v>
      </c>
      <c r="AO1231" s="6" t="str">
        <f t="shared" si="597"/>
        <v>=5.405*100000000</v>
      </c>
      <c r="AP1231" s="1">
        <f>5.405*100000000</f>
        <v>540500000</v>
      </c>
      <c r="AQ1231" s="8">
        <f t="shared" si="614"/>
        <v>0.34821651284609606</v>
      </c>
      <c r="AR1231" s="6" t="s">
        <v>1401</v>
      </c>
      <c r="AS1231" s="6" t="str">
        <f t="shared" si="598"/>
        <v>=4.009*100000000</v>
      </c>
      <c r="AT1231" s="1">
        <f>4.009*100000000</f>
        <v>400900000.00000006</v>
      </c>
      <c r="AU1231" s="8">
        <f t="shared" si="615"/>
        <v>1.6637873754152828</v>
      </c>
      <c r="AV1231" s="6" t="s">
        <v>8283</v>
      </c>
      <c r="AW1231" s="6" t="str">
        <f t="shared" si="599"/>
        <v>=1.505*100000000</v>
      </c>
      <c r="AX1231" s="1">
        <f>1.505*100000000</f>
        <v>150500000</v>
      </c>
      <c r="AY1231" s="10">
        <f t="shared" si="616"/>
        <v>-0.78013148283418554</v>
      </c>
      <c r="AZ1231" s="6" t="s">
        <v>12411</v>
      </c>
      <c r="BA1231" s="6" t="str">
        <f t="shared" si="600"/>
        <v>=6.845*100000000</v>
      </c>
      <c r="BB1231" s="1">
        <f>6.845*100000000</f>
        <v>684500000</v>
      </c>
      <c r="BC1231" s="8">
        <f t="shared" si="617"/>
        <v>0.12730566534914362</v>
      </c>
      <c r="BD1231" s="6" t="s">
        <v>3791</v>
      </c>
      <c r="BE1231" s="6" t="str">
        <f t="shared" si="601"/>
        <v>=6.072*100000000</v>
      </c>
      <c r="BF1231" s="1">
        <f>6.072*100000000</f>
        <v>607200000</v>
      </c>
      <c r="BG1231" s="8">
        <f t="shared" si="618"/>
        <v>0.36021505376344065</v>
      </c>
      <c r="BH1231" s="6" t="s">
        <v>12412</v>
      </c>
      <c r="BI1231" s="6" t="str">
        <f t="shared" si="602"/>
        <v>=4.464*100000000</v>
      </c>
      <c r="BJ1231" s="1">
        <f>4.464*100000000</f>
        <v>446400000.00000006</v>
      </c>
      <c r="BK1231" s="6" t="s">
        <v>1674</v>
      </c>
      <c r="BL1231" s="1" t="str">
        <f t="shared" si="604"/>
        <v>=2.563*100000000</v>
      </c>
      <c r="BM1231" s="16">
        <f t="shared" si="619"/>
        <v>0.74170893484198208</v>
      </c>
      <c r="BN1231" s="1">
        <f>2.563*100000000</f>
        <v>256300000.00000003</v>
      </c>
    </row>
    <row r="1232" spans="1:66">
      <c r="A1232" s="18"/>
      <c r="B1232">
        <v>601016</v>
      </c>
      <c r="C1232" t="s">
        <v>58</v>
      </c>
      <c r="D1232" s="6" t="s">
        <v>12413</v>
      </c>
      <c r="E1232" s="7" t="str">
        <f t="shared" si="603"/>
        <v>=9.043*100000000</v>
      </c>
      <c r="F1232" s="1">
        <f>9.043*100000000</f>
        <v>904299999.99999988</v>
      </c>
      <c r="G1232" s="8">
        <f t="shared" si="605"/>
        <v>-2.5369512464154401E-3</v>
      </c>
      <c r="H1232" s="6" t="s">
        <v>12414</v>
      </c>
      <c r="I1232" s="6" t="str">
        <f t="shared" si="589"/>
        <v>=9.066*100000000</v>
      </c>
      <c r="J1232" s="1">
        <f>9.066*100000000</f>
        <v>906600000.00000012</v>
      </c>
      <c r="K1232" s="10">
        <f t="shared" si="606"/>
        <v>0.23313384113166502</v>
      </c>
      <c r="L1232" s="6" t="s">
        <v>12415</v>
      </c>
      <c r="M1232" s="6" t="str">
        <f t="shared" si="590"/>
        <v>=7.352*100000000</v>
      </c>
      <c r="N1232" s="1">
        <f>7.352*100000000</f>
        <v>735200000</v>
      </c>
      <c r="O1232" s="8">
        <f t="shared" si="607"/>
        <v>0.92309704420612082</v>
      </c>
      <c r="P1232" s="6" t="s">
        <v>2805</v>
      </c>
      <c r="Q1232" s="6" t="str">
        <f t="shared" si="591"/>
        <v>=3.823*100000000</v>
      </c>
      <c r="R1232" s="11">
        <f>3.823*100000000</f>
        <v>382300000</v>
      </c>
      <c r="S1232" s="8">
        <f t="shared" si="608"/>
        <v>-0.50485688382333893</v>
      </c>
      <c r="T1232" s="6" t="s">
        <v>12416</v>
      </c>
      <c r="U1232" s="6" t="str">
        <f t="shared" si="592"/>
        <v>=7.721*100000000</v>
      </c>
      <c r="V1232" s="1">
        <f>7.721*100000000</f>
        <v>772100000</v>
      </c>
      <c r="W1232" s="8">
        <f t="shared" si="609"/>
        <v>0.17429657794676806</v>
      </c>
      <c r="X1232" s="6" t="s">
        <v>12417</v>
      </c>
      <c r="Y1232" s="6" t="str">
        <f t="shared" si="593"/>
        <v>=6.575*100000000</v>
      </c>
      <c r="Z1232" s="1">
        <f>6.575*100000000</f>
        <v>657500000</v>
      </c>
      <c r="AA1232" s="8">
        <f t="shared" si="610"/>
        <v>0.39744952178533477</v>
      </c>
      <c r="AB1232" s="6" t="s">
        <v>12418</v>
      </c>
      <c r="AC1232" s="6" t="str">
        <f t="shared" si="594"/>
        <v>=4.705*100000000</v>
      </c>
      <c r="AD1232" s="1">
        <f>4.705*100000000</f>
        <v>470500000</v>
      </c>
      <c r="AE1232" s="8">
        <f t="shared" si="611"/>
        <v>1.5682314410480349</v>
      </c>
      <c r="AF1232" s="6" t="s">
        <v>2873</v>
      </c>
      <c r="AG1232" s="6" t="str">
        <f t="shared" si="595"/>
        <v>=1.832*100000000</v>
      </c>
      <c r="AH1232" s="1">
        <f>1.832*100000000</f>
        <v>183200000</v>
      </c>
      <c r="AI1232" s="8">
        <f t="shared" si="612"/>
        <v>-0.75475234270414993</v>
      </c>
      <c r="AJ1232" s="6" t="s">
        <v>3983</v>
      </c>
      <c r="AK1232" s="6" t="str">
        <f t="shared" si="596"/>
        <v>=7.470*100000000</v>
      </c>
      <c r="AL1232" s="1">
        <f>7.47*100000000</f>
        <v>747000000</v>
      </c>
      <c r="AM1232" s="8">
        <f t="shared" si="613"/>
        <v>0.36139967195188627</v>
      </c>
      <c r="AN1232" s="6" t="s">
        <v>12296</v>
      </c>
      <c r="AO1232" s="6" t="str">
        <f t="shared" si="597"/>
        <v>=5.487*100000000</v>
      </c>
      <c r="AP1232" s="1">
        <f>5.487*100000000</f>
        <v>548700000</v>
      </c>
      <c r="AQ1232" s="8">
        <f t="shared" si="614"/>
        <v>0.36086309523809523</v>
      </c>
      <c r="AR1232" s="6" t="s">
        <v>9063</v>
      </c>
      <c r="AS1232" s="6" t="str">
        <f t="shared" si="598"/>
        <v>=4.032*100000000</v>
      </c>
      <c r="AT1232" s="1">
        <f>4.032*100000000</f>
        <v>403200000</v>
      </c>
      <c r="AU1232" s="8">
        <f t="shared" si="615"/>
        <v>1.6613861386138613</v>
      </c>
      <c r="AV1232" s="6" t="s">
        <v>4027</v>
      </c>
      <c r="AW1232" s="6" t="str">
        <f t="shared" si="599"/>
        <v>=1.515*100000000</v>
      </c>
      <c r="AX1232" s="1">
        <f>1.515*100000000</f>
        <v>151500000</v>
      </c>
      <c r="AY1232" s="10">
        <f t="shared" si="616"/>
        <v>-0.78646934460887952</v>
      </c>
      <c r="AZ1232" s="6" t="s">
        <v>12419</v>
      </c>
      <c r="BA1232" s="6" t="str">
        <f t="shared" si="600"/>
        <v>=7.095*100000000</v>
      </c>
      <c r="BB1232" s="1">
        <f>7.095*100000000</f>
        <v>709500000</v>
      </c>
      <c r="BC1232" s="8">
        <f t="shared" si="617"/>
        <v>0.12690597204574333</v>
      </c>
      <c r="BD1232" s="6" t="s">
        <v>12420</v>
      </c>
      <c r="BE1232" s="6" t="str">
        <f t="shared" si="601"/>
        <v>=6.296*100000000</v>
      </c>
      <c r="BF1232" s="1">
        <f>6.296*100000000</f>
        <v>629600000</v>
      </c>
      <c r="BG1232" s="8">
        <f t="shared" si="618"/>
        <v>0.40066740823136821</v>
      </c>
      <c r="BH1232" s="6" t="s">
        <v>5052</v>
      </c>
      <c r="BI1232" s="6" t="str">
        <f t="shared" si="602"/>
        <v>=4.495*100000000</v>
      </c>
      <c r="BJ1232" s="1">
        <f>4.495*100000000</f>
        <v>449500000</v>
      </c>
      <c r="BK1232" s="6" t="s">
        <v>8724</v>
      </c>
      <c r="BL1232" s="1" t="str">
        <f t="shared" si="604"/>
        <v>=2.577*100000000</v>
      </c>
      <c r="BM1232" s="16">
        <f t="shared" si="619"/>
        <v>0.7442762902599922</v>
      </c>
      <c r="BN1232" s="1">
        <f>2.577*100000000</f>
        <v>257700000</v>
      </c>
    </row>
    <row r="1233" spans="1:66">
      <c r="A1233" s="19"/>
      <c r="B1233">
        <v>601016</v>
      </c>
      <c r="C1233" t="s">
        <v>68</v>
      </c>
      <c r="D1233" s="6" t="s">
        <v>12421</v>
      </c>
      <c r="E1233" s="7" t="str">
        <f t="shared" si="603"/>
        <v>=8.037*100000000</v>
      </c>
      <c r="F1233" s="1">
        <f>8.037*100000000</f>
        <v>803700000.00000012</v>
      </c>
      <c r="G1233" s="8">
        <f t="shared" si="605"/>
        <v>1.2216624685138689E-2</v>
      </c>
      <c r="H1233" s="6" t="s">
        <v>2070</v>
      </c>
      <c r="I1233" s="6" t="str">
        <f t="shared" si="589"/>
        <v>=7.940*100000000</v>
      </c>
      <c r="J1233" s="1">
        <f>7.94*100000000</f>
        <v>794000000</v>
      </c>
      <c r="K1233" s="10">
        <f t="shared" si="606"/>
        <v>0.25712476250791638</v>
      </c>
      <c r="L1233" s="6" t="s">
        <v>8380</v>
      </c>
      <c r="M1233" s="6" t="str">
        <f t="shared" si="590"/>
        <v>=6.316*100000000</v>
      </c>
      <c r="N1233" s="1">
        <f>6.316*100000000</f>
        <v>631600000</v>
      </c>
      <c r="O1233" s="8">
        <f t="shared" si="607"/>
        <v>0.94278683482005532</v>
      </c>
      <c r="P1233" s="6" t="s">
        <v>11765</v>
      </c>
      <c r="Q1233" s="6" t="str">
        <f t="shared" si="591"/>
        <v>=3.251*100000000</v>
      </c>
      <c r="R1233" s="11">
        <f>3.251*100000000</f>
        <v>325100000</v>
      </c>
      <c r="S1233" s="8">
        <f t="shared" si="608"/>
        <v>-0.51127480457005414</v>
      </c>
      <c r="T1233" s="6" t="s">
        <v>2036</v>
      </c>
      <c r="U1233" s="6" t="str">
        <f t="shared" si="592"/>
        <v>=6.652*100000000</v>
      </c>
      <c r="V1233" s="1">
        <f>6.652*100000000</f>
        <v>665200000</v>
      </c>
      <c r="W1233" s="8">
        <f t="shared" si="609"/>
        <v>0.15345933761054276</v>
      </c>
      <c r="X1233" s="6" t="s">
        <v>11639</v>
      </c>
      <c r="Y1233" s="6" t="str">
        <f t="shared" si="593"/>
        <v>=5.767*100000000</v>
      </c>
      <c r="Z1233" s="1">
        <f>5.767*100000000</f>
        <v>576700000</v>
      </c>
      <c r="AA1233" s="8">
        <f t="shared" si="610"/>
        <v>0.43137254901960786</v>
      </c>
      <c r="AB1233" s="6" t="s">
        <v>12422</v>
      </c>
      <c r="AC1233" s="6" t="str">
        <f t="shared" si="594"/>
        <v>=4.029*100000000</v>
      </c>
      <c r="AD1233" s="1">
        <f>4.029*100000000</f>
        <v>402900000</v>
      </c>
      <c r="AE1233" s="8">
        <f t="shared" si="611"/>
        <v>1.6316133246244284</v>
      </c>
      <c r="AF1233" s="6" t="s">
        <v>6822</v>
      </c>
      <c r="AG1233" s="6" t="str">
        <f t="shared" si="595"/>
        <v>=1.531*100000000</v>
      </c>
      <c r="AH1233" s="1">
        <f>1.531*100000000</f>
        <v>153100000</v>
      </c>
      <c r="AI1233" s="8">
        <f t="shared" si="612"/>
        <v>-0.76380746683122491</v>
      </c>
      <c r="AJ1233" s="6" t="s">
        <v>2229</v>
      </c>
      <c r="AK1233" s="6" t="str">
        <f t="shared" si="596"/>
        <v>=6.482*100000000</v>
      </c>
      <c r="AL1233" s="1">
        <f>6.482*100000000</f>
        <v>648200000</v>
      </c>
      <c r="AM1233" s="8">
        <f t="shared" si="613"/>
        <v>0.35606694560669455</v>
      </c>
      <c r="AN1233" s="6" t="s">
        <v>5751</v>
      </c>
      <c r="AO1233" s="6" t="str">
        <f t="shared" si="597"/>
        <v>=4.780*100000000</v>
      </c>
      <c r="AP1233" s="1">
        <f>4.78*100000000</f>
        <v>478000000</v>
      </c>
      <c r="AQ1233" s="8">
        <f t="shared" si="614"/>
        <v>0.36805953062392671</v>
      </c>
      <c r="AR1233" s="6" t="s">
        <v>12423</v>
      </c>
      <c r="AS1233" s="6" t="str">
        <f t="shared" si="598"/>
        <v>=3.494*100000000</v>
      </c>
      <c r="AT1233" s="1">
        <f>3.494*100000000</f>
        <v>349400000</v>
      </c>
      <c r="AU1233" s="8">
        <f t="shared" si="615"/>
        <v>1.646969696969697</v>
      </c>
      <c r="AV1233" s="6" t="s">
        <v>5000</v>
      </c>
      <c r="AW1233" s="6" t="str">
        <f t="shared" si="599"/>
        <v>=1.320*100000000</v>
      </c>
      <c r="AX1233" s="1">
        <f>1.32*100000000</f>
        <v>132000000</v>
      </c>
      <c r="AY1233" s="10">
        <f t="shared" si="616"/>
        <v>-0.77893150226092778</v>
      </c>
      <c r="AZ1233" s="6" t="s">
        <v>12424</v>
      </c>
      <c r="BA1233" s="6" t="str">
        <f t="shared" si="600"/>
        <v>=5.971*100000000</v>
      </c>
      <c r="BB1233" s="1">
        <f>5.971*100000000</f>
        <v>597100000</v>
      </c>
      <c r="BC1233" s="8">
        <f t="shared" si="617"/>
        <v>0.11524094135226</v>
      </c>
      <c r="BD1233" s="6" t="s">
        <v>12425</v>
      </c>
      <c r="BE1233" s="6" t="str">
        <f t="shared" si="601"/>
        <v>=5.354*100000000</v>
      </c>
      <c r="BF1233" s="1">
        <f>5.354*100000000</f>
        <v>535400000</v>
      </c>
      <c r="BG1233" s="8">
        <f t="shared" si="618"/>
        <v>0.38346253229974159</v>
      </c>
      <c r="BH1233" s="6" t="s">
        <v>1703</v>
      </c>
      <c r="BI1233" s="6" t="str">
        <f t="shared" si="602"/>
        <v>=3.870*100000000</v>
      </c>
      <c r="BJ1233" s="1">
        <f>3.87*100000000</f>
        <v>387000000</v>
      </c>
      <c r="BK1233" s="6" t="s">
        <v>2995</v>
      </c>
      <c r="BL1233" s="1" t="str">
        <f t="shared" si="604"/>
        <v>=2.250*100000000</v>
      </c>
      <c r="BM1233" s="16">
        <f t="shared" si="619"/>
        <v>0.72</v>
      </c>
      <c r="BN1233" s="1">
        <f>2.25*100000000</f>
        <v>225000000</v>
      </c>
    </row>
    <row r="1234" spans="1:66">
      <c r="A1234" s="17">
        <v>310</v>
      </c>
      <c r="B1234">
        <v>601018</v>
      </c>
      <c r="C1234" t="s">
        <v>31</v>
      </c>
      <c r="D1234" s="6" t="s">
        <v>5272</v>
      </c>
      <c r="E1234" s="7" t="str">
        <f t="shared" si="603"/>
        <v>=231.3*100000000</v>
      </c>
      <c r="F1234" s="1">
        <f>231.3*100000000</f>
        <v>23130000000</v>
      </c>
      <c r="G1234" s="8">
        <f t="shared" si="605"/>
        <v>0.36460176991150445</v>
      </c>
      <c r="H1234" s="6" t="s">
        <v>3309</v>
      </c>
      <c r="I1234" s="6" t="str">
        <f t="shared" si="589"/>
        <v>=169.5*100000000</v>
      </c>
      <c r="J1234" s="1">
        <f>169.5*100000000</f>
        <v>16950000000</v>
      </c>
      <c r="K1234" s="10">
        <f t="shared" si="606"/>
        <v>0.56077348066298338</v>
      </c>
      <c r="L1234" s="6" t="s">
        <v>8889</v>
      </c>
      <c r="M1234" s="6" t="str">
        <f t="shared" si="590"/>
        <v>=108.6*100000000</v>
      </c>
      <c r="N1234" s="1">
        <f>108.6*100000000</f>
        <v>10860000000</v>
      </c>
      <c r="O1234" s="8">
        <f t="shared" si="607"/>
        <v>1.2001620745542949</v>
      </c>
      <c r="P1234" s="6" t="s">
        <v>12426</v>
      </c>
      <c r="Q1234" s="6" t="str">
        <f t="shared" si="591"/>
        <v>=49.36*100000000</v>
      </c>
      <c r="R1234" s="11">
        <f>49.36*100000000</f>
        <v>4936000000</v>
      </c>
      <c r="S1234" s="8">
        <f t="shared" si="608"/>
        <v>-0.77084493964716805</v>
      </c>
      <c r="T1234" s="6" t="s">
        <v>11979</v>
      </c>
      <c r="U1234" s="6" t="str">
        <f t="shared" si="592"/>
        <v>=215.4*100000000</v>
      </c>
      <c r="V1234" s="1">
        <f>215.4*100000000</f>
        <v>21540000000</v>
      </c>
      <c r="W1234" s="8">
        <f t="shared" si="609"/>
        <v>0.54852624011502515</v>
      </c>
      <c r="X1234" s="6" t="s">
        <v>12427</v>
      </c>
      <c r="Y1234" s="6" t="str">
        <f t="shared" si="593"/>
        <v>=139.1*100000000</v>
      </c>
      <c r="Z1234" s="1">
        <f>139.1*100000000</f>
        <v>13910000000</v>
      </c>
      <c r="AA1234" s="8">
        <f t="shared" si="610"/>
        <v>0.56344835337754295</v>
      </c>
      <c r="AB1234" s="6" t="s">
        <v>12428</v>
      </c>
      <c r="AC1234" s="6" t="str">
        <f t="shared" si="594"/>
        <v>=88.97*100000000</v>
      </c>
      <c r="AD1234" s="1">
        <f>88.97*100000000</f>
        <v>8897000000</v>
      </c>
      <c r="AE1234" s="8">
        <f t="shared" si="611"/>
        <v>1.1626154594069034</v>
      </c>
      <c r="AF1234" s="6" t="s">
        <v>12429</v>
      </c>
      <c r="AG1234" s="6" t="str">
        <f t="shared" si="595"/>
        <v>=41.14*100000000</v>
      </c>
      <c r="AH1234" s="1">
        <f>41.14*100000000</f>
        <v>4114000000</v>
      </c>
      <c r="AI1234" s="8">
        <f t="shared" si="612"/>
        <v>-0.83751974723538702</v>
      </c>
      <c r="AJ1234" s="6" t="s">
        <v>12430</v>
      </c>
      <c r="AK1234" s="6" t="str">
        <f t="shared" si="596"/>
        <v>=253.2*100000000</v>
      </c>
      <c r="AL1234" s="1">
        <f>253.2*100000000</f>
        <v>25320000000</v>
      </c>
      <c r="AM1234" s="8">
        <f t="shared" si="613"/>
        <v>0.47209302325581393</v>
      </c>
      <c r="AN1234" s="6" t="s">
        <v>513</v>
      </c>
      <c r="AO1234" s="6" t="str">
        <f t="shared" si="597"/>
        <v>=172.0*100000000</v>
      </c>
      <c r="AP1234" s="1">
        <f>172*100000000</f>
        <v>17200000000</v>
      </c>
      <c r="AQ1234" s="8">
        <f t="shared" si="614"/>
        <v>0.5370866845397676</v>
      </c>
      <c r="AR1234" s="6" t="s">
        <v>2613</v>
      </c>
      <c r="AS1234" s="6" t="str">
        <f t="shared" si="598"/>
        <v>=111.9*100000000</v>
      </c>
      <c r="AT1234" s="1">
        <f>111.9*100000000</f>
        <v>11190000000</v>
      </c>
      <c r="AU1234" s="8">
        <f t="shared" si="615"/>
        <v>1.0509530791788857</v>
      </c>
      <c r="AV1234" s="6" t="s">
        <v>12431</v>
      </c>
      <c r="AW1234" s="6" t="str">
        <f t="shared" si="599"/>
        <v>=54.56*100000000</v>
      </c>
      <c r="AX1234" s="1">
        <f>54.56*100000000</f>
        <v>5456000000</v>
      </c>
      <c r="AY1234" s="10">
        <f t="shared" si="616"/>
        <v>-0.75143507972665147</v>
      </c>
      <c r="AZ1234" s="6" t="s">
        <v>12432</v>
      </c>
      <c r="BA1234" s="6" t="str">
        <f t="shared" si="600"/>
        <v>=219.5*100000000</v>
      </c>
      <c r="BB1234" s="1">
        <f>219.5*100000000</f>
        <v>21950000000</v>
      </c>
      <c r="BC1234" s="8">
        <f t="shared" si="617"/>
        <v>0.33272616879174272</v>
      </c>
      <c r="BD1234" s="6" t="s">
        <v>12433</v>
      </c>
      <c r="BE1234" s="6" t="str">
        <f t="shared" si="601"/>
        <v>=164.7*100000000</v>
      </c>
      <c r="BF1234" s="1">
        <f>164.7*100000000</f>
        <v>16469999999.999998</v>
      </c>
      <c r="BG1234" s="8">
        <f t="shared" si="618"/>
        <v>0.51100917431192638</v>
      </c>
      <c r="BH1234" s="6" t="s">
        <v>12434</v>
      </c>
      <c r="BI1234" s="6" t="str">
        <f t="shared" si="602"/>
        <v>=109.0*100000000</v>
      </c>
      <c r="BJ1234" s="1">
        <f>109*100000000</f>
        <v>10900000000</v>
      </c>
      <c r="BK1234" s="6" t="s">
        <v>12435</v>
      </c>
      <c r="BL1234" s="1" t="str">
        <f t="shared" si="604"/>
        <v>=50.87*100000000</v>
      </c>
      <c r="BM1234" s="16">
        <f t="shared" si="619"/>
        <v>1.1427167289168469</v>
      </c>
      <c r="BN1234" s="1">
        <f>50.87*100000000</f>
        <v>5087000000</v>
      </c>
    </row>
    <row r="1235" spans="1:66">
      <c r="A1235" s="18"/>
      <c r="B1235">
        <v>601018</v>
      </c>
      <c r="C1235" t="s">
        <v>48</v>
      </c>
      <c r="D1235" s="6" t="s">
        <v>12436</v>
      </c>
      <c r="E1235" s="7" t="str">
        <f t="shared" si="603"/>
        <v>=59.71*100000000</v>
      </c>
      <c r="F1235" s="1">
        <f>59.71*100000000</f>
        <v>5971000000</v>
      </c>
      <c r="G1235" s="8">
        <f t="shared" si="605"/>
        <v>0.24603505843071785</v>
      </c>
      <c r="H1235" s="6" t="s">
        <v>12437</v>
      </c>
      <c r="I1235" s="6" t="str">
        <f t="shared" si="589"/>
        <v>=47.92*100000000</v>
      </c>
      <c r="J1235" s="1">
        <f>47.92*100000000</f>
        <v>4792000000</v>
      </c>
      <c r="K1235" s="10">
        <f t="shared" si="606"/>
        <v>0.52465797009226856</v>
      </c>
      <c r="L1235" s="6" t="s">
        <v>8111</v>
      </c>
      <c r="M1235" s="6" t="str">
        <f t="shared" si="590"/>
        <v>=31.43*100000000</v>
      </c>
      <c r="N1235" s="1">
        <f>31.43*100000000</f>
        <v>3143000000</v>
      </c>
      <c r="O1235" s="8">
        <f t="shared" si="607"/>
        <v>1.2149400986610288</v>
      </c>
      <c r="P1235" s="6" t="s">
        <v>12438</v>
      </c>
      <c r="Q1235" s="6" t="str">
        <f t="shared" si="591"/>
        <v>=14.19*100000000</v>
      </c>
      <c r="R1235" s="11">
        <f>14.19*100000000</f>
        <v>1419000000</v>
      </c>
      <c r="S1235" s="8">
        <f t="shared" si="608"/>
        <v>-0.70019015423621378</v>
      </c>
      <c r="T1235" s="6" t="s">
        <v>12439</v>
      </c>
      <c r="U1235" s="6" t="str">
        <f t="shared" si="592"/>
        <v>=47.33*100000000</v>
      </c>
      <c r="V1235" s="1">
        <f>47.33*100000000</f>
        <v>4733000000</v>
      </c>
      <c r="W1235" s="8">
        <f t="shared" si="609"/>
        <v>0.18889726199447376</v>
      </c>
      <c r="X1235" s="6" t="s">
        <v>5255</v>
      </c>
      <c r="Y1235" s="6" t="str">
        <f t="shared" si="593"/>
        <v>=39.81*100000000</v>
      </c>
      <c r="Z1235" s="1">
        <f>39.81*100000000</f>
        <v>3981000000</v>
      </c>
      <c r="AA1235" s="8">
        <f t="shared" si="610"/>
        <v>0.8473317865429234</v>
      </c>
      <c r="AB1235" s="6" t="s">
        <v>12440</v>
      </c>
      <c r="AC1235" s="6" t="str">
        <f t="shared" si="594"/>
        <v>=21.55*100000000</v>
      </c>
      <c r="AD1235" s="1">
        <f>21.55*100000000</f>
        <v>2155000000</v>
      </c>
      <c r="AE1235" s="8">
        <f t="shared" si="611"/>
        <v>1.6796816712260632</v>
      </c>
      <c r="AF1235" s="6" t="s">
        <v>12441</v>
      </c>
      <c r="AG1235" s="6" t="str">
        <f t="shared" si="595"/>
        <v>=8.042*100000000</v>
      </c>
      <c r="AH1235" s="1">
        <f>8.042*100000000</f>
        <v>804200000</v>
      </c>
      <c r="AI1235" s="8">
        <f t="shared" si="612"/>
        <v>-0.82697934595524958</v>
      </c>
      <c r="AJ1235" s="6" t="s">
        <v>12442</v>
      </c>
      <c r="AK1235" s="6" t="str">
        <f t="shared" si="596"/>
        <v>=46.48*100000000</v>
      </c>
      <c r="AL1235" s="1">
        <f>46.48*100000000</f>
        <v>4648000000</v>
      </c>
      <c r="AM1235" s="8">
        <f t="shared" si="613"/>
        <v>0.13338210192635944</v>
      </c>
      <c r="AN1235" s="6" t="s">
        <v>12443</v>
      </c>
      <c r="AO1235" s="6" t="str">
        <f t="shared" si="597"/>
        <v>=41.01*100000000</v>
      </c>
      <c r="AP1235" s="1">
        <f>41.01*100000000</f>
        <v>4101000000</v>
      </c>
      <c r="AQ1235" s="8">
        <f t="shared" si="614"/>
        <v>0.43592436974789917</v>
      </c>
      <c r="AR1235" s="6" t="s">
        <v>1862</v>
      </c>
      <c r="AS1235" s="6" t="str">
        <f t="shared" si="598"/>
        <v>=28.56*100000000</v>
      </c>
      <c r="AT1235" s="1">
        <f>28.56*100000000</f>
        <v>2856000000</v>
      </c>
      <c r="AU1235" s="8">
        <f t="shared" si="615"/>
        <v>1.6994328922495274</v>
      </c>
      <c r="AV1235" s="6" t="s">
        <v>1383</v>
      </c>
      <c r="AW1235" s="6" t="str">
        <f t="shared" si="599"/>
        <v>=10.58*100000000</v>
      </c>
      <c r="AX1235" s="1">
        <f>10.58*100000000</f>
        <v>1058000000</v>
      </c>
      <c r="AY1235" s="10">
        <f t="shared" si="616"/>
        <v>-0.73383647798742135</v>
      </c>
      <c r="AZ1235" s="6" t="s">
        <v>11493</v>
      </c>
      <c r="BA1235" s="6" t="str">
        <f t="shared" si="600"/>
        <v>=39.75*100000000</v>
      </c>
      <c r="BB1235" s="1">
        <f>39.75*100000000</f>
        <v>3975000000</v>
      </c>
      <c r="BC1235" s="8">
        <f t="shared" si="617"/>
        <v>0.20600728155339806</v>
      </c>
      <c r="BD1235" s="6" t="s">
        <v>12444</v>
      </c>
      <c r="BE1235" s="6" t="str">
        <f t="shared" si="601"/>
        <v>=32.96*100000000</v>
      </c>
      <c r="BF1235" s="1">
        <f>32.96*100000000</f>
        <v>3296000000</v>
      </c>
      <c r="BG1235" s="8">
        <f t="shared" si="618"/>
        <v>0.53731343283582067</v>
      </c>
      <c r="BH1235" s="6" t="s">
        <v>12445</v>
      </c>
      <c r="BI1235" s="6" t="str">
        <f t="shared" si="602"/>
        <v>=21.44*100000000</v>
      </c>
      <c r="BJ1235" s="1">
        <f>21.44*100000000</f>
        <v>2144000000.0000002</v>
      </c>
      <c r="BK1235" s="6" t="s">
        <v>1121</v>
      </c>
      <c r="BL1235" s="1" t="str">
        <f t="shared" si="604"/>
        <v>=10.03*100000000</v>
      </c>
      <c r="BM1235" s="16">
        <f t="shared" si="619"/>
        <v>1.1375872382851451</v>
      </c>
      <c r="BN1235" s="1">
        <f>10.03*100000000</f>
        <v>1002999999.9999999</v>
      </c>
    </row>
    <row r="1236" spans="1:66">
      <c r="A1236" s="18"/>
      <c r="B1236">
        <v>601018</v>
      </c>
      <c r="C1236" t="s">
        <v>58</v>
      </c>
      <c r="D1236" s="6" t="s">
        <v>6107</v>
      </c>
      <c r="E1236" s="7" t="str">
        <f t="shared" si="603"/>
        <v>=59.58*100000000</v>
      </c>
      <c r="F1236" s="1">
        <f>59.58*100000000</f>
        <v>5958000000</v>
      </c>
      <c r="G1236" s="8">
        <f t="shared" si="605"/>
        <v>0.23764021603656002</v>
      </c>
      <c r="H1236" s="6" t="s">
        <v>12446</v>
      </c>
      <c r="I1236" s="6" t="str">
        <f t="shared" si="589"/>
        <v>=48.14*100000000</v>
      </c>
      <c r="J1236" s="1">
        <f>48.14*100000000</f>
        <v>4814000000</v>
      </c>
      <c r="K1236" s="10">
        <f t="shared" si="606"/>
        <v>0.51717617396785376</v>
      </c>
      <c r="L1236" s="6" t="s">
        <v>12447</v>
      </c>
      <c r="M1236" s="6" t="str">
        <f t="shared" si="590"/>
        <v>=31.73*100000000</v>
      </c>
      <c r="N1236" s="1">
        <f>31.73*100000000</f>
        <v>3173000000</v>
      </c>
      <c r="O1236" s="8">
        <f t="shared" si="607"/>
        <v>1.217330538085255</v>
      </c>
      <c r="P1236" s="6" t="s">
        <v>4352</v>
      </c>
      <c r="Q1236" s="6" t="str">
        <f t="shared" si="591"/>
        <v>=14.31*100000000</v>
      </c>
      <c r="R1236" s="11">
        <f>14.31*100000000</f>
        <v>1431000000</v>
      </c>
      <c r="S1236" s="8">
        <f t="shared" si="608"/>
        <v>-0.70397186594952421</v>
      </c>
      <c r="T1236" s="6" t="s">
        <v>12448</v>
      </c>
      <c r="U1236" s="6" t="str">
        <f t="shared" si="592"/>
        <v>=48.34*100000000</v>
      </c>
      <c r="V1236" s="1">
        <f>48.34*100000000</f>
        <v>4834000000</v>
      </c>
      <c r="W1236" s="8">
        <f t="shared" si="609"/>
        <v>0.17529783612934585</v>
      </c>
      <c r="X1236" s="6" t="s">
        <v>12449</v>
      </c>
      <c r="Y1236" s="6" t="str">
        <f t="shared" si="593"/>
        <v>=41.13*100000000</v>
      </c>
      <c r="Z1236" s="1">
        <f>41.13*100000000</f>
        <v>4113000000.0000005</v>
      </c>
      <c r="AA1236" s="8">
        <f t="shared" si="610"/>
        <v>0.81429201588001787</v>
      </c>
      <c r="AB1236" s="6" t="s">
        <v>6800</v>
      </c>
      <c r="AC1236" s="6" t="str">
        <f t="shared" si="594"/>
        <v>=22.67*100000000</v>
      </c>
      <c r="AD1236" s="1">
        <f>22.67*100000000</f>
        <v>2267000000</v>
      </c>
      <c r="AE1236" s="8">
        <f t="shared" si="611"/>
        <v>1.7713936430317849</v>
      </c>
      <c r="AF1236" s="6" t="s">
        <v>12450</v>
      </c>
      <c r="AG1236" s="6" t="str">
        <f t="shared" si="595"/>
        <v>=8.180*100000000</v>
      </c>
      <c r="AH1236" s="1">
        <f>8.18*100000000</f>
        <v>818000000</v>
      </c>
      <c r="AI1236" s="8">
        <f t="shared" si="612"/>
        <v>-0.82738974467187165</v>
      </c>
      <c r="AJ1236" s="6" t="s">
        <v>12451</v>
      </c>
      <c r="AK1236" s="6" t="str">
        <f t="shared" si="596"/>
        <v>=47.39*100000000</v>
      </c>
      <c r="AL1236" s="1">
        <f>47.39*100000000</f>
        <v>4739000000</v>
      </c>
      <c r="AM1236" s="8">
        <f t="shared" si="613"/>
        <v>0.1229857819905212</v>
      </c>
      <c r="AN1236" s="6" t="s">
        <v>12452</v>
      </c>
      <c r="AO1236" s="6" t="str">
        <f t="shared" si="597"/>
        <v>=42.20*100000000</v>
      </c>
      <c r="AP1236" s="1">
        <f>42.2*100000000</f>
        <v>4220000000.0000005</v>
      </c>
      <c r="AQ1236" s="8">
        <f t="shared" si="614"/>
        <v>0.42519419115163815</v>
      </c>
      <c r="AR1236" s="6" t="s">
        <v>12453</v>
      </c>
      <c r="AS1236" s="6" t="str">
        <f t="shared" si="598"/>
        <v>=29.61*100000000</v>
      </c>
      <c r="AT1236" s="1">
        <f>29.61*100000000</f>
        <v>2961000000</v>
      </c>
      <c r="AU1236" s="8">
        <f t="shared" si="615"/>
        <v>1.646112600536193</v>
      </c>
      <c r="AV1236" s="6" t="s">
        <v>10751</v>
      </c>
      <c r="AW1236" s="6" t="str">
        <f t="shared" si="599"/>
        <v>=11.19*100000000</v>
      </c>
      <c r="AX1236" s="1">
        <f>11.19*100000000</f>
        <v>1119000000</v>
      </c>
      <c r="AY1236" s="10">
        <f t="shared" si="616"/>
        <v>-0.72205663189269742</v>
      </c>
      <c r="AZ1236" s="6" t="s">
        <v>6231</v>
      </c>
      <c r="BA1236" s="6" t="str">
        <f t="shared" si="600"/>
        <v>=40.26*100000000</v>
      </c>
      <c r="BB1236" s="1">
        <f>40.26*100000000</f>
        <v>4026000000</v>
      </c>
      <c r="BC1236" s="8">
        <f t="shared" si="617"/>
        <v>0.20466786355475763</v>
      </c>
      <c r="BD1236" s="6" t="s">
        <v>5985</v>
      </c>
      <c r="BE1236" s="6" t="str">
        <f t="shared" si="601"/>
        <v>=33.42*100000000</v>
      </c>
      <c r="BF1236" s="1">
        <f>33.42*100000000</f>
        <v>3342000000</v>
      </c>
      <c r="BG1236" s="8">
        <f t="shared" si="618"/>
        <v>0.53584558823529416</v>
      </c>
      <c r="BH1236" s="6" t="s">
        <v>1879</v>
      </c>
      <c r="BI1236" s="6" t="str">
        <f t="shared" si="602"/>
        <v>=21.76*100000000</v>
      </c>
      <c r="BJ1236" s="1">
        <f>21.76*100000000</f>
        <v>2176000000</v>
      </c>
      <c r="BK1236" s="6" t="s">
        <v>6851</v>
      </c>
      <c r="BL1236" s="1" t="str">
        <f t="shared" si="604"/>
        <v>=10.22*100000000</v>
      </c>
      <c r="BM1236" s="16">
        <f t="shared" si="619"/>
        <v>1.1291585127201564</v>
      </c>
      <c r="BN1236" s="1">
        <f>10.22*100000000</f>
        <v>1022000000.0000001</v>
      </c>
    </row>
    <row r="1237" spans="1:66">
      <c r="A1237" s="19"/>
      <c r="B1237">
        <v>601018</v>
      </c>
      <c r="C1237" t="s">
        <v>68</v>
      </c>
      <c r="D1237" s="6" t="s">
        <v>12454</v>
      </c>
      <c r="E1237" s="7" t="str">
        <f t="shared" si="603"/>
        <v>=47.80*100000000</v>
      </c>
      <c r="F1237" s="1">
        <f>47.8*100000000</f>
        <v>4780000000</v>
      </c>
      <c r="G1237" s="8">
        <f t="shared" si="605"/>
        <v>0.26121372031662271</v>
      </c>
      <c r="H1237" s="6" t="s">
        <v>12455</v>
      </c>
      <c r="I1237" s="6" t="str">
        <f t="shared" si="589"/>
        <v>=37.90*100000000</v>
      </c>
      <c r="J1237" s="1">
        <f>37.9*100000000</f>
        <v>3790000000</v>
      </c>
      <c r="K1237" s="10">
        <f t="shared" si="606"/>
        <v>0.52453740949316174</v>
      </c>
      <c r="L1237" s="6" t="s">
        <v>12456</v>
      </c>
      <c r="M1237" s="6" t="str">
        <f t="shared" si="590"/>
        <v>=24.86*100000000</v>
      </c>
      <c r="N1237" s="1">
        <f>24.86*100000000</f>
        <v>2486000000</v>
      </c>
      <c r="O1237" s="8">
        <f t="shared" si="607"/>
        <v>1.1980548187444739</v>
      </c>
      <c r="P1237" s="6" t="s">
        <v>69</v>
      </c>
      <c r="Q1237" s="6" t="str">
        <f t="shared" si="591"/>
        <v>=11.31*100000000</v>
      </c>
      <c r="R1237" s="11">
        <f>11.31*100000000</f>
        <v>1131000000</v>
      </c>
      <c r="S1237" s="8">
        <f t="shared" si="608"/>
        <v>-0.70585175552665802</v>
      </c>
      <c r="T1237" s="6" t="s">
        <v>7091</v>
      </c>
      <c r="U1237" s="6" t="str">
        <f t="shared" si="592"/>
        <v>=38.45*100000000</v>
      </c>
      <c r="V1237" s="1">
        <f>38.45*100000000</f>
        <v>3845000000.0000005</v>
      </c>
      <c r="W1237" s="8">
        <f t="shared" si="609"/>
        <v>0.14810391161540773</v>
      </c>
      <c r="X1237" s="6" t="s">
        <v>12457</v>
      </c>
      <c r="Y1237" s="6" t="str">
        <f t="shared" si="593"/>
        <v>=33.49*100000000</v>
      </c>
      <c r="Z1237" s="1">
        <f>33.49*100000000</f>
        <v>3349000000</v>
      </c>
      <c r="AA1237" s="8">
        <f t="shared" si="610"/>
        <v>0.82506811989100792</v>
      </c>
      <c r="AB1237" s="6" t="s">
        <v>10666</v>
      </c>
      <c r="AC1237" s="6" t="str">
        <f t="shared" si="594"/>
        <v>=18.35*100000000</v>
      </c>
      <c r="AD1237" s="1">
        <f>18.35*100000000</f>
        <v>1835000000.0000002</v>
      </c>
      <c r="AE1237" s="8">
        <f t="shared" si="611"/>
        <v>2.0466544911173838</v>
      </c>
      <c r="AF1237" s="6" t="s">
        <v>12458</v>
      </c>
      <c r="AG1237" s="6" t="str">
        <f t="shared" si="595"/>
        <v>=6.023*100000000</v>
      </c>
      <c r="AH1237" s="1">
        <f>6.023*100000000</f>
        <v>602300000</v>
      </c>
      <c r="AI1237" s="8">
        <f t="shared" si="612"/>
        <v>-0.83882793684773882</v>
      </c>
      <c r="AJ1237" s="6" t="s">
        <v>12459</v>
      </c>
      <c r="AK1237" s="6" t="str">
        <f t="shared" si="596"/>
        <v>=37.37*100000000</v>
      </c>
      <c r="AL1237" s="1">
        <f>37.37*100000000</f>
        <v>3736999999.9999995</v>
      </c>
      <c r="AM1237" s="8">
        <f t="shared" si="613"/>
        <v>0.14421310471524804</v>
      </c>
      <c r="AN1237" s="6" t="s">
        <v>5637</v>
      </c>
      <c r="AO1237" s="6" t="str">
        <f t="shared" si="597"/>
        <v>=32.66*100000000</v>
      </c>
      <c r="AP1237" s="1">
        <f>32.66*100000000</f>
        <v>3265999999.9999995</v>
      </c>
      <c r="AQ1237" s="8">
        <f t="shared" si="614"/>
        <v>0.43434343434343414</v>
      </c>
      <c r="AR1237" s="6" t="s">
        <v>1809</v>
      </c>
      <c r="AS1237" s="6" t="str">
        <f t="shared" si="598"/>
        <v>=22.77*100000000</v>
      </c>
      <c r="AT1237" s="1">
        <f>22.77*100000000</f>
        <v>2277000000</v>
      </c>
      <c r="AU1237" s="8">
        <f t="shared" si="615"/>
        <v>1.5813399841287836</v>
      </c>
      <c r="AV1237" s="6" t="s">
        <v>12460</v>
      </c>
      <c r="AW1237" s="6" t="str">
        <f t="shared" si="599"/>
        <v>=8.821*100000000</v>
      </c>
      <c r="AX1237" s="1">
        <f>8.821*100000000</f>
        <v>882100000</v>
      </c>
      <c r="AY1237" s="10">
        <f t="shared" si="616"/>
        <v>-0.72503117206982548</v>
      </c>
      <c r="AZ1237" s="6" t="s">
        <v>12287</v>
      </c>
      <c r="BA1237" s="6" t="str">
        <f t="shared" si="600"/>
        <v>=32.08*100000000</v>
      </c>
      <c r="BB1237" s="1">
        <f>32.08*100000000</f>
        <v>3208000000</v>
      </c>
      <c r="BC1237" s="8">
        <f t="shared" si="617"/>
        <v>0.19746173945502052</v>
      </c>
      <c r="BD1237" s="6" t="s">
        <v>12461</v>
      </c>
      <c r="BE1237" s="6" t="str">
        <f t="shared" si="601"/>
        <v>=26.79*100000000</v>
      </c>
      <c r="BF1237" s="1">
        <f>26.79*100000000</f>
        <v>2679000000</v>
      </c>
      <c r="BG1237" s="8">
        <f t="shared" si="618"/>
        <v>0.54142692750287691</v>
      </c>
      <c r="BH1237" s="6" t="s">
        <v>3360</v>
      </c>
      <c r="BI1237" s="6" t="str">
        <f t="shared" si="602"/>
        <v>=17.38*100000000</v>
      </c>
      <c r="BJ1237" s="1">
        <f>17.38*100000000</f>
        <v>1738000000</v>
      </c>
      <c r="BK1237" s="6" t="s">
        <v>12462</v>
      </c>
      <c r="BL1237" s="1" t="str">
        <f t="shared" si="604"/>
        <v>=8.233*100000000</v>
      </c>
      <c r="BM1237" s="16">
        <f t="shared" si="619"/>
        <v>1.1110166403498116</v>
      </c>
      <c r="BN1237" s="1">
        <f>8.233*100000000</f>
        <v>823300000</v>
      </c>
    </row>
    <row r="1238" spans="1:66">
      <c r="A1238" s="17">
        <v>311</v>
      </c>
      <c r="B1238">
        <v>601019</v>
      </c>
      <c r="C1238" t="s">
        <v>31</v>
      </c>
      <c r="D1238" s="6" t="s">
        <v>12463</v>
      </c>
      <c r="E1238" s="7" t="str">
        <f t="shared" si="603"/>
        <v>=108.9*100000000</v>
      </c>
      <c r="F1238" s="1">
        <f>108.9*100000000</f>
        <v>10890000000</v>
      </c>
      <c r="G1238" s="8">
        <f t="shared" si="605"/>
        <v>0.57074859368238862</v>
      </c>
      <c r="H1238" s="6" t="s">
        <v>12464</v>
      </c>
      <c r="I1238" s="6" t="str">
        <f t="shared" si="589"/>
        <v>=69.33*100000000</v>
      </c>
      <c r="J1238" s="1">
        <f>69.33*100000000</f>
        <v>6933000000</v>
      </c>
      <c r="K1238" s="10">
        <f t="shared" si="606"/>
        <v>0.47888225255972694</v>
      </c>
      <c r="L1238" s="6" t="s">
        <v>4262</v>
      </c>
      <c r="M1238" s="6" t="str">
        <f t="shared" si="590"/>
        <v>=46.88*100000000</v>
      </c>
      <c r="N1238" s="1">
        <f>46.88*100000000</f>
        <v>4688000000</v>
      </c>
      <c r="O1238" s="8">
        <f t="shared" si="607"/>
        <v>1.5409214092140922</v>
      </c>
      <c r="P1238" s="6" t="s">
        <v>12465</v>
      </c>
      <c r="Q1238" s="6" t="str">
        <f t="shared" si="591"/>
        <v>=18.45*100000000</v>
      </c>
      <c r="R1238" s="11">
        <f>18.45*100000000</f>
        <v>1845000000</v>
      </c>
      <c r="S1238" s="8">
        <f t="shared" si="608"/>
        <v>-0.8107692307692308</v>
      </c>
      <c r="T1238" s="6" t="s">
        <v>12466</v>
      </c>
      <c r="U1238" s="6" t="str">
        <f t="shared" si="592"/>
        <v>=97.50*100000000</v>
      </c>
      <c r="V1238" s="1">
        <f>97.5*100000000</f>
        <v>9750000000</v>
      </c>
      <c r="W1238" s="8">
        <f t="shared" si="609"/>
        <v>0.6965373238211241</v>
      </c>
      <c r="X1238" s="6" t="s">
        <v>12467</v>
      </c>
      <c r="Y1238" s="6" t="str">
        <f t="shared" si="593"/>
        <v>=57.47*100000000</v>
      </c>
      <c r="Z1238" s="1">
        <f>57.47*100000000</f>
        <v>5747000000</v>
      </c>
      <c r="AA1238" s="8">
        <f t="shared" si="610"/>
        <v>0.50721216889588228</v>
      </c>
      <c r="AB1238" s="6" t="s">
        <v>12468</v>
      </c>
      <c r="AC1238" s="6" t="str">
        <f t="shared" si="594"/>
        <v>=38.13*100000000</v>
      </c>
      <c r="AD1238" s="1">
        <f>38.13*100000000</f>
        <v>3813000000.0000005</v>
      </c>
      <c r="AE1238" s="8">
        <f t="shared" si="611"/>
        <v>1.4759740259740264</v>
      </c>
      <c r="AF1238" s="6" t="s">
        <v>8673</v>
      </c>
      <c r="AG1238" s="6" t="str">
        <f t="shared" si="595"/>
        <v>=15.40*100000000</v>
      </c>
      <c r="AH1238" s="1">
        <f>15.4*100000000</f>
        <v>1540000000</v>
      </c>
      <c r="AI1238" s="8">
        <f t="shared" si="612"/>
        <v>-0.84232620047097373</v>
      </c>
      <c r="AJ1238" s="6" t="s">
        <v>12469</v>
      </c>
      <c r="AK1238" s="6" t="str">
        <f t="shared" si="596"/>
        <v>=97.67*100000000</v>
      </c>
      <c r="AL1238" s="1">
        <f>97.67*100000000</f>
        <v>9767000000</v>
      </c>
      <c r="AM1238" s="8">
        <f t="shared" si="613"/>
        <v>0.55997444497684079</v>
      </c>
      <c r="AN1238" s="6" t="s">
        <v>1638</v>
      </c>
      <c r="AO1238" s="6" t="str">
        <f t="shared" si="597"/>
        <v>=62.61*100000000</v>
      </c>
      <c r="AP1238" s="1">
        <f>62.61*100000000</f>
        <v>6261000000</v>
      </c>
      <c r="AQ1238" s="8">
        <f t="shared" si="614"/>
        <v>0.49569995222169133</v>
      </c>
      <c r="AR1238" s="6" t="s">
        <v>12470</v>
      </c>
      <c r="AS1238" s="6" t="str">
        <f t="shared" si="598"/>
        <v>=41.86*100000000</v>
      </c>
      <c r="AT1238" s="1">
        <f>41.86*100000000</f>
        <v>4186000000</v>
      </c>
      <c r="AU1238" s="8">
        <f t="shared" si="615"/>
        <v>1.3933676386506577</v>
      </c>
      <c r="AV1238" s="6" t="s">
        <v>7238</v>
      </c>
      <c r="AW1238" s="6" t="str">
        <f t="shared" si="599"/>
        <v>=17.49*100000000</v>
      </c>
      <c r="AX1238" s="1">
        <f>17.49*100000000</f>
        <v>1748999999.9999998</v>
      </c>
      <c r="AY1238" s="10">
        <f t="shared" si="616"/>
        <v>-0.81296118062239331</v>
      </c>
      <c r="AZ1238" s="6" t="s">
        <v>12471</v>
      </c>
      <c r="BA1238" s="6" t="str">
        <f t="shared" si="600"/>
        <v>=93.51*100000000</v>
      </c>
      <c r="BB1238" s="1">
        <f>93.51*100000000</f>
        <v>9351000000</v>
      </c>
      <c r="BC1238" s="8">
        <f t="shared" si="617"/>
        <v>0.431348538190724</v>
      </c>
      <c r="BD1238" s="6" t="s">
        <v>12472</v>
      </c>
      <c r="BE1238" s="6" t="str">
        <f t="shared" si="601"/>
        <v>=65.33*100000000</v>
      </c>
      <c r="BF1238" s="1">
        <f>65.33*100000000</f>
        <v>6533000000</v>
      </c>
      <c r="BG1238" s="8">
        <f t="shared" si="618"/>
        <v>0.48409813721035894</v>
      </c>
      <c r="BH1238" s="6" t="s">
        <v>12473</v>
      </c>
      <c r="BI1238" s="6" t="str">
        <f t="shared" si="602"/>
        <v>=44.02*100000000</v>
      </c>
      <c r="BJ1238" s="1">
        <f>44.02*100000000</f>
        <v>4402000000</v>
      </c>
      <c r="BK1238" s="6" t="s">
        <v>707</v>
      </c>
      <c r="BL1238" s="1" t="str">
        <f t="shared" si="604"/>
        <v>=18.42*100000000</v>
      </c>
      <c r="BM1238" s="16">
        <f t="shared" si="619"/>
        <v>1.3897937024972853</v>
      </c>
      <c r="BN1238" s="1">
        <f>18.42*100000000</f>
        <v>1842000000.0000002</v>
      </c>
    </row>
    <row r="1239" spans="1:66">
      <c r="A1239" s="18"/>
      <c r="B1239">
        <v>601019</v>
      </c>
      <c r="C1239" t="s">
        <v>48</v>
      </c>
      <c r="D1239" s="6" t="s">
        <v>7794</v>
      </c>
      <c r="E1239" s="7" t="str">
        <f t="shared" si="603"/>
        <v>=15.24*100000000</v>
      </c>
      <c r="F1239" s="1">
        <f>15.24*100000000</f>
        <v>1524000000</v>
      </c>
      <c r="G1239" s="8">
        <f t="shared" si="605"/>
        <v>0.37918552036199094</v>
      </c>
      <c r="H1239" s="6" t="s">
        <v>173</v>
      </c>
      <c r="I1239" s="6" t="str">
        <f t="shared" si="589"/>
        <v>=11.05*100000000</v>
      </c>
      <c r="J1239" s="1">
        <f>11.05*100000000</f>
        <v>1105000000</v>
      </c>
      <c r="K1239" s="10">
        <f t="shared" si="606"/>
        <v>0.36757425742574257</v>
      </c>
      <c r="L1239" s="6" t="s">
        <v>918</v>
      </c>
      <c r="M1239" s="6" t="str">
        <f t="shared" si="590"/>
        <v>=8.080*100000000</v>
      </c>
      <c r="N1239" s="1">
        <f>8.08*100000000</f>
        <v>808000000</v>
      </c>
      <c r="O1239" s="8">
        <f t="shared" si="607"/>
        <v>3.8152562574493443</v>
      </c>
      <c r="P1239" s="6" t="s">
        <v>9997</v>
      </c>
      <c r="Q1239" s="6" t="str">
        <f t="shared" si="591"/>
        <v>=1.678*100000000</v>
      </c>
      <c r="R1239" s="11">
        <f>1.678*100000000</f>
        <v>167800000</v>
      </c>
      <c r="S1239" s="8">
        <f t="shared" si="608"/>
        <v>-0.87477611940298505</v>
      </c>
      <c r="T1239" s="6" t="s">
        <v>12264</v>
      </c>
      <c r="U1239" s="6" t="str">
        <f t="shared" si="592"/>
        <v>=13.40*100000000</v>
      </c>
      <c r="V1239" s="1">
        <f>13.4*100000000</f>
        <v>1340000000</v>
      </c>
      <c r="W1239" s="8">
        <f t="shared" si="609"/>
        <v>0.87465025181869049</v>
      </c>
      <c r="X1239" s="6" t="s">
        <v>9111</v>
      </c>
      <c r="Y1239" s="6" t="str">
        <f t="shared" si="593"/>
        <v>=7.148*100000000</v>
      </c>
      <c r="Z1239" s="1">
        <f>7.148*100000000</f>
        <v>714800000</v>
      </c>
      <c r="AA1239" s="8">
        <f t="shared" si="610"/>
        <v>0.68069597930872328</v>
      </c>
      <c r="AB1239" s="6" t="s">
        <v>12474</v>
      </c>
      <c r="AC1239" s="6" t="str">
        <f t="shared" si="594"/>
        <v>=4.253*100000000</v>
      </c>
      <c r="AD1239" s="1">
        <f>4.253*100000000</f>
        <v>425300000</v>
      </c>
      <c r="AE1239" s="8">
        <f t="shared" si="611"/>
        <v>2.1157509157509158</v>
      </c>
      <c r="AF1239" s="6" t="s">
        <v>2187</v>
      </c>
      <c r="AG1239" s="6" t="str">
        <f t="shared" si="595"/>
        <v>=1.365*100000000</v>
      </c>
      <c r="AH1239" s="1">
        <f>1.365*100000000</f>
        <v>136500000</v>
      </c>
      <c r="AI1239" s="8">
        <f t="shared" si="612"/>
        <v>-0.90764546684709069</v>
      </c>
      <c r="AJ1239" s="6" t="s">
        <v>12475</v>
      </c>
      <c r="AK1239" s="6" t="str">
        <f t="shared" si="596"/>
        <v>=14.78*100000000</v>
      </c>
      <c r="AL1239" s="1">
        <f>14.78*100000000</f>
        <v>1478000000</v>
      </c>
      <c r="AM1239" s="8">
        <f t="shared" si="613"/>
        <v>0.4076190476190476</v>
      </c>
      <c r="AN1239" s="6" t="s">
        <v>2851</v>
      </c>
      <c r="AO1239" s="6" t="str">
        <f t="shared" si="597"/>
        <v>=10.50*100000000</v>
      </c>
      <c r="AP1239" s="1">
        <f>10.5*100000000</f>
        <v>1050000000</v>
      </c>
      <c r="AQ1239" s="8">
        <f t="shared" si="614"/>
        <v>0.38449367088607594</v>
      </c>
      <c r="AR1239" s="6" t="s">
        <v>12476</v>
      </c>
      <c r="AS1239" s="6" t="str">
        <f t="shared" si="598"/>
        <v>=7.584*100000000</v>
      </c>
      <c r="AT1239" s="1">
        <f>7.584*100000000</f>
        <v>758400000</v>
      </c>
      <c r="AU1239" s="8">
        <f t="shared" si="615"/>
        <v>2.4192966636609556</v>
      </c>
      <c r="AV1239" s="6" t="s">
        <v>7022</v>
      </c>
      <c r="AW1239" s="6" t="str">
        <f t="shared" si="599"/>
        <v>=2.218*100000000</v>
      </c>
      <c r="AX1239" s="1">
        <f>2.218*100000000</f>
        <v>221800000</v>
      </c>
      <c r="AY1239" s="10">
        <f t="shared" si="616"/>
        <v>-0.85023632680621197</v>
      </c>
      <c r="AZ1239" s="6" t="s">
        <v>11057</v>
      </c>
      <c r="BA1239" s="6" t="str">
        <f t="shared" si="600"/>
        <v>=14.81*100000000</v>
      </c>
      <c r="BB1239" s="1">
        <f>14.81*100000000</f>
        <v>1481000000</v>
      </c>
      <c r="BC1239" s="8">
        <f t="shared" si="617"/>
        <v>0.32468694096601075</v>
      </c>
      <c r="BD1239" s="6" t="s">
        <v>9916</v>
      </c>
      <c r="BE1239" s="6" t="str">
        <f t="shared" si="601"/>
        <v>=11.18*100000000</v>
      </c>
      <c r="BF1239" s="1">
        <f>11.18*100000000</f>
        <v>1118000000</v>
      </c>
      <c r="BG1239" s="8">
        <f t="shared" si="618"/>
        <v>0.49265687583444595</v>
      </c>
      <c r="BH1239" s="6" t="s">
        <v>12477</v>
      </c>
      <c r="BI1239" s="6" t="str">
        <f t="shared" si="602"/>
        <v>=7.490*100000000</v>
      </c>
      <c r="BJ1239" s="1">
        <f>7.49*100000000</f>
        <v>749000000</v>
      </c>
      <c r="BK1239" s="6" t="s">
        <v>11325</v>
      </c>
      <c r="BL1239" s="1" t="str">
        <f t="shared" si="604"/>
        <v>=1.906*100000000</v>
      </c>
      <c r="BM1239" s="16">
        <f t="shared" si="619"/>
        <v>2.9296956977964324</v>
      </c>
      <c r="BN1239" s="1">
        <f>1.906*100000000</f>
        <v>190600000</v>
      </c>
    </row>
    <row r="1240" spans="1:66">
      <c r="A1240" s="18"/>
      <c r="B1240">
        <v>601019</v>
      </c>
      <c r="C1240" t="s">
        <v>58</v>
      </c>
      <c r="D1240" s="6" t="s">
        <v>4570</v>
      </c>
      <c r="E1240" s="7" t="str">
        <f t="shared" si="603"/>
        <v>=15.33*100000000</v>
      </c>
      <c r="F1240" s="1">
        <f>15.33*100000000</f>
        <v>1533000000</v>
      </c>
      <c r="G1240" s="8">
        <f t="shared" si="605"/>
        <v>0.38607594936708861</v>
      </c>
      <c r="H1240" s="6" t="s">
        <v>3155</v>
      </c>
      <c r="I1240" s="6" t="str">
        <f t="shared" si="589"/>
        <v>=11.06*100000000</v>
      </c>
      <c r="J1240" s="1">
        <f>11.06*100000000</f>
        <v>1106000000</v>
      </c>
      <c r="K1240" s="10">
        <f t="shared" si="606"/>
        <v>0.36425311459232784</v>
      </c>
      <c r="L1240" s="6" t="s">
        <v>12478</v>
      </c>
      <c r="M1240" s="6" t="str">
        <f t="shared" si="590"/>
        <v>=8.107*100000000</v>
      </c>
      <c r="N1240" s="1">
        <f>8.107*100000000</f>
        <v>810699999.99999988</v>
      </c>
      <c r="O1240" s="8">
        <f t="shared" si="607"/>
        <v>3.8371121718377079</v>
      </c>
      <c r="P1240" s="6" t="s">
        <v>12479</v>
      </c>
      <c r="Q1240" s="6" t="str">
        <f t="shared" si="591"/>
        <v>=1.676*100000000</v>
      </c>
      <c r="R1240" s="11">
        <f>1.676*100000000</f>
        <v>167600000</v>
      </c>
      <c r="S1240" s="8">
        <f t="shared" si="608"/>
        <v>-0.88037116345467525</v>
      </c>
      <c r="T1240" s="6" t="s">
        <v>8678</v>
      </c>
      <c r="U1240" s="6" t="str">
        <f t="shared" si="592"/>
        <v>=14.01*100000000</v>
      </c>
      <c r="V1240" s="1">
        <f>14.01*100000000</f>
        <v>1401000000</v>
      </c>
      <c r="W1240" s="8">
        <f t="shared" si="609"/>
        <v>0.88483788510695549</v>
      </c>
      <c r="X1240" s="6" t="s">
        <v>12480</v>
      </c>
      <c r="Y1240" s="6" t="str">
        <f t="shared" si="593"/>
        <v>=7.433*100000000</v>
      </c>
      <c r="Z1240" s="1">
        <f>7.433*100000000</f>
        <v>743300000</v>
      </c>
      <c r="AA1240" s="8">
        <f t="shared" si="610"/>
        <v>0.64410528644105292</v>
      </c>
      <c r="AB1240" s="6" t="s">
        <v>7648</v>
      </c>
      <c r="AC1240" s="6" t="str">
        <f t="shared" si="594"/>
        <v>=4.521*100000000</v>
      </c>
      <c r="AD1240" s="1">
        <f>4.521*100000000</f>
        <v>452100000</v>
      </c>
      <c r="AE1240" s="8">
        <f t="shared" si="611"/>
        <v>2.3096632503660324</v>
      </c>
      <c r="AF1240" s="6" t="s">
        <v>8280</v>
      </c>
      <c r="AG1240" s="6" t="str">
        <f t="shared" si="595"/>
        <v>=1.366*100000000</v>
      </c>
      <c r="AH1240" s="1">
        <f>1.366*100000000</f>
        <v>136600000</v>
      </c>
      <c r="AI1240" s="8">
        <f t="shared" si="612"/>
        <v>-0.91135626216742371</v>
      </c>
      <c r="AJ1240" s="6" t="s">
        <v>6460</v>
      </c>
      <c r="AK1240" s="6" t="str">
        <f t="shared" si="596"/>
        <v>=15.41*100000000</v>
      </c>
      <c r="AL1240" s="1">
        <f>15.41*100000000</f>
        <v>1541000000</v>
      </c>
      <c r="AM1240" s="8">
        <f t="shared" si="613"/>
        <v>0.4047402005469462</v>
      </c>
      <c r="AN1240" s="6" t="s">
        <v>373</v>
      </c>
      <c r="AO1240" s="6" t="str">
        <f t="shared" si="597"/>
        <v>=10.97*100000000</v>
      </c>
      <c r="AP1240" s="1">
        <f>10.97*100000000</f>
        <v>1097000000</v>
      </c>
      <c r="AQ1240" s="8">
        <f t="shared" si="614"/>
        <v>0.43736897274633124</v>
      </c>
      <c r="AR1240" s="6" t="s">
        <v>12481</v>
      </c>
      <c r="AS1240" s="6" t="str">
        <f t="shared" si="598"/>
        <v>=7.632*100000000</v>
      </c>
      <c r="AT1240" s="1">
        <f>7.632*100000000</f>
        <v>763200000</v>
      </c>
      <c r="AU1240" s="8">
        <f t="shared" si="615"/>
        <v>2.5105795768169274</v>
      </c>
      <c r="AV1240" s="6" t="s">
        <v>12482</v>
      </c>
      <c r="AW1240" s="6" t="str">
        <f t="shared" si="599"/>
        <v>=2.174*100000000</v>
      </c>
      <c r="AX1240" s="1">
        <f>2.174*100000000</f>
        <v>217400000</v>
      </c>
      <c r="AY1240" s="10">
        <f t="shared" si="616"/>
        <v>-0.85300878972278571</v>
      </c>
      <c r="AZ1240" s="6" t="s">
        <v>4041</v>
      </c>
      <c r="BA1240" s="6" t="str">
        <f t="shared" si="600"/>
        <v>=14.79*100000000</v>
      </c>
      <c r="BB1240" s="1">
        <f>14.79*100000000</f>
        <v>1479000000</v>
      </c>
      <c r="BC1240" s="8">
        <f t="shared" si="617"/>
        <v>0.32408236347358998</v>
      </c>
      <c r="BD1240" s="6" t="s">
        <v>1597</v>
      </c>
      <c r="BE1240" s="6" t="str">
        <f t="shared" si="601"/>
        <v>=11.17*100000000</v>
      </c>
      <c r="BF1240" s="1">
        <f>11.17*100000000</f>
        <v>1117000000</v>
      </c>
      <c r="BG1240" s="8">
        <f t="shared" si="618"/>
        <v>0.50013430029546069</v>
      </c>
      <c r="BH1240" s="6" t="s">
        <v>3040</v>
      </c>
      <c r="BI1240" s="6" t="str">
        <f t="shared" si="602"/>
        <v>=7.446*100000000</v>
      </c>
      <c r="BJ1240" s="1">
        <f>7.446*100000000</f>
        <v>744600000</v>
      </c>
      <c r="BK1240" s="6" t="s">
        <v>12483</v>
      </c>
      <c r="BL1240" s="1" t="str">
        <f t="shared" si="604"/>
        <v>=2.053*100000000</v>
      </c>
      <c r="BM1240" s="16">
        <f t="shared" si="619"/>
        <v>2.6268874817340477</v>
      </c>
      <c r="BN1240" s="1">
        <f>2.053*100000000</f>
        <v>205300000</v>
      </c>
    </row>
    <row r="1241" spans="1:66">
      <c r="A1241" s="19"/>
      <c r="B1241">
        <v>601019</v>
      </c>
      <c r="C1241" t="s">
        <v>68</v>
      </c>
      <c r="D1241" s="6" t="s">
        <v>293</v>
      </c>
      <c r="E1241" s="7" t="str">
        <f t="shared" si="603"/>
        <v>=15.25*100000000</v>
      </c>
      <c r="F1241" s="1">
        <f>15.25*100000000</f>
        <v>1525000000</v>
      </c>
      <c r="G1241" s="8">
        <f t="shared" si="605"/>
        <v>0.38510445049954589</v>
      </c>
      <c r="H1241" s="6" t="s">
        <v>5034</v>
      </c>
      <c r="I1241" s="6" t="str">
        <f t="shared" si="589"/>
        <v>=11.01*100000000</v>
      </c>
      <c r="J1241" s="1">
        <f>11.01*100000000</f>
        <v>1101000000</v>
      </c>
      <c r="K1241" s="10">
        <f t="shared" si="606"/>
        <v>0.3641432288440094</v>
      </c>
      <c r="L1241" s="6" t="s">
        <v>1885</v>
      </c>
      <c r="M1241" s="6" t="str">
        <f t="shared" si="590"/>
        <v>=8.071*100000000</v>
      </c>
      <c r="N1241" s="1">
        <f>8.071*100000000</f>
        <v>807100000</v>
      </c>
      <c r="O1241" s="8">
        <f t="shared" si="607"/>
        <v>3.8300418910831837</v>
      </c>
      <c r="P1241" s="6" t="s">
        <v>1525</v>
      </c>
      <c r="Q1241" s="6" t="str">
        <f t="shared" si="591"/>
        <v>=1.671*100000000</v>
      </c>
      <c r="R1241" s="11">
        <f>1.671*100000000</f>
        <v>167100000</v>
      </c>
      <c r="S1241" s="8">
        <f t="shared" si="608"/>
        <v>-0.88030085959885385</v>
      </c>
      <c r="T1241" s="6" t="s">
        <v>4228</v>
      </c>
      <c r="U1241" s="6" t="str">
        <f t="shared" si="592"/>
        <v>=13.96*100000000</v>
      </c>
      <c r="V1241" s="1">
        <f>13.96*100000000</f>
        <v>1396000000</v>
      </c>
      <c r="W1241" s="8">
        <f t="shared" si="609"/>
        <v>0.88674145154750639</v>
      </c>
      <c r="X1241" s="6" t="s">
        <v>10731</v>
      </c>
      <c r="Y1241" s="6" t="str">
        <f t="shared" si="593"/>
        <v>=7.399*100000000</v>
      </c>
      <c r="Z1241" s="1">
        <f>7.399*100000000</f>
        <v>739900000</v>
      </c>
      <c r="AA1241" s="8">
        <f t="shared" si="610"/>
        <v>0.64385692068429212</v>
      </c>
      <c r="AB1241" s="6" t="s">
        <v>11230</v>
      </c>
      <c r="AC1241" s="6" t="str">
        <f t="shared" si="594"/>
        <v>=4.501*100000000</v>
      </c>
      <c r="AD1241" s="1">
        <f>4.501*100000000</f>
        <v>450100000.00000006</v>
      </c>
      <c r="AE1241" s="8">
        <f t="shared" si="611"/>
        <v>2.3046989720998536</v>
      </c>
      <c r="AF1241" s="6" t="s">
        <v>12484</v>
      </c>
      <c r="AG1241" s="6" t="str">
        <f t="shared" si="595"/>
        <v>=1.362*100000000</v>
      </c>
      <c r="AH1241" s="1">
        <f>1.362*100000000</f>
        <v>136200000</v>
      </c>
      <c r="AI1241" s="8">
        <f t="shared" si="612"/>
        <v>-0.91161583387410772</v>
      </c>
      <c r="AJ1241" s="6" t="s">
        <v>6460</v>
      </c>
      <c r="AK1241" s="6" t="str">
        <f t="shared" si="596"/>
        <v>=15.41*100000000</v>
      </c>
      <c r="AL1241" s="1">
        <f>15.41*100000000</f>
        <v>1541000000</v>
      </c>
      <c r="AM1241" s="8">
        <f t="shared" si="613"/>
        <v>0.40730593607305937</v>
      </c>
      <c r="AN1241" s="6" t="s">
        <v>2042</v>
      </c>
      <c r="AO1241" s="6" t="str">
        <f t="shared" si="597"/>
        <v>=10.95*100000000</v>
      </c>
      <c r="AP1241" s="1">
        <f>10.95*100000000</f>
        <v>1095000000</v>
      </c>
      <c r="AQ1241" s="8">
        <f t="shared" si="614"/>
        <v>0.43625393494228754</v>
      </c>
      <c r="AR1241" s="6" t="s">
        <v>8681</v>
      </c>
      <c r="AS1241" s="6" t="str">
        <f t="shared" si="598"/>
        <v>=7.624*100000000</v>
      </c>
      <c r="AT1241" s="1">
        <f>7.624*100000000</f>
        <v>762400000</v>
      </c>
      <c r="AU1241" s="8">
        <f t="shared" si="615"/>
        <v>2.5020670647680294</v>
      </c>
      <c r="AV1241" s="6" t="s">
        <v>6317</v>
      </c>
      <c r="AW1241" s="6" t="str">
        <f t="shared" si="599"/>
        <v>=2.177*100000000</v>
      </c>
      <c r="AX1241" s="1">
        <f>2.177*100000000</f>
        <v>217700000</v>
      </c>
      <c r="AY1241" s="10">
        <f t="shared" si="616"/>
        <v>-0.85250677506775063</v>
      </c>
      <c r="AZ1241" s="6" t="s">
        <v>7893</v>
      </c>
      <c r="BA1241" s="6" t="str">
        <f t="shared" si="600"/>
        <v>=14.76*100000000</v>
      </c>
      <c r="BB1241" s="1">
        <f>14.76*100000000</f>
        <v>1476000000</v>
      </c>
      <c r="BC1241" s="8">
        <f t="shared" si="617"/>
        <v>0.32139659803043868</v>
      </c>
      <c r="BD1241" s="6" t="s">
        <v>1597</v>
      </c>
      <c r="BE1241" s="6" t="str">
        <f t="shared" si="601"/>
        <v>=11.17*100000000</v>
      </c>
      <c r="BF1241" s="1">
        <f>11.17*100000000</f>
        <v>1117000000</v>
      </c>
      <c r="BG1241" s="8">
        <f t="shared" si="618"/>
        <v>0.49993285886934336</v>
      </c>
      <c r="BH1241" s="6" t="s">
        <v>12485</v>
      </c>
      <c r="BI1241" s="6" t="str">
        <f t="shared" si="602"/>
        <v>=7.447*100000000</v>
      </c>
      <c r="BJ1241" s="1">
        <f>7.447*100000000</f>
        <v>744700000</v>
      </c>
      <c r="BK1241" s="6" t="s">
        <v>10258</v>
      </c>
      <c r="BL1241" s="1" t="str">
        <f t="shared" si="604"/>
        <v>=2.057*100000000</v>
      </c>
      <c r="BM1241" s="16">
        <f t="shared" si="619"/>
        <v>2.6203208556149731</v>
      </c>
      <c r="BN1241" s="1">
        <f>2.057*100000000</f>
        <v>205700000</v>
      </c>
    </row>
    <row r="1242" spans="1:66">
      <c r="A1242" s="17">
        <v>312</v>
      </c>
      <c r="B1242">
        <v>601038</v>
      </c>
      <c r="C1242" t="s">
        <v>31</v>
      </c>
      <c r="D1242" s="6" t="s">
        <v>12486</v>
      </c>
      <c r="E1242" s="7" t="str">
        <f t="shared" si="603"/>
        <v>=92.09*100000000</v>
      </c>
      <c r="F1242" s="1">
        <f>92.09*100000000</f>
        <v>9209000000</v>
      </c>
      <c r="G1242" s="8">
        <f t="shared" si="605"/>
        <v>0.1311878147647709</v>
      </c>
      <c r="H1242" s="6" t="s">
        <v>12487</v>
      </c>
      <c r="I1242" s="6" t="str">
        <f t="shared" si="589"/>
        <v>=81.41*100000000</v>
      </c>
      <c r="J1242" s="1">
        <f>81.41*100000000</f>
        <v>8141000000</v>
      </c>
      <c r="K1242" s="10">
        <f t="shared" si="606"/>
        <v>0.46026905829596415</v>
      </c>
      <c r="L1242" s="6" t="s">
        <v>11629</v>
      </c>
      <c r="M1242" s="6" t="str">
        <f t="shared" si="590"/>
        <v>=55.75*100000000</v>
      </c>
      <c r="N1242" s="1">
        <f>55.75*100000000</f>
        <v>5575000000</v>
      </c>
      <c r="O1242" s="8">
        <f t="shared" si="607"/>
        <v>0.73029174425822474</v>
      </c>
      <c r="P1242" s="6" t="s">
        <v>12113</v>
      </c>
      <c r="Q1242" s="6" t="str">
        <f t="shared" si="591"/>
        <v>=32.22*100000000</v>
      </c>
      <c r="R1242" s="11">
        <f>32.22*100000000</f>
        <v>3222000000</v>
      </c>
      <c r="S1242" s="8">
        <f t="shared" si="608"/>
        <v>-0.5693089159203315</v>
      </c>
      <c r="T1242" s="6" t="s">
        <v>5018</v>
      </c>
      <c r="U1242" s="6" t="str">
        <f t="shared" si="592"/>
        <v>=74.81*100000000</v>
      </c>
      <c r="V1242" s="1">
        <f>74.81*100000000</f>
        <v>7481000000</v>
      </c>
      <c r="W1242" s="8">
        <f t="shared" si="609"/>
        <v>0.16982017200938232</v>
      </c>
      <c r="X1242" s="6" t="s">
        <v>12488</v>
      </c>
      <c r="Y1242" s="6" t="str">
        <f t="shared" si="593"/>
        <v>=63.95*100000000</v>
      </c>
      <c r="Z1242" s="1">
        <f>63.95*100000000</f>
        <v>6395000000</v>
      </c>
      <c r="AA1242" s="8">
        <f t="shared" si="610"/>
        <v>0.56971035837015216</v>
      </c>
      <c r="AB1242" s="6" t="s">
        <v>12489</v>
      </c>
      <c r="AC1242" s="6" t="str">
        <f t="shared" si="594"/>
        <v>=40.74*100000000</v>
      </c>
      <c r="AD1242" s="1">
        <f>40.74*100000000</f>
        <v>4074000000</v>
      </c>
      <c r="AE1242" s="8">
        <f t="shared" si="611"/>
        <v>0.9614829080404429</v>
      </c>
      <c r="AF1242" s="6" t="s">
        <v>2412</v>
      </c>
      <c r="AG1242" s="6" t="str">
        <f t="shared" si="595"/>
        <v>=20.77*100000000</v>
      </c>
      <c r="AH1242" s="1">
        <f>20.77*100000000</f>
        <v>2077000000</v>
      </c>
      <c r="AI1242" s="8">
        <f t="shared" si="612"/>
        <v>-0.63796409273139276</v>
      </c>
      <c r="AJ1242" s="6" t="s">
        <v>869</v>
      </c>
      <c r="AK1242" s="6" t="str">
        <f t="shared" si="596"/>
        <v>=57.37*100000000</v>
      </c>
      <c r="AL1242" s="1">
        <f>57.37*100000000</f>
        <v>5737000000</v>
      </c>
      <c r="AM1242" s="8">
        <f t="shared" si="613"/>
        <v>0.11963309914129586</v>
      </c>
      <c r="AN1242" s="6" t="s">
        <v>12490</v>
      </c>
      <c r="AO1242" s="6" t="str">
        <f t="shared" si="597"/>
        <v>=51.24*100000000</v>
      </c>
      <c r="AP1242" s="1">
        <f>51.24*100000000</f>
        <v>5124000000</v>
      </c>
      <c r="AQ1242" s="8">
        <f t="shared" si="614"/>
        <v>0.51777251184834128</v>
      </c>
      <c r="AR1242" s="6" t="s">
        <v>8998</v>
      </c>
      <c r="AS1242" s="6" t="str">
        <f t="shared" si="598"/>
        <v>=33.76*100000000</v>
      </c>
      <c r="AT1242" s="1">
        <f>33.76*100000000</f>
        <v>3376000000</v>
      </c>
      <c r="AU1242" s="8">
        <f t="shared" si="615"/>
        <v>0.59621749408983471</v>
      </c>
      <c r="AV1242" s="6" t="s">
        <v>4791</v>
      </c>
      <c r="AW1242" s="6" t="str">
        <f t="shared" si="599"/>
        <v>=21.15*100000000</v>
      </c>
      <c r="AX1242" s="1">
        <f>21.15*100000000</f>
        <v>2114999999.9999998</v>
      </c>
      <c r="AY1242" s="10">
        <f t="shared" si="616"/>
        <v>-0.6182999458581484</v>
      </c>
      <c r="AZ1242" s="6" t="s">
        <v>12491</v>
      </c>
      <c r="BA1242" s="6" t="str">
        <f t="shared" si="600"/>
        <v>=55.41*100000000</v>
      </c>
      <c r="BB1242" s="1">
        <f>55.41*100000000</f>
        <v>5541000000</v>
      </c>
      <c r="BC1242" s="8">
        <f t="shared" si="617"/>
        <v>0.14625568887050061</v>
      </c>
      <c r="BD1242" s="6" t="s">
        <v>12448</v>
      </c>
      <c r="BE1242" s="6" t="str">
        <f t="shared" si="601"/>
        <v>=48.34*100000000</v>
      </c>
      <c r="BF1242" s="1">
        <f>48.34*100000000</f>
        <v>4834000000</v>
      </c>
      <c r="BG1242" s="8">
        <f t="shared" si="618"/>
        <v>0.37760045597036174</v>
      </c>
      <c r="BH1242" s="6" t="s">
        <v>5258</v>
      </c>
      <c r="BI1242" s="6" t="str">
        <f t="shared" si="602"/>
        <v>=35.09*100000000</v>
      </c>
      <c r="BJ1242" s="1">
        <f>35.09*100000000</f>
        <v>3509000000.0000005</v>
      </c>
      <c r="BK1242" s="6" t="s">
        <v>4990</v>
      </c>
      <c r="BL1242" s="1" t="str">
        <f t="shared" si="604"/>
        <v>=23.23*100000000</v>
      </c>
      <c r="BM1242" s="16">
        <f t="shared" si="619"/>
        <v>0.51054670684459769</v>
      </c>
      <c r="BN1242" s="1">
        <f>23.23*100000000</f>
        <v>2323000000</v>
      </c>
    </row>
    <row r="1243" spans="1:66">
      <c r="A1243" s="18"/>
      <c r="B1243">
        <v>601038</v>
      </c>
      <c r="C1243" t="s">
        <v>48</v>
      </c>
      <c r="D1243" s="6" t="s">
        <v>12492</v>
      </c>
      <c r="E1243" s="7" t="str">
        <f t="shared" si="603"/>
        <v>=4.269*100000000</v>
      </c>
      <c r="F1243" s="1">
        <f>4.269*100000000</f>
        <v>426900000</v>
      </c>
      <c r="G1243" s="8">
        <f t="shared" si="605"/>
        <v>-0.38795698924731181</v>
      </c>
      <c r="H1243" s="6" t="s">
        <v>8369</v>
      </c>
      <c r="I1243" s="6" t="str">
        <f t="shared" si="589"/>
        <v>=6.975*100000000</v>
      </c>
      <c r="J1243" s="1">
        <f>6.975*100000000</f>
        <v>697500000</v>
      </c>
      <c r="K1243" s="10">
        <f t="shared" si="606"/>
        <v>0.32806549885757808</v>
      </c>
      <c r="L1243" s="6" t="s">
        <v>12493</v>
      </c>
      <c r="M1243" s="6" t="str">
        <f t="shared" si="590"/>
        <v>=5.252*100000000</v>
      </c>
      <c r="N1243" s="1">
        <f>5.252*100000000</f>
        <v>525200000</v>
      </c>
      <c r="O1243" s="8">
        <f t="shared" si="607"/>
        <v>0.35991714137752462</v>
      </c>
      <c r="P1243" s="6" t="s">
        <v>5204</v>
      </c>
      <c r="Q1243" s="6" t="str">
        <f t="shared" si="591"/>
        <v>=3.862*100000000</v>
      </c>
      <c r="R1243" s="11">
        <f>3.862*100000000</f>
        <v>386200000</v>
      </c>
      <c r="S1243" s="8">
        <f t="shared" si="608"/>
        <v>0.31943969935087119</v>
      </c>
      <c r="T1243" s="6" t="s">
        <v>12494</v>
      </c>
      <c r="U1243" s="6" t="str">
        <f t="shared" si="592"/>
        <v>=2.927*100000000</v>
      </c>
      <c r="V1243" s="1">
        <f>2.927*100000000</f>
        <v>292700000</v>
      </c>
      <c r="W1243" s="8">
        <f t="shared" si="609"/>
        <v>-0.40760979558793764</v>
      </c>
      <c r="X1243" s="6" t="s">
        <v>12495</v>
      </c>
      <c r="Y1243" s="6" t="str">
        <f t="shared" si="593"/>
        <v>=4.941*100000000</v>
      </c>
      <c r="Z1243" s="1">
        <f>4.941*100000000</f>
        <v>494100000</v>
      </c>
      <c r="AA1243" s="8">
        <f t="shared" si="610"/>
        <v>0.48244824482448245</v>
      </c>
      <c r="AB1243" s="6" t="s">
        <v>12496</v>
      </c>
      <c r="AC1243" s="6" t="str">
        <f t="shared" si="594"/>
        <v>=3.333*100000000</v>
      </c>
      <c r="AD1243" s="1">
        <f>3.333*100000000</f>
        <v>333300000</v>
      </c>
      <c r="AE1243" s="8">
        <f t="shared" si="611"/>
        <v>1.0323170731707316</v>
      </c>
      <c r="AF1243" s="6" t="s">
        <v>6957</v>
      </c>
      <c r="AG1243" s="6" t="str">
        <f t="shared" si="595"/>
        <v>=1.640*100000000</v>
      </c>
      <c r="AH1243" s="1">
        <f>1.64*100000000</f>
        <v>164000000</v>
      </c>
      <c r="AI1243" s="8">
        <f t="shared" si="612"/>
        <v>0.14126652748782184</v>
      </c>
      <c r="AJ1243" s="6" t="s">
        <v>7904</v>
      </c>
      <c r="AK1243" s="6" t="str">
        <f t="shared" si="596"/>
        <v>=1.437*100000000</v>
      </c>
      <c r="AL1243" s="1">
        <f>1.437*100000000</f>
        <v>143700000</v>
      </c>
      <c r="AM1243" s="8">
        <f t="shared" si="613"/>
        <v>0.75758317025440314</v>
      </c>
      <c r="AN1243" s="7" t="s">
        <v>12497</v>
      </c>
      <c r="AO1243" s="6" t="str">
        <f t="shared" si="597"/>
        <v>=8176*10000</v>
      </c>
      <c r="AP1243" s="1">
        <f>8176*10000</f>
        <v>81760000</v>
      </c>
      <c r="AQ1243" s="8">
        <f t="shared" si="614"/>
        <v>2.8366963866729233</v>
      </c>
      <c r="AR1243" s="7" t="s">
        <v>12498</v>
      </c>
      <c r="AS1243" s="6" t="str">
        <f t="shared" si="598"/>
        <v>=2131*10000</v>
      </c>
      <c r="AT1243" s="1">
        <f>2131*10000</f>
        <v>21310000</v>
      </c>
      <c r="AU1243" s="8">
        <f t="shared" si="615"/>
        <v>-0.34811869073111046</v>
      </c>
      <c r="AV1243" s="7" t="s">
        <v>12499</v>
      </c>
      <c r="AW1243" s="6" t="str">
        <f t="shared" si="599"/>
        <v>=3269*10000</v>
      </c>
      <c r="AX1243" s="1">
        <f>3269*10000</f>
        <v>32690000</v>
      </c>
      <c r="AY1243" s="10">
        <f t="shared" si="616"/>
        <v>-1.0241968911917099</v>
      </c>
      <c r="AZ1243" s="6">
        <f>-13.51*100000000</f>
        <v>-1351000000</v>
      </c>
      <c r="BA1243" s="6" t="str">
        <f t="shared" si="600"/>
        <v>=-1351000000</v>
      </c>
      <c r="BB1243" s="1">
        <f>-1351000000</f>
        <v>-1351000000</v>
      </c>
      <c r="BC1243" s="8">
        <f t="shared" si="617"/>
        <v>2.6084401709401708</v>
      </c>
      <c r="BD1243" s="6">
        <f>-3.744*100000000</f>
        <v>-374400000</v>
      </c>
      <c r="BE1243" s="6" t="str">
        <f t="shared" si="601"/>
        <v>=-374400000</v>
      </c>
      <c r="BF1243" s="1">
        <f>-374400000</f>
        <v>-374400000</v>
      </c>
      <c r="BG1243" s="8">
        <f t="shared" si="618"/>
        <v>2.0891089108910892</v>
      </c>
      <c r="BH1243" s="6">
        <f>-1.212*100000000</f>
        <v>-121200000</v>
      </c>
      <c r="BI1243" s="6" t="str">
        <f t="shared" si="602"/>
        <v>=-121200000</v>
      </c>
      <c r="BJ1243" s="1">
        <f>-121200000</f>
        <v>-121200000</v>
      </c>
      <c r="BK1243" s="7" t="s">
        <v>12500</v>
      </c>
      <c r="BL1243" s="1" t="str">
        <f t="shared" si="604"/>
        <v>=3180*10000</v>
      </c>
      <c r="BM1243" s="16">
        <f t="shared" si="619"/>
        <v>-4.8113207547169807</v>
      </c>
      <c r="BN1243" s="1">
        <f>3180*10000</f>
        <v>31800000</v>
      </c>
    </row>
    <row r="1244" spans="1:66">
      <c r="A1244" s="18"/>
      <c r="B1244">
        <v>601038</v>
      </c>
      <c r="C1244" t="s">
        <v>58</v>
      </c>
      <c r="D1244" s="6" t="s">
        <v>9250</v>
      </c>
      <c r="E1244" s="7" t="str">
        <f t="shared" si="603"/>
        <v>=4.603*100000000</v>
      </c>
      <c r="F1244" s="1">
        <f>4.603*100000000</f>
        <v>460300000</v>
      </c>
      <c r="G1244" s="8">
        <f t="shared" si="605"/>
        <v>-0.35703310518228804</v>
      </c>
      <c r="H1244" s="6" t="s">
        <v>12501</v>
      </c>
      <c r="I1244" s="6" t="str">
        <f t="shared" si="589"/>
        <v>=7.159*100000000</v>
      </c>
      <c r="J1244" s="1">
        <f>7.159*100000000</f>
        <v>715900000</v>
      </c>
      <c r="K1244" s="10">
        <f t="shared" si="606"/>
        <v>0.34770331325301207</v>
      </c>
      <c r="L1244" s="6" t="s">
        <v>10248</v>
      </c>
      <c r="M1244" s="6" t="str">
        <f t="shared" si="590"/>
        <v>=5.312*100000000</v>
      </c>
      <c r="N1244" s="1">
        <f>5.312*100000000</f>
        <v>531200000</v>
      </c>
      <c r="O1244" s="8">
        <f t="shared" si="607"/>
        <v>0.37367468321696407</v>
      </c>
      <c r="P1244" s="6" t="s">
        <v>12502</v>
      </c>
      <c r="Q1244" s="6" t="str">
        <f t="shared" si="591"/>
        <v>=3.867*100000000</v>
      </c>
      <c r="R1244" s="11">
        <f>3.867*100000000</f>
        <v>386700000</v>
      </c>
      <c r="S1244" s="8">
        <f t="shared" si="608"/>
        <v>0.25837943377806705</v>
      </c>
      <c r="T1244" s="6" t="s">
        <v>10303</v>
      </c>
      <c r="U1244" s="6" t="str">
        <f t="shared" si="592"/>
        <v>=3.073*100000000</v>
      </c>
      <c r="V1244" s="1">
        <f>3.073*100000000</f>
        <v>307300000</v>
      </c>
      <c r="W1244" s="8">
        <f t="shared" si="609"/>
        <v>-0.37868985038414882</v>
      </c>
      <c r="X1244" s="6" t="s">
        <v>12503</v>
      </c>
      <c r="Y1244" s="6" t="str">
        <f t="shared" si="593"/>
        <v>=4.946*100000000</v>
      </c>
      <c r="Z1244" s="1">
        <f>4.946*100000000</f>
        <v>494600000</v>
      </c>
      <c r="AA1244" s="8">
        <f t="shared" si="610"/>
        <v>0.47950942267424468</v>
      </c>
      <c r="AB1244" s="6" t="s">
        <v>1762</v>
      </c>
      <c r="AC1244" s="6" t="str">
        <f t="shared" si="594"/>
        <v>=3.343*100000000</v>
      </c>
      <c r="AD1244" s="1">
        <f>3.343*100000000</f>
        <v>334300000</v>
      </c>
      <c r="AE1244" s="8">
        <f t="shared" si="611"/>
        <v>1.0260606060606061</v>
      </c>
      <c r="AF1244" s="6" t="s">
        <v>12504</v>
      </c>
      <c r="AG1244" s="6" t="str">
        <f t="shared" si="595"/>
        <v>=1.650*100000000</v>
      </c>
      <c r="AH1244" s="1">
        <f>1.65*100000000</f>
        <v>165000000</v>
      </c>
      <c r="AI1244" s="8">
        <f t="shared" si="612"/>
        <v>-9.6385542168674704E-2</v>
      </c>
      <c r="AJ1244" s="6" t="s">
        <v>5735</v>
      </c>
      <c r="AK1244" s="6" t="str">
        <f t="shared" si="596"/>
        <v>=1.826*100000000</v>
      </c>
      <c r="AL1244" s="1">
        <f>1.826*100000000</f>
        <v>182600000</v>
      </c>
      <c r="AM1244" s="8">
        <f t="shared" si="613"/>
        <v>0.7001862197392924</v>
      </c>
      <c r="AN1244" s="6" t="s">
        <v>5589</v>
      </c>
      <c r="AO1244" s="6" t="str">
        <f t="shared" si="597"/>
        <v>=1.074*100000000</v>
      </c>
      <c r="AP1244" s="1">
        <f>1.074*100000000</f>
        <v>107400000</v>
      </c>
      <c r="AQ1244" s="8">
        <f t="shared" si="614"/>
        <v>1.9899777282850779</v>
      </c>
      <c r="AR1244" s="7" t="s">
        <v>12505</v>
      </c>
      <c r="AS1244" s="6" t="str">
        <f t="shared" si="598"/>
        <v>=3592*10000</v>
      </c>
      <c r="AT1244" s="1">
        <f>3592*10000</f>
        <v>35920000</v>
      </c>
      <c r="AU1244" s="8">
        <f t="shared" si="615"/>
        <v>-0.2024866785079929</v>
      </c>
      <c r="AV1244" s="7" t="s">
        <v>12506</v>
      </c>
      <c r="AW1244" s="6" t="str">
        <f t="shared" si="599"/>
        <v>=4504*10000</v>
      </c>
      <c r="AX1244" s="1">
        <f>4504*10000</f>
        <v>45040000</v>
      </c>
      <c r="AY1244" s="10">
        <f t="shared" si="616"/>
        <v>-1.0342509505703421</v>
      </c>
      <c r="AZ1244" s="6">
        <f>-13.15*100000000</f>
        <v>-1315000000</v>
      </c>
      <c r="BA1244" s="6" t="str">
        <f t="shared" si="600"/>
        <v>=-1315000000</v>
      </c>
      <c r="BB1244" s="1">
        <f>-1315000000</f>
        <v>-1315000000</v>
      </c>
      <c r="BC1244" s="8">
        <f t="shared" si="617"/>
        <v>2.5948605795516677</v>
      </c>
      <c r="BD1244" s="6">
        <f>-3.658*100000000</f>
        <v>-365800000</v>
      </c>
      <c r="BE1244" s="6" t="str">
        <f t="shared" si="601"/>
        <v>=-365800000</v>
      </c>
      <c r="BF1244" s="1">
        <f>-365800000</f>
        <v>-365800000</v>
      </c>
      <c r="BG1244" s="8">
        <f t="shared" si="618"/>
        <v>2.1864111498257839</v>
      </c>
      <c r="BH1244" s="6">
        <f>-1.148*100000000</f>
        <v>-114799999.99999999</v>
      </c>
      <c r="BI1244" s="6" t="str">
        <f t="shared" si="602"/>
        <v>=-114800000</v>
      </c>
      <c r="BJ1244" s="1">
        <f>-114800000</f>
        <v>-114800000</v>
      </c>
      <c r="BK1244" s="7" t="s">
        <v>12507</v>
      </c>
      <c r="BL1244" s="1" t="str">
        <f t="shared" si="604"/>
        <v>=3791*10000</v>
      </c>
      <c r="BM1244" s="16">
        <f t="shared" si="619"/>
        <v>-4.0282247428119229</v>
      </c>
      <c r="BN1244" s="1">
        <f>3791*10000</f>
        <v>37910000</v>
      </c>
    </row>
    <row r="1245" spans="1:66">
      <c r="A1245" s="19"/>
      <c r="B1245">
        <v>601038</v>
      </c>
      <c r="C1245" t="s">
        <v>68</v>
      </c>
      <c r="D1245" s="6" t="s">
        <v>10179</v>
      </c>
      <c r="E1245" s="7" t="str">
        <f t="shared" si="603"/>
        <v>=4.333*100000000</v>
      </c>
      <c r="F1245" s="1">
        <f>4.333*100000000</f>
        <v>433300000</v>
      </c>
      <c r="G1245" s="8">
        <f t="shared" si="605"/>
        <v>-0.35443980929678187</v>
      </c>
      <c r="H1245" s="6" t="s">
        <v>12508</v>
      </c>
      <c r="I1245" s="6" t="str">
        <f t="shared" si="589"/>
        <v>=6.712*100000000</v>
      </c>
      <c r="J1245" s="1">
        <f>6.712*100000000</f>
        <v>671200000</v>
      </c>
      <c r="K1245" s="10">
        <f t="shared" si="606"/>
        <v>0.30609067912045146</v>
      </c>
      <c r="L1245" s="6" t="s">
        <v>12509</v>
      </c>
      <c r="M1245" s="6" t="str">
        <f t="shared" si="590"/>
        <v>=5.139*100000000</v>
      </c>
      <c r="N1245" s="1">
        <f>5.139*100000000</f>
        <v>513900000</v>
      </c>
      <c r="O1245" s="8">
        <f t="shared" si="607"/>
        <v>0.31769230769230772</v>
      </c>
      <c r="P1245" s="6" t="s">
        <v>12510</v>
      </c>
      <c r="Q1245" s="6" t="str">
        <f t="shared" si="591"/>
        <v>=3.900*100000000</v>
      </c>
      <c r="R1245" s="11">
        <f>3.9*100000000</f>
        <v>390000000</v>
      </c>
      <c r="S1245" s="8">
        <f t="shared" si="608"/>
        <v>0.38790035587188609</v>
      </c>
      <c r="T1245" s="6" t="s">
        <v>5734</v>
      </c>
      <c r="U1245" s="6" t="str">
        <f t="shared" si="592"/>
        <v>=2.810*100000000</v>
      </c>
      <c r="V1245" s="1">
        <f>2.81*100000000</f>
        <v>281000000</v>
      </c>
      <c r="W1245" s="8">
        <f t="shared" si="609"/>
        <v>-0.41494899021444931</v>
      </c>
      <c r="X1245" s="6" t="s">
        <v>12511</v>
      </c>
      <c r="Y1245" s="6" t="str">
        <f t="shared" si="593"/>
        <v>=4.803*100000000</v>
      </c>
      <c r="Z1245" s="1">
        <f>4.803*100000000</f>
        <v>480300000</v>
      </c>
      <c r="AA1245" s="8">
        <f t="shared" si="610"/>
        <v>0.49347014925373134</v>
      </c>
      <c r="AB1245" s="6" t="s">
        <v>5724</v>
      </c>
      <c r="AC1245" s="6" t="str">
        <f t="shared" si="594"/>
        <v>=3.216*100000000</v>
      </c>
      <c r="AD1245" s="1">
        <f>3.216*100000000</f>
        <v>321600000</v>
      </c>
      <c r="AE1245" s="8">
        <f t="shared" si="611"/>
        <v>0.7430894308943089</v>
      </c>
      <c r="AF1245" s="6" t="s">
        <v>5286</v>
      </c>
      <c r="AG1245" s="6" t="str">
        <f t="shared" si="595"/>
        <v>=1.845*100000000</v>
      </c>
      <c r="AH1245" s="1">
        <f>1.845*100000000</f>
        <v>184500000</v>
      </c>
      <c r="AI1245" s="8">
        <f t="shared" si="612"/>
        <v>0.4584980237154152</v>
      </c>
      <c r="AJ1245" s="6" t="s">
        <v>2052</v>
      </c>
      <c r="AK1245" s="6" t="str">
        <f t="shared" si="596"/>
        <v>=1.265*100000000</v>
      </c>
      <c r="AL1245" s="1">
        <f>1.265*100000000</f>
        <v>126499999.99999999</v>
      </c>
      <c r="AM1245" s="8">
        <f t="shared" si="613"/>
        <v>0.68914407798103861</v>
      </c>
      <c r="AN1245" s="7" t="s">
        <v>6545</v>
      </c>
      <c r="AO1245" s="6" t="str">
        <f t="shared" si="597"/>
        <v>=7489*10000</v>
      </c>
      <c r="AP1245" s="1">
        <f>7489*10000</f>
        <v>74890000</v>
      </c>
      <c r="AQ1245" s="8">
        <f t="shared" si="614"/>
        <v>6.6286034430070284</v>
      </c>
      <c r="AR1245" s="7" t="s">
        <v>12512</v>
      </c>
      <c r="AS1245" s="6" t="str">
        <f t="shared" si="598"/>
        <v>=981.7*10000</v>
      </c>
      <c r="AT1245" s="1">
        <f>981.7*10000</f>
        <v>9817000</v>
      </c>
      <c r="AU1245" s="8">
        <f t="shared" si="615"/>
        <v>-0.75843996062992125</v>
      </c>
      <c r="AV1245" s="7" t="s">
        <v>4460</v>
      </c>
      <c r="AW1245" s="6" t="str">
        <f t="shared" si="599"/>
        <v>=4064*10000</v>
      </c>
      <c r="AX1245" s="1">
        <f>4064*10000</f>
        <v>40640000</v>
      </c>
      <c r="AY1245" s="10">
        <f t="shared" si="616"/>
        <v>-1.0297728937728938</v>
      </c>
      <c r="AZ1245" s="6">
        <f>-13.65*100000000</f>
        <v>-1365000000</v>
      </c>
      <c r="BA1245" s="6" t="str">
        <f t="shared" si="600"/>
        <v>=-1365000000</v>
      </c>
      <c r="BB1245" s="1">
        <f>-1365000000</f>
        <v>-1365000000</v>
      </c>
      <c r="BC1245" s="8">
        <f t="shared" si="617"/>
        <v>2.2939189189189189</v>
      </c>
      <c r="BD1245" s="6">
        <f>-4.144*100000000</f>
        <v>-414400000</v>
      </c>
      <c r="BE1245" s="6" t="str">
        <f t="shared" si="601"/>
        <v>=-414400000</v>
      </c>
      <c r="BF1245" s="1">
        <f>-414400000</f>
        <v>-414400000</v>
      </c>
      <c r="BG1245" s="8">
        <f t="shared" si="618"/>
        <v>1.7084967320261437</v>
      </c>
      <c r="BH1245" s="6">
        <f>-1.53*100000000</f>
        <v>-153000000</v>
      </c>
      <c r="BI1245" s="6" t="str">
        <f t="shared" si="602"/>
        <v>=-153000000</v>
      </c>
      <c r="BJ1245" s="1">
        <f>-153000000</f>
        <v>-153000000</v>
      </c>
      <c r="BK1245" s="7" t="s">
        <v>12513</v>
      </c>
      <c r="BL1245" s="1" t="str">
        <f t="shared" si="604"/>
        <v>=3028*10000</v>
      </c>
      <c r="BM1245" s="16">
        <f t="shared" si="619"/>
        <v>-6.0528401585204756</v>
      </c>
      <c r="BN1245" s="1">
        <f>3028*10000</f>
        <v>30280000</v>
      </c>
    </row>
    <row r="1246" spans="1:66">
      <c r="A1246" s="17">
        <v>313</v>
      </c>
      <c r="B1246">
        <v>601058</v>
      </c>
      <c r="C1246" t="s">
        <v>31</v>
      </c>
      <c r="D1246" s="6" t="s">
        <v>7340</v>
      </c>
      <c r="E1246" s="7" t="str">
        <f t="shared" si="603"/>
        <v>=180.0*100000000</v>
      </c>
      <c r="F1246" s="1">
        <f>180*100000000</f>
        <v>18000000000</v>
      </c>
      <c r="G1246" s="8">
        <f t="shared" si="605"/>
        <v>0.3595166163141994</v>
      </c>
      <c r="H1246" s="6" t="s">
        <v>3108</v>
      </c>
      <c r="I1246" s="6" t="str">
        <f t="shared" si="589"/>
        <v>=132.4*100000000</v>
      </c>
      <c r="J1246" s="1">
        <f>132.4*100000000</f>
        <v>13240000000</v>
      </c>
      <c r="K1246" s="10">
        <f t="shared" si="606"/>
        <v>0.53028201571890887</v>
      </c>
      <c r="L1246" s="6" t="s">
        <v>8553</v>
      </c>
      <c r="M1246" s="6" t="str">
        <f t="shared" si="590"/>
        <v>=86.52*100000000</v>
      </c>
      <c r="N1246" s="1">
        <f>86.52*100000000</f>
        <v>8652000000</v>
      </c>
      <c r="O1246" s="8">
        <f t="shared" si="607"/>
        <v>1.0853217642805495</v>
      </c>
      <c r="P1246" s="6" t="s">
        <v>12514</v>
      </c>
      <c r="Q1246" s="6" t="str">
        <f t="shared" si="591"/>
        <v>=41.49*100000000</v>
      </c>
      <c r="R1246" s="11">
        <f>41.49*100000000</f>
        <v>4149000000</v>
      </c>
      <c r="S1246" s="8">
        <f t="shared" si="608"/>
        <v>-0.73058441558441556</v>
      </c>
      <c r="T1246" s="6" t="s">
        <v>12515</v>
      </c>
      <c r="U1246" s="6" t="str">
        <f t="shared" si="592"/>
        <v>=154.0*100000000</v>
      </c>
      <c r="V1246" s="1">
        <f>154*100000000</f>
        <v>15400000000</v>
      </c>
      <c r="W1246" s="8">
        <f t="shared" si="609"/>
        <v>0.37992831541218636</v>
      </c>
      <c r="X1246" s="6" t="s">
        <v>1909</v>
      </c>
      <c r="Y1246" s="6" t="str">
        <f t="shared" si="593"/>
        <v>=111.6*100000000</v>
      </c>
      <c r="Z1246" s="1">
        <f>111.6*100000000</f>
        <v>11160000000</v>
      </c>
      <c r="AA1246" s="8">
        <f t="shared" si="610"/>
        <v>0.64165931156222422</v>
      </c>
      <c r="AB1246" s="6" t="s">
        <v>12516</v>
      </c>
      <c r="AC1246" s="6" t="str">
        <f t="shared" si="594"/>
        <v>=67.98*100000000</v>
      </c>
      <c r="AD1246" s="1">
        <f>67.98*100000000</f>
        <v>6798000000</v>
      </c>
      <c r="AE1246" s="8">
        <f t="shared" si="611"/>
        <v>1.1007416563658838</v>
      </c>
      <c r="AF1246" s="6" t="s">
        <v>4986</v>
      </c>
      <c r="AG1246" s="6" t="str">
        <f t="shared" si="595"/>
        <v>=32.36*100000000</v>
      </c>
      <c r="AH1246" s="1">
        <f>32.36*100000000</f>
        <v>3236000000</v>
      </c>
      <c r="AI1246" s="8">
        <f t="shared" si="612"/>
        <v>-0.78612029081295443</v>
      </c>
      <c r="AJ1246" s="6" t="s">
        <v>439</v>
      </c>
      <c r="AK1246" s="6" t="str">
        <f t="shared" si="596"/>
        <v>=151.3*100000000</v>
      </c>
      <c r="AL1246" s="1">
        <f>151.3*100000000</f>
        <v>15130000000.000002</v>
      </c>
      <c r="AM1246" s="8">
        <f t="shared" si="613"/>
        <v>0.33539276257722878</v>
      </c>
      <c r="AN1246" s="6" t="s">
        <v>9417</v>
      </c>
      <c r="AO1246" s="6" t="str">
        <f t="shared" si="597"/>
        <v>=113.3*100000000</v>
      </c>
      <c r="AP1246" s="1">
        <f>113.3*100000000</f>
        <v>11330000000</v>
      </c>
      <c r="AQ1246" s="8">
        <f t="shared" si="614"/>
        <v>0.59757473209249856</v>
      </c>
      <c r="AR1246" s="6" t="s">
        <v>12517</v>
      </c>
      <c r="AS1246" s="6" t="str">
        <f t="shared" si="598"/>
        <v>=70.92*100000000</v>
      </c>
      <c r="AT1246" s="1">
        <f>70.92*100000000</f>
        <v>7092000000</v>
      </c>
      <c r="AU1246" s="8">
        <f t="shared" si="615"/>
        <v>1.1057007125890737</v>
      </c>
      <c r="AV1246" s="6" t="s">
        <v>4217</v>
      </c>
      <c r="AW1246" s="6" t="str">
        <f t="shared" si="599"/>
        <v>=33.68*100000000</v>
      </c>
      <c r="AX1246" s="1">
        <f>33.68*100000000</f>
        <v>3368000000</v>
      </c>
      <c r="AY1246" s="10">
        <f t="shared" si="616"/>
        <v>-0.75380116959064336</v>
      </c>
      <c r="AZ1246" s="6" t="s">
        <v>12518</v>
      </c>
      <c r="BA1246" s="6" t="str">
        <f t="shared" si="600"/>
        <v>=136.8*100000000</v>
      </c>
      <c r="BB1246" s="1">
        <f>136.8*100000000</f>
        <v>13680000000.000002</v>
      </c>
      <c r="BC1246" s="8">
        <f t="shared" si="617"/>
        <v>0.33073929961089515</v>
      </c>
      <c r="BD1246" s="6" t="s">
        <v>12519</v>
      </c>
      <c r="BE1246" s="6" t="str">
        <f t="shared" si="601"/>
        <v>=102.8*100000000</v>
      </c>
      <c r="BF1246" s="1">
        <f>102.8*100000000</f>
        <v>10280000000</v>
      </c>
      <c r="BG1246" s="8">
        <f t="shared" si="618"/>
        <v>0.56587966488956565</v>
      </c>
      <c r="BH1246" s="6" t="s">
        <v>8788</v>
      </c>
      <c r="BI1246" s="6" t="str">
        <f t="shared" si="602"/>
        <v>=65.65*100000000</v>
      </c>
      <c r="BJ1246" s="1">
        <f>65.65*100000000</f>
        <v>6565000000.000001</v>
      </c>
      <c r="BK1246" s="6" t="s">
        <v>1791</v>
      </c>
      <c r="BL1246" s="1" t="str">
        <f t="shared" si="604"/>
        <v>=30.30*100000000</v>
      </c>
      <c r="BM1246" s="16">
        <f t="shared" si="619"/>
        <v>1.166666666666667</v>
      </c>
      <c r="BN1246" s="1">
        <f>30.3*100000000</f>
        <v>3030000000</v>
      </c>
    </row>
    <row r="1247" spans="1:66">
      <c r="A1247" s="18"/>
      <c r="B1247">
        <v>601058</v>
      </c>
      <c r="C1247" t="s">
        <v>48</v>
      </c>
      <c r="D1247" s="6" t="s">
        <v>1357</v>
      </c>
      <c r="E1247" s="7" t="str">
        <f t="shared" si="603"/>
        <v>=13.49*100000000</v>
      </c>
      <c r="F1247" s="1">
        <f>13.49*100000000</f>
        <v>1349000000</v>
      </c>
      <c r="G1247" s="8">
        <f t="shared" si="605"/>
        <v>0.28476190476190477</v>
      </c>
      <c r="H1247" s="6" t="s">
        <v>2851</v>
      </c>
      <c r="I1247" s="6" t="str">
        <f t="shared" si="589"/>
        <v>=10.50*100000000</v>
      </c>
      <c r="J1247" s="1">
        <f>10.5*100000000</f>
        <v>1050000000</v>
      </c>
      <c r="K1247" s="10">
        <f t="shared" si="606"/>
        <v>0.38504155124653738</v>
      </c>
      <c r="L1247" s="6" t="s">
        <v>12520</v>
      </c>
      <c r="M1247" s="6" t="str">
        <f t="shared" si="590"/>
        <v>=7.581*100000000</v>
      </c>
      <c r="N1247" s="1">
        <f>7.581*100000000</f>
        <v>758100000</v>
      </c>
      <c r="O1247" s="8">
        <f t="shared" si="607"/>
        <v>0.75242718446601964</v>
      </c>
      <c r="P1247" s="6" t="s">
        <v>12521</v>
      </c>
      <c r="Q1247" s="6" t="str">
        <f t="shared" si="591"/>
        <v>=4.326*100000000</v>
      </c>
      <c r="R1247" s="11">
        <f>4.326*100000000</f>
        <v>432599999.99999994</v>
      </c>
      <c r="S1247" s="8">
        <f t="shared" si="608"/>
        <v>-0.75336374002280504</v>
      </c>
      <c r="T1247" s="6" t="s">
        <v>8971</v>
      </c>
      <c r="U1247" s="6" t="str">
        <f t="shared" si="592"/>
        <v>=17.54*100000000</v>
      </c>
      <c r="V1247" s="1">
        <f>17.54*100000000</f>
        <v>1754000000</v>
      </c>
      <c r="W1247" s="8">
        <f t="shared" si="609"/>
        <v>0.3138576779026217</v>
      </c>
      <c r="X1247" s="6" t="s">
        <v>227</v>
      </c>
      <c r="Y1247" s="6" t="str">
        <f t="shared" si="593"/>
        <v>=13.35*100000000</v>
      </c>
      <c r="Z1247" s="1">
        <f>13.35*100000000</f>
        <v>1335000000</v>
      </c>
      <c r="AA1247" s="8">
        <f t="shared" si="610"/>
        <v>0.83505154639175261</v>
      </c>
      <c r="AB1247" s="6" t="s">
        <v>12522</v>
      </c>
      <c r="AC1247" s="6" t="str">
        <f t="shared" si="594"/>
        <v>=7.275*100000000</v>
      </c>
      <c r="AD1247" s="1">
        <f>7.275*100000000</f>
        <v>727500000</v>
      </c>
      <c r="AE1247" s="8">
        <f t="shared" si="611"/>
        <v>1.4185505319148937</v>
      </c>
      <c r="AF1247" s="6" t="s">
        <v>2332</v>
      </c>
      <c r="AG1247" s="6" t="str">
        <f t="shared" si="595"/>
        <v>=3.008*100000000</v>
      </c>
      <c r="AH1247" s="1">
        <f>3.008*100000000</f>
        <v>300800000</v>
      </c>
      <c r="AI1247" s="8">
        <f t="shared" si="612"/>
        <v>-0.77468164794007488</v>
      </c>
      <c r="AJ1247" s="6" t="s">
        <v>227</v>
      </c>
      <c r="AK1247" s="6" t="str">
        <f t="shared" si="596"/>
        <v>=13.35*100000000</v>
      </c>
      <c r="AL1247" s="1">
        <f>13.35*100000000</f>
        <v>1335000000</v>
      </c>
      <c r="AM1247" s="8">
        <f t="shared" si="613"/>
        <v>0.21363636363636362</v>
      </c>
      <c r="AN1247" s="6" t="s">
        <v>4155</v>
      </c>
      <c r="AO1247" s="6" t="str">
        <f t="shared" si="597"/>
        <v>=11.00*100000000</v>
      </c>
      <c r="AP1247" s="1">
        <f>11*100000000</f>
        <v>1100000000</v>
      </c>
      <c r="AQ1247" s="8">
        <f t="shared" si="614"/>
        <v>0.91337623934597323</v>
      </c>
      <c r="AR1247" s="6" t="s">
        <v>12523</v>
      </c>
      <c r="AS1247" s="6" t="str">
        <f t="shared" si="598"/>
        <v>=5.749*100000000</v>
      </c>
      <c r="AT1247" s="1">
        <f>5.749*100000000</f>
        <v>574900000</v>
      </c>
      <c r="AU1247" s="8">
        <f t="shared" si="615"/>
        <v>1.6665120593692022</v>
      </c>
      <c r="AV1247" s="6" t="s">
        <v>7911</v>
      </c>
      <c r="AW1247" s="6" t="str">
        <f t="shared" si="599"/>
        <v>=2.156*100000000</v>
      </c>
      <c r="AX1247" s="1">
        <f>2.156*100000000</f>
        <v>215600000</v>
      </c>
      <c r="AY1247" s="10">
        <f t="shared" si="616"/>
        <v>-0.70666666666666667</v>
      </c>
      <c r="AZ1247" s="6" t="s">
        <v>2060</v>
      </c>
      <c r="BA1247" s="6" t="str">
        <f t="shared" si="600"/>
        <v>=7.350*100000000</v>
      </c>
      <c r="BB1247" s="1">
        <f>7.35*100000000</f>
        <v>735000000</v>
      </c>
      <c r="BC1247" s="8">
        <f t="shared" si="617"/>
        <v>0.171875</v>
      </c>
      <c r="BD1247" s="6" t="s">
        <v>12524</v>
      </c>
      <c r="BE1247" s="6" t="str">
        <f t="shared" si="601"/>
        <v>=6.272*100000000</v>
      </c>
      <c r="BF1247" s="1">
        <f>6.272*100000000</f>
        <v>627200000</v>
      </c>
      <c r="BG1247" s="8">
        <f t="shared" si="618"/>
        <v>0.70666666666666667</v>
      </c>
      <c r="BH1247" s="6" t="s">
        <v>3988</v>
      </c>
      <c r="BI1247" s="6" t="str">
        <f t="shared" si="602"/>
        <v>=3.675*100000000</v>
      </c>
      <c r="BJ1247" s="1">
        <f>3.675*100000000</f>
        <v>367500000</v>
      </c>
      <c r="BK1247" s="6" t="s">
        <v>6039</v>
      </c>
      <c r="BL1247" s="1" t="str">
        <f t="shared" si="604"/>
        <v>=1.359*100000000</v>
      </c>
      <c r="BM1247" s="16">
        <f t="shared" si="619"/>
        <v>1.7041942604856513</v>
      </c>
      <c r="BN1247" s="1">
        <f>1.359*100000000</f>
        <v>135900000</v>
      </c>
    </row>
    <row r="1248" spans="1:66">
      <c r="A1248" s="18"/>
      <c r="B1248">
        <v>601058</v>
      </c>
      <c r="C1248" t="s">
        <v>58</v>
      </c>
      <c r="D1248" s="6" t="s">
        <v>2634</v>
      </c>
      <c r="E1248" s="7" t="str">
        <f t="shared" si="603"/>
        <v>=13.81*100000000</v>
      </c>
      <c r="F1248" s="1">
        <f>13.81*100000000</f>
        <v>1381000000</v>
      </c>
      <c r="G1248" s="8">
        <f t="shared" si="605"/>
        <v>0.29428303655107779</v>
      </c>
      <c r="H1248" s="6" t="s">
        <v>3747</v>
      </c>
      <c r="I1248" s="6" t="str">
        <f t="shared" si="589"/>
        <v>=10.67*100000000</v>
      </c>
      <c r="J1248" s="1">
        <f>10.67*100000000</f>
        <v>1067000000</v>
      </c>
      <c r="K1248" s="10">
        <f t="shared" si="606"/>
        <v>0.41118899616452848</v>
      </c>
      <c r="L1248" s="6" t="s">
        <v>5124</v>
      </c>
      <c r="M1248" s="6" t="str">
        <f t="shared" si="590"/>
        <v>=7.561*100000000</v>
      </c>
      <c r="N1248" s="1">
        <f>7.561*100000000</f>
        <v>756100000</v>
      </c>
      <c r="O1248" s="8">
        <f t="shared" si="607"/>
        <v>0.74538319482917825</v>
      </c>
      <c r="P1248" s="6" t="s">
        <v>12525</v>
      </c>
      <c r="Q1248" s="6" t="str">
        <f t="shared" si="591"/>
        <v>=4.332*100000000</v>
      </c>
      <c r="R1248" s="11">
        <f>4.332*100000000</f>
        <v>433200000</v>
      </c>
      <c r="S1248" s="8">
        <f t="shared" si="608"/>
        <v>-0.74828588030214993</v>
      </c>
      <c r="T1248" s="6" t="s">
        <v>7764</v>
      </c>
      <c r="U1248" s="6" t="str">
        <f t="shared" si="592"/>
        <v>=17.21*100000000</v>
      </c>
      <c r="V1248" s="1">
        <f>17.21*100000000</f>
        <v>1721000000</v>
      </c>
      <c r="W1248" s="8">
        <f t="shared" si="609"/>
        <v>0.31374045801526718</v>
      </c>
      <c r="X1248" s="6" t="s">
        <v>12526</v>
      </c>
      <c r="Y1248" s="6" t="str">
        <f t="shared" si="593"/>
        <v>=13.10*100000000</v>
      </c>
      <c r="Z1248" s="1">
        <f>13.1*100000000</f>
        <v>1310000000</v>
      </c>
      <c r="AA1248" s="8">
        <f t="shared" si="610"/>
        <v>0.86849236913421768</v>
      </c>
      <c r="AB1248" s="6" t="s">
        <v>7802</v>
      </c>
      <c r="AC1248" s="6" t="str">
        <f t="shared" si="594"/>
        <v>=7.011*100000000</v>
      </c>
      <c r="AD1248" s="1">
        <f>7.011*100000000</f>
        <v>701100000</v>
      </c>
      <c r="AE1248" s="8">
        <f t="shared" si="611"/>
        <v>1.3952852750256235</v>
      </c>
      <c r="AF1248" s="6" t="s">
        <v>12494</v>
      </c>
      <c r="AG1248" s="6" t="str">
        <f t="shared" si="595"/>
        <v>=2.927*100000000</v>
      </c>
      <c r="AH1248" s="1">
        <f>2.927*100000000</f>
        <v>292700000</v>
      </c>
      <c r="AI1248" s="8">
        <f t="shared" si="612"/>
        <v>-0.77859304084720116</v>
      </c>
      <c r="AJ1248" s="6" t="s">
        <v>12527</v>
      </c>
      <c r="AK1248" s="6" t="str">
        <f t="shared" si="596"/>
        <v>=13.22*100000000</v>
      </c>
      <c r="AL1248" s="1">
        <f>13.22*100000000</f>
        <v>1322000000</v>
      </c>
      <c r="AM1248" s="8">
        <f t="shared" si="613"/>
        <v>0.21173235563703025</v>
      </c>
      <c r="AN1248" s="6" t="s">
        <v>6805</v>
      </c>
      <c r="AO1248" s="6" t="str">
        <f t="shared" si="597"/>
        <v>=10.91*100000000</v>
      </c>
      <c r="AP1248" s="1">
        <f>10.91*100000000</f>
        <v>1091000000</v>
      </c>
      <c r="AQ1248" s="8">
        <f t="shared" si="614"/>
        <v>0.89442611564507724</v>
      </c>
      <c r="AR1248" s="6" t="s">
        <v>12528</v>
      </c>
      <c r="AS1248" s="6" t="str">
        <f t="shared" si="598"/>
        <v>=5.759*100000000</v>
      </c>
      <c r="AT1248" s="1">
        <f>5.759*100000000</f>
        <v>575900000</v>
      </c>
      <c r="AU1248" s="8">
        <f t="shared" si="615"/>
        <v>1.6502531063046479</v>
      </c>
      <c r="AV1248" s="6" t="s">
        <v>12529</v>
      </c>
      <c r="AW1248" s="6" t="str">
        <f t="shared" si="599"/>
        <v>=2.173*100000000</v>
      </c>
      <c r="AX1248" s="1">
        <f>2.173*100000000</f>
        <v>217300000</v>
      </c>
      <c r="AY1248" s="10">
        <f t="shared" si="616"/>
        <v>-0.69928037641848884</v>
      </c>
      <c r="AZ1248" s="6" t="s">
        <v>10103</v>
      </c>
      <c r="BA1248" s="6" t="str">
        <f t="shared" si="600"/>
        <v>=7.226*100000000</v>
      </c>
      <c r="BB1248" s="1">
        <f>7.226*100000000</f>
        <v>722600000</v>
      </c>
      <c r="BC1248" s="8">
        <f t="shared" si="617"/>
        <v>0.14281195634983393</v>
      </c>
      <c r="BD1248" s="6" t="s">
        <v>12530</v>
      </c>
      <c r="BE1248" s="6" t="str">
        <f t="shared" si="601"/>
        <v>=6.323*100000000</v>
      </c>
      <c r="BF1248" s="1">
        <f>6.323*100000000</f>
        <v>632300000</v>
      </c>
      <c r="BG1248" s="8">
        <f t="shared" si="618"/>
        <v>0.70018822264049474</v>
      </c>
      <c r="BH1248" s="6" t="s">
        <v>1976</v>
      </c>
      <c r="BI1248" s="6" t="str">
        <f t="shared" si="602"/>
        <v>=3.719*100000000</v>
      </c>
      <c r="BJ1248" s="1">
        <f>3.719*100000000</f>
        <v>371900000</v>
      </c>
      <c r="BK1248" s="6" t="s">
        <v>12531</v>
      </c>
      <c r="BL1248" s="1" t="str">
        <f t="shared" si="604"/>
        <v>=1.382*100000000</v>
      </c>
      <c r="BM1248" s="16">
        <f t="shared" si="619"/>
        <v>1.6910274963820551</v>
      </c>
      <c r="BN1248" s="1">
        <f>1.382*100000000</f>
        <v>138200000</v>
      </c>
    </row>
    <row r="1249" spans="1:66">
      <c r="A1249" s="19"/>
      <c r="B1249">
        <v>601058</v>
      </c>
      <c r="C1249" t="s">
        <v>68</v>
      </c>
      <c r="D1249" s="6" t="s">
        <v>6126</v>
      </c>
      <c r="E1249" s="7" t="str">
        <f t="shared" si="603"/>
        <v>=13.42*100000000</v>
      </c>
      <c r="F1249" s="1">
        <f>13.42*100000000</f>
        <v>1342000000</v>
      </c>
      <c r="G1249" s="8">
        <f t="shared" si="605"/>
        <v>0.32086614173228345</v>
      </c>
      <c r="H1249" s="6" t="s">
        <v>603</v>
      </c>
      <c r="I1249" s="6" t="str">
        <f t="shared" si="589"/>
        <v>=10.16*100000000</v>
      </c>
      <c r="J1249" s="1">
        <f>10.16*100000000</f>
        <v>1016000000</v>
      </c>
      <c r="K1249" s="10">
        <f t="shared" si="606"/>
        <v>0.42997888810696694</v>
      </c>
      <c r="L1249" s="6" t="s">
        <v>4429</v>
      </c>
      <c r="M1249" s="6" t="str">
        <f t="shared" si="590"/>
        <v>=7.105*100000000</v>
      </c>
      <c r="N1249" s="1">
        <f>7.105*100000000</f>
        <v>710500000</v>
      </c>
      <c r="O1249" s="8">
        <f t="shared" si="607"/>
        <v>0.76258992805755421</v>
      </c>
      <c r="P1249" s="6" t="s">
        <v>12532</v>
      </c>
      <c r="Q1249" s="6" t="str">
        <f t="shared" si="591"/>
        <v>=4.031*100000000</v>
      </c>
      <c r="R1249" s="11">
        <f>4.031*100000000</f>
        <v>403099999.99999994</v>
      </c>
      <c r="S1249" s="8">
        <f t="shared" si="608"/>
        <v>-0.73497698882314266</v>
      </c>
      <c r="T1249" s="6" t="s">
        <v>8044</v>
      </c>
      <c r="U1249" s="6" t="str">
        <f t="shared" si="592"/>
        <v>=15.21*100000000</v>
      </c>
      <c r="V1249" s="1">
        <f>15.21*100000000</f>
        <v>1521000000</v>
      </c>
      <c r="W1249" s="8">
        <f t="shared" si="609"/>
        <v>0.2813816343723673</v>
      </c>
      <c r="X1249" s="6" t="s">
        <v>3832</v>
      </c>
      <c r="Y1249" s="6" t="str">
        <f t="shared" si="593"/>
        <v>=11.87*100000000</v>
      </c>
      <c r="Z1249" s="1">
        <f>11.87*100000000</f>
        <v>1187000000</v>
      </c>
      <c r="AA1249" s="8">
        <f t="shared" si="610"/>
        <v>0.87490127941873319</v>
      </c>
      <c r="AB1249" s="6" t="s">
        <v>12533</v>
      </c>
      <c r="AC1249" s="6" t="str">
        <f t="shared" si="594"/>
        <v>=6.331*100000000</v>
      </c>
      <c r="AD1249" s="1">
        <f>6.331*100000000</f>
        <v>633100000</v>
      </c>
      <c r="AE1249" s="8">
        <f t="shared" si="611"/>
        <v>1.3544068426924507</v>
      </c>
      <c r="AF1249" s="6" t="s">
        <v>169</v>
      </c>
      <c r="AG1249" s="6" t="str">
        <f t="shared" si="595"/>
        <v>=2.689*100000000</v>
      </c>
      <c r="AH1249" s="1">
        <f>2.689*100000000</f>
        <v>268900000</v>
      </c>
      <c r="AI1249" s="8">
        <f t="shared" si="612"/>
        <v>-0.77422334172963891</v>
      </c>
      <c r="AJ1249" s="6" t="s">
        <v>1299</v>
      </c>
      <c r="AK1249" s="6" t="str">
        <f t="shared" si="596"/>
        <v>=11.91*100000000</v>
      </c>
      <c r="AL1249" s="1">
        <f>11.91*100000000</f>
        <v>1191000000</v>
      </c>
      <c r="AM1249" s="8">
        <f t="shared" si="613"/>
        <v>0.25632911392405061</v>
      </c>
      <c r="AN1249" s="6" t="s">
        <v>12534</v>
      </c>
      <c r="AO1249" s="6" t="str">
        <f t="shared" si="597"/>
        <v>=9.480*100000000</v>
      </c>
      <c r="AP1249" s="1">
        <f>9.48*100000000</f>
        <v>948000000</v>
      </c>
      <c r="AQ1249" s="8">
        <f t="shared" si="614"/>
        <v>0.87388812018185413</v>
      </c>
      <c r="AR1249" s="6" t="s">
        <v>11737</v>
      </c>
      <c r="AS1249" s="6" t="str">
        <f t="shared" si="598"/>
        <v>=5.059*100000000</v>
      </c>
      <c r="AT1249" s="1">
        <f>5.059*100000000</f>
        <v>505900000</v>
      </c>
      <c r="AU1249" s="8">
        <f t="shared" si="615"/>
        <v>1.7464712269272531</v>
      </c>
      <c r="AV1249" s="6" t="s">
        <v>12535</v>
      </c>
      <c r="AW1249" s="6" t="str">
        <f t="shared" si="599"/>
        <v>=1.842*100000000</v>
      </c>
      <c r="AX1249" s="1">
        <f>1.842*100000000</f>
        <v>184200000</v>
      </c>
      <c r="AY1249" s="10">
        <f t="shared" si="616"/>
        <v>-0.71959202313898618</v>
      </c>
      <c r="AZ1249" s="6" t="s">
        <v>8146</v>
      </c>
      <c r="BA1249" s="6" t="str">
        <f t="shared" si="600"/>
        <v>=6.569*100000000</v>
      </c>
      <c r="BB1249" s="1">
        <f>6.569*100000000</f>
        <v>656900000</v>
      </c>
      <c r="BC1249" s="8">
        <f t="shared" si="617"/>
        <v>0.24743638435244969</v>
      </c>
      <c r="BD1249" s="6" t="s">
        <v>8173</v>
      </c>
      <c r="BE1249" s="6" t="str">
        <f t="shared" si="601"/>
        <v>=5.266*100000000</v>
      </c>
      <c r="BF1249" s="1">
        <f>5.266*100000000</f>
        <v>526600000</v>
      </c>
      <c r="BG1249" s="8">
        <f t="shared" si="618"/>
        <v>0.61682529935523489</v>
      </c>
      <c r="BH1249" s="6" t="s">
        <v>11755</v>
      </c>
      <c r="BI1249" s="6" t="str">
        <f t="shared" si="602"/>
        <v>=3.257*100000000</v>
      </c>
      <c r="BJ1249" s="1">
        <f>3.257*100000000</f>
        <v>325700000</v>
      </c>
      <c r="BK1249" s="6" t="s">
        <v>8073</v>
      </c>
      <c r="BL1249" s="1" t="str">
        <f t="shared" si="604"/>
        <v>=1.249*100000000</v>
      </c>
      <c r="BM1249" s="16">
        <f t="shared" si="619"/>
        <v>1.6076861489191352</v>
      </c>
      <c r="BN1249" s="1">
        <f>1.249*100000000</f>
        <v>124900000.00000001</v>
      </c>
    </row>
    <row r="1250" spans="1:66">
      <c r="A1250" s="17">
        <v>314</v>
      </c>
      <c r="B1250">
        <v>601066</v>
      </c>
      <c r="C1250" t="s">
        <v>31</v>
      </c>
      <c r="D1250" s="6" t="s">
        <v>12536</v>
      </c>
      <c r="E1250" s="7" t="str">
        <f t="shared" si="603"/>
        <v>=298.7*100000000</v>
      </c>
      <c r="F1250" s="1">
        <f>298.7*100000000</f>
        <v>29870000000</v>
      </c>
      <c r="G1250" s="8">
        <f t="shared" si="605"/>
        <v>0.4492964580300825</v>
      </c>
      <c r="H1250" s="6" t="s">
        <v>7888</v>
      </c>
      <c r="I1250" s="6" t="str">
        <f t="shared" si="589"/>
        <v>=206.1*100000000</v>
      </c>
      <c r="J1250" s="1">
        <f>206.1*100000000</f>
        <v>20610000000</v>
      </c>
      <c r="K1250" s="10">
        <f t="shared" si="606"/>
        <v>0.67153284671532842</v>
      </c>
      <c r="L1250" s="6" t="s">
        <v>9420</v>
      </c>
      <c r="M1250" s="6" t="str">
        <f t="shared" si="590"/>
        <v>=123.3*100000000</v>
      </c>
      <c r="N1250" s="1">
        <f>123.3*100000000</f>
        <v>12330000000</v>
      </c>
      <c r="O1250" s="8">
        <f t="shared" si="607"/>
        <v>1.5666111573688593</v>
      </c>
      <c r="P1250" s="6" t="s">
        <v>12117</v>
      </c>
      <c r="Q1250" s="6" t="str">
        <f t="shared" si="591"/>
        <v>=48.04*100000000</v>
      </c>
      <c r="R1250" s="11">
        <f>48.04*100000000</f>
        <v>4804000000</v>
      </c>
      <c r="S1250" s="8">
        <f t="shared" si="608"/>
        <v>-0.79426124197002146</v>
      </c>
      <c r="T1250" s="6" t="s">
        <v>12537</v>
      </c>
      <c r="U1250" s="6" t="str">
        <f t="shared" si="592"/>
        <v>=233.5*100000000</v>
      </c>
      <c r="V1250" s="1">
        <f>233.5*100000000</f>
        <v>23350000000</v>
      </c>
      <c r="W1250" s="8">
        <f t="shared" si="609"/>
        <v>0.47225725094577553</v>
      </c>
      <c r="X1250" s="6" t="s">
        <v>11102</v>
      </c>
      <c r="Y1250" s="6" t="str">
        <f t="shared" si="593"/>
        <v>=158.6*100000000</v>
      </c>
      <c r="Z1250" s="1">
        <f>158.6*100000000</f>
        <v>15860000000</v>
      </c>
      <c r="AA1250" s="8">
        <f t="shared" si="610"/>
        <v>0.60202020202020201</v>
      </c>
      <c r="AB1250" s="6" t="s">
        <v>9423</v>
      </c>
      <c r="AC1250" s="6" t="str">
        <f t="shared" si="594"/>
        <v>=99.00*100000000</v>
      </c>
      <c r="AD1250" s="1">
        <f>99*100000000</f>
        <v>9900000000</v>
      </c>
      <c r="AE1250" s="8">
        <f t="shared" si="611"/>
        <v>1.2592423550890004</v>
      </c>
      <c r="AF1250" s="6" t="s">
        <v>12538</v>
      </c>
      <c r="AG1250" s="6" t="str">
        <f t="shared" si="595"/>
        <v>=43.82*100000000</v>
      </c>
      <c r="AH1250" s="1">
        <f>43.82*100000000</f>
        <v>4382000000</v>
      </c>
      <c r="AI1250" s="8">
        <f t="shared" si="612"/>
        <v>-0.67991234477720963</v>
      </c>
      <c r="AJ1250" s="6" t="s">
        <v>1149</v>
      </c>
      <c r="AK1250" s="6" t="str">
        <f t="shared" si="596"/>
        <v>=136.9*100000000</v>
      </c>
      <c r="AL1250" s="1">
        <f>136.9*100000000</f>
        <v>13690000000</v>
      </c>
      <c r="AM1250" s="8">
        <f t="shared" si="613"/>
        <v>0.41177683819738065</v>
      </c>
      <c r="AN1250" s="6" t="s">
        <v>12539</v>
      </c>
      <c r="AO1250" s="6" t="str">
        <f t="shared" si="597"/>
        <v>=96.97*100000000</v>
      </c>
      <c r="AP1250" s="1">
        <f>96.97*100000000</f>
        <v>9697000000</v>
      </c>
      <c r="AQ1250" s="8">
        <f t="shared" si="614"/>
        <v>0.64188960379275317</v>
      </c>
      <c r="AR1250" s="6" t="s">
        <v>12261</v>
      </c>
      <c r="AS1250" s="6" t="str">
        <f t="shared" si="598"/>
        <v>=59.06*100000000</v>
      </c>
      <c r="AT1250" s="1">
        <f>59.06*100000000</f>
        <v>5906000000</v>
      </c>
      <c r="AU1250" s="8">
        <f t="shared" si="615"/>
        <v>0.90025740025740031</v>
      </c>
      <c r="AV1250" s="6" t="s">
        <v>12540</v>
      </c>
      <c r="AW1250" s="6" t="str">
        <f t="shared" si="599"/>
        <v>=31.08*100000000</v>
      </c>
      <c r="AX1250" s="1">
        <f>31.08*100000000</f>
        <v>3108000000</v>
      </c>
      <c r="AY1250" s="10">
        <f t="shared" si="616"/>
        <v>-0.71512373968835929</v>
      </c>
      <c r="AZ1250" s="6" t="s">
        <v>3228</v>
      </c>
      <c r="BA1250" s="6" t="str">
        <f t="shared" si="600"/>
        <v>=109.1*100000000</v>
      </c>
      <c r="BB1250" s="1">
        <f>109.1*100000000</f>
        <v>10910000000</v>
      </c>
      <c r="BC1250" s="8">
        <f t="shared" si="617"/>
        <v>0.39674817564972475</v>
      </c>
      <c r="BD1250" s="6" t="s">
        <v>12541</v>
      </c>
      <c r="BE1250" s="6" t="str">
        <f t="shared" si="601"/>
        <v>=78.11*100000000</v>
      </c>
      <c r="BF1250" s="1">
        <f>78.11*100000000</f>
        <v>7811000000</v>
      </c>
      <c r="BG1250" s="8">
        <f t="shared" si="618"/>
        <v>0.48413452403572105</v>
      </c>
      <c r="BH1250" s="6" t="s">
        <v>10167</v>
      </c>
      <c r="BI1250" s="6" t="str">
        <f t="shared" si="602"/>
        <v>=52.63*100000000</v>
      </c>
      <c r="BJ1250" s="1">
        <f>52.63*100000000</f>
        <v>5263000000</v>
      </c>
      <c r="BK1250" s="6" t="s">
        <v>704</v>
      </c>
      <c r="BL1250" s="1" t="str">
        <f t="shared" si="604"/>
        <v>=27.49*100000000</v>
      </c>
      <c r="BM1250" s="16">
        <f t="shared" si="619"/>
        <v>0.91451436886140414</v>
      </c>
      <c r="BN1250" s="1">
        <f>27.49*100000000</f>
        <v>2749000000</v>
      </c>
    </row>
    <row r="1251" spans="1:66">
      <c r="A1251" s="18"/>
      <c r="B1251">
        <v>601066</v>
      </c>
      <c r="C1251" t="s">
        <v>48</v>
      </c>
      <c r="D1251" s="6" t="s">
        <v>12542</v>
      </c>
      <c r="E1251" s="7" t="str">
        <f t="shared" si="603"/>
        <v>=130.4*100000000</v>
      </c>
      <c r="F1251" s="1">
        <f>130.4*100000000</f>
        <v>13040000000</v>
      </c>
      <c r="G1251" s="8">
        <f t="shared" si="605"/>
        <v>0.420479302832244</v>
      </c>
      <c r="H1251" s="6" t="s">
        <v>12543</v>
      </c>
      <c r="I1251" s="6" t="str">
        <f t="shared" si="589"/>
        <v>=91.80*100000000</v>
      </c>
      <c r="J1251" s="1">
        <f>91.8*100000000</f>
        <v>9180000000</v>
      </c>
      <c r="K1251" s="10">
        <f t="shared" si="606"/>
        <v>0.62276825172352834</v>
      </c>
      <c r="L1251" s="6" t="s">
        <v>12544</v>
      </c>
      <c r="M1251" s="6" t="str">
        <f t="shared" si="590"/>
        <v>=56.57*100000000</v>
      </c>
      <c r="N1251" s="1">
        <f>56.57*100000000</f>
        <v>5657000000</v>
      </c>
      <c r="O1251" s="8">
        <f t="shared" si="607"/>
        <v>1.760858955588092</v>
      </c>
      <c r="P1251" s="6" t="s">
        <v>1192</v>
      </c>
      <c r="Q1251" s="6" t="str">
        <f t="shared" si="591"/>
        <v>=20.49*100000000</v>
      </c>
      <c r="R1251" s="11">
        <f>20.49*100000000</f>
        <v>2048999999.9999998</v>
      </c>
      <c r="S1251" s="8">
        <f t="shared" si="608"/>
        <v>-0.83163516844700081</v>
      </c>
      <c r="T1251" s="6" t="s">
        <v>7222</v>
      </c>
      <c r="U1251" s="6" t="str">
        <f t="shared" si="592"/>
        <v>=121.7*100000000</v>
      </c>
      <c r="V1251" s="1">
        <f>121.7*100000000</f>
        <v>12170000000</v>
      </c>
      <c r="W1251" s="8">
        <f t="shared" si="609"/>
        <v>0.26929495202336251</v>
      </c>
      <c r="X1251" s="6" t="s">
        <v>12379</v>
      </c>
      <c r="Y1251" s="6" t="str">
        <f t="shared" si="593"/>
        <v>=95.88*100000000</v>
      </c>
      <c r="Z1251" s="1">
        <f>95.88*100000000</f>
        <v>9588000000</v>
      </c>
      <c r="AA1251" s="8">
        <f t="shared" si="610"/>
        <v>0.62591148041376976</v>
      </c>
      <c r="AB1251" s="6" t="s">
        <v>12545</v>
      </c>
      <c r="AC1251" s="6" t="str">
        <f t="shared" si="594"/>
        <v>=58.97*100000000</v>
      </c>
      <c r="AD1251" s="1">
        <f>58.97*100000000</f>
        <v>5897000000</v>
      </c>
      <c r="AE1251" s="8">
        <f t="shared" si="611"/>
        <v>1.3578568572570973</v>
      </c>
      <c r="AF1251" s="6" t="s">
        <v>12546</v>
      </c>
      <c r="AG1251" s="6" t="str">
        <f t="shared" si="595"/>
        <v>=25.01*100000000</v>
      </c>
      <c r="AH1251" s="1">
        <f>25.01*100000000</f>
        <v>2501000000</v>
      </c>
      <c r="AI1251" s="8">
        <f t="shared" si="612"/>
        <v>-0.65094207955338457</v>
      </c>
      <c r="AJ1251" s="6" t="s">
        <v>12547</v>
      </c>
      <c r="AK1251" s="6" t="str">
        <f t="shared" si="596"/>
        <v>=71.65*100000000</v>
      </c>
      <c r="AL1251" s="1">
        <f>71.65*100000000</f>
        <v>7165000000.000001</v>
      </c>
      <c r="AM1251" s="8">
        <f t="shared" si="613"/>
        <v>0.41656781336496657</v>
      </c>
      <c r="AN1251" s="6" t="s">
        <v>12548</v>
      </c>
      <c r="AO1251" s="6" t="str">
        <f t="shared" si="597"/>
        <v>=50.58*100000000</v>
      </c>
      <c r="AP1251" s="1">
        <f>50.58*100000000</f>
        <v>5058000000</v>
      </c>
      <c r="AQ1251" s="8">
        <f t="shared" si="614"/>
        <v>0.65456329735034346</v>
      </c>
      <c r="AR1251" s="6" t="s">
        <v>12549</v>
      </c>
      <c r="AS1251" s="6" t="str">
        <f t="shared" si="598"/>
        <v>=30.57*100000000</v>
      </c>
      <c r="AT1251" s="1">
        <f>30.57*100000000</f>
        <v>3057000000</v>
      </c>
      <c r="AU1251" s="8">
        <f t="shared" si="615"/>
        <v>0.5392749244712991</v>
      </c>
      <c r="AV1251" s="6" t="s">
        <v>6477</v>
      </c>
      <c r="AW1251" s="6" t="str">
        <f t="shared" si="599"/>
        <v>=19.86*100000000</v>
      </c>
      <c r="AX1251" s="1">
        <f>19.86*100000000</f>
        <v>1986000000</v>
      </c>
      <c r="AY1251" s="10">
        <f t="shared" si="616"/>
        <v>-0.50853749072011878</v>
      </c>
      <c r="AZ1251" s="6" t="s">
        <v>12550</v>
      </c>
      <c r="BA1251" s="6" t="str">
        <f t="shared" si="600"/>
        <v>=40.41*100000000</v>
      </c>
      <c r="BB1251" s="1">
        <f>40.41*100000000</f>
        <v>4040999999.9999995</v>
      </c>
      <c r="BC1251" s="8">
        <f t="shared" si="617"/>
        <v>0.38437821171634107</v>
      </c>
      <c r="BD1251" s="6" t="s">
        <v>12551</v>
      </c>
      <c r="BE1251" s="6" t="str">
        <f t="shared" si="601"/>
        <v>=29.19*100000000</v>
      </c>
      <c r="BF1251" s="1">
        <f>29.19*100000000</f>
        <v>2919000000</v>
      </c>
      <c r="BG1251" s="8">
        <f t="shared" si="618"/>
        <v>0.30779569892473119</v>
      </c>
      <c r="BH1251" s="6" t="s">
        <v>12552</v>
      </c>
      <c r="BI1251" s="6" t="str">
        <f t="shared" si="602"/>
        <v>=22.32*100000000</v>
      </c>
      <c r="BJ1251" s="1">
        <f>22.32*100000000</f>
        <v>2232000000</v>
      </c>
      <c r="BK1251" s="6" t="s">
        <v>11569</v>
      </c>
      <c r="BL1251" s="1" t="str">
        <f t="shared" si="604"/>
        <v>=13.02*100000000</v>
      </c>
      <c r="BM1251" s="16">
        <f t="shared" si="619"/>
        <v>0.7142857142857143</v>
      </c>
      <c r="BN1251" s="1">
        <f>13.02*100000000</f>
        <v>1302000000</v>
      </c>
    </row>
    <row r="1252" spans="1:66">
      <c r="A1252" s="18"/>
      <c r="B1252">
        <v>601066</v>
      </c>
      <c r="C1252" t="s">
        <v>58</v>
      </c>
      <c r="D1252" s="6" t="s">
        <v>7416</v>
      </c>
      <c r="E1252" s="7" t="str">
        <f t="shared" si="603"/>
        <v>=130.2*100000000</v>
      </c>
      <c r="F1252" s="1">
        <f>130.2*100000000</f>
        <v>13019999999.999998</v>
      </c>
      <c r="G1252" s="8">
        <f t="shared" si="605"/>
        <v>0.42077695329550396</v>
      </c>
      <c r="H1252" s="6" t="s">
        <v>12553</v>
      </c>
      <c r="I1252" s="6" t="str">
        <f t="shared" si="589"/>
        <v>=91.64*100000000</v>
      </c>
      <c r="J1252" s="1">
        <f>91.64*100000000</f>
        <v>9164000000</v>
      </c>
      <c r="K1252" s="10">
        <f t="shared" si="606"/>
        <v>0.61908127208480568</v>
      </c>
      <c r="L1252" s="6" t="s">
        <v>12554</v>
      </c>
      <c r="M1252" s="6" t="str">
        <f t="shared" si="590"/>
        <v>=56.60*100000000</v>
      </c>
      <c r="N1252" s="1">
        <f>56.6*100000000</f>
        <v>5660000000</v>
      </c>
      <c r="O1252" s="8">
        <f t="shared" si="607"/>
        <v>1.763671875</v>
      </c>
      <c r="P1252" s="6" t="s">
        <v>9130</v>
      </c>
      <c r="Q1252" s="6" t="str">
        <f t="shared" si="591"/>
        <v>=20.48*100000000</v>
      </c>
      <c r="R1252" s="11">
        <f>20.48*100000000</f>
        <v>2048000000</v>
      </c>
      <c r="S1252" s="8">
        <f t="shared" si="608"/>
        <v>-0.83116240725474033</v>
      </c>
      <c r="T1252" s="6" t="s">
        <v>12555</v>
      </c>
      <c r="U1252" s="6" t="str">
        <f t="shared" si="592"/>
        <v>=121.3*100000000</v>
      </c>
      <c r="V1252" s="1">
        <f>121.3*100000000</f>
        <v>12130000000</v>
      </c>
      <c r="W1252" s="8">
        <f t="shared" si="609"/>
        <v>0.26896118840882938</v>
      </c>
      <c r="X1252" s="6" t="s">
        <v>12556</v>
      </c>
      <c r="Y1252" s="6" t="str">
        <f t="shared" si="593"/>
        <v>=95.59*100000000</v>
      </c>
      <c r="Z1252" s="1">
        <f>95.59*100000000</f>
        <v>9559000000</v>
      </c>
      <c r="AA1252" s="8">
        <f t="shared" si="610"/>
        <v>0.6287272107684444</v>
      </c>
      <c r="AB1252" s="6" t="s">
        <v>12557</v>
      </c>
      <c r="AC1252" s="6" t="str">
        <f t="shared" si="594"/>
        <v>=58.69*100000000</v>
      </c>
      <c r="AD1252" s="1">
        <f>58.69*100000000</f>
        <v>5869000000</v>
      </c>
      <c r="AE1252" s="8">
        <f t="shared" si="611"/>
        <v>1.3532477947072976</v>
      </c>
      <c r="AF1252" s="6" t="s">
        <v>12558</v>
      </c>
      <c r="AG1252" s="6" t="str">
        <f t="shared" si="595"/>
        <v>=24.94*100000000</v>
      </c>
      <c r="AH1252" s="1">
        <f>24.94*100000000</f>
        <v>2494000000</v>
      </c>
      <c r="AI1252" s="8">
        <f t="shared" si="612"/>
        <v>-0.65138384120771597</v>
      </c>
      <c r="AJ1252" s="6" t="s">
        <v>12559</v>
      </c>
      <c r="AK1252" s="6" t="str">
        <f t="shared" si="596"/>
        <v>=71.54*100000000</v>
      </c>
      <c r="AL1252" s="1">
        <f>71.54*100000000</f>
        <v>7154000000.000001</v>
      </c>
      <c r="AM1252" s="8">
        <f t="shared" si="613"/>
        <v>0.41551246537396141</v>
      </c>
      <c r="AN1252" s="6" t="s">
        <v>12560</v>
      </c>
      <c r="AO1252" s="6" t="str">
        <f t="shared" si="597"/>
        <v>=50.54*100000000</v>
      </c>
      <c r="AP1252" s="1">
        <f>50.54*100000000</f>
        <v>5054000000</v>
      </c>
      <c r="AQ1252" s="8">
        <f t="shared" si="614"/>
        <v>0.64893964110929858</v>
      </c>
      <c r="AR1252" s="6" t="s">
        <v>12561</v>
      </c>
      <c r="AS1252" s="6" t="str">
        <f t="shared" si="598"/>
        <v>=30.65*100000000</v>
      </c>
      <c r="AT1252" s="1">
        <f>30.65*100000000</f>
        <v>3065000000</v>
      </c>
      <c r="AU1252" s="8">
        <f t="shared" si="615"/>
        <v>0.53711133400200584</v>
      </c>
      <c r="AV1252" s="6" t="s">
        <v>10371</v>
      </c>
      <c r="AW1252" s="6" t="str">
        <f t="shared" si="599"/>
        <v>=19.94*100000000</v>
      </c>
      <c r="AX1252" s="1">
        <f>19.94*100000000</f>
        <v>1994000000.0000002</v>
      </c>
      <c r="AY1252" s="10">
        <f t="shared" si="616"/>
        <v>-0.5077758578128857</v>
      </c>
      <c r="AZ1252" s="6" t="s">
        <v>5251</v>
      </c>
      <c r="BA1252" s="6" t="str">
        <f t="shared" si="600"/>
        <v>=40.51*100000000</v>
      </c>
      <c r="BB1252" s="1">
        <f>40.51*100000000</f>
        <v>4051000000</v>
      </c>
      <c r="BC1252" s="8">
        <f t="shared" si="617"/>
        <v>0.38401093269559278</v>
      </c>
      <c r="BD1252" s="6" t="s">
        <v>12562</v>
      </c>
      <c r="BE1252" s="6" t="str">
        <f t="shared" si="601"/>
        <v>=29.27*100000000</v>
      </c>
      <c r="BF1252" s="1">
        <f>29.27*100000000</f>
        <v>2927000000</v>
      </c>
      <c r="BG1252" s="8">
        <f t="shared" si="618"/>
        <v>0.30728003573023671</v>
      </c>
      <c r="BH1252" s="6" t="s">
        <v>12033</v>
      </c>
      <c r="BI1252" s="6" t="str">
        <f t="shared" si="602"/>
        <v>=22.39*100000000</v>
      </c>
      <c r="BJ1252" s="1">
        <f>22.39*100000000</f>
        <v>2239000000</v>
      </c>
      <c r="BK1252" s="6" t="s">
        <v>6409</v>
      </c>
      <c r="BL1252" s="1" t="str">
        <f t="shared" si="604"/>
        <v>=13.09*100000000</v>
      </c>
      <c r="BM1252" s="16">
        <f t="shared" si="619"/>
        <v>0.71046600458365161</v>
      </c>
      <c r="BN1252" s="1">
        <f>13.09*100000000</f>
        <v>1309000000</v>
      </c>
    </row>
    <row r="1253" spans="1:66">
      <c r="A1253" s="19"/>
      <c r="B1253">
        <v>601066</v>
      </c>
      <c r="C1253" t="s">
        <v>68</v>
      </c>
      <c r="D1253" s="6" t="s">
        <v>12563</v>
      </c>
      <c r="E1253" s="7" t="str">
        <f t="shared" si="603"/>
        <v>=102.4*100000000</v>
      </c>
      <c r="F1253" s="1">
        <f>102.4*100000000</f>
        <v>10240000000</v>
      </c>
      <c r="G1253" s="8">
        <f t="shared" si="605"/>
        <v>0.41749723145071999</v>
      </c>
      <c r="H1253" s="6" t="s">
        <v>12564</v>
      </c>
      <c r="I1253" s="6" t="str">
        <f t="shared" si="589"/>
        <v>=72.24*100000000</v>
      </c>
      <c r="J1253" s="1">
        <f>72.24*100000000</f>
        <v>7223999999.999999</v>
      </c>
      <c r="K1253" s="10">
        <f t="shared" si="606"/>
        <v>0.60783440908079212</v>
      </c>
      <c r="L1253" s="6" t="s">
        <v>10095</v>
      </c>
      <c r="M1253" s="6" t="str">
        <f t="shared" si="590"/>
        <v>=44.93*100000000</v>
      </c>
      <c r="N1253" s="1">
        <f>44.93*100000000</f>
        <v>4493000000</v>
      </c>
      <c r="O1253" s="8">
        <f t="shared" si="607"/>
        <v>1.6664688427299701</v>
      </c>
      <c r="P1253" s="6" t="s">
        <v>9222</v>
      </c>
      <c r="Q1253" s="6" t="str">
        <f t="shared" si="591"/>
        <v>=16.85*100000000</v>
      </c>
      <c r="R1253" s="11">
        <f>16.85*100000000</f>
        <v>1685000000.0000002</v>
      </c>
      <c r="S1253" s="8">
        <f t="shared" si="608"/>
        <v>-0.82331970221243578</v>
      </c>
      <c r="T1253" s="6" t="s">
        <v>12565</v>
      </c>
      <c r="U1253" s="6" t="str">
        <f t="shared" si="592"/>
        <v>=95.37*100000000</v>
      </c>
      <c r="V1253" s="1">
        <f>95.37*100000000</f>
        <v>9537000000</v>
      </c>
      <c r="W1253" s="8">
        <f t="shared" si="609"/>
        <v>0.2697377180135801</v>
      </c>
      <c r="X1253" s="6" t="s">
        <v>12566</v>
      </c>
      <c r="Y1253" s="6" t="str">
        <f t="shared" si="593"/>
        <v>=75.11*100000000</v>
      </c>
      <c r="Z1253" s="1">
        <f>75.11*100000000</f>
        <v>7511000000</v>
      </c>
      <c r="AA1253" s="8">
        <f t="shared" si="610"/>
        <v>0.63709677419354838</v>
      </c>
      <c r="AB1253" s="6" t="s">
        <v>12567</v>
      </c>
      <c r="AC1253" s="6" t="str">
        <f t="shared" si="594"/>
        <v>=45.88*100000000</v>
      </c>
      <c r="AD1253" s="1">
        <f>45.88*100000000</f>
        <v>4588000000</v>
      </c>
      <c r="AE1253" s="8">
        <f t="shared" si="611"/>
        <v>1.3432073544433096</v>
      </c>
      <c r="AF1253" s="6" t="s">
        <v>12568</v>
      </c>
      <c r="AG1253" s="6" t="str">
        <f t="shared" si="595"/>
        <v>=19.58*100000000</v>
      </c>
      <c r="AH1253" s="1">
        <f>19.58*100000000</f>
        <v>1957999999.9999998</v>
      </c>
      <c r="AI1253" s="8">
        <f t="shared" si="612"/>
        <v>-0.64593128390596743</v>
      </c>
      <c r="AJ1253" s="6" t="s">
        <v>12569</v>
      </c>
      <c r="AK1253" s="6" t="str">
        <f t="shared" si="596"/>
        <v>=55.30*100000000</v>
      </c>
      <c r="AL1253" s="1">
        <f>55.3*100000000</f>
        <v>5530000000</v>
      </c>
      <c r="AM1253" s="8">
        <f t="shared" si="613"/>
        <v>0.43711018711018729</v>
      </c>
      <c r="AN1253" s="6" t="s">
        <v>637</v>
      </c>
      <c r="AO1253" s="6" t="str">
        <f t="shared" si="597"/>
        <v>=38.48*100000000</v>
      </c>
      <c r="AP1253" s="1">
        <f>38.48*100000000</f>
        <v>3847999999.9999995</v>
      </c>
      <c r="AQ1253" s="8">
        <f t="shared" si="614"/>
        <v>0.6430401366353542</v>
      </c>
      <c r="AR1253" s="6" t="s">
        <v>8371</v>
      </c>
      <c r="AS1253" s="6" t="str">
        <f t="shared" si="598"/>
        <v>=23.42*100000000</v>
      </c>
      <c r="AT1253" s="1">
        <f>23.42*100000000</f>
        <v>2342000000</v>
      </c>
      <c r="AU1253" s="8">
        <f t="shared" si="615"/>
        <v>0.56341789052069424</v>
      </c>
      <c r="AV1253" s="6" t="s">
        <v>9569</v>
      </c>
      <c r="AW1253" s="6" t="str">
        <f t="shared" si="599"/>
        <v>=14.98*100000000</v>
      </c>
      <c r="AX1253" s="1">
        <f>14.98*100000000</f>
        <v>1498000000</v>
      </c>
      <c r="AY1253" s="10">
        <f t="shared" si="616"/>
        <v>-0.51724137931034486</v>
      </c>
      <c r="AZ1253" s="6" t="s">
        <v>12570</v>
      </c>
      <c r="BA1253" s="6" t="str">
        <f t="shared" si="600"/>
        <v>=31.03*100000000</v>
      </c>
      <c r="BB1253" s="1">
        <f>31.03*100000000</f>
        <v>3103000000</v>
      </c>
      <c r="BC1253" s="8">
        <f t="shared" si="617"/>
        <v>0.41173794358507737</v>
      </c>
      <c r="BD1253" s="6" t="s">
        <v>4988</v>
      </c>
      <c r="BE1253" s="6" t="str">
        <f t="shared" si="601"/>
        <v>=21.98*100000000</v>
      </c>
      <c r="BF1253" s="1">
        <f>21.98*100000000</f>
        <v>2198000000</v>
      </c>
      <c r="BG1253" s="8">
        <f t="shared" si="618"/>
        <v>0.2883939038686989</v>
      </c>
      <c r="BH1253" s="6" t="s">
        <v>6109</v>
      </c>
      <c r="BI1253" s="6" t="str">
        <f t="shared" si="602"/>
        <v>=17.06*100000000</v>
      </c>
      <c r="BJ1253" s="1">
        <f>17.06*100000000</f>
        <v>1705999999.9999998</v>
      </c>
      <c r="BK1253" s="6" t="s">
        <v>7351</v>
      </c>
      <c r="BL1253" s="1" t="str">
        <f t="shared" si="604"/>
        <v>=9.956*100000000</v>
      </c>
      <c r="BM1253" s="16">
        <f t="shared" si="619"/>
        <v>0.71353957412615487</v>
      </c>
      <c r="BN1253" s="1">
        <f>9.956*100000000</f>
        <v>995600000</v>
      </c>
    </row>
    <row r="1254" spans="1:66">
      <c r="A1254" s="17">
        <v>315</v>
      </c>
      <c r="B1254">
        <v>601068</v>
      </c>
      <c r="C1254" t="s">
        <v>31</v>
      </c>
      <c r="D1254" s="6" t="s">
        <v>12537</v>
      </c>
      <c r="E1254" s="7" t="str">
        <f t="shared" si="603"/>
        <v>=233.5*100000000</v>
      </c>
      <c r="F1254" s="1">
        <f>233.5*100000000</f>
        <v>23350000000</v>
      </c>
      <c r="G1254" s="8">
        <f t="shared" si="605"/>
        <v>0.46303258145363407</v>
      </c>
      <c r="H1254" s="6" t="s">
        <v>1163</v>
      </c>
      <c r="I1254" s="6" t="str">
        <f t="shared" si="589"/>
        <v>=159.6*100000000</v>
      </c>
      <c r="J1254" s="1">
        <f>159.6*100000000</f>
        <v>15960000000</v>
      </c>
      <c r="K1254" s="10">
        <f t="shared" si="606"/>
        <v>0.54501452081316559</v>
      </c>
      <c r="L1254" s="6" t="s">
        <v>9557</v>
      </c>
      <c r="M1254" s="6" t="str">
        <f t="shared" si="590"/>
        <v>=103.3*100000000</v>
      </c>
      <c r="N1254" s="1">
        <f>103.3*100000000</f>
        <v>10330000000</v>
      </c>
      <c r="O1254" s="8">
        <f t="shared" si="607"/>
        <v>1.0128604832424006</v>
      </c>
      <c r="P1254" s="6" t="s">
        <v>12571</v>
      </c>
      <c r="Q1254" s="6" t="str">
        <f t="shared" si="591"/>
        <v>=51.32*100000000</v>
      </c>
      <c r="R1254" s="11">
        <f>51.32*100000000</f>
        <v>5132000000</v>
      </c>
      <c r="S1254" s="8">
        <f t="shared" si="608"/>
        <v>-0.77716022579244459</v>
      </c>
      <c r="T1254" s="6" t="s">
        <v>12572</v>
      </c>
      <c r="U1254" s="6" t="str">
        <f t="shared" si="592"/>
        <v>=230.3*100000000</v>
      </c>
      <c r="V1254" s="1">
        <f>230.3*100000000</f>
        <v>23030000000</v>
      </c>
      <c r="W1254" s="8">
        <f t="shared" si="609"/>
        <v>0.40598290598290582</v>
      </c>
      <c r="X1254" s="6" t="s">
        <v>630</v>
      </c>
      <c r="Y1254" s="6" t="str">
        <f t="shared" si="593"/>
        <v>=163.8*100000000</v>
      </c>
      <c r="Z1254" s="1">
        <f>163.8*100000000</f>
        <v>16380000000.000002</v>
      </c>
      <c r="AA1254" s="8">
        <f t="shared" si="610"/>
        <v>0.64672765657987352</v>
      </c>
      <c r="AB1254" s="6" t="s">
        <v>12573</v>
      </c>
      <c r="AC1254" s="6" t="str">
        <f t="shared" si="594"/>
        <v>=99.47*100000000</v>
      </c>
      <c r="AD1254" s="1">
        <f>99.47*100000000</f>
        <v>9947000000</v>
      </c>
      <c r="AE1254" s="8">
        <f t="shared" si="611"/>
        <v>1.4475885826771653</v>
      </c>
      <c r="AF1254" s="6" t="s">
        <v>12574</v>
      </c>
      <c r="AG1254" s="6" t="str">
        <f t="shared" si="595"/>
        <v>=40.64*100000000</v>
      </c>
      <c r="AH1254" s="1">
        <f>40.64*100000000</f>
        <v>4064000000</v>
      </c>
      <c r="AI1254" s="8">
        <f t="shared" si="612"/>
        <v>-0.86915647134578233</v>
      </c>
      <c r="AJ1254" s="6" t="s">
        <v>3208</v>
      </c>
      <c r="AK1254" s="6" t="str">
        <f t="shared" si="596"/>
        <v>=310.6*100000000</v>
      </c>
      <c r="AL1254" s="1">
        <f>310.6*100000000</f>
        <v>31060000000.000004</v>
      </c>
      <c r="AM1254" s="8">
        <f t="shared" si="613"/>
        <v>0.48116356700047708</v>
      </c>
      <c r="AN1254" s="6" t="s">
        <v>12575</v>
      </c>
      <c r="AO1254" s="6" t="str">
        <f t="shared" si="597"/>
        <v>=209.7*100000000</v>
      </c>
      <c r="AP1254" s="1">
        <f>209.7*100000000</f>
        <v>20970000000</v>
      </c>
      <c r="AQ1254" s="8">
        <f t="shared" si="614"/>
        <v>0.55103550295858006</v>
      </c>
      <c r="AR1254" s="6" t="s">
        <v>85</v>
      </c>
      <c r="AS1254" s="6" t="str">
        <f t="shared" si="598"/>
        <v>=135.2*100000000</v>
      </c>
      <c r="AT1254" s="1">
        <f>135.2*100000000</f>
        <v>13519999999.999998</v>
      </c>
      <c r="AU1254" s="8">
        <f t="shared" si="615"/>
        <v>1.1983739837398371</v>
      </c>
      <c r="AV1254" s="6" t="s">
        <v>12576</v>
      </c>
      <c r="AW1254" s="6" t="str">
        <f t="shared" si="599"/>
        <v>=61.50*100000000</v>
      </c>
      <c r="AX1254" s="1">
        <f>61.5*100000000</f>
        <v>6150000000</v>
      </c>
      <c r="AY1254" s="10">
        <f t="shared" si="616"/>
        <v>-0.81712756467439784</v>
      </c>
      <c r="AZ1254" s="6" t="s">
        <v>12577</v>
      </c>
      <c r="BA1254" s="6" t="str">
        <f t="shared" si="600"/>
        <v>=336.3*100000000</v>
      </c>
      <c r="BB1254" s="1">
        <f>336.3*100000000</f>
        <v>33630000000</v>
      </c>
      <c r="BC1254" s="8">
        <f t="shared" si="617"/>
        <v>0.59610821072615094</v>
      </c>
      <c r="BD1254" s="6" t="s">
        <v>12578</v>
      </c>
      <c r="BE1254" s="6" t="str">
        <f t="shared" si="601"/>
        <v>=210.7*100000000</v>
      </c>
      <c r="BF1254" s="1">
        <f>210.7*100000000</f>
        <v>21070000000</v>
      </c>
      <c r="BG1254" s="8">
        <f t="shared" si="618"/>
        <v>0.49220963172804555</v>
      </c>
      <c r="BH1254" s="6" t="s">
        <v>12376</v>
      </c>
      <c r="BI1254" s="6" t="str">
        <f t="shared" si="602"/>
        <v>=141.2*100000000</v>
      </c>
      <c r="BJ1254" s="1">
        <f>141.2*100000000</f>
        <v>14119999999.999998</v>
      </c>
      <c r="BK1254" s="6" t="s">
        <v>724</v>
      </c>
      <c r="BL1254" s="1" t="str">
        <f t="shared" si="604"/>
        <v>=62.24*100000000</v>
      </c>
      <c r="BM1254" s="16">
        <f t="shared" si="619"/>
        <v>1.2686375321336758</v>
      </c>
      <c r="BN1254" s="1">
        <f>62.24*100000000</f>
        <v>6224000000</v>
      </c>
    </row>
    <row r="1255" spans="1:66">
      <c r="A1255" s="18"/>
      <c r="B1255">
        <v>601068</v>
      </c>
      <c r="C1255" t="s">
        <v>48</v>
      </c>
      <c r="D1255" s="6">
        <f>-7.591*100000000</f>
        <v>-759100000</v>
      </c>
      <c r="E1255" s="7" t="str">
        <f t="shared" si="603"/>
        <v>=-759100000</v>
      </c>
      <c r="F1255" s="1">
        <f>-759100000</f>
        <v>-759100000</v>
      </c>
      <c r="G1255" s="8">
        <f t="shared" si="605"/>
        <v>-5.5103980986333925</v>
      </c>
      <c r="H1255" s="6" t="s">
        <v>9515</v>
      </c>
      <c r="I1255" s="6" t="str">
        <f t="shared" si="589"/>
        <v>=1.683*100000000</v>
      </c>
      <c r="J1255" s="1">
        <f>1.683*100000000</f>
        <v>168300000</v>
      </c>
      <c r="K1255" s="10">
        <f t="shared" si="606"/>
        <v>0.96635120925341744</v>
      </c>
      <c r="L1255" s="7" t="s">
        <v>2835</v>
      </c>
      <c r="M1255" s="6" t="str">
        <f t="shared" si="590"/>
        <v>=8559*10000</v>
      </c>
      <c r="N1255" s="1">
        <f>8559*10000</f>
        <v>85590000</v>
      </c>
      <c r="O1255" s="8">
        <f t="shared" si="607"/>
        <v>-0.31582733812949632</v>
      </c>
      <c r="P1255" s="6" t="s">
        <v>4464</v>
      </c>
      <c r="Q1255" s="6" t="str">
        <f t="shared" si="591"/>
        <v>=1.251*100000000</v>
      </c>
      <c r="R1255" s="11">
        <f>1.251*100000000</f>
        <v>125099999.99999999</v>
      </c>
      <c r="S1255" s="8">
        <f t="shared" si="608"/>
        <v>-1.0665425531914894</v>
      </c>
      <c r="T1255" s="6">
        <f>-18.8*100000000</f>
        <v>-1880000000</v>
      </c>
      <c r="U1255" s="6" t="str">
        <f t="shared" si="592"/>
        <v>=-1880000000</v>
      </c>
      <c r="V1255" s="1">
        <f>-1880000000</f>
        <v>-1880000000</v>
      </c>
      <c r="W1255" s="8">
        <f t="shared" si="609"/>
        <v>36.58496601359456</v>
      </c>
      <c r="X1255" s="7">
        <f>-5002*10000</f>
        <v>-50020000</v>
      </c>
      <c r="Y1255" s="6" t="str">
        <f t="shared" si="593"/>
        <v>=-50020000</v>
      </c>
      <c r="Z1255" s="1">
        <f>-50020000</f>
        <v>-50020000</v>
      </c>
      <c r="AA1255" s="8">
        <f t="shared" si="610"/>
        <v>-0.47191722972972971</v>
      </c>
      <c r="AB1255" s="7">
        <f>-9472*10000</f>
        <v>-94720000</v>
      </c>
      <c r="AC1255" s="6" t="str">
        <f t="shared" si="594"/>
        <v>=-94720000</v>
      </c>
      <c r="AD1255" s="1">
        <f>-94720000</f>
        <v>-94720000</v>
      </c>
      <c r="AE1255" s="8">
        <f t="shared" si="611"/>
        <v>0.89137380191693294</v>
      </c>
      <c r="AF1255" s="7">
        <f>-5008*10000</f>
        <v>-50080000</v>
      </c>
      <c r="AG1255" s="6" t="str">
        <f t="shared" si="595"/>
        <v>=-50080000</v>
      </c>
      <c r="AH1255" s="1">
        <f>-50080000</f>
        <v>-50080000</v>
      </c>
      <c r="AI1255" s="8">
        <f t="shared" si="612"/>
        <v>-1.1530562347188265</v>
      </c>
      <c r="AJ1255" s="6" t="s">
        <v>12579</v>
      </c>
      <c r="AK1255" s="6" t="str">
        <f t="shared" si="596"/>
        <v>=3.272*100000000</v>
      </c>
      <c r="AL1255" s="1">
        <f>3.272*100000000</f>
        <v>327200000</v>
      </c>
      <c r="AM1255" s="8">
        <f t="shared" si="613"/>
        <v>0.28666928824223342</v>
      </c>
      <c r="AN1255" s="6" t="s">
        <v>5178</v>
      </c>
      <c r="AO1255" s="6" t="str">
        <f t="shared" si="597"/>
        <v>=2.543*100000000</v>
      </c>
      <c r="AP1255" s="1">
        <f>2.543*100000000</f>
        <v>254300000.00000003</v>
      </c>
      <c r="AQ1255" s="8">
        <f t="shared" si="614"/>
        <v>1.0102766798418976</v>
      </c>
      <c r="AR1255" s="6" t="s">
        <v>2052</v>
      </c>
      <c r="AS1255" s="6" t="str">
        <f t="shared" si="598"/>
        <v>=1.265*100000000</v>
      </c>
      <c r="AT1255" s="1">
        <f>1.265*100000000</f>
        <v>126499999.99999999</v>
      </c>
      <c r="AU1255" s="8">
        <f t="shared" si="615"/>
        <v>7.9113924050621125E-4</v>
      </c>
      <c r="AV1255" s="6" t="s">
        <v>6275</v>
      </c>
      <c r="AW1255" s="6" t="str">
        <f t="shared" si="599"/>
        <v>=1.264*100000000</v>
      </c>
      <c r="AX1255" s="1">
        <f>1.264*100000000</f>
        <v>126400000</v>
      </c>
      <c r="AY1255" s="10">
        <f t="shared" si="616"/>
        <v>-0.82375906302286672</v>
      </c>
      <c r="AZ1255" s="6" t="s">
        <v>12580</v>
      </c>
      <c r="BA1255" s="6" t="str">
        <f t="shared" si="600"/>
        <v>=7.172*100000000</v>
      </c>
      <c r="BB1255" s="1">
        <f>7.172*100000000</f>
        <v>717200000</v>
      </c>
      <c r="BC1255" s="8">
        <f t="shared" si="617"/>
        <v>0.34989648033126292</v>
      </c>
      <c r="BD1255" s="6" t="s">
        <v>161</v>
      </c>
      <c r="BE1255" s="6" t="str">
        <f t="shared" si="601"/>
        <v>=5.313*100000000</v>
      </c>
      <c r="BF1255" s="1">
        <f>5.313*100000000</f>
        <v>531300000</v>
      </c>
      <c r="BG1255" s="8">
        <f t="shared" si="618"/>
        <v>0.25011764705882356</v>
      </c>
      <c r="BH1255" s="6" t="s">
        <v>8038</v>
      </c>
      <c r="BI1255" s="6" t="str">
        <f t="shared" si="602"/>
        <v>=4.250*100000000</v>
      </c>
      <c r="BJ1255" s="1">
        <f>4.25*100000000</f>
        <v>425000000</v>
      </c>
      <c r="BK1255" s="6" t="s">
        <v>11320</v>
      </c>
      <c r="BL1255" s="1" t="str">
        <f t="shared" si="604"/>
        <v>=1.212*100000000</v>
      </c>
      <c r="BM1255" s="16">
        <f t="shared" si="619"/>
        <v>2.5066006600660065</v>
      </c>
      <c r="BN1255" s="1">
        <f>1.212*100000000</f>
        <v>121200000</v>
      </c>
    </row>
    <row r="1256" spans="1:66">
      <c r="A1256" s="18"/>
      <c r="B1256">
        <v>601068</v>
      </c>
      <c r="C1256" t="s">
        <v>58</v>
      </c>
      <c r="D1256" s="6">
        <f>-7.563*100000000</f>
        <v>-756300000</v>
      </c>
      <c r="E1256" s="7" t="str">
        <f t="shared" si="603"/>
        <v>=-756300000</v>
      </c>
      <c r="F1256" s="1">
        <f>-756300000</f>
        <v>-756300000</v>
      </c>
      <c r="G1256" s="8">
        <f t="shared" si="605"/>
        <v>-6.2593880389429764</v>
      </c>
      <c r="H1256" s="6" t="s">
        <v>8396</v>
      </c>
      <c r="I1256" s="6" t="str">
        <f t="shared" si="589"/>
        <v>=1.438*100000000</v>
      </c>
      <c r="J1256" s="1">
        <f>1.438*100000000</f>
        <v>143800000</v>
      </c>
      <c r="K1256" s="10">
        <f t="shared" si="606"/>
        <v>0.80110220440881763</v>
      </c>
      <c r="L1256" s="7" t="s">
        <v>7941</v>
      </c>
      <c r="M1256" s="6" t="str">
        <f t="shared" si="590"/>
        <v>=7984*10000</v>
      </c>
      <c r="N1256" s="1">
        <f>7984*10000</f>
        <v>79840000</v>
      </c>
      <c r="O1256" s="8">
        <f t="shared" si="607"/>
        <v>-0.32907563025210085</v>
      </c>
      <c r="P1256" s="6" t="s">
        <v>1958</v>
      </c>
      <c r="Q1256" s="6" t="str">
        <f t="shared" si="591"/>
        <v>=1.190*100000000</v>
      </c>
      <c r="R1256" s="11">
        <f>1.19*100000000</f>
        <v>119000000</v>
      </c>
      <c r="S1256" s="8">
        <f t="shared" si="608"/>
        <v>-1.0652054794520549</v>
      </c>
      <c r="T1256" s="6">
        <f>-18.25*100000000</f>
        <v>-1825000000</v>
      </c>
      <c r="U1256" s="6" t="str">
        <f t="shared" si="592"/>
        <v>=-1825000000</v>
      </c>
      <c r="V1256" s="1">
        <f>-1825000000</f>
        <v>-1825000000</v>
      </c>
      <c r="W1256" s="8">
        <f t="shared" si="609"/>
        <v>-7724.233178163352</v>
      </c>
      <c r="X1256" s="7" t="s">
        <v>12581</v>
      </c>
      <c r="Y1256" s="6" t="str">
        <f t="shared" si="593"/>
        <v>=23.63*10000</v>
      </c>
      <c r="Z1256" s="1">
        <f>23.63*10000</f>
        <v>236300</v>
      </c>
      <c r="AA1256" s="8">
        <f t="shared" si="610"/>
        <v>-1.0040427715996578</v>
      </c>
      <c r="AB1256" s="7">
        <f>-5845*10000</f>
        <v>-58450000</v>
      </c>
      <c r="AC1256" s="6" t="str">
        <f t="shared" si="594"/>
        <v>=-58450000</v>
      </c>
      <c r="AD1256" s="1">
        <f>-58450000</f>
        <v>-58450000</v>
      </c>
      <c r="AE1256" s="8">
        <f t="shared" si="611"/>
        <v>1.7833333333333334</v>
      </c>
      <c r="AF1256" s="7">
        <f>-2100*10000</f>
        <v>-21000000</v>
      </c>
      <c r="AG1256" s="6" t="str">
        <f t="shared" si="595"/>
        <v>=-21000000</v>
      </c>
      <c r="AH1256" s="1">
        <f>-21000000</f>
        <v>-21000000</v>
      </c>
      <c r="AI1256" s="8">
        <f t="shared" si="612"/>
        <v>-1.0609048723897911</v>
      </c>
      <c r="AJ1256" s="6" t="s">
        <v>6808</v>
      </c>
      <c r="AK1256" s="6" t="str">
        <f t="shared" si="596"/>
        <v>=3.448*100000000</v>
      </c>
      <c r="AL1256" s="1">
        <f>3.448*100000000</f>
        <v>344800000</v>
      </c>
      <c r="AM1256" s="8">
        <f t="shared" si="613"/>
        <v>0.46225614927905007</v>
      </c>
      <c r="AN1256" s="6" t="s">
        <v>1939</v>
      </c>
      <c r="AO1256" s="6" t="str">
        <f t="shared" si="597"/>
        <v>=2.358*100000000</v>
      </c>
      <c r="AP1256" s="1">
        <f>2.358*100000000</f>
        <v>235800000</v>
      </c>
      <c r="AQ1256" s="8">
        <f t="shared" si="614"/>
        <v>1.075704225352113</v>
      </c>
      <c r="AR1256" s="6" t="s">
        <v>257</v>
      </c>
      <c r="AS1256" s="6" t="str">
        <f t="shared" si="598"/>
        <v>=1.136*100000000</v>
      </c>
      <c r="AT1256" s="1">
        <f>1.136*100000000</f>
        <v>113599999.99999999</v>
      </c>
      <c r="AU1256" s="8">
        <f t="shared" si="615"/>
        <v>-0.11319281811085091</v>
      </c>
      <c r="AV1256" s="6" t="s">
        <v>10320</v>
      </c>
      <c r="AW1256" s="6" t="str">
        <f t="shared" si="599"/>
        <v>=1.281*100000000</v>
      </c>
      <c r="AX1256" s="1">
        <f>1.281*100000000</f>
        <v>128099999.99999999</v>
      </c>
      <c r="AY1256" s="10">
        <f t="shared" si="616"/>
        <v>-0.80531914893617018</v>
      </c>
      <c r="AZ1256" s="6" t="s">
        <v>5907</v>
      </c>
      <c r="BA1256" s="6" t="str">
        <f t="shared" si="600"/>
        <v>=6.580*100000000</v>
      </c>
      <c r="BB1256" s="1">
        <f>6.58*100000000</f>
        <v>658000000</v>
      </c>
      <c r="BC1256" s="8">
        <f t="shared" si="617"/>
        <v>0.20204603580562661</v>
      </c>
      <c r="BD1256" s="6" t="s">
        <v>4386</v>
      </c>
      <c r="BE1256" s="6" t="str">
        <f t="shared" si="601"/>
        <v>=5.474*100000000</v>
      </c>
      <c r="BF1256" s="1">
        <f>5.474*100000000</f>
        <v>547400000</v>
      </c>
      <c r="BG1256" s="8">
        <f t="shared" si="618"/>
        <v>0.25550458715596314</v>
      </c>
      <c r="BH1256" s="6" t="s">
        <v>12582</v>
      </c>
      <c r="BI1256" s="6" t="str">
        <f t="shared" si="602"/>
        <v>=4.360*100000000</v>
      </c>
      <c r="BJ1256" s="1">
        <f>4.36*100000000</f>
        <v>436000000.00000006</v>
      </c>
      <c r="BK1256" s="6" t="s">
        <v>6275</v>
      </c>
      <c r="BL1256" s="1" t="str">
        <f t="shared" si="604"/>
        <v>=1.264*100000000</v>
      </c>
      <c r="BM1256" s="16">
        <f t="shared" si="619"/>
        <v>2.4493670886075956</v>
      </c>
      <c r="BN1256" s="1">
        <f>1.264*100000000</f>
        <v>126400000</v>
      </c>
    </row>
    <row r="1257" spans="1:66">
      <c r="A1257" s="19"/>
      <c r="B1257">
        <v>601068</v>
      </c>
      <c r="C1257" t="s">
        <v>68</v>
      </c>
      <c r="D1257" s="6">
        <f>-8.616*100000000</f>
        <v>-861600000</v>
      </c>
      <c r="E1257" s="7" t="str">
        <f t="shared" si="603"/>
        <v>=-861600000</v>
      </c>
      <c r="F1257" s="1">
        <f>-861600000</f>
        <v>-861600000</v>
      </c>
      <c r="G1257" s="8">
        <f t="shared" si="605"/>
        <v>-10.905725454127385</v>
      </c>
      <c r="H1257" s="7" t="s">
        <v>12583</v>
      </c>
      <c r="I1257" s="6" t="str">
        <f t="shared" si="589"/>
        <v>=8698*10000</v>
      </c>
      <c r="J1257" s="1">
        <f>8698*10000</f>
        <v>86980000</v>
      </c>
      <c r="K1257" s="10">
        <f t="shared" si="606"/>
        <v>0.69750195160031225</v>
      </c>
      <c r="L1257" s="7" t="s">
        <v>12584</v>
      </c>
      <c r="M1257" s="6" t="str">
        <f t="shared" si="590"/>
        <v>=5124*10000</v>
      </c>
      <c r="N1257" s="1">
        <f>5124*10000</f>
        <v>51240000</v>
      </c>
      <c r="O1257" s="8">
        <f t="shared" si="607"/>
        <v>-0.32702915681639083</v>
      </c>
      <c r="P1257" s="7" t="s">
        <v>12585</v>
      </c>
      <c r="Q1257" s="6" t="str">
        <f t="shared" si="591"/>
        <v>=7614*10000</v>
      </c>
      <c r="R1257" s="11">
        <f>7614*10000</f>
        <v>76140000</v>
      </c>
      <c r="S1257" s="8">
        <f t="shared" si="608"/>
        <v>-1.0410237068965518</v>
      </c>
      <c r="T1257" s="6">
        <f>-18.56*100000000</f>
        <v>-1855999999.9999998</v>
      </c>
      <c r="U1257" s="6" t="str">
        <f t="shared" si="592"/>
        <v>=-1856000000</v>
      </c>
      <c r="V1257" s="1">
        <f>-1856000000</f>
        <v>-1856000000</v>
      </c>
      <c r="W1257" s="8">
        <f t="shared" si="609"/>
        <v>20.812198848278292</v>
      </c>
      <c r="X1257" s="7">
        <f>-8509*10000</f>
        <v>-85090000</v>
      </c>
      <c r="Y1257" s="6" t="str">
        <f t="shared" si="593"/>
        <v>=-85090000</v>
      </c>
      <c r="Z1257" s="1">
        <f>-85090000</f>
        <v>-85090000</v>
      </c>
      <c r="AA1257" s="8">
        <f t="shared" si="610"/>
        <v>2.4440163737057548E-2</v>
      </c>
      <c r="AB1257" s="7">
        <f>-8306*10000</f>
        <v>-83060000</v>
      </c>
      <c r="AC1257" s="6" t="str">
        <f t="shared" si="594"/>
        <v>=-83060000</v>
      </c>
      <c r="AD1257" s="1">
        <f>-83060000</f>
        <v>-83060000</v>
      </c>
      <c r="AE1257" s="8">
        <f t="shared" si="611"/>
        <v>0.92535929531757066</v>
      </c>
      <c r="AF1257" s="7">
        <f>-4314*10000</f>
        <v>-43140000</v>
      </c>
      <c r="AG1257" s="6" t="str">
        <f t="shared" si="595"/>
        <v>=-43140000</v>
      </c>
      <c r="AH1257" s="1">
        <f>-43140000</f>
        <v>-43140000</v>
      </c>
      <c r="AI1257" s="8">
        <f t="shared" si="612"/>
        <v>-1.1938876404494383</v>
      </c>
      <c r="AJ1257" s="6" t="s">
        <v>5033</v>
      </c>
      <c r="AK1257" s="6" t="str">
        <f t="shared" si="596"/>
        <v>=2.225*100000000</v>
      </c>
      <c r="AL1257" s="1">
        <f>2.225*100000000</f>
        <v>222500000</v>
      </c>
      <c r="AM1257" s="8">
        <f t="shared" si="613"/>
        <v>0.40113350125944586</v>
      </c>
      <c r="AN1257" s="6" t="s">
        <v>2207</v>
      </c>
      <c r="AO1257" s="6" t="str">
        <f t="shared" si="597"/>
        <v>=1.588*100000000</v>
      </c>
      <c r="AP1257" s="1">
        <f>1.588*100000000</f>
        <v>158800000</v>
      </c>
      <c r="AQ1257" s="8">
        <f t="shared" si="614"/>
        <v>0.67069963177275116</v>
      </c>
      <c r="AR1257" s="7" t="s">
        <v>12586</v>
      </c>
      <c r="AS1257" s="6" t="str">
        <f t="shared" si="598"/>
        <v>=9505*10000</v>
      </c>
      <c r="AT1257" s="1">
        <f>9505*10000</f>
        <v>95050000</v>
      </c>
      <c r="AU1257" s="8">
        <f t="shared" si="615"/>
        <v>-1.4617458013684428E-2</v>
      </c>
      <c r="AV1257" s="7" t="s">
        <v>12587</v>
      </c>
      <c r="AW1257" s="6" t="str">
        <f t="shared" si="599"/>
        <v>=9646*10000</v>
      </c>
      <c r="AX1257" s="1">
        <f>9646*10000</f>
        <v>96460000</v>
      </c>
      <c r="AY1257" s="10">
        <f t="shared" si="616"/>
        <v>-0.81134363387443775</v>
      </c>
      <c r="AZ1257" s="6" t="s">
        <v>5716</v>
      </c>
      <c r="BA1257" s="6" t="str">
        <f t="shared" si="600"/>
        <v>=5.113*100000000</v>
      </c>
      <c r="BB1257" s="1">
        <f>5.113*100000000</f>
        <v>511300000.00000006</v>
      </c>
      <c r="BC1257" s="8">
        <f t="shared" si="617"/>
        <v>0.29969496695475356</v>
      </c>
      <c r="BD1257" s="6" t="s">
        <v>12588</v>
      </c>
      <c r="BE1257" s="6" t="str">
        <f t="shared" si="601"/>
        <v>=3.934*100000000</v>
      </c>
      <c r="BF1257" s="1">
        <f>3.934*100000000</f>
        <v>393400000</v>
      </c>
      <c r="BG1257" s="8">
        <f t="shared" si="618"/>
        <v>0.18493975903614457</v>
      </c>
      <c r="BH1257" s="6" t="s">
        <v>12589</v>
      </c>
      <c r="BI1257" s="6" t="str">
        <f t="shared" si="602"/>
        <v>=3.320*100000000</v>
      </c>
      <c r="BJ1257" s="1">
        <f>3.32*100000000</f>
        <v>332000000</v>
      </c>
      <c r="BK1257" s="7" t="s">
        <v>4866</v>
      </c>
      <c r="BL1257" s="1" t="str">
        <f t="shared" si="604"/>
        <v>=8361*10000</v>
      </c>
      <c r="BM1257" s="16">
        <f t="shared" si="619"/>
        <v>2.9708168879320653</v>
      </c>
      <c r="BN1257" s="1">
        <f>8361*10000</f>
        <v>83610000</v>
      </c>
    </row>
    <row r="1258" spans="1:66">
      <c r="A1258" s="17">
        <v>316</v>
      </c>
      <c r="B1258">
        <v>601069</v>
      </c>
      <c r="C1258" t="s">
        <v>31</v>
      </c>
      <c r="D1258" s="6" t="s">
        <v>12590</v>
      </c>
      <c r="E1258" s="7" t="str">
        <f t="shared" si="603"/>
        <v>=41.58*100000000</v>
      </c>
      <c r="F1258" s="1">
        <f>41.58*100000000</f>
        <v>4158000000</v>
      </c>
      <c r="G1258" s="8">
        <f t="shared" si="605"/>
        <v>0.20103986135181992</v>
      </c>
      <c r="H1258" s="6" t="s">
        <v>12591</v>
      </c>
      <c r="I1258" s="6" t="str">
        <f t="shared" si="589"/>
        <v>=34.62*100000000</v>
      </c>
      <c r="J1258" s="1">
        <f>34.62*100000000</f>
        <v>3461999999.9999995</v>
      </c>
      <c r="K1258" s="10">
        <f t="shared" si="606"/>
        <v>0.38701923076923056</v>
      </c>
      <c r="L1258" s="6" t="s">
        <v>3010</v>
      </c>
      <c r="M1258" s="6" t="str">
        <f t="shared" si="590"/>
        <v>=24.96*100000000</v>
      </c>
      <c r="N1258" s="1">
        <f>24.96*100000000</f>
        <v>2496000000</v>
      </c>
      <c r="O1258" s="8">
        <f t="shared" si="607"/>
        <v>1.0526315789473684</v>
      </c>
      <c r="P1258" s="6" t="s">
        <v>4080</v>
      </c>
      <c r="Q1258" s="6" t="str">
        <f t="shared" si="591"/>
        <v>=12.16*100000000</v>
      </c>
      <c r="R1258" s="11">
        <f>12.16*100000000</f>
        <v>1216000000</v>
      </c>
      <c r="S1258" s="8">
        <f t="shared" si="608"/>
        <v>-0.78109810981098104</v>
      </c>
      <c r="T1258" s="6" t="s">
        <v>12592</v>
      </c>
      <c r="U1258" s="6" t="str">
        <f t="shared" si="592"/>
        <v>=55.55*100000000</v>
      </c>
      <c r="V1258" s="1">
        <f>55.55*100000000</f>
        <v>5555000000</v>
      </c>
      <c r="W1258" s="8">
        <f t="shared" si="609"/>
        <v>0.48450026723677175</v>
      </c>
      <c r="X1258" s="6" t="s">
        <v>11722</v>
      </c>
      <c r="Y1258" s="6" t="str">
        <f t="shared" si="593"/>
        <v>=37.42*100000000</v>
      </c>
      <c r="Z1258" s="1">
        <f>37.42*100000000</f>
        <v>3742000000</v>
      </c>
      <c r="AA1258" s="8">
        <f t="shared" si="610"/>
        <v>0.50765511684125708</v>
      </c>
      <c r="AB1258" s="6" t="s">
        <v>12593</v>
      </c>
      <c r="AC1258" s="6" t="str">
        <f t="shared" si="594"/>
        <v>=24.82*100000000</v>
      </c>
      <c r="AD1258" s="1">
        <f>24.82*100000000</f>
        <v>2482000000</v>
      </c>
      <c r="AE1258" s="8">
        <f t="shared" si="611"/>
        <v>2.6489267862393415</v>
      </c>
      <c r="AF1258" s="6" t="s">
        <v>12594</v>
      </c>
      <c r="AG1258" s="6" t="str">
        <f t="shared" si="595"/>
        <v>=6.802*100000000</v>
      </c>
      <c r="AH1258" s="1">
        <f>6.802*100000000</f>
        <v>680200000</v>
      </c>
      <c r="AI1258" s="8">
        <f t="shared" si="612"/>
        <v>-0.82391923375614806</v>
      </c>
      <c r="AJ1258" s="6" t="s">
        <v>7073</v>
      </c>
      <c r="AK1258" s="6" t="str">
        <f t="shared" si="596"/>
        <v>=38.63*100000000</v>
      </c>
      <c r="AL1258" s="1">
        <f>38.63*100000000</f>
        <v>3863000000.0000005</v>
      </c>
      <c r="AM1258" s="8">
        <f t="shared" si="613"/>
        <v>0.5831967213114756</v>
      </c>
      <c r="AN1258" s="6" t="s">
        <v>9426</v>
      </c>
      <c r="AO1258" s="6" t="str">
        <f t="shared" si="597"/>
        <v>=24.40*100000000</v>
      </c>
      <c r="AP1258" s="1">
        <f>24.4*100000000</f>
        <v>2440000000</v>
      </c>
      <c r="AQ1258" s="8">
        <f t="shared" si="614"/>
        <v>0.79941002949852502</v>
      </c>
      <c r="AR1258" s="6" t="s">
        <v>5912</v>
      </c>
      <c r="AS1258" s="6" t="str">
        <f t="shared" si="598"/>
        <v>=13.56*100000000</v>
      </c>
      <c r="AT1258" s="1">
        <f>13.56*100000000</f>
        <v>1356000000</v>
      </c>
      <c r="AU1258" s="8">
        <f t="shared" si="615"/>
        <v>4.6500000000000004</v>
      </c>
      <c r="AV1258" s="6" t="s">
        <v>12595</v>
      </c>
      <c r="AW1258" s="6" t="str">
        <f t="shared" si="599"/>
        <v>=2.400*100000000</v>
      </c>
      <c r="AX1258" s="1">
        <f>2.4*100000000</f>
        <v>240000000</v>
      </c>
      <c r="AY1258" s="10">
        <f t="shared" si="616"/>
        <v>-0.76047904191616766</v>
      </c>
      <c r="AZ1258" s="6" t="s">
        <v>5088</v>
      </c>
      <c r="BA1258" s="6" t="str">
        <f t="shared" si="600"/>
        <v>=10.02*100000000</v>
      </c>
      <c r="BB1258" s="1">
        <f>10.02*100000000</f>
        <v>1002000000</v>
      </c>
      <c r="BC1258" s="8">
        <f t="shared" si="617"/>
        <v>0.90458087816004562</v>
      </c>
      <c r="BD1258" s="6" t="s">
        <v>3977</v>
      </c>
      <c r="BE1258" s="6" t="str">
        <f t="shared" si="601"/>
        <v>=5.261*100000000</v>
      </c>
      <c r="BF1258" s="1">
        <f>5.261*100000000</f>
        <v>526100000</v>
      </c>
      <c r="BG1258" s="8">
        <f t="shared" si="618"/>
        <v>0.28379697413372379</v>
      </c>
      <c r="BH1258" s="6" t="s">
        <v>9047</v>
      </c>
      <c r="BI1258" s="6" t="str">
        <f t="shared" si="602"/>
        <v>=4.098*100000000</v>
      </c>
      <c r="BJ1258" s="1">
        <f>4.098*100000000</f>
        <v>409800000</v>
      </c>
      <c r="BK1258" s="6" t="s">
        <v>3386</v>
      </c>
      <c r="BL1258" s="1" t="str">
        <f t="shared" si="604"/>
        <v>=1.609*100000000</v>
      </c>
      <c r="BM1258" s="16">
        <f t="shared" si="619"/>
        <v>1.5469235550031075</v>
      </c>
      <c r="BN1258" s="1">
        <f>1.609*100000000</f>
        <v>160900000</v>
      </c>
    </row>
    <row r="1259" spans="1:66">
      <c r="A1259" s="18"/>
      <c r="B1259">
        <v>601069</v>
      </c>
      <c r="C1259" t="s">
        <v>48</v>
      </c>
      <c r="D1259" s="7" t="s">
        <v>12596</v>
      </c>
      <c r="E1259" s="7" t="str">
        <f t="shared" si="603"/>
        <v>=6680*10000</v>
      </c>
      <c r="F1259" s="1">
        <f>6680*10000</f>
        <v>66800000</v>
      </c>
      <c r="G1259" s="8">
        <f t="shared" si="605"/>
        <v>-4.8106103822019399</v>
      </c>
      <c r="H1259" s="7">
        <f>-1753*10000</f>
        <v>-17530000</v>
      </c>
      <c r="I1259" s="6" t="str">
        <f t="shared" si="589"/>
        <v>=-17530000</v>
      </c>
      <c r="J1259" s="1">
        <f>-17530000</f>
        <v>-17530000</v>
      </c>
      <c r="K1259" s="10">
        <f t="shared" si="606"/>
        <v>-0.64770900321543412</v>
      </c>
      <c r="L1259" s="7">
        <f>-4976*10000</f>
        <v>-49760000</v>
      </c>
      <c r="M1259" s="6" t="str">
        <f t="shared" si="590"/>
        <v>=-49760000</v>
      </c>
      <c r="N1259" s="1">
        <f>-49760000</f>
        <v>-49760000</v>
      </c>
      <c r="O1259" s="8">
        <f t="shared" si="607"/>
        <v>1.2066518847006651</v>
      </c>
      <c r="P1259" s="7">
        <f>-2255*10000</f>
        <v>-22550000</v>
      </c>
      <c r="Q1259" s="6" t="str">
        <f t="shared" si="591"/>
        <v>=-22550000</v>
      </c>
      <c r="R1259" s="11">
        <f>-22550000</f>
        <v>-22550000</v>
      </c>
      <c r="S1259" s="8">
        <f t="shared" si="608"/>
        <v>-1.2076427255985267</v>
      </c>
      <c r="T1259" s="6" t="s">
        <v>12597</v>
      </c>
      <c r="U1259" s="6" t="str">
        <f t="shared" si="592"/>
        <v>=1.086*100000000</v>
      </c>
      <c r="V1259" s="1">
        <f>1.086*100000000</f>
        <v>108600000.00000001</v>
      </c>
      <c r="W1259" s="8">
        <f t="shared" si="609"/>
        <v>1.1881926254281687</v>
      </c>
      <c r="X1259" s="7" t="s">
        <v>12598</v>
      </c>
      <c r="Y1259" s="6" t="str">
        <f t="shared" si="593"/>
        <v>=4963*10000</v>
      </c>
      <c r="Z1259" s="1">
        <f>4963*10000</f>
        <v>49630000</v>
      </c>
      <c r="AA1259" s="8">
        <f t="shared" si="610"/>
        <v>2.0826086956521741</v>
      </c>
      <c r="AB1259" s="7" t="s">
        <v>12599</v>
      </c>
      <c r="AC1259" s="6" t="str">
        <f t="shared" si="594"/>
        <v>=1610*10000</v>
      </c>
      <c r="AD1259" s="1">
        <f>1610*10000</f>
        <v>16100000</v>
      </c>
      <c r="AE1259" s="8">
        <f t="shared" si="611"/>
        <v>-1.3142076502732241</v>
      </c>
      <c r="AF1259" s="7">
        <f>-5124*10000</f>
        <v>-51240000</v>
      </c>
      <c r="AG1259" s="6" t="str">
        <f t="shared" si="595"/>
        <v>=-51240000</v>
      </c>
      <c r="AH1259" s="1">
        <f>-51240000</f>
        <v>-51240000</v>
      </c>
      <c r="AI1259" s="8">
        <f t="shared" si="612"/>
        <v>-1.8500331785003319</v>
      </c>
      <c r="AJ1259" s="7" t="s">
        <v>9082</v>
      </c>
      <c r="AK1259" s="6" t="str">
        <f t="shared" si="596"/>
        <v>=6028*10000</v>
      </c>
      <c r="AL1259" s="1">
        <f>6028*10000</f>
        <v>60280000</v>
      </c>
      <c r="AM1259" s="8">
        <f t="shared" si="613"/>
        <v>0.10747749402902811</v>
      </c>
      <c r="AN1259" s="7" t="s">
        <v>12600</v>
      </c>
      <c r="AO1259" s="6" t="str">
        <f t="shared" si="597"/>
        <v>=5443*10000</v>
      </c>
      <c r="AP1259" s="1">
        <f>5443*10000</f>
        <v>54430000</v>
      </c>
      <c r="AQ1259" s="8">
        <f t="shared" si="614"/>
        <v>42.578863090472375</v>
      </c>
      <c r="AR1259" s="7" t="s">
        <v>12601</v>
      </c>
      <c r="AS1259" s="6" t="str">
        <f t="shared" si="598"/>
        <v>=124.9*10000</v>
      </c>
      <c r="AT1259" s="1">
        <f>124.9*10000</f>
        <v>1249000</v>
      </c>
      <c r="AU1259" s="8">
        <f t="shared" si="615"/>
        <v>-1.0719055843408174</v>
      </c>
      <c r="AV1259" s="7">
        <f>-1737*10000</f>
        <v>-17370000</v>
      </c>
      <c r="AW1259" s="6" t="str">
        <f t="shared" si="599"/>
        <v>=-17370000</v>
      </c>
      <c r="AX1259" s="1">
        <f>-17370000</f>
        <v>-17370000</v>
      </c>
      <c r="AY1259" s="10">
        <f t="shared" si="616"/>
        <v>-1.8866768759571211</v>
      </c>
      <c r="AZ1259" s="7" t="s">
        <v>12602</v>
      </c>
      <c r="BA1259" s="6" t="str">
        <f t="shared" si="600"/>
        <v>=1959*10000</v>
      </c>
      <c r="BB1259" s="1">
        <f>1959*10000</f>
        <v>19590000</v>
      </c>
      <c r="BC1259" s="8">
        <f t="shared" si="617"/>
        <v>-1.654527230203809</v>
      </c>
      <c r="BD1259" s="7">
        <f>-2993*10000</f>
        <v>-29930000</v>
      </c>
      <c r="BE1259" s="6" t="str">
        <f t="shared" si="601"/>
        <v>=-29930000</v>
      </c>
      <c r="BF1259" s="1">
        <f>-29930000</f>
        <v>-29930000</v>
      </c>
      <c r="BG1259" s="8">
        <f t="shared" si="618"/>
        <v>1.1047819971870605</v>
      </c>
      <c r="BH1259" s="7">
        <f>-1422*10000</f>
        <v>-14220000</v>
      </c>
      <c r="BI1259" s="6" t="str">
        <f t="shared" si="602"/>
        <v>=-14220000</v>
      </c>
      <c r="BJ1259" s="1">
        <f>-14220000</f>
        <v>-14220000</v>
      </c>
      <c r="BK1259" s="7">
        <f>-1970*10000</f>
        <v>-19700000</v>
      </c>
      <c r="BL1259" s="1" t="str">
        <f t="shared" si="604"/>
        <v>=-19700000</v>
      </c>
      <c r="BM1259" s="16">
        <f t="shared" si="619"/>
        <v>-0.2781725888324873</v>
      </c>
      <c r="BN1259" s="1">
        <f>-19700000</f>
        <v>-19700000</v>
      </c>
    </row>
    <row r="1260" spans="1:66">
      <c r="A1260" s="18"/>
      <c r="B1260">
        <v>601069</v>
      </c>
      <c r="C1260" t="s">
        <v>58</v>
      </c>
      <c r="D1260" s="7" t="s">
        <v>12603</v>
      </c>
      <c r="E1260" s="7" t="str">
        <f t="shared" si="603"/>
        <v>=8825*10000</v>
      </c>
      <c r="F1260" s="1">
        <f>8825*10000</f>
        <v>88250000</v>
      </c>
      <c r="G1260" s="8">
        <f t="shared" si="605"/>
        <v>-5.8891966759002772</v>
      </c>
      <c r="H1260" s="7">
        <f>-1805*10000</f>
        <v>-18050000</v>
      </c>
      <c r="I1260" s="6" t="str">
        <f t="shared" si="589"/>
        <v>=-18050000</v>
      </c>
      <c r="J1260" s="1">
        <f>-18050000</f>
        <v>-18050000</v>
      </c>
      <c r="K1260" s="10">
        <f t="shared" si="606"/>
        <v>-0.6423617990885675</v>
      </c>
      <c r="L1260" s="7">
        <f>-5047*10000</f>
        <v>-50470000</v>
      </c>
      <c r="M1260" s="6" t="str">
        <f t="shared" si="590"/>
        <v>=-50470000</v>
      </c>
      <c r="N1260" s="1">
        <f>-50470000</f>
        <v>-50470000</v>
      </c>
      <c r="O1260" s="8">
        <f t="shared" si="607"/>
        <v>1.2471059661620658</v>
      </c>
      <c r="P1260" s="7">
        <f>-2246*10000</f>
        <v>-22460000</v>
      </c>
      <c r="Q1260" s="6" t="str">
        <f t="shared" si="591"/>
        <v>=-22460000</v>
      </c>
      <c r="R1260" s="11">
        <f>-22460000</f>
        <v>-22460000</v>
      </c>
      <c r="S1260" s="8">
        <f t="shared" si="608"/>
        <v>-1.2091247672253258</v>
      </c>
      <c r="T1260" s="6" t="s">
        <v>5589</v>
      </c>
      <c r="U1260" s="6" t="str">
        <f t="shared" si="592"/>
        <v>=1.074*100000000</v>
      </c>
      <c r="V1260" s="1">
        <f>1.074*100000000</f>
        <v>107400000</v>
      </c>
      <c r="W1260" s="8">
        <f t="shared" si="609"/>
        <v>1.2572509457755359</v>
      </c>
      <c r="X1260" s="7" t="s">
        <v>12604</v>
      </c>
      <c r="Y1260" s="6" t="str">
        <f t="shared" si="593"/>
        <v>=4758*10000</v>
      </c>
      <c r="Z1260" s="1">
        <f>4758*10000</f>
        <v>47580000</v>
      </c>
      <c r="AA1260" s="8">
        <f t="shared" si="610"/>
        <v>2.3110647181628394</v>
      </c>
      <c r="AB1260" s="7" t="s">
        <v>12605</v>
      </c>
      <c r="AC1260" s="6" t="str">
        <f t="shared" si="594"/>
        <v>=1437*10000</v>
      </c>
      <c r="AD1260" s="1">
        <f>1437*10000</f>
        <v>14370000</v>
      </c>
      <c r="AE1260" s="8">
        <f t="shared" si="611"/>
        <v>-1.2668523676880223</v>
      </c>
      <c r="AF1260" s="7">
        <f>-5385*10000</f>
        <v>-53850000</v>
      </c>
      <c r="AG1260" s="6" t="str">
        <f t="shared" si="595"/>
        <v>=-53850000</v>
      </c>
      <c r="AH1260" s="1">
        <f>-53850000</f>
        <v>-53850000</v>
      </c>
      <c r="AI1260" s="8">
        <f t="shared" si="612"/>
        <v>-1.9274888046848089</v>
      </c>
      <c r="AJ1260" s="7" t="s">
        <v>4779</v>
      </c>
      <c r="AK1260" s="6" t="str">
        <f t="shared" si="596"/>
        <v>=5806*10000</v>
      </c>
      <c r="AL1260" s="1">
        <f>5806*10000</f>
        <v>58060000</v>
      </c>
      <c r="AM1260" s="8">
        <f t="shared" si="613"/>
        <v>0.1067479984750286</v>
      </c>
      <c r="AN1260" s="7" t="s">
        <v>12606</v>
      </c>
      <c r="AO1260" s="6" t="str">
        <f t="shared" si="597"/>
        <v>=5246*10000</v>
      </c>
      <c r="AP1260" s="1">
        <f>5246*10000</f>
        <v>52460000</v>
      </c>
      <c r="AQ1260" s="8">
        <f t="shared" si="614"/>
        <v>26.055183084063952</v>
      </c>
      <c r="AR1260" s="7" t="s">
        <v>12607</v>
      </c>
      <c r="AS1260" s="6" t="str">
        <f t="shared" si="598"/>
        <v>=193.9*10000</v>
      </c>
      <c r="AT1260" s="1">
        <f>193.9*10000</f>
        <v>1939000</v>
      </c>
      <c r="AU1260" s="8">
        <f t="shared" si="615"/>
        <v>-1.1128637951105937</v>
      </c>
      <c r="AV1260" s="7">
        <f>-1718*10000</f>
        <v>-17180000</v>
      </c>
      <c r="AW1260" s="6" t="str">
        <f t="shared" si="599"/>
        <v>=-17180000</v>
      </c>
      <c r="AX1260" s="1">
        <f>-17180000</f>
        <v>-17180000</v>
      </c>
      <c r="AY1260" s="10">
        <f t="shared" si="616"/>
        <v>-1.8594297148574288</v>
      </c>
      <c r="AZ1260" s="7" t="s">
        <v>12608</v>
      </c>
      <c r="BA1260" s="6" t="str">
        <f t="shared" si="600"/>
        <v>=1999*10000</v>
      </c>
      <c r="BB1260" s="1">
        <f>1999*10000</f>
        <v>19990000</v>
      </c>
      <c r="BC1260" s="8">
        <f t="shared" si="617"/>
        <v>-1.6524151436031331</v>
      </c>
      <c r="BD1260" s="7">
        <f>-3064*10000</f>
        <v>-30640000</v>
      </c>
      <c r="BE1260" s="6" t="str">
        <f t="shared" si="601"/>
        <v>=-30640000</v>
      </c>
      <c r="BF1260" s="1">
        <f>-30640000</f>
        <v>-30640000</v>
      </c>
      <c r="BG1260" s="8">
        <f t="shared" si="618"/>
        <v>1.2332361516034986</v>
      </c>
      <c r="BH1260" s="7">
        <f>-1372*10000</f>
        <v>-13720000</v>
      </c>
      <c r="BI1260" s="6" t="str">
        <f t="shared" si="602"/>
        <v>=-13720000</v>
      </c>
      <c r="BJ1260" s="1">
        <f>-13720000</f>
        <v>-13720000</v>
      </c>
      <c r="BK1260" s="7">
        <f>-1855*10000</f>
        <v>-18550000</v>
      </c>
      <c r="BL1260" s="1" t="str">
        <f t="shared" si="604"/>
        <v>=-18550000</v>
      </c>
      <c r="BM1260" s="16">
        <f t="shared" si="619"/>
        <v>-0.26037735849056604</v>
      </c>
      <c r="BN1260" s="1">
        <f>-18550000</f>
        <v>-18550000</v>
      </c>
    </row>
    <row r="1261" spans="1:66">
      <c r="A1261" s="19"/>
      <c r="B1261">
        <v>601069</v>
      </c>
      <c r="C1261" t="s">
        <v>68</v>
      </c>
      <c r="D1261" s="7" t="s">
        <v>12609</v>
      </c>
      <c r="E1261" s="7" t="str">
        <f t="shared" si="603"/>
        <v>=7349*10000</v>
      </c>
      <c r="F1261" s="1">
        <f>7349*10000</f>
        <v>73490000</v>
      </c>
      <c r="G1261" s="8">
        <f t="shared" si="605"/>
        <v>-4.8097459823742872</v>
      </c>
      <c r="H1261" s="7">
        <f>-1929*10000</f>
        <v>-19290000</v>
      </c>
      <c r="I1261" s="6" t="str">
        <f t="shared" si="589"/>
        <v>=-19290000</v>
      </c>
      <c r="J1261" s="1">
        <f>-19290000</f>
        <v>-19290000</v>
      </c>
      <c r="K1261" s="10">
        <f t="shared" si="606"/>
        <v>-0.61303911735205618</v>
      </c>
      <c r="L1261" s="7">
        <f>-4985*10000</f>
        <v>-49850000</v>
      </c>
      <c r="M1261" s="6" t="str">
        <f t="shared" si="590"/>
        <v>=-49850000</v>
      </c>
      <c r="N1261" s="1">
        <f>-49850000</f>
        <v>-49850000</v>
      </c>
      <c r="O1261" s="8">
        <f t="shared" si="607"/>
        <v>1.1692776327241079</v>
      </c>
      <c r="P1261" s="7">
        <f>-2298*10000</f>
        <v>-22980000</v>
      </c>
      <c r="Q1261" s="6" t="str">
        <f t="shared" si="591"/>
        <v>=-22980000</v>
      </c>
      <c r="R1261" s="11">
        <f>-22980000</f>
        <v>-22980000</v>
      </c>
      <c r="S1261" s="8">
        <f t="shared" si="608"/>
        <v>-1.2965543941153697</v>
      </c>
      <c r="T1261" s="7" t="s">
        <v>12610</v>
      </c>
      <c r="U1261" s="6" t="str">
        <f t="shared" si="592"/>
        <v>=7749*10000</v>
      </c>
      <c r="V1261" s="1">
        <f>7749*10000</f>
        <v>77490000</v>
      </c>
      <c r="W1261" s="8">
        <f t="shared" si="609"/>
        <v>1.4020458772473652</v>
      </c>
      <c r="X1261" s="7" t="s">
        <v>2596</v>
      </c>
      <c r="Y1261" s="6" t="str">
        <f t="shared" si="593"/>
        <v>=3226*10000</v>
      </c>
      <c r="Z1261" s="1">
        <f>3226*10000</f>
        <v>32260000</v>
      </c>
      <c r="AA1261" s="8">
        <f t="shared" si="610"/>
        <v>3.5862951379016206</v>
      </c>
      <c r="AB1261" s="7" t="s">
        <v>12611</v>
      </c>
      <c r="AC1261" s="6" t="str">
        <f t="shared" si="594"/>
        <v>=703.4*10000</v>
      </c>
      <c r="AD1261" s="1">
        <f>703.4*10000</f>
        <v>7034000</v>
      </c>
      <c r="AE1261" s="8">
        <f t="shared" si="611"/>
        <v>-1.1295157429570981</v>
      </c>
      <c r="AF1261" s="7">
        <f>-5431*10000</f>
        <v>-54310000</v>
      </c>
      <c r="AG1261" s="6" t="str">
        <f t="shared" si="595"/>
        <v>=-54310000</v>
      </c>
      <c r="AH1261" s="1">
        <f>-54310000</f>
        <v>-54310000</v>
      </c>
      <c r="AI1261" s="8">
        <f t="shared" si="612"/>
        <v>-2.3223764304845385</v>
      </c>
      <c r="AJ1261" s="7" t="s">
        <v>12612</v>
      </c>
      <c r="AK1261" s="6" t="str">
        <f t="shared" si="596"/>
        <v>=4107*10000</v>
      </c>
      <c r="AL1261" s="1">
        <f>4107*10000</f>
        <v>41070000</v>
      </c>
      <c r="AM1261" s="8">
        <f t="shared" si="613"/>
        <v>-1.7934002869440458E-2</v>
      </c>
      <c r="AN1261" s="7" t="s">
        <v>8473</v>
      </c>
      <c r="AO1261" s="6" t="str">
        <f t="shared" si="597"/>
        <v>=4182*10000</v>
      </c>
      <c r="AP1261" s="1">
        <f>4182*10000</f>
        <v>41820000</v>
      </c>
      <c r="AQ1261" s="8">
        <f t="shared" si="614"/>
        <v>303.81049562682216</v>
      </c>
      <c r="AR1261" s="7" t="s">
        <v>12613</v>
      </c>
      <c r="AS1261" s="6" t="str">
        <f t="shared" si="598"/>
        <v>=13.72*10000</v>
      </c>
      <c r="AT1261" s="1">
        <f>13.72*10000</f>
        <v>137200</v>
      </c>
      <c r="AU1261" s="8">
        <f t="shared" si="615"/>
        <v>-1.0075384615384615</v>
      </c>
      <c r="AV1261" s="7">
        <f>-1820*10000</f>
        <v>-18200000</v>
      </c>
      <c r="AW1261" s="6" t="str">
        <f t="shared" si="599"/>
        <v>=-18200000</v>
      </c>
      <c r="AX1261" s="1">
        <f>-18200000</f>
        <v>-18200000</v>
      </c>
      <c r="AY1261" s="10">
        <f t="shared" si="616"/>
        <v>-2.8724279835390947</v>
      </c>
      <c r="AZ1261" s="7" t="s">
        <v>12614</v>
      </c>
      <c r="BA1261" s="6" t="str">
        <f t="shared" si="600"/>
        <v>=972.0*10000</v>
      </c>
      <c r="BB1261" s="1">
        <f>972*10000</f>
        <v>9720000</v>
      </c>
      <c r="BC1261" s="8">
        <f t="shared" si="617"/>
        <v>-1.2927710843373494</v>
      </c>
      <c r="BD1261" s="7">
        <f>-3320*10000</f>
        <v>-33200000</v>
      </c>
      <c r="BE1261" s="6" t="str">
        <f t="shared" si="601"/>
        <v>=-33200000</v>
      </c>
      <c r="BF1261" s="1">
        <f>-33200000</f>
        <v>-33200000</v>
      </c>
      <c r="BG1261" s="8">
        <f t="shared" si="618"/>
        <v>1.3071577484364141</v>
      </c>
      <c r="BH1261" s="7">
        <f>-1439*10000</f>
        <v>-14390000</v>
      </c>
      <c r="BI1261" s="6" t="str">
        <f t="shared" si="602"/>
        <v>=-14390000</v>
      </c>
      <c r="BJ1261" s="1">
        <f>-14390000</f>
        <v>-14390000</v>
      </c>
      <c r="BK1261" s="7">
        <f>-1849*10000</f>
        <v>-18490000</v>
      </c>
      <c r="BL1261" s="1" t="str">
        <f t="shared" si="604"/>
        <v>=-18490000</v>
      </c>
      <c r="BM1261" s="16">
        <f t="shared" si="619"/>
        <v>-0.22174148188209844</v>
      </c>
      <c r="BN1261" s="1">
        <f>-18490000</f>
        <v>-18490000</v>
      </c>
    </row>
    <row r="1262" spans="1:66">
      <c r="A1262" s="17">
        <v>317</v>
      </c>
      <c r="B1262">
        <v>601088</v>
      </c>
      <c r="C1262" t="s">
        <v>31</v>
      </c>
      <c r="D1262" s="6" t="s">
        <v>12615</v>
      </c>
      <c r="E1262" s="7" t="str">
        <f t="shared" si="603"/>
        <v>=3352*100000000</v>
      </c>
      <c r="F1262" s="1">
        <f>3352*100000000</f>
        <v>335200000000</v>
      </c>
      <c r="G1262" s="8">
        <f t="shared" si="605"/>
        <v>0.43924431086303134</v>
      </c>
      <c r="H1262" s="6" t="s">
        <v>12616</v>
      </c>
      <c r="I1262" s="6" t="str">
        <f t="shared" si="589"/>
        <v>=2329*100000000</v>
      </c>
      <c r="J1262" s="1">
        <f>2329*100000000</f>
        <v>232900000000</v>
      </c>
      <c r="K1262" s="10">
        <f t="shared" si="606"/>
        <v>0.61736111111111114</v>
      </c>
      <c r="L1262" s="6" t="s">
        <v>12617</v>
      </c>
      <c r="M1262" s="6" t="str">
        <f t="shared" si="590"/>
        <v>=1440*100000000</v>
      </c>
      <c r="N1262" s="1">
        <f>1440*100000000</f>
        <v>144000000000</v>
      </c>
      <c r="O1262" s="8">
        <f t="shared" si="607"/>
        <v>1.1298624463836711</v>
      </c>
      <c r="P1262" s="6" t="s">
        <v>12618</v>
      </c>
      <c r="Q1262" s="6" t="str">
        <f t="shared" si="591"/>
        <v>=676.1*100000000</v>
      </c>
      <c r="R1262" s="11">
        <f>676.1*100000000</f>
        <v>67610000000</v>
      </c>
      <c r="S1262" s="8">
        <f t="shared" si="608"/>
        <v>-0.71020145735105011</v>
      </c>
      <c r="T1262" s="6" t="s">
        <v>12619</v>
      </c>
      <c r="U1262" s="6" t="str">
        <f t="shared" si="592"/>
        <v>=2333*100000000</v>
      </c>
      <c r="V1262" s="1">
        <f>2333*100000000</f>
        <v>233300000000</v>
      </c>
      <c r="W1262" s="8">
        <f t="shared" si="609"/>
        <v>0.40457555689343772</v>
      </c>
      <c r="X1262" s="6" t="s">
        <v>12620</v>
      </c>
      <c r="Y1262" s="6" t="str">
        <f t="shared" si="593"/>
        <v>=1661*100000000</v>
      </c>
      <c r="Z1262" s="1">
        <f>1661*100000000</f>
        <v>166100000000</v>
      </c>
      <c r="AA1262" s="8">
        <f t="shared" si="610"/>
        <v>0.58190476190476192</v>
      </c>
      <c r="AB1262" s="6" t="s">
        <v>3206</v>
      </c>
      <c r="AC1262" s="6" t="str">
        <f t="shared" si="594"/>
        <v>=1050*100000000</v>
      </c>
      <c r="AD1262" s="1">
        <f>1050*100000000</f>
        <v>105000000000</v>
      </c>
      <c r="AE1262" s="8">
        <f t="shared" si="611"/>
        <v>1.0555990602975724</v>
      </c>
      <c r="AF1262" s="6" t="s">
        <v>12621</v>
      </c>
      <c r="AG1262" s="6" t="str">
        <f t="shared" si="595"/>
        <v>=510.8*100000000</v>
      </c>
      <c r="AH1262" s="1">
        <f>510.8*100000000</f>
        <v>51080000000</v>
      </c>
      <c r="AI1262" s="8">
        <f t="shared" si="612"/>
        <v>-0.78883836295990084</v>
      </c>
      <c r="AJ1262" s="6" t="s">
        <v>12622</v>
      </c>
      <c r="AK1262" s="6" t="str">
        <f t="shared" si="596"/>
        <v>=2419*100000000</v>
      </c>
      <c r="AL1262" s="1">
        <f>2419*100000000</f>
        <v>241900000000</v>
      </c>
      <c r="AM1262" s="8">
        <f t="shared" si="613"/>
        <v>0.36051743532058494</v>
      </c>
      <c r="AN1262" s="6" t="s">
        <v>12623</v>
      </c>
      <c r="AO1262" s="6" t="str">
        <f t="shared" si="597"/>
        <v>=1778*100000000</v>
      </c>
      <c r="AP1262" s="1">
        <f>1778*100000000</f>
        <v>177800000000</v>
      </c>
      <c r="AQ1262" s="8">
        <f t="shared" si="614"/>
        <v>0.52749140893470792</v>
      </c>
      <c r="AR1262" s="6" t="s">
        <v>12624</v>
      </c>
      <c r="AS1262" s="6" t="str">
        <f t="shared" si="598"/>
        <v>=1164*100000000</v>
      </c>
      <c r="AT1262" s="1">
        <f>1164*100000000</f>
        <v>116400000000</v>
      </c>
      <c r="AU1262" s="8">
        <f t="shared" si="615"/>
        <v>1.0417470619189615</v>
      </c>
      <c r="AV1262" s="6" t="s">
        <v>12625</v>
      </c>
      <c r="AW1262" s="6" t="str">
        <f t="shared" si="599"/>
        <v>=570.1*100000000</v>
      </c>
      <c r="AX1262" s="1">
        <f>570.1*100000000</f>
        <v>57010000000</v>
      </c>
      <c r="AY1262" s="10">
        <f t="shared" si="616"/>
        <v>-0.78413479742521774</v>
      </c>
      <c r="AZ1262" s="6" t="s">
        <v>12626</v>
      </c>
      <c r="BA1262" s="6" t="str">
        <f t="shared" si="600"/>
        <v>=2641*100000000</v>
      </c>
      <c r="BB1262" s="1">
        <f>2641*100000000</f>
        <v>264100000000</v>
      </c>
      <c r="BC1262" s="8">
        <f t="shared" si="617"/>
        <v>0.36063884595569295</v>
      </c>
      <c r="BD1262" s="6" t="s">
        <v>12627</v>
      </c>
      <c r="BE1262" s="6" t="str">
        <f t="shared" si="601"/>
        <v>=1941*100000000</v>
      </c>
      <c r="BF1262" s="1">
        <f>1941*100000000</f>
        <v>194100000000</v>
      </c>
      <c r="BG1262" s="8">
        <f t="shared" si="618"/>
        <v>0.52354788069073788</v>
      </c>
      <c r="BH1262" s="6" t="s">
        <v>12628</v>
      </c>
      <c r="BI1262" s="6" t="str">
        <f t="shared" si="602"/>
        <v>=1274*100000000</v>
      </c>
      <c r="BJ1262" s="1">
        <f>1274*100000000</f>
        <v>127400000000</v>
      </c>
      <c r="BK1262" s="6" t="s">
        <v>12629</v>
      </c>
      <c r="BL1262" s="1" t="str">
        <f t="shared" si="604"/>
        <v>=629.8*100000000</v>
      </c>
      <c r="BM1262" s="16">
        <f t="shared" si="619"/>
        <v>1.0228644013972692</v>
      </c>
      <c r="BN1262" s="1">
        <f>629.8*100000000</f>
        <v>62979999999.999992</v>
      </c>
    </row>
    <row r="1263" spans="1:66">
      <c r="A1263" s="18"/>
      <c r="B1263">
        <v>601088</v>
      </c>
      <c r="C1263" t="s">
        <v>48</v>
      </c>
      <c r="D1263" s="6" t="s">
        <v>12630</v>
      </c>
      <c r="E1263" s="7" t="str">
        <f t="shared" si="603"/>
        <v>=782.4*100000000</v>
      </c>
      <c r="F1263" s="1">
        <f>782.4*100000000</f>
        <v>78240000000</v>
      </c>
      <c r="G1263" s="8">
        <f t="shared" si="605"/>
        <v>0.32542774860240575</v>
      </c>
      <c r="H1263" s="6" t="s">
        <v>12631</v>
      </c>
      <c r="I1263" s="6" t="str">
        <f t="shared" si="589"/>
        <v>=590.3*100000000</v>
      </c>
      <c r="J1263" s="1">
        <f>590.3*100000000</f>
        <v>59029999999.999992</v>
      </c>
      <c r="K1263" s="10">
        <f t="shared" si="606"/>
        <v>0.57539364825193473</v>
      </c>
      <c r="L1263" s="6" t="s">
        <v>12632</v>
      </c>
      <c r="M1263" s="6" t="str">
        <f t="shared" si="590"/>
        <v>=374.7*100000000</v>
      </c>
      <c r="N1263" s="1">
        <f>374.7*100000000</f>
        <v>37470000000</v>
      </c>
      <c r="O1263" s="8">
        <f t="shared" si="607"/>
        <v>1.1145598194130926</v>
      </c>
      <c r="P1263" s="6" t="s">
        <v>1633</v>
      </c>
      <c r="Q1263" s="6" t="str">
        <f t="shared" si="591"/>
        <v>=177.2*100000000</v>
      </c>
      <c r="R1263" s="11">
        <f>177.2*100000000</f>
        <v>17720000000</v>
      </c>
      <c r="S1263" s="8">
        <f t="shared" si="608"/>
        <v>-0.72090092928020155</v>
      </c>
      <c r="T1263" s="6" t="s">
        <v>12633</v>
      </c>
      <c r="U1263" s="6" t="str">
        <f t="shared" si="592"/>
        <v>=634.9*100000000</v>
      </c>
      <c r="V1263" s="1">
        <f>634.9*100000000</f>
        <v>63490000000</v>
      </c>
      <c r="W1263" s="8">
        <f t="shared" si="609"/>
        <v>0.27158021229721613</v>
      </c>
      <c r="X1263" s="6" t="s">
        <v>12634</v>
      </c>
      <c r="Y1263" s="6" t="str">
        <f t="shared" si="593"/>
        <v>=499.3*100000000</v>
      </c>
      <c r="Z1263" s="1">
        <f>499.3*100000000</f>
        <v>49930000000</v>
      </c>
      <c r="AA1263" s="8">
        <f t="shared" si="610"/>
        <v>0.59673808762392067</v>
      </c>
      <c r="AB1263" s="6" t="s">
        <v>12635</v>
      </c>
      <c r="AC1263" s="6" t="str">
        <f t="shared" si="594"/>
        <v>=312.7*100000000</v>
      </c>
      <c r="AD1263" s="1">
        <f>312.7*100000000</f>
        <v>31270000000</v>
      </c>
      <c r="AE1263" s="8">
        <f t="shared" si="611"/>
        <v>1.1272108843537414</v>
      </c>
      <c r="AF1263" s="6" t="s">
        <v>10175</v>
      </c>
      <c r="AG1263" s="6" t="str">
        <f t="shared" si="595"/>
        <v>=147.0*100000000</v>
      </c>
      <c r="AH1263" s="1">
        <f>147*100000000</f>
        <v>14700000000</v>
      </c>
      <c r="AI1263" s="8">
        <f t="shared" si="612"/>
        <v>-0.77937865826204411</v>
      </c>
      <c r="AJ1263" s="6" t="s">
        <v>12636</v>
      </c>
      <c r="AK1263" s="6" t="str">
        <f t="shared" si="596"/>
        <v>=666.3*100000000</v>
      </c>
      <c r="AL1263" s="1">
        <f>666.3*100000000</f>
        <v>66629999999.999992</v>
      </c>
      <c r="AM1263" s="8">
        <f t="shared" si="613"/>
        <v>0.21366120218579221</v>
      </c>
      <c r="AN1263" s="6" t="s">
        <v>12637</v>
      </c>
      <c r="AO1263" s="6" t="str">
        <f t="shared" si="597"/>
        <v>=549.0*100000000</v>
      </c>
      <c r="AP1263" s="1">
        <f>549*100000000</f>
        <v>54900000000</v>
      </c>
      <c r="AQ1263" s="8">
        <f t="shared" si="614"/>
        <v>0.49509803921568629</v>
      </c>
      <c r="AR1263" s="6" t="s">
        <v>1914</v>
      </c>
      <c r="AS1263" s="6" t="str">
        <f t="shared" si="598"/>
        <v>=367.2*100000000</v>
      </c>
      <c r="AT1263" s="1">
        <f>367.2*100000000</f>
        <v>36720000000</v>
      </c>
      <c r="AU1263" s="8">
        <f t="shared" si="615"/>
        <v>1.0153677277716795</v>
      </c>
      <c r="AV1263" s="6" t="s">
        <v>12638</v>
      </c>
      <c r="AW1263" s="6" t="str">
        <f t="shared" si="599"/>
        <v>=182.2*100000000</v>
      </c>
      <c r="AX1263" s="1">
        <f>182.2*100000000</f>
        <v>18220000000</v>
      </c>
      <c r="AY1263" s="10">
        <f t="shared" si="616"/>
        <v>-0.75092276144907721</v>
      </c>
      <c r="AZ1263" s="6" t="s">
        <v>1140</v>
      </c>
      <c r="BA1263" s="6" t="str">
        <f t="shared" si="600"/>
        <v>=731.5*100000000</v>
      </c>
      <c r="BB1263" s="1">
        <f>731.5*100000000</f>
        <v>73150000000</v>
      </c>
      <c r="BC1263" s="8">
        <f t="shared" si="617"/>
        <v>0.29583702391496902</v>
      </c>
      <c r="BD1263" s="6" t="s">
        <v>12639</v>
      </c>
      <c r="BE1263" s="6" t="str">
        <f t="shared" si="601"/>
        <v>=564.5*100000000</v>
      </c>
      <c r="BF1263" s="1">
        <f>564.5*100000000</f>
        <v>56450000000</v>
      </c>
      <c r="BG1263" s="8">
        <f t="shared" si="618"/>
        <v>0.53730936819172115</v>
      </c>
      <c r="BH1263" s="6" t="s">
        <v>1914</v>
      </c>
      <c r="BI1263" s="6" t="str">
        <f t="shared" si="602"/>
        <v>=367.2*100000000</v>
      </c>
      <c r="BJ1263" s="1">
        <f>367.2*100000000</f>
        <v>36720000000</v>
      </c>
      <c r="BK1263" s="6" t="s">
        <v>10475</v>
      </c>
      <c r="BL1263" s="1" t="str">
        <f t="shared" si="604"/>
        <v>=174.8*100000000</v>
      </c>
      <c r="BM1263" s="16">
        <f t="shared" si="619"/>
        <v>1.1006864988558351</v>
      </c>
      <c r="BN1263" s="1">
        <f>174.8*100000000</f>
        <v>17480000000</v>
      </c>
    </row>
    <row r="1264" spans="1:66">
      <c r="A1264" s="18"/>
      <c r="B1264">
        <v>601088</v>
      </c>
      <c r="C1264" t="s">
        <v>58</v>
      </c>
      <c r="D1264" s="6" t="s">
        <v>12640</v>
      </c>
      <c r="E1264" s="7" t="str">
        <f t="shared" si="603"/>
        <v>=773.8*100000000</v>
      </c>
      <c r="F1264" s="1">
        <f>773.8*100000000</f>
        <v>77380000000</v>
      </c>
      <c r="G1264" s="8">
        <f t="shared" si="605"/>
        <v>0.31822827938671211</v>
      </c>
      <c r="H1264" s="6" t="s">
        <v>12641</v>
      </c>
      <c r="I1264" s="6" t="str">
        <f t="shared" si="589"/>
        <v>=587.0*100000000</v>
      </c>
      <c r="J1264" s="1">
        <f>587*100000000</f>
        <v>58700000000</v>
      </c>
      <c r="K1264" s="10">
        <f t="shared" si="606"/>
        <v>0.56951871657754005</v>
      </c>
      <c r="L1264" s="6" t="s">
        <v>12642</v>
      </c>
      <c r="M1264" s="6" t="str">
        <f t="shared" si="590"/>
        <v>=374.0*100000000</v>
      </c>
      <c r="N1264" s="1">
        <f>374*100000000</f>
        <v>37400000000</v>
      </c>
      <c r="O1264" s="8">
        <f t="shared" si="607"/>
        <v>1.1165817770232032</v>
      </c>
      <c r="P1264" s="6" t="s">
        <v>12643</v>
      </c>
      <c r="Q1264" s="6" t="str">
        <f t="shared" si="591"/>
        <v>=176.7*100000000</v>
      </c>
      <c r="R1264" s="11">
        <f>176.7*100000000</f>
        <v>17670000000</v>
      </c>
      <c r="S1264" s="8">
        <f t="shared" si="608"/>
        <v>-0.71800191509735078</v>
      </c>
      <c r="T1264" s="6" t="s">
        <v>12644</v>
      </c>
      <c r="U1264" s="6" t="str">
        <f t="shared" si="592"/>
        <v>=626.6*100000000</v>
      </c>
      <c r="V1264" s="1">
        <f>626.6*100000000</f>
        <v>62660000000</v>
      </c>
      <c r="W1264" s="8">
        <f t="shared" si="609"/>
        <v>0.25319999999999998</v>
      </c>
      <c r="X1264" s="6" t="s">
        <v>12645</v>
      </c>
      <c r="Y1264" s="6" t="str">
        <f t="shared" si="593"/>
        <v>=500.0*100000000</v>
      </c>
      <c r="Z1264" s="1">
        <f>500*100000000</f>
        <v>50000000000</v>
      </c>
      <c r="AA1264" s="8">
        <f t="shared" si="610"/>
        <v>0.597444089456869</v>
      </c>
      <c r="AB1264" s="6" t="s">
        <v>9629</v>
      </c>
      <c r="AC1264" s="6" t="str">
        <f t="shared" si="594"/>
        <v>=313.0*100000000</v>
      </c>
      <c r="AD1264" s="1">
        <f>313*100000000</f>
        <v>31300000000</v>
      </c>
      <c r="AE1264" s="8">
        <f t="shared" si="611"/>
        <v>1.1263586956521743</v>
      </c>
      <c r="AF1264" s="6" t="s">
        <v>12646</v>
      </c>
      <c r="AG1264" s="6" t="str">
        <f t="shared" si="595"/>
        <v>=147.2*100000000</v>
      </c>
      <c r="AH1264" s="1">
        <f>147.2*100000000</f>
        <v>14719999999.999998</v>
      </c>
      <c r="AI1264" s="8">
        <f t="shared" si="612"/>
        <v>-0.77937649880095927</v>
      </c>
      <c r="AJ1264" s="6" t="s">
        <v>12647</v>
      </c>
      <c r="AK1264" s="6" t="str">
        <f t="shared" si="596"/>
        <v>=667.2*100000000</v>
      </c>
      <c r="AL1264" s="1">
        <f>667.2*100000000</f>
        <v>66720000000.000008</v>
      </c>
      <c r="AM1264" s="8">
        <f t="shared" si="613"/>
        <v>0.21198910081743882</v>
      </c>
      <c r="AN1264" s="6" t="s">
        <v>12648</v>
      </c>
      <c r="AO1264" s="6" t="str">
        <f t="shared" si="597"/>
        <v>=550.5*100000000</v>
      </c>
      <c r="AP1264" s="1">
        <f>550.5*100000000</f>
        <v>55050000000</v>
      </c>
      <c r="AQ1264" s="8">
        <f t="shared" si="614"/>
        <v>0.49348887683125336</v>
      </c>
      <c r="AR1264" s="6" t="s">
        <v>12649</v>
      </c>
      <c r="AS1264" s="6" t="str">
        <f t="shared" si="598"/>
        <v>=368.6*100000000</v>
      </c>
      <c r="AT1264" s="1">
        <f>368.6*100000000</f>
        <v>36860000000</v>
      </c>
      <c r="AU1264" s="8">
        <f t="shared" si="615"/>
        <v>1.0230515916575191</v>
      </c>
      <c r="AV1264" s="6" t="s">
        <v>12638</v>
      </c>
      <c r="AW1264" s="6" t="str">
        <f t="shared" si="599"/>
        <v>=182.2*100000000</v>
      </c>
      <c r="AX1264" s="1">
        <f>182.2*100000000</f>
        <v>18220000000</v>
      </c>
      <c r="AY1264" s="10">
        <f t="shared" si="616"/>
        <v>-0.73997431140288283</v>
      </c>
      <c r="AZ1264" s="6" t="s">
        <v>12650</v>
      </c>
      <c r="BA1264" s="6" t="str">
        <f t="shared" si="600"/>
        <v>=700.7*100000000</v>
      </c>
      <c r="BB1264" s="1">
        <f>700.7*100000000</f>
        <v>70070000000</v>
      </c>
      <c r="BC1264" s="8">
        <f t="shared" si="617"/>
        <v>0.25236818588025023</v>
      </c>
      <c r="BD1264" s="6" t="s">
        <v>12651</v>
      </c>
      <c r="BE1264" s="6" t="str">
        <f t="shared" si="601"/>
        <v>=559.5*100000000</v>
      </c>
      <c r="BF1264" s="1">
        <f>559.5*100000000</f>
        <v>55950000000</v>
      </c>
      <c r="BG1264" s="8">
        <f t="shared" si="618"/>
        <v>0.52618657937806879</v>
      </c>
      <c r="BH1264" s="6" t="s">
        <v>12652</v>
      </c>
      <c r="BI1264" s="6" t="str">
        <f t="shared" si="602"/>
        <v>=366.6*100000000</v>
      </c>
      <c r="BJ1264" s="1">
        <f>366.6*100000000</f>
        <v>36660000000</v>
      </c>
      <c r="BK1264" s="6" t="s">
        <v>10475</v>
      </c>
      <c r="BL1264" s="1" t="str">
        <f t="shared" si="604"/>
        <v>=174.8*100000000</v>
      </c>
      <c r="BM1264" s="16">
        <f t="shared" si="619"/>
        <v>1.097254004576659</v>
      </c>
      <c r="BN1264" s="1">
        <f>174.8*100000000</f>
        <v>17480000000</v>
      </c>
    </row>
    <row r="1265" spans="1:66">
      <c r="A1265" s="19"/>
      <c r="B1265">
        <v>601088</v>
      </c>
      <c r="C1265" t="s">
        <v>68</v>
      </c>
      <c r="D1265" s="6" t="s">
        <v>12653</v>
      </c>
      <c r="E1265" s="7" t="str">
        <f t="shared" si="603"/>
        <v>=593.6*100000000</v>
      </c>
      <c r="F1265" s="1">
        <f>593.6*100000000</f>
        <v>59360000000</v>
      </c>
      <c r="G1265" s="8">
        <f t="shared" si="605"/>
        <v>0.23924843423799583</v>
      </c>
      <c r="H1265" s="6" t="s">
        <v>12654</v>
      </c>
      <c r="I1265" s="6" t="str">
        <f t="shared" si="589"/>
        <v>=479.0*100000000</v>
      </c>
      <c r="J1265" s="1">
        <f>479*100000000</f>
        <v>47900000000</v>
      </c>
      <c r="K1265" s="10">
        <f t="shared" si="606"/>
        <v>0.54416505480335264</v>
      </c>
      <c r="L1265" s="6" t="s">
        <v>12655</v>
      </c>
      <c r="M1265" s="6" t="str">
        <f t="shared" si="590"/>
        <v>=310.2*100000000</v>
      </c>
      <c r="N1265" s="1">
        <f>310.2*100000000</f>
        <v>31020000000</v>
      </c>
      <c r="O1265" s="8">
        <f t="shared" si="607"/>
        <v>1.2046908315565035</v>
      </c>
      <c r="P1265" s="6" t="s">
        <v>12656</v>
      </c>
      <c r="Q1265" s="6" t="str">
        <f t="shared" si="591"/>
        <v>=140.7*100000000</v>
      </c>
      <c r="R1265" s="11">
        <f>140.7*100000000</f>
        <v>14069999999.999998</v>
      </c>
      <c r="S1265" s="8">
        <f t="shared" si="608"/>
        <v>-0.70234821239686906</v>
      </c>
      <c r="T1265" s="6" t="s">
        <v>6984</v>
      </c>
      <c r="U1265" s="6" t="str">
        <f t="shared" si="592"/>
        <v>=472.7*100000000</v>
      </c>
      <c r="V1265" s="1">
        <f>472.7*100000000</f>
        <v>47270000000</v>
      </c>
      <c r="W1265" s="8">
        <f t="shared" si="609"/>
        <v>0.17792175429852977</v>
      </c>
      <c r="X1265" s="6" t="s">
        <v>12657</v>
      </c>
      <c r="Y1265" s="6" t="str">
        <f t="shared" si="593"/>
        <v>=401.3*100000000</v>
      </c>
      <c r="Z1265" s="1">
        <f>401.3*100000000</f>
        <v>40130000000</v>
      </c>
      <c r="AA1265" s="8">
        <f t="shared" si="610"/>
        <v>0.61749294639258367</v>
      </c>
      <c r="AB1265" s="6" t="s">
        <v>12658</v>
      </c>
      <c r="AC1265" s="6" t="str">
        <f t="shared" si="594"/>
        <v>=248.1*100000000</v>
      </c>
      <c r="AD1265" s="1">
        <f>248.1*100000000</f>
        <v>24810000000</v>
      </c>
      <c r="AE1265" s="8">
        <f t="shared" si="611"/>
        <v>1.1114893617021278</v>
      </c>
      <c r="AF1265" s="6" t="s">
        <v>12659</v>
      </c>
      <c r="AG1265" s="6" t="str">
        <f t="shared" si="595"/>
        <v>=117.5*100000000</v>
      </c>
      <c r="AH1265" s="1">
        <f>117.5*100000000</f>
        <v>11750000000</v>
      </c>
      <c r="AI1265" s="8">
        <f t="shared" si="612"/>
        <v>-0.77202173069460611</v>
      </c>
      <c r="AJ1265" s="6" t="s">
        <v>12660</v>
      </c>
      <c r="AK1265" s="6" t="str">
        <f t="shared" si="596"/>
        <v>=515.4*100000000</v>
      </c>
      <c r="AL1265" s="1">
        <f>515.4*100000000</f>
        <v>51540000000</v>
      </c>
      <c r="AM1265" s="8">
        <f t="shared" si="613"/>
        <v>0.17429938482570062</v>
      </c>
      <c r="AN1265" s="6" t="s">
        <v>12661</v>
      </c>
      <c r="AO1265" s="6" t="str">
        <f t="shared" si="597"/>
        <v>=438.9*100000000</v>
      </c>
      <c r="AP1265" s="1">
        <f>438.9*100000000</f>
        <v>43890000000</v>
      </c>
      <c r="AQ1265" s="8">
        <f t="shared" si="614"/>
        <v>0.52026324904745413</v>
      </c>
      <c r="AR1265" s="6" t="s">
        <v>12662</v>
      </c>
      <c r="AS1265" s="6" t="str">
        <f t="shared" si="598"/>
        <v>=288.7*100000000</v>
      </c>
      <c r="AT1265" s="1">
        <f>288.7*100000000</f>
        <v>28870000000</v>
      </c>
      <c r="AU1265" s="8">
        <f t="shared" si="615"/>
        <v>0.94672960215778801</v>
      </c>
      <c r="AV1265" s="6" t="s">
        <v>12663</v>
      </c>
      <c r="AW1265" s="6" t="str">
        <f t="shared" si="599"/>
        <v>=148.3*100000000</v>
      </c>
      <c r="AX1265" s="1">
        <f>148.3*100000000</f>
        <v>14830000000.000002</v>
      </c>
      <c r="AY1265" s="10">
        <f t="shared" si="616"/>
        <v>-0.72557364914877864</v>
      </c>
      <c r="AZ1265" s="6" t="s">
        <v>12664</v>
      </c>
      <c r="BA1265" s="6" t="str">
        <f t="shared" si="600"/>
        <v>=540.4*100000000</v>
      </c>
      <c r="BB1265" s="1">
        <f>540.4*100000000</f>
        <v>54040000000</v>
      </c>
      <c r="BC1265" s="8">
        <f t="shared" si="617"/>
        <v>0.25034706154558073</v>
      </c>
      <c r="BD1265" s="6" t="s">
        <v>12665</v>
      </c>
      <c r="BE1265" s="6" t="str">
        <f t="shared" si="601"/>
        <v>=432.2*100000000</v>
      </c>
      <c r="BF1265" s="1">
        <f>432.2*100000000</f>
        <v>43220000000</v>
      </c>
      <c r="BG1265" s="8">
        <f t="shared" si="618"/>
        <v>0.54246966452533907</v>
      </c>
      <c r="BH1265" s="6" t="s">
        <v>12666</v>
      </c>
      <c r="BI1265" s="6" t="str">
        <f t="shared" si="602"/>
        <v>=280.2*100000000</v>
      </c>
      <c r="BJ1265" s="1">
        <f>280.2*100000000</f>
        <v>28020000000</v>
      </c>
      <c r="BK1265" s="6" t="s">
        <v>4108</v>
      </c>
      <c r="BL1265" s="1" t="str">
        <f t="shared" si="604"/>
        <v>=141.6*100000000</v>
      </c>
      <c r="BM1265" s="16">
        <f t="shared" si="619"/>
        <v>0.97881355932203384</v>
      </c>
      <c r="BN1265" s="1">
        <f>141.6*100000000</f>
        <v>14160000000</v>
      </c>
    </row>
    <row r="1266" spans="1:66">
      <c r="A1266" s="17">
        <v>318</v>
      </c>
      <c r="B1266">
        <v>601107</v>
      </c>
      <c r="C1266" t="s">
        <v>31</v>
      </c>
      <c r="D1266" s="6" t="s">
        <v>12667</v>
      </c>
      <c r="E1266" s="7" t="str">
        <f t="shared" si="603"/>
        <v>=90.95*100000000</v>
      </c>
      <c r="F1266" s="1">
        <f>90.95*100000000</f>
        <v>9095000000</v>
      </c>
      <c r="G1266" s="8">
        <f t="shared" si="605"/>
        <v>0.4409062103929024</v>
      </c>
      <c r="H1266" s="6" t="s">
        <v>8014</v>
      </c>
      <c r="I1266" s="6" t="str">
        <f t="shared" si="589"/>
        <v>=63.12*100000000</v>
      </c>
      <c r="J1266" s="1">
        <f>63.12*100000000</f>
        <v>6312000000</v>
      </c>
      <c r="K1266" s="10">
        <f t="shared" si="606"/>
        <v>0.6293236964377904</v>
      </c>
      <c r="L1266" s="6" t="s">
        <v>1194</v>
      </c>
      <c r="M1266" s="6" t="str">
        <f t="shared" si="590"/>
        <v>=38.74*100000000</v>
      </c>
      <c r="N1266" s="1">
        <f>38.74*100000000</f>
        <v>3874000000</v>
      </c>
      <c r="O1266" s="8">
        <f t="shared" si="607"/>
        <v>1.7262491203377903</v>
      </c>
      <c r="P1266" s="6" t="s">
        <v>2468</v>
      </c>
      <c r="Q1266" s="6" t="str">
        <f t="shared" si="591"/>
        <v>=14.21*100000000</v>
      </c>
      <c r="R1266" s="11">
        <f>14.21*100000000</f>
        <v>1421000000</v>
      </c>
      <c r="S1266" s="8">
        <f t="shared" si="608"/>
        <v>-0.73969591500274778</v>
      </c>
      <c r="T1266" s="6" t="s">
        <v>9009</v>
      </c>
      <c r="U1266" s="6" t="str">
        <f t="shared" si="592"/>
        <v>=54.59*100000000</v>
      </c>
      <c r="V1266" s="1">
        <f>54.59*100000000</f>
        <v>5459000000</v>
      </c>
      <c r="W1266" s="8">
        <f t="shared" si="609"/>
        <v>0.65474386177629584</v>
      </c>
      <c r="X1266" s="6" t="s">
        <v>12668</v>
      </c>
      <c r="Y1266" s="6" t="str">
        <f t="shared" si="593"/>
        <v>=32.99*100000000</v>
      </c>
      <c r="Z1266" s="1">
        <f>32.99*100000000</f>
        <v>3299000000</v>
      </c>
      <c r="AA1266" s="8">
        <f t="shared" si="610"/>
        <v>0.86068809926677947</v>
      </c>
      <c r="AB1266" s="6" t="s">
        <v>8828</v>
      </c>
      <c r="AC1266" s="6" t="str">
        <f t="shared" si="594"/>
        <v>=17.73*100000000</v>
      </c>
      <c r="AD1266" s="1">
        <f>17.73*100000000</f>
        <v>1773000000</v>
      </c>
      <c r="AE1266" s="8">
        <f t="shared" si="611"/>
        <v>1.8210023866348448</v>
      </c>
      <c r="AF1266" s="6" t="s">
        <v>12669</v>
      </c>
      <c r="AG1266" s="6" t="str">
        <f t="shared" si="595"/>
        <v>=6.285*100000000</v>
      </c>
      <c r="AH1266" s="1">
        <f>6.285*100000000</f>
        <v>628500000</v>
      </c>
      <c r="AI1266" s="8">
        <f t="shared" si="612"/>
        <v>-0.90191947565543074</v>
      </c>
      <c r="AJ1266" s="6" t="s">
        <v>12670</v>
      </c>
      <c r="AK1266" s="6" t="str">
        <f t="shared" si="596"/>
        <v>=64.08*100000000</v>
      </c>
      <c r="AL1266" s="1">
        <f>64.08*100000000</f>
        <v>6408000000</v>
      </c>
      <c r="AM1266" s="8">
        <f t="shared" si="613"/>
        <v>0.36952340243641801</v>
      </c>
      <c r="AN1266" s="6" t="s">
        <v>12671</v>
      </c>
      <c r="AO1266" s="6" t="str">
        <f t="shared" si="597"/>
        <v>=46.79*100000000</v>
      </c>
      <c r="AP1266" s="1">
        <f>46.79*100000000</f>
        <v>4679000000</v>
      </c>
      <c r="AQ1266" s="8">
        <f t="shared" si="614"/>
        <v>0.51866277182732878</v>
      </c>
      <c r="AR1266" s="6" t="s">
        <v>10701</v>
      </c>
      <c r="AS1266" s="6" t="str">
        <f t="shared" si="598"/>
        <v>=30.81*100000000</v>
      </c>
      <c r="AT1266" s="1">
        <f>30.81*100000000</f>
        <v>3081000000</v>
      </c>
      <c r="AU1266" s="8">
        <f t="shared" si="615"/>
        <v>1.0608695652173914</v>
      </c>
      <c r="AV1266" s="6" t="s">
        <v>4714</v>
      </c>
      <c r="AW1266" s="6" t="str">
        <f t="shared" si="599"/>
        <v>=14.95*100000000</v>
      </c>
      <c r="AX1266" s="1">
        <f>14.95*100000000</f>
        <v>1495000000</v>
      </c>
      <c r="AY1266" s="10">
        <f t="shared" si="616"/>
        <v>-0.74953928631261513</v>
      </c>
      <c r="AZ1266" s="6" t="s">
        <v>10047</v>
      </c>
      <c r="BA1266" s="6" t="str">
        <f t="shared" si="600"/>
        <v>=59.69*100000000</v>
      </c>
      <c r="BB1266" s="1">
        <f>59.69*100000000</f>
        <v>5969000000</v>
      </c>
      <c r="BC1266" s="8">
        <f t="shared" si="617"/>
        <v>0.38075410594494563</v>
      </c>
      <c r="BD1266" s="6" t="s">
        <v>12672</v>
      </c>
      <c r="BE1266" s="6" t="str">
        <f t="shared" si="601"/>
        <v>=43.23*100000000</v>
      </c>
      <c r="BF1266" s="1">
        <f>43.23*100000000</f>
        <v>4323000000</v>
      </c>
      <c r="BG1266" s="8">
        <f t="shared" si="618"/>
        <v>0.52756183745583041</v>
      </c>
      <c r="BH1266" s="6" t="s">
        <v>2959</v>
      </c>
      <c r="BI1266" s="6" t="str">
        <f t="shared" si="602"/>
        <v>=28.30*100000000</v>
      </c>
      <c r="BJ1266" s="1">
        <f>28.3*100000000</f>
        <v>2830000000</v>
      </c>
      <c r="BK1266" s="6" t="s">
        <v>11057</v>
      </c>
      <c r="BL1266" s="1" t="str">
        <f t="shared" si="604"/>
        <v>=14.81*100000000</v>
      </c>
      <c r="BM1266" s="16">
        <f t="shared" si="619"/>
        <v>0.9108710330857529</v>
      </c>
      <c r="BN1266" s="1">
        <f>14.81*100000000</f>
        <v>1481000000</v>
      </c>
    </row>
    <row r="1267" spans="1:66">
      <c r="A1267" s="18"/>
      <c r="B1267">
        <v>601107</v>
      </c>
      <c r="C1267" t="s">
        <v>48</v>
      </c>
      <c r="D1267" s="6" t="s">
        <v>12673</v>
      </c>
      <c r="E1267" s="7" t="str">
        <f t="shared" si="603"/>
        <v>=22.73*100000000</v>
      </c>
      <c r="F1267" s="1">
        <f>22.73*100000000</f>
        <v>2273000000</v>
      </c>
      <c r="G1267" s="8">
        <f t="shared" si="605"/>
        <v>0.79683794466403157</v>
      </c>
      <c r="H1267" s="6" t="s">
        <v>6523</v>
      </c>
      <c r="I1267" s="6" t="str">
        <f t="shared" si="589"/>
        <v>=12.65*100000000</v>
      </c>
      <c r="J1267" s="1">
        <f>12.65*100000000</f>
        <v>1265000000</v>
      </c>
      <c r="K1267" s="10">
        <f t="shared" si="606"/>
        <v>0.38690933011731171</v>
      </c>
      <c r="L1267" s="6" t="s">
        <v>1094</v>
      </c>
      <c r="M1267" s="6" t="str">
        <f t="shared" si="590"/>
        <v>=9.121*100000000</v>
      </c>
      <c r="N1267" s="1">
        <f>9.121*100000000</f>
        <v>912100000</v>
      </c>
      <c r="O1267" s="8">
        <f t="shared" si="607"/>
        <v>1.1994212683867855</v>
      </c>
      <c r="P1267" s="6" t="s">
        <v>12674</v>
      </c>
      <c r="Q1267" s="6" t="str">
        <f t="shared" si="591"/>
        <v>=4.147*100000000</v>
      </c>
      <c r="R1267" s="11">
        <f>4.147*100000000</f>
        <v>414700000</v>
      </c>
      <c r="S1267" s="8">
        <f t="shared" si="608"/>
        <v>-0.57234196143137051</v>
      </c>
      <c r="T1267" s="6" t="s">
        <v>12675</v>
      </c>
      <c r="U1267" s="6" t="str">
        <f t="shared" si="592"/>
        <v>=9.697*100000000</v>
      </c>
      <c r="V1267" s="1">
        <f>9.697*100000000</f>
        <v>969699999.99999988</v>
      </c>
      <c r="W1267" s="8">
        <f t="shared" si="609"/>
        <v>1.1747028481722359</v>
      </c>
      <c r="X1267" s="6" t="s">
        <v>12676</v>
      </c>
      <c r="Y1267" s="6" t="str">
        <f t="shared" si="593"/>
        <v>=4.459*100000000</v>
      </c>
      <c r="Z1267" s="1">
        <f>4.459*100000000</f>
        <v>445899999.99999994</v>
      </c>
      <c r="AA1267" s="8">
        <f t="shared" si="610"/>
        <v>-5.2710727969348659</v>
      </c>
      <c r="AB1267" s="6">
        <f>-1.044*100000000</f>
        <v>-104400000</v>
      </c>
      <c r="AC1267" s="6" t="str">
        <f t="shared" si="594"/>
        <v>=-104400000</v>
      </c>
      <c r="AD1267" s="1">
        <f>-104400000</f>
        <v>-104400000</v>
      </c>
      <c r="AE1267" s="8">
        <f t="shared" si="611"/>
        <v>-0.59519193485847233</v>
      </c>
      <c r="AF1267" s="6">
        <f>-2.579*100000000</f>
        <v>-257900000.00000003</v>
      </c>
      <c r="AG1267" s="6" t="str">
        <f t="shared" si="595"/>
        <v>=-257900000</v>
      </c>
      <c r="AH1267" s="1">
        <f>-257900000</f>
        <v>-257900000</v>
      </c>
      <c r="AI1267" s="8">
        <f t="shared" si="612"/>
        <v>-1.1736700336700336</v>
      </c>
      <c r="AJ1267" s="6" t="s">
        <v>9476</v>
      </c>
      <c r="AK1267" s="6" t="str">
        <f t="shared" si="596"/>
        <v>=14.85*100000000</v>
      </c>
      <c r="AL1267" s="1">
        <f>14.85*100000000</f>
        <v>1485000000</v>
      </c>
      <c r="AM1267" s="8">
        <f t="shared" si="613"/>
        <v>2.9819694868238558E-2</v>
      </c>
      <c r="AN1267" s="6" t="s">
        <v>8377</v>
      </c>
      <c r="AO1267" s="6" t="str">
        <f t="shared" si="597"/>
        <v>=14.42*100000000</v>
      </c>
      <c r="AP1267" s="1">
        <f>14.42*100000000</f>
        <v>1442000000</v>
      </c>
      <c r="AQ1267" s="8">
        <f t="shared" si="614"/>
        <v>0.35018726591760302</v>
      </c>
      <c r="AR1267" s="6" t="s">
        <v>8251</v>
      </c>
      <c r="AS1267" s="6" t="str">
        <f t="shared" si="598"/>
        <v>=10.68*100000000</v>
      </c>
      <c r="AT1267" s="1">
        <f>10.68*100000000</f>
        <v>1068000000</v>
      </c>
      <c r="AU1267" s="8">
        <f t="shared" si="615"/>
        <v>0.99402539208364449</v>
      </c>
      <c r="AV1267" s="6" t="s">
        <v>12677</v>
      </c>
      <c r="AW1267" s="6" t="str">
        <f t="shared" si="599"/>
        <v>=5.356*100000000</v>
      </c>
      <c r="AX1267" s="1">
        <f>5.356*100000000</f>
        <v>535600000</v>
      </c>
      <c r="AY1267" s="10">
        <f t="shared" si="616"/>
        <v>-0.53946689595872743</v>
      </c>
      <c r="AZ1267" s="6" t="s">
        <v>12678</v>
      </c>
      <c r="BA1267" s="6" t="str">
        <f t="shared" si="600"/>
        <v>=11.63*100000000</v>
      </c>
      <c r="BB1267" s="1">
        <f>11.63*100000000</f>
        <v>1163000000</v>
      </c>
      <c r="BC1267" s="8">
        <f t="shared" si="617"/>
        <v>-2.3509655751469353E-2</v>
      </c>
      <c r="BD1267" s="6" t="s">
        <v>1299</v>
      </c>
      <c r="BE1267" s="6" t="str">
        <f t="shared" si="601"/>
        <v>=11.91*100000000</v>
      </c>
      <c r="BF1267" s="1">
        <f>11.91*100000000</f>
        <v>1191000000</v>
      </c>
      <c r="BG1267" s="8">
        <f t="shared" si="618"/>
        <v>0.39412384408287504</v>
      </c>
      <c r="BH1267" s="6" t="s">
        <v>12679</v>
      </c>
      <c r="BI1267" s="6" t="str">
        <f t="shared" si="602"/>
        <v>=8.543*100000000</v>
      </c>
      <c r="BJ1267" s="1">
        <f>8.543*100000000</f>
        <v>854299999.99999988</v>
      </c>
      <c r="BK1267" s="6" t="s">
        <v>12680</v>
      </c>
      <c r="BL1267" s="1" t="str">
        <f t="shared" si="604"/>
        <v>=5.007*100000000</v>
      </c>
      <c r="BM1267" s="16">
        <f t="shared" si="619"/>
        <v>0.70621130417415612</v>
      </c>
      <c r="BN1267" s="1">
        <f>5.007*100000000</f>
        <v>500699999.99999994</v>
      </c>
    </row>
    <row r="1268" spans="1:66">
      <c r="A1268" s="18"/>
      <c r="B1268">
        <v>601107</v>
      </c>
      <c r="C1268" t="s">
        <v>58</v>
      </c>
      <c r="D1268" s="6" t="s">
        <v>12681</v>
      </c>
      <c r="E1268" s="7" t="str">
        <f t="shared" si="603"/>
        <v>=22.83*100000000</v>
      </c>
      <c r="F1268" s="1">
        <f>22.83*100000000</f>
        <v>2283000000</v>
      </c>
      <c r="G1268" s="8">
        <f t="shared" si="605"/>
        <v>0.80617088607594933</v>
      </c>
      <c r="H1268" s="6" t="s">
        <v>5658</v>
      </c>
      <c r="I1268" s="6" t="str">
        <f t="shared" si="589"/>
        <v>=12.64*100000000</v>
      </c>
      <c r="J1268" s="1">
        <f>12.64*100000000</f>
        <v>1264000000</v>
      </c>
      <c r="K1268" s="10">
        <f t="shared" si="606"/>
        <v>0.39299096319153626</v>
      </c>
      <c r="L1268" s="6" t="s">
        <v>12682</v>
      </c>
      <c r="M1268" s="6" t="str">
        <f t="shared" si="590"/>
        <v>=9.074*100000000</v>
      </c>
      <c r="N1268" s="1">
        <f>9.074*100000000</f>
        <v>907400000</v>
      </c>
      <c r="O1268" s="8">
        <f t="shared" si="607"/>
        <v>1.1502369668246446</v>
      </c>
      <c r="P1268" s="6" t="s">
        <v>7137</v>
      </c>
      <c r="Q1268" s="6" t="str">
        <f t="shared" si="591"/>
        <v>=4.220*100000000</v>
      </c>
      <c r="R1268" s="11">
        <f>4.22*100000000</f>
        <v>422000000</v>
      </c>
      <c r="S1268" s="8">
        <f t="shared" si="608"/>
        <v>-0.5731337244588306</v>
      </c>
      <c r="T1268" s="6" t="s">
        <v>12683</v>
      </c>
      <c r="U1268" s="6" t="str">
        <f t="shared" si="592"/>
        <v>=9.886*100000000</v>
      </c>
      <c r="V1268" s="1">
        <f>9.886*100000000</f>
        <v>988599999.99999988</v>
      </c>
      <c r="W1268" s="8">
        <f t="shared" si="609"/>
        <v>1.1301443654384828</v>
      </c>
      <c r="X1268" s="6" t="s">
        <v>2780</v>
      </c>
      <c r="Y1268" s="6" t="str">
        <f t="shared" si="593"/>
        <v>=4.641*100000000</v>
      </c>
      <c r="Z1268" s="1">
        <f>4.641*100000000</f>
        <v>464100000</v>
      </c>
      <c r="AA1268" s="8">
        <f t="shared" si="610"/>
        <v>-5.927274657606965</v>
      </c>
      <c r="AB1268" s="7">
        <f>-9419*10000</f>
        <v>-94190000</v>
      </c>
      <c r="AC1268" s="6" t="str">
        <f t="shared" si="594"/>
        <v>=-94190000</v>
      </c>
      <c r="AD1268" s="1">
        <f>-94190000</f>
        <v>-94190000</v>
      </c>
      <c r="AE1268" s="8">
        <f t="shared" si="611"/>
        <v>-0.62533810660302303</v>
      </c>
      <c r="AF1268" s="6">
        <f>-2.514*100000000</f>
        <v>-251399999.99999997</v>
      </c>
      <c r="AG1268" s="6" t="str">
        <f t="shared" si="595"/>
        <v>=-251400000</v>
      </c>
      <c r="AH1268" s="1">
        <f>-251400000</f>
        <v>-251400000</v>
      </c>
      <c r="AI1268" s="8">
        <f t="shared" si="612"/>
        <v>-1.1721917808219178</v>
      </c>
      <c r="AJ1268" s="6" t="s">
        <v>6018</v>
      </c>
      <c r="AK1268" s="6" t="str">
        <f t="shared" si="596"/>
        <v>=14.60*100000000</v>
      </c>
      <c r="AL1268" s="1">
        <f>14.6*100000000</f>
        <v>1460000000</v>
      </c>
      <c r="AM1268" s="8">
        <f t="shared" si="613"/>
        <v>7.59144237405107E-3</v>
      </c>
      <c r="AN1268" s="6" t="s">
        <v>1838</v>
      </c>
      <c r="AO1268" s="6" t="str">
        <f t="shared" si="597"/>
        <v>=14.49*100000000</v>
      </c>
      <c r="AP1268" s="1">
        <f>14.49*100000000</f>
        <v>1449000000</v>
      </c>
      <c r="AQ1268" s="8">
        <f t="shared" si="614"/>
        <v>0.35674157303370785</v>
      </c>
      <c r="AR1268" s="6" t="s">
        <v>8251</v>
      </c>
      <c r="AS1268" s="6" t="str">
        <f t="shared" si="598"/>
        <v>=10.68*100000000</v>
      </c>
      <c r="AT1268" s="1">
        <f>10.68*100000000</f>
        <v>1068000000</v>
      </c>
      <c r="AU1268" s="8">
        <f t="shared" si="615"/>
        <v>0.97594819611470862</v>
      </c>
      <c r="AV1268" s="6" t="s">
        <v>6380</v>
      </c>
      <c r="AW1268" s="6" t="str">
        <f t="shared" si="599"/>
        <v>=5.405*100000000</v>
      </c>
      <c r="AX1268" s="1">
        <f>5.405*100000000</f>
        <v>540500000</v>
      </c>
      <c r="AY1268" s="10">
        <f t="shared" si="616"/>
        <v>-0.55145228215767639</v>
      </c>
      <c r="AZ1268" s="6" t="s">
        <v>4343</v>
      </c>
      <c r="BA1268" s="6" t="str">
        <f t="shared" si="600"/>
        <v>=12.05*100000000</v>
      </c>
      <c r="BB1268" s="1">
        <f>12.05*100000000</f>
        <v>1205000000</v>
      </c>
      <c r="BC1268" s="8">
        <f t="shared" si="617"/>
        <v>-1.0673234811165846E-2</v>
      </c>
      <c r="BD1268" s="6" t="s">
        <v>11056</v>
      </c>
      <c r="BE1268" s="6" t="str">
        <f t="shared" si="601"/>
        <v>=12.18*100000000</v>
      </c>
      <c r="BF1268" s="1">
        <f>12.18*100000000</f>
        <v>1218000000</v>
      </c>
      <c r="BG1268" s="8">
        <f t="shared" si="618"/>
        <v>0.4067914067914068</v>
      </c>
      <c r="BH1268" s="6" t="s">
        <v>12684</v>
      </c>
      <c r="BI1268" s="6" t="str">
        <f t="shared" si="602"/>
        <v>=8.658*100000000</v>
      </c>
      <c r="BJ1268" s="1">
        <f>8.658*100000000</f>
        <v>865800000</v>
      </c>
      <c r="BK1268" s="6" t="s">
        <v>12685</v>
      </c>
      <c r="BL1268" s="1" t="str">
        <f t="shared" si="604"/>
        <v>=5.051*100000000</v>
      </c>
      <c r="BM1268" s="16">
        <f t="shared" si="619"/>
        <v>0.71411601663037028</v>
      </c>
      <c r="BN1268" s="1">
        <f>5.051*100000000</f>
        <v>505100000</v>
      </c>
    </row>
    <row r="1269" spans="1:66">
      <c r="A1269" s="19"/>
      <c r="B1269">
        <v>601107</v>
      </c>
      <c r="C1269" t="s">
        <v>68</v>
      </c>
      <c r="D1269" s="6" t="s">
        <v>2140</v>
      </c>
      <c r="E1269" s="7" t="str">
        <f t="shared" si="603"/>
        <v>=19.46*100000000</v>
      </c>
      <c r="F1269" s="1">
        <f>19.46*100000000</f>
        <v>1946000000</v>
      </c>
      <c r="G1269" s="8">
        <f t="shared" si="605"/>
        <v>0.92102665350444202</v>
      </c>
      <c r="H1269" s="6" t="s">
        <v>1409</v>
      </c>
      <c r="I1269" s="6" t="str">
        <f t="shared" si="589"/>
        <v>=10.13*100000000</v>
      </c>
      <c r="J1269" s="1">
        <f>10.13*100000000</f>
        <v>1013000000.0000001</v>
      </c>
      <c r="K1269" s="10">
        <f t="shared" si="606"/>
        <v>0.39148351648351665</v>
      </c>
      <c r="L1269" s="6" t="s">
        <v>10609</v>
      </c>
      <c r="M1269" s="6" t="str">
        <f t="shared" si="590"/>
        <v>=7.280*100000000</v>
      </c>
      <c r="N1269" s="1">
        <f>7.28*100000000</f>
        <v>728000000</v>
      </c>
      <c r="O1269" s="8">
        <f t="shared" si="607"/>
        <v>1.1532091097308488</v>
      </c>
      <c r="P1269" s="6" t="s">
        <v>12686</v>
      </c>
      <c r="Q1269" s="6" t="str">
        <f t="shared" si="591"/>
        <v>=3.381*100000000</v>
      </c>
      <c r="R1269" s="11">
        <f>3.381*100000000</f>
        <v>338100000</v>
      </c>
      <c r="S1269" s="8">
        <f t="shared" si="608"/>
        <v>-0.53741961964701057</v>
      </c>
      <c r="T1269" s="6" t="s">
        <v>7677</v>
      </c>
      <c r="U1269" s="6" t="str">
        <f t="shared" si="592"/>
        <v>=7.309*100000000</v>
      </c>
      <c r="V1269" s="1">
        <f>7.309*100000000</f>
        <v>730900000</v>
      </c>
      <c r="W1269" s="8">
        <f t="shared" si="609"/>
        <v>1.3122429610882631</v>
      </c>
      <c r="X1269" s="6" t="s">
        <v>12687</v>
      </c>
      <c r="Y1269" s="6" t="str">
        <f t="shared" si="593"/>
        <v>=3.161*100000000</v>
      </c>
      <c r="Z1269" s="1">
        <f>3.161*100000000</f>
        <v>316100000</v>
      </c>
      <c r="AA1269" s="8">
        <f t="shared" si="610"/>
        <v>-3.2514245014245016</v>
      </c>
      <c r="AB1269" s="6">
        <f>-1.404*100000000</f>
        <v>-140400000</v>
      </c>
      <c r="AC1269" s="6" t="str">
        <f t="shared" si="594"/>
        <v>=-140400000</v>
      </c>
      <c r="AD1269" s="1">
        <f>-140400000</f>
        <v>-140400000</v>
      </c>
      <c r="AE1269" s="8">
        <f t="shared" si="611"/>
        <v>-0.467778620166793</v>
      </c>
      <c r="AF1269" s="6">
        <f>-2.638*100000000</f>
        <v>-263800000</v>
      </c>
      <c r="AG1269" s="6" t="str">
        <f t="shared" si="595"/>
        <v>=-263800000</v>
      </c>
      <c r="AH1269" s="1">
        <f>-263800000</f>
        <v>-263800000</v>
      </c>
      <c r="AI1269" s="8">
        <f t="shared" si="612"/>
        <v>-1.2334513274336283</v>
      </c>
      <c r="AJ1269" s="6" t="s">
        <v>5296</v>
      </c>
      <c r="AK1269" s="6" t="str">
        <f t="shared" si="596"/>
        <v>=11.30*100000000</v>
      </c>
      <c r="AL1269" s="1">
        <f>11.3*100000000</f>
        <v>1130000000</v>
      </c>
      <c r="AM1269" s="8">
        <f t="shared" si="613"/>
        <v>-3.2534246575342464E-2</v>
      </c>
      <c r="AN1269" s="6" t="s">
        <v>7004</v>
      </c>
      <c r="AO1269" s="6" t="str">
        <f t="shared" si="597"/>
        <v>=11.68*100000000</v>
      </c>
      <c r="AP1269" s="1">
        <f>11.68*100000000</f>
        <v>1168000000</v>
      </c>
      <c r="AQ1269" s="8">
        <f t="shared" si="614"/>
        <v>0.34283743389284893</v>
      </c>
      <c r="AR1269" s="6" t="s">
        <v>12688</v>
      </c>
      <c r="AS1269" s="6" t="str">
        <f t="shared" si="598"/>
        <v>=8.698*100000000</v>
      </c>
      <c r="AT1269" s="1">
        <f>8.698*100000000</f>
        <v>869800000</v>
      </c>
      <c r="AU1269" s="8">
        <f t="shared" si="615"/>
        <v>0.96831862412310499</v>
      </c>
      <c r="AV1269" s="6" t="s">
        <v>5431</v>
      </c>
      <c r="AW1269" s="6" t="str">
        <f t="shared" si="599"/>
        <v>=4.419*100000000</v>
      </c>
      <c r="AX1269" s="1">
        <f>4.419*100000000</f>
        <v>441899999.99999994</v>
      </c>
      <c r="AY1269" s="10">
        <f t="shared" si="616"/>
        <v>-0.5094360568383659</v>
      </c>
      <c r="AZ1269" s="6" t="s">
        <v>11688</v>
      </c>
      <c r="BA1269" s="6" t="str">
        <f t="shared" si="600"/>
        <v>=9.008*100000000</v>
      </c>
      <c r="BB1269" s="1">
        <f>9.008*100000000</f>
        <v>900799999.99999988</v>
      </c>
      <c r="BC1269" s="8">
        <f t="shared" si="617"/>
        <v>-5.8528428093645612E-2</v>
      </c>
      <c r="BD1269" s="6" t="s">
        <v>12689</v>
      </c>
      <c r="BE1269" s="6" t="str">
        <f t="shared" si="601"/>
        <v>=9.568*100000000</v>
      </c>
      <c r="BF1269" s="1">
        <f>9.568*100000000</f>
        <v>956800000</v>
      </c>
      <c r="BG1269" s="8">
        <f t="shared" si="618"/>
        <v>0.396584440227704</v>
      </c>
      <c r="BH1269" s="6" t="s">
        <v>9042</v>
      </c>
      <c r="BI1269" s="6" t="str">
        <f t="shared" si="602"/>
        <v>=6.851*100000000</v>
      </c>
      <c r="BJ1269" s="1">
        <f>6.851*100000000</f>
        <v>685100000</v>
      </c>
      <c r="BK1269" s="6" t="s">
        <v>4236</v>
      </c>
      <c r="BL1269" s="1" t="str">
        <f t="shared" si="604"/>
        <v>=4.100*100000000</v>
      </c>
      <c r="BM1269" s="16">
        <f t="shared" si="619"/>
        <v>0.67097560975609782</v>
      </c>
      <c r="BN1269" s="1">
        <f>4.1*100000000</f>
        <v>409999999.99999994</v>
      </c>
    </row>
    <row r="1270" spans="1:66">
      <c r="A1270" s="17">
        <v>319</v>
      </c>
      <c r="B1270">
        <v>601111</v>
      </c>
      <c r="C1270" t="s">
        <v>31</v>
      </c>
      <c r="D1270" s="6" t="s">
        <v>7208</v>
      </c>
      <c r="E1270" s="7" t="str">
        <f t="shared" si="603"/>
        <v>=745.3*100000000</v>
      </c>
      <c r="F1270" s="1">
        <f>745.3*100000000</f>
        <v>74530000000</v>
      </c>
      <c r="G1270" s="8">
        <f t="shared" si="605"/>
        <v>0.29707622694048036</v>
      </c>
      <c r="H1270" s="6" t="s">
        <v>12690</v>
      </c>
      <c r="I1270" s="6" t="str">
        <f t="shared" si="589"/>
        <v>=574.6*100000000</v>
      </c>
      <c r="J1270" s="1">
        <f>574.6*100000000</f>
        <v>57460000000</v>
      </c>
      <c r="K1270" s="10">
        <f t="shared" si="606"/>
        <v>0.52575677110993091</v>
      </c>
      <c r="L1270" s="6" t="s">
        <v>12691</v>
      </c>
      <c r="M1270" s="6" t="str">
        <f t="shared" si="590"/>
        <v>=376.6*100000000</v>
      </c>
      <c r="N1270" s="1">
        <f>376.6*100000000</f>
        <v>37660000000</v>
      </c>
      <c r="O1270" s="8">
        <f t="shared" si="607"/>
        <v>1.5829903978052124</v>
      </c>
      <c r="P1270" s="6" t="s">
        <v>535</v>
      </c>
      <c r="Q1270" s="6" t="str">
        <f t="shared" si="591"/>
        <v>=145.8*100000000</v>
      </c>
      <c r="R1270" s="11">
        <f>145.8*100000000</f>
        <v>14580000000.000002</v>
      </c>
      <c r="S1270" s="8">
        <f t="shared" si="608"/>
        <v>-0.79021582733812945</v>
      </c>
      <c r="T1270" s="6" t="s">
        <v>12692</v>
      </c>
      <c r="U1270" s="6" t="str">
        <f t="shared" si="592"/>
        <v>=695.0*100000000</v>
      </c>
      <c r="V1270" s="1">
        <f>695*100000000</f>
        <v>69500000000</v>
      </c>
      <c r="W1270" s="8">
        <f t="shared" si="609"/>
        <v>0.43446852425180599</v>
      </c>
      <c r="X1270" s="6" t="s">
        <v>12693</v>
      </c>
      <c r="Y1270" s="6" t="str">
        <f t="shared" si="593"/>
        <v>=484.5*100000000</v>
      </c>
      <c r="Z1270" s="1">
        <f>484.5*100000000</f>
        <v>48450000000</v>
      </c>
      <c r="AA1270" s="8">
        <f t="shared" si="610"/>
        <v>0.63406408094435074</v>
      </c>
      <c r="AB1270" s="6" t="s">
        <v>12694</v>
      </c>
      <c r="AC1270" s="6" t="str">
        <f t="shared" si="594"/>
        <v>=296.5*100000000</v>
      </c>
      <c r="AD1270" s="1">
        <f>296.5*100000000</f>
        <v>29650000000</v>
      </c>
      <c r="AE1270" s="8">
        <f t="shared" si="611"/>
        <v>0.71784472769409036</v>
      </c>
      <c r="AF1270" s="6" t="s">
        <v>6153</v>
      </c>
      <c r="AG1270" s="6" t="str">
        <f t="shared" si="595"/>
        <v>=172.6*100000000</v>
      </c>
      <c r="AH1270" s="1">
        <f>172.6*100000000</f>
        <v>17260000000</v>
      </c>
      <c r="AI1270" s="8">
        <f t="shared" si="612"/>
        <v>-0.87327459618208514</v>
      </c>
      <c r="AJ1270" s="6" t="s">
        <v>12695</v>
      </c>
      <c r="AK1270" s="6" t="str">
        <f t="shared" si="596"/>
        <v>=1362*100000000</v>
      </c>
      <c r="AL1270" s="1">
        <f>1362*100000000</f>
        <v>136200000000</v>
      </c>
      <c r="AM1270" s="8">
        <f t="shared" si="613"/>
        <v>0.32104752667313285</v>
      </c>
      <c r="AN1270" s="6" t="s">
        <v>12696</v>
      </c>
      <c r="AO1270" s="6" t="str">
        <f t="shared" si="597"/>
        <v>=1031*100000000</v>
      </c>
      <c r="AP1270" s="1">
        <f>1031*100000000</f>
        <v>103100000000</v>
      </c>
      <c r="AQ1270" s="8">
        <f t="shared" si="614"/>
        <v>0.57862501913948861</v>
      </c>
      <c r="AR1270" s="6" t="s">
        <v>12697</v>
      </c>
      <c r="AS1270" s="6" t="str">
        <f t="shared" si="598"/>
        <v>=653.1*100000000</v>
      </c>
      <c r="AT1270" s="1">
        <f>653.1*100000000</f>
        <v>65310000000</v>
      </c>
      <c r="AU1270" s="8">
        <f t="shared" si="615"/>
        <v>1.0064516129032257</v>
      </c>
      <c r="AV1270" s="6" t="s">
        <v>12698</v>
      </c>
      <c r="AW1270" s="6" t="str">
        <f t="shared" si="599"/>
        <v>=325.5*100000000</v>
      </c>
      <c r="AX1270" s="1">
        <f>325.5*100000000</f>
        <v>32550000000</v>
      </c>
      <c r="AY1270" s="10">
        <f t="shared" si="616"/>
        <v>-0.76206140350877194</v>
      </c>
      <c r="AZ1270" s="6" t="s">
        <v>12699</v>
      </c>
      <c r="BA1270" s="6" t="str">
        <f t="shared" si="600"/>
        <v>=1368*100000000</v>
      </c>
      <c r="BB1270" s="1">
        <f>1368*100000000</f>
        <v>136800000000</v>
      </c>
      <c r="BC1270" s="8">
        <f t="shared" si="617"/>
        <v>0.32944606413994171</v>
      </c>
      <c r="BD1270" s="6" t="s">
        <v>12700</v>
      </c>
      <c r="BE1270" s="6" t="str">
        <f t="shared" si="601"/>
        <v>=1029*100000000</v>
      </c>
      <c r="BF1270" s="1">
        <f>1029*100000000</f>
        <v>102900000000</v>
      </c>
      <c r="BG1270" s="8">
        <f t="shared" si="618"/>
        <v>0.60180572851805725</v>
      </c>
      <c r="BH1270" s="6" t="s">
        <v>12701</v>
      </c>
      <c r="BI1270" s="6" t="str">
        <f t="shared" si="602"/>
        <v>=642.4*100000000</v>
      </c>
      <c r="BJ1270" s="1">
        <f>642.4*100000000</f>
        <v>64240000000</v>
      </c>
      <c r="BK1270" s="6" t="s">
        <v>12702</v>
      </c>
      <c r="BL1270" s="1" t="str">
        <f t="shared" si="604"/>
        <v>=316.1*100000000</v>
      </c>
      <c r="BM1270" s="16">
        <f t="shared" si="619"/>
        <v>1.032268269534957</v>
      </c>
      <c r="BN1270" s="1">
        <f>316.1*100000000</f>
        <v>31610000000.000004</v>
      </c>
    </row>
    <row r="1271" spans="1:66">
      <c r="A1271" s="18"/>
      <c r="B1271">
        <v>601111</v>
      </c>
      <c r="C1271" t="s">
        <v>48</v>
      </c>
      <c r="D1271" s="6">
        <f>-218.5*100000000</f>
        <v>-21850000000</v>
      </c>
      <c r="E1271" s="7" t="str">
        <f t="shared" si="603"/>
        <v>=-21850000000</v>
      </c>
      <c r="F1271" s="1">
        <f>-21850000000</f>
        <v>-21850000000</v>
      </c>
      <c r="G1271" s="8">
        <f t="shared" si="605"/>
        <v>0.48841961852861038</v>
      </c>
      <c r="H1271" s="6">
        <f>-146.8*100000000</f>
        <v>-14680000000.000002</v>
      </c>
      <c r="I1271" s="6" t="str">
        <f t="shared" si="589"/>
        <v>=-14680000000</v>
      </c>
      <c r="J1271" s="1">
        <f>-14680000000</f>
        <v>-14680000000</v>
      </c>
      <c r="K1271" s="10">
        <f t="shared" si="606"/>
        <v>0.55278189126295751</v>
      </c>
      <c r="L1271" s="6">
        <f>-94.54*100000000</f>
        <v>-9454000000</v>
      </c>
      <c r="M1271" s="6" t="str">
        <f t="shared" si="590"/>
        <v>=-9454000000</v>
      </c>
      <c r="N1271" s="1">
        <f>-9454000000</f>
        <v>-9454000000</v>
      </c>
      <c r="O1271" s="8">
        <f t="shared" si="607"/>
        <v>9.1938091938091937E-2</v>
      </c>
      <c r="P1271" s="6">
        <f>-86.58*100000000</f>
        <v>-8658000000</v>
      </c>
      <c r="Q1271" s="6" t="str">
        <f t="shared" si="591"/>
        <v>=-8658000000</v>
      </c>
      <c r="R1271" s="11">
        <f>-8658000000</f>
        <v>-8658000000</v>
      </c>
      <c r="S1271" s="8">
        <f t="shared" si="608"/>
        <v>-0.53200000000000003</v>
      </c>
      <c r="T1271" s="6">
        <f>-185*100000000</f>
        <v>-18500000000</v>
      </c>
      <c r="U1271" s="6" t="str">
        <f t="shared" si="592"/>
        <v>=-18500000000</v>
      </c>
      <c r="V1271" s="1">
        <f>-18500000000</f>
        <v>-18500000000</v>
      </c>
      <c r="W1271" s="8">
        <f t="shared" si="609"/>
        <v>0.3612950699043414</v>
      </c>
      <c r="X1271" s="6">
        <f>-135.9*100000000</f>
        <v>-13590000000</v>
      </c>
      <c r="Y1271" s="6" t="str">
        <f t="shared" si="593"/>
        <v>=-13590000000</v>
      </c>
      <c r="Z1271" s="1">
        <f>-13590000000</f>
        <v>-13590000000</v>
      </c>
      <c r="AA1271" s="8">
        <f t="shared" si="610"/>
        <v>3.819709702062643E-2</v>
      </c>
      <c r="AB1271" s="6">
        <f>-130.9*100000000</f>
        <v>-13090000000</v>
      </c>
      <c r="AC1271" s="6" t="str">
        <f t="shared" si="594"/>
        <v>=-13090000000</v>
      </c>
      <c r="AD1271" s="1">
        <f>-13090000000</f>
        <v>-13090000000</v>
      </c>
      <c r="AE1271" s="8">
        <f t="shared" si="611"/>
        <v>0.92811901605538372</v>
      </c>
      <c r="AF1271" s="6">
        <f>-67.89*100000000</f>
        <v>-6789000000</v>
      </c>
      <c r="AG1271" s="6" t="str">
        <f t="shared" si="595"/>
        <v>=-6789000000</v>
      </c>
      <c r="AH1271" s="1">
        <f>-6789000000</f>
        <v>-6789000000</v>
      </c>
      <c r="AI1271" s="8">
        <f t="shared" si="612"/>
        <v>-1.7397036391370668</v>
      </c>
      <c r="AJ1271" s="6" t="s">
        <v>12703</v>
      </c>
      <c r="AK1271" s="6" t="str">
        <f t="shared" si="596"/>
        <v>=91.78*100000000</v>
      </c>
      <c r="AL1271" s="1">
        <f>91.78*100000000</f>
        <v>9178000000</v>
      </c>
      <c r="AM1271" s="8">
        <f t="shared" si="613"/>
        <v>-6.8174439995671464E-3</v>
      </c>
      <c r="AN1271" s="6" t="s">
        <v>12704</v>
      </c>
      <c r="AO1271" s="6" t="str">
        <f t="shared" si="597"/>
        <v>=92.41*100000000</v>
      </c>
      <c r="AP1271" s="1">
        <f>92.41*100000000</f>
        <v>9241000000</v>
      </c>
      <c r="AQ1271" s="8">
        <f t="shared" si="614"/>
        <v>1.1088544043815609</v>
      </c>
      <c r="AR1271" s="6" t="s">
        <v>12538</v>
      </c>
      <c r="AS1271" s="6" t="str">
        <f t="shared" si="598"/>
        <v>=43.82*100000000</v>
      </c>
      <c r="AT1271" s="1">
        <f>43.82*100000000</f>
        <v>4382000000</v>
      </c>
      <c r="AU1271" s="8">
        <f t="shared" si="615"/>
        <v>0.10100502512562827</v>
      </c>
      <c r="AV1271" s="6" t="s">
        <v>12705</v>
      </c>
      <c r="AW1271" s="6" t="str">
        <f t="shared" si="599"/>
        <v>=39.80*100000000</v>
      </c>
      <c r="AX1271" s="1">
        <f>39.8*100000000</f>
        <v>3979999999.9999995</v>
      </c>
      <c r="AY1271" s="10">
        <f t="shared" si="616"/>
        <v>-0.5949521677182984</v>
      </c>
      <c r="AZ1271" s="6" t="s">
        <v>12706</v>
      </c>
      <c r="BA1271" s="6" t="str">
        <f t="shared" si="600"/>
        <v>=98.26*100000000</v>
      </c>
      <c r="BB1271" s="1">
        <f>98.26*100000000</f>
        <v>9826000000</v>
      </c>
      <c r="BC1271" s="8">
        <f t="shared" si="617"/>
        <v>2.4288543729802981E-2</v>
      </c>
      <c r="BD1271" s="6" t="s">
        <v>12707</v>
      </c>
      <c r="BE1271" s="6" t="str">
        <f t="shared" si="601"/>
        <v>=95.93*100000000</v>
      </c>
      <c r="BF1271" s="1">
        <f>95.93*100000000</f>
        <v>9593000000</v>
      </c>
      <c r="BG1271" s="8">
        <f t="shared" si="618"/>
        <v>0.92591849026299944</v>
      </c>
      <c r="BH1271" s="6" t="s">
        <v>5858</v>
      </c>
      <c r="BI1271" s="6" t="str">
        <f t="shared" si="602"/>
        <v>=49.81*100000000</v>
      </c>
      <c r="BJ1271" s="1">
        <f>49.81*100000000</f>
        <v>4981000000</v>
      </c>
      <c r="BK1271" s="6" t="s">
        <v>12708</v>
      </c>
      <c r="BL1271" s="1" t="str">
        <f t="shared" si="604"/>
        <v>=40.17*100000000</v>
      </c>
      <c r="BM1271" s="16">
        <f t="shared" si="619"/>
        <v>0.23998008464027881</v>
      </c>
      <c r="BN1271" s="1">
        <f>40.17*100000000</f>
        <v>4017000000</v>
      </c>
    </row>
    <row r="1272" spans="1:66">
      <c r="A1272" s="18"/>
      <c r="B1272">
        <v>601111</v>
      </c>
      <c r="C1272" t="s">
        <v>58</v>
      </c>
      <c r="D1272" s="6">
        <f>-218.4*100000000</f>
        <v>-21840000000</v>
      </c>
      <c r="E1272" s="7" t="str">
        <f t="shared" si="603"/>
        <v>=-21840000000</v>
      </c>
      <c r="F1272" s="1">
        <f>-21840000000</f>
        <v>-21840000000</v>
      </c>
      <c r="G1272" s="8">
        <f t="shared" si="605"/>
        <v>0.4907849829351536</v>
      </c>
      <c r="H1272" s="6">
        <f>-146.5*100000000</f>
        <v>-14650000000</v>
      </c>
      <c r="I1272" s="6" t="str">
        <f t="shared" si="589"/>
        <v>=-14650000000</v>
      </c>
      <c r="J1272" s="1">
        <f>-14650000000</f>
        <v>-14650000000</v>
      </c>
      <c r="K1272" s="10">
        <f t="shared" si="606"/>
        <v>0.55668898097970465</v>
      </c>
      <c r="L1272" s="6">
        <f>-94.11*100000000</f>
        <v>-9411000000</v>
      </c>
      <c r="M1272" s="6" t="str">
        <f t="shared" si="590"/>
        <v>=-9411000000</v>
      </c>
      <c r="N1272" s="1">
        <f>-9411000000</f>
        <v>-9411000000</v>
      </c>
      <c r="O1272" s="8">
        <f t="shared" si="607"/>
        <v>8.948830747858301E-2</v>
      </c>
      <c r="P1272" s="6">
        <f>-86.38*100000000</f>
        <v>-8638000000</v>
      </c>
      <c r="Q1272" s="6" t="str">
        <f t="shared" si="591"/>
        <v>=-8638000000</v>
      </c>
      <c r="R1272" s="11">
        <f>-8638000000</f>
        <v>-8638000000</v>
      </c>
      <c r="S1272" s="8">
        <f t="shared" si="608"/>
        <v>-0.53232268543584194</v>
      </c>
      <c r="T1272" s="6">
        <f>-184.7*100000000</f>
        <v>-18470000000</v>
      </c>
      <c r="U1272" s="6" t="str">
        <f t="shared" si="592"/>
        <v>=-18470000000</v>
      </c>
      <c r="V1272" s="1">
        <f>-18470000000</f>
        <v>-18470000000</v>
      </c>
      <c r="W1272" s="8">
        <f t="shared" si="609"/>
        <v>0.36109064112011791</v>
      </c>
      <c r="X1272" s="6">
        <f>-135.7*100000000</f>
        <v>-13569999999.999998</v>
      </c>
      <c r="Y1272" s="6" t="str">
        <f t="shared" si="593"/>
        <v>=-13570000000</v>
      </c>
      <c r="Z1272" s="1">
        <f>-13570000000</f>
        <v>-13570000000</v>
      </c>
      <c r="AA1272" s="8">
        <f t="shared" si="610"/>
        <v>3.5877862595419849E-2</v>
      </c>
      <c r="AB1272" s="6">
        <f>-131*100000000</f>
        <v>-13100000000</v>
      </c>
      <c r="AC1272" s="6" t="str">
        <f t="shared" si="594"/>
        <v>=-13100000000</v>
      </c>
      <c r="AD1272" s="1">
        <f>-13100000000</f>
        <v>-13100000000</v>
      </c>
      <c r="AE1272" s="8">
        <f t="shared" si="611"/>
        <v>0.92959198703785539</v>
      </c>
      <c r="AF1272" s="6">
        <f>-67.89*100000000</f>
        <v>-6789000000</v>
      </c>
      <c r="AG1272" s="6" t="str">
        <f t="shared" si="595"/>
        <v>=-6789000000</v>
      </c>
      <c r="AH1272" s="1">
        <f>-6789000000</f>
        <v>-6789000000</v>
      </c>
      <c r="AI1272" s="8">
        <f t="shared" si="612"/>
        <v>-1.7456342668863263</v>
      </c>
      <c r="AJ1272" s="6" t="s">
        <v>12709</v>
      </c>
      <c r="AK1272" s="6" t="str">
        <f t="shared" si="596"/>
        <v>=91.05*100000000</v>
      </c>
      <c r="AL1272" s="1">
        <f>91.05*100000000</f>
        <v>9105000000</v>
      </c>
      <c r="AM1272" s="8">
        <f t="shared" si="613"/>
        <v>-2.4847381385884118E-2</v>
      </c>
      <c r="AN1272" s="6" t="s">
        <v>12710</v>
      </c>
      <c r="AO1272" s="6" t="str">
        <f t="shared" si="597"/>
        <v>=93.37*100000000</v>
      </c>
      <c r="AP1272" s="1">
        <f>93.37*100000000</f>
        <v>9337000000</v>
      </c>
      <c r="AQ1272" s="8">
        <f t="shared" si="614"/>
        <v>1.0753500777950655</v>
      </c>
      <c r="AR1272" s="6" t="s">
        <v>12711</v>
      </c>
      <c r="AS1272" s="6" t="str">
        <f t="shared" si="598"/>
        <v>=44.99*100000000</v>
      </c>
      <c r="AT1272" s="1">
        <f>44.99*100000000</f>
        <v>4499000000</v>
      </c>
      <c r="AU1272" s="8">
        <f t="shared" si="615"/>
        <v>0.10134638922888617</v>
      </c>
      <c r="AV1272" s="6" t="s">
        <v>1165</v>
      </c>
      <c r="AW1272" s="6" t="str">
        <f t="shared" si="599"/>
        <v>=40.85*100000000</v>
      </c>
      <c r="AX1272" s="1">
        <f>40.85*100000000</f>
        <v>4085000000</v>
      </c>
      <c r="AY1272" s="10">
        <f t="shared" si="616"/>
        <v>-0.58977706366740312</v>
      </c>
      <c r="AZ1272" s="6" t="s">
        <v>12712</v>
      </c>
      <c r="BA1272" s="6" t="str">
        <f t="shared" si="600"/>
        <v>=99.58*100000000</v>
      </c>
      <c r="BB1272" s="1">
        <f>99.58*100000000</f>
        <v>9958000000</v>
      </c>
      <c r="BC1272" s="8">
        <f t="shared" si="617"/>
        <v>4.0217277760367702E-2</v>
      </c>
      <c r="BD1272" s="6" t="s">
        <v>12713</v>
      </c>
      <c r="BE1272" s="6" t="str">
        <f t="shared" si="601"/>
        <v>=95.73*100000000</v>
      </c>
      <c r="BF1272" s="1">
        <f>95.73*100000000</f>
        <v>9573000000</v>
      </c>
      <c r="BG1272" s="8">
        <f t="shared" si="618"/>
        <v>0.91613290632506006</v>
      </c>
      <c r="BH1272" s="6" t="s">
        <v>12714</v>
      </c>
      <c r="BI1272" s="6" t="str">
        <f t="shared" si="602"/>
        <v>=49.96*100000000</v>
      </c>
      <c r="BJ1272" s="1">
        <f>49.96*100000000</f>
        <v>4996000000</v>
      </c>
      <c r="BK1272" s="6" t="s">
        <v>8908</v>
      </c>
      <c r="BL1272" s="1" t="str">
        <f t="shared" si="604"/>
        <v>=40.24*100000000</v>
      </c>
      <c r="BM1272" s="16">
        <f t="shared" si="619"/>
        <v>0.2415506958250497</v>
      </c>
      <c r="BN1272" s="1">
        <f>40.24*100000000</f>
        <v>4024000000</v>
      </c>
    </row>
    <row r="1273" spans="1:66">
      <c r="A1273" s="19"/>
      <c r="B1273">
        <v>601111</v>
      </c>
      <c r="C1273" t="s">
        <v>68</v>
      </c>
      <c r="D1273" s="6">
        <f>-188.3*100000000</f>
        <v>-18830000000</v>
      </c>
      <c r="E1273" s="7" t="str">
        <f t="shared" si="603"/>
        <v>=-18830000000</v>
      </c>
      <c r="F1273" s="1">
        <f>-18830000000</f>
        <v>-18830000000</v>
      </c>
      <c r="G1273" s="8">
        <f t="shared" si="605"/>
        <v>0.59576271186440677</v>
      </c>
      <c r="H1273" s="6">
        <f>-118*100000000</f>
        <v>-11800000000</v>
      </c>
      <c r="I1273" s="6" t="str">
        <f t="shared" si="589"/>
        <v>=-11800000000</v>
      </c>
      <c r="J1273" s="1">
        <f>-11800000000</f>
        <v>-11800000000</v>
      </c>
      <c r="K1273" s="10">
        <f t="shared" si="606"/>
        <v>0.53745928338762217</v>
      </c>
      <c r="L1273" s="6">
        <f>-76.75*100000000</f>
        <v>-7675000000</v>
      </c>
      <c r="M1273" s="6" t="str">
        <f t="shared" si="590"/>
        <v>=-7675000000</v>
      </c>
      <c r="N1273" s="1">
        <f>-7675000000</f>
        <v>-7675000000</v>
      </c>
      <c r="O1273" s="8">
        <f t="shared" si="607"/>
        <v>0.10479343601554628</v>
      </c>
      <c r="P1273" s="6">
        <f>-69.47*100000000</f>
        <v>-6947000000</v>
      </c>
      <c r="Q1273" s="6" t="str">
        <f t="shared" si="591"/>
        <v>=-6947000000</v>
      </c>
      <c r="R1273" s="11">
        <f>-6947000000</f>
        <v>-6947000000</v>
      </c>
      <c r="S1273" s="8">
        <f t="shared" si="608"/>
        <v>-0.56087231352718081</v>
      </c>
      <c r="T1273" s="6">
        <f>-158.2*100000000</f>
        <v>-15819999999.999998</v>
      </c>
      <c r="U1273" s="6" t="str">
        <f t="shared" si="592"/>
        <v>=-15820000000</v>
      </c>
      <c r="V1273" s="1">
        <f>-15820000000</f>
        <v>-15820000000</v>
      </c>
      <c r="W1273" s="8">
        <f t="shared" si="609"/>
        <v>0.38045375218150085</v>
      </c>
      <c r="X1273" s="6">
        <f>-114.6*100000000</f>
        <v>-11460000000</v>
      </c>
      <c r="Y1273" s="6" t="str">
        <f t="shared" si="593"/>
        <v>=-11460000000</v>
      </c>
      <c r="Z1273" s="1">
        <f>-11460000000</f>
        <v>-11460000000</v>
      </c>
      <c r="AA1273" s="8">
        <f t="shared" si="610"/>
        <v>5.5248618784530384E-2</v>
      </c>
      <c r="AB1273" s="6">
        <f>-108.6*100000000</f>
        <v>-10860000000</v>
      </c>
      <c r="AC1273" s="6" t="str">
        <f t="shared" si="594"/>
        <v>=-10860000000</v>
      </c>
      <c r="AD1273" s="1">
        <f>-10860000000</f>
        <v>-10860000000</v>
      </c>
      <c r="AE1273" s="8">
        <f t="shared" si="611"/>
        <v>0.93376068376068377</v>
      </c>
      <c r="AF1273" s="6">
        <f>-56.16*100000000</f>
        <v>-5616000000</v>
      </c>
      <c r="AG1273" s="6" t="str">
        <f t="shared" si="595"/>
        <v>=-5616000000</v>
      </c>
      <c r="AH1273" s="1">
        <f>-5616000000</f>
        <v>-5616000000</v>
      </c>
      <c r="AI1273" s="8">
        <f t="shared" si="612"/>
        <v>-1.7744070601213457</v>
      </c>
      <c r="AJ1273" s="6" t="s">
        <v>12715</v>
      </c>
      <c r="AK1273" s="6" t="str">
        <f t="shared" si="596"/>
        <v>=72.52*100000000</v>
      </c>
      <c r="AL1273" s="1">
        <f>72.52*100000000</f>
        <v>7252000000</v>
      </c>
      <c r="AM1273" s="8">
        <f t="shared" si="613"/>
        <v>-4.6165987110351178E-2</v>
      </c>
      <c r="AN1273" s="6" t="s">
        <v>12716</v>
      </c>
      <c r="AO1273" s="6" t="str">
        <f t="shared" si="597"/>
        <v>=76.03*100000000</v>
      </c>
      <c r="AP1273" s="1">
        <f>76.03*100000000</f>
        <v>7603000000</v>
      </c>
      <c r="AQ1273" s="8">
        <f t="shared" si="614"/>
        <v>1.174771167048055</v>
      </c>
      <c r="AR1273" s="6" t="s">
        <v>12717</v>
      </c>
      <c r="AS1273" s="6" t="str">
        <f t="shared" si="598"/>
        <v>=34.96*100000000</v>
      </c>
      <c r="AT1273" s="1">
        <f>34.96*100000000</f>
        <v>3496000000</v>
      </c>
      <c r="AU1273" s="8">
        <f t="shared" si="615"/>
        <v>8.0012357120791008E-2</v>
      </c>
      <c r="AV1273" s="6" t="s">
        <v>12718</v>
      </c>
      <c r="AW1273" s="6" t="str">
        <f t="shared" si="599"/>
        <v>=32.37*100000000</v>
      </c>
      <c r="AX1273" s="1">
        <f>32.37*100000000</f>
        <v>3236999999.9999995</v>
      </c>
      <c r="AY1273" s="10">
        <f t="shared" si="616"/>
        <v>-0.60529203755639571</v>
      </c>
      <c r="AZ1273" s="6" t="s">
        <v>12719</v>
      </c>
      <c r="BA1273" s="6" t="str">
        <f t="shared" si="600"/>
        <v>=82.01*100000000</v>
      </c>
      <c r="BB1273" s="1">
        <f>82.01*100000000</f>
        <v>8201000000.000001</v>
      </c>
      <c r="BC1273" s="8">
        <f t="shared" si="617"/>
        <v>7.539994754786257E-2</v>
      </c>
      <c r="BD1273" s="6" t="s">
        <v>10438</v>
      </c>
      <c r="BE1273" s="6" t="str">
        <f t="shared" si="601"/>
        <v>=76.26*100000000</v>
      </c>
      <c r="BF1273" s="1">
        <f>76.26*100000000</f>
        <v>7626000000.000001</v>
      </c>
      <c r="BG1273" s="8">
        <f t="shared" si="618"/>
        <v>0.95688991531947676</v>
      </c>
      <c r="BH1273" s="6" t="s">
        <v>12720</v>
      </c>
      <c r="BI1273" s="6" t="str">
        <f t="shared" si="602"/>
        <v>=38.97*100000000</v>
      </c>
      <c r="BJ1273" s="1">
        <f>38.97*100000000</f>
        <v>3897000000</v>
      </c>
      <c r="BK1273" s="6" t="s">
        <v>4625</v>
      </c>
      <c r="BL1273" s="1" t="str">
        <f t="shared" si="604"/>
        <v>=31.78*100000000</v>
      </c>
      <c r="BM1273" s="16">
        <f t="shared" si="619"/>
        <v>0.22624292007551919</v>
      </c>
      <c r="BN1273" s="1">
        <f>31.78*100000000</f>
        <v>3178000000</v>
      </c>
    </row>
    <row r="1274" spans="1:66">
      <c r="A1274" s="17">
        <v>320</v>
      </c>
      <c r="B1274">
        <v>601116</v>
      </c>
      <c r="C1274" t="s">
        <v>31</v>
      </c>
      <c r="D1274" s="6" t="s">
        <v>4113</v>
      </c>
      <c r="E1274" s="7" t="str">
        <f t="shared" si="603"/>
        <v>=39.25*100000000</v>
      </c>
      <c r="F1274" s="1">
        <f>39.25*100000000</f>
        <v>3925000000</v>
      </c>
      <c r="G1274" s="8">
        <f t="shared" si="605"/>
        <v>0.31888440860215056</v>
      </c>
      <c r="H1274" s="6" t="s">
        <v>12721</v>
      </c>
      <c r="I1274" s="6" t="str">
        <f t="shared" si="589"/>
        <v>=29.76*100000000</v>
      </c>
      <c r="J1274" s="1">
        <f>29.76*100000000</f>
        <v>2976000000</v>
      </c>
      <c r="K1274" s="10">
        <f t="shared" si="606"/>
        <v>0.48799999999999999</v>
      </c>
      <c r="L1274" s="6" t="s">
        <v>9159</v>
      </c>
      <c r="M1274" s="6" t="str">
        <f t="shared" si="590"/>
        <v>=20.00*100000000</v>
      </c>
      <c r="N1274" s="1">
        <f>20*100000000</f>
        <v>2000000000</v>
      </c>
      <c r="O1274" s="8">
        <f t="shared" si="607"/>
        <v>0.80018001800180016</v>
      </c>
      <c r="P1274" s="6" t="s">
        <v>4104</v>
      </c>
      <c r="Q1274" s="6" t="str">
        <f t="shared" si="591"/>
        <v>=11.11*100000000</v>
      </c>
      <c r="R1274" s="11">
        <f>11.11*100000000</f>
        <v>1111000000</v>
      </c>
      <c r="S1274" s="8">
        <f t="shared" si="608"/>
        <v>-0.74162790697674419</v>
      </c>
      <c r="T1274" s="6" t="s">
        <v>5919</v>
      </c>
      <c r="U1274" s="6" t="str">
        <f t="shared" si="592"/>
        <v>=43.00*100000000</v>
      </c>
      <c r="V1274" s="1">
        <f>43*100000000</f>
        <v>4300000000</v>
      </c>
      <c r="W1274" s="8">
        <f t="shared" si="609"/>
        <v>0.27445168938944875</v>
      </c>
      <c r="X1274" s="6" t="s">
        <v>12722</v>
      </c>
      <c r="Y1274" s="6" t="str">
        <f t="shared" si="593"/>
        <v>=33.74*100000000</v>
      </c>
      <c r="Z1274" s="1">
        <f>33.74*100000000</f>
        <v>3374000000</v>
      </c>
      <c r="AA1274" s="8">
        <f t="shared" si="610"/>
        <v>0.43880597014925371</v>
      </c>
      <c r="AB1274" s="6" t="s">
        <v>10869</v>
      </c>
      <c r="AC1274" s="6" t="str">
        <f t="shared" si="594"/>
        <v>=23.45*100000000</v>
      </c>
      <c r="AD1274" s="1">
        <f>23.45*100000000</f>
        <v>2345000000</v>
      </c>
      <c r="AE1274" s="8">
        <f t="shared" si="611"/>
        <v>0.72807663964627856</v>
      </c>
      <c r="AF1274" s="6" t="s">
        <v>2283</v>
      </c>
      <c r="AG1274" s="6" t="str">
        <f t="shared" si="595"/>
        <v>=13.57*100000000</v>
      </c>
      <c r="AH1274" s="1">
        <f>13.57*100000000</f>
        <v>1357000000</v>
      </c>
      <c r="AI1274" s="8">
        <f t="shared" si="612"/>
        <v>-0.65895953757225434</v>
      </c>
      <c r="AJ1274" s="6" t="s">
        <v>12723</v>
      </c>
      <c r="AK1274" s="6" t="str">
        <f t="shared" si="596"/>
        <v>=39.79*100000000</v>
      </c>
      <c r="AL1274" s="1">
        <f>39.79*100000000</f>
        <v>3979000000</v>
      </c>
      <c r="AM1274" s="8">
        <f t="shared" si="613"/>
        <v>0.29398373983739839</v>
      </c>
      <c r="AN1274" s="6" t="s">
        <v>6025</v>
      </c>
      <c r="AO1274" s="6" t="str">
        <f t="shared" si="597"/>
        <v>=30.75*100000000</v>
      </c>
      <c r="AP1274" s="1">
        <f>30.75*100000000</f>
        <v>3075000000</v>
      </c>
      <c r="AQ1274" s="8">
        <f t="shared" si="614"/>
        <v>0.46778042959427207</v>
      </c>
      <c r="AR1274" s="6" t="s">
        <v>12724</v>
      </c>
      <c r="AS1274" s="6" t="str">
        <f t="shared" si="598"/>
        <v>=20.95*100000000</v>
      </c>
      <c r="AT1274" s="1">
        <f>20.95*100000000</f>
        <v>2095000000</v>
      </c>
      <c r="AU1274" s="8">
        <f t="shared" si="615"/>
        <v>0.83450087565674258</v>
      </c>
      <c r="AV1274" s="6" t="s">
        <v>3970</v>
      </c>
      <c r="AW1274" s="6" t="str">
        <f t="shared" si="599"/>
        <v>=11.42*100000000</v>
      </c>
      <c r="AX1274" s="1">
        <f>11.42*100000000</f>
        <v>1142000000</v>
      </c>
      <c r="AY1274" s="10">
        <f t="shared" si="616"/>
        <v>-0.72368739414468908</v>
      </c>
      <c r="AZ1274" s="6" t="s">
        <v>5913</v>
      </c>
      <c r="BA1274" s="6" t="str">
        <f t="shared" si="600"/>
        <v>=41.33*100000000</v>
      </c>
      <c r="BB1274" s="1">
        <f>41.33*100000000</f>
        <v>4133000000</v>
      </c>
      <c r="BC1274" s="8">
        <f t="shared" si="617"/>
        <v>0.315404201145767</v>
      </c>
      <c r="BD1274" s="6" t="s">
        <v>9301</v>
      </c>
      <c r="BE1274" s="6" t="str">
        <f t="shared" si="601"/>
        <v>=31.42*100000000</v>
      </c>
      <c r="BF1274" s="1">
        <f>31.42*100000000</f>
        <v>3142000000</v>
      </c>
      <c r="BG1274" s="8">
        <f t="shared" si="618"/>
        <v>0.51275878671160324</v>
      </c>
      <c r="BH1274" s="6" t="s">
        <v>2412</v>
      </c>
      <c r="BI1274" s="6" t="str">
        <f t="shared" si="602"/>
        <v>=20.77*100000000</v>
      </c>
      <c r="BJ1274" s="1">
        <f>20.77*100000000</f>
        <v>2077000000</v>
      </c>
      <c r="BK1274" s="6" t="s">
        <v>12725</v>
      </c>
      <c r="BL1274" s="1" t="str">
        <f t="shared" si="604"/>
        <v>=11.15*100000000</v>
      </c>
      <c r="BM1274" s="16">
        <f t="shared" si="619"/>
        <v>0.86278026905829597</v>
      </c>
      <c r="BN1274" s="1">
        <f>11.15*100000000</f>
        <v>1115000000</v>
      </c>
    </row>
    <row r="1275" spans="1:66">
      <c r="A1275" s="18"/>
      <c r="B1275">
        <v>601116</v>
      </c>
      <c r="C1275" t="s">
        <v>48</v>
      </c>
      <c r="D1275" s="6" t="s">
        <v>6275</v>
      </c>
      <c r="E1275" s="7" t="str">
        <f t="shared" si="603"/>
        <v>=1.264*100000000</v>
      </c>
      <c r="F1275" s="1">
        <f>1.264*100000000</f>
        <v>126400000</v>
      </c>
      <c r="G1275" s="8">
        <f t="shared" si="605"/>
        <v>0.40757238307349664</v>
      </c>
      <c r="H1275" s="7" t="s">
        <v>12726</v>
      </c>
      <c r="I1275" s="6" t="str">
        <f t="shared" si="589"/>
        <v>=8980*10000</v>
      </c>
      <c r="J1275" s="1">
        <f>8980*10000</f>
        <v>89800000</v>
      </c>
      <c r="K1275" s="10">
        <f t="shared" si="606"/>
        <v>0.50469168900804284</v>
      </c>
      <c r="L1275" s="7" t="s">
        <v>4604</v>
      </c>
      <c r="M1275" s="6" t="str">
        <f t="shared" si="590"/>
        <v>=5968*10000</v>
      </c>
      <c r="N1275" s="1">
        <f>5968*10000</f>
        <v>59680000</v>
      </c>
      <c r="O1275" s="8">
        <f t="shared" si="607"/>
        <v>0.62571506401525467</v>
      </c>
      <c r="P1275" s="7" t="s">
        <v>7685</v>
      </c>
      <c r="Q1275" s="6" t="str">
        <f t="shared" si="591"/>
        <v>=3671*10000</v>
      </c>
      <c r="R1275" s="11">
        <f>3671*10000</f>
        <v>36710000</v>
      </c>
      <c r="S1275" s="8">
        <f t="shared" si="608"/>
        <v>-0.77710989678202791</v>
      </c>
      <c r="T1275" s="6" t="s">
        <v>12727</v>
      </c>
      <c r="U1275" s="6" t="str">
        <f t="shared" si="592"/>
        <v>=1.647*100000000</v>
      </c>
      <c r="V1275" s="1">
        <f>1.647*100000000</f>
        <v>164700000</v>
      </c>
      <c r="W1275" s="8">
        <f t="shared" si="609"/>
        <v>0.15013966480446927</v>
      </c>
      <c r="X1275" s="6" t="s">
        <v>12025</v>
      </c>
      <c r="Y1275" s="6" t="str">
        <f t="shared" si="593"/>
        <v>=1.432*100000000</v>
      </c>
      <c r="Z1275" s="1">
        <f>1.432*100000000</f>
        <v>143200000</v>
      </c>
      <c r="AA1275" s="8">
        <f t="shared" si="610"/>
        <v>0.27175843694493801</v>
      </c>
      <c r="AB1275" s="6" t="s">
        <v>3574</v>
      </c>
      <c r="AC1275" s="6" t="str">
        <f t="shared" si="594"/>
        <v>=1.126*100000000</v>
      </c>
      <c r="AD1275" s="1">
        <f>1.126*100000000</f>
        <v>112599999.99999999</v>
      </c>
      <c r="AE1275" s="8">
        <f t="shared" si="611"/>
        <v>0.12263210368893322</v>
      </c>
      <c r="AF1275" s="6" t="s">
        <v>2918</v>
      </c>
      <c r="AG1275" s="6" t="str">
        <f t="shared" si="595"/>
        <v>=1.003*100000000</v>
      </c>
      <c r="AH1275" s="1">
        <f>1.003*100000000</f>
        <v>100299999.99999999</v>
      </c>
      <c r="AI1275" s="8">
        <f t="shared" si="612"/>
        <v>-0.52032520325203269</v>
      </c>
      <c r="AJ1275" s="6" t="s">
        <v>12728</v>
      </c>
      <c r="AK1275" s="6" t="str">
        <f t="shared" si="596"/>
        <v>=2.091*100000000</v>
      </c>
      <c r="AL1275" s="1">
        <f>2.091*100000000</f>
        <v>209100000.00000003</v>
      </c>
      <c r="AM1275" s="8">
        <f t="shared" si="613"/>
        <v>0.20449308755760387</v>
      </c>
      <c r="AN1275" s="6" t="s">
        <v>12729</v>
      </c>
      <c r="AO1275" s="6" t="str">
        <f t="shared" si="597"/>
        <v>=1.736*100000000</v>
      </c>
      <c r="AP1275" s="1">
        <f>1.736*100000000</f>
        <v>173600000</v>
      </c>
      <c r="AQ1275" s="8">
        <f t="shared" si="614"/>
        <v>0.23383084577114427</v>
      </c>
      <c r="AR1275" s="6" t="s">
        <v>2210</v>
      </c>
      <c r="AS1275" s="6" t="str">
        <f t="shared" si="598"/>
        <v>=1.407*100000000</v>
      </c>
      <c r="AT1275" s="1">
        <f>1.407*100000000</f>
        <v>140700000</v>
      </c>
      <c r="AU1275" s="8">
        <f t="shared" si="615"/>
        <v>0.91012761335867498</v>
      </c>
      <c r="AV1275" s="7" t="s">
        <v>12730</v>
      </c>
      <c r="AW1275" s="6" t="str">
        <f t="shared" si="599"/>
        <v>=7366*10000</v>
      </c>
      <c r="AX1275" s="1">
        <f>7366*10000</f>
        <v>73660000</v>
      </c>
      <c r="AY1275" s="10">
        <f t="shared" si="616"/>
        <v>-0.53991255465334165</v>
      </c>
      <c r="AZ1275" s="6" t="s">
        <v>2910</v>
      </c>
      <c r="BA1275" s="6" t="str">
        <f t="shared" si="600"/>
        <v>=1.601*100000000</v>
      </c>
      <c r="BB1275" s="1">
        <f>1.601*100000000</f>
        <v>160100000</v>
      </c>
      <c r="BC1275" s="8">
        <f t="shared" si="617"/>
        <v>0.42691622103386789</v>
      </c>
      <c r="BD1275" s="6" t="s">
        <v>11388</v>
      </c>
      <c r="BE1275" s="6" t="str">
        <f t="shared" si="601"/>
        <v>=1.122*100000000</v>
      </c>
      <c r="BF1275" s="1">
        <f>1.122*100000000</f>
        <v>112200000.00000001</v>
      </c>
      <c r="BG1275" s="8">
        <f t="shared" si="618"/>
        <v>0.42043296619825316</v>
      </c>
      <c r="BH1275" s="7" t="s">
        <v>12731</v>
      </c>
      <c r="BI1275" s="6" t="str">
        <f t="shared" si="602"/>
        <v>=7899*10000</v>
      </c>
      <c r="BJ1275" s="1">
        <f>7899*10000</f>
        <v>78990000</v>
      </c>
      <c r="BK1275" s="7" t="s">
        <v>12732</v>
      </c>
      <c r="BL1275" s="1" t="str">
        <f t="shared" si="604"/>
        <v>=5213*10000</v>
      </c>
      <c r="BM1275" s="16">
        <f t="shared" si="619"/>
        <v>0.51525033569921352</v>
      </c>
      <c r="BN1275" s="1">
        <f>5213*10000</f>
        <v>52130000</v>
      </c>
    </row>
    <row r="1276" spans="1:66">
      <c r="A1276" s="18"/>
      <c r="B1276">
        <v>601116</v>
      </c>
      <c r="C1276" t="s">
        <v>58</v>
      </c>
      <c r="D1276" s="6" t="s">
        <v>2838</v>
      </c>
      <c r="E1276" s="7" t="str">
        <f t="shared" si="603"/>
        <v>=1.250*100000000</v>
      </c>
      <c r="F1276" s="1">
        <f>1.25*100000000</f>
        <v>125000000</v>
      </c>
      <c r="G1276" s="8">
        <f t="shared" si="605"/>
        <v>0.40260323159784561</v>
      </c>
      <c r="H1276" s="7" t="s">
        <v>12733</v>
      </c>
      <c r="I1276" s="6" t="str">
        <f t="shared" si="589"/>
        <v>=8912*10000</v>
      </c>
      <c r="J1276" s="1">
        <f>8912*10000</f>
        <v>89120000</v>
      </c>
      <c r="K1276" s="10">
        <f t="shared" si="606"/>
        <v>0.4968088679879073</v>
      </c>
      <c r="L1276" s="7" t="s">
        <v>12734</v>
      </c>
      <c r="M1276" s="6" t="str">
        <f t="shared" si="590"/>
        <v>=5954*10000</v>
      </c>
      <c r="N1276" s="1">
        <f>5954*10000</f>
        <v>59540000</v>
      </c>
      <c r="O1276" s="8">
        <f t="shared" si="607"/>
        <v>0.62455661664392903</v>
      </c>
      <c r="P1276" s="7" t="s">
        <v>6631</v>
      </c>
      <c r="Q1276" s="6" t="str">
        <f t="shared" si="591"/>
        <v>=3665*10000</v>
      </c>
      <c r="R1276" s="11">
        <f>3665*10000</f>
        <v>36650000</v>
      </c>
      <c r="S1276" s="8">
        <f t="shared" si="608"/>
        <v>-0.77638804148871265</v>
      </c>
      <c r="T1276" s="6" t="s">
        <v>1688</v>
      </c>
      <c r="U1276" s="6" t="str">
        <f t="shared" si="592"/>
        <v>=1.639*100000000</v>
      </c>
      <c r="V1276" s="1">
        <f>1.639*100000000</f>
        <v>163900000</v>
      </c>
      <c r="W1276" s="8">
        <f t="shared" si="609"/>
        <v>0.15017543859649124</v>
      </c>
      <c r="X1276" s="6" t="s">
        <v>5503</v>
      </c>
      <c r="Y1276" s="6" t="str">
        <f t="shared" si="593"/>
        <v>=1.425*100000000</v>
      </c>
      <c r="Z1276" s="1">
        <f>1.425*100000000</f>
        <v>142500000</v>
      </c>
      <c r="AA1276" s="8">
        <f t="shared" si="610"/>
        <v>0.26892252894033836</v>
      </c>
      <c r="AB1276" s="6" t="s">
        <v>9183</v>
      </c>
      <c r="AC1276" s="6" t="str">
        <f t="shared" si="594"/>
        <v>=1.123*100000000</v>
      </c>
      <c r="AD1276" s="1">
        <f>1.123*100000000</f>
        <v>112300000</v>
      </c>
      <c r="AE1276" s="8">
        <f t="shared" si="611"/>
        <v>0.12075848303393213</v>
      </c>
      <c r="AF1276" s="6" t="s">
        <v>2523</v>
      </c>
      <c r="AG1276" s="6" t="str">
        <f t="shared" si="595"/>
        <v>=1.002*100000000</v>
      </c>
      <c r="AH1276" s="1">
        <f>1.002*100000000</f>
        <v>100200000</v>
      </c>
      <c r="AI1276" s="8">
        <f t="shared" si="612"/>
        <v>-0.51288283908604759</v>
      </c>
      <c r="AJ1276" s="6" t="s">
        <v>10258</v>
      </c>
      <c r="AK1276" s="6" t="str">
        <f t="shared" si="596"/>
        <v>=2.057*100000000</v>
      </c>
      <c r="AL1276" s="1">
        <f>2.057*100000000</f>
        <v>205700000</v>
      </c>
      <c r="AM1276" s="8">
        <f t="shared" si="613"/>
        <v>0.18354430379746836</v>
      </c>
      <c r="AN1276" s="6" t="s">
        <v>12735</v>
      </c>
      <c r="AO1276" s="6" t="str">
        <f t="shared" si="597"/>
        <v>=1.738*100000000</v>
      </c>
      <c r="AP1276" s="1">
        <f>1.738*100000000</f>
        <v>173800000</v>
      </c>
      <c r="AQ1276" s="8">
        <f t="shared" si="614"/>
        <v>0.23175053153791636</v>
      </c>
      <c r="AR1276" s="6" t="s">
        <v>10880</v>
      </c>
      <c r="AS1276" s="6" t="str">
        <f t="shared" si="598"/>
        <v>=1.411*100000000</v>
      </c>
      <c r="AT1276" s="1">
        <f>1.411*100000000</f>
        <v>141100000</v>
      </c>
      <c r="AU1276" s="8">
        <f t="shared" si="615"/>
        <v>0.92339149400218101</v>
      </c>
      <c r="AV1276" s="7" t="s">
        <v>12736</v>
      </c>
      <c r="AW1276" s="6" t="str">
        <f t="shared" si="599"/>
        <v>=7336*10000</v>
      </c>
      <c r="AX1276" s="1">
        <f>7336*10000</f>
        <v>73360000</v>
      </c>
      <c r="AY1276" s="10">
        <f t="shared" si="616"/>
        <v>-0.53094629156010231</v>
      </c>
      <c r="AZ1276" s="6" t="s">
        <v>1772</v>
      </c>
      <c r="BA1276" s="6" t="str">
        <f t="shared" si="600"/>
        <v>=1.564*100000000</v>
      </c>
      <c r="BB1276" s="1">
        <f>1.564*100000000</f>
        <v>156400000</v>
      </c>
      <c r="BC1276" s="8">
        <f t="shared" si="617"/>
        <v>0.41666666666666646</v>
      </c>
      <c r="BD1276" s="6" t="s">
        <v>12737</v>
      </c>
      <c r="BE1276" s="6" t="str">
        <f t="shared" si="601"/>
        <v>=1.104*100000000</v>
      </c>
      <c r="BF1276" s="1">
        <f>1.104*100000000</f>
        <v>110400000.00000001</v>
      </c>
      <c r="BG1276" s="8">
        <f t="shared" si="618"/>
        <v>0.41122331586347965</v>
      </c>
      <c r="BH1276" s="7" t="s">
        <v>12036</v>
      </c>
      <c r="BI1276" s="6" t="str">
        <f t="shared" si="602"/>
        <v>=7823*10000</v>
      </c>
      <c r="BJ1276" s="1">
        <f>7823*10000</f>
        <v>78230000</v>
      </c>
      <c r="BK1276" s="7" t="s">
        <v>12738</v>
      </c>
      <c r="BL1276" s="1" t="str">
        <f t="shared" si="604"/>
        <v>=5178*10000</v>
      </c>
      <c r="BM1276" s="16">
        <f t="shared" si="619"/>
        <v>0.51081498648126689</v>
      </c>
      <c r="BN1276" s="1">
        <f>5178*10000</f>
        <v>51780000</v>
      </c>
    </row>
    <row r="1277" spans="1:66">
      <c r="A1277" s="19"/>
      <c r="B1277">
        <v>601116</v>
      </c>
      <c r="C1277" t="s">
        <v>68</v>
      </c>
      <c r="D1277" s="7" t="s">
        <v>12739</v>
      </c>
      <c r="E1277" s="7" t="str">
        <f t="shared" si="603"/>
        <v>=8829*10000</v>
      </c>
      <c r="F1277" s="1">
        <f>8829*10000</f>
        <v>88290000</v>
      </c>
      <c r="G1277" s="8">
        <f t="shared" si="605"/>
        <v>0.35497237569060774</v>
      </c>
      <c r="H1277" s="7" t="s">
        <v>12740</v>
      </c>
      <c r="I1277" s="6" t="str">
        <f t="shared" si="589"/>
        <v>=6516*10000</v>
      </c>
      <c r="J1277" s="1">
        <f>6516*10000</f>
        <v>65160000</v>
      </c>
      <c r="K1277" s="10">
        <f t="shared" si="606"/>
        <v>0.49930971007823288</v>
      </c>
      <c r="L1277" s="7" t="s">
        <v>7049</v>
      </c>
      <c r="M1277" s="6" t="str">
        <f t="shared" si="590"/>
        <v>=4346*10000</v>
      </c>
      <c r="N1277" s="1">
        <f>4346*10000</f>
        <v>43460000</v>
      </c>
      <c r="O1277" s="8">
        <f t="shared" si="607"/>
        <v>0.61501300631735412</v>
      </c>
      <c r="P1277" s="7" t="s">
        <v>12741</v>
      </c>
      <c r="Q1277" s="6" t="str">
        <f t="shared" si="591"/>
        <v>=2691*10000</v>
      </c>
      <c r="R1277" s="11">
        <f>2691*10000</f>
        <v>26910000</v>
      </c>
      <c r="S1277" s="8">
        <f t="shared" si="608"/>
        <v>-0.78014705882352942</v>
      </c>
      <c r="T1277" s="6" t="s">
        <v>11458</v>
      </c>
      <c r="U1277" s="6" t="str">
        <f t="shared" si="592"/>
        <v>=1.224*100000000</v>
      </c>
      <c r="V1277" s="1">
        <f>1.224*100000000</f>
        <v>122400000</v>
      </c>
      <c r="W1277" s="8">
        <f t="shared" si="609"/>
        <v>0.1449953227315248</v>
      </c>
      <c r="X1277" s="6" t="s">
        <v>4278</v>
      </c>
      <c r="Y1277" s="6" t="str">
        <f t="shared" si="593"/>
        <v>=1.069*100000000</v>
      </c>
      <c r="Z1277" s="1">
        <f>1.069*100000000</f>
        <v>106900000</v>
      </c>
      <c r="AA1277" s="8">
        <f t="shared" si="610"/>
        <v>0.26493906046621701</v>
      </c>
      <c r="AB1277" s="7" t="s">
        <v>12742</v>
      </c>
      <c r="AC1277" s="6" t="str">
        <f t="shared" si="594"/>
        <v>=8451*10000</v>
      </c>
      <c r="AD1277" s="1">
        <f>8451*10000</f>
        <v>84510000</v>
      </c>
      <c r="AE1277" s="8">
        <f t="shared" si="611"/>
        <v>0.12022799575821845</v>
      </c>
      <c r="AF1277" s="7" t="s">
        <v>12743</v>
      </c>
      <c r="AG1277" s="6" t="str">
        <f t="shared" si="595"/>
        <v>=7544*10000</v>
      </c>
      <c r="AH1277" s="1">
        <f>7544*10000</f>
        <v>75440000</v>
      </c>
      <c r="AI1277" s="8">
        <f t="shared" si="612"/>
        <v>-0.52996884735202487</v>
      </c>
      <c r="AJ1277" s="6" t="s">
        <v>3377</v>
      </c>
      <c r="AK1277" s="6" t="str">
        <f t="shared" si="596"/>
        <v>=1.605*100000000</v>
      </c>
      <c r="AL1277" s="1">
        <f>1.605*100000000</f>
        <v>160500000</v>
      </c>
      <c r="AM1277" s="8">
        <f t="shared" si="613"/>
        <v>0.17496339677891654</v>
      </c>
      <c r="AN1277" s="6" t="s">
        <v>8280</v>
      </c>
      <c r="AO1277" s="6" t="str">
        <f t="shared" si="597"/>
        <v>=1.366*100000000</v>
      </c>
      <c r="AP1277" s="1">
        <f>1.366*100000000</f>
        <v>136600000</v>
      </c>
      <c r="AQ1277" s="8">
        <f t="shared" si="614"/>
        <v>0.21746880570409965</v>
      </c>
      <c r="AR1277" s="6" t="s">
        <v>11388</v>
      </c>
      <c r="AS1277" s="6" t="str">
        <f t="shared" si="598"/>
        <v>=1.122*100000000</v>
      </c>
      <c r="AT1277" s="1">
        <f>1.122*100000000</f>
        <v>112200000.00000001</v>
      </c>
      <c r="AU1277" s="8">
        <f t="shared" si="615"/>
        <v>1.0847268673355632</v>
      </c>
      <c r="AV1277" s="7" t="s">
        <v>12744</v>
      </c>
      <c r="AW1277" s="6" t="str">
        <f t="shared" si="599"/>
        <v>=5382*10000</v>
      </c>
      <c r="AX1277" s="1">
        <f>5382*10000</f>
        <v>53820000</v>
      </c>
      <c r="AY1277" s="10">
        <f t="shared" si="616"/>
        <v>-0.51774193548387104</v>
      </c>
      <c r="AZ1277" s="6" t="s">
        <v>3880</v>
      </c>
      <c r="BA1277" s="6" t="str">
        <f t="shared" si="600"/>
        <v>=1.116*100000000</v>
      </c>
      <c r="BB1277" s="1">
        <f>1.116*100000000</f>
        <v>111600000.00000001</v>
      </c>
      <c r="BC1277" s="8">
        <f t="shared" si="617"/>
        <v>0.39604703527645752</v>
      </c>
      <c r="BD1277" s="7" t="s">
        <v>12745</v>
      </c>
      <c r="BE1277" s="6" t="str">
        <f t="shared" si="601"/>
        <v>=7994*10000</v>
      </c>
      <c r="BF1277" s="1">
        <f>7994*10000</f>
        <v>79940000</v>
      </c>
      <c r="BG1277" s="8">
        <f t="shared" si="618"/>
        <v>0.4039339655778012</v>
      </c>
      <c r="BH1277" s="7" t="s">
        <v>9450</v>
      </c>
      <c r="BI1277" s="6" t="str">
        <f t="shared" si="602"/>
        <v>=5694*10000</v>
      </c>
      <c r="BJ1277" s="1">
        <f>5694*10000</f>
        <v>56940000</v>
      </c>
      <c r="BK1277" s="7" t="s">
        <v>12746</v>
      </c>
      <c r="BL1277" s="1" t="str">
        <f t="shared" si="604"/>
        <v>=3841*10000</v>
      </c>
      <c r="BM1277" s="16">
        <f t="shared" si="619"/>
        <v>0.48242645144493623</v>
      </c>
      <c r="BN1277" s="1">
        <f>3841*10000</f>
        <v>38410000</v>
      </c>
    </row>
    <row r="1278" spans="1:66">
      <c r="A1278" s="17">
        <v>321</v>
      </c>
      <c r="B1278">
        <v>601118</v>
      </c>
      <c r="C1278" t="s">
        <v>31</v>
      </c>
      <c r="D1278" s="6" t="s">
        <v>12747</v>
      </c>
      <c r="E1278" s="7" t="str">
        <f t="shared" si="603"/>
        <v>=153.3*100000000</v>
      </c>
      <c r="F1278" s="1">
        <f>153.3*100000000</f>
        <v>15330000000.000002</v>
      </c>
      <c r="G1278" s="8">
        <f t="shared" si="605"/>
        <v>0.48259187620889765</v>
      </c>
      <c r="H1278" s="6" t="s">
        <v>12748</v>
      </c>
      <c r="I1278" s="6" t="str">
        <f t="shared" si="589"/>
        <v>=103.4*100000000</v>
      </c>
      <c r="J1278" s="1">
        <f>103.4*100000000</f>
        <v>10340000000</v>
      </c>
      <c r="K1278" s="10">
        <f t="shared" si="606"/>
        <v>0.58856967276079275</v>
      </c>
      <c r="L1278" s="6" t="s">
        <v>11283</v>
      </c>
      <c r="M1278" s="6" t="str">
        <f t="shared" si="590"/>
        <v>=65.09*100000000</v>
      </c>
      <c r="N1278" s="1">
        <f>65.09*100000000</f>
        <v>6509000000</v>
      </c>
      <c r="O1278" s="8">
        <f t="shared" si="607"/>
        <v>1.0481434864694776</v>
      </c>
      <c r="P1278" s="6" t="s">
        <v>4625</v>
      </c>
      <c r="Q1278" s="6" t="str">
        <f t="shared" si="591"/>
        <v>=31.78*100000000</v>
      </c>
      <c r="R1278" s="11">
        <f>31.78*100000000</f>
        <v>3178000000</v>
      </c>
      <c r="S1278" s="8">
        <f t="shared" si="608"/>
        <v>-0.79809402795425666</v>
      </c>
      <c r="T1278" s="6" t="s">
        <v>12749</v>
      </c>
      <c r="U1278" s="6" t="str">
        <f t="shared" si="592"/>
        <v>=157.4*100000000</v>
      </c>
      <c r="V1278" s="1">
        <f>157.4*100000000</f>
        <v>15740000000</v>
      </c>
      <c r="W1278" s="8">
        <f t="shared" si="609"/>
        <v>0.57447234170251071</v>
      </c>
      <c r="X1278" s="6" t="s">
        <v>12750</v>
      </c>
      <c r="Y1278" s="6" t="str">
        <f t="shared" si="593"/>
        <v>=99.97*100000000</v>
      </c>
      <c r="Z1278" s="1">
        <f>99.97*100000000</f>
        <v>9997000000</v>
      </c>
      <c r="AA1278" s="8">
        <f t="shared" si="610"/>
        <v>0.6972835314091681</v>
      </c>
      <c r="AB1278" s="6" t="s">
        <v>9087</v>
      </c>
      <c r="AC1278" s="6" t="str">
        <f t="shared" si="594"/>
        <v>=58.90*100000000</v>
      </c>
      <c r="AD1278" s="1">
        <f>58.9*100000000</f>
        <v>5890000000</v>
      </c>
      <c r="AE1278" s="8">
        <f t="shared" si="611"/>
        <v>1.0529801324503312</v>
      </c>
      <c r="AF1278" s="6" t="s">
        <v>8288</v>
      </c>
      <c r="AG1278" s="6" t="str">
        <f t="shared" si="595"/>
        <v>=28.69*100000000</v>
      </c>
      <c r="AH1278" s="1">
        <f>28.69*100000000</f>
        <v>2869000000</v>
      </c>
      <c r="AI1278" s="8">
        <f t="shared" si="612"/>
        <v>-0.7921014492753623</v>
      </c>
      <c r="AJ1278" s="6" t="s">
        <v>12751</v>
      </c>
      <c r="AK1278" s="6" t="str">
        <f t="shared" si="596"/>
        <v>=138.0*100000000</v>
      </c>
      <c r="AL1278" s="1">
        <f>138*100000000</f>
        <v>13800000000</v>
      </c>
      <c r="AM1278" s="8">
        <f t="shared" si="613"/>
        <v>0.52840846162365707</v>
      </c>
      <c r="AN1278" s="6" t="s">
        <v>12752</v>
      </c>
      <c r="AO1278" s="6" t="str">
        <f t="shared" si="597"/>
        <v>=90.29*100000000</v>
      </c>
      <c r="AP1278" s="1">
        <f>90.29*100000000</f>
        <v>9029000000</v>
      </c>
      <c r="AQ1278" s="8">
        <f t="shared" si="614"/>
        <v>0.5210579514824798</v>
      </c>
      <c r="AR1278" s="6" t="s">
        <v>12753</v>
      </c>
      <c r="AS1278" s="6" t="str">
        <f t="shared" si="598"/>
        <v>=59.36*100000000</v>
      </c>
      <c r="AT1278" s="1">
        <f>59.36*100000000</f>
        <v>5936000000</v>
      </c>
      <c r="AU1278" s="8">
        <f t="shared" si="615"/>
        <v>0.87669933607334805</v>
      </c>
      <c r="AV1278" s="6" t="s">
        <v>1180</v>
      </c>
      <c r="AW1278" s="6" t="str">
        <f t="shared" si="599"/>
        <v>=31.63*100000000</v>
      </c>
      <c r="AX1278" s="1">
        <f>31.63*100000000</f>
        <v>3163000000</v>
      </c>
      <c r="AY1278" s="10">
        <f t="shared" si="616"/>
        <v>-0.76019711902956788</v>
      </c>
      <c r="AZ1278" s="6" t="s">
        <v>12754</v>
      </c>
      <c r="BA1278" s="6" t="str">
        <f t="shared" si="600"/>
        <v>=131.9*100000000</v>
      </c>
      <c r="BB1278" s="1">
        <f>131.9*100000000</f>
        <v>13190000000</v>
      </c>
      <c r="BC1278" s="8">
        <f t="shared" si="617"/>
        <v>0.45472592919377963</v>
      </c>
      <c r="BD1278" s="6" t="s">
        <v>283</v>
      </c>
      <c r="BE1278" s="6" t="str">
        <f t="shared" si="601"/>
        <v>=90.67*100000000</v>
      </c>
      <c r="BF1278" s="1">
        <f>90.67*100000000</f>
        <v>9067000000</v>
      </c>
      <c r="BG1278" s="8">
        <f t="shared" si="618"/>
        <v>0.7293534236124356</v>
      </c>
      <c r="BH1278" s="6" t="s">
        <v>12755</v>
      </c>
      <c r="BI1278" s="6" t="str">
        <f t="shared" si="602"/>
        <v>=52.43*100000000</v>
      </c>
      <c r="BJ1278" s="1">
        <f>52.43*100000000</f>
        <v>5243000000</v>
      </c>
      <c r="BK1278" s="6" t="s">
        <v>1379</v>
      </c>
      <c r="BL1278" s="1" t="str">
        <f t="shared" si="604"/>
        <v>=10.93*100000000</v>
      </c>
      <c r="BM1278" s="16">
        <f t="shared" si="619"/>
        <v>3.7968892955169258</v>
      </c>
      <c r="BN1278" s="1">
        <f>10.93*100000000</f>
        <v>1093000000</v>
      </c>
    </row>
    <row r="1279" spans="1:66">
      <c r="A1279" s="18"/>
      <c r="B1279">
        <v>601118</v>
      </c>
      <c r="C1279" t="s">
        <v>48</v>
      </c>
      <c r="D1279" s="6">
        <f>-1.263*100000000</f>
        <v>-126299999.99999999</v>
      </c>
      <c r="E1279" s="7" t="str">
        <f t="shared" si="603"/>
        <v>=-126300000</v>
      </c>
      <c r="F1279" s="1">
        <f>-126300000</f>
        <v>-126300000</v>
      </c>
      <c r="G1279" s="8">
        <f t="shared" si="605"/>
        <v>0.24679170779861798</v>
      </c>
      <c r="H1279" s="6">
        <f>-1.013*100000000</f>
        <v>-101299999.99999999</v>
      </c>
      <c r="I1279" s="6" t="str">
        <f t="shared" ref="I1279:I1342" si="620">"="&amp;H1279</f>
        <v>=-101300000</v>
      </c>
      <c r="J1279" s="1">
        <f>-101300000</f>
        <v>-101300000</v>
      </c>
      <c r="K1279" s="10">
        <f t="shared" si="606"/>
        <v>-0.14006791171477079</v>
      </c>
      <c r="L1279" s="6">
        <f>-1.178*100000000</f>
        <v>-117800000</v>
      </c>
      <c r="M1279" s="6" t="str">
        <f t="shared" ref="M1279:M1342" si="621">"="&amp;L1279</f>
        <v>=-117800000</v>
      </c>
      <c r="N1279" s="1">
        <f>-117800000</f>
        <v>-117800000</v>
      </c>
      <c r="O1279" s="8">
        <f t="shared" si="607"/>
        <v>2.8852242744063323</v>
      </c>
      <c r="P1279" s="7">
        <f>-3032*10000</f>
        <v>-30320000</v>
      </c>
      <c r="Q1279" s="6" t="str">
        <f t="shared" ref="Q1279:Q1342" si="622">"="&amp;P1279</f>
        <v>=-30320000</v>
      </c>
      <c r="R1279" s="11">
        <f>-30320000</f>
        <v>-30320000</v>
      </c>
      <c r="S1279" s="8">
        <f t="shared" si="608"/>
        <v>-0.90139837398373979</v>
      </c>
      <c r="T1279" s="6">
        <f>-3.075*100000000</f>
        <v>-307500000</v>
      </c>
      <c r="U1279" s="6" t="str">
        <f t="shared" ref="U1279:U1342" si="623">"="&amp;T1279</f>
        <v>=-307500000</v>
      </c>
      <c r="V1279" s="1">
        <f>-307500000</f>
        <v>-307500000</v>
      </c>
      <c r="W1279" s="8">
        <f t="shared" si="609"/>
        <v>0.38638412984670872</v>
      </c>
      <c r="X1279" s="6">
        <f>-2.218*100000000</f>
        <v>-221800000</v>
      </c>
      <c r="Y1279" s="6" t="str">
        <f t="shared" ref="Y1279:Y1342" si="624">"="&amp;X1279</f>
        <v>=-221800000</v>
      </c>
      <c r="Z1279" s="1">
        <f>-221800000</f>
        <v>-221800000</v>
      </c>
      <c r="AA1279" s="8">
        <f t="shared" si="610"/>
        <v>-9.9106417546709985E-2</v>
      </c>
      <c r="AB1279" s="6">
        <f>-2.462*100000000</f>
        <v>-246200000.00000003</v>
      </c>
      <c r="AC1279" s="6" t="str">
        <f t="shared" ref="AC1279:AC1342" si="625">"="&amp;AB1279</f>
        <v>=-246200000</v>
      </c>
      <c r="AD1279" s="1">
        <f>-246200000</f>
        <v>-246200000</v>
      </c>
      <c r="AE1279" s="8">
        <f t="shared" si="611"/>
        <v>0.25038090401218893</v>
      </c>
      <c r="AF1279" s="6">
        <f>-1.969*100000000</f>
        <v>-196900000</v>
      </c>
      <c r="AG1279" s="6" t="str">
        <f t="shared" ref="AG1279:AG1342" si="626">"="&amp;AF1279</f>
        <v>=-196900000</v>
      </c>
      <c r="AH1279" s="1">
        <f>-196900000</f>
        <v>-196900000</v>
      </c>
      <c r="AI1279" s="8">
        <f t="shared" si="612"/>
        <v>9.2766179540709803</v>
      </c>
      <c r="AJ1279" s="7">
        <f>-1916*10000</f>
        <v>-19160000</v>
      </c>
      <c r="AK1279" s="6" t="str">
        <f t="shared" ref="AK1279:AK1342" si="627">"="&amp;AJ1279</f>
        <v>=-19160000</v>
      </c>
      <c r="AL1279" s="1">
        <f>-19160000</f>
        <v>-19160000</v>
      </c>
      <c r="AM1279" s="8">
        <f t="shared" si="613"/>
        <v>-1.5752026418492946</v>
      </c>
      <c r="AN1279" s="7" t="s">
        <v>5475</v>
      </c>
      <c r="AO1279" s="6" t="str">
        <f t="shared" ref="AO1279:AO1342" si="628">"="&amp;AN1279</f>
        <v>=3331*10000</v>
      </c>
      <c r="AP1279" s="1">
        <f>3331*10000</f>
        <v>33310000</v>
      </c>
      <c r="AQ1279" s="8">
        <f t="shared" si="614"/>
        <v>-0.55503606732567456</v>
      </c>
      <c r="AR1279" s="7" t="s">
        <v>4416</v>
      </c>
      <c r="AS1279" s="6" t="str">
        <f t="shared" ref="AS1279:AS1342" si="629">"="&amp;AR1279</f>
        <v>=7486*10000</v>
      </c>
      <c r="AT1279" s="1">
        <f>7486*10000</f>
        <v>74860000</v>
      </c>
      <c r="AU1279" s="8">
        <f t="shared" si="615"/>
        <v>1.7522058823529412</v>
      </c>
      <c r="AV1279" s="7" t="s">
        <v>12756</v>
      </c>
      <c r="AW1279" s="6" t="str">
        <f t="shared" ref="AW1279:AW1342" si="630">"="&amp;AV1279</f>
        <v>=2720*10000</v>
      </c>
      <c r="AX1279" s="1">
        <f>2720*10000</f>
        <v>27200000</v>
      </c>
      <c r="AY1279" s="10">
        <f t="shared" si="616"/>
        <v>6.3933134003805385</v>
      </c>
      <c r="AZ1279" s="7" t="s">
        <v>12757</v>
      </c>
      <c r="BA1279" s="6" t="str">
        <f t="shared" ref="BA1279:BA1342" si="631">"="&amp;AZ1279</f>
        <v>=367.9*10000</v>
      </c>
      <c r="BB1279" s="1">
        <f>367.9*10000</f>
        <v>3679000</v>
      </c>
      <c r="BC1279" s="8">
        <f t="shared" si="617"/>
        <v>-1.0087741473885046</v>
      </c>
      <c r="BD1279" s="6">
        <f>-4.193*100000000</f>
        <v>-419299999.99999994</v>
      </c>
      <c r="BE1279" s="6" t="str">
        <f t="shared" ref="BE1279:BE1342" si="632">"="&amp;BD1279</f>
        <v>=-419300000</v>
      </c>
      <c r="BF1279" s="1">
        <f>-419300000</f>
        <v>-419300000</v>
      </c>
      <c r="BG1279" s="8">
        <f t="shared" si="618"/>
        <v>-0.10749255002128566</v>
      </c>
      <c r="BH1279" s="6">
        <f>-4.698*100000000</f>
        <v>-469800000.00000006</v>
      </c>
      <c r="BI1279" s="6" t="str">
        <f t="shared" ref="BI1279:BI1342" si="633">"="&amp;BH1279</f>
        <v>=-469800000</v>
      </c>
      <c r="BJ1279" s="1">
        <f>-469800000</f>
        <v>-469800000</v>
      </c>
      <c r="BK1279" s="6">
        <f>-2.819*100000000</f>
        <v>-281900000</v>
      </c>
      <c r="BL1279" s="1" t="str">
        <f t="shared" si="604"/>
        <v>=-281900000</v>
      </c>
      <c r="BM1279" s="16">
        <f t="shared" si="619"/>
        <v>0.66654842142603765</v>
      </c>
      <c r="BN1279" s="1">
        <f>-281900000</f>
        <v>-281900000</v>
      </c>
    </row>
    <row r="1280" spans="1:66">
      <c r="A1280" s="18"/>
      <c r="B1280">
        <v>601118</v>
      </c>
      <c r="C1280" t="s">
        <v>58</v>
      </c>
      <c r="D1280" s="6" t="s">
        <v>4431</v>
      </c>
      <c r="E1280" s="7" t="str">
        <f t="shared" si="603"/>
        <v>=1.323*100000000</v>
      </c>
      <c r="F1280" s="1">
        <f>1.323*100000000</f>
        <v>132300000</v>
      </c>
      <c r="G1280" s="8">
        <f t="shared" si="605"/>
        <v>-3.1582381729200653</v>
      </c>
      <c r="H1280" s="7">
        <f>-6130*10000</f>
        <v>-61300000</v>
      </c>
      <c r="I1280" s="6" t="str">
        <f t="shared" si="620"/>
        <v>=-61300000</v>
      </c>
      <c r="J1280" s="1">
        <f>-61300000</f>
        <v>-61300000</v>
      </c>
      <c r="K1280" s="10">
        <f t="shared" si="606"/>
        <v>-0.45316681534344333</v>
      </c>
      <c r="L1280" s="6">
        <f>-1.121*100000000</f>
        <v>-112100000</v>
      </c>
      <c r="M1280" s="6" t="str">
        <f t="shared" si="621"/>
        <v>=-112100000</v>
      </c>
      <c r="N1280" s="1">
        <f>-112100000</f>
        <v>-112100000</v>
      </c>
      <c r="O1280" s="8">
        <f t="shared" si="607"/>
        <v>3.0927345746622854</v>
      </c>
      <c r="P1280" s="7">
        <f>-2739*10000</f>
        <v>-27390000</v>
      </c>
      <c r="Q1280" s="6" t="str">
        <f t="shared" si="622"/>
        <v>=-27390000</v>
      </c>
      <c r="R1280" s="11">
        <f>-27390000</f>
        <v>-27390000</v>
      </c>
      <c r="S1280" s="8">
        <f t="shared" si="608"/>
        <v>-1.292347102145373</v>
      </c>
      <c r="T1280" s="7" t="s">
        <v>12758</v>
      </c>
      <c r="U1280" s="6" t="str">
        <f t="shared" si="623"/>
        <v>=9369*10000</v>
      </c>
      <c r="V1280" s="1">
        <f>9369*10000</f>
        <v>93690000</v>
      </c>
      <c r="W1280" s="8">
        <f t="shared" si="609"/>
        <v>-1.8410233393177737</v>
      </c>
      <c r="X1280" s="6">
        <f>-1.114*100000000</f>
        <v>-111400000.00000001</v>
      </c>
      <c r="Y1280" s="6" t="str">
        <f t="shared" si="624"/>
        <v>=-111400000</v>
      </c>
      <c r="Z1280" s="1">
        <f>-111400000</f>
        <v>-111400000</v>
      </c>
      <c r="AA1280" s="8">
        <f t="shared" si="610"/>
        <v>-0.52250321474496353</v>
      </c>
      <c r="AB1280" s="6">
        <f>-2.333*100000000</f>
        <v>-233300000.00000003</v>
      </c>
      <c r="AC1280" s="6" t="str">
        <f t="shared" si="625"/>
        <v>=-233300000</v>
      </c>
      <c r="AD1280" s="1">
        <f>-233300000</f>
        <v>-233300000</v>
      </c>
      <c r="AE1280" s="8">
        <f t="shared" si="611"/>
        <v>0.24759358288770053</v>
      </c>
      <c r="AF1280" s="6">
        <f>-1.87*100000000</f>
        <v>-187000000</v>
      </c>
      <c r="AG1280" s="6" t="str">
        <f t="shared" si="626"/>
        <v>=-187000000</v>
      </c>
      <c r="AH1280" s="1">
        <f>-187000000</f>
        <v>-187000000</v>
      </c>
      <c r="AI1280" s="8">
        <f t="shared" si="612"/>
        <v>-2.2142857142857144</v>
      </c>
      <c r="AJ1280" s="6" t="s">
        <v>12759</v>
      </c>
      <c r="AK1280" s="6" t="str">
        <f t="shared" si="627"/>
        <v>=1.540*100000000</v>
      </c>
      <c r="AL1280" s="1">
        <f>1.54*100000000</f>
        <v>154000000</v>
      </c>
      <c r="AM1280" s="8">
        <f t="shared" si="613"/>
        <v>0.3652482269503548</v>
      </c>
      <c r="AN1280" s="6" t="s">
        <v>6245</v>
      </c>
      <c r="AO1280" s="6" t="str">
        <f t="shared" si="628"/>
        <v>=1.128*100000000</v>
      </c>
      <c r="AP1280" s="1">
        <f>1.128*100000000</f>
        <v>112799999.99999999</v>
      </c>
      <c r="AQ1280" s="8">
        <f t="shared" si="614"/>
        <v>0.18537200504413603</v>
      </c>
      <c r="AR1280" s="7" t="s">
        <v>12760</v>
      </c>
      <c r="AS1280" s="6" t="str">
        <f t="shared" si="629"/>
        <v>=9516*10000</v>
      </c>
      <c r="AT1280" s="1">
        <f>9516*10000</f>
        <v>95160000</v>
      </c>
      <c r="AU1280" s="8">
        <f t="shared" si="615"/>
        <v>1.3198439785470502</v>
      </c>
      <c r="AV1280" s="7" t="s">
        <v>12761</v>
      </c>
      <c r="AW1280" s="6" t="str">
        <f t="shared" si="630"/>
        <v>=4102*10000</v>
      </c>
      <c r="AX1280" s="1">
        <f>4102*10000</f>
        <v>41020000</v>
      </c>
      <c r="AY1280" s="10">
        <f t="shared" si="616"/>
        <v>-0.7638457109959701</v>
      </c>
      <c r="AZ1280" s="6" t="s">
        <v>5531</v>
      </c>
      <c r="BA1280" s="6" t="str">
        <f t="shared" si="631"/>
        <v>=1.737*100000000</v>
      </c>
      <c r="BB1280" s="1">
        <f>1.737*100000000</f>
        <v>173700000</v>
      </c>
      <c r="BC1280" s="8">
        <f t="shared" si="617"/>
        <v>-0.5693032482023308</v>
      </c>
      <c r="BD1280" s="6" t="s">
        <v>6364</v>
      </c>
      <c r="BE1280" s="6" t="str">
        <f t="shared" si="632"/>
        <v>=4.033*100000000</v>
      </c>
      <c r="BF1280" s="1">
        <f>4.033*100000000</f>
        <v>403300000.00000006</v>
      </c>
      <c r="BG1280" s="8">
        <f t="shared" si="618"/>
        <v>-1.9655254967680154</v>
      </c>
      <c r="BH1280" s="6">
        <f>-4.177*100000000</f>
        <v>-417699999.99999994</v>
      </c>
      <c r="BI1280" s="6" t="str">
        <f t="shared" si="633"/>
        <v>=-417700000</v>
      </c>
      <c r="BJ1280" s="1">
        <f>-417700000</f>
        <v>-417700000</v>
      </c>
      <c r="BK1280" s="6">
        <f>-2.789*100000000</f>
        <v>-278900000</v>
      </c>
      <c r="BL1280" s="1" t="str">
        <f t="shared" si="604"/>
        <v>=-278900000</v>
      </c>
      <c r="BM1280" s="16">
        <f t="shared" si="619"/>
        <v>0.49766941556113303</v>
      </c>
      <c r="BN1280" s="1">
        <f>-278900000</f>
        <v>-278900000</v>
      </c>
    </row>
    <row r="1281" spans="1:66">
      <c r="A1281" s="19"/>
      <c r="B1281">
        <v>601118</v>
      </c>
      <c r="C1281" t="s">
        <v>68</v>
      </c>
      <c r="D1281" s="6" t="s">
        <v>4381</v>
      </c>
      <c r="E1281" s="7" t="str">
        <f t="shared" si="603"/>
        <v>=1.342*100000000</v>
      </c>
      <c r="F1281" s="1">
        <f>1.342*100000000</f>
        <v>134200000.00000001</v>
      </c>
      <c r="G1281" s="8">
        <f t="shared" si="605"/>
        <v>-2.8777109276619561</v>
      </c>
      <c r="H1281" s="7">
        <f>-7147*10000</f>
        <v>-71470000</v>
      </c>
      <c r="I1281" s="6" t="str">
        <f t="shared" si="620"/>
        <v>=-71470000</v>
      </c>
      <c r="J1281" s="1">
        <f>-71470000</f>
        <v>-71470000</v>
      </c>
      <c r="K1281" s="10">
        <f t="shared" si="606"/>
        <v>-0.39789385004212302</v>
      </c>
      <c r="L1281" s="6">
        <f>-1.187*100000000</f>
        <v>-118700000</v>
      </c>
      <c r="M1281" s="6" t="str">
        <f t="shared" si="621"/>
        <v>=-118700000</v>
      </c>
      <c r="N1281" s="1">
        <f>-118700000</f>
        <v>-118700000</v>
      </c>
      <c r="O1281" s="8">
        <f t="shared" si="607"/>
        <v>2.529586678560809</v>
      </c>
      <c r="P1281" s="7">
        <f>-3363*10000</f>
        <v>-33630000</v>
      </c>
      <c r="Q1281" s="6" t="str">
        <f t="shared" si="622"/>
        <v>=-33630000</v>
      </c>
      <c r="R1281" s="11">
        <f>-33630000</f>
        <v>-33630000</v>
      </c>
      <c r="S1281" s="8">
        <f t="shared" si="608"/>
        <v>-1.5095454545454545</v>
      </c>
      <c r="T1281" s="7" t="s">
        <v>12762</v>
      </c>
      <c r="U1281" s="6" t="str">
        <f t="shared" si="623"/>
        <v>=6600*10000</v>
      </c>
      <c r="V1281" s="1">
        <f>6600*10000</f>
        <v>66000000</v>
      </c>
      <c r="W1281" s="8">
        <f t="shared" si="609"/>
        <v>-1.7229707525468287</v>
      </c>
      <c r="X1281" s="7">
        <f>-9129*10000</f>
        <v>-91290000</v>
      </c>
      <c r="Y1281" s="6" t="str">
        <f t="shared" si="624"/>
        <v>=-91290000</v>
      </c>
      <c r="Z1281" s="1">
        <f>-91290000</f>
        <v>-91290000</v>
      </c>
      <c r="AA1281" s="8">
        <f t="shared" si="610"/>
        <v>-0.55555014605647512</v>
      </c>
      <c r="AB1281" s="6">
        <f>-2.054*100000000</f>
        <v>-205399999.99999997</v>
      </c>
      <c r="AC1281" s="6" t="str">
        <f t="shared" si="625"/>
        <v>=-205400000</v>
      </c>
      <c r="AD1281" s="1">
        <f>-205400000</f>
        <v>-205400000</v>
      </c>
      <c r="AE1281" s="8">
        <f t="shared" si="611"/>
        <v>0.28858218318695106</v>
      </c>
      <c r="AF1281" s="6">
        <f>-1.594*100000000</f>
        <v>-159400000</v>
      </c>
      <c r="AG1281" s="6" t="str">
        <f t="shared" si="626"/>
        <v>=-159400000</v>
      </c>
      <c r="AH1281" s="1">
        <f>-159400000</f>
        <v>-159400000</v>
      </c>
      <c r="AI1281" s="8">
        <f t="shared" si="612"/>
        <v>-2.374137931034483</v>
      </c>
      <c r="AJ1281" s="6" t="s">
        <v>2010</v>
      </c>
      <c r="AK1281" s="6" t="str">
        <f t="shared" si="627"/>
        <v>=1.160*100000000</v>
      </c>
      <c r="AL1281" s="1">
        <f>1.16*100000000</f>
        <v>115999999.99999999</v>
      </c>
      <c r="AM1281" s="8">
        <f t="shared" si="613"/>
        <v>0.38805791551992325</v>
      </c>
      <c r="AN1281" s="7" t="s">
        <v>11467</v>
      </c>
      <c r="AO1281" s="6" t="str">
        <f t="shared" si="628"/>
        <v>=8357*10000</v>
      </c>
      <c r="AP1281" s="1">
        <f>8357*10000</f>
        <v>83570000</v>
      </c>
      <c r="AQ1281" s="8">
        <f t="shared" si="614"/>
        <v>0.11337596589395151</v>
      </c>
      <c r="AR1281" s="7" t="s">
        <v>12763</v>
      </c>
      <c r="AS1281" s="6" t="str">
        <f t="shared" si="629"/>
        <v>=7506*10000</v>
      </c>
      <c r="AT1281" s="1">
        <f>7506*10000</f>
        <v>75060000</v>
      </c>
      <c r="AU1281" s="8">
        <f t="shared" si="615"/>
        <v>4.2821956368754401</v>
      </c>
      <c r="AV1281" s="7" t="s">
        <v>12764</v>
      </c>
      <c r="AW1281" s="6" t="str">
        <f t="shared" si="630"/>
        <v>=1421*10000</v>
      </c>
      <c r="AX1281" s="1">
        <f>1421*10000</f>
        <v>14210000</v>
      </c>
      <c r="AY1281" s="10">
        <f t="shared" si="616"/>
        <v>-0.93877638948728992</v>
      </c>
      <c r="AZ1281" s="6" t="s">
        <v>7894</v>
      </c>
      <c r="BA1281" s="6" t="str">
        <f t="shared" si="631"/>
        <v>=2.321*100000000</v>
      </c>
      <c r="BB1281" s="1">
        <f>2.321*100000000</f>
        <v>232100000.00000003</v>
      </c>
      <c r="BC1281" s="8">
        <f t="shared" si="617"/>
        <v>-0.49156626506024098</v>
      </c>
      <c r="BD1281" s="6" t="s">
        <v>2797</v>
      </c>
      <c r="BE1281" s="6" t="str">
        <f t="shared" si="632"/>
        <v>=4.565*100000000</v>
      </c>
      <c r="BF1281" s="1">
        <f>4.565*100000000</f>
        <v>456500000.00000006</v>
      </c>
      <c r="BG1281" s="8">
        <f t="shared" si="618"/>
        <v>-2.1956521739130435</v>
      </c>
      <c r="BH1281" s="6">
        <f>-3.818*100000000</f>
        <v>-381800000</v>
      </c>
      <c r="BI1281" s="6" t="str">
        <f t="shared" si="633"/>
        <v>=-381800000</v>
      </c>
      <c r="BJ1281" s="1">
        <f>-381800000</f>
        <v>-381800000</v>
      </c>
      <c r="BK1281" s="6">
        <f>-2.51*100000000</f>
        <v>-250999999.99999997</v>
      </c>
      <c r="BL1281" s="1" t="str">
        <f t="shared" si="604"/>
        <v>=-251000000</v>
      </c>
      <c r="BM1281" s="16">
        <f t="shared" si="619"/>
        <v>0.52111553784860554</v>
      </c>
      <c r="BN1281" s="1">
        <f>-251000000</f>
        <v>-251000000</v>
      </c>
    </row>
    <row r="1282" spans="1:66">
      <c r="A1282" s="17">
        <v>322</v>
      </c>
      <c r="B1282">
        <v>601126</v>
      </c>
      <c r="C1282" t="s">
        <v>31</v>
      </c>
      <c r="D1282" s="6" t="s">
        <v>12765</v>
      </c>
      <c r="E1282" s="7" t="str">
        <f t="shared" ref="E1282:E1345" si="634">"="&amp;D1282</f>
        <v>=42.98*100000000</v>
      </c>
      <c r="F1282" s="1">
        <f>42.98*100000000</f>
        <v>4298000000</v>
      </c>
      <c r="G1282" s="8">
        <f t="shared" si="605"/>
        <v>0.38511118272639383</v>
      </c>
      <c r="H1282" s="6" t="s">
        <v>12570</v>
      </c>
      <c r="I1282" s="6" t="str">
        <f t="shared" si="620"/>
        <v>=31.03*100000000</v>
      </c>
      <c r="J1282" s="1">
        <f>31.03*100000000</f>
        <v>3103000000</v>
      </c>
      <c r="K1282" s="10">
        <f t="shared" si="606"/>
        <v>0.57993890020366601</v>
      </c>
      <c r="L1282" s="6" t="s">
        <v>2632</v>
      </c>
      <c r="M1282" s="6" t="str">
        <f t="shared" si="621"/>
        <v>=19.64*100000000</v>
      </c>
      <c r="N1282" s="1">
        <f>19.64*100000000</f>
        <v>1964000000</v>
      </c>
      <c r="O1282" s="8">
        <f t="shared" si="607"/>
        <v>1.4346101400768563</v>
      </c>
      <c r="P1282" s="6" t="s">
        <v>12766</v>
      </c>
      <c r="Q1282" s="6" t="str">
        <f t="shared" si="622"/>
        <v>=8.067*100000000</v>
      </c>
      <c r="R1282" s="11">
        <f>8.067*100000000</f>
        <v>806700000</v>
      </c>
      <c r="S1282" s="8">
        <f t="shared" si="608"/>
        <v>-0.79117266373285011</v>
      </c>
      <c r="T1282" s="6" t="s">
        <v>7073</v>
      </c>
      <c r="U1282" s="6" t="str">
        <f t="shared" si="623"/>
        <v>=38.63*100000000</v>
      </c>
      <c r="V1282" s="1">
        <f>38.63*100000000</f>
        <v>3863000000.0000005</v>
      </c>
      <c r="W1282" s="8">
        <f t="shared" si="609"/>
        <v>0.41657499083241672</v>
      </c>
      <c r="X1282" s="6" t="s">
        <v>8234</v>
      </c>
      <c r="Y1282" s="6" t="str">
        <f t="shared" si="624"/>
        <v>=27.27*100000000</v>
      </c>
      <c r="Z1282" s="1">
        <f>27.27*100000000</f>
        <v>2727000000</v>
      </c>
      <c r="AA1282" s="8">
        <f t="shared" si="610"/>
        <v>0.94646680942184158</v>
      </c>
      <c r="AB1282" s="6" t="s">
        <v>8678</v>
      </c>
      <c r="AC1282" s="6" t="str">
        <f t="shared" si="625"/>
        <v>=14.01*100000000</v>
      </c>
      <c r="AD1282" s="1">
        <f>14.01*100000000</f>
        <v>1401000000</v>
      </c>
      <c r="AE1282" s="8">
        <f t="shared" si="611"/>
        <v>3.1684022612317762</v>
      </c>
      <c r="AF1282" s="6" t="s">
        <v>4161</v>
      </c>
      <c r="AG1282" s="6" t="str">
        <f t="shared" si="626"/>
        <v>=3.361*100000000</v>
      </c>
      <c r="AH1282" s="1">
        <f>3.361*100000000</f>
        <v>336100000</v>
      </c>
      <c r="AI1282" s="8">
        <f t="shared" si="612"/>
        <v>-0.90869328986688402</v>
      </c>
      <c r="AJ1282" s="6" t="s">
        <v>12767</v>
      </c>
      <c r="AK1282" s="6" t="str">
        <f t="shared" si="627"/>
        <v>=36.81*100000000</v>
      </c>
      <c r="AL1282" s="1">
        <f>36.81*100000000</f>
        <v>3681000000</v>
      </c>
      <c r="AM1282" s="8">
        <f t="shared" si="613"/>
        <v>0.65215439856373425</v>
      </c>
      <c r="AN1282" s="6" t="s">
        <v>315</v>
      </c>
      <c r="AO1282" s="6" t="str">
        <f t="shared" si="628"/>
        <v>=22.28*100000000</v>
      </c>
      <c r="AP1282" s="1">
        <f>22.28*100000000</f>
        <v>2228000000</v>
      </c>
      <c r="AQ1282" s="8">
        <f t="shared" si="614"/>
        <v>0.60866425992779782</v>
      </c>
      <c r="AR1282" s="6" t="s">
        <v>10693</v>
      </c>
      <c r="AS1282" s="6" t="str">
        <f t="shared" si="629"/>
        <v>=13.85*100000000</v>
      </c>
      <c r="AT1282" s="1">
        <f>13.85*100000000</f>
        <v>1385000000</v>
      </c>
      <c r="AU1282" s="8">
        <f t="shared" si="615"/>
        <v>1.5049737746427925</v>
      </c>
      <c r="AV1282" s="6" t="s">
        <v>128</v>
      </c>
      <c r="AW1282" s="6" t="str">
        <f t="shared" si="630"/>
        <v>=5.529*100000000</v>
      </c>
      <c r="AX1282" s="1">
        <f>5.529*100000000</f>
        <v>552900000</v>
      </c>
      <c r="AY1282" s="10">
        <f t="shared" si="616"/>
        <v>-0.84332672145083598</v>
      </c>
      <c r="AZ1282" s="6" t="s">
        <v>12768</v>
      </c>
      <c r="BA1282" s="6" t="str">
        <f t="shared" si="631"/>
        <v>=35.29*100000000</v>
      </c>
      <c r="BB1282" s="1">
        <f>35.29*100000000</f>
        <v>3529000000</v>
      </c>
      <c r="BC1282" s="8">
        <f t="shared" si="617"/>
        <v>0.59900317172632533</v>
      </c>
      <c r="BD1282" s="6" t="s">
        <v>9556</v>
      </c>
      <c r="BE1282" s="6" t="str">
        <f t="shared" si="632"/>
        <v>=22.07*100000000</v>
      </c>
      <c r="BF1282" s="1">
        <f>22.07*100000000</f>
        <v>2207000000</v>
      </c>
      <c r="BG1282" s="8">
        <f t="shared" si="618"/>
        <v>0.68344774980930589</v>
      </c>
      <c r="BH1282" s="6" t="s">
        <v>12769</v>
      </c>
      <c r="BI1282" s="6" t="str">
        <f t="shared" si="633"/>
        <v>=13.11*100000000</v>
      </c>
      <c r="BJ1282" s="1">
        <f>13.11*100000000</f>
        <v>1311000000</v>
      </c>
      <c r="BK1282" s="6" t="s">
        <v>12770</v>
      </c>
      <c r="BL1282" s="1" t="str">
        <f t="shared" ref="BL1282:BL1345" si="635">"="&amp;BK1282</f>
        <v>=5.047*100000000</v>
      </c>
      <c r="BM1282" s="16">
        <f t="shared" si="619"/>
        <v>1.5975827224093522</v>
      </c>
      <c r="BN1282" s="1">
        <f>5.047*100000000</f>
        <v>504700000</v>
      </c>
    </row>
    <row r="1283" spans="1:66">
      <c r="A1283" s="18"/>
      <c r="B1283">
        <v>601126</v>
      </c>
      <c r="C1283" t="s">
        <v>48</v>
      </c>
      <c r="D1283" s="6" t="s">
        <v>12771</v>
      </c>
      <c r="E1283" s="7" t="str">
        <f t="shared" si="634"/>
        <v>=5.090*100000000</v>
      </c>
      <c r="F1283" s="1">
        <f>5.09*100000000</f>
        <v>509000000</v>
      </c>
      <c r="G1283" s="8">
        <f t="shared" ref="G1283:G1346" si="636">(F1283-J1283)/J1283</f>
        <v>0.12610619469026563</v>
      </c>
      <c r="H1283" s="6" t="s">
        <v>12772</v>
      </c>
      <c r="I1283" s="6" t="str">
        <f t="shared" si="620"/>
        <v>=4.520*100000000</v>
      </c>
      <c r="J1283" s="1">
        <f>4.52*100000000</f>
        <v>451999999.99999994</v>
      </c>
      <c r="K1283" s="10">
        <f t="shared" ref="K1283:K1346" si="637">(J1283-N1283)/N1283</f>
        <v>0.47760706113108842</v>
      </c>
      <c r="L1283" s="6" t="s">
        <v>12773</v>
      </c>
      <c r="M1283" s="6" t="str">
        <f t="shared" si="621"/>
        <v>=3.059*100000000</v>
      </c>
      <c r="N1283" s="1">
        <f>3.059*100000000</f>
        <v>305900000</v>
      </c>
      <c r="O1283" s="8">
        <f t="shared" ref="O1283:O1346" si="638">(N1283-R1283)/R1283</f>
        <v>1.738585496866607</v>
      </c>
      <c r="P1283" s="6" t="s">
        <v>7599</v>
      </c>
      <c r="Q1283" s="6" t="str">
        <f t="shared" si="622"/>
        <v>=1.117*100000000</v>
      </c>
      <c r="R1283" s="11">
        <f>1.117*100000000</f>
        <v>111700000</v>
      </c>
      <c r="S1283" s="8">
        <f t="shared" ref="S1283:S1346" si="639">(R1283-V1283)/V1283</f>
        <v>-0.7091903150221297</v>
      </c>
      <c r="T1283" s="6" t="s">
        <v>12774</v>
      </c>
      <c r="U1283" s="6" t="str">
        <f t="shared" si="623"/>
        <v>=3.841*100000000</v>
      </c>
      <c r="V1283" s="1">
        <f>3.841*100000000</f>
        <v>384100000</v>
      </c>
      <c r="W1283" s="8">
        <f t="shared" ref="W1283:W1346" si="640">(V1283-Z1283)/Z1283</f>
        <v>0.36982881597717548</v>
      </c>
      <c r="X1283" s="6" t="s">
        <v>9613</v>
      </c>
      <c r="Y1283" s="6" t="str">
        <f t="shared" si="624"/>
        <v>=2.804*100000000</v>
      </c>
      <c r="Z1283" s="1">
        <f>2.804*100000000</f>
        <v>280400000</v>
      </c>
      <c r="AA1283" s="8">
        <f t="shared" ref="AA1283:AA1346" si="641">(Z1283-AD1283)/AD1283</f>
        <v>3.5734790409394876</v>
      </c>
      <c r="AB1283" s="7" t="s">
        <v>4458</v>
      </c>
      <c r="AC1283" s="6" t="str">
        <f t="shared" si="625"/>
        <v>=6131*10000</v>
      </c>
      <c r="AD1283" s="1">
        <f>6131*10000</f>
        <v>61310000</v>
      </c>
      <c r="AE1283" s="8">
        <f t="shared" ref="AE1283:AE1346" si="642">(AD1283-AH1283)/AH1283</f>
        <v>-2.0040943334425156</v>
      </c>
      <c r="AF1283" s="7">
        <f>-6106*10000</f>
        <v>-61060000</v>
      </c>
      <c r="AG1283" s="6" t="str">
        <f t="shared" si="626"/>
        <v>=-61060000</v>
      </c>
      <c r="AH1283" s="1">
        <f>-61060000</f>
        <v>-61060000</v>
      </c>
      <c r="AI1283" s="8">
        <f t="shared" ref="AI1283:AI1346" si="643">(AH1283-AL1283)/AL1283</f>
        <v>-1.3000491400491401</v>
      </c>
      <c r="AJ1283" s="6" t="s">
        <v>2863</v>
      </c>
      <c r="AK1283" s="6" t="str">
        <f t="shared" si="627"/>
        <v>=2.035*100000000</v>
      </c>
      <c r="AL1283" s="1">
        <f>2.035*100000000</f>
        <v>203500000</v>
      </c>
      <c r="AM1283" s="8">
        <f t="shared" ref="AM1283:AM1346" si="644">(AL1283-AP1283)/AP1283</f>
        <v>0.45669291338582679</v>
      </c>
      <c r="AN1283" s="6" t="s">
        <v>12775</v>
      </c>
      <c r="AO1283" s="6" t="str">
        <f t="shared" si="628"/>
        <v>=1.397*100000000</v>
      </c>
      <c r="AP1283" s="1">
        <f>1.397*100000000</f>
        <v>139700000</v>
      </c>
      <c r="AQ1283" s="8">
        <f t="shared" ref="AQ1283:AQ1346" si="645">(AP1283-AT1283)/AT1283</f>
        <v>1.9281073150282959</v>
      </c>
      <c r="AR1283" s="7" t="s">
        <v>12776</v>
      </c>
      <c r="AS1283" s="6" t="str">
        <f t="shared" si="629"/>
        <v>=4771*10000</v>
      </c>
      <c r="AT1283" s="1">
        <f>4771*10000</f>
        <v>47710000</v>
      </c>
      <c r="AU1283" s="8">
        <f t="shared" ref="AU1283:AU1346" si="646">(AT1283-AX1283)/AX1283</f>
        <v>-2.5983249581239529</v>
      </c>
      <c r="AV1283" s="7">
        <f>-2985*10000</f>
        <v>-29850000</v>
      </c>
      <c r="AW1283" s="6" t="str">
        <f t="shared" si="630"/>
        <v>=-29850000</v>
      </c>
      <c r="AX1283" s="1">
        <f>-29850000</f>
        <v>-29850000</v>
      </c>
      <c r="AY1283" s="10">
        <f t="shared" ref="AY1283:AY1346" si="647">(AX1283-BB1283)/BB1283</f>
        <v>-1.1248431618569636</v>
      </c>
      <c r="AZ1283" s="6" t="s">
        <v>12777</v>
      </c>
      <c r="BA1283" s="6" t="str">
        <f t="shared" si="631"/>
        <v>=2.391*100000000</v>
      </c>
      <c r="BB1283" s="1">
        <f>2.391*100000000</f>
        <v>239100000</v>
      </c>
      <c r="BC1283" s="8">
        <f t="shared" ref="BC1283:BC1346" si="648">(BB1283-BF1283)/BF1283</f>
        <v>0.50756620428751575</v>
      </c>
      <c r="BD1283" s="6" t="s">
        <v>2223</v>
      </c>
      <c r="BE1283" s="6" t="str">
        <f t="shared" si="632"/>
        <v>=1.586*100000000</v>
      </c>
      <c r="BF1283" s="1">
        <f>1.586*100000000</f>
        <v>158600000</v>
      </c>
      <c r="BG1283" s="8">
        <f t="shared" ref="BG1283:BG1346" si="649">(BF1283-BJ1283)/BJ1283</f>
        <v>3.7385718553928893</v>
      </c>
      <c r="BH1283" s="7" t="s">
        <v>1577</v>
      </c>
      <c r="BI1283" s="6" t="str">
        <f t="shared" si="633"/>
        <v>=3347*10000</v>
      </c>
      <c r="BJ1283" s="1">
        <f>3347*10000</f>
        <v>33470000</v>
      </c>
      <c r="BK1283" s="7">
        <f>-2421*10000</f>
        <v>-24210000</v>
      </c>
      <c r="BL1283" s="1" t="str">
        <f t="shared" si="635"/>
        <v>=-24210000</v>
      </c>
      <c r="BM1283" s="16">
        <f t="shared" ref="BM1283:BM1346" si="650">(BJ1283-BN1283)/BN1283</f>
        <v>-2.3824865757951259</v>
      </c>
      <c r="BN1283" s="1">
        <f>-24210000</f>
        <v>-24210000</v>
      </c>
    </row>
    <row r="1284" spans="1:66">
      <c r="A1284" s="18"/>
      <c r="B1284">
        <v>601126</v>
      </c>
      <c r="C1284" t="s">
        <v>58</v>
      </c>
      <c r="D1284" s="6" t="s">
        <v>12778</v>
      </c>
      <c r="E1284" s="7" t="str">
        <f t="shared" si="634"/>
        <v>=5.336*100000000</v>
      </c>
      <c r="F1284" s="1">
        <f>5.336*100000000</f>
        <v>533600000.00000006</v>
      </c>
      <c r="G1284" s="8">
        <f t="shared" si="636"/>
        <v>0.13652822151224719</v>
      </c>
      <c r="H1284" s="6" t="s">
        <v>9194</v>
      </c>
      <c r="I1284" s="6" t="str">
        <f t="shared" si="620"/>
        <v>=4.695*100000000</v>
      </c>
      <c r="J1284" s="1">
        <f>4.695*100000000</f>
        <v>469500000</v>
      </c>
      <c r="K1284" s="10">
        <f t="shared" si="637"/>
        <v>0.47548711502199875</v>
      </c>
      <c r="L1284" s="6" t="s">
        <v>12779</v>
      </c>
      <c r="M1284" s="6" t="str">
        <f t="shared" si="621"/>
        <v>=3.182*100000000</v>
      </c>
      <c r="N1284" s="1">
        <f>3.182*100000000</f>
        <v>318200000</v>
      </c>
      <c r="O1284" s="8">
        <f t="shared" si="638"/>
        <v>1.7863397548161124</v>
      </c>
      <c r="P1284" s="6" t="s">
        <v>2226</v>
      </c>
      <c r="Q1284" s="6" t="str">
        <f t="shared" si="622"/>
        <v>=1.142*100000000</v>
      </c>
      <c r="R1284" s="11">
        <f>1.142*100000000</f>
        <v>114199999.99999999</v>
      </c>
      <c r="S1284" s="8">
        <f t="shared" si="639"/>
        <v>-0.72234378798930221</v>
      </c>
      <c r="T1284" s="6" t="s">
        <v>12780</v>
      </c>
      <c r="U1284" s="6" t="str">
        <f t="shared" si="623"/>
        <v>=4.113*100000000</v>
      </c>
      <c r="V1284" s="1">
        <f>4.113*100000000</f>
        <v>411300000.00000006</v>
      </c>
      <c r="W1284" s="8">
        <f t="shared" si="640"/>
        <v>0.4027967257844477</v>
      </c>
      <c r="X1284" s="6" t="s">
        <v>10963</v>
      </c>
      <c r="Y1284" s="6" t="str">
        <f t="shared" si="624"/>
        <v>=2.932*100000000</v>
      </c>
      <c r="Z1284" s="1">
        <f>2.932*100000000</f>
        <v>293200000</v>
      </c>
      <c r="AA1284" s="8">
        <f t="shared" si="641"/>
        <v>3.1012729053014407</v>
      </c>
      <c r="AB1284" s="7" t="s">
        <v>12781</v>
      </c>
      <c r="AC1284" s="6" t="str">
        <f t="shared" si="625"/>
        <v>=7149*10000</v>
      </c>
      <c r="AD1284" s="1">
        <f>7149*10000</f>
        <v>71490000</v>
      </c>
      <c r="AE1284" s="8">
        <f t="shared" si="642"/>
        <v>-2.2368512110726644</v>
      </c>
      <c r="AF1284" s="7">
        <f>-5780*10000</f>
        <v>-57800000</v>
      </c>
      <c r="AG1284" s="6" t="str">
        <f t="shared" si="626"/>
        <v>=-57800000</v>
      </c>
      <c r="AH1284" s="1">
        <f>-57800000</f>
        <v>-57800000</v>
      </c>
      <c r="AI1284" s="8">
        <f t="shared" si="643"/>
        <v>-1.2521815008726005</v>
      </c>
      <c r="AJ1284" s="6" t="s">
        <v>8172</v>
      </c>
      <c r="AK1284" s="6" t="str">
        <f t="shared" si="627"/>
        <v>=2.292*100000000</v>
      </c>
      <c r="AL1284" s="1">
        <f>2.292*100000000</f>
        <v>229199999.99999997</v>
      </c>
      <c r="AM1284" s="8">
        <f t="shared" si="644"/>
        <v>0.47585318737926574</v>
      </c>
      <c r="AN1284" s="6" t="s">
        <v>1639</v>
      </c>
      <c r="AO1284" s="6" t="str">
        <f t="shared" si="628"/>
        <v>=1.553*100000000</v>
      </c>
      <c r="AP1284" s="1">
        <f>1.553*100000000</f>
        <v>155300000</v>
      </c>
      <c r="AQ1284" s="8">
        <f t="shared" si="645"/>
        <v>1.758436944937833</v>
      </c>
      <c r="AR1284" s="7" t="s">
        <v>12782</v>
      </c>
      <c r="AS1284" s="6" t="str">
        <f t="shared" si="629"/>
        <v>=5630*10000</v>
      </c>
      <c r="AT1284" s="1">
        <f>5630*10000</f>
        <v>56300000</v>
      </c>
      <c r="AU1284" s="8">
        <f t="shared" si="646"/>
        <v>-3.152963671128107</v>
      </c>
      <c r="AV1284" s="7">
        <f>-2615*10000</f>
        <v>-26150000</v>
      </c>
      <c r="AW1284" s="6" t="str">
        <f t="shared" si="630"/>
        <v>=-26150000</v>
      </c>
      <c r="AX1284" s="1">
        <f>-26150000</f>
        <v>-26150000</v>
      </c>
      <c r="AY1284" s="10">
        <f t="shared" si="647"/>
        <v>-1.1007707129094411</v>
      </c>
      <c r="AZ1284" s="6" t="s">
        <v>471</v>
      </c>
      <c r="BA1284" s="6" t="str">
        <f t="shared" si="631"/>
        <v>=2.595*100000000</v>
      </c>
      <c r="BB1284" s="1">
        <f>2.595*100000000</f>
        <v>259500000.00000003</v>
      </c>
      <c r="BC1284" s="8">
        <f t="shared" si="648"/>
        <v>0.48116438356164398</v>
      </c>
      <c r="BD1284" s="6" t="s">
        <v>12783</v>
      </c>
      <c r="BE1284" s="6" t="str">
        <f t="shared" si="632"/>
        <v>=1.752*100000000</v>
      </c>
      <c r="BF1284" s="1">
        <f>1.752*100000000</f>
        <v>175200000</v>
      </c>
      <c r="BG1284" s="8">
        <f t="shared" si="649"/>
        <v>3.1040056219255097</v>
      </c>
      <c r="BH1284" s="7" t="s">
        <v>12784</v>
      </c>
      <c r="BI1284" s="6" t="str">
        <f t="shared" si="633"/>
        <v>=4269*10000</v>
      </c>
      <c r="BJ1284" s="1">
        <f>4269*10000</f>
        <v>42690000</v>
      </c>
      <c r="BK1284" s="7">
        <f>-2054*10000</f>
        <v>-20540000</v>
      </c>
      <c r="BL1284" s="1" t="str">
        <f t="shared" si="635"/>
        <v>=-20540000</v>
      </c>
      <c r="BM1284" s="16">
        <f t="shared" si="650"/>
        <v>-3.078383641674781</v>
      </c>
      <c r="BN1284" s="1">
        <f>-20540000</f>
        <v>-20540000</v>
      </c>
    </row>
    <row r="1285" spans="1:66">
      <c r="A1285" s="19"/>
      <c r="B1285">
        <v>601126</v>
      </c>
      <c r="C1285" t="s">
        <v>68</v>
      </c>
      <c r="D1285" s="6" t="s">
        <v>3794</v>
      </c>
      <c r="E1285" s="7" t="str">
        <f t="shared" si="634"/>
        <v>=4.524*100000000</v>
      </c>
      <c r="F1285" s="1">
        <f>4.524*100000000</f>
        <v>452400000</v>
      </c>
      <c r="G1285" s="8">
        <f t="shared" si="636"/>
        <v>0.17537022603273578</v>
      </c>
      <c r="H1285" s="6" t="s">
        <v>8299</v>
      </c>
      <c r="I1285" s="6" t="str">
        <f t="shared" si="620"/>
        <v>=3.849*100000000</v>
      </c>
      <c r="J1285" s="1">
        <f>3.849*100000000</f>
        <v>384900000</v>
      </c>
      <c r="K1285" s="10">
        <f t="shared" si="637"/>
        <v>0.53714057507987223</v>
      </c>
      <c r="L1285" s="6" t="s">
        <v>2888</v>
      </c>
      <c r="M1285" s="6" t="str">
        <f t="shared" si="621"/>
        <v>=2.504*100000000</v>
      </c>
      <c r="N1285" s="1">
        <f>2.504*100000000</f>
        <v>250400000</v>
      </c>
      <c r="O1285" s="8">
        <f t="shared" si="638"/>
        <v>1.6895810955961332</v>
      </c>
      <c r="P1285" s="7" t="s">
        <v>12785</v>
      </c>
      <c r="Q1285" s="6" t="str">
        <f t="shared" si="622"/>
        <v>=9310*10000</v>
      </c>
      <c r="R1285" s="11">
        <f>9310*10000</f>
        <v>93100000</v>
      </c>
      <c r="S1285" s="8">
        <f t="shared" si="639"/>
        <v>-0.72406639004149376</v>
      </c>
      <c r="T1285" s="6" t="s">
        <v>2522</v>
      </c>
      <c r="U1285" s="6" t="str">
        <f t="shared" si="623"/>
        <v>=3.374*100000000</v>
      </c>
      <c r="V1285" s="1">
        <f>3.374*100000000</f>
        <v>337400000</v>
      </c>
      <c r="W1285" s="8">
        <f t="shared" si="640"/>
        <v>0.42302825811893718</v>
      </c>
      <c r="X1285" s="6" t="s">
        <v>6379</v>
      </c>
      <c r="Y1285" s="6" t="str">
        <f t="shared" si="624"/>
        <v>=2.371*100000000</v>
      </c>
      <c r="Z1285" s="1">
        <f>2.371*100000000</f>
        <v>237100000</v>
      </c>
      <c r="AA1285" s="8">
        <f t="shared" si="641"/>
        <v>3.7071669644629739</v>
      </c>
      <c r="AB1285" s="7" t="s">
        <v>12786</v>
      </c>
      <c r="AC1285" s="6" t="str">
        <f t="shared" si="625"/>
        <v>=5037*10000</v>
      </c>
      <c r="AD1285" s="1">
        <f>5037*10000</f>
        <v>50370000</v>
      </c>
      <c r="AE1285" s="8">
        <f t="shared" si="642"/>
        <v>-1.814389652384802</v>
      </c>
      <c r="AF1285" s="7">
        <f>-6185*10000</f>
        <v>-61850000</v>
      </c>
      <c r="AG1285" s="6" t="str">
        <f t="shared" si="626"/>
        <v>=-61850000</v>
      </c>
      <c r="AH1285" s="1">
        <f>-61850000</f>
        <v>-61850000</v>
      </c>
      <c r="AI1285" s="8">
        <f t="shared" si="643"/>
        <v>-1.3453378001116694</v>
      </c>
      <c r="AJ1285" s="6" t="s">
        <v>7260</v>
      </c>
      <c r="AK1285" s="6" t="str">
        <f t="shared" si="627"/>
        <v>=1.791*100000000</v>
      </c>
      <c r="AL1285" s="1">
        <f>1.791*100000000</f>
        <v>179100000</v>
      </c>
      <c r="AM1285" s="8">
        <f t="shared" si="644"/>
        <v>0.622282608695652</v>
      </c>
      <c r="AN1285" s="6" t="s">
        <v>12737</v>
      </c>
      <c r="AO1285" s="6" t="str">
        <f t="shared" si="628"/>
        <v>=1.104*100000000</v>
      </c>
      <c r="AP1285" s="1">
        <f>1.104*100000000</f>
        <v>110400000.00000001</v>
      </c>
      <c r="AQ1285" s="8">
        <f t="shared" si="645"/>
        <v>2.3283087126921922</v>
      </c>
      <c r="AR1285" s="7" t="s">
        <v>12787</v>
      </c>
      <c r="AS1285" s="6" t="str">
        <f t="shared" si="629"/>
        <v>=3317*10000</v>
      </c>
      <c r="AT1285" s="1">
        <f>3317*10000</f>
        <v>33170000</v>
      </c>
      <c r="AU1285" s="8">
        <f t="shared" si="646"/>
        <v>-2.1961774251712947</v>
      </c>
      <c r="AV1285" s="7">
        <f>-2773*10000</f>
        <v>-27730000</v>
      </c>
      <c r="AW1285" s="6" t="str">
        <f t="shared" si="630"/>
        <v>=-27730000</v>
      </c>
      <c r="AX1285" s="1">
        <f>-27730000</f>
        <v>-27730000</v>
      </c>
      <c r="AY1285" s="10">
        <f t="shared" si="647"/>
        <v>-1.138097609561753</v>
      </c>
      <c r="AZ1285" s="6" t="s">
        <v>12788</v>
      </c>
      <c r="BA1285" s="6" t="str">
        <f t="shared" si="631"/>
        <v>=2.008*100000000</v>
      </c>
      <c r="BB1285" s="1">
        <f>2.008*100000000</f>
        <v>200800000</v>
      </c>
      <c r="BC1285" s="8">
        <f t="shared" si="648"/>
        <v>0.43531093638313079</v>
      </c>
      <c r="BD1285" s="6" t="s">
        <v>2166</v>
      </c>
      <c r="BE1285" s="6" t="str">
        <f t="shared" si="632"/>
        <v>=1.399*100000000</v>
      </c>
      <c r="BF1285" s="1">
        <f>1.399*100000000</f>
        <v>139900000</v>
      </c>
      <c r="BG1285" s="8">
        <f t="shared" si="649"/>
        <v>3.5027357579658833</v>
      </c>
      <c r="BH1285" s="7" t="s">
        <v>12789</v>
      </c>
      <c r="BI1285" s="6" t="str">
        <f t="shared" si="633"/>
        <v>=3107*10000</v>
      </c>
      <c r="BJ1285" s="1">
        <f>3107*10000</f>
        <v>31070000</v>
      </c>
      <c r="BK1285" s="7">
        <f>-2023*10000</f>
        <v>-20230000</v>
      </c>
      <c r="BL1285" s="1" t="str">
        <f t="shared" si="635"/>
        <v>=-20230000</v>
      </c>
      <c r="BM1285" s="16">
        <f t="shared" si="650"/>
        <v>-2.5358378645575876</v>
      </c>
      <c r="BN1285" s="1">
        <f>-20230000</f>
        <v>-20230000</v>
      </c>
    </row>
    <row r="1286" spans="1:66">
      <c r="A1286" s="17">
        <v>323</v>
      </c>
      <c r="B1286">
        <v>601128</v>
      </c>
      <c r="C1286" t="s">
        <v>31</v>
      </c>
      <c r="D1286" s="6" t="s">
        <v>12790</v>
      </c>
      <c r="E1286" s="7" t="str">
        <f t="shared" si="634"/>
        <v>=76.55*100000000</v>
      </c>
      <c r="F1286" s="1">
        <f>76.55*100000000</f>
        <v>7655000000</v>
      </c>
      <c r="G1286" s="8">
        <f t="shared" si="636"/>
        <v>0.35895615125155333</v>
      </c>
      <c r="H1286" s="6" t="s">
        <v>12791</v>
      </c>
      <c r="I1286" s="6" t="str">
        <f t="shared" si="620"/>
        <v>=56.33*100000000</v>
      </c>
      <c r="J1286" s="1">
        <f>56.33*100000000</f>
        <v>5633000000</v>
      </c>
      <c r="K1286" s="10">
        <f t="shared" si="637"/>
        <v>0.53070652173913069</v>
      </c>
      <c r="L1286" s="6" t="s">
        <v>12792</v>
      </c>
      <c r="M1286" s="6" t="str">
        <f t="shared" si="621"/>
        <v>=36.80*100000000</v>
      </c>
      <c r="N1286" s="1">
        <f>36.8*100000000</f>
        <v>3679999999.9999995</v>
      </c>
      <c r="O1286" s="8">
        <f t="shared" si="638"/>
        <v>1.063937184520471</v>
      </c>
      <c r="P1286" s="6" t="s">
        <v>3862</v>
      </c>
      <c r="Q1286" s="6" t="str">
        <f t="shared" si="622"/>
        <v>=17.83*100000000</v>
      </c>
      <c r="R1286" s="11">
        <f>17.83*100000000</f>
        <v>1782999999.9999998</v>
      </c>
      <c r="S1286" s="8">
        <f t="shared" si="639"/>
        <v>-0.72910969310240048</v>
      </c>
      <c r="T1286" s="6" t="s">
        <v>12793</v>
      </c>
      <c r="U1286" s="6" t="str">
        <f t="shared" si="623"/>
        <v>=65.82*100000000</v>
      </c>
      <c r="V1286" s="1">
        <f>65.82*100000000</f>
        <v>6581999999.999999</v>
      </c>
      <c r="W1286" s="8">
        <f t="shared" si="640"/>
        <v>0.31983156206135932</v>
      </c>
      <c r="X1286" s="6" t="s">
        <v>3349</v>
      </c>
      <c r="Y1286" s="6" t="str">
        <f t="shared" si="624"/>
        <v>=49.87*100000000</v>
      </c>
      <c r="Z1286" s="1">
        <f>49.87*100000000</f>
        <v>4987000000</v>
      </c>
      <c r="AA1286" s="8">
        <f t="shared" si="641"/>
        <v>0.45946736903716712</v>
      </c>
      <c r="AB1286" s="6" t="s">
        <v>12794</v>
      </c>
      <c r="AC1286" s="6" t="str">
        <f t="shared" si="625"/>
        <v>=34.17*100000000</v>
      </c>
      <c r="AD1286" s="1">
        <f>34.17*100000000</f>
        <v>3417000000</v>
      </c>
      <c r="AE1286" s="8">
        <f t="shared" si="642"/>
        <v>1.013553329404832</v>
      </c>
      <c r="AF1286" s="6" t="s">
        <v>12795</v>
      </c>
      <c r="AG1286" s="6" t="str">
        <f t="shared" si="626"/>
        <v>=16.97*100000000</v>
      </c>
      <c r="AH1286" s="1">
        <f>16.97*100000000</f>
        <v>1697000000</v>
      </c>
      <c r="AI1286" s="8">
        <f t="shared" si="643"/>
        <v>-0.73669511249030251</v>
      </c>
      <c r="AJ1286" s="6" t="s">
        <v>12796</v>
      </c>
      <c r="AK1286" s="6" t="str">
        <f t="shared" si="627"/>
        <v>=64.45*100000000</v>
      </c>
      <c r="AL1286" s="1">
        <f>64.45*100000000</f>
        <v>6445000000</v>
      </c>
      <c r="AM1286" s="8">
        <f t="shared" si="644"/>
        <v>0.3463547106747441</v>
      </c>
      <c r="AN1286" s="6" t="s">
        <v>2457</v>
      </c>
      <c r="AO1286" s="6" t="str">
        <f t="shared" si="628"/>
        <v>=47.87*100000000</v>
      </c>
      <c r="AP1286" s="1">
        <f>47.87*100000000</f>
        <v>4787000000</v>
      </c>
      <c r="AQ1286" s="8">
        <f t="shared" si="645"/>
        <v>0.53380326818327462</v>
      </c>
      <c r="AR1286" s="6" t="s">
        <v>7791</v>
      </c>
      <c r="AS1286" s="6" t="str">
        <f t="shared" si="629"/>
        <v>=31.21*100000000</v>
      </c>
      <c r="AT1286" s="1">
        <f>31.21*100000000</f>
        <v>3121000000</v>
      </c>
      <c r="AU1286" s="8">
        <f t="shared" si="646"/>
        <v>1.0305790500975927</v>
      </c>
      <c r="AV1286" s="6" t="s">
        <v>5421</v>
      </c>
      <c r="AW1286" s="6" t="str">
        <f t="shared" si="630"/>
        <v>=15.37*100000000</v>
      </c>
      <c r="AX1286" s="1">
        <f>15.37*100000000</f>
        <v>1537000000</v>
      </c>
      <c r="AY1286" s="10">
        <f t="shared" si="647"/>
        <v>-0.73609203296703296</v>
      </c>
      <c r="AZ1286" s="6" t="s">
        <v>12797</v>
      </c>
      <c r="BA1286" s="6" t="str">
        <f t="shared" si="631"/>
        <v>=58.24*100000000</v>
      </c>
      <c r="BB1286" s="1">
        <f>58.24*100000000</f>
        <v>5824000000</v>
      </c>
      <c r="BC1286" s="8">
        <f t="shared" si="648"/>
        <v>0.36074766355140203</v>
      </c>
      <c r="BD1286" s="6" t="s">
        <v>12798</v>
      </c>
      <c r="BE1286" s="6" t="str">
        <f t="shared" si="632"/>
        <v>=42.80*100000000</v>
      </c>
      <c r="BF1286" s="1">
        <f>42.8*100000000</f>
        <v>4279999999.9999995</v>
      </c>
      <c r="BG1286" s="8">
        <f t="shared" si="649"/>
        <v>0.55806334182744799</v>
      </c>
      <c r="BH1286" s="6" t="s">
        <v>3261</v>
      </c>
      <c r="BI1286" s="6" t="str">
        <f t="shared" si="633"/>
        <v>=27.47*100000000</v>
      </c>
      <c r="BJ1286" s="1">
        <f>27.47*100000000</f>
        <v>2747000000</v>
      </c>
      <c r="BK1286" s="6" t="s">
        <v>7765</v>
      </c>
      <c r="BL1286" s="1" t="str">
        <f t="shared" si="635"/>
        <v>=12.89*100000000</v>
      </c>
      <c r="BM1286" s="16">
        <f t="shared" si="650"/>
        <v>1.1311093871217999</v>
      </c>
      <c r="BN1286" s="1">
        <f>12.89*100000000</f>
        <v>1289000000</v>
      </c>
    </row>
    <row r="1287" spans="1:66">
      <c r="A1287" s="18"/>
      <c r="B1287">
        <v>601128</v>
      </c>
      <c r="C1287" t="s">
        <v>48</v>
      </c>
      <c r="D1287" s="6" t="s">
        <v>4135</v>
      </c>
      <c r="E1287" s="7" t="str">
        <f t="shared" si="634"/>
        <v>=27.05*100000000</v>
      </c>
      <c r="F1287" s="1">
        <f>27.05*100000000</f>
        <v>2705000000</v>
      </c>
      <c r="G1287" s="8">
        <f t="shared" si="636"/>
        <v>0.28077651515151514</v>
      </c>
      <c r="H1287" s="6" t="s">
        <v>6945</v>
      </c>
      <c r="I1287" s="6" t="str">
        <f t="shared" si="620"/>
        <v>=21.12*100000000</v>
      </c>
      <c r="J1287" s="1">
        <f>21.12*100000000</f>
        <v>2112000000</v>
      </c>
      <c r="K1287" s="10">
        <f t="shared" si="637"/>
        <v>0.64614185502727983</v>
      </c>
      <c r="L1287" s="6" t="s">
        <v>162</v>
      </c>
      <c r="M1287" s="6" t="str">
        <f t="shared" si="621"/>
        <v>=12.83*100000000</v>
      </c>
      <c r="N1287" s="1">
        <f>12.83*100000000</f>
        <v>1283000000</v>
      </c>
      <c r="O1287" s="8">
        <f t="shared" si="638"/>
        <v>0.81599433828733192</v>
      </c>
      <c r="P1287" s="6" t="s">
        <v>12799</v>
      </c>
      <c r="Q1287" s="6" t="str">
        <f t="shared" si="622"/>
        <v>=7.065*100000000</v>
      </c>
      <c r="R1287" s="11">
        <f>7.065*100000000</f>
        <v>706500000</v>
      </c>
      <c r="S1287" s="8">
        <f t="shared" si="639"/>
        <v>-0.68332586284177499</v>
      </c>
      <c r="T1287" s="6" t="s">
        <v>8570</v>
      </c>
      <c r="U1287" s="6" t="str">
        <f t="shared" si="623"/>
        <v>=22.31*100000000</v>
      </c>
      <c r="V1287" s="1">
        <f>22.31*100000000</f>
        <v>2231000000</v>
      </c>
      <c r="W1287" s="8">
        <f t="shared" si="640"/>
        <v>0.25760992108230008</v>
      </c>
      <c r="X1287" s="6" t="s">
        <v>5253</v>
      </c>
      <c r="Y1287" s="6" t="str">
        <f t="shared" si="624"/>
        <v>=17.74*100000000</v>
      </c>
      <c r="Z1287" s="1">
        <f>17.74*100000000</f>
        <v>1773999999.9999998</v>
      </c>
      <c r="AA1287" s="8">
        <f t="shared" si="641"/>
        <v>0.60834088848594725</v>
      </c>
      <c r="AB1287" s="6" t="s">
        <v>12800</v>
      </c>
      <c r="AC1287" s="6" t="str">
        <f t="shared" si="625"/>
        <v>=11.03*100000000</v>
      </c>
      <c r="AD1287" s="1">
        <f>11.03*100000000</f>
        <v>1103000000</v>
      </c>
      <c r="AE1287" s="8">
        <f t="shared" si="642"/>
        <v>0.63990484686292004</v>
      </c>
      <c r="AF1287" s="6" t="s">
        <v>5726</v>
      </c>
      <c r="AG1287" s="6" t="str">
        <f t="shared" si="626"/>
        <v>=6.726*100000000</v>
      </c>
      <c r="AH1287" s="1">
        <f>6.726*100000000</f>
        <v>672600000</v>
      </c>
      <c r="AI1287" s="8">
        <f t="shared" si="643"/>
        <v>-0.70461133069828719</v>
      </c>
      <c r="AJ1287" s="6" t="s">
        <v>1809</v>
      </c>
      <c r="AK1287" s="6" t="str">
        <f t="shared" si="627"/>
        <v>=22.77*100000000</v>
      </c>
      <c r="AL1287" s="1">
        <f>22.77*100000000</f>
        <v>2277000000</v>
      </c>
      <c r="AM1287" s="8">
        <f t="shared" si="644"/>
        <v>0.2538546255506608</v>
      </c>
      <c r="AN1287" s="6" t="s">
        <v>12801</v>
      </c>
      <c r="AO1287" s="6" t="str">
        <f t="shared" si="628"/>
        <v>=18.16*100000000</v>
      </c>
      <c r="AP1287" s="1">
        <f>18.16*100000000</f>
        <v>1816000000</v>
      </c>
      <c r="AQ1287" s="8">
        <f t="shared" si="645"/>
        <v>0.67837338262476898</v>
      </c>
      <c r="AR1287" s="6" t="s">
        <v>6016</v>
      </c>
      <c r="AS1287" s="6" t="str">
        <f t="shared" si="629"/>
        <v>=10.82*100000000</v>
      </c>
      <c r="AT1287" s="1">
        <f>10.82*100000000</f>
        <v>1082000000</v>
      </c>
      <c r="AU1287" s="8">
        <f t="shared" si="646"/>
        <v>0.7893170167024971</v>
      </c>
      <c r="AV1287" s="6" t="s">
        <v>12327</v>
      </c>
      <c r="AW1287" s="6" t="str">
        <f t="shared" si="630"/>
        <v>=6.047*100000000</v>
      </c>
      <c r="AX1287" s="1">
        <f>6.047*100000000</f>
        <v>604700000</v>
      </c>
      <c r="AY1287" s="10">
        <f t="shared" si="647"/>
        <v>-0.69459595959595954</v>
      </c>
      <c r="AZ1287" s="6" t="s">
        <v>1961</v>
      </c>
      <c r="BA1287" s="6" t="str">
        <f t="shared" si="631"/>
        <v>=19.80*100000000</v>
      </c>
      <c r="BB1287" s="1">
        <f>19.8*100000000</f>
        <v>1980000000</v>
      </c>
      <c r="BC1287" s="8">
        <f t="shared" si="648"/>
        <v>0.27331189710610931</v>
      </c>
      <c r="BD1287" s="6" t="s">
        <v>7354</v>
      </c>
      <c r="BE1287" s="6" t="str">
        <f t="shared" si="632"/>
        <v>=15.55*100000000</v>
      </c>
      <c r="BF1287" s="1">
        <f>15.55*100000000</f>
        <v>1555000000</v>
      </c>
      <c r="BG1287" s="8">
        <f t="shared" si="649"/>
        <v>0.62317327766179542</v>
      </c>
      <c r="BH1287" s="6" t="s">
        <v>12802</v>
      </c>
      <c r="BI1287" s="6" t="str">
        <f t="shared" si="633"/>
        <v>=9.580*100000000</v>
      </c>
      <c r="BJ1287" s="1">
        <f>9.58*100000000</f>
        <v>958000000</v>
      </c>
      <c r="BK1287" s="6" t="s">
        <v>12803</v>
      </c>
      <c r="BL1287" s="1" t="str">
        <f t="shared" si="635"/>
        <v>=5.147*100000000</v>
      </c>
      <c r="BM1287" s="16">
        <f t="shared" si="650"/>
        <v>0.86127841461045274</v>
      </c>
      <c r="BN1287" s="1">
        <f>5.147*100000000</f>
        <v>514700000</v>
      </c>
    </row>
    <row r="1288" spans="1:66">
      <c r="A1288" s="18"/>
      <c r="B1288">
        <v>601128</v>
      </c>
      <c r="C1288" t="s">
        <v>58</v>
      </c>
      <c r="D1288" s="6" t="s">
        <v>12804</v>
      </c>
      <c r="E1288" s="7" t="str">
        <f t="shared" si="634"/>
        <v>=26.96*100000000</v>
      </c>
      <c r="F1288" s="1">
        <f>26.96*100000000</f>
        <v>2696000000</v>
      </c>
      <c r="G1288" s="8">
        <f t="shared" si="636"/>
        <v>0.28076009501187649</v>
      </c>
      <c r="H1288" s="6" t="s">
        <v>4227</v>
      </c>
      <c r="I1288" s="6" t="str">
        <f t="shared" si="620"/>
        <v>=21.05*100000000</v>
      </c>
      <c r="J1288" s="1">
        <f>21.05*100000000</f>
        <v>2105000000</v>
      </c>
      <c r="K1288" s="10">
        <f t="shared" si="637"/>
        <v>0.64710485133020346</v>
      </c>
      <c r="L1288" s="6" t="s">
        <v>9161</v>
      </c>
      <c r="M1288" s="6" t="str">
        <f t="shared" si="621"/>
        <v>=12.78*100000000</v>
      </c>
      <c r="N1288" s="1">
        <f>12.78*100000000</f>
        <v>1278000000</v>
      </c>
      <c r="O1288" s="8">
        <f t="shared" si="638"/>
        <v>0.81148121899362158</v>
      </c>
      <c r="P1288" s="6" t="s">
        <v>666</v>
      </c>
      <c r="Q1288" s="6" t="str">
        <f t="shared" si="622"/>
        <v>=7.055*100000000</v>
      </c>
      <c r="R1288" s="11">
        <f>7.055*100000000</f>
        <v>705500000</v>
      </c>
      <c r="S1288" s="8">
        <f t="shared" si="639"/>
        <v>-0.68334829443447043</v>
      </c>
      <c r="T1288" s="6" t="s">
        <v>315</v>
      </c>
      <c r="U1288" s="6" t="str">
        <f t="shared" si="623"/>
        <v>=22.28*100000000</v>
      </c>
      <c r="V1288" s="1">
        <f>22.28*100000000</f>
        <v>2228000000</v>
      </c>
      <c r="W1288" s="8">
        <f t="shared" si="640"/>
        <v>0.25875706214689265</v>
      </c>
      <c r="X1288" s="6" t="s">
        <v>5239</v>
      </c>
      <c r="Y1288" s="6" t="str">
        <f t="shared" si="624"/>
        <v>=17.70*100000000</v>
      </c>
      <c r="Z1288" s="1">
        <f>17.7*100000000</f>
        <v>1770000000</v>
      </c>
      <c r="AA1288" s="8">
        <f t="shared" si="641"/>
        <v>0.60762942779291551</v>
      </c>
      <c r="AB1288" s="6" t="s">
        <v>5034</v>
      </c>
      <c r="AC1288" s="6" t="str">
        <f t="shared" si="625"/>
        <v>=11.01*100000000</v>
      </c>
      <c r="AD1288" s="1">
        <f>11.01*100000000</f>
        <v>1101000000</v>
      </c>
      <c r="AE1288" s="8">
        <f t="shared" si="642"/>
        <v>0.65092217723796675</v>
      </c>
      <c r="AF1288" s="6" t="s">
        <v>8456</v>
      </c>
      <c r="AG1288" s="6" t="str">
        <f t="shared" si="626"/>
        <v>=6.669*100000000</v>
      </c>
      <c r="AH1288" s="1">
        <f>6.669*100000000</f>
        <v>666900000</v>
      </c>
      <c r="AI1288" s="8">
        <f t="shared" si="643"/>
        <v>-0.70659920809502863</v>
      </c>
      <c r="AJ1288" s="6" t="s">
        <v>12673</v>
      </c>
      <c r="AK1288" s="6" t="str">
        <f t="shared" si="627"/>
        <v>=22.73*100000000</v>
      </c>
      <c r="AL1288" s="1">
        <f>22.73*100000000</f>
        <v>2273000000</v>
      </c>
      <c r="AM1288" s="8">
        <f t="shared" si="644"/>
        <v>0.25510767531750417</v>
      </c>
      <c r="AN1288" s="6" t="s">
        <v>3622</v>
      </c>
      <c r="AO1288" s="6" t="str">
        <f t="shared" si="628"/>
        <v>=18.11*100000000</v>
      </c>
      <c r="AP1288" s="1">
        <f>18.11*100000000</f>
        <v>1811000000</v>
      </c>
      <c r="AQ1288" s="8">
        <f t="shared" si="645"/>
        <v>0.67996289424860856</v>
      </c>
      <c r="AR1288" s="6" t="s">
        <v>9154</v>
      </c>
      <c r="AS1288" s="6" t="str">
        <f t="shared" si="629"/>
        <v>=10.78*100000000</v>
      </c>
      <c r="AT1288" s="1">
        <f>10.78*100000000</f>
        <v>1078000000</v>
      </c>
      <c r="AU1288" s="8">
        <f t="shared" si="646"/>
        <v>0.78624689312344653</v>
      </c>
      <c r="AV1288" s="6" t="s">
        <v>6190</v>
      </c>
      <c r="AW1288" s="6" t="str">
        <f t="shared" si="630"/>
        <v>=6.035*100000000</v>
      </c>
      <c r="AX1288" s="1">
        <f>6.035*100000000</f>
        <v>603500000</v>
      </c>
      <c r="AY1288" s="10">
        <f t="shared" si="647"/>
        <v>-0.69473950429944364</v>
      </c>
      <c r="AZ1288" s="6" t="s">
        <v>7076</v>
      </c>
      <c r="BA1288" s="6" t="str">
        <f t="shared" si="631"/>
        <v>=19.77*100000000</v>
      </c>
      <c r="BB1288" s="1">
        <f>19.77*100000000</f>
        <v>1977000000</v>
      </c>
      <c r="BC1288" s="8">
        <f t="shared" si="648"/>
        <v>0.27466150870406192</v>
      </c>
      <c r="BD1288" s="6" t="s">
        <v>3049</v>
      </c>
      <c r="BE1288" s="6" t="str">
        <f t="shared" si="632"/>
        <v>=15.51*100000000</v>
      </c>
      <c r="BF1288" s="1">
        <f>15.51*100000000</f>
        <v>1551000000</v>
      </c>
      <c r="BG1288" s="8">
        <f t="shared" si="649"/>
        <v>0.62646812080536918</v>
      </c>
      <c r="BH1288" s="6" t="s">
        <v>12805</v>
      </c>
      <c r="BI1288" s="6" t="str">
        <f t="shared" si="633"/>
        <v>=9.536*100000000</v>
      </c>
      <c r="BJ1288" s="1">
        <f>9.536*100000000</f>
        <v>953600000</v>
      </c>
      <c r="BK1288" s="6" t="s">
        <v>12806</v>
      </c>
      <c r="BL1288" s="1" t="str">
        <f t="shared" si="635"/>
        <v>=5.155*100000000</v>
      </c>
      <c r="BM1288" s="16">
        <f t="shared" si="650"/>
        <v>0.84985451018428715</v>
      </c>
      <c r="BN1288" s="1">
        <f>5.155*100000000</f>
        <v>515500000</v>
      </c>
    </row>
    <row r="1289" spans="1:66">
      <c r="A1289" s="19"/>
      <c r="B1289">
        <v>601128</v>
      </c>
      <c r="C1289" t="s">
        <v>68</v>
      </c>
      <c r="D1289" s="6" t="s">
        <v>12807</v>
      </c>
      <c r="E1289" s="7" t="str">
        <f t="shared" si="634"/>
        <v>=23.41*100000000</v>
      </c>
      <c r="F1289" s="1">
        <f>23.41*100000000</f>
        <v>2341000000</v>
      </c>
      <c r="G1289" s="8">
        <f t="shared" si="636"/>
        <v>0.30636160714285698</v>
      </c>
      <c r="H1289" s="6" t="s">
        <v>4071</v>
      </c>
      <c r="I1289" s="6" t="str">
        <f t="shared" si="620"/>
        <v>=17.92*100000000</v>
      </c>
      <c r="J1289" s="1">
        <f>17.92*100000000</f>
        <v>1792000000.0000002</v>
      </c>
      <c r="K1289" s="10">
        <f t="shared" si="637"/>
        <v>0.636529680365297</v>
      </c>
      <c r="L1289" s="6" t="s">
        <v>2042</v>
      </c>
      <c r="M1289" s="6" t="str">
        <f t="shared" si="621"/>
        <v>=10.95*100000000</v>
      </c>
      <c r="N1289" s="1">
        <f>10.95*100000000</f>
        <v>1095000000</v>
      </c>
      <c r="O1289" s="8">
        <f t="shared" si="638"/>
        <v>0.86637122890744844</v>
      </c>
      <c r="P1289" s="6" t="s">
        <v>9824</v>
      </c>
      <c r="Q1289" s="6" t="str">
        <f t="shared" si="622"/>
        <v>=5.867*100000000</v>
      </c>
      <c r="R1289" s="11">
        <f>5.867*100000000</f>
        <v>586700000</v>
      </c>
      <c r="S1289" s="8">
        <f t="shared" si="639"/>
        <v>-0.69695247933884297</v>
      </c>
      <c r="T1289" s="6" t="s">
        <v>1356</v>
      </c>
      <c r="U1289" s="6" t="str">
        <f t="shared" si="623"/>
        <v>=19.36*100000000</v>
      </c>
      <c r="V1289" s="1">
        <f>19.36*100000000</f>
        <v>1936000000</v>
      </c>
      <c r="W1289" s="8">
        <f t="shared" si="640"/>
        <v>0.28467153284671531</v>
      </c>
      <c r="X1289" s="6" t="s">
        <v>8659</v>
      </c>
      <c r="Y1289" s="6" t="str">
        <f t="shared" si="624"/>
        <v>=15.07*100000000</v>
      </c>
      <c r="Z1289" s="1">
        <f>15.07*100000000</f>
        <v>1507000000</v>
      </c>
      <c r="AA1289" s="8">
        <f t="shared" si="641"/>
        <v>0.59369712351945858</v>
      </c>
      <c r="AB1289" s="6" t="s">
        <v>12808</v>
      </c>
      <c r="AC1289" s="6" t="str">
        <f t="shared" si="625"/>
        <v>=9.456*100000000</v>
      </c>
      <c r="AD1289" s="1">
        <f>9.456*100000000</f>
        <v>945600000</v>
      </c>
      <c r="AE1289" s="8">
        <f t="shared" si="642"/>
        <v>0.70010787486515647</v>
      </c>
      <c r="AF1289" s="6" t="s">
        <v>12809</v>
      </c>
      <c r="AG1289" s="6" t="str">
        <f t="shared" si="626"/>
        <v>=5.562*100000000</v>
      </c>
      <c r="AH1289" s="1">
        <f>5.562*100000000</f>
        <v>556200000</v>
      </c>
      <c r="AI1289" s="8">
        <f t="shared" si="643"/>
        <v>-0.70726315789473682</v>
      </c>
      <c r="AJ1289" s="6" t="s">
        <v>8689</v>
      </c>
      <c r="AK1289" s="6" t="str">
        <f t="shared" si="627"/>
        <v>=19.00*100000000</v>
      </c>
      <c r="AL1289" s="1">
        <f>19*100000000</f>
        <v>1900000000</v>
      </c>
      <c r="AM1289" s="8">
        <f t="shared" si="644"/>
        <v>0.29516019086571232</v>
      </c>
      <c r="AN1289" s="6" t="s">
        <v>8933</v>
      </c>
      <c r="AO1289" s="6" t="str">
        <f t="shared" si="628"/>
        <v>=14.67*100000000</v>
      </c>
      <c r="AP1289" s="1">
        <f>14.67*100000000</f>
        <v>1467000000</v>
      </c>
      <c r="AQ1289" s="8">
        <f t="shared" si="645"/>
        <v>0.59995637474097507</v>
      </c>
      <c r="AR1289" s="6" t="s">
        <v>10571</v>
      </c>
      <c r="AS1289" s="6" t="str">
        <f t="shared" si="629"/>
        <v>=9.169*100000000</v>
      </c>
      <c r="AT1289" s="1">
        <f>9.169*100000000</f>
        <v>916900000</v>
      </c>
      <c r="AU1289" s="8">
        <f t="shared" si="646"/>
        <v>0.89873679850900812</v>
      </c>
      <c r="AV1289" s="6" t="s">
        <v>1653</v>
      </c>
      <c r="AW1289" s="6" t="str">
        <f t="shared" si="630"/>
        <v>=4.829*100000000</v>
      </c>
      <c r="AX1289" s="1">
        <f>4.829*100000000</f>
        <v>482900000</v>
      </c>
      <c r="AY1289" s="10">
        <f t="shared" si="647"/>
        <v>-0.69533123028391164</v>
      </c>
      <c r="AZ1289" s="6" t="s">
        <v>11219</v>
      </c>
      <c r="BA1289" s="6" t="str">
        <f t="shared" si="631"/>
        <v>=15.85*100000000</v>
      </c>
      <c r="BB1289" s="1">
        <f>15.85*100000000</f>
        <v>1585000000</v>
      </c>
      <c r="BC1289" s="8">
        <f t="shared" si="648"/>
        <v>0.31317315658657829</v>
      </c>
      <c r="BD1289" s="6" t="s">
        <v>1127</v>
      </c>
      <c r="BE1289" s="6" t="str">
        <f t="shared" si="632"/>
        <v>=12.07*100000000</v>
      </c>
      <c r="BF1289" s="1">
        <f>12.07*100000000</f>
        <v>1207000000</v>
      </c>
      <c r="BG1289" s="8">
        <f t="shared" si="649"/>
        <v>0.56205513135757734</v>
      </c>
      <c r="BH1289" s="6" t="s">
        <v>3418</v>
      </c>
      <c r="BI1289" s="6" t="str">
        <f t="shared" si="633"/>
        <v>=7.727*100000000</v>
      </c>
      <c r="BJ1289" s="1">
        <f>7.727*100000000</f>
        <v>772700000</v>
      </c>
      <c r="BK1289" s="6" t="s">
        <v>9201</v>
      </c>
      <c r="BL1289" s="1" t="str">
        <f t="shared" si="635"/>
        <v>=4.008*100000000</v>
      </c>
      <c r="BM1289" s="16">
        <f t="shared" si="650"/>
        <v>0.92789421157684626</v>
      </c>
      <c r="BN1289" s="1">
        <f>4.008*100000000</f>
        <v>400800000</v>
      </c>
    </row>
    <row r="1290" spans="1:66">
      <c r="A1290" s="17">
        <v>324</v>
      </c>
      <c r="B1290">
        <v>601138</v>
      </c>
      <c r="C1290" t="s">
        <v>31</v>
      </c>
      <c r="D1290" s="6" t="s">
        <v>12810</v>
      </c>
      <c r="E1290" s="7" t="str">
        <f t="shared" si="634"/>
        <v>=4396*100000000</v>
      </c>
      <c r="F1290" s="1">
        <f>4396*100000000</f>
        <v>439600000000</v>
      </c>
      <c r="G1290" s="8">
        <f t="shared" si="636"/>
        <v>0.43942370661427638</v>
      </c>
      <c r="H1290" s="6" t="s">
        <v>12811</v>
      </c>
      <c r="I1290" s="6" t="str">
        <f t="shared" si="620"/>
        <v>=3054*100000000</v>
      </c>
      <c r="J1290" s="1">
        <f>3054*100000000</f>
        <v>305400000000</v>
      </c>
      <c r="K1290" s="10">
        <f t="shared" si="637"/>
        <v>0.55816326530612248</v>
      </c>
      <c r="L1290" s="6" t="s">
        <v>12812</v>
      </c>
      <c r="M1290" s="6" t="str">
        <f t="shared" si="621"/>
        <v>=1960*100000000</v>
      </c>
      <c r="N1290" s="1">
        <f>1960*100000000</f>
        <v>196000000000</v>
      </c>
      <c r="O1290" s="8">
        <f t="shared" si="638"/>
        <v>0.99227485261231962</v>
      </c>
      <c r="P1290" s="6" t="s">
        <v>12813</v>
      </c>
      <c r="Q1290" s="6" t="str">
        <f t="shared" si="622"/>
        <v>=983.8*100000000</v>
      </c>
      <c r="R1290" s="11">
        <f>983.8*100000000</f>
        <v>98380000000</v>
      </c>
      <c r="S1290" s="8">
        <f t="shared" si="639"/>
        <v>-0.77216303844372391</v>
      </c>
      <c r="T1290" s="6" t="s">
        <v>12814</v>
      </c>
      <c r="U1290" s="6" t="str">
        <f t="shared" si="623"/>
        <v>=4318*100000000</v>
      </c>
      <c r="V1290" s="1">
        <f>4318*100000000</f>
        <v>431800000000</v>
      </c>
      <c r="W1290" s="8">
        <f t="shared" si="640"/>
        <v>0.52795470629865537</v>
      </c>
      <c r="X1290" s="6" t="s">
        <v>12815</v>
      </c>
      <c r="Y1290" s="6" t="str">
        <f t="shared" si="624"/>
        <v>=2826*100000000</v>
      </c>
      <c r="Z1290" s="1">
        <f>2826*100000000</f>
        <v>282600000000</v>
      </c>
      <c r="AA1290" s="8">
        <f t="shared" si="641"/>
        <v>0.59932088285229201</v>
      </c>
      <c r="AB1290" s="6" t="s">
        <v>12816</v>
      </c>
      <c r="AC1290" s="6" t="str">
        <f t="shared" si="625"/>
        <v>=1767*100000000</v>
      </c>
      <c r="AD1290" s="1">
        <f>1767*100000000</f>
        <v>176700000000</v>
      </c>
      <c r="AE1290" s="8">
        <f t="shared" si="642"/>
        <v>1.2073703935040601</v>
      </c>
      <c r="AF1290" s="6" t="s">
        <v>12817</v>
      </c>
      <c r="AG1290" s="6" t="str">
        <f t="shared" si="626"/>
        <v>=800.5*100000000</v>
      </c>
      <c r="AH1290" s="1">
        <f>800.5*100000000</f>
        <v>80050000000</v>
      </c>
      <c r="AI1290" s="8">
        <f t="shared" si="643"/>
        <v>-0.80413506239295329</v>
      </c>
      <c r="AJ1290" s="6" t="s">
        <v>12818</v>
      </c>
      <c r="AK1290" s="6" t="str">
        <f t="shared" si="627"/>
        <v>=4087*100000000</v>
      </c>
      <c r="AL1290" s="1">
        <f>4087*100000000</f>
        <v>408700000000</v>
      </c>
      <c r="AM1290" s="8">
        <f t="shared" si="644"/>
        <v>0.4601643444087174</v>
      </c>
      <c r="AN1290" s="6" t="s">
        <v>12819</v>
      </c>
      <c r="AO1290" s="6" t="str">
        <f t="shared" si="628"/>
        <v>=2799*100000000</v>
      </c>
      <c r="AP1290" s="1">
        <f>2799*100000000</f>
        <v>279900000000</v>
      </c>
      <c r="AQ1290" s="8">
        <f t="shared" si="645"/>
        <v>0.6416422287390029</v>
      </c>
      <c r="AR1290" s="6" t="s">
        <v>12820</v>
      </c>
      <c r="AS1290" s="6" t="str">
        <f t="shared" si="629"/>
        <v>=1705*100000000</v>
      </c>
      <c r="AT1290" s="1">
        <f>1705*100000000</f>
        <v>170500000000</v>
      </c>
      <c r="AU1290" s="8">
        <f t="shared" si="646"/>
        <v>1.1280579131303046</v>
      </c>
      <c r="AV1290" s="6" t="s">
        <v>12821</v>
      </c>
      <c r="AW1290" s="6" t="str">
        <f t="shared" si="630"/>
        <v>=801.2*100000000</v>
      </c>
      <c r="AX1290" s="1">
        <f>801.2*100000000</f>
        <v>80120000000</v>
      </c>
      <c r="AY1290" s="10">
        <f t="shared" si="647"/>
        <v>-0.80712566201251801</v>
      </c>
      <c r="AZ1290" s="6" t="s">
        <v>12822</v>
      </c>
      <c r="BA1290" s="6" t="str">
        <f t="shared" si="631"/>
        <v>=4154*100000000</v>
      </c>
      <c r="BB1290" s="1">
        <f>4154*100000000</f>
        <v>415400000000</v>
      </c>
      <c r="BC1290" s="8">
        <f t="shared" si="648"/>
        <v>0.463191264529764</v>
      </c>
      <c r="BD1290" s="6" t="s">
        <v>12823</v>
      </c>
      <c r="BE1290" s="6" t="str">
        <f t="shared" si="632"/>
        <v>=2839*100000000</v>
      </c>
      <c r="BF1290" s="1">
        <f>2839*100000000</f>
        <v>283900000000</v>
      </c>
      <c r="BG1290" s="8">
        <f t="shared" si="649"/>
        <v>0.7855345911949686</v>
      </c>
      <c r="BH1290" s="6" t="s">
        <v>12824</v>
      </c>
      <c r="BI1290" s="6" t="str">
        <f t="shared" si="633"/>
        <v>=1590*100000000</v>
      </c>
      <c r="BJ1290" s="1">
        <f>1590*100000000</f>
        <v>159000000000</v>
      </c>
      <c r="BK1290" s="6" t="s">
        <v>12825</v>
      </c>
      <c r="BL1290" s="1" t="str">
        <f t="shared" si="635"/>
        <v>=776.9*100000000</v>
      </c>
      <c r="BM1290" s="16">
        <f t="shared" si="650"/>
        <v>1.0465954434290128</v>
      </c>
      <c r="BN1290" s="1">
        <f>776.9*100000000</f>
        <v>77690000000</v>
      </c>
    </row>
    <row r="1291" spans="1:66">
      <c r="A1291" s="18"/>
      <c r="B1291">
        <v>601138</v>
      </c>
      <c r="C1291" t="s">
        <v>48</v>
      </c>
      <c r="D1291" s="6" t="s">
        <v>12826</v>
      </c>
      <c r="E1291" s="7" t="str">
        <f t="shared" si="634"/>
        <v>=224.0*100000000</v>
      </c>
      <c r="F1291" s="1">
        <f>224*100000000</f>
        <v>22400000000</v>
      </c>
      <c r="G1291" s="8">
        <f t="shared" si="636"/>
        <v>0.79631114675220527</v>
      </c>
      <c r="H1291" s="6" t="s">
        <v>548</v>
      </c>
      <c r="I1291" s="6" t="str">
        <f t="shared" si="620"/>
        <v>=124.7*100000000</v>
      </c>
      <c r="J1291" s="1">
        <f>124.7*100000000</f>
        <v>12470000000</v>
      </c>
      <c r="K1291" s="10">
        <f t="shared" si="637"/>
        <v>0.6584652214390212</v>
      </c>
      <c r="L1291" s="6" t="s">
        <v>12827</v>
      </c>
      <c r="M1291" s="6" t="str">
        <f t="shared" si="621"/>
        <v>=75.19*100000000</v>
      </c>
      <c r="N1291" s="1">
        <f>75.19*100000000</f>
        <v>7519000000</v>
      </c>
      <c r="O1291" s="8">
        <f t="shared" si="638"/>
        <v>1.0920979410127991</v>
      </c>
      <c r="P1291" s="6" t="s">
        <v>6204</v>
      </c>
      <c r="Q1291" s="6" t="str">
        <f t="shared" si="622"/>
        <v>=35.94*100000000</v>
      </c>
      <c r="R1291" s="11">
        <f>35.94*100000000</f>
        <v>3594000000</v>
      </c>
      <c r="S1291" s="8">
        <f t="shared" si="639"/>
        <v>-0.81774847870182554</v>
      </c>
      <c r="T1291" s="6" t="s">
        <v>12828</v>
      </c>
      <c r="U1291" s="6" t="str">
        <f t="shared" si="623"/>
        <v>=197.2*100000000</v>
      </c>
      <c r="V1291" s="1">
        <f>197.2*100000000</f>
        <v>19720000000</v>
      </c>
      <c r="W1291" s="8">
        <f t="shared" si="640"/>
        <v>0.978330658105939</v>
      </c>
      <c r="X1291" s="6" t="s">
        <v>12829</v>
      </c>
      <c r="Y1291" s="6" t="str">
        <f t="shared" si="624"/>
        <v>=99.68*100000000</v>
      </c>
      <c r="Z1291" s="1">
        <f>99.68*100000000</f>
        <v>9968000000</v>
      </c>
      <c r="AA1291" s="8">
        <f t="shared" si="641"/>
        <v>0.75585696670776814</v>
      </c>
      <c r="AB1291" s="6" t="s">
        <v>12830</v>
      </c>
      <c r="AC1291" s="6" t="str">
        <f t="shared" si="625"/>
        <v>=56.77*100000000</v>
      </c>
      <c r="AD1291" s="1">
        <f>56.77*100000000</f>
        <v>5677000000</v>
      </c>
      <c r="AE1291" s="8">
        <f t="shared" si="642"/>
        <v>1.6969121140142518</v>
      </c>
      <c r="AF1291" s="6" t="s">
        <v>4227</v>
      </c>
      <c r="AG1291" s="6" t="str">
        <f t="shared" si="626"/>
        <v>=21.05*100000000</v>
      </c>
      <c r="AH1291" s="1">
        <f>21.05*100000000</f>
        <v>2105000000</v>
      </c>
      <c r="AI1291" s="8">
        <f t="shared" si="643"/>
        <v>-0.90028422548555187</v>
      </c>
      <c r="AJ1291" s="6" t="s">
        <v>12831</v>
      </c>
      <c r="AK1291" s="6" t="str">
        <f t="shared" si="627"/>
        <v>=211.1*100000000</v>
      </c>
      <c r="AL1291" s="1">
        <f>211.1*100000000</f>
        <v>21110000000</v>
      </c>
      <c r="AM1291" s="8">
        <f t="shared" si="644"/>
        <v>0.86484098939929333</v>
      </c>
      <c r="AN1291" s="6" t="s">
        <v>6310</v>
      </c>
      <c r="AO1291" s="6" t="str">
        <f t="shared" si="628"/>
        <v>=113.2*100000000</v>
      </c>
      <c r="AP1291" s="1">
        <f>113.2*100000000</f>
        <v>11320000000</v>
      </c>
      <c r="AQ1291" s="8">
        <f t="shared" si="645"/>
        <v>0.91766898187362356</v>
      </c>
      <c r="AR1291" s="6" t="s">
        <v>6113</v>
      </c>
      <c r="AS1291" s="6" t="str">
        <f t="shared" si="629"/>
        <v>=59.03*100000000</v>
      </c>
      <c r="AT1291" s="1">
        <f>59.03*100000000</f>
        <v>5903000000</v>
      </c>
      <c r="AU1291" s="8">
        <f t="shared" si="646"/>
        <v>0.73617647058823532</v>
      </c>
      <c r="AV1291" s="6" t="s">
        <v>4132</v>
      </c>
      <c r="AW1291" s="6" t="str">
        <f t="shared" si="630"/>
        <v>=34.00*100000000</v>
      </c>
      <c r="AX1291" s="1">
        <f>34*100000000</f>
        <v>3400000000</v>
      </c>
      <c r="AY1291" s="10">
        <f t="shared" si="647"/>
        <v>-0.83067729083665343</v>
      </c>
      <c r="AZ1291" s="6" t="s">
        <v>3636</v>
      </c>
      <c r="BA1291" s="6" t="str">
        <f t="shared" si="631"/>
        <v>=200.8*100000000</v>
      </c>
      <c r="BB1291" s="1">
        <f>200.8*100000000</f>
        <v>20080000000</v>
      </c>
      <c r="BC1291" s="8">
        <f t="shared" si="648"/>
        <v>0.70313825275657338</v>
      </c>
      <c r="BD1291" s="6" t="s">
        <v>7369</v>
      </c>
      <c r="BE1291" s="6" t="str">
        <f t="shared" si="632"/>
        <v>=117.9*100000000</v>
      </c>
      <c r="BF1291" s="1">
        <f>117.9*100000000</f>
        <v>11790000000</v>
      </c>
      <c r="BG1291" s="8">
        <f t="shared" si="649"/>
        <v>0.785552021808269</v>
      </c>
      <c r="BH1291" s="6" t="s">
        <v>6444</v>
      </c>
      <c r="BI1291" s="6" t="str">
        <f t="shared" si="633"/>
        <v>=66.03*100000000</v>
      </c>
      <c r="BJ1291" s="1">
        <f>66.03*100000000</f>
        <v>6603000000</v>
      </c>
      <c r="BK1291" s="6" t="s">
        <v>6949</v>
      </c>
      <c r="BL1291" s="1" t="str">
        <f t="shared" si="635"/>
        <v>=32.40*100000000</v>
      </c>
      <c r="BM1291" s="16">
        <f t="shared" si="650"/>
        <v>1.037962962962963</v>
      </c>
      <c r="BN1291" s="1">
        <f>32.4*100000000</f>
        <v>3240000000</v>
      </c>
    </row>
    <row r="1292" spans="1:66">
      <c r="A1292" s="18"/>
      <c r="B1292">
        <v>601138</v>
      </c>
      <c r="C1292" t="s">
        <v>58</v>
      </c>
      <c r="D1292" s="6" t="s">
        <v>12832</v>
      </c>
      <c r="E1292" s="7" t="str">
        <f t="shared" si="634"/>
        <v>=223.2*100000000</v>
      </c>
      <c r="F1292" s="1">
        <f>223.2*100000000</f>
        <v>22320000000</v>
      </c>
      <c r="G1292" s="8">
        <f t="shared" si="636"/>
        <v>0.79710144927536231</v>
      </c>
      <c r="H1292" s="6" t="s">
        <v>12833</v>
      </c>
      <c r="I1292" s="6" t="str">
        <f t="shared" si="620"/>
        <v>=124.2*100000000</v>
      </c>
      <c r="J1292" s="1">
        <f>124.2*100000000</f>
        <v>12420000000</v>
      </c>
      <c r="K1292" s="10">
        <f t="shared" si="637"/>
        <v>0.64743334659769203</v>
      </c>
      <c r="L1292" s="6" t="s">
        <v>12834</v>
      </c>
      <c r="M1292" s="6" t="str">
        <f t="shared" si="621"/>
        <v>=75.39*100000000</v>
      </c>
      <c r="N1292" s="1">
        <f>75.39*100000000</f>
        <v>7539000000</v>
      </c>
      <c r="O1292" s="8">
        <f t="shared" si="638"/>
        <v>1.088365650969529</v>
      </c>
      <c r="P1292" s="6" t="s">
        <v>8592</v>
      </c>
      <c r="Q1292" s="6" t="str">
        <f t="shared" si="622"/>
        <v>=36.10*100000000</v>
      </c>
      <c r="R1292" s="11">
        <f>36.1*100000000</f>
        <v>3610000000</v>
      </c>
      <c r="S1292" s="8">
        <f t="shared" si="639"/>
        <v>-0.81721518987341768</v>
      </c>
      <c r="T1292" s="6" t="s">
        <v>2409</v>
      </c>
      <c r="U1292" s="6" t="str">
        <f t="shared" si="623"/>
        <v>=197.5*100000000</v>
      </c>
      <c r="V1292" s="1">
        <f>197.5*100000000</f>
        <v>19750000000</v>
      </c>
      <c r="W1292" s="8">
        <f t="shared" si="640"/>
        <v>0.97618571142685606</v>
      </c>
      <c r="X1292" s="6" t="s">
        <v>12835</v>
      </c>
      <c r="Y1292" s="6" t="str">
        <f t="shared" si="624"/>
        <v>=99.94*100000000</v>
      </c>
      <c r="Z1292" s="1">
        <f>99.94*100000000</f>
        <v>9994000000</v>
      </c>
      <c r="AA1292" s="8">
        <f t="shared" si="641"/>
        <v>0.75672350149411149</v>
      </c>
      <c r="AB1292" s="6" t="s">
        <v>12836</v>
      </c>
      <c r="AC1292" s="6" t="str">
        <f t="shared" si="625"/>
        <v>=56.89*100000000</v>
      </c>
      <c r="AD1292" s="1">
        <f>56.89*100000000</f>
        <v>5689000000</v>
      </c>
      <c r="AE1292" s="8">
        <f t="shared" si="642"/>
        <v>1.6796985398021667</v>
      </c>
      <c r="AF1292" s="6" t="s">
        <v>6456</v>
      </c>
      <c r="AG1292" s="6" t="str">
        <f t="shared" si="626"/>
        <v>=21.23*100000000</v>
      </c>
      <c r="AH1292" s="1">
        <f>21.23*100000000</f>
        <v>2123000000</v>
      </c>
      <c r="AI1292" s="8">
        <f t="shared" si="643"/>
        <v>-0.89952673923331761</v>
      </c>
      <c r="AJ1292" s="6" t="s">
        <v>12837</v>
      </c>
      <c r="AK1292" s="6" t="str">
        <f t="shared" si="627"/>
        <v>=211.3*100000000</v>
      </c>
      <c r="AL1292" s="1">
        <f>211.3*100000000</f>
        <v>21130000000</v>
      </c>
      <c r="AM1292" s="8">
        <f t="shared" si="644"/>
        <v>0.86331569664902996</v>
      </c>
      <c r="AN1292" s="6" t="s">
        <v>9499</v>
      </c>
      <c r="AO1292" s="6" t="str">
        <f t="shared" si="628"/>
        <v>=113.4*100000000</v>
      </c>
      <c r="AP1292" s="1">
        <f>113.4*100000000</f>
        <v>11340000000</v>
      </c>
      <c r="AQ1292" s="8">
        <f t="shared" si="645"/>
        <v>0.92203389830508475</v>
      </c>
      <c r="AR1292" s="6" t="s">
        <v>12838</v>
      </c>
      <c r="AS1292" s="6" t="str">
        <f t="shared" si="629"/>
        <v>=59.00*100000000</v>
      </c>
      <c r="AT1292" s="1">
        <f>59*100000000</f>
        <v>5900000000</v>
      </c>
      <c r="AU1292" s="8">
        <f t="shared" si="646"/>
        <v>0.72969803576663739</v>
      </c>
      <c r="AV1292" s="6" t="s">
        <v>12839</v>
      </c>
      <c r="AW1292" s="6" t="str">
        <f t="shared" si="630"/>
        <v>=34.11*100000000</v>
      </c>
      <c r="AX1292" s="1">
        <f>34.11*100000000</f>
        <v>3411000000</v>
      </c>
      <c r="AY1292" s="10">
        <f t="shared" si="647"/>
        <v>-0.83004484304932735</v>
      </c>
      <c r="AZ1292" s="6" t="s">
        <v>12840</v>
      </c>
      <c r="BA1292" s="6" t="str">
        <f t="shared" si="631"/>
        <v>=200.7*100000000</v>
      </c>
      <c r="BB1292" s="1">
        <f>200.7*100000000</f>
        <v>20070000000</v>
      </c>
      <c r="BC1292" s="8">
        <f t="shared" si="648"/>
        <v>0.69653423499577349</v>
      </c>
      <c r="BD1292" s="6" t="s">
        <v>1153</v>
      </c>
      <c r="BE1292" s="6" t="str">
        <f t="shared" si="632"/>
        <v>=118.3*100000000</v>
      </c>
      <c r="BF1292" s="1">
        <f>118.3*100000000</f>
        <v>11830000000</v>
      </c>
      <c r="BG1292" s="8">
        <f t="shared" si="649"/>
        <v>0.78835978835978815</v>
      </c>
      <c r="BH1292" s="6" t="s">
        <v>12841</v>
      </c>
      <c r="BI1292" s="6" t="str">
        <f t="shared" si="633"/>
        <v>=66.15*100000000</v>
      </c>
      <c r="BJ1292" s="1">
        <f>66.15*100000000</f>
        <v>6615000000.000001</v>
      </c>
      <c r="BK1292" s="6" t="s">
        <v>647</v>
      </c>
      <c r="BL1292" s="1" t="str">
        <f t="shared" si="635"/>
        <v>=32.51*100000000</v>
      </c>
      <c r="BM1292" s="16">
        <f t="shared" si="650"/>
        <v>1.0347585358351279</v>
      </c>
      <c r="BN1292" s="1">
        <f>32.51*100000000</f>
        <v>3251000000</v>
      </c>
    </row>
    <row r="1293" spans="1:66">
      <c r="A1293" s="19"/>
      <c r="B1293">
        <v>601138</v>
      </c>
      <c r="C1293" t="s">
        <v>68</v>
      </c>
      <c r="D1293" s="6" t="s">
        <v>12842</v>
      </c>
      <c r="E1293" s="7" t="str">
        <f t="shared" si="634"/>
        <v>=200.2*100000000</v>
      </c>
      <c r="F1293" s="1">
        <f>200.2*100000000</f>
        <v>20020000000</v>
      </c>
      <c r="G1293" s="8">
        <f t="shared" si="636"/>
        <v>0.82</v>
      </c>
      <c r="H1293" s="6" t="s">
        <v>8097</v>
      </c>
      <c r="I1293" s="6" t="str">
        <f t="shared" si="620"/>
        <v>=110.0*100000000</v>
      </c>
      <c r="J1293" s="1">
        <f>110*100000000</f>
        <v>11000000000</v>
      </c>
      <c r="K1293" s="10">
        <f t="shared" si="637"/>
        <v>0.63544454356229529</v>
      </c>
      <c r="L1293" s="6" t="s">
        <v>12843</v>
      </c>
      <c r="M1293" s="6" t="str">
        <f t="shared" si="621"/>
        <v>=67.26*100000000</v>
      </c>
      <c r="N1293" s="1">
        <f>67.26*100000000</f>
        <v>6726000000.000001</v>
      </c>
      <c r="O1293" s="8">
        <f t="shared" si="638"/>
        <v>1.1091251175917218</v>
      </c>
      <c r="P1293" s="6" t="s">
        <v>5244</v>
      </c>
      <c r="Q1293" s="6" t="str">
        <f t="shared" si="622"/>
        <v>=31.89*100000000</v>
      </c>
      <c r="R1293" s="11">
        <f>31.89*100000000</f>
        <v>3189000000</v>
      </c>
      <c r="S1293" s="8">
        <f t="shared" si="639"/>
        <v>-0.81703958691910494</v>
      </c>
      <c r="T1293" s="6" t="s">
        <v>12844</v>
      </c>
      <c r="U1293" s="6" t="str">
        <f t="shared" si="623"/>
        <v>=174.3*100000000</v>
      </c>
      <c r="V1293" s="1">
        <f>174.3*100000000</f>
        <v>17430000000</v>
      </c>
      <c r="W1293" s="8">
        <f t="shared" si="640"/>
        <v>0.98023176550783908</v>
      </c>
      <c r="X1293" s="6" t="s">
        <v>12845</v>
      </c>
      <c r="Y1293" s="6" t="str">
        <f t="shared" si="624"/>
        <v>=88.02*100000000</v>
      </c>
      <c r="Z1293" s="1">
        <f>88.02*100000000</f>
        <v>8802000000</v>
      </c>
      <c r="AA1293" s="8">
        <f t="shared" si="641"/>
        <v>0.74642857142857144</v>
      </c>
      <c r="AB1293" s="6" t="s">
        <v>12846</v>
      </c>
      <c r="AC1293" s="6" t="str">
        <f t="shared" si="625"/>
        <v>=50.40*100000000</v>
      </c>
      <c r="AD1293" s="1">
        <f>50.4*100000000</f>
        <v>5040000000</v>
      </c>
      <c r="AE1293" s="8">
        <f t="shared" si="642"/>
        <v>1.6966292134831458</v>
      </c>
      <c r="AF1293" s="6" t="s">
        <v>8982</v>
      </c>
      <c r="AG1293" s="6" t="str">
        <f t="shared" si="626"/>
        <v>=18.69*100000000</v>
      </c>
      <c r="AH1293" s="1">
        <f>18.69*100000000</f>
        <v>1869000000.0000002</v>
      </c>
      <c r="AI1293" s="8">
        <f t="shared" si="643"/>
        <v>-0.89957012358946797</v>
      </c>
      <c r="AJ1293" s="6" t="s">
        <v>1853</v>
      </c>
      <c r="AK1293" s="6" t="str">
        <f t="shared" si="627"/>
        <v>=186.1*100000000</v>
      </c>
      <c r="AL1293" s="1">
        <f>186.1*100000000</f>
        <v>18610000000</v>
      </c>
      <c r="AM1293" s="8">
        <f t="shared" si="644"/>
        <v>0.82809430255402749</v>
      </c>
      <c r="AN1293" s="6" t="s">
        <v>12847</v>
      </c>
      <c r="AO1293" s="6" t="str">
        <f t="shared" si="628"/>
        <v>=101.8*100000000</v>
      </c>
      <c r="AP1293" s="1">
        <f>101.8*100000000</f>
        <v>10180000000</v>
      </c>
      <c r="AQ1293" s="8">
        <f t="shared" si="645"/>
        <v>0.85868176008763919</v>
      </c>
      <c r="AR1293" s="6" t="s">
        <v>12848</v>
      </c>
      <c r="AS1293" s="6" t="str">
        <f t="shared" si="629"/>
        <v>=54.77*100000000</v>
      </c>
      <c r="AT1293" s="1">
        <f>54.77*100000000</f>
        <v>5477000000</v>
      </c>
      <c r="AU1293" s="8">
        <f t="shared" si="646"/>
        <v>0.90636964845109647</v>
      </c>
      <c r="AV1293" s="6" t="s">
        <v>12849</v>
      </c>
      <c r="AW1293" s="6" t="str">
        <f t="shared" si="630"/>
        <v>=28.73*100000000</v>
      </c>
      <c r="AX1293" s="1">
        <f>28.73*100000000</f>
        <v>2873000000</v>
      </c>
      <c r="AY1293" s="10">
        <f t="shared" si="647"/>
        <v>-0.83010053222945002</v>
      </c>
      <c r="AZ1293" s="6" t="s">
        <v>396</v>
      </c>
      <c r="BA1293" s="6" t="str">
        <f t="shared" si="631"/>
        <v>=169.1*100000000</v>
      </c>
      <c r="BB1293" s="1">
        <f>169.1*100000000</f>
        <v>16910000000</v>
      </c>
      <c r="BC1293" s="8">
        <f t="shared" si="648"/>
        <v>0.7329370772699324</v>
      </c>
      <c r="BD1293" s="6" t="s">
        <v>12850</v>
      </c>
      <c r="BE1293" s="6" t="str">
        <f t="shared" si="632"/>
        <v>=97.58*100000000</v>
      </c>
      <c r="BF1293" s="1">
        <f>97.58*100000000</f>
        <v>9758000000</v>
      </c>
      <c r="BG1293" s="8">
        <f t="shared" si="649"/>
        <v>0.79177377892030854</v>
      </c>
      <c r="BH1293" s="6" t="s">
        <v>6516</v>
      </c>
      <c r="BI1293" s="6" t="str">
        <f t="shared" si="633"/>
        <v>=54.46*100000000</v>
      </c>
      <c r="BJ1293" s="1">
        <f>54.46*100000000</f>
        <v>5446000000</v>
      </c>
      <c r="BK1293" s="6" t="s">
        <v>6871</v>
      </c>
      <c r="BL1293" s="1" t="str">
        <f t="shared" si="635"/>
        <v>=26.53*100000000</v>
      </c>
      <c r="BM1293" s="16">
        <f t="shared" si="650"/>
        <v>1.0527704485488127</v>
      </c>
      <c r="BN1293" s="1">
        <f>26.53*100000000</f>
        <v>2653000000</v>
      </c>
    </row>
    <row r="1294" spans="1:66">
      <c r="A1294" s="17">
        <v>325</v>
      </c>
      <c r="B1294">
        <v>601155</v>
      </c>
      <c r="C1294" t="s">
        <v>31</v>
      </c>
      <c r="D1294" s="6" t="s">
        <v>12851</v>
      </c>
      <c r="E1294" s="7" t="str">
        <f t="shared" si="634"/>
        <v>=1682*100000000</v>
      </c>
      <c r="F1294" s="1">
        <f>1682*100000000</f>
        <v>168200000000</v>
      </c>
      <c r="G1294" s="8">
        <f t="shared" si="636"/>
        <v>0.54170485792850598</v>
      </c>
      <c r="H1294" s="6" t="s">
        <v>12852</v>
      </c>
      <c r="I1294" s="6" t="str">
        <f t="shared" si="620"/>
        <v>=1091*100000000</v>
      </c>
      <c r="J1294" s="1">
        <f>1091*100000000</f>
        <v>109100000000</v>
      </c>
      <c r="K1294" s="10">
        <f t="shared" si="637"/>
        <v>0.37909240298318797</v>
      </c>
      <c r="L1294" s="6" t="s">
        <v>12853</v>
      </c>
      <c r="M1294" s="6" t="str">
        <f t="shared" si="621"/>
        <v>=791.1*100000000</v>
      </c>
      <c r="N1294" s="1">
        <f>791.1*100000000</f>
        <v>79110000000</v>
      </c>
      <c r="O1294" s="8">
        <f t="shared" si="638"/>
        <v>3.4872376630743052</v>
      </c>
      <c r="P1294" s="6" t="s">
        <v>1078</v>
      </c>
      <c r="Q1294" s="6" t="str">
        <f t="shared" si="622"/>
        <v>=176.3*100000000</v>
      </c>
      <c r="R1294" s="11">
        <f>176.3*100000000</f>
        <v>17630000000</v>
      </c>
      <c r="S1294" s="8">
        <f t="shared" si="639"/>
        <v>-0.87883161512027497</v>
      </c>
      <c r="T1294" s="6" t="s">
        <v>4667</v>
      </c>
      <c r="U1294" s="6" t="str">
        <f t="shared" si="623"/>
        <v>=1455*100000000</v>
      </c>
      <c r="V1294" s="1">
        <f>1455*100000000</f>
        <v>145500000000</v>
      </c>
      <c r="W1294" s="8">
        <f t="shared" si="640"/>
        <v>1.0759024111856186</v>
      </c>
      <c r="X1294" s="6" t="s">
        <v>12854</v>
      </c>
      <c r="Y1294" s="6" t="str">
        <f t="shared" si="624"/>
        <v>=700.9*100000000</v>
      </c>
      <c r="Z1294" s="1">
        <f>700.9*100000000</f>
        <v>70090000000</v>
      </c>
      <c r="AA1294" s="8">
        <f t="shared" si="641"/>
        <v>0.85718071012188657</v>
      </c>
      <c r="AB1294" s="6" t="s">
        <v>12855</v>
      </c>
      <c r="AC1294" s="6" t="str">
        <f t="shared" si="625"/>
        <v>=377.4*100000000</v>
      </c>
      <c r="AD1294" s="1">
        <f>377.4*100000000</f>
        <v>37740000000</v>
      </c>
      <c r="AE1294" s="8">
        <f t="shared" si="642"/>
        <v>4.3222394584684816</v>
      </c>
      <c r="AF1294" s="6" t="s">
        <v>12856</v>
      </c>
      <c r="AG1294" s="6" t="str">
        <f t="shared" si="626"/>
        <v>=70.91*100000000</v>
      </c>
      <c r="AH1294" s="1">
        <f>70.91*100000000</f>
        <v>7091000000</v>
      </c>
      <c r="AI1294" s="8">
        <f t="shared" si="643"/>
        <v>-0.91740244612696564</v>
      </c>
      <c r="AJ1294" s="6" t="s">
        <v>12857</v>
      </c>
      <c r="AK1294" s="6" t="str">
        <f t="shared" si="627"/>
        <v>=858.5*100000000</v>
      </c>
      <c r="AL1294" s="1">
        <f>858.5*100000000</f>
        <v>85850000000</v>
      </c>
      <c r="AM1294" s="8">
        <f t="shared" si="644"/>
        <v>1.9042625169147493</v>
      </c>
      <c r="AN1294" s="6" t="s">
        <v>12858</v>
      </c>
      <c r="AO1294" s="6" t="str">
        <f t="shared" si="628"/>
        <v>=295.6*100000000</v>
      </c>
      <c r="AP1294" s="1">
        <f>295.6*100000000</f>
        <v>29560000000.000004</v>
      </c>
      <c r="AQ1294" s="8">
        <f t="shared" si="645"/>
        <v>0.73270808909730389</v>
      </c>
      <c r="AR1294" s="6" t="s">
        <v>12859</v>
      </c>
      <c r="AS1294" s="6" t="str">
        <f t="shared" si="629"/>
        <v>=170.6*100000000</v>
      </c>
      <c r="AT1294" s="1">
        <f>170.6*100000000</f>
        <v>17060000000</v>
      </c>
      <c r="AU1294" s="8">
        <f t="shared" si="646"/>
        <v>2.9399538106235568</v>
      </c>
      <c r="AV1294" s="6" t="s">
        <v>12860</v>
      </c>
      <c r="AW1294" s="6" t="str">
        <f t="shared" si="630"/>
        <v>=43.30*100000000</v>
      </c>
      <c r="AX1294" s="1">
        <f>43.3*100000000</f>
        <v>4330000000</v>
      </c>
      <c r="AY1294" s="10">
        <f t="shared" si="647"/>
        <v>-0.92000738961758732</v>
      </c>
      <c r="AZ1294" s="6" t="s">
        <v>12861</v>
      </c>
      <c r="BA1294" s="6" t="str">
        <f t="shared" si="631"/>
        <v>=541.3*100000000</v>
      </c>
      <c r="BB1294" s="1">
        <f>541.3*100000000</f>
        <v>54129999999.999992</v>
      </c>
      <c r="BC1294" s="8">
        <f t="shared" si="648"/>
        <v>1.1835417507059296</v>
      </c>
      <c r="BD1294" s="6" t="s">
        <v>12862</v>
      </c>
      <c r="BE1294" s="6" t="str">
        <f t="shared" si="632"/>
        <v>=247.9*100000000</v>
      </c>
      <c r="BF1294" s="1">
        <f>247.9*100000000</f>
        <v>24790000000</v>
      </c>
      <c r="BG1294" s="8">
        <f t="shared" si="649"/>
        <v>0.57296954314720816</v>
      </c>
      <c r="BH1294" s="6" t="s">
        <v>11114</v>
      </c>
      <c r="BI1294" s="6" t="str">
        <f t="shared" si="633"/>
        <v>=157.6*100000000</v>
      </c>
      <c r="BJ1294" s="1">
        <f>157.6*100000000</f>
        <v>15760000000</v>
      </c>
      <c r="BK1294" s="6" t="s">
        <v>12863</v>
      </c>
      <c r="BL1294" s="1" t="str">
        <f t="shared" si="635"/>
        <v>=51.79*100000000</v>
      </c>
      <c r="BM1294" s="16">
        <f t="shared" si="650"/>
        <v>2.0430585055029931</v>
      </c>
      <c r="BN1294" s="1">
        <f>51.79*100000000</f>
        <v>5179000000</v>
      </c>
    </row>
    <row r="1295" spans="1:66">
      <c r="A1295" s="18"/>
      <c r="B1295">
        <v>601155</v>
      </c>
      <c r="C1295" t="s">
        <v>48</v>
      </c>
      <c r="D1295" s="6" t="s">
        <v>6433</v>
      </c>
      <c r="E1295" s="7" t="str">
        <f t="shared" si="634"/>
        <v>=182.3*100000000</v>
      </c>
      <c r="F1295" s="1">
        <f>182.3*100000000</f>
        <v>18230000000</v>
      </c>
      <c r="G1295" s="8">
        <f t="shared" si="636"/>
        <v>0.91914938414569958</v>
      </c>
      <c r="H1295" s="6" t="s">
        <v>12864</v>
      </c>
      <c r="I1295" s="6" t="str">
        <f t="shared" si="620"/>
        <v>=94.99*100000000</v>
      </c>
      <c r="J1295" s="1">
        <f>94.99*100000000</f>
        <v>9499000000</v>
      </c>
      <c r="K1295" s="10">
        <f t="shared" si="637"/>
        <v>0.4018595041322312</v>
      </c>
      <c r="L1295" s="6" t="s">
        <v>316</v>
      </c>
      <c r="M1295" s="6" t="str">
        <f t="shared" si="621"/>
        <v>=67.76*100000000</v>
      </c>
      <c r="N1295" s="1">
        <f>67.76*100000000</f>
        <v>6776000000.000001</v>
      </c>
      <c r="O1295" s="8">
        <f t="shared" si="638"/>
        <v>8.0660957987690676</v>
      </c>
      <c r="P1295" s="6" t="s">
        <v>9322</v>
      </c>
      <c r="Q1295" s="6" t="str">
        <f t="shared" si="622"/>
        <v>=7.474*100000000</v>
      </c>
      <c r="R1295" s="11">
        <f>7.474*100000000</f>
        <v>747400000</v>
      </c>
      <c r="S1295" s="8">
        <f t="shared" si="639"/>
        <v>-0.96605812897366028</v>
      </c>
      <c r="T1295" s="6" t="s">
        <v>12865</v>
      </c>
      <c r="U1295" s="6" t="str">
        <f t="shared" si="623"/>
        <v>=220.2*100000000</v>
      </c>
      <c r="V1295" s="1">
        <f>220.2*100000000</f>
        <v>22020000000</v>
      </c>
      <c r="W1295" s="8">
        <f t="shared" si="640"/>
        <v>1.9716599190283404</v>
      </c>
      <c r="X1295" s="6" t="s">
        <v>12866</v>
      </c>
      <c r="Y1295" s="6" t="str">
        <f t="shared" si="624"/>
        <v>=74.10*100000000</v>
      </c>
      <c r="Z1295" s="1">
        <f>74.1*100000000</f>
        <v>7409999999.999999</v>
      </c>
      <c r="AA1295" s="8">
        <f t="shared" si="641"/>
        <v>0.50334753499695661</v>
      </c>
      <c r="AB1295" s="6" t="s">
        <v>12867</v>
      </c>
      <c r="AC1295" s="6" t="str">
        <f t="shared" si="625"/>
        <v>=49.29*100000000</v>
      </c>
      <c r="AD1295" s="1">
        <f>49.29*100000000</f>
        <v>4929000000</v>
      </c>
      <c r="AE1295" s="8">
        <f t="shared" si="642"/>
        <v>12.474576271186441</v>
      </c>
      <c r="AF1295" s="6" t="s">
        <v>8845</v>
      </c>
      <c r="AG1295" s="6" t="str">
        <f t="shared" si="626"/>
        <v>=3.658*100000000</v>
      </c>
      <c r="AH1295" s="1">
        <f>3.658*100000000</f>
        <v>365800000</v>
      </c>
      <c r="AI1295" s="8">
        <f t="shared" si="643"/>
        <v>-0.97927478753541075</v>
      </c>
      <c r="AJ1295" s="6" t="s">
        <v>12868</v>
      </c>
      <c r="AK1295" s="6" t="str">
        <f t="shared" si="627"/>
        <v>=176.5*100000000</v>
      </c>
      <c r="AL1295" s="1">
        <f>176.5*100000000</f>
        <v>17650000000</v>
      </c>
      <c r="AM1295" s="8">
        <f t="shared" si="644"/>
        <v>2.2922962133930236</v>
      </c>
      <c r="AN1295" s="6" t="s">
        <v>12869</v>
      </c>
      <c r="AO1295" s="6" t="str">
        <f t="shared" si="628"/>
        <v>=53.61*100000000</v>
      </c>
      <c r="AP1295" s="1">
        <f>53.61*100000000</f>
        <v>5361000000</v>
      </c>
      <c r="AQ1295" s="8">
        <f t="shared" si="645"/>
        <v>0.41825396825396843</v>
      </c>
      <c r="AR1295" s="6" t="s">
        <v>1340</v>
      </c>
      <c r="AS1295" s="6" t="str">
        <f t="shared" si="629"/>
        <v>=37.80*100000000</v>
      </c>
      <c r="AT1295" s="1">
        <f>37.8*100000000</f>
        <v>3779999999.9999995</v>
      </c>
      <c r="AU1295" s="8">
        <f t="shared" si="646"/>
        <v>14.568369028006588</v>
      </c>
      <c r="AV1295" s="6" t="s">
        <v>3504</v>
      </c>
      <c r="AW1295" s="6" t="str">
        <f t="shared" si="630"/>
        <v>=2.428*100000000</v>
      </c>
      <c r="AX1295" s="1">
        <f>2.428*100000000</f>
        <v>242800000</v>
      </c>
      <c r="AY1295" s="10">
        <f t="shared" si="647"/>
        <v>-0.98447570332480816</v>
      </c>
      <c r="AZ1295" s="6" t="s">
        <v>2350</v>
      </c>
      <c r="BA1295" s="6" t="str">
        <f t="shared" si="631"/>
        <v>=156.4*100000000</v>
      </c>
      <c r="BB1295" s="1">
        <f>156.4*100000000</f>
        <v>15640000000</v>
      </c>
      <c r="BC1295" s="8">
        <f t="shared" si="648"/>
        <v>1.9359864839496903</v>
      </c>
      <c r="BD1295" s="6" t="s">
        <v>12870</v>
      </c>
      <c r="BE1295" s="6" t="str">
        <f t="shared" si="632"/>
        <v>=53.27*100000000</v>
      </c>
      <c r="BF1295" s="1">
        <f>53.27*100000000</f>
        <v>5327000000</v>
      </c>
      <c r="BG1295" s="8">
        <f t="shared" si="649"/>
        <v>0.5333909038572251</v>
      </c>
      <c r="BH1295" s="6" t="s">
        <v>12871</v>
      </c>
      <c r="BI1295" s="6" t="str">
        <f t="shared" si="633"/>
        <v>=34.74*100000000</v>
      </c>
      <c r="BJ1295" s="1">
        <f>34.74*100000000</f>
        <v>3474000000</v>
      </c>
      <c r="BK1295" s="6" t="s">
        <v>12872</v>
      </c>
      <c r="BL1295" s="1" t="str">
        <f t="shared" si="635"/>
        <v>=4.815*100000000</v>
      </c>
      <c r="BM1295" s="16">
        <f t="shared" si="650"/>
        <v>6.2149532710280369</v>
      </c>
      <c r="BN1295" s="1">
        <f>4.815*100000000</f>
        <v>481500000.00000006</v>
      </c>
    </row>
    <row r="1296" spans="1:66">
      <c r="A1296" s="18"/>
      <c r="B1296">
        <v>601155</v>
      </c>
      <c r="C1296" t="s">
        <v>58</v>
      </c>
      <c r="D1296" s="6" t="s">
        <v>2767</v>
      </c>
      <c r="E1296" s="7" t="str">
        <f t="shared" si="634"/>
        <v>=183.2*100000000</v>
      </c>
      <c r="F1296" s="1">
        <f>183.2*100000000</f>
        <v>18320000000</v>
      </c>
      <c r="G1296" s="8">
        <f t="shared" si="636"/>
        <v>0.91231732776617958</v>
      </c>
      <c r="H1296" s="6" t="s">
        <v>12873</v>
      </c>
      <c r="I1296" s="6" t="str">
        <f t="shared" si="620"/>
        <v>=95.80*100000000</v>
      </c>
      <c r="J1296" s="1">
        <f>95.8*100000000</f>
        <v>9580000000</v>
      </c>
      <c r="K1296" s="10">
        <f t="shared" si="637"/>
        <v>0.39304929475061801</v>
      </c>
      <c r="L1296" s="6" t="s">
        <v>12874</v>
      </c>
      <c r="M1296" s="6" t="str">
        <f t="shared" si="621"/>
        <v>=68.77*100000000</v>
      </c>
      <c r="N1296" s="1">
        <f>68.77*100000000</f>
        <v>6877000000</v>
      </c>
      <c r="O1296" s="8">
        <f t="shared" si="638"/>
        <v>7.6677590118477434</v>
      </c>
      <c r="P1296" s="6" t="s">
        <v>12875</v>
      </c>
      <c r="Q1296" s="6" t="str">
        <f t="shared" si="622"/>
        <v>=7.934*100000000</v>
      </c>
      <c r="R1296" s="11">
        <f>7.934*100000000</f>
        <v>793400000</v>
      </c>
      <c r="S1296" s="8">
        <f t="shared" si="639"/>
        <v>-0.96432553956834532</v>
      </c>
      <c r="T1296" s="6" t="s">
        <v>12876</v>
      </c>
      <c r="U1296" s="6" t="str">
        <f t="shared" si="623"/>
        <v>=222.4*100000000</v>
      </c>
      <c r="V1296" s="1">
        <f>222.4*100000000</f>
        <v>22240000000</v>
      </c>
      <c r="W1296" s="8">
        <f t="shared" si="640"/>
        <v>1.9582335727587121</v>
      </c>
      <c r="X1296" s="6" t="s">
        <v>12877</v>
      </c>
      <c r="Y1296" s="6" t="str">
        <f t="shared" si="624"/>
        <v>=75.18*100000000</v>
      </c>
      <c r="Z1296" s="1">
        <f>75.18*100000000</f>
        <v>7518000000.000001</v>
      </c>
      <c r="AA1296" s="8">
        <f t="shared" si="641"/>
        <v>0.49225883287018679</v>
      </c>
      <c r="AB1296" s="6" t="s">
        <v>10709</v>
      </c>
      <c r="AC1296" s="6" t="str">
        <f t="shared" si="625"/>
        <v>=50.38*100000000</v>
      </c>
      <c r="AD1296" s="1">
        <f>50.38*100000000</f>
        <v>5038000000</v>
      </c>
      <c r="AE1296" s="8">
        <f t="shared" si="642"/>
        <v>11.6392373306573</v>
      </c>
      <c r="AF1296" s="6" t="s">
        <v>1714</v>
      </c>
      <c r="AG1296" s="6" t="str">
        <f t="shared" si="626"/>
        <v>=3.986*100000000</v>
      </c>
      <c r="AH1296" s="1">
        <f>3.986*100000000</f>
        <v>398600000</v>
      </c>
      <c r="AI1296" s="8">
        <f t="shared" si="643"/>
        <v>-0.97761931499157773</v>
      </c>
      <c r="AJ1296" s="6" t="s">
        <v>1160</v>
      </c>
      <c r="AK1296" s="6" t="str">
        <f t="shared" si="627"/>
        <v>=178.1*100000000</v>
      </c>
      <c r="AL1296" s="1">
        <f>178.1*100000000</f>
        <v>17810000000</v>
      </c>
      <c r="AM1296" s="8">
        <f t="shared" si="644"/>
        <v>2.2884047267355982</v>
      </c>
      <c r="AN1296" s="6" t="s">
        <v>12878</v>
      </c>
      <c r="AO1296" s="6" t="str">
        <f t="shared" si="628"/>
        <v>=54.16*100000000</v>
      </c>
      <c r="AP1296" s="1">
        <f>54.16*100000000</f>
        <v>5416000000</v>
      </c>
      <c r="AQ1296" s="8">
        <f t="shared" si="645"/>
        <v>0.41705913134484562</v>
      </c>
      <c r="AR1296" s="6" t="s">
        <v>12879</v>
      </c>
      <c r="AS1296" s="6" t="str">
        <f t="shared" si="629"/>
        <v>=38.22*100000000</v>
      </c>
      <c r="AT1296" s="1">
        <f>38.22*100000000</f>
        <v>3822000000</v>
      </c>
      <c r="AU1296" s="8">
        <f t="shared" si="646"/>
        <v>11.697674418604651</v>
      </c>
      <c r="AV1296" s="6" t="s">
        <v>6961</v>
      </c>
      <c r="AW1296" s="6" t="str">
        <f t="shared" si="630"/>
        <v>=3.010*100000000</v>
      </c>
      <c r="AX1296" s="1">
        <f>3.01*100000000</f>
        <v>301000000</v>
      </c>
      <c r="AY1296" s="10">
        <f t="shared" si="647"/>
        <v>-0.98091312618896642</v>
      </c>
      <c r="AZ1296" s="6" t="s">
        <v>12880</v>
      </c>
      <c r="BA1296" s="6" t="str">
        <f t="shared" si="631"/>
        <v>=157.7*100000000</v>
      </c>
      <c r="BB1296" s="1">
        <f>157.7*100000000</f>
        <v>15769999999.999998</v>
      </c>
      <c r="BC1296" s="8">
        <f t="shared" si="648"/>
        <v>1.9570598162385147</v>
      </c>
      <c r="BD1296" s="6" t="s">
        <v>12881</v>
      </c>
      <c r="BE1296" s="6" t="str">
        <f t="shared" si="632"/>
        <v>=53.33*100000000</v>
      </c>
      <c r="BF1296" s="1">
        <f>53.33*100000000</f>
        <v>5333000000</v>
      </c>
      <c r="BG1296" s="8">
        <f t="shared" si="649"/>
        <v>0.53511801957397809</v>
      </c>
      <c r="BH1296" s="6" t="s">
        <v>12871</v>
      </c>
      <c r="BI1296" s="6" t="str">
        <f t="shared" si="633"/>
        <v>=34.74*100000000</v>
      </c>
      <c r="BJ1296" s="1">
        <f>34.74*100000000</f>
        <v>3474000000</v>
      </c>
      <c r="BK1296" s="6" t="s">
        <v>12882</v>
      </c>
      <c r="BL1296" s="1" t="str">
        <f t="shared" si="635"/>
        <v>=4.837*100000000</v>
      </c>
      <c r="BM1296" s="16">
        <f t="shared" si="650"/>
        <v>6.1821376886499895</v>
      </c>
      <c r="BN1296" s="1">
        <f>4.837*100000000</f>
        <v>483700000</v>
      </c>
    </row>
    <row r="1297" spans="1:66">
      <c r="A1297" s="19"/>
      <c r="B1297">
        <v>601155</v>
      </c>
      <c r="C1297" t="s">
        <v>68</v>
      </c>
      <c r="D1297" s="6" t="s">
        <v>12883</v>
      </c>
      <c r="E1297" s="7" t="str">
        <f t="shared" si="634"/>
        <v>=137.6*100000000</v>
      </c>
      <c r="F1297" s="1">
        <f>137.6*100000000</f>
        <v>13760000000</v>
      </c>
      <c r="G1297" s="8">
        <f t="shared" si="636"/>
        <v>1.0358041130344726</v>
      </c>
      <c r="H1297" s="6" t="s">
        <v>12884</v>
      </c>
      <c r="I1297" s="6" t="str">
        <f t="shared" si="620"/>
        <v>=67.59*100000000</v>
      </c>
      <c r="J1297" s="1">
        <f>67.59*100000000</f>
        <v>6759000000</v>
      </c>
      <c r="K1297" s="10">
        <f t="shared" si="637"/>
        <v>0.41018151470895053</v>
      </c>
      <c r="L1297" s="6" t="s">
        <v>12885</v>
      </c>
      <c r="M1297" s="6" t="str">
        <f t="shared" si="621"/>
        <v>=47.93*100000000</v>
      </c>
      <c r="N1297" s="1">
        <f>47.93*100000000</f>
        <v>4793000000</v>
      </c>
      <c r="O1297" s="8">
        <f t="shared" si="638"/>
        <v>6.7406330749354009</v>
      </c>
      <c r="P1297" s="6" t="s">
        <v>6148</v>
      </c>
      <c r="Q1297" s="6" t="str">
        <f t="shared" si="622"/>
        <v>=6.192*100000000</v>
      </c>
      <c r="R1297" s="11">
        <f>6.192*100000000</f>
        <v>619200000</v>
      </c>
      <c r="S1297" s="8">
        <f t="shared" si="639"/>
        <v>-0.96240437158469949</v>
      </c>
      <c r="T1297" s="6" t="s">
        <v>12433</v>
      </c>
      <c r="U1297" s="6" t="str">
        <f t="shared" si="623"/>
        <v>=164.7*100000000</v>
      </c>
      <c r="V1297" s="1">
        <f>164.7*100000000</f>
        <v>16469999999.999998</v>
      </c>
      <c r="W1297" s="8">
        <f t="shared" si="640"/>
        <v>1.9384478144513824</v>
      </c>
      <c r="X1297" s="6" t="s">
        <v>12886</v>
      </c>
      <c r="Y1297" s="6" t="str">
        <f t="shared" si="624"/>
        <v>=56.05*100000000</v>
      </c>
      <c r="Z1297" s="1">
        <f>56.05*100000000</f>
        <v>5605000000</v>
      </c>
      <c r="AA1297" s="8">
        <f t="shared" si="641"/>
        <v>0.45622239542738374</v>
      </c>
      <c r="AB1297" s="6" t="s">
        <v>10594</v>
      </c>
      <c r="AC1297" s="6" t="str">
        <f t="shared" si="625"/>
        <v>=38.49*100000000</v>
      </c>
      <c r="AD1297" s="1">
        <f>38.49*100000000</f>
        <v>3849000000</v>
      </c>
      <c r="AE1297" s="8">
        <f t="shared" si="642"/>
        <v>12.025380710659899</v>
      </c>
      <c r="AF1297" s="6" t="s">
        <v>11974</v>
      </c>
      <c r="AG1297" s="6" t="str">
        <f t="shared" si="626"/>
        <v>=2.955*100000000</v>
      </c>
      <c r="AH1297" s="1">
        <f>2.955*100000000</f>
        <v>295500000</v>
      </c>
      <c r="AI1297" s="8">
        <f t="shared" si="643"/>
        <v>-0.9778319579894974</v>
      </c>
      <c r="AJ1297" s="6" t="s">
        <v>11836</v>
      </c>
      <c r="AK1297" s="6" t="str">
        <f t="shared" si="627"/>
        <v>=133.3*100000000</v>
      </c>
      <c r="AL1297" s="1">
        <f>133.3*100000000</f>
        <v>13330000000.000002</v>
      </c>
      <c r="AM1297" s="8">
        <f t="shared" si="644"/>
        <v>2.1897583153864564</v>
      </c>
      <c r="AN1297" s="6" t="s">
        <v>12887</v>
      </c>
      <c r="AO1297" s="6" t="str">
        <f t="shared" si="628"/>
        <v>=41.79*100000000</v>
      </c>
      <c r="AP1297" s="1">
        <f>41.79*100000000</f>
        <v>4179000000</v>
      </c>
      <c r="AQ1297" s="8">
        <f t="shared" si="645"/>
        <v>0.43263627014055539</v>
      </c>
      <c r="AR1297" s="6" t="s">
        <v>5079</v>
      </c>
      <c r="AS1297" s="6" t="str">
        <f t="shared" si="629"/>
        <v>=29.17*100000000</v>
      </c>
      <c r="AT1297" s="1">
        <f>29.17*100000000</f>
        <v>2917000000</v>
      </c>
      <c r="AU1297" s="8">
        <f t="shared" si="646"/>
        <v>12.344007319304666</v>
      </c>
      <c r="AV1297" s="6" t="s">
        <v>12888</v>
      </c>
      <c r="AW1297" s="6" t="str">
        <f t="shared" si="630"/>
        <v>=2.186*100000000</v>
      </c>
      <c r="AX1297" s="1">
        <f>2.186*100000000</f>
        <v>218600000</v>
      </c>
      <c r="AY1297" s="10">
        <f t="shared" si="647"/>
        <v>-0.98209664209664205</v>
      </c>
      <c r="AZ1297" s="6" t="s">
        <v>12889</v>
      </c>
      <c r="BA1297" s="6" t="str">
        <f t="shared" si="631"/>
        <v>=122.1*100000000</v>
      </c>
      <c r="BB1297" s="1">
        <f>122.1*100000000</f>
        <v>12210000000</v>
      </c>
      <c r="BC1297" s="8">
        <f t="shared" si="648"/>
        <v>1.9578488372093024</v>
      </c>
      <c r="BD1297" s="6" t="s">
        <v>700</v>
      </c>
      <c r="BE1297" s="6" t="str">
        <f t="shared" si="632"/>
        <v>=41.28*100000000</v>
      </c>
      <c r="BF1297" s="1">
        <f>41.28*100000000</f>
        <v>4128000000</v>
      </c>
      <c r="BG1297" s="8">
        <f t="shared" si="649"/>
        <v>0.58952637658837115</v>
      </c>
      <c r="BH1297" s="6" t="s">
        <v>12890</v>
      </c>
      <c r="BI1297" s="6" t="str">
        <f t="shared" si="633"/>
        <v>=25.97*100000000</v>
      </c>
      <c r="BJ1297" s="1">
        <f>25.97*100000000</f>
        <v>2597000000</v>
      </c>
      <c r="BK1297" s="6" t="s">
        <v>10148</v>
      </c>
      <c r="BL1297" s="1" t="str">
        <f t="shared" si="635"/>
        <v>=3.713*100000000</v>
      </c>
      <c r="BM1297" s="16">
        <f t="shared" si="650"/>
        <v>5.9943441960678694</v>
      </c>
      <c r="BN1297" s="1">
        <f>3.713*100000000</f>
        <v>371300000</v>
      </c>
    </row>
    <row r="1298" spans="1:66">
      <c r="A1298" s="17">
        <v>326</v>
      </c>
      <c r="B1298">
        <v>601158</v>
      </c>
      <c r="C1298" t="s">
        <v>31</v>
      </c>
      <c r="D1298" s="6" t="s">
        <v>12715</v>
      </c>
      <c r="E1298" s="7" t="str">
        <f t="shared" si="634"/>
        <v>=72.52*100000000</v>
      </c>
      <c r="F1298" s="1">
        <f>72.52*100000000</f>
        <v>7252000000</v>
      </c>
      <c r="G1298" s="8">
        <f t="shared" si="636"/>
        <v>0.36495388669301715</v>
      </c>
      <c r="H1298" s="6" t="s">
        <v>12891</v>
      </c>
      <c r="I1298" s="6" t="str">
        <f t="shared" si="620"/>
        <v>=53.13*100000000</v>
      </c>
      <c r="J1298" s="1">
        <f>53.13*100000000</f>
        <v>5313000000</v>
      </c>
      <c r="K1298" s="10">
        <f t="shared" si="637"/>
        <v>0.67180616740088106</v>
      </c>
      <c r="L1298" s="6" t="s">
        <v>4625</v>
      </c>
      <c r="M1298" s="6" t="str">
        <f t="shared" si="621"/>
        <v>=31.78*100000000</v>
      </c>
      <c r="N1298" s="1">
        <f>31.78*100000000</f>
        <v>3178000000</v>
      </c>
      <c r="O1298" s="8">
        <f t="shared" si="638"/>
        <v>1.1782042494859493</v>
      </c>
      <c r="P1298" s="6" t="s">
        <v>9259</v>
      </c>
      <c r="Q1298" s="6" t="str">
        <f t="shared" si="622"/>
        <v>=14.59*100000000</v>
      </c>
      <c r="R1298" s="11">
        <f>14.59*100000000</f>
        <v>1459000000</v>
      </c>
      <c r="S1298" s="8">
        <f t="shared" si="639"/>
        <v>-0.77023622047244089</v>
      </c>
      <c r="T1298" s="6" t="s">
        <v>12892</v>
      </c>
      <c r="U1298" s="6" t="str">
        <f t="shared" si="623"/>
        <v>=63.50*100000000</v>
      </c>
      <c r="V1298" s="1">
        <f>63.5*100000000</f>
        <v>6350000000</v>
      </c>
      <c r="W1298" s="8">
        <f t="shared" si="640"/>
        <v>0.43211547135769057</v>
      </c>
      <c r="X1298" s="6" t="s">
        <v>12893</v>
      </c>
      <c r="Y1298" s="6" t="str">
        <f t="shared" si="624"/>
        <v>=44.34*100000000</v>
      </c>
      <c r="Z1298" s="1">
        <f>44.34*100000000</f>
        <v>4434000000</v>
      </c>
      <c r="AA1298" s="8">
        <f t="shared" si="641"/>
        <v>0.70867052023121391</v>
      </c>
      <c r="AB1298" s="6" t="s">
        <v>6521</v>
      </c>
      <c r="AC1298" s="6" t="str">
        <f t="shared" si="625"/>
        <v>=25.95*100000000</v>
      </c>
      <c r="AD1298" s="1">
        <f>25.95*100000000</f>
        <v>2595000000</v>
      </c>
      <c r="AE1298" s="8">
        <f t="shared" si="642"/>
        <v>1.284330985915493</v>
      </c>
      <c r="AF1298" s="6" t="s">
        <v>5038</v>
      </c>
      <c r="AG1298" s="6" t="str">
        <f t="shared" si="626"/>
        <v>=11.36*100000000</v>
      </c>
      <c r="AH1298" s="1">
        <f>11.36*100000000</f>
        <v>1136000000</v>
      </c>
      <c r="AI1298" s="8">
        <f t="shared" si="643"/>
        <v>-0.79854584146125196</v>
      </c>
      <c r="AJ1298" s="6" t="s">
        <v>12894</v>
      </c>
      <c r="AK1298" s="6" t="str">
        <f t="shared" si="627"/>
        <v>=56.39*100000000</v>
      </c>
      <c r="AL1298" s="1">
        <f>56.39*100000000</f>
        <v>5639000000</v>
      </c>
      <c r="AM1298" s="8">
        <f t="shared" si="644"/>
        <v>0.37771805521622281</v>
      </c>
      <c r="AN1298" s="6" t="s">
        <v>6349</v>
      </c>
      <c r="AO1298" s="6" t="str">
        <f t="shared" si="628"/>
        <v>=40.93*100000000</v>
      </c>
      <c r="AP1298" s="1">
        <f>40.93*100000000</f>
        <v>4093000000</v>
      </c>
      <c r="AQ1298" s="8">
        <f t="shared" si="645"/>
        <v>0.60007818608287722</v>
      </c>
      <c r="AR1298" s="6" t="s">
        <v>8232</v>
      </c>
      <c r="AS1298" s="6" t="str">
        <f t="shared" si="629"/>
        <v>=25.58*100000000</v>
      </c>
      <c r="AT1298" s="1">
        <f>25.58*100000000</f>
        <v>2558000000</v>
      </c>
      <c r="AU1298" s="8">
        <f t="shared" si="646"/>
        <v>1.3149321266968326</v>
      </c>
      <c r="AV1298" s="6" t="s">
        <v>173</v>
      </c>
      <c r="AW1298" s="6" t="str">
        <f t="shared" si="630"/>
        <v>=11.05*100000000</v>
      </c>
      <c r="AX1298" s="1">
        <f>11.05*100000000</f>
        <v>1105000000</v>
      </c>
      <c r="AY1298" s="10">
        <f t="shared" si="647"/>
        <v>-0.78630825759040801</v>
      </c>
      <c r="AZ1298" s="6" t="s">
        <v>309</v>
      </c>
      <c r="BA1298" s="6" t="str">
        <f t="shared" si="631"/>
        <v>=51.71*100000000</v>
      </c>
      <c r="BB1298" s="1">
        <f>51.71*100000000</f>
        <v>5171000000</v>
      </c>
      <c r="BC1298" s="8">
        <f t="shared" si="648"/>
        <v>0.42727021805133886</v>
      </c>
      <c r="BD1298" s="6" t="s">
        <v>9566</v>
      </c>
      <c r="BE1298" s="6" t="str">
        <f t="shared" si="632"/>
        <v>=36.23*100000000</v>
      </c>
      <c r="BF1298" s="1">
        <f>36.23*100000000</f>
        <v>3622999999.9999995</v>
      </c>
      <c r="BG1298" s="8">
        <f t="shared" si="649"/>
        <v>0.58071553228621275</v>
      </c>
      <c r="BH1298" s="6" t="s">
        <v>12895</v>
      </c>
      <c r="BI1298" s="6" t="str">
        <f t="shared" si="633"/>
        <v>=22.92*100000000</v>
      </c>
      <c r="BJ1298" s="1">
        <f>22.92*100000000</f>
        <v>2292000000</v>
      </c>
      <c r="BK1298" s="6" t="s">
        <v>12896</v>
      </c>
      <c r="BL1298" s="1" t="str">
        <f t="shared" si="635"/>
        <v>=9.799*100000000</v>
      </c>
      <c r="BM1298" s="16">
        <f t="shared" si="650"/>
        <v>1.3390141851209307</v>
      </c>
      <c r="BN1298" s="1">
        <f>9.799*100000000</f>
        <v>979900000</v>
      </c>
    </row>
    <row r="1299" spans="1:66">
      <c r="A1299" s="18"/>
      <c r="B1299">
        <v>601158</v>
      </c>
      <c r="C1299" t="s">
        <v>48</v>
      </c>
      <c r="D1299" s="6" t="s">
        <v>830</v>
      </c>
      <c r="E1299" s="7" t="str">
        <f t="shared" si="634"/>
        <v>=24.05*100000000</v>
      </c>
      <c r="F1299" s="1">
        <f>24.05*100000000</f>
        <v>2405000000</v>
      </c>
      <c r="G1299" s="8">
        <f t="shared" si="636"/>
        <v>3.2632030914555604E-2</v>
      </c>
      <c r="H1299" s="6" t="s">
        <v>12897</v>
      </c>
      <c r="I1299" s="6" t="str">
        <f t="shared" si="620"/>
        <v>=23.29*100000000</v>
      </c>
      <c r="J1299" s="1">
        <f>23.29*100000000</f>
        <v>2329000000</v>
      </c>
      <c r="K1299" s="10">
        <f t="shared" si="637"/>
        <v>0.87068273092369475</v>
      </c>
      <c r="L1299" s="6" t="s">
        <v>455</v>
      </c>
      <c r="M1299" s="6" t="str">
        <f t="shared" si="621"/>
        <v>=12.45*100000000</v>
      </c>
      <c r="N1299" s="1">
        <f>12.45*100000000</f>
        <v>1245000000</v>
      </c>
      <c r="O1299" s="8">
        <f t="shared" si="638"/>
        <v>0.95141065830721006</v>
      </c>
      <c r="P1299" s="6" t="s">
        <v>12898</v>
      </c>
      <c r="Q1299" s="6" t="str">
        <f t="shared" si="622"/>
        <v>=6.380*100000000</v>
      </c>
      <c r="R1299" s="11">
        <f>6.38*100000000</f>
        <v>638000000</v>
      </c>
      <c r="S1299" s="8">
        <f t="shared" si="639"/>
        <v>-0.68431469569520043</v>
      </c>
      <c r="T1299" s="6" t="s">
        <v>7757</v>
      </c>
      <c r="U1299" s="6" t="str">
        <f t="shared" si="623"/>
        <v>=20.21*100000000</v>
      </c>
      <c r="V1299" s="1">
        <f>20.21*100000000</f>
        <v>2021000000</v>
      </c>
      <c r="W1299" s="8">
        <f t="shared" si="640"/>
        <v>0.1818713450292396</v>
      </c>
      <c r="X1299" s="6" t="s">
        <v>12899</v>
      </c>
      <c r="Y1299" s="6" t="str">
        <f t="shared" si="624"/>
        <v>=17.10*100000000</v>
      </c>
      <c r="Z1299" s="1">
        <f>17.1*100000000</f>
        <v>1710000000.0000002</v>
      </c>
      <c r="AA1299" s="8">
        <f t="shared" si="641"/>
        <v>1.1452766277756872</v>
      </c>
      <c r="AB1299" s="6" t="s">
        <v>12900</v>
      </c>
      <c r="AC1299" s="6" t="str">
        <f t="shared" si="625"/>
        <v>=7.971*100000000</v>
      </c>
      <c r="AD1299" s="1">
        <f>7.971*100000000</f>
        <v>797100000</v>
      </c>
      <c r="AE1299" s="8">
        <f t="shared" si="642"/>
        <v>2.044690603514133</v>
      </c>
      <c r="AF1299" s="6" t="s">
        <v>8133</v>
      </c>
      <c r="AG1299" s="6" t="str">
        <f t="shared" si="626"/>
        <v>=2.618*100000000</v>
      </c>
      <c r="AH1299" s="1">
        <f>2.618*100000000</f>
        <v>261800000</v>
      </c>
      <c r="AI1299" s="8">
        <f t="shared" si="643"/>
        <v>-0.84849537037037037</v>
      </c>
      <c r="AJ1299" s="6" t="s">
        <v>2668</v>
      </c>
      <c r="AK1299" s="6" t="str">
        <f t="shared" si="627"/>
        <v>=17.28*100000000</v>
      </c>
      <c r="AL1299" s="1">
        <f>17.28*100000000</f>
        <v>1728000000</v>
      </c>
      <c r="AM1299" s="8">
        <f t="shared" si="644"/>
        <v>0.1497005988023952</v>
      </c>
      <c r="AN1299" s="6" t="s">
        <v>9134</v>
      </c>
      <c r="AO1299" s="6" t="str">
        <f t="shared" si="628"/>
        <v>=15.03*100000000</v>
      </c>
      <c r="AP1299" s="1">
        <f>15.03*100000000</f>
        <v>1503000000</v>
      </c>
      <c r="AQ1299" s="8">
        <f t="shared" si="645"/>
        <v>0.71967963386727685</v>
      </c>
      <c r="AR1299" s="6" t="s">
        <v>12901</v>
      </c>
      <c r="AS1299" s="6" t="str">
        <f t="shared" si="629"/>
        <v>=8.740*100000000</v>
      </c>
      <c r="AT1299" s="1">
        <f>8.74*100000000</f>
        <v>874000000</v>
      </c>
      <c r="AU1299" s="8">
        <f t="shared" si="646"/>
        <v>1.5086107921928817</v>
      </c>
      <c r="AV1299" s="6" t="s">
        <v>7896</v>
      </c>
      <c r="AW1299" s="6" t="str">
        <f t="shared" si="630"/>
        <v>=3.484*100000000</v>
      </c>
      <c r="AX1299" s="1">
        <f>3.484*100000000</f>
        <v>348400000</v>
      </c>
      <c r="AY1299" s="10">
        <f t="shared" si="647"/>
        <v>-0.76411645226811109</v>
      </c>
      <c r="AZ1299" s="6" t="s">
        <v>4552</v>
      </c>
      <c r="BA1299" s="6" t="str">
        <f t="shared" si="631"/>
        <v>=14.77*100000000</v>
      </c>
      <c r="BB1299" s="1">
        <f>14.77*100000000</f>
        <v>1477000000</v>
      </c>
      <c r="BC1299" s="8">
        <f t="shared" si="648"/>
        <v>2.4271844660194174E-2</v>
      </c>
      <c r="BD1299" s="6" t="s">
        <v>8377</v>
      </c>
      <c r="BE1299" s="6" t="str">
        <f t="shared" si="632"/>
        <v>=14.42*100000000</v>
      </c>
      <c r="BF1299" s="1">
        <f>14.42*100000000</f>
        <v>1442000000</v>
      </c>
      <c r="BG1299" s="8">
        <f t="shared" si="649"/>
        <v>0.78046672428694897</v>
      </c>
      <c r="BH1299" s="6" t="s">
        <v>2985</v>
      </c>
      <c r="BI1299" s="6" t="str">
        <f t="shared" si="633"/>
        <v>=8.099*100000000</v>
      </c>
      <c r="BJ1299" s="1">
        <f>8.099*100000000</f>
        <v>809900000</v>
      </c>
      <c r="BK1299" s="6" t="s">
        <v>12902</v>
      </c>
      <c r="BL1299" s="1" t="str">
        <f t="shared" si="635"/>
        <v>=3.106*100000000</v>
      </c>
      <c r="BM1299" s="16">
        <f t="shared" si="650"/>
        <v>1.6075338055376691</v>
      </c>
      <c r="BN1299" s="1">
        <f>3.106*100000000</f>
        <v>310600000</v>
      </c>
    </row>
    <row r="1300" spans="1:66">
      <c r="A1300" s="18"/>
      <c r="B1300">
        <v>601158</v>
      </c>
      <c r="C1300" t="s">
        <v>58</v>
      </c>
      <c r="D1300" s="6" t="s">
        <v>12903</v>
      </c>
      <c r="E1300" s="7" t="str">
        <f t="shared" si="634"/>
        <v>=24.69*100000000</v>
      </c>
      <c r="F1300" s="1">
        <f>24.69*100000000</f>
        <v>2469000000</v>
      </c>
      <c r="G1300" s="8">
        <f t="shared" si="636"/>
        <v>3.7831021437578813E-2</v>
      </c>
      <c r="H1300" s="6" t="s">
        <v>12904</v>
      </c>
      <c r="I1300" s="6" t="str">
        <f t="shared" si="620"/>
        <v>=23.79*100000000</v>
      </c>
      <c r="J1300" s="1">
        <f>23.79*100000000</f>
        <v>2379000000</v>
      </c>
      <c r="K1300" s="10">
        <f t="shared" si="637"/>
        <v>0.85569422776911075</v>
      </c>
      <c r="L1300" s="6" t="s">
        <v>4549</v>
      </c>
      <c r="M1300" s="6" t="str">
        <f t="shared" si="621"/>
        <v>=12.82*100000000</v>
      </c>
      <c r="N1300" s="1">
        <f>12.82*100000000</f>
        <v>1282000000</v>
      </c>
      <c r="O1300" s="8">
        <f t="shared" si="638"/>
        <v>0.94862441100471195</v>
      </c>
      <c r="P1300" s="6" t="s">
        <v>12905</v>
      </c>
      <c r="Q1300" s="6" t="str">
        <f t="shared" si="622"/>
        <v>=6.579*100000000</v>
      </c>
      <c r="R1300" s="11">
        <f>6.579*100000000</f>
        <v>657900000</v>
      </c>
      <c r="S1300" s="8">
        <f t="shared" si="639"/>
        <v>-0.68430902111324377</v>
      </c>
      <c r="T1300" s="6" t="s">
        <v>9230</v>
      </c>
      <c r="U1300" s="6" t="str">
        <f t="shared" si="623"/>
        <v>=20.84*100000000</v>
      </c>
      <c r="V1300" s="1">
        <f>20.84*100000000</f>
        <v>2084000000</v>
      </c>
      <c r="W1300" s="8">
        <f t="shared" si="640"/>
        <v>0.18949771689497716</v>
      </c>
      <c r="X1300" s="6" t="s">
        <v>322</v>
      </c>
      <c r="Y1300" s="6" t="str">
        <f t="shared" si="624"/>
        <v>=17.52*100000000</v>
      </c>
      <c r="Z1300" s="1">
        <f>17.52*100000000</f>
        <v>1752000000</v>
      </c>
      <c r="AA1300" s="8">
        <f t="shared" si="641"/>
        <v>1.1050102126637029</v>
      </c>
      <c r="AB1300" s="6" t="s">
        <v>9482</v>
      </c>
      <c r="AC1300" s="6" t="str">
        <f t="shared" si="625"/>
        <v>=8.323*100000000</v>
      </c>
      <c r="AD1300" s="1">
        <f>8.323*100000000</f>
        <v>832300000</v>
      </c>
      <c r="AE1300" s="8">
        <f t="shared" si="642"/>
        <v>1.9960403167746581</v>
      </c>
      <c r="AF1300" s="6" t="s">
        <v>12906</v>
      </c>
      <c r="AG1300" s="6" t="str">
        <f t="shared" si="626"/>
        <v>=2.778*100000000</v>
      </c>
      <c r="AH1300" s="1">
        <f>2.778*100000000</f>
        <v>277800000</v>
      </c>
      <c r="AI1300" s="8">
        <f t="shared" si="643"/>
        <v>-0.84384485666104558</v>
      </c>
      <c r="AJ1300" s="6" t="s">
        <v>12907</v>
      </c>
      <c r="AK1300" s="6" t="str">
        <f t="shared" si="627"/>
        <v>=17.79*100000000</v>
      </c>
      <c r="AL1300" s="1">
        <f>17.79*100000000</f>
        <v>1779000000</v>
      </c>
      <c r="AM1300" s="8">
        <f t="shared" si="644"/>
        <v>0.15145631067961166</v>
      </c>
      <c r="AN1300" s="6" t="s">
        <v>362</v>
      </c>
      <c r="AO1300" s="6" t="str">
        <f t="shared" si="628"/>
        <v>=15.45*100000000</v>
      </c>
      <c r="AP1300" s="1">
        <f>15.45*100000000</f>
        <v>1545000000</v>
      </c>
      <c r="AQ1300" s="8">
        <f t="shared" si="645"/>
        <v>0.7119113573407202</v>
      </c>
      <c r="AR1300" s="6" t="s">
        <v>12908</v>
      </c>
      <c r="AS1300" s="6" t="str">
        <f t="shared" si="629"/>
        <v>=9.025*100000000</v>
      </c>
      <c r="AT1300" s="1">
        <f>9.025*100000000</f>
        <v>902500000</v>
      </c>
      <c r="AU1300" s="8">
        <f t="shared" si="646"/>
        <v>1.491029533535744</v>
      </c>
      <c r="AV1300" s="6" t="s">
        <v>5671</v>
      </c>
      <c r="AW1300" s="6" t="str">
        <f t="shared" si="630"/>
        <v>=3.623*100000000</v>
      </c>
      <c r="AX1300" s="1">
        <f>3.623*100000000</f>
        <v>362300000</v>
      </c>
      <c r="AY1300" s="10">
        <f t="shared" si="647"/>
        <v>-0.76382007822685793</v>
      </c>
      <c r="AZ1300" s="6" t="s">
        <v>6570</v>
      </c>
      <c r="BA1300" s="6" t="str">
        <f t="shared" si="631"/>
        <v>=15.34*100000000</v>
      </c>
      <c r="BB1300" s="1">
        <f>15.34*100000000</f>
        <v>1534000000</v>
      </c>
      <c r="BC1300" s="8">
        <f t="shared" si="648"/>
        <v>2.8839704896042925E-2</v>
      </c>
      <c r="BD1300" s="6" t="s">
        <v>5898</v>
      </c>
      <c r="BE1300" s="6" t="str">
        <f t="shared" si="632"/>
        <v>=14.91*100000000</v>
      </c>
      <c r="BF1300" s="1">
        <f>14.91*100000000</f>
        <v>1491000000</v>
      </c>
      <c r="BG1300" s="8">
        <f t="shared" si="649"/>
        <v>0.75082198215124474</v>
      </c>
      <c r="BH1300" s="6" t="s">
        <v>12909</v>
      </c>
      <c r="BI1300" s="6" t="str">
        <f t="shared" si="633"/>
        <v>=8.516*100000000</v>
      </c>
      <c r="BJ1300" s="1">
        <f>8.516*100000000</f>
        <v>851600000</v>
      </c>
      <c r="BK1300" s="6" t="s">
        <v>12910</v>
      </c>
      <c r="BL1300" s="1" t="str">
        <f t="shared" si="635"/>
        <v>=3.384*100000000</v>
      </c>
      <c r="BM1300" s="16">
        <f t="shared" si="650"/>
        <v>1.5165484633569739</v>
      </c>
      <c r="BN1300" s="1">
        <f>3.384*100000000</f>
        <v>338400000</v>
      </c>
    </row>
    <row r="1301" spans="1:66">
      <c r="A1301" s="19"/>
      <c r="B1301">
        <v>601158</v>
      </c>
      <c r="C1301" t="s">
        <v>68</v>
      </c>
      <c r="D1301" s="6" t="s">
        <v>6011</v>
      </c>
      <c r="E1301" s="7" t="str">
        <f t="shared" si="634"/>
        <v>=20.76*100000000</v>
      </c>
      <c r="F1301" s="1">
        <f>20.76*100000000</f>
        <v>2076000000.0000002</v>
      </c>
      <c r="G1301" s="8">
        <f t="shared" si="636"/>
        <v>4.0601503759398617E-2</v>
      </c>
      <c r="H1301" s="6" t="s">
        <v>12911</v>
      </c>
      <c r="I1301" s="6" t="str">
        <f t="shared" si="620"/>
        <v>=19.95*100000000</v>
      </c>
      <c r="J1301" s="1">
        <f>19.95*100000000</f>
        <v>1995000000</v>
      </c>
      <c r="K1301" s="10">
        <f t="shared" si="637"/>
        <v>0.89099526066350687</v>
      </c>
      <c r="L1301" s="6" t="s">
        <v>3050</v>
      </c>
      <c r="M1301" s="6" t="str">
        <f t="shared" si="621"/>
        <v>=10.55*100000000</v>
      </c>
      <c r="N1301" s="1">
        <f>10.55*100000000</f>
        <v>1055000000.0000001</v>
      </c>
      <c r="O1301" s="8">
        <f t="shared" si="638"/>
        <v>0.85413005272407749</v>
      </c>
      <c r="P1301" s="6" t="s">
        <v>12912</v>
      </c>
      <c r="Q1301" s="6" t="str">
        <f t="shared" si="622"/>
        <v>=5.690*100000000</v>
      </c>
      <c r="R1301" s="11">
        <f>5.69*100000000</f>
        <v>569000000</v>
      </c>
      <c r="S1301" s="8">
        <f t="shared" si="639"/>
        <v>-0.67979741136747329</v>
      </c>
      <c r="T1301" s="6" t="s">
        <v>7092</v>
      </c>
      <c r="U1301" s="6" t="str">
        <f t="shared" si="623"/>
        <v>=17.77*100000000</v>
      </c>
      <c r="V1301" s="1">
        <f>17.77*100000000</f>
        <v>1777000000</v>
      </c>
      <c r="W1301" s="8">
        <f t="shared" si="640"/>
        <v>0.19502353732347008</v>
      </c>
      <c r="X1301" s="6" t="s">
        <v>12913</v>
      </c>
      <c r="Y1301" s="6" t="str">
        <f t="shared" si="624"/>
        <v>=14.87*100000000</v>
      </c>
      <c r="Z1301" s="1">
        <f>14.87*100000000</f>
        <v>1487000000</v>
      </c>
      <c r="AA1301" s="8">
        <f t="shared" si="641"/>
        <v>0.91081984065792854</v>
      </c>
      <c r="AB1301" s="6" t="s">
        <v>12914</v>
      </c>
      <c r="AC1301" s="6" t="str">
        <f t="shared" si="625"/>
        <v>=7.782*100000000</v>
      </c>
      <c r="AD1301" s="1">
        <f>7.782*100000000</f>
        <v>778200000</v>
      </c>
      <c r="AE1301" s="8">
        <f t="shared" si="642"/>
        <v>1.974770642201835</v>
      </c>
      <c r="AF1301" s="6" t="s">
        <v>7908</v>
      </c>
      <c r="AG1301" s="6" t="str">
        <f t="shared" si="626"/>
        <v>=2.616*100000000</v>
      </c>
      <c r="AH1301" s="1">
        <f>2.616*100000000</f>
        <v>261600000</v>
      </c>
      <c r="AI1301" s="8">
        <f t="shared" si="643"/>
        <v>-0.84278846153846154</v>
      </c>
      <c r="AJ1301" s="6" t="s">
        <v>1196</v>
      </c>
      <c r="AK1301" s="6" t="str">
        <f t="shared" si="627"/>
        <v>=16.64*100000000</v>
      </c>
      <c r="AL1301" s="1">
        <f>16.64*100000000</f>
        <v>1664000000</v>
      </c>
      <c r="AM1301" s="8">
        <f t="shared" si="644"/>
        <v>0.15395284327323161</v>
      </c>
      <c r="AN1301" s="6" t="s">
        <v>8377</v>
      </c>
      <c r="AO1301" s="6" t="str">
        <f t="shared" si="628"/>
        <v>=14.42*100000000</v>
      </c>
      <c r="AP1301" s="1">
        <f>14.42*100000000</f>
        <v>1442000000</v>
      </c>
      <c r="AQ1301" s="8">
        <f t="shared" si="645"/>
        <v>0.7105575326215896</v>
      </c>
      <c r="AR1301" s="6" t="s">
        <v>12915</v>
      </c>
      <c r="AS1301" s="6" t="str">
        <f t="shared" si="629"/>
        <v>=8.430*100000000</v>
      </c>
      <c r="AT1301" s="1">
        <f>8.43*100000000</f>
        <v>843000000</v>
      </c>
      <c r="AU1301" s="8">
        <f t="shared" si="646"/>
        <v>1.4896633195510927</v>
      </c>
      <c r="AV1301" s="6" t="s">
        <v>2853</v>
      </c>
      <c r="AW1301" s="6" t="str">
        <f t="shared" si="630"/>
        <v>=3.386*100000000</v>
      </c>
      <c r="AX1301" s="1">
        <f>3.386*100000000</f>
        <v>338600000</v>
      </c>
      <c r="AY1301" s="10">
        <f t="shared" si="647"/>
        <v>-0.75675287356321841</v>
      </c>
      <c r="AZ1301" s="6" t="s">
        <v>7089</v>
      </c>
      <c r="BA1301" s="6" t="str">
        <f t="shared" si="631"/>
        <v>=13.92*100000000</v>
      </c>
      <c r="BB1301" s="1">
        <f>13.92*100000000</f>
        <v>1392000000</v>
      </c>
      <c r="BC1301" s="8">
        <f t="shared" si="648"/>
        <v>-7.1787508973438624E-4</v>
      </c>
      <c r="BD1301" s="6" t="s">
        <v>1345</v>
      </c>
      <c r="BE1301" s="6" t="str">
        <f t="shared" si="632"/>
        <v>=13.93*100000000</v>
      </c>
      <c r="BF1301" s="1">
        <f>13.93*100000000</f>
        <v>1393000000</v>
      </c>
      <c r="BG1301" s="8">
        <f t="shared" si="649"/>
        <v>0.74648946840521568</v>
      </c>
      <c r="BH1301" s="6" t="s">
        <v>7116</v>
      </c>
      <c r="BI1301" s="6" t="str">
        <f t="shared" si="633"/>
        <v>=7.976*100000000</v>
      </c>
      <c r="BJ1301" s="1">
        <f>7.976*100000000</f>
        <v>797600000</v>
      </c>
      <c r="BK1301" s="6" t="s">
        <v>172</v>
      </c>
      <c r="BL1301" s="1" t="str">
        <f t="shared" si="635"/>
        <v>=3.174*100000000</v>
      </c>
      <c r="BM1301" s="16">
        <f t="shared" si="650"/>
        <v>1.5129174543163202</v>
      </c>
      <c r="BN1301" s="1">
        <f>3.174*100000000</f>
        <v>317400000</v>
      </c>
    </row>
    <row r="1302" spans="1:66">
      <c r="A1302" s="17">
        <v>327</v>
      </c>
      <c r="B1302">
        <v>601166</v>
      </c>
      <c r="C1302" t="s">
        <v>31</v>
      </c>
      <c r="D1302" s="6" t="s">
        <v>12916</v>
      </c>
      <c r="E1302" s="7" t="str">
        <f t="shared" si="634"/>
        <v>=2212*100000000</v>
      </c>
      <c r="F1302" s="1">
        <f>2212*100000000</f>
        <v>221200000000</v>
      </c>
      <c r="G1302" s="8">
        <f t="shared" si="636"/>
        <v>0.34878048780487803</v>
      </c>
      <c r="H1302" s="6" t="s">
        <v>12917</v>
      </c>
      <c r="I1302" s="6" t="str">
        <f t="shared" si="620"/>
        <v>=1640*100000000</v>
      </c>
      <c r="J1302" s="1">
        <f>1640*100000000</f>
        <v>164000000000</v>
      </c>
      <c r="K1302" s="10">
        <f t="shared" si="637"/>
        <v>0.50458715596330272</v>
      </c>
      <c r="L1302" s="6" t="s">
        <v>12918</v>
      </c>
      <c r="M1302" s="6" t="str">
        <f t="shared" si="621"/>
        <v>=1090*100000000</v>
      </c>
      <c r="N1302" s="1">
        <f>1090*100000000</f>
        <v>109000000000</v>
      </c>
      <c r="O1302" s="8">
        <f t="shared" si="638"/>
        <v>0.95831836148041682</v>
      </c>
      <c r="P1302" s="6" t="s">
        <v>12919</v>
      </c>
      <c r="Q1302" s="6" t="str">
        <f t="shared" si="622"/>
        <v>=556.6*100000000</v>
      </c>
      <c r="R1302" s="11">
        <f>556.6*100000000</f>
        <v>55660000000</v>
      </c>
      <c r="S1302" s="8">
        <f t="shared" si="639"/>
        <v>-0.72594780896110289</v>
      </c>
      <c r="T1302" s="6" t="s">
        <v>12920</v>
      </c>
      <c r="U1302" s="6" t="str">
        <f t="shared" si="623"/>
        <v>=2031*100000000</v>
      </c>
      <c r="V1302" s="1">
        <f>2031*100000000</f>
        <v>203100000000</v>
      </c>
      <c r="W1302" s="8">
        <f t="shared" si="640"/>
        <v>0.33794466403162055</v>
      </c>
      <c r="X1302" s="6" t="s">
        <v>12921</v>
      </c>
      <c r="Y1302" s="6" t="str">
        <f t="shared" si="624"/>
        <v>=1518*100000000</v>
      </c>
      <c r="Z1302" s="1">
        <f>1518*100000000</f>
        <v>151800000000</v>
      </c>
      <c r="AA1302" s="8">
        <f t="shared" si="641"/>
        <v>0.51800000000000002</v>
      </c>
      <c r="AB1302" s="6" t="s">
        <v>9386</v>
      </c>
      <c r="AC1302" s="6" t="str">
        <f t="shared" si="625"/>
        <v>=1000*100000000</v>
      </c>
      <c r="AD1302" s="1">
        <f>1000*100000000</f>
        <v>100000000000</v>
      </c>
      <c r="AE1302" s="8">
        <f t="shared" si="642"/>
        <v>0.98965380023875849</v>
      </c>
      <c r="AF1302" s="6" t="s">
        <v>12922</v>
      </c>
      <c r="AG1302" s="6" t="str">
        <f t="shared" si="626"/>
        <v>=502.6*100000000</v>
      </c>
      <c r="AH1302" s="1">
        <f>502.6*100000000</f>
        <v>50260000000</v>
      </c>
      <c r="AI1302" s="8">
        <f t="shared" si="643"/>
        <v>-0.72277992277992276</v>
      </c>
      <c r="AJ1302" s="6" t="s">
        <v>12923</v>
      </c>
      <c r="AK1302" s="6" t="str">
        <f t="shared" si="627"/>
        <v>=1813*100000000</v>
      </c>
      <c r="AL1302" s="1">
        <f>1813*100000000</f>
        <v>181300000000</v>
      </c>
      <c r="AM1302" s="8">
        <f t="shared" si="644"/>
        <v>0.32723279648609077</v>
      </c>
      <c r="AN1302" s="6" t="s">
        <v>12924</v>
      </c>
      <c r="AO1302" s="6" t="str">
        <f t="shared" si="628"/>
        <v>=1366*100000000</v>
      </c>
      <c r="AP1302" s="1">
        <f>1366*100000000</f>
        <v>136600000000</v>
      </c>
      <c r="AQ1302" s="8">
        <f t="shared" si="645"/>
        <v>0.51929707485263044</v>
      </c>
      <c r="AR1302" s="6" t="s">
        <v>12925</v>
      </c>
      <c r="AS1302" s="6" t="str">
        <f t="shared" si="629"/>
        <v>=899.1*100000000</v>
      </c>
      <c r="AT1302" s="1">
        <f>899.1*100000000</f>
        <v>89910000000</v>
      </c>
      <c r="AU1302" s="8">
        <f t="shared" si="646"/>
        <v>0.88807223855522888</v>
      </c>
      <c r="AV1302" s="6" t="s">
        <v>12926</v>
      </c>
      <c r="AW1302" s="6" t="str">
        <f t="shared" si="630"/>
        <v>=476.2*100000000</v>
      </c>
      <c r="AX1302" s="1">
        <f>476.2*100000000</f>
        <v>47620000000</v>
      </c>
      <c r="AY1302" s="10">
        <f t="shared" si="647"/>
        <v>-0.69917877447883769</v>
      </c>
      <c r="AZ1302" s="6" t="s">
        <v>12927</v>
      </c>
      <c r="BA1302" s="6" t="str">
        <f t="shared" si="631"/>
        <v>=1583*100000000</v>
      </c>
      <c r="BB1302" s="1">
        <f>1583*100000000</f>
        <v>158300000000</v>
      </c>
      <c r="BC1302" s="8">
        <f t="shared" si="648"/>
        <v>0.38132635253054104</v>
      </c>
      <c r="BD1302" s="6" t="s">
        <v>12928</v>
      </c>
      <c r="BE1302" s="6" t="str">
        <f t="shared" si="632"/>
        <v>=1146*100000000</v>
      </c>
      <c r="BF1302" s="1">
        <f>1146*100000000</f>
        <v>114600000000</v>
      </c>
      <c r="BG1302" s="8">
        <f t="shared" si="649"/>
        <v>0.56152064313939232</v>
      </c>
      <c r="BH1302" s="6" t="s">
        <v>12929</v>
      </c>
      <c r="BI1302" s="6" t="str">
        <f t="shared" si="633"/>
        <v>=733.9*100000000</v>
      </c>
      <c r="BJ1302" s="1">
        <f>733.9*100000000</f>
        <v>73390000000</v>
      </c>
      <c r="BK1302" s="6" t="s">
        <v>12930</v>
      </c>
      <c r="BL1302" s="1" t="str">
        <f t="shared" si="635"/>
        <v>=353.3*100000000</v>
      </c>
      <c r="BM1302" s="16">
        <f t="shared" si="650"/>
        <v>1.077271440701953</v>
      </c>
      <c r="BN1302" s="1">
        <f>353.3*100000000</f>
        <v>35330000000</v>
      </c>
    </row>
    <row r="1303" spans="1:66">
      <c r="A1303" s="18"/>
      <c r="B1303">
        <v>601166</v>
      </c>
      <c r="C1303" t="s">
        <v>48</v>
      </c>
      <c r="D1303" s="6" t="s">
        <v>12931</v>
      </c>
      <c r="E1303" s="7" t="str">
        <f t="shared" si="634"/>
        <v>=952.0*100000000</v>
      </c>
      <c r="F1303" s="1">
        <f>952*100000000</f>
        <v>95200000000</v>
      </c>
      <c r="G1303" s="8">
        <f t="shared" si="636"/>
        <v>0.29189849368978149</v>
      </c>
      <c r="H1303" s="6" t="s">
        <v>12932</v>
      </c>
      <c r="I1303" s="6" t="str">
        <f t="shared" si="620"/>
        <v>=736.9*100000000</v>
      </c>
      <c r="J1303" s="1">
        <f>736.9*100000000</f>
        <v>73690000000</v>
      </c>
      <c r="K1303" s="10">
        <f t="shared" si="637"/>
        <v>0.59054608245197493</v>
      </c>
      <c r="L1303" s="6" t="s">
        <v>12933</v>
      </c>
      <c r="M1303" s="6" t="str">
        <f t="shared" si="621"/>
        <v>=463.3*100000000</v>
      </c>
      <c r="N1303" s="1">
        <f>463.3*100000000</f>
        <v>46330000000</v>
      </c>
      <c r="O1303" s="8">
        <f t="shared" si="638"/>
        <v>0.66057347670250899</v>
      </c>
      <c r="P1303" s="6" t="s">
        <v>12934</v>
      </c>
      <c r="Q1303" s="6" t="str">
        <f t="shared" si="622"/>
        <v>=279.0*100000000</v>
      </c>
      <c r="R1303" s="11">
        <f>279*100000000</f>
        <v>27900000000</v>
      </c>
      <c r="S1303" s="8">
        <f t="shared" si="639"/>
        <v>-0.63553233180927493</v>
      </c>
      <c r="T1303" s="6" t="s">
        <v>12935</v>
      </c>
      <c r="U1303" s="6" t="str">
        <f t="shared" si="623"/>
        <v>=765.5*100000000</v>
      </c>
      <c r="V1303" s="1">
        <f>765.5*100000000</f>
        <v>76550000000</v>
      </c>
      <c r="W1303" s="8">
        <f t="shared" si="640"/>
        <v>0.31937263012754208</v>
      </c>
      <c r="X1303" s="6" t="s">
        <v>12936</v>
      </c>
      <c r="Y1303" s="6" t="str">
        <f t="shared" si="624"/>
        <v>=580.2*100000000</v>
      </c>
      <c r="Z1303" s="1">
        <f>580.2*100000000</f>
        <v>58020000000.000008</v>
      </c>
      <c r="AA1303" s="8">
        <f t="shared" si="641"/>
        <v>0.59483232545354614</v>
      </c>
      <c r="AB1303" s="6" t="s">
        <v>12937</v>
      </c>
      <c r="AC1303" s="6" t="str">
        <f t="shared" si="625"/>
        <v>=363.8*100000000</v>
      </c>
      <c r="AD1303" s="1">
        <f>363.8*100000000</f>
        <v>36380000000</v>
      </c>
      <c r="AE1303" s="8">
        <f t="shared" si="642"/>
        <v>0.50641821946169774</v>
      </c>
      <c r="AF1303" s="6" t="s">
        <v>12938</v>
      </c>
      <c r="AG1303" s="6" t="str">
        <f t="shared" si="626"/>
        <v>=241.5*100000000</v>
      </c>
      <c r="AH1303" s="1">
        <f>241.5*100000000</f>
        <v>24150000000</v>
      </c>
      <c r="AI1303" s="8">
        <f t="shared" si="643"/>
        <v>-0.67483506126295945</v>
      </c>
      <c r="AJ1303" s="6" t="s">
        <v>12939</v>
      </c>
      <c r="AK1303" s="6" t="str">
        <f t="shared" si="627"/>
        <v>=742.7*100000000</v>
      </c>
      <c r="AL1303" s="1">
        <f>742.7*100000000</f>
        <v>74270000000</v>
      </c>
      <c r="AM1303" s="8">
        <f t="shared" si="644"/>
        <v>0.20470397404703974</v>
      </c>
      <c r="AN1303" s="6" t="s">
        <v>994</v>
      </c>
      <c r="AO1303" s="6" t="str">
        <f t="shared" si="628"/>
        <v>=616.5*100000000</v>
      </c>
      <c r="AP1303" s="1">
        <f>616.5*100000000</f>
        <v>61650000000</v>
      </c>
      <c r="AQ1303" s="8">
        <f t="shared" si="645"/>
        <v>0.54782827014812951</v>
      </c>
      <c r="AR1303" s="6" t="s">
        <v>12940</v>
      </c>
      <c r="AS1303" s="6" t="str">
        <f t="shared" si="629"/>
        <v>=398.3*100000000</v>
      </c>
      <c r="AT1303" s="1">
        <f>398.3*100000000</f>
        <v>39830000000</v>
      </c>
      <c r="AU1303" s="8">
        <f t="shared" si="646"/>
        <v>0.76395039858281666</v>
      </c>
      <c r="AV1303" s="6" t="s">
        <v>12941</v>
      </c>
      <c r="AW1303" s="6" t="str">
        <f t="shared" si="630"/>
        <v>=225.8*100000000</v>
      </c>
      <c r="AX1303" s="1">
        <f>225.8*100000000</f>
        <v>22580000000</v>
      </c>
      <c r="AY1303" s="10">
        <f t="shared" si="647"/>
        <v>-0.66750110440288613</v>
      </c>
      <c r="AZ1303" s="6" t="s">
        <v>12942</v>
      </c>
      <c r="BA1303" s="6" t="str">
        <f t="shared" si="631"/>
        <v>=679.1*100000000</v>
      </c>
      <c r="BB1303" s="1">
        <f>679.1*100000000</f>
        <v>67910000000</v>
      </c>
      <c r="BC1303" s="8">
        <f t="shared" si="648"/>
        <v>0.19161256360765047</v>
      </c>
      <c r="BD1303" s="6" t="s">
        <v>12943</v>
      </c>
      <c r="BE1303" s="6" t="str">
        <f t="shared" si="632"/>
        <v>=569.9*100000000</v>
      </c>
      <c r="BF1303" s="1">
        <f>569.9*100000000</f>
        <v>56990000000</v>
      </c>
      <c r="BG1303" s="8">
        <f t="shared" si="649"/>
        <v>0.4958005249343832</v>
      </c>
      <c r="BH1303" s="6" t="s">
        <v>12944</v>
      </c>
      <c r="BI1303" s="6" t="str">
        <f t="shared" si="633"/>
        <v>=381.0*100000000</v>
      </c>
      <c r="BJ1303" s="1">
        <f>381*100000000</f>
        <v>38100000000</v>
      </c>
      <c r="BK1303" s="6" t="s">
        <v>12945</v>
      </c>
      <c r="BL1303" s="1" t="str">
        <f t="shared" si="635"/>
        <v>=202.0*100000000</v>
      </c>
      <c r="BM1303" s="16">
        <f t="shared" si="650"/>
        <v>0.88613861386138615</v>
      </c>
      <c r="BN1303" s="1">
        <f>202*100000000</f>
        <v>20200000000</v>
      </c>
    </row>
    <row r="1304" spans="1:66">
      <c r="A1304" s="18"/>
      <c r="B1304">
        <v>601166</v>
      </c>
      <c r="C1304" t="s">
        <v>58</v>
      </c>
      <c r="D1304" s="6" t="s">
        <v>12946</v>
      </c>
      <c r="E1304" s="7" t="str">
        <f t="shared" si="634"/>
        <v>=953.1*100000000</v>
      </c>
      <c r="F1304" s="1">
        <f>953.1*100000000</f>
        <v>95310000000</v>
      </c>
      <c r="G1304" s="8">
        <f t="shared" si="636"/>
        <v>0.29233898305084743</v>
      </c>
      <c r="H1304" s="6" t="s">
        <v>12947</v>
      </c>
      <c r="I1304" s="6" t="str">
        <f t="shared" si="620"/>
        <v>=737.5*100000000</v>
      </c>
      <c r="J1304" s="1">
        <f>737.5*100000000</f>
        <v>73750000000</v>
      </c>
      <c r="K1304" s="10">
        <f t="shared" si="637"/>
        <v>0.58943965517241381</v>
      </c>
      <c r="L1304" s="6" t="s">
        <v>12948</v>
      </c>
      <c r="M1304" s="6" t="str">
        <f t="shared" si="621"/>
        <v>=464.0*100000000</v>
      </c>
      <c r="N1304" s="1">
        <f>464*100000000</f>
        <v>46400000000</v>
      </c>
      <c r="O1304" s="8">
        <f t="shared" si="638"/>
        <v>0.661296097386323</v>
      </c>
      <c r="P1304" s="6" t="s">
        <v>12949</v>
      </c>
      <c r="Q1304" s="6" t="str">
        <f t="shared" si="622"/>
        <v>=279.3*100000000</v>
      </c>
      <c r="R1304" s="11">
        <f>279.3*100000000</f>
        <v>27930000000</v>
      </c>
      <c r="S1304" s="8">
        <f t="shared" si="639"/>
        <v>-0.63556889352818369</v>
      </c>
      <c r="T1304" s="6" t="s">
        <v>12950</v>
      </c>
      <c r="U1304" s="6" t="str">
        <f t="shared" si="623"/>
        <v>=766.4*100000000</v>
      </c>
      <c r="V1304" s="1">
        <f>766.4*100000000</f>
        <v>76640000000</v>
      </c>
      <c r="W1304" s="8">
        <f t="shared" si="640"/>
        <v>0.32046864231564437</v>
      </c>
      <c r="X1304" s="6" t="s">
        <v>12951</v>
      </c>
      <c r="Y1304" s="6" t="str">
        <f t="shared" si="624"/>
        <v>=580.4*100000000</v>
      </c>
      <c r="Z1304" s="1">
        <f>580.4*100000000</f>
        <v>58040000000</v>
      </c>
      <c r="AA1304" s="8">
        <f t="shared" si="641"/>
        <v>0.5940675638560835</v>
      </c>
      <c r="AB1304" s="6" t="s">
        <v>12952</v>
      </c>
      <c r="AC1304" s="6" t="str">
        <f t="shared" si="625"/>
        <v>=364.1*100000000</v>
      </c>
      <c r="AD1304" s="1">
        <f>364.1*100000000</f>
        <v>36410000000</v>
      </c>
      <c r="AE1304" s="8">
        <f t="shared" si="642"/>
        <v>0.50766045548654248</v>
      </c>
      <c r="AF1304" s="6" t="s">
        <v>12938</v>
      </c>
      <c r="AG1304" s="6" t="str">
        <f t="shared" si="626"/>
        <v>=241.5*100000000</v>
      </c>
      <c r="AH1304" s="1">
        <f>241.5*100000000</f>
        <v>24150000000</v>
      </c>
      <c r="AI1304" s="8">
        <f t="shared" si="643"/>
        <v>-0.67583892617449659</v>
      </c>
      <c r="AJ1304" s="6" t="s">
        <v>12953</v>
      </c>
      <c r="AK1304" s="6" t="str">
        <f t="shared" si="627"/>
        <v>=745.0*100000000</v>
      </c>
      <c r="AL1304" s="1">
        <f>745*100000000</f>
        <v>74500000000</v>
      </c>
      <c r="AM1304" s="8">
        <f t="shared" si="644"/>
        <v>0.20511161436428327</v>
      </c>
      <c r="AN1304" s="6" t="s">
        <v>12954</v>
      </c>
      <c r="AO1304" s="6" t="str">
        <f t="shared" si="628"/>
        <v>=618.2*100000000</v>
      </c>
      <c r="AP1304" s="1">
        <f>618.2*100000000</f>
        <v>61820000000.000008</v>
      </c>
      <c r="AQ1304" s="8">
        <f t="shared" si="645"/>
        <v>0.54743429286608281</v>
      </c>
      <c r="AR1304" s="6" t="s">
        <v>12955</v>
      </c>
      <c r="AS1304" s="6" t="str">
        <f t="shared" si="629"/>
        <v>=399.5*100000000</v>
      </c>
      <c r="AT1304" s="1">
        <f>399.5*100000000</f>
        <v>39950000000</v>
      </c>
      <c r="AU1304" s="8">
        <f t="shared" si="646"/>
        <v>0.76613616268788687</v>
      </c>
      <c r="AV1304" s="6" t="s">
        <v>12956</v>
      </c>
      <c r="AW1304" s="6" t="str">
        <f t="shared" si="630"/>
        <v>=226.2*100000000</v>
      </c>
      <c r="AX1304" s="1">
        <f>226.2*100000000</f>
        <v>22620000000</v>
      </c>
      <c r="AY1304" s="10">
        <f t="shared" si="647"/>
        <v>-0.66774383078730903</v>
      </c>
      <c r="AZ1304" s="6" t="s">
        <v>12957</v>
      </c>
      <c r="BA1304" s="6" t="str">
        <f t="shared" si="631"/>
        <v>=680.8*100000000</v>
      </c>
      <c r="BB1304" s="1">
        <f>680.8*100000000</f>
        <v>68079999999.999992</v>
      </c>
      <c r="BC1304" s="8">
        <f t="shared" si="648"/>
        <v>0.19292097424215846</v>
      </c>
      <c r="BD1304" s="6" t="s">
        <v>12958</v>
      </c>
      <c r="BE1304" s="6" t="str">
        <f t="shared" si="632"/>
        <v>=570.7*100000000</v>
      </c>
      <c r="BF1304" s="1">
        <f>570.7*100000000</f>
        <v>57070000000.000008</v>
      </c>
      <c r="BG1304" s="8">
        <f t="shared" si="649"/>
        <v>0.49632931305715805</v>
      </c>
      <c r="BH1304" s="6" t="s">
        <v>12959</v>
      </c>
      <c r="BI1304" s="6" t="str">
        <f t="shared" si="633"/>
        <v>=381.4*100000000</v>
      </c>
      <c r="BJ1304" s="1">
        <f>381.4*100000000</f>
        <v>38140000000</v>
      </c>
      <c r="BK1304" s="6" t="s">
        <v>12960</v>
      </c>
      <c r="BL1304" s="1" t="str">
        <f t="shared" si="635"/>
        <v>=202.3*100000000</v>
      </c>
      <c r="BM1304" s="16">
        <f t="shared" si="650"/>
        <v>0.88531883341571926</v>
      </c>
      <c r="BN1304" s="1">
        <f>202.3*100000000</f>
        <v>20230000000</v>
      </c>
    </row>
    <row r="1305" spans="1:66">
      <c r="A1305" s="19"/>
      <c r="B1305">
        <v>601166</v>
      </c>
      <c r="C1305" t="s">
        <v>68</v>
      </c>
      <c r="D1305" s="6" t="s">
        <v>12961</v>
      </c>
      <c r="E1305" s="7" t="str">
        <f t="shared" si="634"/>
        <v>=838.2*100000000</v>
      </c>
      <c r="F1305" s="1">
        <f>838.2*100000000</f>
        <v>83820000000</v>
      </c>
      <c r="G1305" s="8">
        <f t="shared" si="636"/>
        <v>0.29611875676511507</v>
      </c>
      <c r="H1305" s="6" t="s">
        <v>12962</v>
      </c>
      <c r="I1305" s="6" t="str">
        <f t="shared" si="620"/>
        <v>=646.7*100000000</v>
      </c>
      <c r="J1305" s="1">
        <f>646.7*100000000</f>
        <v>64670000000.000008</v>
      </c>
      <c r="K1305" s="10">
        <f t="shared" si="637"/>
        <v>0.59128937007874038</v>
      </c>
      <c r="L1305" s="6" t="s">
        <v>12963</v>
      </c>
      <c r="M1305" s="6" t="str">
        <f t="shared" si="621"/>
        <v>=406.4*100000000</v>
      </c>
      <c r="N1305" s="1">
        <f>406.4*100000000</f>
        <v>40640000000</v>
      </c>
      <c r="O1305" s="8">
        <f t="shared" si="638"/>
        <v>0.68770764119601324</v>
      </c>
      <c r="P1305" s="6" t="s">
        <v>12964</v>
      </c>
      <c r="Q1305" s="6" t="str">
        <f t="shared" si="622"/>
        <v>=240.8*100000000</v>
      </c>
      <c r="R1305" s="11">
        <f>240.8*100000000</f>
        <v>24080000000</v>
      </c>
      <c r="S1305" s="8">
        <f t="shared" si="639"/>
        <v>-0.64420803782505909</v>
      </c>
      <c r="T1305" s="6" t="s">
        <v>12965</v>
      </c>
      <c r="U1305" s="6" t="str">
        <f t="shared" si="623"/>
        <v>=676.8*100000000</v>
      </c>
      <c r="V1305" s="1">
        <f>676.8*100000000</f>
        <v>67679999999.999992</v>
      </c>
      <c r="W1305" s="8">
        <f t="shared" si="640"/>
        <v>0.28791627021883903</v>
      </c>
      <c r="X1305" s="6" t="s">
        <v>12966</v>
      </c>
      <c r="Y1305" s="6" t="str">
        <f t="shared" si="624"/>
        <v>=525.5*100000000</v>
      </c>
      <c r="Z1305" s="1">
        <f>525.5*100000000</f>
        <v>52550000000</v>
      </c>
      <c r="AA1305" s="8">
        <f t="shared" si="641"/>
        <v>0.59387321807703974</v>
      </c>
      <c r="AB1305" s="6" t="s">
        <v>12967</v>
      </c>
      <c r="AC1305" s="6" t="str">
        <f t="shared" si="625"/>
        <v>=329.7*100000000</v>
      </c>
      <c r="AD1305" s="1">
        <f>329.7*100000000</f>
        <v>32970000000</v>
      </c>
      <c r="AE1305" s="8">
        <f t="shared" si="642"/>
        <v>0.55886524822695038</v>
      </c>
      <c r="AF1305" s="6" t="s">
        <v>7992</v>
      </c>
      <c r="AG1305" s="6" t="str">
        <f t="shared" si="626"/>
        <v>=211.5*100000000</v>
      </c>
      <c r="AH1305" s="1">
        <f>211.5*100000000</f>
        <v>21150000000</v>
      </c>
      <c r="AI1305" s="8">
        <f t="shared" si="643"/>
        <v>-0.68290854572713644</v>
      </c>
      <c r="AJ1305" s="6" t="s">
        <v>12968</v>
      </c>
      <c r="AK1305" s="6" t="str">
        <f t="shared" si="627"/>
        <v>=667.0*100000000</v>
      </c>
      <c r="AL1305" s="1">
        <f>667*100000000</f>
        <v>66700000000</v>
      </c>
      <c r="AM1305" s="8">
        <f t="shared" si="644"/>
        <v>0.20462344229727272</v>
      </c>
      <c r="AN1305" s="6" t="s">
        <v>12969</v>
      </c>
      <c r="AO1305" s="6" t="str">
        <f t="shared" si="628"/>
        <v>=553.7*100000000</v>
      </c>
      <c r="AP1305" s="1">
        <f>553.7*100000000</f>
        <v>55370000000.000008</v>
      </c>
      <c r="AQ1305" s="8">
        <f t="shared" si="645"/>
        <v>0.53337025754638623</v>
      </c>
      <c r="AR1305" s="6" t="s">
        <v>407</v>
      </c>
      <c r="AS1305" s="6" t="str">
        <f t="shared" si="629"/>
        <v>=361.1*100000000</v>
      </c>
      <c r="AT1305" s="1">
        <f>361.1*100000000</f>
        <v>36110000000</v>
      </c>
      <c r="AU1305" s="8">
        <f t="shared" si="646"/>
        <v>0.82465891864578067</v>
      </c>
      <c r="AV1305" s="6" t="s">
        <v>5342</v>
      </c>
      <c r="AW1305" s="6" t="str">
        <f t="shared" si="630"/>
        <v>=197.9*100000000</v>
      </c>
      <c r="AX1305" s="1">
        <f>197.9*100000000</f>
        <v>19790000000</v>
      </c>
      <c r="AY1305" s="10">
        <f t="shared" si="647"/>
        <v>-0.67689795918367346</v>
      </c>
      <c r="AZ1305" s="6" t="s">
        <v>12970</v>
      </c>
      <c r="BA1305" s="6" t="str">
        <f t="shared" si="631"/>
        <v>=612.5*100000000</v>
      </c>
      <c r="BB1305" s="1">
        <f>612.5*100000000</f>
        <v>61250000000</v>
      </c>
      <c r="BC1305" s="8">
        <f t="shared" si="648"/>
        <v>0.20168726701981557</v>
      </c>
      <c r="BD1305" s="6" t="s">
        <v>12971</v>
      </c>
      <c r="BE1305" s="6" t="str">
        <f t="shared" si="632"/>
        <v>=509.7*100000000</v>
      </c>
      <c r="BF1305" s="1">
        <f>509.7*100000000</f>
        <v>50970000000</v>
      </c>
      <c r="BG1305" s="8">
        <f t="shared" si="649"/>
        <v>0.50620567375886538</v>
      </c>
      <c r="BH1305" s="6" t="s">
        <v>12972</v>
      </c>
      <c r="BI1305" s="6" t="str">
        <f t="shared" si="633"/>
        <v>=338.4*100000000</v>
      </c>
      <c r="BJ1305" s="1">
        <f>338.4*100000000</f>
        <v>33839999999.999996</v>
      </c>
      <c r="BK1305" s="6" t="s">
        <v>1633</v>
      </c>
      <c r="BL1305" s="1" t="str">
        <f t="shared" si="635"/>
        <v>=177.2*100000000</v>
      </c>
      <c r="BM1305" s="16">
        <f t="shared" si="650"/>
        <v>0.90970654627539482</v>
      </c>
      <c r="BN1305" s="1">
        <f>177.2*100000000</f>
        <v>17720000000</v>
      </c>
    </row>
    <row r="1306" spans="1:66">
      <c r="A1306" s="17">
        <v>328</v>
      </c>
      <c r="B1306">
        <v>601186</v>
      </c>
      <c r="C1306" t="s">
        <v>31</v>
      </c>
      <c r="D1306" s="9" t="s">
        <v>12973</v>
      </c>
      <c r="E1306" s="7" t="str">
        <f t="shared" si="634"/>
        <v>=1.020*1000000000000</v>
      </c>
      <c r="F1306" s="1">
        <f>1.02*1000000000000</f>
        <v>1020000000000</v>
      </c>
      <c r="G1306" s="8">
        <f t="shared" si="636"/>
        <v>0.38681169272603672</v>
      </c>
      <c r="H1306" s="6" t="s">
        <v>12974</v>
      </c>
      <c r="I1306" s="6" t="str">
        <f t="shared" si="620"/>
        <v>=7355*100000000</v>
      </c>
      <c r="J1306" s="1">
        <f>7355*100000000</f>
        <v>735500000000</v>
      </c>
      <c r="K1306" s="10">
        <f t="shared" si="637"/>
        <v>0.50562947799385871</v>
      </c>
      <c r="L1306" s="6" t="s">
        <v>12975</v>
      </c>
      <c r="M1306" s="6" t="str">
        <f t="shared" si="621"/>
        <v>=4885*100000000</v>
      </c>
      <c r="N1306" s="1">
        <f>4885*100000000</f>
        <v>488500000000</v>
      </c>
      <c r="O1306" s="8">
        <f t="shared" si="638"/>
        <v>1.0876068376068375</v>
      </c>
      <c r="P1306" s="6" t="s">
        <v>12976</v>
      </c>
      <c r="Q1306" s="6" t="str">
        <f t="shared" si="622"/>
        <v>=2340*100000000</v>
      </c>
      <c r="R1306" s="11">
        <f>2340*100000000</f>
        <v>234000000000</v>
      </c>
      <c r="S1306" s="8">
        <f t="shared" si="639"/>
        <v>-0.7429418872899044</v>
      </c>
      <c r="T1306" s="6" t="s">
        <v>12977</v>
      </c>
      <c r="U1306" s="6" t="str">
        <f t="shared" si="623"/>
        <v>=9103*100000000</v>
      </c>
      <c r="V1306" s="1">
        <f>9103*100000000</f>
        <v>910300000000</v>
      </c>
      <c r="W1306" s="8">
        <f t="shared" si="640"/>
        <v>0.45881410256410254</v>
      </c>
      <c r="X1306" s="6" t="s">
        <v>12978</v>
      </c>
      <c r="Y1306" s="6" t="str">
        <f t="shared" si="624"/>
        <v>=6240*100000000</v>
      </c>
      <c r="Z1306" s="1">
        <f>6240*100000000</f>
        <v>624000000000</v>
      </c>
      <c r="AA1306" s="8">
        <f t="shared" si="641"/>
        <v>0.68284789644012944</v>
      </c>
      <c r="AB1306" s="6" t="s">
        <v>12979</v>
      </c>
      <c r="AC1306" s="6" t="str">
        <f t="shared" si="625"/>
        <v>=3708*100000000</v>
      </c>
      <c r="AD1306" s="1">
        <f>3708*100000000</f>
        <v>370800000000</v>
      </c>
      <c r="AE1306" s="8">
        <f t="shared" si="642"/>
        <v>1.5554789800137836</v>
      </c>
      <c r="AF1306" s="6" t="s">
        <v>12980</v>
      </c>
      <c r="AG1306" s="6" t="str">
        <f t="shared" si="626"/>
        <v>=1451*100000000</v>
      </c>
      <c r="AH1306" s="1">
        <f>1451*100000000</f>
        <v>145100000000</v>
      </c>
      <c r="AI1306" s="8">
        <f t="shared" si="643"/>
        <v>-0.82528597230583989</v>
      </c>
      <c r="AJ1306" s="6" t="s">
        <v>12981</v>
      </c>
      <c r="AK1306" s="6" t="str">
        <f t="shared" si="627"/>
        <v>=8305*100000000</v>
      </c>
      <c r="AL1306" s="1">
        <f>8305*100000000</f>
        <v>830500000000</v>
      </c>
      <c r="AM1306" s="8">
        <f t="shared" si="644"/>
        <v>0.47933737085856787</v>
      </c>
      <c r="AN1306" s="6" t="s">
        <v>12982</v>
      </c>
      <c r="AO1306" s="6" t="str">
        <f t="shared" si="628"/>
        <v>=5614*100000000</v>
      </c>
      <c r="AP1306" s="1">
        <f>5614*100000000</f>
        <v>561400000000</v>
      </c>
      <c r="AQ1306" s="8">
        <f t="shared" si="645"/>
        <v>0.5908189288750354</v>
      </c>
      <c r="AR1306" s="6" t="s">
        <v>12983</v>
      </c>
      <c r="AS1306" s="6" t="str">
        <f t="shared" si="629"/>
        <v>=3529*100000000</v>
      </c>
      <c r="AT1306" s="1">
        <f>3529*100000000</f>
        <v>352900000000</v>
      </c>
      <c r="AU1306" s="8">
        <f t="shared" si="646"/>
        <v>1.2463399108847868</v>
      </c>
      <c r="AV1306" s="6" t="s">
        <v>12984</v>
      </c>
      <c r="AW1306" s="6" t="str">
        <f t="shared" si="630"/>
        <v>=1571*100000000</v>
      </c>
      <c r="AX1306" s="1">
        <f>1571*100000000</f>
        <v>157100000000</v>
      </c>
      <c r="AY1306" s="10">
        <f t="shared" si="647"/>
        <v>-0.78482399671277903</v>
      </c>
      <c r="AZ1306" s="6" t="s">
        <v>12985</v>
      </c>
      <c r="BA1306" s="6" t="str">
        <f t="shared" si="631"/>
        <v>=7301*100000000</v>
      </c>
      <c r="BB1306" s="1">
        <f>7301*100000000</f>
        <v>730100000000</v>
      </c>
      <c r="BC1306" s="8">
        <f t="shared" si="648"/>
        <v>0.49030414370279651</v>
      </c>
      <c r="BD1306" s="6" t="s">
        <v>12986</v>
      </c>
      <c r="BE1306" s="6" t="str">
        <f t="shared" si="632"/>
        <v>=4899*100000000</v>
      </c>
      <c r="BF1306" s="1">
        <f>4899*100000000</f>
        <v>489900000000</v>
      </c>
      <c r="BG1306" s="8">
        <f t="shared" si="649"/>
        <v>0.58543689320388348</v>
      </c>
      <c r="BH1306" s="6" t="s">
        <v>12987</v>
      </c>
      <c r="BI1306" s="6" t="str">
        <f t="shared" si="633"/>
        <v>=3090*100000000</v>
      </c>
      <c r="BJ1306" s="1">
        <f>3090*100000000</f>
        <v>309000000000</v>
      </c>
      <c r="BK1306" s="6" t="s">
        <v>12988</v>
      </c>
      <c r="BL1306" s="1" t="str">
        <f t="shared" si="635"/>
        <v>=1316*100000000</v>
      </c>
      <c r="BM1306" s="16">
        <f t="shared" si="650"/>
        <v>1.3480243161094225</v>
      </c>
      <c r="BN1306" s="1">
        <f>1316*100000000</f>
        <v>131600000000</v>
      </c>
    </row>
    <row r="1307" spans="1:66">
      <c r="A1307" s="18"/>
      <c r="B1307">
        <v>601186</v>
      </c>
      <c r="C1307" t="s">
        <v>48</v>
      </c>
      <c r="D1307" s="6" t="s">
        <v>12989</v>
      </c>
      <c r="E1307" s="7" t="str">
        <f t="shared" si="634"/>
        <v>=348.1*100000000</v>
      </c>
      <c r="F1307" s="1">
        <f>348.1*100000000</f>
        <v>34810000000</v>
      </c>
      <c r="G1307" s="8">
        <f t="shared" si="636"/>
        <v>0.43842975206611573</v>
      </c>
      <c r="H1307" s="6" t="s">
        <v>12990</v>
      </c>
      <c r="I1307" s="6" t="str">
        <f t="shared" si="620"/>
        <v>=242.0*100000000</v>
      </c>
      <c r="J1307" s="1">
        <f>242*100000000</f>
        <v>24200000000</v>
      </c>
      <c r="K1307" s="10">
        <f t="shared" si="637"/>
        <v>0.45170965806838648</v>
      </c>
      <c r="L1307" s="6" t="s">
        <v>12991</v>
      </c>
      <c r="M1307" s="6" t="str">
        <f t="shared" si="621"/>
        <v>=166.7*100000000</v>
      </c>
      <c r="N1307" s="1">
        <f>166.7*100000000</f>
        <v>16669999999.999998</v>
      </c>
      <c r="O1307" s="8">
        <f t="shared" si="638"/>
        <v>1.4162922162632268</v>
      </c>
      <c r="P1307" s="6" t="s">
        <v>12992</v>
      </c>
      <c r="Q1307" s="6" t="str">
        <f t="shared" si="622"/>
        <v>=68.99*100000000</v>
      </c>
      <c r="R1307" s="11">
        <f>68.99*100000000</f>
        <v>6898999999.999999</v>
      </c>
      <c r="S1307" s="8">
        <f t="shared" si="639"/>
        <v>-0.77759509993552545</v>
      </c>
      <c r="T1307" s="6" t="s">
        <v>12655</v>
      </c>
      <c r="U1307" s="6" t="str">
        <f t="shared" si="623"/>
        <v>=310.2*100000000</v>
      </c>
      <c r="V1307" s="1">
        <f>310.2*100000000</f>
        <v>31020000000</v>
      </c>
      <c r="W1307" s="8">
        <f t="shared" si="640"/>
        <v>0.43478260869565216</v>
      </c>
      <c r="X1307" s="6" t="s">
        <v>4326</v>
      </c>
      <c r="Y1307" s="6" t="str">
        <f t="shared" si="624"/>
        <v>=216.2*100000000</v>
      </c>
      <c r="Z1307" s="1">
        <f>216.2*100000000</f>
        <v>21620000000</v>
      </c>
      <c r="AA1307" s="8">
        <f t="shared" si="641"/>
        <v>0.62434259954921112</v>
      </c>
      <c r="AB1307" s="6" t="s">
        <v>8027</v>
      </c>
      <c r="AC1307" s="6" t="str">
        <f t="shared" si="625"/>
        <v>=133.1*100000000</v>
      </c>
      <c r="AD1307" s="1">
        <f>133.1*100000000</f>
        <v>13310000000</v>
      </c>
      <c r="AE1307" s="8">
        <f t="shared" si="642"/>
        <v>2.0072300045187528</v>
      </c>
      <c r="AF1307" s="6" t="s">
        <v>12993</v>
      </c>
      <c r="AG1307" s="6" t="str">
        <f t="shared" si="626"/>
        <v>=44.26*100000000</v>
      </c>
      <c r="AH1307" s="1">
        <f>44.26*100000000</f>
        <v>4426000000</v>
      </c>
      <c r="AI1307" s="8">
        <f t="shared" si="643"/>
        <v>-0.83981179876945344</v>
      </c>
      <c r="AJ1307" s="6" t="s">
        <v>12994</v>
      </c>
      <c r="AK1307" s="6" t="str">
        <f t="shared" si="627"/>
        <v>=276.3*100000000</v>
      </c>
      <c r="AL1307" s="1">
        <f>276.3*100000000</f>
        <v>27630000000</v>
      </c>
      <c r="AM1307" s="8">
        <f t="shared" si="644"/>
        <v>0.36511857707509882</v>
      </c>
      <c r="AN1307" s="6" t="s">
        <v>7371</v>
      </c>
      <c r="AO1307" s="6" t="str">
        <f t="shared" si="628"/>
        <v>=202.4*100000000</v>
      </c>
      <c r="AP1307" s="1">
        <f>202.4*100000000</f>
        <v>20240000000</v>
      </c>
      <c r="AQ1307" s="8">
        <f t="shared" si="645"/>
        <v>0.5824863174354965</v>
      </c>
      <c r="AR1307" s="6" t="s">
        <v>9396</v>
      </c>
      <c r="AS1307" s="6" t="str">
        <f t="shared" si="629"/>
        <v>=127.9*100000000</v>
      </c>
      <c r="AT1307" s="1">
        <f>127.9*100000000</f>
        <v>12790000000</v>
      </c>
      <c r="AU1307" s="8">
        <f t="shared" si="646"/>
        <v>1.3284179865283088</v>
      </c>
      <c r="AV1307" s="6" t="s">
        <v>699</v>
      </c>
      <c r="AW1307" s="6" t="str">
        <f t="shared" si="630"/>
        <v>=54.93*100000000</v>
      </c>
      <c r="AX1307" s="1">
        <f>54.93*100000000</f>
        <v>5493000000</v>
      </c>
      <c r="AY1307" s="10">
        <f t="shared" si="647"/>
        <v>-0.78305687203791474</v>
      </c>
      <c r="AZ1307" s="6" t="s">
        <v>12430</v>
      </c>
      <c r="BA1307" s="6" t="str">
        <f t="shared" si="631"/>
        <v>=253.2*100000000</v>
      </c>
      <c r="BB1307" s="1">
        <f>253.2*100000000</f>
        <v>25320000000</v>
      </c>
      <c r="BC1307" s="8">
        <f t="shared" si="648"/>
        <v>0.46020761245674741</v>
      </c>
      <c r="BD1307" s="6" t="s">
        <v>12995</v>
      </c>
      <c r="BE1307" s="6" t="str">
        <f t="shared" si="632"/>
        <v>=173.4*100000000</v>
      </c>
      <c r="BF1307" s="1">
        <f>173.4*100000000</f>
        <v>17340000000</v>
      </c>
      <c r="BG1307" s="8">
        <f t="shared" si="649"/>
        <v>0.55935251798561147</v>
      </c>
      <c r="BH1307" s="6" t="s">
        <v>3232</v>
      </c>
      <c r="BI1307" s="6" t="str">
        <f t="shared" si="633"/>
        <v>=111.2*100000000</v>
      </c>
      <c r="BJ1307" s="1">
        <f>111.2*100000000</f>
        <v>11120000000</v>
      </c>
      <c r="BK1307" s="6" t="s">
        <v>4561</v>
      </c>
      <c r="BL1307" s="1" t="str">
        <f t="shared" si="635"/>
        <v>=45.68*100000000</v>
      </c>
      <c r="BM1307" s="16">
        <f t="shared" si="650"/>
        <v>1.4343257443082311</v>
      </c>
      <c r="BN1307" s="1">
        <f>45.68*100000000</f>
        <v>4568000000</v>
      </c>
    </row>
    <row r="1308" spans="1:66">
      <c r="A1308" s="18"/>
      <c r="B1308">
        <v>601186</v>
      </c>
      <c r="C1308" t="s">
        <v>58</v>
      </c>
      <c r="D1308" s="6" t="s">
        <v>12996</v>
      </c>
      <c r="E1308" s="7" t="str">
        <f t="shared" si="634"/>
        <v>=351.5*100000000</v>
      </c>
      <c r="F1308" s="1">
        <f>351.5*100000000</f>
        <v>35150000000</v>
      </c>
      <c r="G1308" s="8">
        <f t="shared" si="636"/>
        <v>0.43586601307189543</v>
      </c>
      <c r="H1308" s="6" t="s">
        <v>12997</v>
      </c>
      <c r="I1308" s="6" t="str">
        <f t="shared" si="620"/>
        <v>=244.8*100000000</v>
      </c>
      <c r="J1308" s="1">
        <f>244.8*100000000</f>
        <v>24480000000</v>
      </c>
      <c r="K1308" s="10">
        <f t="shared" si="637"/>
        <v>0.44937833037300179</v>
      </c>
      <c r="L1308" s="6" t="s">
        <v>412</v>
      </c>
      <c r="M1308" s="6" t="str">
        <f t="shared" si="621"/>
        <v>=168.9*100000000</v>
      </c>
      <c r="N1308" s="1">
        <f>168.9*100000000</f>
        <v>16890000000</v>
      </c>
      <c r="O1308" s="8">
        <f t="shared" si="638"/>
        <v>1.4080410607356715</v>
      </c>
      <c r="P1308" s="6" t="s">
        <v>12998</v>
      </c>
      <c r="Q1308" s="6" t="str">
        <f t="shared" si="622"/>
        <v>=70.14*100000000</v>
      </c>
      <c r="R1308" s="11">
        <f>70.14*100000000</f>
        <v>7014000000</v>
      </c>
      <c r="S1308" s="8">
        <f t="shared" si="639"/>
        <v>-0.7772626230549381</v>
      </c>
      <c r="T1308" s="6" t="s">
        <v>764</v>
      </c>
      <c r="U1308" s="6" t="str">
        <f t="shared" si="623"/>
        <v>=314.9*100000000</v>
      </c>
      <c r="V1308" s="1">
        <f>314.9*100000000</f>
        <v>31489999999.999996</v>
      </c>
      <c r="W1308" s="8">
        <f t="shared" si="640"/>
        <v>0.44715073529411747</v>
      </c>
      <c r="X1308" s="6" t="s">
        <v>12999</v>
      </c>
      <c r="Y1308" s="6" t="str">
        <f t="shared" si="624"/>
        <v>=217.6*100000000</v>
      </c>
      <c r="Z1308" s="1">
        <f>217.6*100000000</f>
        <v>21760000000</v>
      </c>
      <c r="AA1308" s="8">
        <f t="shared" si="641"/>
        <v>0.62025316455696178</v>
      </c>
      <c r="AB1308" s="6" t="s">
        <v>13000</v>
      </c>
      <c r="AC1308" s="6" t="str">
        <f t="shared" si="625"/>
        <v>=134.3*100000000</v>
      </c>
      <c r="AD1308" s="1">
        <f>134.3*100000000</f>
        <v>13430000000.000002</v>
      </c>
      <c r="AE1308" s="8">
        <f t="shared" si="642"/>
        <v>1.9831186139493562</v>
      </c>
      <c r="AF1308" s="6" t="s">
        <v>13001</v>
      </c>
      <c r="AG1308" s="6" t="str">
        <f t="shared" si="626"/>
        <v>=45.02*100000000</v>
      </c>
      <c r="AH1308" s="1">
        <f>45.02*100000000</f>
        <v>4502000000</v>
      </c>
      <c r="AI1308" s="8">
        <f t="shared" si="643"/>
        <v>-0.83938637174455943</v>
      </c>
      <c r="AJ1308" s="6" t="s">
        <v>13002</v>
      </c>
      <c r="AK1308" s="6" t="str">
        <f t="shared" si="627"/>
        <v>=280.3*100000000</v>
      </c>
      <c r="AL1308" s="1">
        <f>280.3*100000000</f>
        <v>28030000000</v>
      </c>
      <c r="AM1308" s="8">
        <f t="shared" si="644"/>
        <v>0.37267384916748286</v>
      </c>
      <c r="AN1308" s="6" t="s">
        <v>13003</v>
      </c>
      <c r="AO1308" s="6" t="str">
        <f t="shared" si="628"/>
        <v>=204.2*100000000</v>
      </c>
      <c r="AP1308" s="1">
        <f>204.2*100000000</f>
        <v>20420000000</v>
      </c>
      <c r="AQ1308" s="8">
        <f t="shared" si="645"/>
        <v>0.58171959721146393</v>
      </c>
      <c r="AR1308" s="6" t="s">
        <v>2025</v>
      </c>
      <c r="AS1308" s="6" t="str">
        <f t="shared" si="629"/>
        <v>=129.1*100000000</v>
      </c>
      <c r="AT1308" s="1">
        <f>129.1*100000000</f>
        <v>12910000000</v>
      </c>
      <c r="AU1308" s="8">
        <f t="shared" si="646"/>
        <v>1.3070050035739813</v>
      </c>
      <c r="AV1308" s="6" t="s">
        <v>13004</v>
      </c>
      <c r="AW1308" s="6" t="str">
        <f t="shared" si="630"/>
        <v>=55.96*100000000</v>
      </c>
      <c r="AX1308" s="1">
        <f>55.96*100000000</f>
        <v>5596000000</v>
      </c>
      <c r="AY1308" s="10">
        <f t="shared" si="647"/>
        <v>-0.77714058144165676</v>
      </c>
      <c r="AZ1308" s="6" t="s">
        <v>13005</v>
      </c>
      <c r="BA1308" s="6" t="str">
        <f t="shared" si="631"/>
        <v>=251.1*100000000</v>
      </c>
      <c r="BB1308" s="1">
        <f>251.1*100000000</f>
        <v>25110000000</v>
      </c>
      <c r="BC1308" s="8">
        <f t="shared" si="648"/>
        <v>0.41784302653867872</v>
      </c>
      <c r="BD1308" s="6" t="s">
        <v>13006</v>
      </c>
      <c r="BE1308" s="6" t="str">
        <f t="shared" si="632"/>
        <v>=177.1*100000000</v>
      </c>
      <c r="BF1308" s="1">
        <f>177.1*100000000</f>
        <v>17710000000</v>
      </c>
      <c r="BG1308" s="8">
        <f t="shared" si="649"/>
        <v>0.55623901581722324</v>
      </c>
      <c r="BH1308" s="6" t="s">
        <v>13007</v>
      </c>
      <c r="BI1308" s="6" t="str">
        <f t="shared" si="633"/>
        <v>=113.8*100000000</v>
      </c>
      <c r="BJ1308" s="1">
        <f>113.8*100000000</f>
        <v>11380000000</v>
      </c>
      <c r="BK1308" s="6" t="s">
        <v>13008</v>
      </c>
      <c r="BL1308" s="1" t="str">
        <f t="shared" si="635"/>
        <v>=46.74*100000000</v>
      </c>
      <c r="BM1308" s="16">
        <f t="shared" si="650"/>
        <v>1.4347454000855797</v>
      </c>
      <c r="BN1308" s="1">
        <f>46.74*100000000</f>
        <v>4674000000</v>
      </c>
    </row>
    <row r="1309" spans="1:66">
      <c r="A1309" s="19"/>
      <c r="B1309">
        <v>601186</v>
      </c>
      <c r="C1309" t="s">
        <v>68</v>
      </c>
      <c r="D1309" s="6" t="s">
        <v>13009</v>
      </c>
      <c r="E1309" s="7" t="str">
        <f t="shared" si="634"/>
        <v>=293.2*100000000</v>
      </c>
      <c r="F1309" s="1">
        <f>293.2*100000000</f>
        <v>29320000000</v>
      </c>
      <c r="G1309" s="8">
        <f t="shared" si="636"/>
        <v>0.41165142031776603</v>
      </c>
      <c r="H1309" s="6" t="s">
        <v>5060</v>
      </c>
      <c r="I1309" s="6" t="str">
        <f t="shared" si="620"/>
        <v>=207.7*100000000</v>
      </c>
      <c r="J1309" s="1">
        <f>207.7*100000000</f>
        <v>20770000000</v>
      </c>
      <c r="K1309" s="10">
        <f t="shared" si="637"/>
        <v>0.47304964539007094</v>
      </c>
      <c r="L1309" s="6" t="s">
        <v>13010</v>
      </c>
      <c r="M1309" s="6" t="str">
        <f t="shared" si="621"/>
        <v>=141.0*100000000</v>
      </c>
      <c r="N1309" s="1">
        <f>141*100000000</f>
        <v>14100000000</v>
      </c>
      <c r="O1309" s="8">
        <f t="shared" si="638"/>
        <v>1.4995568161673463</v>
      </c>
      <c r="P1309" s="6" t="s">
        <v>13011</v>
      </c>
      <c r="Q1309" s="6" t="str">
        <f t="shared" si="622"/>
        <v>=56.41*100000000</v>
      </c>
      <c r="R1309" s="11">
        <f>56.41*100000000</f>
        <v>5641000000</v>
      </c>
      <c r="S1309" s="8">
        <f t="shared" si="639"/>
        <v>-0.78059120964605211</v>
      </c>
      <c r="T1309" s="6" t="s">
        <v>13012</v>
      </c>
      <c r="U1309" s="6" t="str">
        <f t="shared" si="623"/>
        <v>=257.1*100000000</v>
      </c>
      <c r="V1309" s="1">
        <f>257.1*100000000</f>
        <v>25710000000.000004</v>
      </c>
      <c r="W1309" s="8">
        <f t="shared" si="640"/>
        <v>0.47843588269120207</v>
      </c>
      <c r="X1309" s="6" t="s">
        <v>13013</v>
      </c>
      <c r="Y1309" s="6" t="str">
        <f t="shared" si="624"/>
        <v>=173.9*100000000</v>
      </c>
      <c r="Z1309" s="1">
        <f>173.9*100000000</f>
        <v>17390000000</v>
      </c>
      <c r="AA1309" s="8">
        <f t="shared" si="641"/>
        <v>0.59687786960514233</v>
      </c>
      <c r="AB1309" s="6" t="s">
        <v>12463</v>
      </c>
      <c r="AC1309" s="6" t="str">
        <f t="shared" si="625"/>
        <v>=108.9*100000000</v>
      </c>
      <c r="AD1309" s="1">
        <f>108.9*100000000</f>
        <v>10890000000</v>
      </c>
      <c r="AE1309" s="8">
        <f t="shared" si="642"/>
        <v>2.0806223479490806</v>
      </c>
      <c r="AF1309" s="6" t="s">
        <v>13014</v>
      </c>
      <c r="AG1309" s="6" t="str">
        <f t="shared" si="626"/>
        <v>=35.35*100000000</v>
      </c>
      <c r="AH1309" s="1">
        <f>35.35*100000000</f>
        <v>3535000000</v>
      </c>
      <c r="AI1309" s="8">
        <f t="shared" si="643"/>
        <v>-0.84372236958443858</v>
      </c>
      <c r="AJ1309" s="6" t="s">
        <v>12956</v>
      </c>
      <c r="AK1309" s="6" t="str">
        <f t="shared" si="627"/>
        <v>=226.2*100000000</v>
      </c>
      <c r="AL1309" s="1">
        <f>226.2*100000000</f>
        <v>22620000000</v>
      </c>
      <c r="AM1309" s="8">
        <f t="shared" si="644"/>
        <v>0.38095238095238076</v>
      </c>
      <c r="AN1309" s="6" t="s">
        <v>630</v>
      </c>
      <c r="AO1309" s="6" t="str">
        <f t="shared" si="628"/>
        <v>=163.8*100000000</v>
      </c>
      <c r="AP1309" s="1">
        <f>163.8*100000000</f>
        <v>16380000000.000002</v>
      </c>
      <c r="AQ1309" s="8">
        <f t="shared" si="645"/>
        <v>0.58720930232558155</v>
      </c>
      <c r="AR1309" s="6" t="s">
        <v>10645</v>
      </c>
      <c r="AS1309" s="6" t="str">
        <f t="shared" si="629"/>
        <v>=103.2*100000000</v>
      </c>
      <c r="AT1309" s="1">
        <f>103.2*100000000</f>
        <v>10320000000</v>
      </c>
      <c r="AU1309" s="8">
        <f t="shared" si="646"/>
        <v>1.3631783833295168</v>
      </c>
      <c r="AV1309" s="6" t="s">
        <v>13015</v>
      </c>
      <c r="AW1309" s="6" t="str">
        <f t="shared" si="630"/>
        <v>=43.67*100000000</v>
      </c>
      <c r="AX1309" s="1">
        <f>43.67*100000000</f>
        <v>4367000000</v>
      </c>
      <c r="AY1309" s="10">
        <f t="shared" si="647"/>
        <v>-0.77988911290322582</v>
      </c>
      <c r="AZ1309" s="6" t="s">
        <v>1074</v>
      </c>
      <c r="BA1309" s="6" t="str">
        <f t="shared" si="631"/>
        <v>=198.4*100000000</v>
      </c>
      <c r="BB1309" s="1">
        <f>198.4*100000000</f>
        <v>19840000000</v>
      </c>
      <c r="BC1309" s="8">
        <f t="shared" si="648"/>
        <v>0.4021201413427562</v>
      </c>
      <c r="BD1309" s="6" t="s">
        <v>13016</v>
      </c>
      <c r="BE1309" s="6" t="str">
        <f t="shared" si="632"/>
        <v>=141.5*100000000</v>
      </c>
      <c r="BF1309" s="1">
        <f>141.5*100000000</f>
        <v>14150000000</v>
      </c>
      <c r="BG1309" s="8">
        <f t="shared" si="649"/>
        <v>0.59096019788621545</v>
      </c>
      <c r="BH1309" s="6" t="s">
        <v>13017</v>
      </c>
      <c r="BI1309" s="6" t="str">
        <f t="shared" si="633"/>
        <v>=88.94*100000000</v>
      </c>
      <c r="BJ1309" s="1">
        <f>88.94*100000000</f>
        <v>8894000000</v>
      </c>
      <c r="BK1309" s="6" t="s">
        <v>13018</v>
      </c>
      <c r="BL1309" s="1" t="str">
        <f t="shared" si="635"/>
        <v>=36.18*100000000</v>
      </c>
      <c r="BM1309" s="16">
        <f t="shared" si="650"/>
        <v>1.4582642343836374</v>
      </c>
      <c r="BN1309" s="1">
        <f>36.18*100000000</f>
        <v>3618000000</v>
      </c>
    </row>
    <row r="1310" spans="1:66">
      <c r="A1310" s="17">
        <v>329</v>
      </c>
      <c r="B1310">
        <v>601200</v>
      </c>
      <c r="C1310" t="s">
        <v>31</v>
      </c>
      <c r="D1310" s="6" t="s">
        <v>6358</v>
      </c>
      <c r="E1310" s="7" t="str">
        <f t="shared" si="634"/>
        <v>=71.02*100000000</v>
      </c>
      <c r="F1310" s="1">
        <f>71.02*100000000</f>
        <v>7102000000</v>
      </c>
      <c r="G1310" s="8">
        <f t="shared" si="636"/>
        <v>0.33546446032342986</v>
      </c>
      <c r="H1310" s="6" t="s">
        <v>1320</v>
      </c>
      <c r="I1310" s="6" t="str">
        <f t="shared" si="620"/>
        <v>=53.18*100000000</v>
      </c>
      <c r="J1310" s="1">
        <f>53.18*100000000</f>
        <v>5318000000</v>
      </c>
      <c r="K1310" s="10">
        <f t="shared" si="637"/>
        <v>0.3870631194574855</v>
      </c>
      <c r="L1310" s="6" t="s">
        <v>13019</v>
      </c>
      <c r="M1310" s="6" t="str">
        <f t="shared" si="621"/>
        <v>=38.34*100000000</v>
      </c>
      <c r="N1310" s="1">
        <f>38.34*100000000</f>
        <v>3834000000.0000005</v>
      </c>
      <c r="O1310" s="8">
        <f t="shared" si="638"/>
        <v>2.6033834586466171</v>
      </c>
      <c r="P1310" s="6" t="s">
        <v>8695</v>
      </c>
      <c r="Q1310" s="6" t="str">
        <f t="shared" si="622"/>
        <v>=10.64*100000000</v>
      </c>
      <c r="R1310" s="11">
        <f>10.64*100000000</f>
        <v>1064000000</v>
      </c>
      <c r="S1310" s="8">
        <f t="shared" si="639"/>
        <v>-0.76418439716312059</v>
      </c>
      <c r="T1310" s="6" t="s">
        <v>13020</v>
      </c>
      <c r="U1310" s="6" t="str">
        <f t="shared" si="623"/>
        <v>=45.12*100000000</v>
      </c>
      <c r="V1310" s="1">
        <f>45.12*100000000</f>
        <v>4512000000</v>
      </c>
      <c r="W1310" s="8">
        <f t="shared" si="640"/>
        <v>0.58761435608726253</v>
      </c>
      <c r="X1310" s="6" t="s">
        <v>10075</v>
      </c>
      <c r="Y1310" s="6" t="str">
        <f t="shared" si="624"/>
        <v>=28.42*100000000</v>
      </c>
      <c r="Z1310" s="1">
        <f>28.42*100000000</f>
        <v>2842000000</v>
      </c>
      <c r="AA1310" s="8">
        <f t="shared" si="641"/>
        <v>0.48640167364016734</v>
      </c>
      <c r="AB1310" s="6" t="s">
        <v>4146</v>
      </c>
      <c r="AC1310" s="6" t="str">
        <f t="shared" si="625"/>
        <v>=19.12*100000000</v>
      </c>
      <c r="AD1310" s="1">
        <f>19.12*100000000</f>
        <v>1912000000</v>
      </c>
      <c r="AE1310" s="8">
        <f t="shared" si="642"/>
        <v>1.1487974825803551</v>
      </c>
      <c r="AF1310" s="6" t="s">
        <v>13021</v>
      </c>
      <c r="AG1310" s="6" t="str">
        <f t="shared" si="626"/>
        <v>=8.898*100000000</v>
      </c>
      <c r="AH1310" s="1">
        <f>8.898*100000000</f>
        <v>889800000</v>
      </c>
      <c r="AI1310" s="8">
        <f t="shared" si="643"/>
        <v>-0.75601864546202358</v>
      </c>
      <c r="AJ1310" s="6" t="s">
        <v>13022</v>
      </c>
      <c r="AK1310" s="6" t="str">
        <f t="shared" si="627"/>
        <v>=36.47*100000000</v>
      </c>
      <c r="AL1310" s="1">
        <f>36.47*100000000</f>
        <v>3647000000</v>
      </c>
      <c r="AM1310" s="8">
        <f t="shared" si="644"/>
        <v>0.67524115755627012</v>
      </c>
      <c r="AN1310" s="6" t="s">
        <v>5104</v>
      </c>
      <c r="AO1310" s="6" t="str">
        <f t="shared" si="628"/>
        <v>=21.77*100000000</v>
      </c>
      <c r="AP1310" s="1">
        <f>21.77*100000000</f>
        <v>2177000000</v>
      </c>
      <c r="AQ1310" s="8">
        <f t="shared" si="645"/>
        <v>0.64674735249621784</v>
      </c>
      <c r="AR1310" s="6" t="s">
        <v>12527</v>
      </c>
      <c r="AS1310" s="6" t="str">
        <f t="shared" si="629"/>
        <v>=13.22*100000000</v>
      </c>
      <c r="AT1310" s="1">
        <f>13.22*100000000</f>
        <v>1322000000</v>
      </c>
      <c r="AU1310" s="8">
        <f t="shared" si="646"/>
        <v>1.059510827231656</v>
      </c>
      <c r="AV1310" s="6" t="s">
        <v>10083</v>
      </c>
      <c r="AW1310" s="6" t="str">
        <f t="shared" si="630"/>
        <v>=6.419*100000000</v>
      </c>
      <c r="AX1310" s="1">
        <f>6.419*100000000</f>
        <v>641900000</v>
      </c>
      <c r="AY1310" s="10">
        <f t="shared" si="647"/>
        <v>-0.75149051490514907</v>
      </c>
      <c r="AZ1310" s="6" t="s">
        <v>13023</v>
      </c>
      <c r="BA1310" s="6" t="str">
        <f t="shared" si="631"/>
        <v>=25.83*100000000</v>
      </c>
      <c r="BB1310" s="1">
        <f>25.83*100000000</f>
        <v>2583000000</v>
      </c>
      <c r="BC1310" s="8">
        <f t="shared" si="648"/>
        <v>0.40762942779291533</v>
      </c>
      <c r="BD1310" s="6" t="s">
        <v>10666</v>
      </c>
      <c r="BE1310" s="6" t="str">
        <f t="shared" si="632"/>
        <v>=18.35*100000000</v>
      </c>
      <c r="BF1310" s="1">
        <f>18.35*100000000</f>
        <v>1835000000.0000002</v>
      </c>
      <c r="BG1310" s="8">
        <f t="shared" si="649"/>
        <v>0.51028806584362163</v>
      </c>
      <c r="BH1310" s="6" t="s">
        <v>1396</v>
      </c>
      <c r="BI1310" s="6" t="str">
        <f t="shared" si="633"/>
        <v>=12.15*100000000</v>
      </c>
      <c r="BJ1310" s="1">
        <f>12.15*100000000</f>
        <v>1215000000</v>
      </c>
      <c r="BK1310" s="6" t="s">
        <v>10742</v>
      </c>
      <c r="BL1310" s="1" t="str">
        <f t="shared" si="635"/>
        <v>=5.911*100000000</v>
      </c>
      <c r="BM1310" s="16">
        <f t="shared" si="650"/>
        <v>1.055489764845204</v>
      </c>
      <c r="BN1310" s="1">
        <f>5.911*100000000</f>
        <v>591100000</v>
      </c>
    </row>
    <row r="1311" spans="1:66">
      <c r="A1311" s="18"/>
      <c r="B1311">
        <v>601200</v>
      </c>
      <c r="C1311" t="s">
        <v>48</v>
      </c>
      <c r="D1311" s="6" t="s">
        <v>1303</v>
      </c>
      <c r="E1311" s="7" t="str">
        <f t="shared" si="634"/>
        <v>=9.597*100000000</v>
      </c>
      <c r="F1311" s="1">
        <f>9.597*100000000</f>
        <v>959700000</v>
      </c>
      <c r="G1311" s="8">
        <f t="shared" si="636"/>
        <v>9.1684677511090884E-2</v>
      </c>
      <c r="H1311" s="6" t="s">
        <v>13024</v>
      </c>
      <c r="I1311" s="6" t="str">
        <f t="shared" si="620"/>
        <v>=8.791*100000000</v>
      </c>
      <c r="J1311" s="1">
        <f>8.791*100000000</f>
        <v>879100000</v>
      </c>
      <c r="K1311" s="10">
        <f t="shared" si="637"/>
        <v>0.45377873325616008</v>
      </c>
      <c r="L1311" s="6" t="s">
        <v>12327</v>
      </c>
      <c r="M1311" s="6" t="str">
        <f t="shared" si="621"/>
        <v>=6.047*100000000</v>
      </c>
      <c r="N1311" s="1">
        <f>6.047*100000000</f>
        <v>604700000</v>
      </c>
      <c r="O1311" s="8">
        <f t="shared" si="638"/>
        <v>0.96458739441195585</v>
      </c>
      <c r="P1311" s="6" t="s">
        <v>9862</v>
      </c>
      <c r="Q1311" s="6" t="str">
        <f t="shared" si="622"/>
        <v>=3.078*100000000</v>
      </c>
      <c r="R1311" s="11">
        <f>3.078*100000000</f>
        <v>307800000</v>
      </c>
      <c r="S1311" s="8">
        <f t="shared" si="639"/>
        <v>-0.64292343387470996</v>
      </c>
      <c r="T1311" s="6" t="s">
        <v>13025</v>
      </c>
      <c r="U1311" s="6" t="str">
        <f t="shared" si="623"/>
        <v>=8.620*100000000</v>
      </c>
      <c r="V1311" s="1">
        <f>8.62*100000000</f>
        <v>861999999.99999988</v>
      </c>
      <c r="W1311" s="8">
        <f t="shared" si="640"/>
        <v>0.15689169239028303</v>
      </c>
      <c r="X1311" s="6" t="s">
        <v>13026</v>
      </c>
      <c r="Y1311" s="6" t="str">
        <f t="shared" si="624"/>
        <v>=7.451*100000000</v>
      </c>
      <c r="Z1311" s="1">
        <f>7.451*100000000</f>
        <v>745100000</v>
      </c>
      <c r="AA1311" s="8">
        <f t="shared" si="641"/>
        <v>0.63506692999780534</v>
      </c>
      <c r="AB1311" s="6" t="s">
        <v>5485</v>
      </c>
      <c r="AC1311" s="6" t="str">
        <f t="shared" si="625"/>
        <v>=4.557*100000000</v>
      </c>
      <c r="AD1311" s="1">
        <f>4.557*100000000</f>
        <v>455700000.00000006</v>
      </c>
      <c r="AE1311" s="8">
        <f t="shared" si="642"/>
        <v>1.2503703703703706</v>
      </c>
      <c r="AF1311" s="6" t="s">
        <v>13027</v>
      </c>
      <c r="AG1311" s="6" t="str">
        <f t="shared" si="626"/>
        <v>=2.025*100000000</v>
      </c>
      <c r="AH1311" s="1">
        <f>2.025*100000000</f>
        <v>202500000</v>
      </c>
      <c r="AI1311" s="8">
        <f t="shared" si="643"/>
        <v>-0.75397886040578299</v>
      </c>
      <c r="AJ1311" s="6" t="s">
        <v>9105</v>
      </c>
      <c r="AK1311" s="6" t="str">
        <f t="shared" si="627"/>
        <v>=8.231*100000000</v>
      </c>
      <c r="AL1311" s="1">
        <f>8.231*100000000</f>
        <v>823100000</v>
      </c>
      <c r="AM1311" s="8">
        <f t="shared" si="644"/>
        <v>0.35892355951791316</v>
      </c>
      <c r="AN1311" s="6" t="s">
        <v>13028</v>
      </c>
      <c r="AO1311" s="6" t="str">
        <f t="shared" si="628"/>
        <v>=6.057*100000000</v>
      </c>
      <c r="AP1311" s="1">
        <f>6.057*100000000</f>
        <v>605700000</v>
      </c>
      <c r="AQ1311" s="8">
        <f t="shared" si="645"/>
        <v>0.49444855662472242</v>
      </c>
      <c r="AR1311" s="6" t="s">
        <v>5427</v>
      </c>
      <c r="AS1311" s="6" t="str">
        <f t="shared" si="629"/>
        <v>=4.053*100000000</v>
      </c>
      <c r="AT1311" s="1">
        <f>4.053*100000000</f>
        <v>405300000</v>
      </c>
      <c r="AU1311" s="8">
        <f t="shared" si="646"/>
        <v>1.0945736434108526</v>
      </c>
      <c r="AV1311" s="6" t="s">
        <v>2182</v>
      </c>
      <c r="AW1311" s="6" t="str">
        <f t="shared" si="630"/>
        <v>=1.935*100000000</v>
      </c>
      <c r="AX1311" s="1">
        <f>1.935*100000000</f>
        <v>193500000</v>
      </c>
      <c r="AY1311" s="10">
        <f t="shared" si="647"/>
        <v>-0.75641993957703924</v>
      </c>
      <c r="AZ1311" s="6" t="s">
        <v>13029</v>
      </c>
      <c r="BA1311" s="6" t="str">
        <f t="shared" si="631"/>
        <v>=7.944*100000000</v>
      </c>
      <c r="BB1311" s="1">
        <f>7.944*100000000</f>
        <v>794400000</v>
      </c>
      <c r="BC1311" s="8">
        <f t="shared" si="648"/>
        <v>0.16617733411626542</v>
      </c>
      <c r="BD1311" s="6" t="s">
        <v>10826</v>
      </c>
      <c r="BE1311" s="6" t="str">
        <f t="shared" si="632"/>
        <v>=6.812*100000000</v>
      </c>
      <c r="BF1311" s="1">
        <f>6.812*100000000</f>
        <v>681200000</v>
      </c>
      <c r="BG1311" s="8">
        <f t="shared" si="649"/>
        <v>0.83611859838274938</v>
      </c>
      <c r="BH1311" s="6" t="s">
        <v>11872</v>
      </c>
      <c r="BI1311" s="6" t="str">
        <f t="shared" si="633"/>
        <v>=3.710*100000000</v>
      </c>
      <c r="BJ1311" s="1">
        <f>3.71*100000000</f>
        <v>371000000</v>
      </c>
      <c r="BK1311" s="6" t="s">
        <v>7810</v>
      </c>
      <c r="BL1311" s="1" t="str">
        <f t="shared" si="635"/>
        <v>=1.773*100000000</v>
      </c>
      <c r="BM1311" s="16">
        <f t="shared" si="650"/>
        <v>1.0924985899605189</v>
      </c>
      <c r="BN1311" s="1">
        <f>1.773*100000000</f>
        <v>177300000</v>
      </c>
    </row>
    <row r="1312" spans="1:66">
      <c r="A1312" s="18"/>
      <c r="B1312">
        <v>601200</v>
      </c>
      <c r="C1312" t="s">
        <v>58</v>
      </c>
      <c r="D1312" s="6" t="s">
        <v>13030</v>
      </c>
      <c r="E1312" s="7" t="str">
        <f t="shared" si="634"/>
        <v>=9.643*100000000</v>
      </c>
      <c r="F1312" s="1">
        <f>9.643*100000000</f>
        <v>964300000.00000012</v>
      </c>
      <c r="G1312" s="8">
        <f t="shared" si="636"/>
        <v>9.3558630074847035E-2</v>
      </c>
      <c r="H1312" s="6" t="s">
        <v>3833</v>
      </c>
      <c r="I1312" s="6" t="str">
        <f t="shared" si="620"/>
        <v>=8.818*100000000</v>
      </c>
      <c r="J1312" s="1">
        <f>8.818*100000000</f>
        <v>881800000</v>
      </c>
      <c r="K1312" s="10">
        <f t="shared" si="637"/>
        <v>0.45247899851754242</v>
      </c>
      <c r="L1312" s="6" t="s">
        <v>13031</v>
      </c>
      <c r="M1312" s="6" t="str">
        <f t="shared" si="621"/>
        <v>=6.071*100000000</v>
      </c>
      <c r="N1312" s="1">
        <f>6.071*100000000</f>
        <v>607100000</v>
      </c>
      <c r="O1312" s="8">
        <f t="shared" si="638"/>
        <v>0.96408929149142675</v>
      </c>
      <c r="P1312" s="6" t="s">
        <v>13032</v>
      </c>
      <c r="Q1312" s="6" t="str">
        <f t="shared" si="622"/>
        <v>=3.091*100000000</v>
      </c>
      <c r="R1312" s="11">
        <f>3.091*100000000</f>
        <v>309100000</v>
      </c>
      <c r="S1312" s="8">
        <f t="shared" si="639"/>
        <v>-0.64183082271147163</v>
      </c>
      <c r="T1312" s="6" t="s">
        <v>10807</v>
      </c>
      <c r="U1312" s="6" t="str">
        <f t="shared" si="623"/>
        <v>=8.630*100000000</v>
      </c>
      <c r="V1312" s="1">
        <f>8.63*100000000</f>
        <v>863000000.00000012</v>
      </c>
      <c r="W1312" s="8">
        <f t="shared" si="640"/>
        <v>0.15621650589496264</v>
      </c>
      <c r="X1312" s="6" t="s">
        <v>7085</v>
      </c>
      <c r="Y1312" s="6" t="str">
        <f t="shared" si="624"/>
        <v>=7.464*100000000</v>
      </c>
      <c r="Z1312" s="1">
        <f>7.464*100000000</f>
        <v>746400000</v>
      </c>
      <c r="AA1312" s="8">
        <f t="shared" si="641"/>
        <v>0.63433326034596016</v>
      </c>
      <c r="AB1312" s="6" t="s">
        <v>13033</v>
      </c>
      <c r="AC1312" s="6" t="str">
        <f t="shared" si="625"/>
        <v>=4.567*100000000</v>
      </c>
      <c r="AD1312" s="1">
        <f>4.567*100000000</f>
        <v>456700000</v>
      </c>
      <c r="AE1312" s="8">
        <f t="shared" si="642"/>
        <v>1.2608910891089109</v>
      </c>
      <c r="AF1312" s="6" t="s">
        <v>5930</v>
      </c>
      <c r="AG1312" s="6" t="str">
        <f t="shared" si="626"/>
        <v>=2.020*100000000</v>
      </c>
      <c r="AH1312" s="1">
        <f>2.02*100000000</f>
        <v>202000000</v>
      </c>
      <c r="AI1312" s="8">
        <f t="shared" si="643"/>
        <v>-0.75428779953776914</v>
      </c>
      <c r="AJ1312" s="6" t="s">
        <v>3790</v>
      </c>
      <c r="AK1312" s="6" t="str">
        <f t="shared" si="627"/>
        <v>=8.221*100000000</v>
      </c>
      <c r="AL1312" s="1">
        <f>8.221*100000000</f>
        <v>822100000</v>
      </c>
      <c r="AM1312" s="8">
        <f t="shared" si="644"/>
        <v>0.34903183459140136</v>
      </c>
      <c r="AN1312" s="6" t="s">
        <v>13034</v>
      </c>
      <c r="AO1312" s="6" t="str">
        <f t="shared" si="628"/>
        <v>=6.094*100000000</v>
      </c>
      <c r="AP1312" s="1">
        <f>6.094*100000000</f>
        <v>609400000</v>
      </c>
      <c r="AQ1312" s="8">
        <f t="shared" si="645"/>
        <v>0.49033993641477114</v>
      </c>
      <c r="AR1312" s="6" t="s">
        <v>13035</v>
      </c>
      <c r="AS1312" s="6" t="str">
        <f t="shared" si="629"/>
        <v>=4.089*100000000</v>
      </c>
      <c r="AT1312" s="1">
        <f>4.089*100000000</f>
        <v>408900000.00000006</v>
      </c>
      <c r="AU1312" s="8">
        <f t="shared" si="646"/>
        <v>1.1077319587628869</v>
      </c>
      <c r="AV1312" s="6" t="s">
        <v>7666</v>
      </c>
      <c r="AW1312" s="6" t="str">
        <f t="shared" si="630"/>
        <v>=1.940*100000000</v>
      </c>
      <c r="AX1312" s="1">
        <f>1.94*100000000</f>
        <v>194000000</v>
      </c>
      <c r="AY1312" s="10">
        <f t="shared" si="647"/>
        <v>-0.75936492185561888</v>
      </c>
      <c r="AZ1312" s="6" t="s">
        <v>13036</v>
      </c>
      <c r="BA1312" s="6" t="str">
        <f t="shared" si="631"/>
        <v>=8.062*100000000</v>
      </c>
      <c r="BB1312" s="1">
        <f>8.062*100000000</f>
        <v>806199999.99999988</v>
      </c>
      <c r="BC1312" s="8">
        <f t="shared" si="648"/>
        <v>0.16217385036759388</v>
      </c>
      <c r="BD1312" s="6" t="s">
        <v>13037</v>
      </c>
      <c r="BE1312" s="6" t="str">
        <f t="shared" si="632"/>
        <v>=6.937*100000000</v>
      </c>
      <c r="BF1312" s="1">
        <f>6.937*100000000</f>
        <v>693700000</v>
      </c>
      <c r="BG1312" s="8">
        <f t="shared" si="649"/>
        <v>0.8093375065206051</v>
      </c>
      <c r="BH1312" s="6" t="s">
        <v>13038</v>
      </c>
      <c r="BI1312" s="6" t="str">
        <f t="shared" si="633"/>
        <v>=3.834*100000000</v>
      </c>
      <c r="BJ1312" s="1">
        <f>3.834*100000000</f>
        <v>383400000</v>
      </c>
      <c r="BK1312" s="6" t="s">
        <v>8298</v>
      </c>
      <c r="BL1312" s="1" t="str">
        <f t="shared" si="635"/>
        <v>=1.841*100000000</v>
      </c>
      <c r="BM1312" s="16">
        <f t="shared" si="650"/>
        <v>1.082563824008691</v>
      </c>
      <c r="BN1312" s="1">
        <f>1.841*100000000</f>
        <v>184100000</v>
      </c>
    </row>
    <row r="1313" spans="1:66">
      <c r="A1313" s="19"/>
      <c r="B1313">
        <v>601200</v>
      </c>
      <c r="C1313" t="s">
        <v>68</v>
      </c>
      <c r="D1313" s="6" t="s">
        <v>6214</v>
      </c>
      <c r="E1313" s="7" t="str">
        <f t="shared" si="634"/>
        <v>=8.343*100000000</v>
      </c>
      <c r="F1313" s="1">
        <f>8.343*100000000</f>
        <v>834300000</v>
      </c>
      <c r="G1313" s="8">
        <f t="shared" si="636"/>
        <v>7.4851842308683331E-2</v>
      </c>
      <c r="H1313" s="6" t="s">
        <v>13039</v>
      </c>
      <c r="I1313" s="6" t="str">
        <f t="shared" si="620"/>
        <v>=7.762*100000000</v>
      </c>
      <c r="J1313" s="1">
        <f>7.762*100000000</f>
        <v>776200000</v>
      </c>
      <c r="K1313" s="10">
        <f t="shared" si="637"/>
        <v>0.46342383107088991</v>
      </c>
      <c r="L1313" s="6" t="s">
        <v>13040</v>
      </c>
      <c r="M1313" s="6" t="str">
        <f t="shared" si="621"/>
        <v>=5.304*100000000</v>
      </c>
      <c r="N1313" s="1">
        <f>5.304*100000000</f>
        <v>530400000</v>
      </c>
      <c r="O1313" s="8">
        <f t="shared" si="638"/>
        <v>1.0236550934757727</v>
      </c>
      <c r="P1313" s="6" t="s">
        <v>10766</v>
      </c>
      <c r="Q1313" s="6" t="str">
        <f t="shared" si="622"/>
        <v>=2.621*100000000</v>
      </c>
      <c r="R1313" s="11">
        <f>2.621*100000000</f>
        <v>262100000</v>
      </c>
      <c r="S1313" s="8">
        <f t="shared" si="639"/>
        <v>-0.64865951742627348</v>
      </c>
      <c r="T1313" s="6" t="s">
        <v>13041</v>
      </c>
      <c r="U1313" s="6" t="str">
        <f t="shared" si="623"/>
        <v>=7.460*100000000</v>
      </c>
      <c r="V1313" s="1">
        <f>7.46*100000000</f>
        <v>746000000</v>
      </c>
      <c r="W1313" s="8">
        <f t="shared" si="640"/>
        <v>0.17369414726242921</v>
      </c>
      <c r="X1313" s="6" t="s">
        <v>13042</v>
      </c>
      <c r="Y1313" s="6" t="str">
        <f t="shared" si="624"/>
        <v>=6.356*100000000</v>
      </c>
      <c r="Z1313" s="1">
        <f>6.356*100000000</f>
        <v>635600000</v>
      </c>
      <c r="AA1313" s="8">
        <f t="shared" si="641"/>
        <v>0.60707964601769915</v>
      </c>
      <c r="AB1313" s="6" t="s">
        <v>13043</v>
      </c>
      <c r="AC1313" s="6" t="str">
        <f t="shared" si="625"/>
        <v>=3.955*100000000</v>
      </c>
      <c r="AD1313" s="1">
        <f>3.955*100000000</f>
        <v>395500000</v>
      </c>
      <c r="AE1313" s="8">
        <f t="shared" si="642"/>
        <v>1.3088149445417396</v>
      </c>
      <c r="AF1313" s="6" t="s">
        <v>2968</v>
      </c>
      <c r="AG1313" s="6" t="str">
        <f t="shared" si="626"/>
        <v>=1.713*100000000</v>
      </c>
      <c r="AH1313" s="1">
        <f>1.713*100000000</f>
        <v>171300000</v>
      </c>
      <c r="AI1313" s="8">
        <f t="shared" si="643"/>
        <v>-0.76041958041958047</v>
      </c>
      <c r="AJ1313" s="6" t="s">
        <v>2564</v>
      </c>
      <c r="AK1313" s="6" t="str">
        <f t="shared" si="627"/>
        <v>=7.150*100000000</v>
      </c>
      <c r="AL1313" s="1">
        <f>7.15*100000000</f>
        <v>715000000</v>
      </c>
      <c r="AM1313" s="8">
        <f t="shared" si="644"/>
        <v>0.3787119166988045</v>
      </c>
      <c r="AN1313" s="6" t="s">
        <v>13044</v>
      </c>
      <c r="AO1313" s="6" t="str">
        <f t="shared" si="628"/>
        <v>=5.186*100000000</v>
      </c>
      <c r="AP1313" s="1">
        <f>5.186*100000000</f>
        <v>518600000</v>
      </c>
      <c r="AQ1313" s="8">
        <f t="shared" si="645"/>
        <v>0.48638578389223275</v>
      </c>
      <c r="AR1313" s="6" t="s">
        <v>11860</v>
      </c>
      <c r="AS1313" s="6" t="str">
        <f t="shared" si="629"/>
        <v>=3.489*100000000</v>
      </c>
      <c r="AT1313" s="1">
        <f>3.489*100000000</f>
        <v>348900000</v>
      </c>
      <c r="AU1313" s="8">
        <f t="shared" si="646"/>
        <v>1.1005418422636966</v>
      </c>
      <c r="AV1313" s="6" t="s">
        <v>5214</v>
      </c>
      <c r="AW1313" s="6" t="str">
        <f t="shared" si="630"/>
        <v>=1.661*100000000</v>
      </c>
      <c r="AX1313" s="1">
        <f>1.661*100000000</f>
        <v>166100000</v>
      </c>
      <c r="AY1313" s="10">
        <f t="shared" si="647"/>
        <v>-0.75356083086053416</v>
      </c>
      <c r="AZ1313" s="6" t="s">
        <v>1028</v>
      </c>
      <c r="BA1313" s="6" t="str">
        <f t="shared" si="631"/>
        <v>=6.740*100000000</v>
      </c>
      <c r="BB1313" s="1">
        <f>6.74*100000000</f>
        <v>674000000</v>
      </c>
      <c r="BC1313" s="8">
        <f t="shared" si="648"/>
        <v>0.17339832869080779</v>
      </c>
      <c r="BD1313" s="6" t="s">
        <v>13045</v>
      </c>
      <c r="BE1313" s="6" t="str">
        <f t="shared" si="632"/>
        <v>=5.744*100000000</v>
      </c>
      <c r="BF1313" s="1">
        <f>5.744*100000000</f>
        <v>574400000</v>
      </c>
      <c r="BG1313" s="8">
        <f t="shared" si="649"/>
        <v>0.73797276853252647</v>
      </c>
      <c r="BH1313" s="6" t="s">
        <v>4380</v>
      </c>
      <c r="BI1313" s="6" t="str">
        <f t="shared" si="633"/>
        <v>=3.305*100000000</v>
      </c>
      <c r="BJ1313" s="1">
        <f>3.305*100000000</f>
        <v>330500000</v>
      </c>
      <c r="BK1313" s="6" t="s">
        <v>4827</v>
      </c>
      <c r="BL1313" s="1" t="str">
        <f t="shared" si="635"/>
        <v>=1.692*100000000</v>
      </c>
      <c r="BM1313" s="16">
        <f t="shared" si="650"/>
        <v>0.95330969267139476</v>
      </c>
      <c r="BN1313" s="1">
        <f>1.692*100000000</f>
        <v>169200000</v>
      </c>
    </row>
    <row r="1314" spans="1:66">
      <c r="A1314" s="17">
        <v>330</v>
      </c>
      <c r="B1314">
        <v>601208</v>
      </c>
      <c r="C1314" t="s">
        <v>31</v>
      </c>
      <c r="D1314" s="6" t="s">
        <v>5905</v>
      </c>
      <c r="E1314" s="7" t="str">
        <f t="shared" si="634"/>
        <v>=32.34*100000000</v>
      </c>
      <c r="F1314" s="1">
        <f>32.34*100000000</f>
        <v>3234000000.0000005</v>
      </c>
      <c r="G1314" s="8">
        <f t="shared" si="636"/>
        <v>0.3178484107579464</v>
      </c>
      <c r="H1314" s="6" t="s">
        <v>5660</v>
      </c>
      <c r="I1314" s="6" t="str">
        <f t="shared" si="620"/>
        <v>=24.54*100000000</v>
      </c>
      <c r="J1314" s="1">
        <f>24.54*100000000</f>
        <v>2454000000</v>
      </c>
      <c r="K1314" s="10">
        <f t="shared" si="637"/>
        <v>0.54436752674638134</v>
      </c>
      <c r="L1314" s="6" t="s">
        <v>4531</v>
      </c>
      <c r="M1314" s="6" t="str">
        <f t="shared" si="621"/>
        <v>=15.89*100000000</v>
      </c>
      <c r="N1314" s="1">
        <f>15.89*100000000</f>
        <v>1589000000</v>
      </c>
      <c r="O1314" s="8">
        <f t="shared" si="638"/>
        <v>1.1286001339584728</v>
      </c>
      <c r="P1314" s="6" t="s">
        <v>13046</v>
      </c>
      <c r="Q1314" s="6" t="str">
        <f t="shared" si="622"/>
        <v>=7.465*100000000</v>
      </c>
      <c r="R1314" s="11">
        <f>7.465*100000000</f>
        <v>746500000</v>
      </c>
      <c r="S1314" s="8">
        <f t="shared" si="639"/>
        <v>-0.60313662945241886</v>
      </c>
      <c r="T1314" s="6" t="s">
        <v>12227</v>
      </c>
      <c r="U1314" s="6" t="str">
        <f t="shared" si="623"/>
        <v>=18.81*100000000</v>
      </c>
      <c r="V1314" s="1">
        <f>18.81*100000000</f>
        <v>1880999999.9999998</v>
      </c>
      <c r="W1314" s="8">
        <f t="shared" si="640"/>
        <v>0.38004402054291986</v>
      </c>
      <c r="X1314" s="6" t="s">
        <v>7811</v>
      </c>
      <c r="Y1314" s="6" t="str">
        <f t="shared" si="624"/>
        <v>=13.63*100000000</v>
      </c>
      <c r="Z1314" s="1">
        <f>13.63*100000000</f>
        <v>1363000000</v>
      </c>
      <c r="AA1314" s="8">
        <f t="shared" si="641"/>
        <v>0.55789233055206311</v>
      </c>
      <c r="AB1314" s="6" t="s">
        <v>13047</v>
      </c>
      <c r="AC1314" s="6" t="str">
        <f t="shared" si="625"/>
        <v>=8.749*100000000</v>
      </c>
      <c r="AD1314" s="1">
        <f>8.749*100000000</f>
        <v>874900000</v>
      </c>
      <c r="AE1314" s="8">
        <f t="shared" si="642"/>
        <v>1.2290445859872612</v>
      </c>
      <c r="AF1314" s="6" t="s">
        <v>10818</v>
      </c>
      <c r="AG1314" s="6" t="str">
        <f t="shared" si="626"/>
        <v>=3.925*100000000</v>
      </c>
      <c r="AH1314" s="1">
        <f>3.925*100000000</f>
        <v>392500000</v>
      </c>
      <c r="AI1314" s="8">
        <f t="shared" si="643"/>
        <v>-0.77377521613832856</v>
      </c>
      <c r="AJ1314" s="6" t="s">
        <v>6749</v>
      </c>
      <c r="AK1314" s="6" t="str">
        <f t="shared" si="627"/>
        <v>=17.35*100000000</v>
      </c>
      <c r="AL1314" s="1">
        <f>17.35*100000000</f>
        <v>1735000000.0000002</v>
      </c>
      <c r="AM1314" s="8">
        <f t="shared" si="644"/>
        <v>0.34287925696594446</v>
      </c>
      <c r="AN1314" s="6" t="s">
        <v>3269</v>
      </c>
      <c r="AO1314" s="6" t="str">
        <f t="shared" si="628"/>
        <v>=12.92*100000000</v>
      </c>
      <c r="AP1314" s="1">
        <f>12.92*100000000</f>
        <v>1292000000</v>
      </c>
      <c r="AQ1314" s="8">
        <f t="shared" si="645"/>
        <v>0.54508490791676634</v>
      </c>
      <c r="AR1314" s="6" t="s">
        <v>1452</v>
      </c>
      <c r="AS1314" s="6" t="str">
        <f t="shared" si="629"/>
        <v>=8.362*100000000</v>
      </c>
      <c r="AT1314" s="1">
        <f>8.362*100000000</f>
        <v>836200000</v>
      </c>
      <c r="AU1314" s="8">
        <f t="shared" si="646"/>
        <v>1.1640786749482401</v>
      </c>
      <c r="AV1314" s="6" t="s">
        <v>13048</v>
      </c>
      <c r="AW1314" s="6" t="str">
        <f t="shared" si="630"/>
        <v>=3.864*100000000</v>
      </c>
      <c r="AX1314" s="1">
        <f>3.864*100000000</f>
        <v>386400000</v>
      </c>
      <c r="AY1314" s="10">
        <f t="shared" si="647"/>
        <v>-0.76510638297872335</v>
      </c>
      <c r="AZ1314" s="6" t="s">
        <v>8691</v>
      </c>
      <c r="BA1314" s="6" t="str">
        <f t="shared" si="631"/>
        <v>=16.45*100000000</v>
      </c>
      <c r="BB1314" s="1">
        <f>16.45*100000000</f>
        <v>1645000000</v>
      </c>
      <c r="BC1314" s="8">
        <f t="shared" si="648"/>
        <v>0.31494804156674661</v>
      </c>
      <c r="BD1314" s="6" t="s">
        <v>8131</v>
      </c>
      <c r="BE1314" s="6" t="str">
        <f t="shared" si="632"/>
        <v>=12.51*100000000</v>
      </c>
      <c r="BF1314" s="1">
        <f>12.51*100000000</f>
        <v>1251000000</v>
      </c>
      <c r="BG1314" s="8">
        <f t="shared" si="649"/>
        <v>0.54311089182188255</v>
      </c>
      <c r="BH1314" s="6" t="s">
        <v>12478</v>
      </c>
      <c r="BI1314" s="6" t="str">
        <f t="shared" si="633"/>
        <v>=8.107*100000000</v>
      </c>
      <c r="BJ1314" s="1">
        <f>8.107*100000000</f>
        <v>810699999.99999988</v>
      </c>
      <c r="BK1314" s="6" t="s">
        <v>2811</v>
      </c>
      <c r="BL1314" s="1" t="str">
        <f t="shared" si="635"/>
        <v>=3.931*100000000</v>
      </c>
      <c r="BM1314" s="16">
        <f t="shared" si="650"/>
        <v>1.0623251081149832</v>
      </c>
      <c r="BN1314" s="1">
        <f>3.931*100000000</f>
        <v>393100000</v>
      </c>
    </row>
    <row r="1315" spans="1:66">
      <c r="A1315" s="18"/>
      <c r="B1315">
        <v>601208</v>
      </c>
      <c r="C1315" t="s">
        <v>48</v>
      </c>
      <c r="D1315" s="6" t="s">
        <v>13049</v>
      </c>
      <c r="E1315" s="7" t="str">
        <f t="shared" si="634"/>
        <v>=3.854*100000000</v>
      </c>
      <c r="F1315" s="1">
        <f>3.854*100000000</f>
        <v>385400000</v>
      </c>
      <c r="G1315" s="8">
        <f t="shared" si="636"/>
        <v>0.24805699481865284</v>
      </c>
      <c r="H1315" s="6" t="s">
        <v>13050</v>
      </c>
      <c r="I1315" s="6" t="str">
        <f t="shared" si="620"/>
        <v>=3.088*100000000</v>
      </c>
      <c r="J1315" s="1">
        <f>3.088*100000000</f>
        <v>308800000</v>
      </c>
      <c r="K1315" s="10">
        <f t="shared" si="637"/>
        <v>0.49830179524502671</v>
      </c>
      <c r="L1315" s="6" t="s">
        <v>5487</v>
      </c>
      <c r="M1315" s="6" t="str">
        <f t="shared" si="621"/>
        <v>=2.061*100000000</v>
      </c>
      <c r="N1315" s="1">
        <f>2.061*100000000</f>
        <v>206100000</v>
      </c>
      <c r="O1315" s="8">
        <f t="shared" si="638"/>
        <v>1.0589410589410593</v>
      </c>
      <c r="P1315" s="6" t="s">
        <v>3882</v>
      </c>
      <c r="Q1315" s="6" t="str">
        <f t="shared" si="622"/>
        <v>=1.001*100000000</v>
      </c>
      <c r="R1315" s="11">
        <f>1.001*100000000</f>
        <v>100099999.99999999</v>
      </c>
      <c r="S1315" s="8">
        <f t="shared" si="639"/>
        <v>-0.50248508946322079</v>
      </c>
      <c r="T1315" s="6" t="s">
        <v>13051</v>
      </c>
      <c r="U1315" s="6" t="str">
        <f t="shared" si="623"/>
        <v>=2.012*100000000</v>
      </c>
      <c r="V1315" s="1">
        <f>2.012*100000000</f>
        <v>201200000</v>
      </c>
      <c r="W1315" s="8">
        <f t="shared" si="640"/>
        <v>0.47399267399267397</v>
      </c>
      <c r="X1315" s="6" t="s">
        <v>2187</v>
      </c>
      <c r="Y1315" s="6" t="str">
        <f t="shared" si="624"/>
        <v>=1.365*100000000</v>
      </c>
      <c r="Z1315" s="1">
        <f>1.365*100000000</f>
        <v>136500000</v>
      </c>
      <c r="AA1315" s="8">
        <f t="shared" si="641"/>
        <v>0.70539730134932532</v>
      </c>
      <c r="AB1315" s="7" t="s">
        <v>13052</v>
      </c>
      <c r="AC1315" s="6" t="str">
        <f t="shared" si="625"/>
        <v>=8004*10000</v>
      </c>
      <c r="AD1315" s="1">
        <f>8004*10000</f>
        <v>80040000</v>
      </c>
      <c r="AE1315" s="8">
        <f t="shared" si="642"/>
        <v>2.1083495145631068</v>
      </c>
      <c r="AF1315" s="7" t="s">
        <v>6716</v>
      </c>
      <c r="AG1315" s="6" t="str">
        <f t="shared" si="626"/>
        <v>=2575*10000</v>
      </c>
      <c r="AH1315" s="1">
        <f>2575*10000</f>
        <v>25750000</v>
      </c>
      <c r="AI1315" s="8">
        <f t="shared" si="643"/>
        <v>-0.67084238783075545</v>
      </c>
      <c r="AJ1315" s="7" t="s">
        <v>12036</v>
      </c>
      <c r="AK1315" s="6" t="str">
        <f t="shared" si="627"/>
        <v>=7823*10000</v>
      </c>
      <c r="AL1315" s="1">
        <f>7823*10000</f>
        <v>78230000</v>
      </c>
      <c r="AM1315" s="8">
        <f t="shared" si="644"/>
        <v>0.89878640776699026</v>
      </c>
      <c r="AN1315" s="7" t="s">
        <v>6584</v>
      </c>
      <c r="AO1315" s="6" t="str">
        <f t="shared" si="628"/>
        <v>=4120*10000</v>
      </c>
      <c r="AP1315" s="1">
        <f>4120*10000</f>
        <v>41200000</v>
      </c>
      <c r="AQ1315" s="8">
        <f t="shared" si="645"/>
        <v>0.45995747696669032</v>
      </c>
      <c r="AR1315" s="7" t="s">
        <v>13053</v>
      </c>
      <c r="AS1315" s="6" t="str">
        <f t="shared" si="629"/>
        <v>=2822*10000</v>
      </c>
      <c r="AT1315" s="1">
        <f>2822*10000</f>
        <v>28220000</v>
      </c>
      <c r="AU1315" s="8">
        <f t="shared" si="646"/>
        <v>12.267512929007992</v>
      </c>
      <c r="AV1315" s="7" t="s">
        <v>13054</v>
      </c>
      <c r="AW1315" s="6" t="str">
        <f t="shared" si="630"/>
        <v>=212.7*10000</v>
      </c>
      <c r="AX1315" s="1">
        <f>212.7*10000</f>
        <v>2127000</v>
      </c>
      <c r="AY1315" s="10">
        <f t="shared" si="647"/>
        <v>-0.94085094549499448</v>
      </c>
      <c r="AZ1315" s="7" t="s">
        <v>13055</v>
      </c>
      <c r="BA1315" s="6" t="str">
        <f t="shared" si="631"/>
        <v>=3596*10000</v>
      </c>
      <c r="BB1315" s="1">
        <f>3596*10000</f>
        <v>35960000</v>
      </c>
      <c r="BC1315" s="8">
        <f t="shared" si="648"/>
        <v>0.31384727804165147</v>
      </c>
      <c r="BD1315" s="7" t="s">
        <v>13056</v>
      </c>
      <c r="BE1315" s="6" t="str">
        <f t="shared" si="632"/>
        <v>=2737*10000</v>
      </c>
      <c r="BF1315" s="1">
        <f>2737*10000</f>
        <v>27370000</v>
      </c>
      <c r="BG1315" s="8">
        <f t="shared" si="649"/>
        <v>2.867457962413452</v>
      </c>
      <c r="BH1315" s="7" t="s">
        <v>13057</v>
      </c>
      <c r="BI1315" s="6" t="str">
        <f t="shared" si="633"/>
        <v>=707.7*10000</v>
      </c>
      <c r="BJ1315" s="1">
        <f>707.7*10000</f>
        <v>7077000</v>
      </c>
      <c r="BK1315" s="7" t="s">
        <v>13058</v>
      </c>
      <c r="BL1315" s="1" t="str">
        <f t="shared" si="635"/>
        <v>=693.0*10000</v>
      </c>
      <c r="BM1315" s="16">
        <f t="shared" si="650"/>
        <v>2.1212121212121213E-2</v>
      </c>
      <c r="BN1315" s="1">
        <f>693*10000</f>
        <v>6930000</v>
      </c>
    </row>
    <row r="1316" spans="1:66">
      <c r="A1316" s="18"/>
      <c r="B1316">
        <v>601208</v>
      </c>
      <c r="C1316" t="s">
        <v>58</v>
      </c>
      <c r="D1316" s="6" t="s">
        <v>13059</v>
      </c>
      <c r="E1316" s="7" t="str">
        <f t="shared" si="634"/>
        <v>=3.802*100000000</v>
      </c>
      <c r="F1316" s="1">
        <f>3.802*100000000</f>
        <v>380200000</v>
      </c>
      <c r="G1316" s="8">
        <f t="shared" si="636"/>
        <v>0.24086161879895562</v>
      </c>
      <c r="H1316" s="6" t="s">
        <v>9271</v>
      </c>
      <c r="I1316" s="6" t="str">
        <f t="shared" si="620"/>
        <v>=3.064*100000000</v>
      </c>
      <c r="J1316" s="1">
        <f>3.064*100000000</f>
        <v>306400000</v>
      </c>
      <c r="K1316" s="10">
        <f t="shared" si="637"/>
        <v>0.50196078431372548</v>
      </c>
      <c r="L1316" s="6" t="s">
        <v>13060</v>
      </c>
      <c r="M1316" s="6" t="str">
        <f t="shared" si="621"/>
        <v>=2.040*100000000</v>
      </c>
      <c r="N1316" s="1">
        <f>2.04*100000000</f>
        <v>204000000</v>
      </c>
      <c r="O1316" s="8">
        <f t="shared" si="638"/>
        <v>1.04</v>
      </c>
      <c r="P1316" s="6" t="s">
        <v>10420</v>
      </c>
      <c r="Q1316" s="6" t="str">
        <f t="shared" si="622"/>
        <v>=1.000*100000000</v>
      </c>
      <c r="R1316" s="11">
        <f>1*100000000</f>
        <v>100000000</v>
      </c>
      <c r="S1316" s="8">
        <f t="shared" si="639"/>
        <v>-0.49899799599198397</v>
      </c>
      <c r="T1316" s="6" t="s">
        <v>13061</v>
      </c>
      <c r="U1316" s="6" t="str">
        <f t="shared" si="623"/>
        <v>=1.996*100000000</v>
      </c>
      <c r="V1316" s="1">
        <f>1.996*100000000</f>
        <v>199600000</v>
      </c>
      <c r="W1316" s="8">
        <f t="shared" si="640"/>
        <v>0.46120058565153732</v>
      </c>
      <c r="X1316" s="6" t="s">
        <v>8280</v>
      </c>
      <c r="Y1316" s="6" t="str">
        <f t="shared" si="624"/>
        <v>=1.366*100000000</v>
      </c>
      <c r="Z1316" s="1">
        <f>1.366*100000000</f>
        <v>136600000</v>
      </c>
      <c r="AA1316" s="8">
        <f t="shared" si="641"/>
        <v>0.70260501059454072</v>
      </c>
      <c r="AB1316" s="7" t="s">
        <v>12029</v>
      </c>
      <c r="AC1316" s="6" t="str">
        <f t="shared" si="625"/>
        <v>=8023*10000</v>
      </c>
      <c r="AD1316" s="1">
        <f>8023*10000</f>
        <v>80230000</v>
      </c>
      <c r="AE1316" s="8">
        <f t="shared" si="642"/>
        <v>2.0447817836812145</v>
      </c>
      <c r="AF1316" s="7" t="s">
        <v>13062</v>
      </c>
      <c r="AG1316" s="6" t="str">
        <f t="shared" si="626"/>
        <v>=2635*10000</v>
      </c>
      <c r="AH1316" s="1">
        <f>2635*10000</f>
        <v>26350000</v>
      </c>
      <c r="AI1316" s="8">
        <f t="shared" si="643"/>
        <v>-0.65582549634273768</v>
      </c>
      <c r="AJ1316" s="7" t="s">
        <v>13063</v>
      </c>
      <c r="AK1316" s="6" t="str">
        <f t="shared" si="627"/>
        <v>=7656*10000</v>
      </c>
      <c r="AL1316" s="1">
        <f>7656*10000</f>
        <v>76560000</v>
      </c>
      <c r="AM1316" s="8">
        <f t="shared" si="644"/>
        <v>0.80651250589900891</v>
      </c>
      <c r="AN1316" s="7" t="s">
        <v>13064</v>
      </c>
      <c r="AO1316" s="6" t="str">
        <f t="shared" si="628"/>
        <v>=4238*10000</v>
      </c>
      <c r="AP1316" s="1">
        <f>4238*10000</f>
        <v>42380000</v>
      </c>
      <c r="AQ1316" s="8">
        <f t="shared" si="645"/>
        <v>0.52830869094843125</v>
      </c>
      <c r="AR1316" s="7" t="s">
        <v>9963</v>
      </c>
      <c r="AS1316" s="6" t="str">
        <f t="shared" si="629"/>
        <v>=2773*10000</v>
      </c>
      <c r="AT1316" s="1">
        <f>2773*10000</f>
        <v>27730000</v>
      </c>
      <c r="AU1316" s="8">
        <f t="shared" si="646"/>
        <v>15.169096209912537</v>
      </c>
      <c r="AV1316" s="7" t="s">
        <v>13065</v>
      </c>
      <c r="AW1316" s="6" t="str">
        <f t="shared" si="630"/>
        <v>=171.5*10000</v>
      </c>
      <c r="AX1316" s="1">
        <f>171.5*10000</f>
        <v>1715000</v>
      </c>
      <c r="AY1316" s="10">
        <f t="shared" si="647"/>
        <v>-0.94852941176470584</v>
      </c>
      <c r="AZ1316" s="7" t="s">
        <v>13066</v>
      </c>
      <c r="BA1316" s="6" t="str">
        <f t="shared" si="631"/>
        <v>=3332*10000</v>
      </c>
      <c r="BB1316" s="1">
        <f>3332*10000</f>
        <v>33320000</v>
      </c>
      <c r="BC1316" s="8">
        <f t="shared" si="648"/>
        <v>0.23774145616641901</v>
      </c>
      <c r="BD1316" s="7" t="s">
        <v>6647</v>
      </c>
      <c r="BE1316" s="6" t="str">
        <f t="shared" si="632"/>
        <v>=2692*10000</v>
      </c>
      <c r="BF1316" s="1">
        <f>2692*10000</f>
        <v>26920000</v>
      </c>
      <c r="BG1316" s="8">
        <f t="shared" si="649"/>
        <v>2.8114115814809573</v>
      </c>
      <c r="BH1316" s="7" t="s">
        <v>13067</v>
      </c>
      <c r="BI1316" s="6" t="str">
        <f t="shared" si="633"/>
        <v>=706.3*10000</v>
      </c>
      <c r="BJ1316" s="1">
        <f>706.3*10000</f>
        <v>7063000</v>
      </c>
      <c r="BK1316" s="7" t="s">
        <v>13068</v>
      </c>
      <c r="BL1316" s="1" t="str">
        <f t="shared" si="635"/>
        <v>=733.4*10000</v>
      </c>
      <c r="BM1316" s="16">
        <f t="shared" si="650"/>
        <v>-3.6951186255794931E-2</v>
      </c>
      <c r="BN1316" s="1">
        <f>733.4*10000</f>
        <v>7334000</v>
      </c>
    </row>
    <row r="1317" spans="1:66">
      <c r="A1317" s="19"/>
      <c r="B1317">
        <v>601208</v>
      </c>
      <c r="C1317" t="s">
        <v>68</v>
      </c>
      <c r="D1317" s="6" t="s">
        <v>6325</v>
      </c>
      <c r="E1317" s="7" t="str">
        <f t="shared" si="634"/>
        <v>=3.437*100000000</v>
      </c>
      <c r="F1317" s="1">
        <f>3.437*100000000</f>
        <v>343700000</v>
      </c>
      <c r="G1317" s="8">
        <f t="shared" si="636"/>
        <v>0.25300765585125773</v>
      </c>
      <c r="H1317" s="6" t="s">
        <v>3899</v>
      </c>
      <c r="I1317" s="6" t="str">
        <f t="shared" si="620"/>
        <v>=2.743*100000000</v>
      </c>
      <c r="J1317" s="1">
        <f>2.743*100000000</f>
        <v>274300000</v>
      </c>
      <c r="K1317" s="10">
        <f t="shared" si="637"/>
        <v>0.51882613510520492</v>
      </c>
      <c r="L1317" s="6" t="s">
        <v>1950</v>
      </c>
      <c r="M1317" s="6" t="str">
        <f t="shared" si="621"/>
        <v>=1.806*100000000</v>
      </c>
      <c r="N1317" s="1">
        <f>1.806*100000000</f>
        <v>180600000</v>
      </c>
      <c r="O1317" s="8">
        <f t="shared" si="638"/>
        <v>1.1179781869356162</v>
      </c>
      <c r="P1317" s="7" t="s">
        <v>13069</v>
      </c>
      <c r="Q1317" s="6" t="str">
        <f t="shared" si="622"/>
        <v>=8527*10000</v>
      </c>
      <c r="R1317" s="11">
        <f>8527*10000</f>
        <v>85270000</v>
      </c>
      <c r="S1317" s="8">
        <f t="shared" si="639"/>
        <v>-0.51578648495173196</v>
      </c>
      <c r="T1317" s="6" t="s">
        <v>5194</v>
      </c>
      <c r="U1317" s="6" t="str">
        <f t="shared" si="623"/>
        <v>=1.761*100000000</v>
      </c>
      <c r="V1317" s="1">
        <f>1.761*100000000</f>
        <v>176100000</v>
      </c>
      <c r="W1317" s="8">
        <f t="shared" si="640"/>
        <v>0.39209486166007923</v>
      </c>
      <c r="X1317" s="6" t="s">
        <v>2052</v>
      </c>
      <c r="Y1317" s="6" t="str">
        <f t="shared" si="624"/>
        <v>=1.265*100000000</v>
      </c>
      <c r="Z1317" s="1">
        <f>1.265*100000000</f>
        <v>126499999.99999999</v>
      </c>
      <c r="AA1317" s="8">
        <f t="shared" si="641"/>
        <v>0.73644474948524341</v>
      </c>
      <c r="AB1317" s="7" t="s">
        <v>13070</v>
      </c>
      <c r="AC1317" s="6" t="str">
        <f t="shared" si="625"/>
        <v>=7285*10000</v>
      </c>
      <c r="AD1317" s="1">
        <f>7285*10000</f>
        <v>72850000</v>
      </c>
      <c r="AE1317" s="8">
        <f t="shared" si="642"/>
        <v>2.0215678141849853</v>
      </c>
      <c r="AF1317" s="7" t="s">
        <v>8435</v>
      </c>
      <c r="AG1317" s="6" t="str">
        <f t="shared" si="626"/>
        <v>=2411*10000</v>
      </c>
      <c r="AH1317" s="1">
        <f>2411*10000</f>
        <v>24110000</v>
      </c>
      <c r="AI1317" s="8">
        <f t="shared" si="643"/>
        <v>-0.66481301265118864</v>
      </c>
      <c r="AJ1317" s="7" t="s">
        <v>13071</v>
      </c>
      <c r="AK1317" s="6" t="str">
        <f t="shared" si="627"/>
        <v>=7193*10000</v>
      </c>
      <c r="AL1317" s="1">
        <f>7193*10000</f>
        <v>71930000</v>
      </c>
      <c r="AM1317" s="8">
        <f t="shared" si="644"/>
        <v>0.78530652767436093</v>
      </c>
      <c r="AN1317" s="7" t="s">
        <v>11756</v>
      </c>
      <c r="AO1317" s="6" t="str">
        <f t="shared" si="628"/>
        <v>=4029*10000</v>
      </c>
      <c r="AP1317" s="1">
        <f>4029*10000</f>
        <v>40290000</v>
      </c>
      <c r="AQ1317" s="8">
        <f t="shared" si="645"/>
        <v>0.48836350203176948</v>
      </c>
      <c r="AR1317" s="7" t="s">
        <v>13072</v>
      </c>
      <c r="AS1317" s="6" t="str">
        <f t="shared" si="629"/>
        <v>=2707*10000</v>
      </c>
      <c r="AT1317" s="1">
        <f>2707*10000</f>
        <v>27070000</v>
      </c>
      <c r="AU1317" s="8">
        <f t="shared" si="646"/>
        <v>10.076104746317512</v>
      </c>
      <c r="AV1317" s="7" t="s">
        <v>13073</v>
      </c>
      <c r="AW1317" s="6" t="str">
        <f t="shared" si="630"/>
        <v>=244.4*10000</v>
      </c>
      <c r="AX1317" s="1">
        <f>244.4*10000</f>
        <v>2444000</v>
      </c>
      <c r="AY1317" s="10">
        <f t="shared" si="647"/>
        <v>-0.92532844485181787</v>
      </c>
      <c r="AZ1317" s="7" t="s">
        <v>13074</v>
      </c>
      <c r="BA1317" s="6" t="str">
        <f t="shared" si="631"/>
        <v>=3273*10000</v>
      </c>
      <c r="BB1317" s="1">
        <f>3273*10000</f>
        <v>32730000</v>
      </c>
      <c r="BC1317" s="8">
        <f t="shared" si="648"/>
        <v>0.15858407079646017</v>
      </c>
      <c r="BD1317" s="7" t="s">
        <v>9760</v>
      </c>
      <c r="BE1317" s="6" t="str">
        <f t="shared" si="632"/>
        <v>=2825*10000</v>
      </c>
      <c r="BF1317" s="1">
        <f>2825*10000</f>
        <v>28250000</v>
      </c>
      <c r="BG1317" s="8">
        <f t="shared" si="649"/>
        <v>2.0091606305922456</v>
      </c>
      <c r="BH1317" s="7" t="s">
        <v>13075</v>
      </c>
      <c r="BI1317" s="6" t="str">
        <f t="shared" si="633"/>
        <v>=938.8*10000</v>
      </c>
      <c r="BJ1317" s="1">
        <f>938.8*10000</f>
        <v>9388000</v>
      </c>
      <c r="BK1317" s="7" t="s">
        <v>13076</v>
      </c>
      <c r="BL1317" s="1" t="str">
        <f t="shared" si="635"/>
        <v>=662.9*10000</v>
      </c>
      <c r="BM1317" s="16">
        <f t="shared" si="650"/>
        <v>0.41620153869361892</v>
      </c>
      <c r="BN1317" s="1">
        <f>662.9*10000</f>
        <v>6629000</v>
      </c>
    </row>
    <row r="1318" spans="1:66">
      <c r="A1318" s="17">
        <v>331</v>
      </c>
      <c r="B1318">
        <v>601211</v>
      </c>
      <c r="C1318" t="s">
        <v>31</v>
      </c>
      <c r="D1318" s="6" t="s">
        <v>13077</v>
      </c>
      <c r="E1318" s="7" t="str">
        <f t="shared" si="634"/>
        <v>=428.2*100000000</v>
      </c>
      <c r="F1318" s="1">
        <f>428.2*100000000</f>
        <v>42820000000</v>
      </c>
      <c r="G1318" s="8">
        <f t="shared" si="636"/>
        <v>0.34189909119398293</v>
      </c>
      <c r="H1318" s="6" t="s">
        <v>13078</v>
      </c>
      <c r="I1318" s="6" t="str">
        <f t="shared" si="620"/>
        <v>=319.1*100000000</v>
      </c>
      <c r="J1318" s="1">
        <f>319.1*100000000</f>
        <v>31910000000.000004</v>
      </c>
      <c r="K1318" s="10">
        <f t="shared" si="637"/>
        <v>0.45574817518248195</v>
      </c>
      <c r="L1318" s="6" t="s">
        <v>7943</v>
      </c>
      <c r="M1318" s="6" t="str">
        <f t="shared" si="621"/>
        <v>=219.2*100000000</v>
      </c>
      <c r="N1318" s="1">
        <f>219.2*100000000</f>
        <v>21920000000</v>
      </c>
      <c r="O1318" s="8">
        <f t="shared" si="638"/>
        <v>1.0036563071297988</v>
      </c>
      <c r="P1318" s="6" t="s">
        <v>2616</v>
      </c>
      <c r="Q1318" s="6" t="str">
        <f t="shared" si="622"/>
        <v>=109.4*100000000</v>
      </c>
      <c r="R1318" s="11">
        <f>109.4*100000000</f>
        <v>10940000000</v>
      </c>
      <c r="S1318" s="8">
        <f t="shared" si="639"/>
        <v>-0.68920454545454546</v>
      </c>
      <c r="T1318" s="6" t="s">
        <v>13079</v>
      </c>
      <c r="U1318" s="6" t="str">
        <f t="shared" si="623"/>
        <v>=352.0*100000000</v>
      </c>
      <c r="V1318" s="1">
        <f>352*100000000</f>
        <v>35200000000</v>
      </c>
      <c r="W1318" s="8">
        <f t="shared" si="640"/>
        <v>0.36752136752136771</v>
      </c>
      <c r="X1318" s="6" t="s">
        <v>13080</v>
      </c>
      <c r="Y1318" s="6" t="str">
        <f t="shared" si="624"/>
        <v>=257.4*100000000</v>
      </c>
      <c r="Z1318" s="1">
        <f>257.4*100000000</f>
        <v>25739999999.999996</v>
      </c>
      <c r="AA1318" s="8">
        <f t="shared" si="641"/>
        <v>0.62808349146110032</v>
      </c>
      <c r="AB1318" s="6" t="s">
        <v>3227</v>
      </c>
      <c r="AC1318" s="6" t="str">
        <f t="shared" si="625"/>
        <v>=158.1*100000000</v>
      </c>
      <c r="AD1318" s="1">
        <f>158.1*100000000</f>
        <v>15810000000</v>
      </c>
      <c r="AE1318" s="8">
        <f t="shared" si="642"/>
        <v>1.5728234336859235</v>
      </c>
      <c r="AF1318" s="6" t="s">
        <v>13081</v>
      </c>
      <c r="AG1318" s="6" t="str">
        <f t="shared" si="626"/>
        <v>=61.45*100000000</v>
      </c>
      <c r="AH1318" s="1">
        <f>61.45*100000000</f>
        <v>6145000000</v>
      </c>
      <c r="AI1318" s="8">
        <f t="shared" si="643"/>
        <v>-0.79482470784641068</v>
      </c>
      <c r="AJ1318" s="6" t="s">
        <v>13082</v>
      </c>
      <c r="AK1318" s="6" t="str">
        <f t="shared" si="627"/>
        <v>=299.5*100000000</v>
      </c>
      <c r="AL1318" s="1">
        <f>299.5*100000000</f>
        <v>29950000000</v>
      </c>
      <c r="AM1318" s="8">
        <f t="shared" si="644"/>
        <v>0.45458960660514813</v>
      </c>
      <c r="AN1318" s="6" t="s">
        <v>12000</v>
      </c>
      <c r="AO1318" s="6" t="str">
        <f t="shared" si="628"/>
        <v>=205.9*100000000</v>
      </c>
      <c r="AP1318" s="1">
        <f>205.9*100000000</f>
        <v>20590000000</v>
      </c>
      <c r="AQ1318" s="8">
        <f t="shared" si="645"/>
        <v>0.46132008516678497</v>
      </c>
      <c r="AR1318" s="6" t="s">
        <v>7412</v>
      </c>
      <c r="AS1318" s="6" t="str">
        <f t="shared" si="629"/>
        <v>=140.9*100000000</v>
      </c>
      <c r="AT1318" s="1">
        <f>140.9*100000000</f>
        <v>14090000000</v>
      </c>
      <c r="AU1318" s="8">
        <f t="shared" si="646"/>
        <v>1.104555638536221</v>
      </c>
      <c r="AV1318" s="6" t="s">
        <v>13083</v>
      </c>
      <c r="AW1318" s="6" t="str">
        <f t="shared" si="630"/>
        <v>=66.95*100000000</v>
      </c>
      <c r="AX1318" s="1">
        <f>66.95*100000000</f>
        <v>6695000000</v>
      </c>
      <c r="AY1318" s="10">
        <f t="shared" si="647"/>
        <v>-0.70532570422535212</v>
      </c>
      <c r="AZ1318" s="6" t="s">
        <v>7221</v>
      </c>
      <c r="BA1318" s="6" t="str">
        <f t="shared" si="631"/>
        <v>=227.2*100000000</v>
      </c>
      <c r="BB1318" s="1">
        <f>227.2*100000000</f>
        <v>22720000000</v>
      </c>
      <c r="BC1318" s="8">
        <f t="shared" si="648"/>
        <v>0.35318642048838594</v>
      </c>
      <c r="BD1318" s="6" t="s">
        <v>13084</v>
      </c>
      <c r="BE1318" s="6" t="str">
        <f t="shared" si="632"/>
        <v>=167.9*100000000</v>
      </c>
      <c r="BF1318" s="1">
        <f>167.9*100000000</f>
        <v>16790000000</v>
      </c>
      <c r="BG1318" s="8">
        <f t="shared" si="649"/>
        <v>0.46509598603839442</v>
      </c>
      <c r="BH1318" s="6" t="s">
        <v>13085</v>
      </c>
      <c r="BI1318" s="6" t="str">
        <f t="shared" si="633"/>
        <v>=114.6*100000000</v>
      </c>
      <c r="BJ1318" s="1">
        <f>114.6*100000000</f>
        <v>11460000000</v>
      </c>
      <c r="BK1318" s="6" t="s">
        <v>13086</v>
      </c>
      <c r="BL1318" s="1" t="str">
        <f t="shared" si="635"/>
        <v>=62.45*100000000</v>
      </c>
      <c r="BM1318" s="16">
        <f t="shared" si="650"/>
        <v>0.83506805444355481</v>
      </c>
      <c r="BN1318" s="1">
        <f>62.45*100000000</f>
        <v>6245000000</v>
      </c>
    </row>
    <row r="1319" spans="1:66">
      <c r="A1319" s="18"/>
      <c r="B1319">
        <v>601211</v>
      </c>
      <c r="C1319" t="s">
        <v>48</v>
      </c>
      <c r="D1319" s="6" t="s">
        <v>7989</v>
      </c>
      <c r="E1319" s="7" t="str">
        <f t="shared" si="634"/>
        <v>=192.8*100000000</v>
      </c>
      <c r="F1319" s="1">
        <f>192.8*100000000</f>
        <v>19280000000</v>
      </c>
      <c r="G1319" s="8">
        <f t="shared" si="636"/>
        <v>0.29135967849966493</v>
      </c>
      <c r="H1319" s="6" t="s">
        <v>13087</v>
      </c>
      <c r="I1319" s="6" t="str">
        <f t="shared" si="620"/>
        <v>=149.3*100000000</v>
      </c>
      <c r="J1319" s="1">
        <f>149.3*100000000</f>
        <v>14930000000.000002</v>
      </c>
      <c r="K1319" s="10">
        <f t="shared" si="637"/>
        <v>0.45658536585365872</v>
      </c>
      <c r="L1319" s="6" t="s">
        <v>13088</v>
      </c>
      <c r="M1319" s="6" t="str">
        <f t="shared" si="621"/>
        <v>=102.5*100000000</v>
      </c>
      <c r="N1319" s="1">
        <f>102.5*100000000</f>
        <v>10250000000</v>
      </c>
      <c r="O1319" s="8">
        <f t="shared" si="638"/>
        <v>0.86228197674418605</v>
      </c>
      <c r="P1319" s="6" t="s">
        <v>13089</v>
      </c>
      <c r="Q1319" s="6" t="str">
        <f t="shared" si="622"/>
        <v>=55.04*100000000</v>
      </c>
      <c r="R1319" s="11">
        <f>55.04*100000000</f>
        <v>5504000000</v>
      </c>
      <c r="S1319" s="8">
        <f t="shared" si="639"/>
        <v>-0.63183946488294318</v>
      </c>
      <c r="T1319" s="6" t="s">
        <v>13090</v>
      </c>
      <c r="U1319" s="6" t="str">
        <f t="shared" si="623"/>
        <v>=149.5*100000000</v>
      </c>
      <c r="V1319" s="1">
        <f>149.5*100000000</f>
        <v>14950000000</v>
      </c>
      <c r="W1319" s="8">
        <f t="shared" si="640"/>
        <v>0.22641509433962265</v>
      </c>
      <c r="X1319" s="6" t="s">
        <v>1011</v>
      </c>
      <c r="Y1319" s="6" t="str">
        <f t="shared" si="624"/>
        <v>=121.9*100000000</v>
      </c>
      <c r="Z1319" s="1">
        <f>121.9*100000000</f>
        <v>12190000000</v>
      </c>
      <c r="AA1319" s="8">
        <f t="shared" si="641"/>
        <v>0.64463032919589858</v>
      </c>
      <c r="AB1319" s="6" t="s">
        <v>13091</v>
      </c>
      <c r="AC1319" s="6" t="str">
        <f t="shared" si="625"/>
        <v>=74.12*100000000</v>
      </c>
      <c r="AD1319" s="1">
        <f>74.12*100000000</f>
        <v>7412000000</v>
      </c>
      <c r="AE1319" s="8">
        <f t="shared" si="642"/>
        <v>1.9875050382910118</v>
      </c>
      <c r="AF1319" s="6" t="s">
        <v>13092</v>
      </c>
      <c r="AG1319" s="6" t="str">
        <f t="shared" si="626"/>
        <v>=24.81*100000000</v>
      </c>
      <c r="AH1319" s="1">
        <f>24.81*100000000</f>
        <v>2481000000</v>
      </c>
      <c r="AI1319" s="8">
        <f t="shared" si="643"/>
        <v>-0.78350785340314133</v>
      </c>
      <c r="AJ1319" s="6" t="s">
        <v>13085</v>
      </c>
      <c r="AK1319" s="6" t="str">
        <f t="shared" si="627"/>
        <v>=114.6*100000000</v>
      </c>
      <c r="AL1319" s="1">
        <f>114.6*100000000</f>
        <v>11460000000</v>
      </c>
      <c r="AM1319" s="8">
        <f t="shared" si="644"/>
        <v>0.28590664272890487</v>
      </c>
      <c r="AN1319" s="6" t="s">
        <v>10717</v>
      </c>
      <c r="AO1319" s="6" t="str">
        <f t="shared" si="628"/>
        <v>=89.12*100000000</v>
      </c>
      <c r="AP1319" s="1">
        <f>89.12*100000000</f>
        <v>8912000000</v>
      </c>
      <c r="AQ1319" s="8">
        <f t="shared" si="645"/>
        <v>0.29365655392654955</v>
      </c>
      <c r="AR1319" s="6" t="s">
        <v>13093</v>
      </c>
      <c r="AS1319" s="6" t="str">
        <f t="shared" si="629"/>
        <v>=68.89*100000000</v>
      </c>
      <c r="AT1319" s="1">
        <f>68.89*100000000</f>
        <v>6889000000</v>
      </c>
      <c r="AU1319" s="8">
        <f t="shared" si="646"/>
        <v>0.64848049772672889</v>
      </c>
      <c r="AV1319" s="6" t="s">
        <v>12887</v>
      </c>
      <c r="AW1319" s="6" t="str">
        <f t="shared" si="630"/>
        <v>=41.79*100000000</v>
      </c>
      <c r="AX1319" s="1">
        <f>41.79*100000000</f>
        <v>4179000000</v>
      </c>
      <c r="AY1319" s="10">
        <f t="shared" si="647"/>
        <v>-0.55006459948320419</v>
      </c>
      <c r="AZ1319" s="6" t="s">
        <v>627</v>
      </c>
      <c r="BA1319" s="6" t="str">
        <f t="shared" si="631"/>
        <v>=92.88*100000000</v>
      </c>
      <c r="BB1319" s="1">
        <f>92.88*100000000</f>
        <v>9288000000</v>
      </c>
      <c r="BC1319" s="8">
        <f t="shared" si="648"/>
        <v>0.26212800652262536</v>
      </c>
      <c r="BD1319" s="6" t="s">
        <v>1787</v>
      </c>
      <c r="BE1319" s="6" t="str">
        <f t="shared" si="632"/>
        <v>=73.59*100000000</v>
      </c>
      <c r="BF1319" s="1">
        <f>73.59*100000000</f>
        <v>7359000000</v>
      </c>
      <c r="BG1319" s="8">
        <f t="shared" si="649"/>
        <v>0.35325487311511583</v>
      </c>
      <c r="BH1319" s="6" t="s">
        <v>13094</v>
      </c>
      <c r="BI1319" s="6" t="str">
        <f t="shared" si="633"/>
        <v>=54.38*100000000</v>
      </c>
      <c r="BJ1319" s="1">
        <f>54.38*100000000</f>
        <v>5438000000</v>
      </c>
      <c r="BK1319" s="6" t="s">
        <v>5166</v>
      </c>
      <c r="BL1319" s="1" t="str">
        <f t="shared" si="635"/>
        <v>=31.56*100000000</v>
      </c>
      <c r="BM1319" s="16">
        <f t="shared" si="650"/>
        <v>0.72306717363751583</v>
      </c>
      <c r="BN1319" s="1">
        <f>31.56*100000000</f>
        <v>3156000000</v>
      </c>
    </row>
    <row r="1320" spans="1:66">
      <c r="A1320" s="18"/>
      <c r="B1320">
        <v>601211</v>
      </c>
      <c r="C1320" t="s">
        <v>58</v>
      </c>
      <c r="D1320" s="6" t="s">
        <v>13095</v>
      </c>
      <c r="E1320" s="7" t="str">
        <f t="shared" si="634"/>
        <v>=191.1*100000000</v>
      </c>
      <c r="F1320" s="1">
        <f>191.1*100000000</f>
        <v>19110000000</v>
      </c>
      <c r="G1320" s="8">
        <f t="shared" si="636"/>
        <v>0.28341168569509739</v>
      </c>
      <c r="H1320" s="6" t="s">
        <v>13096</v>
      </c>
      <c r="I1320" s="6" t="str">
        <f t="shared" si="620"/>
        <v>=148.9*100000000</v>
      </c>
      <c r="J1320" s="1">
        <f>148.9*100000000</f>
        <v>14890000000</v>
      </c>
      <c r="K1320" s="10">
        <f t="shared" si="637"/>
        <v>0.4583741429970617</v>
      </c>
      <c r="L1320" s="6" t="s">
        <v>2620</v>
      </c>
      <c r="M1320" s="6" t="str">
        <f t="shared" si="621"/>
        <v>=102.1*100000000</v>
      </c>
      <c r="N1320" s="1">
        <f>102.1*100000000</f>
        <v>10210000000</v>
      </c>
      <c r="O1320" s="8">
        <f t="shared" si="638"/>
        <v>0.84262768453347769</v>
      </c>
      <c r="P1320" s="6" t="s">
        <v>12491</v>
      </c>
      <c r="Q1320" s="6" t="str">
        <f t="shared" si="622"/>
        <v>=55.41*100000000</v>
      </c>
      <c r="R1320" s="11">
        <f>55.41*100000000</f>
        <v>5541000000</v>
      </c>
      <c r="S1320" s="8">
        <f t="shared" si="639"/>
        <v>-0.62737054472091458</v>
      </c>
      <c r="T1320" s="6" t="s">
        <v>13097</v>
      </c>
      <c r="U1320" s="6" t="str">
        <f t="shared" si="623"/>
        <v>=148.7*100000000</v>
      </c>
      <c r="V1320" s="1">
        <f>148.7*100000000</f>
        <v>14869999999.999998</v>
      </c>
      <c r="W1320" s="8">
        <f t="shared" si="640"/>
        <v>0.22588623248145079</v>
      </c>
      <c r="X1320" s="6" t="s">
        <v>12555</v>
      </c>
      <c r="Y1320" s="6" t="str">
        <f t="shared" si="624"/>
        <v>=121.3*100000000</v>
      </c>
      <c r="Z1320" s="1">
        <f>121.3*100000000</f>
        <v>12130000000</v>
      </c>
      <c r="AA1320" s="8">
        <f t="shared" si="641"/>
        <v>0.64921821889870834</v>
      </c>
      <c r="AB1320" s="6" t="s">
        <v>13098</v>
      </c>
      <c r="AC1320" s="6" t="str">
        <f t="shared" si="625"/>
        <v>=73.55*100000000</v>
      </c>
      <c r="AD1320" s="1">
        <f>73.55*100000000</f>
        <v>7355000000</v>
      </c>
      <c r="AE1320" s="8">
        <f t="shared" si="642"/>
        <v>1.9645304312777105</v>
      </c>
      <c r="AF1320" s="6" t="s">
        <v>13092</v>
      </c>
      <c r="AG1320" s="6" t="str">
        <f t="shared" si="626"/>
        <v>=24.81*100000000</v>
      </c>
      <c r="AH1320" s="1">
        <f>24.81*100000000</f>
        <v>2481000000</v>
      </c>
      <c r="AI1320" s="8">
        <f t="shared" si="643"/>
        <v>-0.7831293706293706</v>
      </c>
      <c r="AJ1320" s="6" t="s">
        <v>13099</v>
      </c>
      <c r="AK1320" s="6" t="str">
        <f t="shared" si="627"/>
        <v>=114.4*100000000</v>
      </c>
      <c r="AL1320" s="1">
        <f>114.4*100000000</f>
        <v>11440000000</v>
      </c>
      <c r="AM1320" s="8">
        <f t="shared" si="644"/>
        <v>0.2839506172839506</v>
      </c>
      <c r="AN1320" s="6" t="s">
        <v>540</v>
      </c>
      <c r="AO1320" s="6" t="str">
        <f t="shared" si="628"/>
        <v>=89.10*100000000</v>
      </c>
      <c r="AP1320" s="1">
        <f>89.1*100000000</f>
        <v>8910000000</v>
      </c>
      <c r="AQ1320" s="8">
        <f t="shared" si="645"/>
        <v>0.29750982961992134</v>
      </c>
      <c r="AR1320" s="6" t="s">
        <v>13100</v>
      </c>
      <c r="AS1320" s="6" t="str">
        <f t="shared" si="629"/>
        <v>=68.67*100000000</v>
      </c>
      <c r="AT1320" s="1">
        <f>68.67*100000000</f>
        <v>6867000000</v>
      </c>
      <c r="AU1320" s="8">
        <f t="shared" si="646"/>
        <v>0.64164475256992592</v>
      </c>
      <c r="AV1320" s="6" t="s">
        <v>13101</v>
      </c>
      <c r="AW1320" s="6" t="str">
        <f t="shared" si="630"/>
        <v>=41.83*100000000</v>
      </c>
      <c r="AX1320" s="1">
        <f>41.83*100000000</f>
        <v>4183000000</v>
      </c>
      <c r="AY1320" s="10">
        <f t="shared" si="647"/>
        <v>-0.54866206301251619</v>
      </c>
      <c r="AZ1320" s="6" t="s">
        <v>13102</v>
      </c>
      <c r="BA1320" s="6" t="str">
        <f t="shared" si="631"/>
        <v>=92.68*100000000</v>
      </c>
      <c r="BB1320" s="1">
        <f>92.68*100000000</f>
        <v>9268000000</v>
      </c>
      <c r="BC1320" s="8">
        <f t="shared" si="648"/>
        <v>0.25599674752676499</v>
      </c>
      <c r="BD1320" s="6" t="s">
        <v>13103</v>
      </c>
      <c r="BE1320" s="6" t="str">
        <f t="shared" si="632"/>
        <v>=73.79*100000000</v>
      </c>
      <c r="BF1320" s="1">
        <f>73.79*100000000</f>
        <v>7379000000.000001</v>
      </c>
      <c r="BG1320" s="8">
        <f t="shared" si="649"/>
        <v>0.35072304594545139</v>
      </c>
      <c r="BH1320" s="6" t="s">
        <v>11753</v>
      </c>
      <c r="BI1320" s="6" t="str">
        <f t="shared" si="633"/>
        <v>=54.63*100000000</v>
      </c>
      <c r="BJ1320" s="1">
        <f>54.63*100000000</f>
        <v>5463000000</v>
      </c>
      <c r="BK1320" s="6" t="s">
        <v>5089</v>
      </c>
      <c r="BL1320" s="1" t="str">
        <f t="shared" si="635"/>
        <v>=32.15*100000000</v>
      </c>
      <c r="BM1320" s="16">
        <f t="shared" si="650"/>
        <v>0.69922239502332817</v>
      </c>
      <c r="BN1320" s="1">
        <f>32.15*100000000</f>
        <v>3215000000</v>
      </c>
    </row>
    <row r="1321" spans="1:66">
      <c r="A1321" s="19"/>
      <c r="B1321">
        <v>601211</v>
      </c>
      <c r="C1321" t="s">
        <v>68</v>
      </c>
      <c r="D1321" s="6" t="s">
        <v>13104</v>
      </c>
      <c r="E1321" s="7" t="str">
        <f t="shared" si="634"/>
        <v>=153.0*100000000</v>
      </c>
      <c r="F1321" s="1">
        <f>153*100000000</f>
        <v>15300000000</v>
      </c>
      <c r="G1321" s="8">
        <f t="shared" si="636"/>
        <v>0.28140703517587939</v>
      </c>
      <c r="H1321" s="6" t="s">
        <v>13105</v>
      </c>
      <c r="I1321" s="6" t="str">
        <f t="shared" si="620"/>
        <v>=119.4*100000000</v>
      </c>
      <c r="J1321" s="1">
        <f>119.4*100000000</f>
        <v>11940000000</v>
      </c>
      <c r="K1321" s="10">
        <f t="shared" si="637"/>
        <v>0.44797477564879956</v>
      </c>
      <c r="L1321" s="6" t="s">
        <v>13106</v>
      </c>
      <c r="M1321" s="6" t="str">
        <f t="shared" si="621"/>
        <v>=82.46*100000000</v>
      </c>
      <c r="N1321" s="1">
        <f>82.46*100000000</f>
        <v>8245999999.999999</v>
      </c>
      <c r="O1321" s="8">
        <f t="shared" si="638"/>
        <v>0.79768912143012838</v>
      </c>
      <c r="P1321" s="6" t="s">
        <v>13107</v>
      </c>
      <c r="Q1321" s="6" t="str">
        <f t="shared" si="622"/>
        <v>=45.87*100000000</v>
      </c>
      <c r="R1321" s="11">
        <f>45.87*100000000</f>
        <v>4587000000</v>
      </c>
      <c r="S1321" s="8">
        <f t="shared" si="639"/>
        <v>-0.60928449744463375</v>
      </c>
      <c r="T1321" s="6" t="s">
        <v>13108</v>
      </c>
      <c r="U1321" s="6" t="str">
        <f t="shared" si="623"/>
        <v>=117.4*100000000</v>
      </c>
      <c r="V1321" s="1">
        <f>117.4*100000000</f>
        <v>11740000000</v>
      </c>
      <c r="W1321" s="8">
        <f t="shared" si="640"/>
        <v>0.23970432946145723</v>
      </c>
      <c r="X1321" s="6" t="s">
        <v>3109</v>
      </c>
      <c r="Y1321" s="6" t="str">
        <f t="shared" si="624"/>
        <v>=94.70*100000000</v>
      </c>
      <c r="Z1321" s="1">
        <f>94.7*100000000</f>
        <v>9470000000</v>
      </c>
      <c r="AA1321" s="8">
        <f t="shared" si="641"/>
        <v>0.65212840195394273</v>
      </c>
      <c r="AB1321" s="6" t="s">
        <v>13109</v>
      </c>
      <c r="AC1321" s="6" t="str">
        <f t="shared" si="625"/>
        <v>=57.32*100000000</v>
      </c>
      <c r="AD1321" s="1">
        <f>57.32*100000000</f>
        <v>5732000000</v>
      </c>
      <c r="AE1321" s="8">
        <f t="shared" si="642"/>
        <v>2.1477210323997804</v>
      </c>
      <c r="AF1321" s="6" t="s">
        <v>13110</v>
      </c>
      <c r="AG1321" s="6" t="str">
        <f t="shared" si="626"/>
        <v>=18.21*100000000</v>
      </c>
      <c r="AH1321" s="1">
        <f>18.21*100000000</f>
        <v>1821000000</v>
      </c>
      <c r="AI1321" s="8">
        <f t="shared" si="643"/>
        <v>-0.79880676168379183</v>
      </c>
      <c r="AJ1321" s="6" t="s">
        <v>13111</v>
      </c>
      <c r="AK1321" s="6" t="str">
        <f t="shared" si="627"/>
        <v>=90.51*100000000</v>
      </c>
      <c r="AL1321" s="1">
        <f>90.51*100000000</f>
        <v>9051000000</v>
      </c>
      <c r="AM1321" s="8">
        <f t="shared" si="644"/>
        <v>0.30606060606060603</v>
      </c>
      <c r="AN1321" s="6" t="s">
        <v>13112</v>
      </c>
      <c r="AO1321" s="6" t="str">
        <f t="shared" si="628"/>
        <v>=69.30*100000000</v>
      </c>
      <c r="AP1321" s="1">
        <f>69.3*100000000</f>
        <v>6930000000</v>
      </c>
      <c r="AQ1321" s="8">
        <f t="shared" si="645"/>
        <v>0.29848229342327148</v>
      </c>
      <c r="AR1321" s="6" t="s">
        <v>13113</v>
      </c>
      <c r="AS1321" s="6" t="str">
        <f t="shared" si="629"/>
        <v>=53.37*100000000</v>
      </c>
      <c r="AT1321" s="1">
        <f>53.37*100000000</f>
        <v>5337000000</v>
      </c>
      <c r="AU1321" s="8">
        <f t="shared" si="646"/>
        <v>0.64063940977559175</v>
      </c>
      <c r="AV1321" s="6" t="s">
        <v>9010</v>
      </c>
      <c r="AW1321" s="6" t="str">
        <f t="shared" si="630"/>
        <v>=32.53*100000000</v>
      </c>
      <c r="AX1321" s="1">
        <f>32.53*100000000</f>
        <v>3253000000</v>
      </c>
      <c r="AY1321" s="10">
        <f t="shared" si="647"/>
        <v>-0.53988684582743984</v>
      </c>
      <c r="AZ1321" s="6" t="s">
        <v>13114</v>
      </c>
      <c r="BA1321" s="6" t="str">
        <f t="shared" si="631"/>
        <v>=70.70*100000000</v>
      </c>
      <c r="BB1321" s="1">
        <f>70.7*100000000</f>
        <v>7070000000</v>
      </c>
      <c r="BC1321" s="8">
        <f t="shared" si="648"/>
        <v>0.22956521739130434</v>
      </c>
      <c r="BD1321" s="6" t="s">
        <v>4526</v>
      </c>
      <c r="BE1321" s="6" t="str">
        <f t="shared" si="632"/>
        <v>=57.50*100000000</v>
      </c>
      <c r="BF1321" s="1">
        <f>57.5*100000000</f>
        <v>5750000000</v>
      </c>
      <c r="BG1321" s="8">
        <f t="shared" si="649"/>
        <v>0.36352857481622008</v>
      </c>
      <c r="BH1321" s="6" t="s">
        <v>13115</v>
      </c>
      <c r="BI1321" s="6" t="str">
        <f t="shared" si="633"/>
        <v>=42.17*100000000</v>
      </c>
      <c r="BJ1321" s="1">
        <f>42.17*100000000</f>
        <v>4217000000</v>
      </c>
      <c r="BK1321" s="6" t="s">
        <v>10136</v>
      </c>
      <c r="BL1321" s="1" t="str">
        <f t="shared" si="635"/>
        <v>=24.49*100000000</v>
      </c>
      <c r="BM1321" s="16">
        <f t="shared" si="650"/>
        <v>0.72192731727235604</v>
      </c>
      <c r="BN1321" s="1">
        <f>24.49*100000000</f>
        <v>2449000000</v>
      </c>
    </row>
    <row r="1322" spans="1:66">
      <c r="A1322" s="17">
        <v>332</v>
      </c>
      <c r="B1322">
        <v>601218</v>
      </c>
      <c r="C1322" t="s">
        <v>31</v>
      </c>
      <c r="D1322" s="6" t="s">
        <v>7360</v>
      </c>
      <c r="E1322" s="7" t="str">
        <f t="shared" si="634"/>
        <v>=18.59*100000000</v>
      </c>
      <c r="F1322" s="1">
        <f>18.59*100000000</f>
        <v>1859000000</v>
      </c>
      <c r="G1322" s="8">
        <f t="shared" si="636"/>
        <v>0.38731343283582087</v>
      </c>
      <c r="H1322" s="6" t="s">
        <v>12264</v>
      </c>
      <c r="I1322" s="6" t="str">
        <f t="shared" si="620"/>
        <v>=13.40*100000000</v>
      </c>
      <c r="J1322" s="1">
        <f>13.4*100000000</f>
        <v>1340000000</v>
      </c>
      <c r="K1322" s="10">
        <f t="shared" si="637"/>
        <v>0.67919799498746869</v>
      </c>
      <c r="L1322" s="6" t="s">
        <v>13116</v>
      </c>
      <c r="M1322" s="6" t="str">
        <f t="shared" si="621"/>
        <v>=7.980*100000000</v>
      </c>
      <c r="N1322" s="1">
        <f>7.98*100000000</f>
        <v>798000000</v>
      </c>
      <c r="O1322" s="8">
        <f t="shared" si="638"/>
        <v>1.3083598495805613</v>
      </c>
      <c r="P1322" s="6" t="s">
        <v>7761</v>
      </c>
      <c r="Q1322" s="6" t="str">
        <f t="shared" si="622"/>
        <v>=3.457*100000000</v>
      </c>
      <c r="R1322" s="11">
        <f>3.457*100000000</f>
        <v>345700000</v>
      </c>
      <c r="S1322" s="8">
        <f t="shared" si="639"/>
        <v>-0.83128355295265977</v>
      </c>
      <c r="T1322" s="6" t="s">
        <v>1192</v>
      </c>
      <c r="U1322" s="6" t="str">
        <f t="shared" si="623"/>
        <v>=20.49*100000000</v>
      </c>
      <c r="V1322" s="1">
        <f>20.49*100000000</f>
        <v>2048999999.9999998</v>
      </c>
      <c r="W1322" s="8">
        <f t="shared" si="640"/>
        <v>0.47942238267147996</v>
      </c>
      <c r="X1322" s="6" t="s">
        <v>10693</v>
      </c>
      <c r="Y1322" s="6" t="str">
        <f t="shared" si="624"/>
        <v>=13.85*100000000</v>
      </c>
      <c r="Z1322" s="1">
        <f>13.85*100000000</f>
        <v>1385000000</v>
      </c>
      <c r="AA1322" s="8">
        <f t="shared" si="641"/>
        <v>0.64724072312083725</v>
      </c>
      <c r="AB1322" s="6" t="s">
        <v>4241</v>
      </c>
      <c r="AC1322" s="6" t="str">
        <f t="shared" si="625"/>
        <v>=8.408*100000000</v>
      </c>
      <c r="AD1322" s="1">
        <f>8.408*100000000</f>
        <v>840800000</v>
      </c>
      <c r="AE1322" s="8">
        <f t="shared" si="642"/>
        <v>1.7676102699144174</v>
      </c>
      <c r="AF1322" s="6" t="s">
        <v>1310</v>
      </c>
      <c r="AG1322" s="6" t="str">
        <f t="shared" si="626"/>
        <v>=3.038*100000000</v>
      </c>
      <c r="AH1322" s="1">
        <f>3.038*100000000</f>
        <v>303800000</v>
      </c>
      <c r="AI1322" s="8">
        <f t="shared" si="643"/>
        <v>-0.79706078824315296</v>
      </c>
      <c r="AJ1322" s="6" t="s">
        <v>1738</v>
      </c>
      <c r="AK1322" s="6" t="str">
        <f t="shared" si="627"/>
        <v>=14.97*100000000</v>
      </c>
      <c r="AL1322" s="1">
        <f>14.97*100000000</f>
        <v>1497000000</v>
      </c>
      <c r="AM1322" s="8">
        <f t="shared" si="644"/>
        <v>0.47924901185770769</v>
      </c>
      <c r="AN1322" s="6" t="s">
        <v>11413</v>
      </c>
      <c r="AO1322" s="6" t="str">
        <f t="shared" si="628"/>
        <v>=10.12*100000000</v>
      </c>
      <c r="AP1322" s="1">
        <f>10.12*100000000</f>
        <v>1011999999.9999999</v>
      </c>
      <c r="AQ1322" s="8">
        <f t="shared" si="645"/>
        <v>0.83699400980214178</v>
      </c>
      <c r="AR1322" s="6" t="s">
        <v>13117</v>
      </c>
      <c r="AS1322" s="6" t="str">
        <f t="shared" si="629"/>
        <v>=5.509*100000000</v>
      </c>
      <c r="AT1322" s="1">
        <f>5.509*100000000</f>
        <v>550900000</v>
      </c>
      <c r="AU1322" s="8">
        <f t="shared" si="646"/>
        <v>0.79621780241278117</v>
      </c>
      <c r="AV1322" s="6" t="s">
        <v>9519</v>
      </c>
      <c r="AW1322" s="6" t="str">
        <f t="shared" si="630"/>
        <v>=3.067*100000000</v>
      </c>
      <c r="AX1322" s="1">
        <f>3.067*100000000</f>
        <v>306700000</v>
      </c>
      <c r="AY1322" s="10">
        <f t="shared" si="647"/>
        <v>-0.75831363278171793</v>
      </c>
      <c r="AZ1322" s="6" t="s">
        <v>3036</v>
      </c>
      <c r="BA1322" s="6" t="str">
        <f t="shared" si="631"/>
        <v>=12.69*100000000</v>
      </c>
      <c r="BB1322" s="1">
        <f>12.69*100000000</f>
        <v>1269000000</v>
      </c>
      <c r="BC1322" s="8">
        <f t="shared" si="648"/>
        <v>0.35591409338604552</v>
      </c>
      <c r="BD1322" s="6" t="s">
        <v>13118</v>
      </c>
      <c r="BE1322" s="6" t="str">
        <f t="shared" si="632"/>
        <v>=9.359*100000000</v>
      </c>
      <c r="BF1322" s="1">
        <f>9.359*100000000</f>
        <v>935900000</v>
      </c>
      <c r="BG1322" s="8">
        <f t="shared" si="649"/>
        <v>0.85290041575925557</v>
      </c>
      <c r="BH1322" s="6" t="s">
        <v>12685</v>
      </c>
      <c r="BI1322" s="6" t="str">
        <f t="shared" si="633"/>
        <v>=5.051*100000000</v>
      </c>
      <c r="BJ1322" s="1">
        <f>5.051*100000000</f>
        <v>505100000</v>
      </c>
      <c r="BK1322" s="6" t="s">
        <v>3513</v>
      </c>
      <c r="BL1322" s="1" t="str">
        <f t="shared" si="635"/>
        <v>=1.886*100000000</v>
      </c>
      <c r="BM1322" s="16">
        <f t="shared" si="650"/>
        <v>1.678154825026511</v>
      </c>
      <c r="BN1322" s="1">
        <f>1.886*100000000</f>
        <v>188600000</v>
      </c>
    </row>
    <row r="1323" spans="1:66">
      <c r="A1323" s="18"/>
      <c r="B1323">
        <v>601218</v>
      </c>
      <c r="C1323" t="s">
        <v>48</v>
      </c>
      <c r="D1323" s="6" t="s">
        <v>2159</v>
      </c>
      <c r="E1323" s="7" t="str">
        <f t="shared" si="634"/>
        <v>=1.958*100000000</v>
      </c>
      <c r="F1323" s="1">
        <f>1.958*100000000</f>
        <v>195800000</v>
      </c>
      <c r="G1323" s="8">
        <f t="shared" si="636"/>
        <v>0.75920934411500451</v>
      </c>
      <c r="H1323" s="6" t="s">
        <v>10789</v>
      </c>
      <c r="I1323" s="6" t="str">
        <f t="shared" si="620"/>
        <v>=1.113*100000000</v>
      </c>
      <c r="J1323" s="1">
        <f>1.113*100000000</f>
        <v>111300000</v>
      </c>
      <c r="K1323" s="10">
        <f t="shared" si="637"/>
        <v>0.89575881451200823</v>
      </c>
      <c r="L1323" s="7" t="s">
        <v>13119</v>
      </c>
      <c r="M1323" s="6" t="str">
        <f t="shared" si="621"/>
        <v>=5871*10000</v>
      </c>
      <c r="N1323" s="1">
        <f>5871*10000</f>
        <v>58710000</v>
      </c>
      <c r="O1323" s="8">
        <f t="shared" si="638"/>
        <v>1.1696230598669624</v>
      </c>
      <c r="P1323" s="7" t="s">
        <v>13120</v>
      </c>
      <c r="Q1323" s="6" t="str">
        <f t="shared" si="622"/>
        <v>=2706*10000</v>
      </c>
      <c r="R1323" s="11">
        <f>2706*10000</f>
        <v>27060000</v>
      </c>
      <c r="S1323" s="8">
        <f t="shared" si="639"/>
        <v>-0.90084279956027846</v>
      </c>
      <c r="T1323" s="6" t="s">
        <v>1744</v>
      </c>
      <c r="U1323" s="6" t="str">
        <f t="shared" si="623"/>
        <v>=2.729*100000000</v>
      </c>
      <c r="V1323" s="1">
        <f>2.729*100000000</f>
        <v>272900000</v>
      </c>
      <c r="W1323" s="8">
        <f t="shared" si="640"/>
        <v>0.33840117704757233</v>
      </c>
      <c r="X1323" s="6" t="s">
        <v>190</v>
      </c>
      <c r="Y1323" s="6" t="str">
        <f t="shared" si="624"/>
        <v>=2.039*100000000</v>
      </c>
      <c r="Z1323" s="1">
        <f>2.039*100000000</f>
        <v>203900000</v>
      </c>
      <c r="AA1323" s="8">
        <f t="shared" si="641"/>
        <v>0.64701130856219713</v>
      </c>
      <c r="AB1323" s="6" t="s">
        <v>13121</v>
      </c>
      <c r="AC1323" s="6" t="str">
        <f t="shared" si="625"/>
        <v>=1.238*100000000</v>
      </c>
      <c r="AD1323" s="1">
        <f>1.238*100000000</f>
        <v>123800000</v>
      </c>
      <c r="AE1323" s="8">
        <f t="shared" si="642"/>
        <v>4.2435408725116472</v>
      </c>
      <c r="AF1323" s="7" t="s">
        <v>10524</v>
      </c>
      <c r="AG1323" s="6" t="str">
        <f t="shared" si="626"/>
        <v>=2361*10000</v>
      </c>
      <c r="AH1323" s="1">
        <f>2361*10000</f>
        <v>23610000</v>
      </c>
      <c r="AI1323" s="8">
        <f t="shared" si="643"/>
        <v>-0.65512708150744958</v>
      </c>
      <c r="AJ1323" s="7" t="s">
        <v>13122</v>
      </c>
      <c r="AK1323" s="6" t="str">
        <f t="shared" si="627"/>
        <v>=6846*10000</v>
      </c>
      <c r="AL1323" s="1">
        <f>6846*10000</f>
        <v>68460000</v>
      </c>
      <c r="AM1323" s="8">
        <f t="shared" si="644"/>
        <v>1.159621451104101</v>
      </c>
      <c r="AN1323" s="7" t="s">
        <v>9947</v>
      </c>
      <c r="AO1323" s="6" t="str">
        <f t="shared" si="628"/>
        <v>=3170*10000</v>
      </c>
      <c r="AP1323" s="1">
        <f>3170*10000</f>
        <v>31700000</v>
      </c>
      <c r="AQ1323" s="8">
        <f t="shared" si="645"/>
        <v>0.19939462731744231</v>
      </c>
      <c r="AR1323" s="7" t="s">
        <v>13123</v>
      </c>
      <c r="AS1323" s="6" t="str">
        <f t="shared" si="629"/>
        <v>=2643*10000</v>
      </c>
      <c r="AT1323" s="1">
        <f>2643*10000</f>
        <v>26430000</v>
      </c>
      <c r="AU1323" s="8">
        <f t="shared" si="646"/>
        <v>1.6985909740657545</v>
      </c>
      <c r="AV1323" s="7" t="s">
        <v>13124</v>
      </c>
      <c r="AW1323" s="6" t="str">
        <f t="shared" si="630"/>
        <v>=979.4*10000</v>
      </c>
      <c r="AX1323" s="1">
        <f>979.4*10000</f>
        <v>9794000</v>
      </c>
      <c r="AY1323" s="10">
        <f t="shared" si="647"/>
        <v>-1.1138837209302326</v>
      </c>
      <c r="AZ1323" s="7">
        <f>-8600*10000</f>
        <v>-86000000</v>
      </c>
      <c r="BA1323" s="6" t="str">
        <f t="shared" si="631"/>
        <v>=-86000000</v>
      </c>
      <c r="BB1323" s="1">
        <f>-86000000</f>
        <v>-86000000</v>
      </c>
      <c r="BC1323" s="8">
        <f t="shared" si="648"/>
        <v>-0.20810313075506445</v>
      </c>
      <c r="BD1323" s="6">
        <f>-1.086*100000000</f>
        <v>-108600000.00000001</v>
      </c>
      <c r="BE1323" s="6" t="str">
        <f t="shared" si="632"/>
        <v>=-108600000</v>
      </c>
      <c r="BF1323" s="1">
        <f>-108600000</f>
        <v>-108600000</v>
      </c>
      <c r="BG1323" s="8">
        <f t="shared" si="649"/>
        <v>0.23451176537455951</v>
      </c>
      <c r="BH1323" s="7">
        <f>-8797*10000</f>
        <v>-87970000</v>
      </c>
      <c r="BI1323" s="6" t="str">
        <f t="shared" si="633"/>
        <v>=-87970000</v>
      </c>
      <c r="BJ1323" s="1">
        <f>-87970000</f>
        <v>-87970000</v>
      </c>
      <c r="BK1323" s="7">
        <f>-6454*10000</f>
        <v>-64540000</v>
      </c>
      <c r="BL1323" s="1" t="str">
        <f t="shared" si="635"/>
        <v>=-64540000</v>
      </c>
      <c r="BM1323" s="16">
        <f t="shared" si="650"/>
        <v>0.36303067864889993</v>
      </c>
      <c r="BN1323" s="1">
        <f>-64540000</f>
        <v>-64540000</v>
      </c>
    </row>
    <row r="1324" spans="1:66">
      <c r="A1324" s="18"/>
      <c r="B1324">
        <v>601218</v>
      </c>
      <c r="C1324" t="s">
        <v>58</v>
      </c>
      <c r="D1324" s="6" t="s">
        <v>5480</v>
      </c>
      <c r="E1324" s="7" t="str">
        <f t="shared" si="634"/>
        <v>=2.169*100000000</v>
      </c>
      <c r="F1324" s="1">
        <f>2.169*100000000</f>
        <v>216900000</v>
      </c>
      <c r="G1324" s="8">
        <f t="shared" si="636"/>
        <v>0.60785767234988886</v>
      </c>
      <c r="H1324" s="6" t="s">
        <v>6283</v>
      </c>
      <c r="I1324" s="6" t="str">
        <f t="shared" si="620"/>
        <v>=1.349*100000000</v>
      </c>
      <c r="J1324" s="1">
        <f>1.349*100000000</f>
        <v>134900000</v>
      </c>
      <c r="K1324" s="10">
        <f t="shared" si="637"/>
        <v>0.67100210578471453</v>
      </c>
      <c r="L1324" s="7" t="s">
        <v>13125</v>
      </c>
      <c r="M1324" s="6" t="str">
        <f t="shared" si="621"/>
        <v>=8073*10000</v>
      </c>
      <c r="N1324" s="1">
        <f>8073*10000</f>
        <v>80730000</v>
      </c>
      <c r="O1324" s="8">
        <f t="shared" si="638"/>
        <v>1.9474260679079956</v>
      </c>
      <c r="P1324" s="7" t="s">
        <v>13126</v>
      </c>
      <c r="Q1324" s="6" t="str">
        <f t="shared" si="622"/>
        <v>=2739*10000</v>
      </c>
      <c r="R1324" s="11">
        <f>2739*10000</f>
        <v>27390000</v>
      </c>
      <c r="S1324" s="8">
        <f t="shared" si="639"/>
        <v>-0.89967032967032967</v>
      </c>
      <c r="T1324" s="6" t="s">
        <v>176</v>
      </c>
      <c r="U1324" s="6" t="str">
        <f t="shared" si="623"/>
        <v>=2.730*100000000</v>
      </c>
      <c r="V1324" s="1">
        <f>2.73*100000000</f>
        <v>273000000</v>
      </c>
      <c r="W1324" s="8">
        <f t="shared" si="640"/>
        <v>0.32846715328467135</v>
      </c>
      <c r="X1324" s="6" t="s">
        <v>8263</v>
      </c>
      <c r="Y1324" s="6" t="str">
        <f t="shared" si="624"/>
        <v>=2.055*100000000</v>
      </c>
      <c r="Z1324" s="1">
        <f>2.055*100000000</f>
        <v>205500000.00000003</v>
      </c>
      <c r="AA1324" s="8">
        <f t="shared" si="641"/>
        <v>0.63224781572676769</v>
      </c>
      <c r="AB1324" s="6" t="s">
        <v>4973</v>
      </c>
      <c r="AC1324" s="6" t="str">
        <f t="shared" si="625"/>
        <v>=1.259*100000000</v>
      </c>
      <c r="AD1324" s="1">
        <f>1.259*100000000</f>
        <v>125899999.99999999</v>
      </c>
      <c r="AE1324" s="8">
        <f t="shared" si="642"/>
        <v>4.2655792555416134</v>
      </c>
      <c r="AF1324" s="7" t="s">
        <v>7741</v>
      </c>
      <c r="AG1324" s="6" t="str">
        <f t="shared" si="626"/>
        <v>=2391*10000</v>
      </c>
      <c r="AH1324" s="1">
        <f>2391*10000</f>
        <v>23910000</v>
      </c>
      <c r="AI1324" s="8">
        <f t="shared" si="643"/>
        <v>-0.62774404483886037</v>
      </c>
      <c r="AJ1324" s="7" t="s">
        <v>13127</v>
      </c>
      <c r="AK1324" s="6" t="str">
        <f t="shared" si="627"/>
        <v>=6423*10000</v>
      </c>
      <c r="AL1324" s="1">
        <f>6423*10000</f>
        <v>64230000</v>
      </c>
      <c r="AM1324" s="8">
        <f t="shared" si="644"/>
        <v>1.2155915833045878</v>
      </c>
      <c r="AN1324" s="7" t="s">
        <v>13128</v>
      </c>
      <c r="AO1324" s="6" t="str">
        <f t="shared" si="628"/>
        <v>=2899*10000</v>
      </c>
      <c r="AP1324" s="1">
        <f>2899*10000</f>
        <v>28990000</v>
      </c>
      <c r="AQ1324" s="8">
        <f t="shared" si="645"/>
        <v>0.10945273631840796</v>
      </c>
      <c r="AR1324" s="7" t="s">
        <v>6532</v>
      </c>
      <c r="AS1324" s="6" t="str">
        <f t="shared" si="629"/>
        <v>=2613*10000</v>
      </c>
      <c r="AT1324" s="1">
        <f>2613*10000</f>
        <v>26130000</v>
      </c>
      <c r="AU1324" s="8">
        <f t="shared" si="646"/>
        <v>1.7940547476475621</v>
      </c>
      <c r="AV1324" s="7" t="s">
        <v>13129</v>
      </c>
      <c r="AW1324" s="6" t="str">
        <f t="shared" si="630"/>
        <v>=935.2*10000</v>
      </c>
      <c r="AX1324" s="1">
        <f>935.2*10000</f>
        <v>9352000</v>
      </c>
      <c r="AY1324" s="10">
        <f t="shared" si="647"/>
        <v>-1.118831003811944</v>
      </c>
      <c r="AZ1324" s="7">
        <f>-7870*10000</f>
        <v>-78700000</v>
      </c>
      <c r="BA1324" s="6" t="str">
        <f t="shared" si="631"/>
        <v>=-78700000</v>
      </c>
      <c r="BB1324" s="1">
        <f>-78700000</f>
        <v>-78700000</v>
      </c>
      <c r="BC1324" s="8">
        <f t="shared" si="648"/>
        <v>-0.2766544117647059</v>
      </c>
      <c r="BD1324" s="6">
        <f>-1.088*100000000</f>
        <v>-108800000.00000001</v>
      </c>
      <c r="BE1324" s="6" t="str">
        <f t="shared" si="632"/>
        <v>=-108800000</v>
      </c>
      <c r="BF1324" s="1">
        <f>-108800000</f>
        <v>-108800000</v>
      </c>
      <c r="BG1324" s="8">
        <f t="shared" si="649"/>
        <v>0.23594229240031808</v>
      </c>
      <c r="BH1324" s="7">
        <f>-8803*10000</f>
        <v>-88030000</v>
      </c>
      <c r="BI1324" s="6" t="str">
        <f t="shared" si="633"/>
        <v>=-88030000</v>
      </c>
      <c r="BJ1324" s="1">
        <f>-88030000</f>
        <v>-88030000</v>
      </c>
      <c r="BK1324" s="7">
        <f>-6475*10000</f>
        <v>-64750000</v>
      </c>
      <c r="BL1324" s="1" t="str">
        <f t="shared" si="635"/>
        <v>=-64750000</v>
      </c>
      <c r="BM1324" s="16">
        <f t="shared" si="650"/>
        <v>0.35953667953667956</v>
      </c>
      <c r="BN1324" s="1">
        <f>-64750000</f>
        <v>-64750000</v>
      </c>
    </row>
    <row r="1325" spans="1:66">
      <c r="A1325" s="19"/>
      <c r="B1325">
        <v>601218</v>
      </c>
      <c r="C1325" t="s">
        <v>68</v>
      </c>
      <c r="D1325" s="6" t="s">
        <v>8460</v>
      </c>
      <c r="E1325" s="7" t="str">
        <f t="shared" si="634"/>
        <v>=2.083*100000000</v>
      </c>
      <c r="F1325" s="1">
        <f>2.083*100000000</f>
        <v>208300000.00000003</v>
      </c>
      <c r="G1325" s="8">
        <f t="shared" si="636"/>
        <v>0.58282674772036491</v>
      </c>
      <c r="H1325" s="6" t="s">
        <v>13130</v>
      </c>
      <c r="I1325" s="6" t="str">
        <f t="shared" si="620"/>
        <v>=1.316*100000000</v>
      </c>
      <c r="J1325" s="1">
        <f>1.316*100000000</f>
        <v>131600000</v>
      </c>
      <c r="K1325" s="10">
        <f t="shared" si="637"/>
        <v>0.60272804774083544</v>
      </c>
      <c r="L1325" s="7" t="s">
        <v>13131</v>
      </c>
      <c r="M1325" s="6" t="str">
        <f t="shared" si="621"/>
        <v>=8211*10000</v>
      </c>
      <c r="N1325" s="1">
        <f>8211*10000</f>
        <v>82110000</v>
      </c>
      <c r="O1325" s="8">
        <f t="shared" si="638"/>
        <v>2.1556495003843197</v>
      </c>
      <c r="P1325" s="7" t="s">
        <v>13132</v>
      </c>
      <c r="Q1325" s="6" t="str">
        <f t="shared" si="622"/>
        <v>=2602*10000</v>
      </c>
      <c r="R1325" s="11">
        <f>2602*10000</f>
        <v>26020000</v>
      </c>
      <c r="S1325" s="8">
        <f t="shared" si="639"/>
        <v>-0.88894579598804946</v>
      </c>
      <c r="T1325" s="6" t="s">
        <v>6591</v>
      </c>
      <c r="U1325" s="6" t="str">
        <f t="shared" si="623"/>
        <v>=2.343*100000000</v>
      </c>
      <c r="V1325" s="1">
        <f>2.343*100000000</f>
        <v>234300000</v>
      </c>
      <c r="W1325" s="8">
        <f t="shared" si="640"/>
        <v>0.375</v>
      </c>
      <c r="X1325" s="6" t="s">
        <v>3577</v>
      </c>
      <c r="Y1325" s="6" t="str">
        <f t="shared" si="624"/>
        <v>=1.704*100000000</v>
      </c>
      <c r="Z1325" s="1">
        <f>1.704*100000000</f>
        <v>170400000</v>
      </c>
      <c r="AA1325" s="8">
        <f t="shared" si="641"/>
        <v>0.6275071633237822</v>
      </c>
      <c r="AB1325" s="6" t="s">
        <v>1203</v>
      </c>
      <c r="AC1325" s="6" t="str">
        <f t="shared" si="625"/>
        <v>=1.047*100000000</v>
      </c>
      <c r="AD1325" s="1">
        <f>1.047*100000000</f>
        <v>104700000</v>
      </c>
      <c r="AE1325" s="8">
        <f t="shared" si="642"/>
        <v>3.9809705042816366</v>
      </c>
      <c r="AF1325" s="7" t="s">
        <v>13133</v>
      </c>
      <c r="AG1325" s="6" t="str">
        <f t="shared" si="626"/>
        <v>=2102*10000</v>
      </c>
      <c r="AH1325" s="1">
        <f>2102*10000</f>
        <v>21020000</v>
      </c>
      <c r="AI1325" s="8">
        <f t="shared" si="643"/>
        <v>-0.67606719063029741</v>
      </c>
      <c r="AJ1325" s="7" t="s">
        <v>13134</v>
      </c>
      <c r="AK1325" s="6" t="str">
        <f t="shared" si="627"/>
        <v>=6489*10000</v>
      </c>
      <c r="AL1325" s="1">
        <f>6489*10000</f>
        <v>64890000</v>
      </c>
      <c r="AM1325" s="8">
        <f t="shared" si="644"/>
        <v>0.91077738515901063</v>
      </c>
      <c r="AN1325" s="7" t="s">
        <v>13135</v>
      </c>
      <c r="AO1325" s="6" t="str">
        <f t="shared" si="628"/>
        <v>=3396*10000</v>
      </c>
      <c r="AP1325" s="1">
        <f>3396*10000</f>
        <v>33960000</v>
      </c>
      <c r="AQ1325" s="8">
        <f t="shared" si="645"/>
        <v>0.31221020092735702</v>
      </c>
      <c r="AR1325" s="7" t="s">
        <v>13136</v>
      </c>
      <c r="AS1325" s="6" t="str">
        <f t="shared" si="629"/>
        <v>=2588*10000</v>
      </c>
      <c r="AT1325" s="1">
        <f>2588*10000</f>
        <v>25880000</v>
      </c>
      <c r="AU1325" s="8">
        <f t="shared" si="646"/>
        <v>2.6125069793411502</v>
      </c>
      <c r="AV1325" s="7" t="s">
        <v>13137</v>
      </c>
      <c r="AW1325" s="6" t="str">
        <f t="shared" si="630"/>
        <v>=716.4*10000</v>
      </c>
      <c r="AX1325" s="1">
        <f>716.4*10000</f>
        <v>7164000</v>
      </c>
      <c r="AY1325" s="10">
        <f t="shared" si="647"/>
        <v>-1.108086904043452</v>
      </c>
      <c r="AZ1325" s="7">
        <f>-6628*10000</f>
        <v>-66280000</v>
      </c>
      <c r="BA1325" s="6" t="str">
        <f t="shared" si="631"/>
        <v>=-66280000</v>
      </c>
      <c r="BB1325" s="1">
        <f>-66280000</f>
        <v>-66280000</v>
      </c>
      <c r="BC1325" s="8">
        <f t="shared" si="648"/>
        <v>-0.26355555555555554</v>
      </c>
      <c r="BD1325" s="7">
        <f>-9000*10000</f>
        <v>-90000000</v>
      </c>
      <c r="BE1325" s="6" t="str">
        <f t="shared" si="632"/>
        <v>=-90000000</v>
      </c>
      <c r="BF1325" s="1">
        <f>-90000000</f>
        <v>-90000000</v>
      </c>
      <c r="BG1325" s="8">
        <f t="shared" si="649"/>
        <v>0.20096076861489193</v>
      </c>
      <c r="BH1325" s="7">
        <f>-7494*10000</f>
        <v>-74940000</v>
      </c>
      <c r="BI1325" s="6" t="str">
        <f t="shared" si="633"/>
        <v>=-74940000</v>
      </c>
      <c r="BJ1325" s="1">
        <f>-74940000</f>
        <v>-74940000</v>
      </c>
      <c r="BK1325" s="7">
        <f>-5565*10000</f>
        <v>-55650000</v>
      </c>
      <c r="BL1325" s="1" t="str">
        <f t="shared" si="635"/>
        <v>=-55650000</v>
      </c>
      <c r="BM1325" s="16">
        <f t="shared" si="650"/>
        <v>0.34663072776280324</v>
      </c>
      <c r="BN1325" s="1">
        <f>-55650000</f>
        <v>-55650000</v>
      </c>
    </row>
    <row r="1326" spans="1:66">
      <c r="A1326" s="17">
        <v>333</v>
      </c>
      <c r="B1326">
        <v>601228</v>
      </c>
      <c r="C1326" t="s">
        <v>31</v>
      </c>
      <c r="D1326" s="6" t="s">
        <v>1495</v>
      </c>
      <c r="E1326" s="7" t="str">
        <f t="shared" si="634"/>
        <v>=120.2*100000000</v>
      </c>
      <c r="F1326" s="1">
        <f>120.2*100000000</f>
        <v>12020000000</v>
      </c>
      <c r="G1326" s="8">
        <f t="shared" si="636"/>
        <v>0.28131329282592477</v>
      </c>
      <c r="H1326" s="6" t="s">
        <v>1370</v>
      </c>
      <c r="I1326" s="6" t="str">
        <f t="shared" si="620"/>
        <v>=93.81*100000000</v>
      </c>
      <c r="J1326" s="1">
        <f>93.81*100000000</f>
        <v>9381000000</v>
      </c>
      <c r="K1326" s="10">
        <f t="shared" si="637"/>
        <v>0.56193806193806195</v>
      </c>
      <c r="L1326" s="6" t="s">
        <v>13138</v>
      </c>
      <c r="M1326" s="6" t="str">
        <f t="shared" si="621"/>
        <v>=60.06*100000000</v>
      </c>
      <c r="N1326" s="1">
        <f>60.06*100000000</f>
        <v>6006000000</v>
      </c>
      <c r="O1326" s="8">
        <f t="shared" si="638"/>
        <v>1.1975850713501646</v>
      </c>
      <c r="P1326" s="6" t="s">
        <v>2286</v>
      </c>
      <c r="Q1326" s="6" t="str">
        <f t="shared" si="622"/>
        <v>=27.33*100000000</v>
      </c>
      <c r="R1326" s="11">
        <f>27.33*100000000</f>
        <v>2733000000</v>
      </c>
      <c r="S1326" s="8">
        <f t="shared" si="639"/>
        <v>-0.75706666666666667</v>
      </c>
      <c r="T1326" s="6" t="s">
        <v>10722</v>
      </c>
      <c r="U1326" s="6" t="str">
        <f t="shared" si="623"/>
        <v>=112.5*100000000</v>
      </c>
      <c r="V1326" s="1">
        <f>112.5*100000000</f>
        <v>11250000000</v>
      </c>
      <c r="W1326" s="8">
        <f t="shared" si="640"/>
        <v>0.33404482390608325</v>
      </c>
      <c r="X1326" s="6" t="s">
        <v>9393</v>
      </c>
      <c r="Y1326" s="6" t="str">
        <f t="shared" si="624"/>
        <v>=84.33*100000000</v>
      </c>
      <c r="Z1326" s="1">
        <f>84.33*100000000</f>
        <v>8433000000</v>
      </c>
      <c r="AA1326" s="8">
        <f t="shared" si="641"/>
        <v>0.57773620205799814</v>
      </c>
      <c r="AB1326" s="6" t="s">
        <v>13139</v>
      </c>
      <c r="AC1326" s="6" t="str">
        <f t="shared" si="625"/>
        <v>=53.45*100000000</v>
      </c>
      <c r="AD1326" s="1">
        <f>53.45*100000000</f>
        <v>5345000000</v>
      </c>
      <c r="AE1326" s="8">
        <f t="shared" si="642"/>
        <v>1.1807425540595675</v>
      </c>
      <c r="AF1326" s="6" t="s">
        <v>9608</v>
      </c>
      <c r="AG1326" s="6" t="str">
        <f t="shared" si="626"/>
        <v>=24.51*100000000</v>
      </c>
      <c r="AH1326" s="1">
        <f>24.51*100000000</f>
        <v>2451000000</v>
      </c>
      <c r="AI1326" s="8">
        <f t="shared" si="643"/>
        <v>-0.76590257879656165</v>
      </c>
      <c r="AJ1326" s="6" t="s">
        <v>12384</v>
      </c>
      <c r="AK1326" s="6" t="str">
        <f t="shared" si="627"/>
        <v>=104.7*100000000</v>
      </c>
      <c r="AL1326" s="1">
        <f>104.7*100000000</f>
        <v>10470000000</v>
      </c>
      <c r="AM1326" s="8">
        <f t="shared" si="644"/>
        <v>0.35569079373300533</v>
      </c>
      <c r="AN1326" s="6" t="s">
        <v>13140</v>
      </c>
      <c r="AO1326" s="6" t="str">
        <f t="shared" si="628"/>
        <v>=77.23*100000000</v>
      </c>
      <c r="AP1326" s="1">
        <f>77.23*100000000</f>
        <v>7723000000</v>
      </c>
      <c r="AQ1326" s="8">
        <f t="shared" si="645"/>
        <v>0.53508248857086071</v>
      </c>
      <c r="AR1326" s="6" t="s">
        <v>13141</v>
      </c>
      <c r="AS1326" s="6" t="str">
        <f t="shared" si="629"/>
        <v>=50.31*100000000</v>
      </c>
      <c r="AT1326" s="1">
        <f>50.31*100000000</f>
        <v>5031000000</v>
      </c>
      <c r="AU1326" s="8">
        <f t="shared" si="646"/>
        <v>1.1120906801007557</v>
      </c>
      <c r="AV1326" s="6" t="s">
        <v>13142</v>
      </c>
      <c r="AW1326" s="6" t="str">
        <f t="shared" si="630"/>
        <v>=23.82*100000000</v>
      </c>
      <c r="AX1326" s="1">
        <f>23.82*100000000</f>
        <v>2382000000</v>
      </c>
      <c r="AY1326" s="10">
        <f t="shared" si="647"/>
        <v>-0.72440124956612284</v>
      </c>
      <c r="AZ1326" s="6" t="s">
        <v>8094</v>
      </c>
      <c r="BA1326" s="6" t="str">
        <f t="shared" si="631"/>
        <v>=86.43*100000000</v>
      </c>
      <c r="BB1326" s="1">
        <f>86.43*100000000</f>
        <v>8643000000</v>
      </c>
      <c r="BC1326" s="8">
        <f t="shared" si="648"/>
        <v>0.28158362989323843</v>
      </c>
      <c r="BD1326" s="6" t="s">
        <v>13143</v>
      </c>
      <c r="BE1326" s="6" t="str">
        <f t="shared" si="632"/>
        <v>=67.44*100000000</v>
      </c>
      <c r="BF1326" s="1">
        <f>67.44*100000000</f>
        <v>6744000000</v>
      </c>
      <c r="BG1326" s="8">
        <f t="shared" si="649"/>
        <v>0.51994590939824203</v>
      </c>
      <c r="BH1326" s="6" t="s">
        <v>13144</v>
      </c>
      <c r="BI1326" s="6" t="str">
        <f t="shared" si="633"/>
        <v>=44.37*100000000</v>
      </c>
      <c r="BJ1326" s="1">
        <f>44.37*100000000</f>
        <v>4437000000</v>
      </c>
      <c r="BK1326" s="6" t="s">
        <v>13145</v>
      </c>
      <c r="BL1326" s="1" t="str">
        <f t="shared" si="635"/>
        <v>=21.90*100000000</v>
      </c>
      <c r="BM1326" s="16">
        <f t="shared" si="650"/>
        <v>1.026027397260274</v>
      </c>
      <c r="BN1326" s="1">
        <f>21.9*100000000</f>
        <v>2190000000</v>
      </c>
    </row>
    <row r="1327" spans="1:66">
      <c r="A1327" s="18"/>
      <c r="B1327">
        <v>601228</v>
      </c>
      <c r="C1327" t="s">
        <v>48</v>
      </c>
      <c r="D1327" s="6" t="s">
        <v>4423</v>
      </c>
      <c r="E1327" s="7" t="str">
        <f t="shared" si="634"/>
        <v>=16.05*100000000</v>
      </c>
      <c r="F1327" s="1">
        <f>16.05*100000000</f>
        <v>1605000000</v>
      </c>
      <c r="G1327" s="8">
        <f t="shared" si="636"/>
        <v>0.30593978844589098</v>
      </c>
      <c r="H1327" s="6" t="s">
        <v>1382</v>
      </c>
      <c r="I1327" s="6" t="str">
        <f t="shared" si="620"/>
        <v>=12.29*100000000</v>
      </c>
      <c r="J1327" s="1">
        <f>12.29*100000000</f>
        <v>1229000000</v>
      </c>
      <c r="K1327" s="10">
        <f t="shared" si="637"/>
        <v>0.50483653728419253</v>
      </c>
      <c r="L1327" s="6" t="s">
        <v>366</v>
      </c>
      <c r="M1327" s="6" t="str">
        <f t="shared" si="621"/>
        <v>=8.167*100000000</v>
      </c>
      <c r="N1327" s="1">
        <f>8.167*100000000</f>
        <v>816700000</v>
      </c>
      <c r="O1327" s="8">
        <f t="shared" si="638"/>
        <v>1.0962525667351128</v>
      </c>
      <c r="P1327" s="6" t="s">
        <v>13146</v>
      </c>
      <c r="Q1327" s="6" t="str">
        <f t="shared" si="622"/>
        <v>=3.896*100000000</v>
      </c>
      <c r="R1327" s="11">
        <f>3.896*100000000</f>
        <v>389600000</v>
      </c>
      <c r="S1327" s="8">
        <f t="shared" si="639"/>
        <v>-0.7180897250361794</v>
      </c>
      <c r="T1327" s="6" t="s">
        <v>8676</v>
      </c>
      <c r="U1327" s="6" t="str">
        <f t="shared" si="623"/>
        <v>=13.82*100000000</v>
      </c>
      <c r="V1327" s="1">
        <f>13.82*100000000</f>
        <v>1382000000</v>
      </c>
      <c r="W1327" s="8">
        <f t="shared" si="640"/>
        <v>0.18220701454234389</v>
      </c>
      <c r="X1327" s="6" t="s">
        <v>6852</v>
      </c>
      <c r="Y1327" s="6" t="str">
        <f t="shared" si="624"/>
        <v>=11.69*100000000</v>
      </c>
      <c r="Z1327" s="1">
        <f>11.69*100000000</f>
        <v>1169000000</v>
      </c>
      <c r="AA1327" s="8">
        <f t="shared" si="641"/>
        <v>0.55493482309124764</v>
      </c>
      <c r="AB1327" s="6" t="s">
        <v>13147</v>
      </c>
      <c r="AC1327" s="6" t="str">
        <f t="shared" si="625"/>
        <v>=7.518*100000000</v>
      </c>
      <c r="AD1327" s="1">
        <f>7.518*100000000</f>
        <v>751800000</v>
      </c>
      <c r="AE1327" s="8">
        <f t="shared" si="642"/>
        <v>1.3376865671641791</v>
      </c>
      <c r="AF1327" s="6" t="s">
        <v>5724</v>
      </c>
      <c r="AG1327" s="6" t="str">
        <f t="shared" si="626"/>
        <v>=3.216*100000000</v>
      </c>
      <c r="AH1327" s="1">
        <f>3.216*100000000</f>
        <v>321600000</v>
      </c>
      <c r="AI1327" s="8">
        <f t="shared" si="643"/>
        <v>-0.74992223950233283</v>
      </c>
      <c r="AJ1327" s="6" t="s">
        <v>1682</v>
      </c>
      <c r="AK1327" s="6" t="str">
        <f t="shared" si="627"/>
        <v>=12.86*100000000</v>
      </c>
      <c r="AL1327" s="1">
        <f>12.86*100000000</f>
        <v>1286000000</v>
      </c>
      <c r="AM1327" s="8">
        <f t="shared" si="644"/>
        <v>0.16380090497737557</v>
      </c>
      <c r="AN1327" s="6" t="s">
        <v>173</v>
      </c>
      <c r="AO1327" s="6" t="str">
        <f t="shared" si="628"/>
        <v>=11.05*100000000</v>
      </c>
      <c r="AP1327" s="1">
        <f>11.05*100000000</f>
        <v>1105000000</v>
      </c>
      <c r="AQ1327" s="8">
        <f t="shared" si="645"/>
        <v>0.38679718875502006</v>
      </c>
      <c r="AR1327" s="6" t="s">
        <v>7134</v>
      </c>
      <c r="AS1327" s="6" t="str">
        <f t="shared" si="629"/>
        <v>=7.968*100000000</v>
      </c>
      <c r="AT1327" s="1">
        <f>7.968*100000000</f>
        <v>796800000</v>
      </c>
      <c r="AU1327" s="8">
        <f t="shared" si="646"/>
        <v>0.99499248873309964</v>
      </c>
      <c r="AV1327" s="6" t="s">
        <v>10740</v>
      </c>
      <c r="AW1327" s="6" t="str">
        <f t="shared" si="630"/>
        <v>=3.994*100000000</v>
      </c>
      <c r="AX1327" s="1">
        <f>3.994*100000000</f>
        <v>399400000</v>
      </c>
      <c r="AY1327" s="10">
        <f t="shared" si="647"/>
        <v>-0.64995617879053458</v>
      </c>
      <c r="AZ1327" s="6" t="s">
        <v>2444</v>
      </c>
      <c r="BA1327" s="6" t="str">
        <f t="shared" si="631"/>
        <v>=11.41*100000000</v>
      </c>
      <c r="BB1327" s="1">
        <f>11.41*100000000</f>
        <v>1141000000</v>
      </c>
      <c r="BC1327" s="8">
        <f t="shared" si="648"/>
        <v>6.3373718546132343E-2</v>
      </c>
      <c r="BD1327" s="6" t="s">
        <v>2138</v>
      </c>
      <c r="BE1327" s="6" t="str">
        <f t="shared" si="632"/>
        <v>=10.73*100000000</v>
      </c>
      <c r="BF1327" s="1">
        <f>10.73*100000000</f>
        <v>1073000000</v>
      </c>
      <c r="BG1327" s="8">
        <f t="shared" si="649"/>
        <v>0.47938783951468356</v>
      </c>
      <c r="BH1327" s="6" t="s">
        <v>13148</v>
      </c>
      <c r="BI1327" s="6" t="str">
        <f t="shared" si="633"/>
        <v>=7.253*100000000</v>
      </c>
      <c r="BJ1327" s="1">
        <f>7.253*100000000</f>
        <v>725300000</v>
      </c>
      <c r="BK1327" s="6" t="s">
        <v>13149</v>
      </c>
      <c r="BL1327" s="1" t="str">
        <f t="shared" si="635"/>
        <v>=3.783*100000000</v>
      </c>
      <c r="BM1327" s="16">
        <f t="shared" si="650"/>
        <v>0.91726143272535021</v>
      </c>
      <c r="BN1327" s="1">
        <f>3.783*100000000</f>
        <v>378300000</v>
      </c>
    </row>
    <row r="1328" spans="1:66">
      <c r="A1328" s="18"/>
      <c r="B1328">
        <v>601228</v>
      </c>
      <c r="C1328" t="s">
        <v>58</v>
      </c>
      <c r="D1328" s="6" t="s">
        <v>2079</v>
      </c>
      <c r="E1328" s="7" t="str">
        <f t="shared" si="634"/>
        <v>=16.08*100000000</v>
      </c>
      <c r="F1328" s="1">
        <f>16.08*100000000</f>
        <v>1607999999.9999998</v>
      </c>
      <c r="G1328" s="8">
        <f t="shared" si="636"/>
        <v>0.29886914378029061</v>
      </c>
      <c r="H1328" s="6" t="s">
        <v>6194</v>
      </c>
      <c r="I1328" s="6" t="str">
        <f t="shared" si="620"/>
        <v>=12.38*100000000</v>
      </c>
      <c r="J1328" s="1">
        <f>12.38*100000000</f>
        <v>1238000000</v>
      </c>
      <c r="K1328" s="10">
        <f t="shared" si="637"/>
        <v>0.50206260616355236</v>
      </c>
      <c r="L1328" s="6" t="s">
        <v>13150</v>
      </c>
      <c r="M1328" s="6" t="str">
        <f t="shared" si="621"/>
        <v>=8.242*100000000</v>
      </c>
      <c r="N1328" s="1">
        <f>8.242*100000000</f>
        <v>824200000.00000012</v>
      </c>
      <c r="O1328" s="8">
        <f t="shared" si="638"/>
        <v>1.0988031576266872</v>
      </c>
      <c r="P1328" s="6" t="s">
        <v>13151</v>
      </c>
      <c r="Q1328" s="6" t="str">
        <f t="shared" si="622"/>
        <v>=3.927*100000000</v>
      </c>
      <c r="R1328" s="11">
        <f>3.927*100000000</f>
        <v>392700000</v>
      </c>
      <c r="S1328" s="8">
        <f t="shared" si="639"/>
        <v>-0.71564083997103545</v>
      </c>
      <c r="T1328" s="6" t="s">
        <v>2634</v>
      </c>
      <c r="U1328" s="6" t="str">
        <f t="shared" si="623"/>
        <v>=13.81*100000000</v>
      </c>
      <c r="V1328" s="1">
        <f>13.81*100000000</f>
        <v>1381000000</v>
      </c>
      <c r="W1328" s="8">
        <f t="shared" si="640"/>
        <v>0.17732310315430519</v>
      </c>
      <c r="X1328" s="6" t="s">
        <v>6864</v>
      </c>
      <c r="Y1328" s="6" t="str">
        <f t="shared" si="624"/>
        <v>=11.73*100000000</v>
      </c>
      <c r="Z1328" s="1">
        <f>11.73*100000000</f>
        <v>1173000000</v>
      </c>
      <c r="AA1328" s="8">
        <f t="shared" si="641"/>
        <v>0.55446594222104428</v>
      </c>
      <c r="AB1328" s="6" t="s">
        <v>13152</v>
      </c>
      <c r="AC1328" s="6" t="str">
        <f t="shared" si="625"/>
        <v>=7.546*100000000</v>
      </c>
      <c r="AD1328" s="1">
        <f>7.546*100000000</f>
        <v>754600000</v>
      </c>
      <c r="AE1328" s="8">
        <f t="shared" si="642"/>
        <v>1.3376703841387856</v>
      </c>
      <c r="AF1328" s="6" t="s">
        <v>11771</v>
      </c>
      <c r="AG1328" s="6" t="str">
        <f t="shared" si="626"/>
        <v>=3.228*100000000</v>
      </c>
      <c r="AH1328" s="1">
        <f>3.228*100000000</f>
        <v>322800000</v>
      </c>
      <c r="AI1328" s="8">
        <f t="shared" si="643"/>
        <v>-0.75982142857142854</v>
      </c>
      <c r="AJ1328" s="6" t="s">
        <v>8999</v>
      </c>
      <c r="AK1328" s="6" t="str">
        <f t="shared" si="627"/>
        <v>=13.44*100000000</v>
      </c>
      <c r="AL1328" s="1">
        <f>13.44*100000000</f>
        <v>1344000000</v>
      </c>
      <c r="AM1328" s="8">
        <f t="shared" si="644"/>
        <v>0.17585301837270342</v>
      </c>
      <c r="AN1328" s="6" t="s">
        <v>5256</v>
      </c>
      <c r="AO1328" s="6" t="str">
        <f t="shared" si="628"/>
        <v>=11.43*100000000</v>
      </c>
      <c r="AP1328" s="1">
        <f>11.43*100000000</f>
        <v>1143000000</v>
      </c>
      <c r="AQ1328" s="8">
        <f t="shared" si="645"/>
        <v>0.40763546798029576</v>
      </c>
      <c r="AR1328" s="6" t="s">
        <v>3649</v>
      </c>
      <c r="AS1328" s="6" t="str">
        <f t="shared" si="629"/>
        <v>=8.120*100000000</v>
      </c>
      <c r="AT1328" s="1">
        <f>8.12*100000000</f>
        <v>811999999.99999988</v>
      </c>
      <c r="AU1328" s="8">
        <f t="shared" si="646"/>
        <v>1.0289855072463765</v>
      </c>
      <c r="AV1328" s="6" t="s">
        <v>7502</v>
      </c>
      <c r="AW1328" s="6" t="str">
        <f t="shared" si="630"/>
        <v>=4.002*100000000</v>
      </c>
      <c r="AX1328" s="1">
        <f>4.002*100000000</f>
        <v>400200000</v>
      </c>
      <c r="AY1328" s="10">
        <f t="shared" si="647"/>
        <v>-0.66027164685908324</v>
      </c>
      <c r="AZ1328" s="6" t="s">
        <v>2035</v>
      </c>
      <c r="BA1328" s="6" t="str">
        <f t="shared" si="631"/>
        <v>=11.78*100000000</v>
      </c>
      <c r="BB1328" s="1">
        <f>11.78*100000000</f>
        <v>1178000000</v>
      </c>
      <c r="BC1328" s="8">
        <f t="shared" si="648"/>
        <v>6.50994575045208E-2</v>
      </c>
      <c r="BD1328" s="6" t="s">
        <v>3155</v>
      </c>
      <c r="BE1328" s="6" t="str">
        <f t="shared" si="632"/>
        <v>=11.06*100000000</v>
      </c>
      <c r="BF1328" s="1">
        <f>11.06*100000000</f>
        <v>1106000000</v>
      </c>
      <c r="BG1328" s="8">
        <f t="shared" si="649"/>
        <v>0.47506001600426778</v>
      </c>
      <c r="BH1328" s="6" t="s">
        <v>13153</v>
      </c>
      <c r="BI1328" s="6" t="str">
        <f t="shared" si="633"/>
        <v>=7.498*100000000</v>
      </c>
      <c r="BJ1328" s="1">
        <f>7.498*100000000</f>
        <v>749800000</v>
      </c>
      <c r="BK1328" s="6" t="s">
        <v>9170</v>
      </c>
      <c r="BL1328" s="1" t="str">
        <f t="shared" si="635"/>
        <v>=3.785*100000000</v>
      </c>
      <c r="BM1328" s="16">
        <f t="shared" si="650"/>
        <v>0.98097754293262884</v>
      </c>
      <c r="BN1328" s="1">
        <f>3.785*100000000</f>
        <v>378500000</v>
      </c>
    </row>
    <row r="1329" spans="1:66">
      <c r="A1329" s="19"/>
      <c r="B1329">
        <v>601228</v>
      </c>
      <c r="C1329" t="s">
        <v>68</v>
      </c>
      <c r="D1329" s="6" t="s">
        <v>13154</v>
      </c>
      <c r="E1329" s="7" t="str">
        <f t="shared" si="634"/>
        <v>=12.80*100000000</v>
      </c>
      <c r="F1329" s="1">
        <f>12.8*100000000</f>
        <v>1280000000</v>
      </c>
      <c r="G1329" s="8">
        <f t="shared" si="636"/>
        <v>0.32587528485601824</v>
      </c>
      <c r="H1329" s="6" t="s">
        <v>13155</v>
      </c>
      <c r="I1329" s="6" t="str">
        <f t="shared" si="620"/>
        <v>=9.654*100000000</v>
      </c>
      <c r="J1329" s="1">
        <f>9.654*100000000</f>
        <v>965400000</v>
      </c>
      <c r="K1329" s="10">
        <f t="shared" si="637"/>
        <v>0.52343380148335172</v>
      </c>
      <c r="L1329" s="6" t="s">
        <v>13156</v>
      </c>
      <c r="M1329" s="6" t="str">
        <f t="shared" si="621"/>
        <v>=6.337*100000000</v>
      </c>
      <c r="N1329" s="1">
        <f>6.337*100000000</f>
        <v>633700000</v>
      </c>
      <c r="O1329" s="8">
        <f t="shared" si="638"/>
        <v>1.1495929443690638</v>
      </c>
      <c r="P1329" s="6" t="s">
        <v>6151</v>
      </c>
      <c r="Q1329" s="6" t="str">
        <f t="shared" si="622"/>
        <v>=2.948*100000000</v>
      </c>
      <c r="R1329" s="11">
        <f>2.948*100000000</f>
        <v>294800000</v>
      </c>
      <c r="S1329" s="8">
        <f t="shared" si="639"/>
        <v>-0.72448598130841113</v>
      </c>
      <c r="T1329" s="6" t="s">
        <v>5856</v>
      </c>
      <c r="U1329" s="6" t="str">
        <f t="shared" si="623"/>
        <v>=10.70*100000000</v>
      </c>
      <c r="V1329" s="1">
        <f>10.7*100000000</f>
        <v>1069999999.9999999</v>
      </c>
      <c r="W1329" s="8">
        <f t="shared" si="640"/>
        <v>0.17221735319894815</v>
      </c>
      <c r="X1329" s="6" t="s">
        <v>13157</v>
      </c>
      <c r="Y1329" s="6" t="str">
        <f t="shared" si="624"/>
        <v>=9.128*100000000</v>
      </c>
      <c r="Z1329" s="1">
        <f>9.128*100000000</f>
        <v>912800000</v>
      </c>
      <c r="AA1329" s="8">
        <f t="shared" si="641"/>
        <v>0.49052906596995427</v>
      </c>
      <c r="AB1329" s="6" t="s">
        <v>9751</v>
      </c>
      <c r="AC1329" s="6" t="str">
        <f t="shared" si="625"/>
        <v>=6.124*100000000</v>
      </c>
      <c r="AD1329" s="1">
        <f>6.124*100000000</f>
        <v>612400000</v>
      </c>
      <c r="AE1329" s="8">
        <f t="shared" si="642"/>
        <v>1.2850746268656714</v>
      </c>
      <c r="AF1329" s="6" t="s">
        <v>4383</v>
      </c>
      <c r="AG1329" s="6" t="str">
        <f t="shared" si="626"/>
        <v>=2.680*100000000</v>
      </c>
      <c r="AH1329" s="1">
        <f>2.68*100000000</f>
        <v>268000000.00000003</v>
      </c>
      <c r="AI1329" s="8">
        <f t="shared" si="643"/>
        <v>-0.7425552353506244</v>
      </c>
      <c r="AJ1329" s="6" t="s">
        <v>6326</v>
      </c>
      <c r="AK1329" s="6" t="str">
        <f t="shared" si="627"/>
        <v>=10.41*100000000</v>
      </c>
      <c r="AL1329" s="1">
        <f>10.41*100000000</f>
        <v>1041000000</v>
      </c>
      <c r="AM1329" s="8">
        <f t="shared" si="644"/>
        <v>0.16717120753447695</v>
      </c>
      <c r="AN1329" s="6" t="s">
        <v>13158</v>
      </c>
      <c r="AO1329" s="6" t="str">
        <f t="shared" si="628"/>
        <v>=8.919*100000000</v>
      </c>
      <c r="AP1329" s="1">
        <f>8.919*100000000</f>
        <v>891900000</v>
      </c>
      <c r="AQ1329" s="8">
        <f t="shared" si="645"/>
        <v>0.42864007688611244</v>
      </c>
      <c r="AR1329" s="6" t="s">
        <v>13159</v>
      </c>
      <c r="AS1329" s="6" t="str">
        <f t="shared" si="629"/>
        <v>=6.243*100000000</v>
      </c>
      <c r="AT1329" s="1">
        <f>6.243*100000000</f>
        <v>624300000</v>
      </c>
      <c r="AU1329" s="8">
        <f t="shared" si="646"/>
        <v>0.99839948783610755</v>
      </c>
      <c r="AV1329" s="6" t="s">
        <v>13160</v>
      </c>
      <c r="AW1329" s="6" t="str">
        <f t="shared" si="630"/>
        <v>=3.124*100000000</v>
      </c>
      <c r="AX1329" s="1">
        <f>3.124*100000000</f>
        <v>312400000</v>
      </c>
      <c r="AY1329" s="10">
        <f t="shared" si="647"/>
        <v>-0.65067650676506761</v>
      </c>
      <c r="AZ1329" s="6" t="s">
        <v>13161</v>
      </c>
      <c r="BA1329" s="6" t="str">
        <f t="shared" si="631"/>
        <v>=8.943*100000000</v>
      </c>
      <c r="BB1329" s="1">
        <f>8.943*100000000</f>
        <v>894300000</v>
      </c>
      <c r="BC1329" s="8">
        <f t="shared" si="648"/>
        <v>5.684235405341527E-2</v>
      </c>
      <c r="BD1329" s="6" t="s">
        <v>13162</v>
      </c>
      <c r="BE1329" s="6" t="str">
        <f t="shared" si="632"/>
        <v>=8.462*100000000</v>
      </c>
      <c r="BF1329" s="1">
        <f>8.462*100000000</f>
        <v>846200000</v>
      </c>
      <c r="BG1329" s="8">
        <f t="shared" si="649"/>
        <v>0.46553515760304814</v>
      </c>
      <c r="BH1329" s="6" t="s">
        <v>10177</v>
      </c>
      <c r="BI1329" s="6" t="str">
        <f t="shared" si="633"/>
        <v>=5.774*100000000</v>
      </c>
      <c r="BJ1329" s="1">
        <f>5.774*100000000</f>
        <v>577400000</v>
      </c>
      <c r="BK1329" s="6" t="s">
        <v>13163</v>
      </c>
      <c r="BL1329" s="1" t="str">
        <f t="shared" si="635"/>
        <v>=2.975*100000000</v>
      </c>
      <c r="BM1329" s="16">
        <f t="shared" si="650"/>
        <v>0.94084033613445384</v>
      </c>
      <c r="BN1329" s="1">
        <f>2.975*100000000</f>
        <v>297500000</v>
      </c>
    </row>
    <row r="1330" spans="1:66">
      <c r="A1330" s="17">
        <v>334</v>
      </c>
      <c r="B1330">
        <v>601231</v>
      </c>
      <c r="C1330" t="s">
        <v>31</v>
      </c>
      <c r="D1330" s="6" t="s">
        <v>13164</v>
      </c>
      <c r="E1330" s="7" t="str">
        <f t="shared" si="634"/>
        <v>=553.0*100000000</v>
      </c>
      <c r="F1330" s="1">
        <f>553*100000000</f>
        <v>55300000000</v>
      </c>
      <c r="G1330" s="8">
        <f t="shared" si="636"/>
        <v>0.51423877327491785</v>
      </c>
      <c r="H1330" s="6" t="s">
        <v>13165</v>
      </c>
      <c r="I1330" s="6" t="str">
        <f t="shared" si="620"/>
        <v>=365.2*100000000</v>
      </c>
      <c r="J1330" s="1">
        <f>365.2*100000000</f>
        <v>36520000000</v>
      </c>
      <c r="K1330" s="10">
        <f t="shared" si="637"/>
        <v>0.6398742703188145</v>
      </c>
      <c r="L1330" s="6" t="s">
        <v>13166</v>
      </c>
      <c r="M1330" s="6" t="str">
        <f t="shared" si="621"/>
        <v>=222.7*100000000</v>
      </c>
      <c r="N1330" s="1">
        <f>222.7*100000000</f>
        <v>22270000000</v>
      </c>
      <c r="O1330" s="8">
        <f t="shared" si="638"/>
        <v>1.0375114364135407</v>
      </c>
      <c r="P1330" s="6" t="s">
        <v>12314</v>
      </c>
      <c r="Q1330" s="6" t="str">
        <f t="shared" si="622"/>
        <v>=109.3*100000000</v>
      </c>
      <c r="R1330" s="11">
        <f>109.3*100000000</f>
        <v>10930000000</v>
      </c>
      <c r="S1330" s="8">
        <f t="shared" si="639"/>
        <v>-0.7708595387840671</v>
      </c>
      <c r="T1330" s="6" t="s">
        <v>13167</v>
      </c>
      <c r="U1330" s="6" t="str">
        <f t="shared" si="623"/>
        <v>=477.0*100000000</v>
      </c>
      <c r="V1330" s="1">
        <f>477*100000000</f>
        <v>47700000000</v>
      </c>
      <c r="W1330" s="8">
        <f t="shared" si="640"/>
        <v>0.61804613297150612</v>
      </c>
      <c r="X1330" s="6" t="s">
        <v>1845</v>
      </c>
      <c r="Y1330" s="6" t="str">
        <f t="shared" si="624"/>
        <v>=294.8*100000000</v>
      </c>
      <c r="Z1330" s="1">
        <f>294.8*100000000</f>
        <v>29480000000</v>
      </c>
      <c r="AA1330" s="8">
        <f t="shared" si="641"/>
        <v>0.7320799059929497</v>
      </c>
      <c r="AB1330" s="6" t="s">
        <v>4704</v>
      </c>
      <c r="AC1330" s="6" t="str">
        <f t="shared" si="625"/>
        <v>=170.2*100000000</v>
      </c>
      <c r="AD1330" s="1">
        <f>170.2*100000000</f>
        <v>17019999999.999998</v>
      </c>
      <c r="AE1330" s="8">
        <f t="shared" si="642"/>
        <v>1.2356495468277944</v>
      </c>
      <c r="AF1330" s="6" t="s">
        <v>6265</v>
      </c>
      <c r="AG1330" s="6" t="str">
        <f t="shared" si="626"/>
        <v>=76.13*100000000</v>
      </c>
      <c r="AH1330" s="1">
        <f>76.13*100000000</f>
        <v>7613000000</v>
      </c>
      <c r="AI1330" s="8">
        <f t="shared" si="643"/>
        <v>-0.79534946236559145</v>
      </c>
      <c r="AJ1330" s="6" t="s">
        <v>13168</v>
      </c>
      <c r="AK1330" s="6" t="str">
        <f t="shared" si="627"/>
        <v>=372.0*100000000</v>
      </c>
      <c r="AL1330" s="1">
        <f>372*100000000</f>
        <v>37200000000</v>
      </c>
      <c r="AM1330" s="8">
        <f t="shared" si="644"/>
        <v>0.43242202541393915</v>
      </c>
      <c r="AN1330" s="6" t="s">
        <v>13169</v>
      </c>
      <c r="AO1330" s="6" t="str">
        <f t="shared" si="628"/>
        <v>=259.7*100000000</v>
      </c>
      <c r="AP1330" s="1">
        <f>259.7*100000000</f>
        <v>25970000000</v>
      </c>
      <c r="AQ1330" s="8">
        <f t="shared" si="645"/>
        <v>0.77876712328767128</v>
      </c>
      <c r="AR1330" s="6" t="s">
        <v>1785</v>
      </c>
      <c r="AS1330" s="6" t="str">
        <f t="shared" si="629"/>
        <v>=146.0*100000000</v>
      </c>
      <c r="AT1330" s="1">
        <f>146*100000000</f>
        <v>14600000000</v>
      </c>
      <c r="AU1330" s="8">
        <f t="shared" si="646"/>
        <v>0.90228013029315957</v>
      </c>
      <c r="AV1330" s="6" t="s">
        <v>13170</v>
      </c>
      <c r="AW1330" s="6" t="str">
        <f t="shared" si="630"/>
        <v>=76.75*100000000</v>
      </c>
      <c r="AX1330" s="1">
        <f>76.75*100000000</f>
        <v>7675000000</v>
      </c>
      <c r="AY1330" s="10">
        <f t="shared" si="647"/>
        <v>-0.77123695976154993</v>
      </c>
      <c r="AZ1330" s="6" t="s">
        <v>13171</v>
      </c>
      <c r="BA1330" s="6" t="str">
        <f t="shared" si="631"/>
        <v>=335.5*100000000</v>
      </c>
      <c r="BB1330" s="1">
        <f>335.5*100000000</f>
        <v>33550000000</v>
      </c>
      <c r="BC1330" s="8">
        <f t="shared" si="648"/>
        <v>0.51467268623024831</v>
      </c>
      <c r="BD1330" s="6" t="s">
        <v>13172</v>
      </c>
      <c r="BE1330" s="6" t="str">
        <f t="shared" si="632"/>
        <v>=221.5*100000000</v>
      </c>
      <c r="BF1330" s="1">
        <f>221.5*100000000</f>
        <v>22150000000</v>
      </c>
      <c r="BG1330" s="8">
        <f t="shared" si="649"/>
        <v>0.73046875</v>
      </c>
      <c r="BH1330" s="6" t="s">
        <v>9021</v>
      </c>
      <c r="BI1330" s="6" t="str">
        <f t="shared" si="633"/>
        <v>=128.0*100000000</v>
      </c>
      <c r="BJ1330" s="1">
        <f>128*100000000</f>
        <v>12800000000</v>
      </c>
      <c r="BK1330" s="6" t="s">
        <v>7885</v>
      </c>
      <c r="BL1330" s="1" t="str">
        <f t="shared" si="635"/>
        <v>=62.26*100000000</v>
      </c>
      <c r="BM1330" s="16">
        <f t="shared" si="650"/>
        <v>1.0558946353999357</v>
      </c>
      <c r="BN1330" s="1">
        <f>62.26*100000000</f>
        <v>6226000000</v>
      </c>
    </row>
    <row r="1331" spans="1:66">
      <c r="A1331" s="18"/>
      <c r="B1331">
        <v>601231</v>
      </c>
      <c r="C1331" t="s">
        <v>48</v>
      </c>
      <c r="D1331" s="6" t="s">
        <v>558</v>
      </c>
      <c r="E1331" s="7" t="str">
        <f t="shared" si="634"/>
        <v>=21.32*100000000</v>
      </c>
      <c r="F1331" s="1">
        <f>21.32*100000000</f>
        <v>2132000000</v>
      </c>
      <c r="G1331" s="8">
        <f t="shared" si="636"/>
        <v>0.67741935483870963</v>
      </c>
      <c r="H1331" s="6" t="s">
        <v>3952</v>
      </c>
      <c r="I1331" s="6" t="str">
        <f t="shared" si="620"/>
        <v>=12.71*100000000</v>
      </c>
      <c r="J1331" s="1">
        <f>12.71*100000000</f>
        <v>1271000000</v>
      </c>
      <c r="K1331" s="10">
        <f t="shared" si="637"/>
        <v>1.04143912624478</v>
      </c>
      <c r="L1331" s="6" t="s">
        <v>1407</v>
      </c>
      <c r="M1331" s="6" t="str">
        <f t="shared" si="621"/>
        <v>=6.226*100000000</v>
      </c>
      <c r="N1331" s="1">
        <f>6.226*100000000</f>
        <v>622600000</v>
      </c>
      <c r="O1331" s="8">
        <f t="shared" si="638"/>
        <v>0.79217040875071965</v>
      </c>
      <c r="P1331" s="6" t="s">
        <v>9071</v>
      </c>
      <c r="Q1331" s="6" t="str">
        <f t="shared" si="622"/>
        <v>=3.474*100000000</v>
      </c>
      <c r="R1331" s="11">
        <f>3.474*100000000</f>
        <v>347400000</v>
      </c>
      <c r="S1331" s="8">
        <f t="shared" si="639"/>
        <v>-0.82293577981651378</v>
      </c>
      <c r="T1331" s="6" t="s">
        <v>13173</v>
      </c>
      <c r="U1331" s="6" t="str">
        <f t="shared" si="623"/>
        <v>=19.62*100000000</v>
      </c>
      <c r="V1331" s="1">
        <f>19.62*100000000</f>
        <v>1962000000</v>
      </c>
      <c r="W1331" s="8">
        <f t="shared" si="640"/>
        <v>0.72559366754617416</v>
      </c>
      <c r="X1331" s="6" t="s">
        <v>1378</v>
      </c>
      <c r="Y1331" s="6" t="str">
        <f t="shared" si="624"/>
        <v>=11.37*100000000</v>
      </c>
      <c r="Z1331" s="1">
        <f>11.37*100000000</f>
        <v>1137000000</v>
      </c>
      <c r="AA1331" s="8">
        <f t="shared" si="641"/>
        <v>1.0156000709094133</v>
      </c>
      <c r="AB1331" s="6" t="s">
        <v>5308</v>
      </c>
      <c r="AC1331" s="6" t="str">
        <f t="shared" si="625"/>
        <v>=5.641*100000000</v>
      </c>
      <c r="AD1331" s="1">
        <f>5.641*100000000</f>
        <v>564100000</v>
      </c>
      <c r="AE1331" s="8">
        <f t="shared" si="642"/>
        <v>1.6900333810205055</v>
      </c>
      <c r="AF1331" s="6" t="s">
        <v>4094</v>
      </c>
      <c r="AG1331" s="6" t="str">
        <f t="shared" si="626"/>
        <v>=2.097*100000000</v>
      </c>
      <c r="AH1331" s="1">
        <f>2.097*100000000</f>
        <v>209700000</v>
      </c>
      <c r="AI1331" s="8">
        <f t="shared" si="643"/>
        <v>-0.85253164556962024</v>
      </c>
      <c r="AJ1331" s="6" t="s">
        <v>4508</v>
      </c>
      <c r="AK1331" s="6" t="str">
        <f t="shared" si="627"/>
        <v>=14.22*100000000</v>
      </c>
      <c r="AL1331" s="1">
        <f>14.22*100000000</f>
        <v>1422000000</v>
      </c>
      <c r="AM1331" s="8">
        <f t="shared" si="644"/>
        <v>0.48434237995824636</v>
      </c>
      <c r="AN1331" s="6" t="s">
        <v>12802</v>
      </c>
      <c r="AO1331" s="6" t="str">
        <f t="shared" si="628"/>
        <v>=9.580*100000000</v>
      </c>
      <c r="AP1331" s="1">
        <f>9.58*100000000</f>
        <v>958000000</v>
      </c>
      <c r="AQ1331" s="8">
        <f t="shared" si="645"/>
        <v>1.1639936751750624</v>
      </c>
      <c r="AR1331" s="6" t="s">
        <v>9207</v>
      </c>
      <c r="AS1331" s="6" t="str">
        <f t="shared" si="629"/>
        <v>=4.427*100000000</v>
      </c>
      <c r="AT1331" s="1">
        <f>4.427*100000000</f>
        <v>442699999.99999994</v>
      </c>
      <c r="AU1331" s="8">
        <f t="shared" si="646"/>
        <v>0.70400307929176265</v>
      </c>
      <c r="AV1331" s="6" t="s">
        <v>13174</v>
      </c>
      <c r="AW1331" s="6" t="str">
        <f t="shared" si="630"/>
        <v>=2.598*100000000</v>
      </c>
      <c r="AX1331" s="1">
        <f>2.598*100000000</f>
        <v>259800000</v>
      </c>
      <c r="AY1331" s="10">
        <f t="shared" si="647"/>
        <v>-0.81268925739005049</v>
      </c>
      <c r="AZ1331" s="6" t="s">
        <v>1193</v>
      </c>
      <c r="BA1331" s="6" t="str">
        <f t="shared" si="631"/>
        <v>=13.87*100000000</v>
      </c>
      <c r="BB1331" s="1">
        <f>13.87*100000000</f>
        <v>1387000000</v>
      </c>
      <c r="BC1331" s="8">
        <f t="shared" si="648"/>
        <v>0.52116692257073916</v>
      </c>
      <c r="BD1331" s="6" t="s">
        <v>9732</v>
      </c>
      <c r="BE1331" s="6" t="str">
        <f t="shared" si="632"/>
        <v>=9.118*100000000</v>
      </c>
      <c r="BF1331" s="1">
        <f>9.118*100000000</f>
        <v>911800000</v>
      </c>
      <c r="BG1331" s="8">
        <f t="shared" si="649"/>
        <v>0.90753138075313811</v>
      </c>
      <c r="BH1331" s="6" t="s">
        <v>5751</v>
      </c>
      <c r="BI1331" s="6" t="str">
        <f t="shared" si="633"/>
        <v>=4.780*100000000</v>
      </c>
      <c r="BJ1331" s="1">
        <f>4.78*100000000</f>
        <v>478000000</v>
      </c>
      <c r="BK1331" s="6" t="s">
        <v>13175</v>
      </c>
      <c r="BL1331" s="1" t="str">
        <f t="shared" si="635"/>
        <v>=2.238*100000000</v>
      </c>
      <c r="BM1331" s="16">
        <f t="shared" si="650"/>
        <v>1.1358355674709562</v>
      </c>
      <c r="BN1331" s="1">
        <f>2.238*100000000</f>
        <v>223800000</v>
      </c>
    </row>
    <row r="1332" spans="1:66">
      <c r="A1332" s="18"/>
      <c r="B1332">
        <v>601231</v>
      </c>
      <c r="C1332" t="s">
        <v>58</v>
      </c>
      <c r="D1332" s="6" t="s">
        <v>3460</v>
      </c>
      <c r="E1332" s="7" t="str">
        <f t="shared" si="634"/>
        <v>=21.39*100000000</v>
      </c>
      <c r="F1332" s="1">
        <f>21.39*100000000</f>
        <v>2139000000</v>
      </c>
      <c r="G1332" s="8">
        <f t="shared" si="636"/>
        <v>0.67109375000000004</v>
      </c>
      <c r="H1332" s="6" t="s">
        <v>13154</v>
      </c>
      <c r="I1332" s="6" t="str">
        <f t="shared" si="620"/>
        <v>=12.80*100000000</v>
      </c>
      <c r="J1332" s="1">
        <f>12.8*100000000</f>
        <v>1280000000</v>
      </c>
      <c r="K1332" s="10">
        <f t="shared" si="637"/>
        <v>1.0154306408439615</v>
      </c>
      <c r="L1332" s="6" t="s">
        <v>13176</v>
      </c>
      <c r="M1332" s="6" t="str">
        <f t="shared" si="621"/>
        <v>=6.351*100000000</v>
      </c>
      <c r="N1332" s="1">
        <f>6.351*100000000</f>
        <v>635100000</v>
      </c>
      <c r="O1332" s="8">
        <f t="shared" si="638"/>
        <v>0.80682788051209109</v>
      </c>
      <c r="P1332" s="6" t="s">
        <v>6806</v>
      </c>
      <c r="Q1332" s="6" t="str">
        <f t="shared" si="622"/>
        <v>=3.515*100000000</v>
      </c>
      <c r="R1332" s="11">
        <f>3.515*100000000</f>
        <v>351500000</v>
      </c>
      <c r="S1332" s="8">
        <f t="shared" si="639"/>
        <v>-0.82193515704153997</v>
      </c>
      <c r="T1332" s="6" t="s">
        <v>13177</v>
      </c>
      <c r="U1332" s="6" t="str">
        <f t="shared" si="623"/>
        <v>=19.74*100000000</v>
      </c>
      <c r="V1332" s="1">
        <f>19.74*100000000</f>
        <v>1973999999.9999998</v>
      </c>
      <c r="W1332" s="8">
        <f t="shared" si="640"/>
        <v>0.72401746724890814</v>
      </c>
      <c r="X1332" s="6" t="s">
        <v>3338</v>
      </c>
      <c r="Y1332" s="6" t="str">
        <f t="shared" si="624"/>
        <v>=11.45*100000000</v>
      </c>
      <c r="Z1332" s="1">
        <f>11.45*100000000</f>
        <v>1145000000</v>
      </c>
      <c r="AA1332" s="8">
        <f t="shared" si="641"/>
        <v>1.0126560028124452</v>
      </c>
      <c r="AB1332" s="6" t="s">
        <v>13178</v>
      </c>
      <c r="AC1332" s="6" t="str">
        <f t="shared" si="625"/>
        <v>=5.689*100000000</v>
      </c>
      <c r="AD1332" s="1">
        <f>5.689*100000000</f>
        <v>568900000</v>
      </c>
      <c r="AE1332" s="8">
        <f t="shared" si="642"/>
        <v>1.6771764705882353</v>
      </c>
      <c r="AF1332" s="6" t="s">
        <v>4024</v>
      </c>
      <c r="AG1332" s="6" t="str">
        <f t="shared" si="626"/>
        <v>=2.125*100000000</v>
      </c>
      <c r="AH1332" s="1">
        <f>2.125*100000000</f>
        <v>212500000</v>
      </c>
      <c r="AI1332" s="8">
        <f t="shared" si="643"/>
        <v>-0.85170969993021628</v>
      </c>
      <c r="AJ1332" s="6" t="s">
        <v>13179</v>
      </c>
      <c r="AK1332" s="6" t="str">
        <f t="shared" si="627"/>
        <v>=14.33*100000000</v>
      </c>
      <c r="AL1332" s="1">
        <f>14.33*100000000</f>
        <v>1433000000</v>
      </c>
      <c r="AM1332" s="8">
        <f t="shared" si="644"/>
        <v>0.48512799253808703</v>
      </c>
      <c r="AN1332" s="6" t="s">
        <v>13180</v>
      </c>
      <c r="AO1332" s="6" t="str">
        <f t="shared" si="628"/>
        <v>=9.649*100000000</v>
      </c>
      <c r="AP1332" s="1">
        <f>9.649*100000000</f>
        <v>964899999.99999988</v>
      </c>
      <c r="AQ1332" s="8">
        <f t="shared" si="645"/>
        <v>1.1586129753914987</v>
      </c>
      <c r="AR1332" s="6" t="s">
        <v>4560</v>
      </c>
      <c r="AS1332" s="6" t="str">
        <f t="shared" si="629"/>
        <v>=4.470*100000000</v>
      </c>
      <c r="AT1332" s="1">
        <f>4.47*100000000</f>
        <v>447000000</v>
      </c>
      <c r="AU1332" s="8">
        <f t="shared" si="646"/>
        <v>0.71330011498658485</v>
      </c>
      <c r="AV1332" s="6" t="s">
        <v>13181</v>
      </c>
      <c r="AW1332" s="6" t="str">
        <f t="shared" si="630"/>
        <v>=2.609*100000000</v>
      </c>
      <c r="AX1332" s="1">
        <f>2.609*100000000</f>
        <v>260900000</v>
      </c>
      <c r="AY1332" s="10">
        <f t="shared" si="647"/>
        <v>-0.81270638908829862</v>
      </c>
      <c r="AZ1332" s="6" t="s">
        <v>1345</v>
      </c>
      <c r="BA1332" s="6" t="str">
        <f t="shared" si="631"/>
        <v>=13.93*100000000</v>
      </c>
      <c r="BB1332" s="1">
        <f>13.93*100000000</f>
        <v>1393000000</v>
      </c>
      <c r="BC1332" s="8">
        <f t="shared" si="648"/>
        <v>0.5179252479023646</v>
      </c>
      <c r="BD1332" s="6" t="s">
        <v>13182</v>
      </c>
      <c r="BE1332" s="6" t="str">
        <f t="shared" si="632"/>
        <v>=9.177*100000000</v>
      </c>
      <c r="BF1332" s="1">
        <f>9.177*100000000</f>
        <v>917700000</v>
      </c>
      <c r="BG1332" s="8">
        <f t="shared" si="649"/>
        <v>0.98636363636363633</v>
      </c>
      <c r="BH1332" s="6" t="s">
        <v>6195</v>
      </c>
      <c r="BI1332" s="6" t="str">
        <f t="shared" si="633"/>
        <v>=4.620*100000000</v>
      </c>
      <c r="BJ1332" s="1">
        <f>4.62*100000000</f>
        <v>462000000</v>
      </c>
      <c r="BK1332" s="6" t="s">
        <v>10918</v>
      </c>
      <c r="BL1332" s="1" t="str">
        <f t="shared" si="635"/>
        <v>=2.204*100000000</v>
      </c>
      <c r="BM1332" s="16">
        <f t="shared" si="650"/>
        <v>1.0961887477313972</v>
      </c>
      <c r="BN1332" s="1">
        <f>2.204*100000000</f>
        <v>220400000.00000003</v>
      </c>
    </row>
    <row r="1333" spans="1:66">
      <c r="A1333" s="19"/>
      <c r="B1333">
        <v>601231</v>
      </c>
      <c r="C1333" t="s">
        <v>68</v>
      </c>
      <c r="D1333" s="6" t="s">
        <v>1947</v>
      </c>
      <c r="E1333" s="7" t="str">
        <f t="shared" si="634"/>
        <v>=18.57*100000000</v>
      </c>
      <c r="F1333" s="1">
        <f>18.57*100000000</f>
        <v>1857000000</v>
      </c>
      <c r="G1333" s="8">
        <f t="shared" si="636"/>
        <v>0.65508021390374327</v>
      </c>
      <c r="H1333" s="6" t="s">
        <v>2433</v>
      </c>
      <c r="I1333" s="6" t="str">
        <f t="shared" si="620"/>
        <v>=11.22*100000000</v>
      </c>
      <c r="J1333" s="1">
        <f>11.22*100000000</f>
        <v>1122000000</v>
      </c>
      <c r="K1333" s="10">
        <f t="shared" si="637"/>
        <v>1.0359281437125749</v>
      </c>
      <c r="L1333" s="6" t="s">
        <v>13183</v>
      </c>
      <c r="M1333" s="6" t="str">
        <f t="shared" si="621"/>
        <v>=5.511*100000000</v>
      </c>
      <c r="N1333" s="1">
        <f>5.511*100000000</f>
        <v>551100000</v>
      </c>
      <c r="O1333" s="8">
        <f t="shared" si="638"/>
        <v>1.0268481059212946</v>
      </c>
      <c r="P1333" s="6" t="s">
        <v>3692</v>
      </c>
      <c r="Q1333" s="6" t="str">
        <f t="shared" si="622"/>
        <v>=2.719*100000000</v>
      </c>
      <c r="R1333" s="11">
        <f>2.719*100000000</f>
        <v>271900000</v>
      </c>
      <c r="S1333" s="8">
        <f t="shared" si="639"/>
        <v>-0.84319492502883509</v>
      </c>
      <c r="T1333" s="6" t="s">
        <v>12128</v>
      </c>
      <c r="U1333" s="6" t="str">
        <f t="shared" si="623"/>
        <v>=17.34*100000000</v>
      </c>
      <c r="V1333" s="1">
        <f>17.34*100000000</f>
        <v>1734000000</v>
      </c>
      <c r="W1333" s="8">
        <f t="shared" si="640"/>
        <v>0.74253843834790478</v>
      </c>
      <c r="X1333" s="6" t="s">
        <v>13184</v>
      </c>
      <c r="Y1333" s="6" t="str">
        <f t="shared" si="624"/>
        <v>=9.951*100000000</v>
      </c>
      <c r="Z1333" s="1">
        <f>9.951*100000000</f>
        <v>995100000</v>
      </c>
      <c r="AA1333" s="8">
        <f t="shared" si="641"/>
        <v>0.99099639855942379</v>
      </c>
      <c r="AB1333" s="6" t="s">
        <v>9983</v>
      </c>
      <c r="AC1333" s="6" t="str">
        <f t="shared" si="625"/>
        <v>=4.998*100000000</v>
      </c>
      <c r="AD1333" s="1">
        <f>4.998*100000000</f>
        <v>499800000</v>
      </c>
      <c r="AE1333" s="8">
        <f t="shared" si="642"/>
        <v>1.6472457627118644</v>
      </c>
      <c r="AF1333" s="6" t="s">
        <v>13185</v>
      </c>
      <c r="AG1333" s="6" t="str">
        <f t="shared" si="626"/>
        <v>=1.888*100000000</v>
      </c>
      <c r="AH1333" s="1">
        <f>1.888*100000000</f>
        <v>188800000</v>
      </c>
      <c r="AI1333" s="8">
        <f t="shared" si="643"/>
        <v>-0.85015873015873011</v>
      </c>
      <c r="AJ1333" s="6" t="s">
        <v>4377</v>
      </c>
      <c r="AK1333" s="6" t="str">
        <f t="shared" si="627"/>
        <v>=12.60*100000000</v>
      </c>
      <c r="AL1333" s="1">
        <f>12.6*100000000</f>
        <v>1260000000</v>
      </c>
      <c r="AM1333" s="8">
        <f t="shared" si="644"/>
        <v>0.46392471244336025</v>
      </c>
      <c r="AN1333" s="6" t="s">
        <v>13186</v>
      </c>
      <c r="AO1333" s="6" t="str">
        <f t="shared" si="628"/>
        <v>=8.607*100000000</v>
      </c>
      <c r="AP1333" s="1">
        <f>8.607*100000000</f>
        <v>860699999.99999988</v>
      </c>
      <c r="AQ1333" s="8">
        <f t="shared" si="645"/>
        <v>1.210323574730354</v>
      </c>
      <c r="AR1333" s="6" t="s">
        <v>7781</v>
      </c>
      <c r="AS1333" s="6" t="str">
        <f t="shared" si="629"/>
        <v>=3.894*100000000</v>
      </c>
      <c r="AT1333" s="1">
        <f>3.894*100000000</f>
        <v>389400000</v>
      </c>
      <c r="AU1333" s="8">
        <f t="shared" si="646"/>
        <v>0.74618834080717489</v>
      </c>
      <c r="AV1333" s="6" t="s">
        <v>5824</v>
      </c>
      <c r="AW1333" s="6" t="str">
        <f t="shared" si="630"/>
        <v>=2.230*100000000</v>
      </c>
      <c r="AX1333" s="1">
        <f>2.23*100000000</f>
        <v>223000000</v>
      </c>
      <c r="AY1333" s="10">
        <f t="shared" si="647"/>
        <v>-0.81101694915254241</v>
      </c>
      <c r="AZ1333" s="6" t="s">
        <v>358</v>
      </c>
      <c r="BA1333" s="6" t="str">
        <f t="shared" si="631"/>
        <v>=11.80*100000000</v>
      </c>
      <c r="BB1333" s="1">
        <f>11.8*100000000</f>
        <v>1180000000</v>
      </c>
      <c r="BC1333" s="8">
        <f t="shared" si="648"/>
        <v>0.517880113197839</v>
      </c>
      <c r="BD1333" s="6" t="s">
        <v>13187</v>
      </c>
      <c r="BE1333" s="6" t="str">
        <f t="shared" si="632"/>
        <v>=7.774*100000000</v>
      </c>
      <c r="BF1333" s="1">
        <f>7.774*100000000</f>
        <v>777400000</v>
      </c>
      <c r="BG1333" s="8">
        <f t="shared" si="649"/>
        <v>0.98215196328403875</v>
      </c>
      <c r="BH1333" s="6" t="s">
        <v>8616</v>
      </c>
      <c r="BI1333" s="6" t="str">
        <f t="shared" si="633"/>
        <v>=3.922*100000000</v>
      </c>
      <c r="BJ1333" s="1">
        <f>3.922*100000000</f>
        <v>392200000</v>
      </c>
      <c r="BK1333" s="6" t="s">
        <v>13188</v>
      </c>
      <c r="BL1333" s="1" t="str">
        <f t="shared" si="635"/>
        <v>=1.872*100000000</v>
      </c>
      <c r="BM1333" s="16">
        <f t="shared" si="650"/>
        <v>1.0950854700854702</v>
      </c>
      <c r="BN1333" s="1">
        <f>1.872*100000000</f>
        <v>187200000</v>
      </c>
    </row>
    <row r="1334" spans="1:66">
      <c r="A1334" s="17">
        <v>335</v>
      </c>
      <c r="B1334">
        <v>601238</v>
      </c>
      <c r="C1334" t="s">
        <v>31</v>
      </c>
      <c r="D1334" s="6" t="s">
        <v>13189</v>
      </c>
      <c r="E1334" s="7" t="str">
        <f t="shared" si="634"/>
        <v>=751.1*100000000</v>
      </c>
      <c r="F1334" s="1">
        <f>751.1*100000000</f>
        <v>75110000000</v>
      </c>
      <c r="G1334" s="8">
        <f t="shared" si="636"/>
        <v>0.3626632801161101</v>
      </c>
      <c r="H1334" s="6" t="s">
        <v>13190</v>
      </c>
      <c r="I1334" s="6" t="str">
        <f t="shared" si="620"/>
        <v>=551.2*100000000</v>
      </c>
      <c r="J1334" s="1">
        <f>551.2*100000000</f>
        <v>55120000000.000008</v>
      </c>
      <c r="K1334" s="10">
        <f t="shared" si="637"/>
        <v>0.6060606060606063</v>
      </c>
      <c r="L1334" s="6" t="s">
        <v>13191</v>
      </c>
      <c r="M1334" s="6" t="str">
        <f t="shared" si="621"/>
        <v>=343.2*100000000</v>
      </c>
      <c r="N1334" s="1">
        <f>343.2*100000000</f>
        <v>34320000000</v>
      </c>
      <c r="O1334" s="8">
        <f t="shared" si="638"/>
        <v>1.1598489616110761</v>
      </c>
      <c r="P1334" s="6" t="s">
        <v>7218</v>
      </c>
      <c r="Q1334" s="6" t="str">
        <f t="shared" si="622"/>
        <v>=158.9*100000000</v>
      </c>
      <c r="R1334" s="11">
        <f>158.9*100000000</f>
        <v>15890000000</v>
      </c>
      <c r="S1334" s="8">
        <f t="shared" si="639"/>
        <v>-0.7466517857142857</v>
      </c>
      <c r="T1334" s="6" t="s">
        <v>13192</v>
      </c>
      <c r="U1334" s="6" t="str">
        <f t="shared" si="623"/>
        <v>=627.2*100000000</v>
      </c>
      <c r="V1334" s="1">
        <f>627.2*100000000</f>
        <v>62720000000.000008</v>
      </c>
      <c r="W1334" s="8">
        <f t="shared" si="640"/>
        <v>0.46371061843640626</v>
      </c>
      <c r="X1334" s="6" t="s">
        <v>13193</v>
      </c>
      <c r="Y1334" s="6" t="str">
        <f t="shared" si="624"/>
        <v>=428.5*100000000</v>
      </c>
      <c r="Z1334" s="1">
        <f>428.5*100000000</f>
        <v>42850000000</v>
      </c>
      <c r="AA1334" s="8">
        <f t="shared" si="641"/>
        <v>0.68435534591194969</v>
      </c>
      <c r="AB1334" s="6" t="s">
        <v>13194</v>
      </c>
      <c r="AC1334" s="6" t="str">
        <f t="shared" si="625"/>
        <v>=254.4*100000000</v>
      </c>
      <c r="AD1334" s="1">
        <f>254.4*100000000</f>
        <v>25440000000</v>
      </c>
      <c r="AE1334" s="8">
        <f t="shared" si="642"/>
        <v>1.3621169916434541</v>
      </c>
      <c r="AF1334" s="6" t="s">
        <v>13195</v>
      </c>
      <c r="AG1334" s="6" t="str">
        <f t="shared" si="626"/>
        <v>=107.7*100000000</v>
      </c>
      <c r="AH1334" s="1">
        <f>107.7*100000000</f>
        <v>10770000000</v>
      </c>
      <c r="AI1334" s="8">
        <f t="shared" si="643"/>
        <v>-0.81816646969441165</v>
      </c>
      <c r="AJ1334" s="6" t="s">
        <v>13196</v>
      </c>
      <c r="AK1334" s="6" t="str">
        <f t="shared" si="627"/>
        <v>=592.3*100000000</v>
      </c>
      <c r="AL1334" s="1">
        <f>592.3*100000000</f>
        <v>59229999999.999992</v>
      </c>
      <c r="AM1334" s="8">
        <f t="shared" si="644"/>
        <v>0.38776944704779737</v>
      </c>
      <c r="AN1334" s="6" t="s">
        <v>13197</v>
      </c>
      <c r="AO1334" s="6" t="str">
        <f t="shared" si="628"/>
        <v>=426.8*100000000</v>
      </c>
      <c r="AP1334" s="1">
        <f>426.8*100000000</f>
        <v>42680000000</v>
      </c>
      <c r="AQ1334" s="8">
        <f t="shared" si="645"/>
        <v>0.51778093883357046</v>
      </c>
      <c r="AR1334" s="6" t="s">
        <v>13198</v>
      </c>
      <c r="AS1334" s="6" t="str">
        <f t="shared" si="629"/>
        <v>=281.2*100000000</v>
      </c>
      <c r="AT1334" s="1">
        <f>281.2*100000000</f>
        <v>28120000000</v>
      </c>
      <c r="AU1334" s="8">
        <f t="shared" si="646"/>
        <v>0.97194950911640954</v>
      </c>
      <c r="AV1334" s="6" t="s">
        <v>530</v>
      </c>
      <c r="AW1334" s="6" t="str">
        <f t="shared" si="630"/>
        <v>=142.6*100000000</v>
      </c>
      <c r="AX1334" s="1">
        <f>142.6*100000000</f>
        <v>14260000000</v>
      </c>
      <c r="AY1334" s="10">
        <f t="shared" si="647"/>
        <v>-0.80058733044329466</v>
      </c>
      <c r="AZ1334" s="6" t="s">
        <v>13199</v>
      </c>
      <c r="BA1334" s="6" t="str">
        <f t="shared" si="631"/>
        <v>=715.1*100000000</v>
      </c>
      <c r="BB1334" s="1">
        <f>715.1*100000000</f>
        <v>71510000000</v>
      </c>
      <c r="BC1334" s="8">
        <f t="shared" si="648"/>
        <v>0.35384324119651628</v>
      </c>
      <c r="BD1334" s="6" t="s">
        <v>13200</v>
      </c>
      <c r="BE1334" s="6" t="str">
        <f t="shared" si="632"/>
        <v>=528.2*100000000</v>
      </c>
      <c r="BF1334" s="1">
        <f>528.2*100000000</f>
        <v>52820000000.000008</v>
      </c>
      <c r="BG1334" s="8">
        <f t="shared" si="649"/>
        <v>0.43884500136202692</v>
      </c>
      <c r="BH1334" s="6" t="s">
        <v>413</v>
      </c>
      <c r="BI1334" s="6" t="str">
        <f t="shared" si="633"/>
        <v>=367.1*100000000</v>
      </c>
      <c r="BJ1334" s="1">
        <f>367.1*100000000</f>
        <v>36710000000</v>
      </c>
      <c r="BK1334" s="6" t="s">
        <v>13201</v>
      </c>
      <c r="BL1334" s="1" t="str">
        <f t="shared" si="635"/>
        <v>=192.0*100000000</v>
      </c>
      <c r="BM1334" s="16">
        <f t="shared" si="650"/>
        <v>0.91197916666666667</v>
      </c>
      <c r="BN1334" s="1">
        <f>192*100000000</f>
        <v>19200000000</v>
      </c>
    </row>
    <row r="1335" spans="1:66">
      <c r="A1335" s="18"/>
      <c r="B1335">
        <v>601238</v>
      </c>
      <c r="C1335" t="s">
        <v>48</v>
      </c>
      <c r="D1335" s="6" t="s">
        <v>13202</v>
      </c>
      <c r="E1335" s="7" t="str">
        <f t="shared" si="634"/>
        <v>=71.45*100000000</v>
      </c>
      <c r="F1335" s="1">
        <f>71.45*100000000</f>
        <v>7145000000</v>
      </c>
      <c r="G1335" s="8">
        <f t="shared" si="636"/>
        <v>0.37562572198690797</v>
      </c>
      <c r="H1335" s="6" t="s">
        <v>13203</v>
      </c>
      <c r="I1335" s="6" t="str">
        <f t="shared" si="620"/>
        <v>=51.94*100000000</v>
      </c>
      <c r="J1335" s="1">
        <f>51.94*100000000</f>
        <v>5194000000</v>
      </c>
      <c r="K1335" s="10">
        <f t="shared" si="637"/>
        <v>0.23197343453510449</v>
      </c>
      <c r="L1335" s="6" t="s">
        <v>13204</v>
      </c>
      <c r="M1335" s="6" t="str">
        <f t="shared" si="621"/>
        <v>=42.16*100000000</v>
      </c>
      <c r="N1335" s="1">
        <f>42.16*100000000</f>
        <v>4215999999.9999995</v>
      </c>
      <c r="O1335" s="8">
        <f t="shared" si="638"/>
        <v>0.849934181658622</v>
      </c>
      <c r="P1335" s="6" t="s">
        <v>13205</v>
      </c>
      <c r="Q1335" s="6" t="str">
        <f t="shared" si="622"/>
        <v>=22.79*100000000</v>
      </c>
      <c r="R1335" s="11">
        <f>22.79*100000000</f>
        <v>2279000000</v>
      </c>
      <c r="S1335" s="8">
        <f t="shared" si="639"/>
        <v>-0.59577864490954235</v>
      </c>
      <c r="T1335" s="6" t="s">
        <v>13206</v>
      </c>
      <c r="U1335" s="6" t="str">
        <f t="shared" si="623"/>
        <v>=56.38*100000000</v>
      </c>
      <c r="V1335" s="1">
        <f>56.38*100000000</f>
        <v>5638000000</v>
      </c>
      <c r="W1335" s="8">
        <f t="shared" si="640"/>
        <v>0.13692276668683201</v>
      </c>
      <c r="X1335" s="6" t="s">
        <v>13207</v>
      </c>
      <c r="Y1335" s="6" t="str">
        <f t="shared" si="624"/>
        <v>=49.59*100000000</v>
      </c>
      <c r="Z1335" s="1">
        <f>49.59*100000000</f>
        <v>4959000000</v>
      </c>
      <c r="AA1335" s="8">
        <f t="shared" si="641"/>
        <v>1.2138392857142857</v>
      </c>
      <c r="AB1335" s="6" t="s">
        <v>235</v>
      </c>
      <c r="AC1335" s="6" t="str">
        <f t="shared" si="625"/>
        <v>=22.40*100000000</v>
      </c>
      <c r="AD1335" s="1">
        <f>22.4*100000000</f>
        <v>2240000000</v>
      </c>
      <c r="AE1335" s="8">
        <f t="shared" si="642"/>
        <v>144.36015574302402</v>
      </c>
      <c r="AF1335" s="7" t="s">
        <v>11934</v>
      </c>
      <c r="AG1335" s="6" t="str">
        <f t="shared" si="626"/>
        <v>=1541*10000</v>
      </c>
      <c r="AH1335" s="1">
        <f>1541*10000</f>
        <v>15410000</v>
      </c>
      <c r="AI1335" s="8">
        <f t="shared" si="643"/>
        <v>-0.99728792678634282</v>
      </c>
      <c r="AJ1335" s="6" t="s">
        <v>13208</v>
      </c>
      <c r="AK1335" s="6" t="str">
        <f t="shared" si="627"/>
        <v>=56.82*100000000</v>
      </c>
      <c r="AL1335" s="1">
        <f>56.82*100000000</f>
        <v>5682000000</v>
      </c>
      <c r="AM1335" s="8">
        <f t="shared" si="644"/>
        <v>-3.4330387491502377E-2</v>
      </c>
      <c r="AN1335" s="6" t="s">
        <v>13209</v>
      </c>
      <c r="AO1335" s="6" t="str">
        <f t="shared" si="628"/>
        <v>=58.84*100000000</v>
      </c>
      <c r="AP1335" s="1">
        <f>58.84*100000000</f>
        <v>5884000000</v>
      </c>
      <c r="AQ1335" s="8">
        <f t="shared" si="645"/>
        <v>0.31105169340463457</v>
      </c>
      <c r="AR1335" s="6" t="s">
        <v>5399</v>
      </c>
      <c r="AS1335" s="6" t="str">
        <f t="shared" si="629"/>
        <v>=44.88*100000000</v>
      </c>
      <c r="AT1335" s="1">
        <f>44.88*100000000</f>
        <v>4488000000</v>
      </c>
      <c r="AU1335" s="8">
        <f t="shared" si="646"/>
        <v>0.91222837665104384</v>
      </c>
      <c r="AV1335" s="6" t="s">
        <v>11684</v>
      </c>
      <c r="AW1335" s="6" t="str">
        <f t="shared" si="630"/>
        <v>=23.47*100000000</v>
      </c>
      <c r="AX1335" s="1">
        <f>23.47*100000000</f>
        <v>2347000000</v>
      </c>
      <c r="AY1335" s="10">
        <f t="shared" si="647"/>
        <v>-0.79836769759450177</v>
      </c>
      <c r="AZ1335" s="6" t="s">
        <v>2514</v>
      </c>
      <c r="BA1335" s="6" t="str">
        <f t="shared" si="631"/>
        <v>=116.4*100000000</v>
      </c>
      <c r="BB1335" s="1">
        <f>116.4*100000000</f>
        <v>11640000000</v>
      </c>
      <c r="BC1335" s="8">
        <f t="shared" si="648"/>
        <v>0.1001890359168242</v>
      </c>
      <c r="BD1335" s="6" t="s">
        <v>10648</v>
      </c>
      <c r="BE1335" s="6" t="str">
        <f t="shared" si="632"/>
        <v>=105.8*100000000</v>
      </c>
      <c r="BF1335" s="1">
        <f>105.8*100000000</f>
        <v>10580000000</v>
      </c>
      <c r="BG1335" s="8">
        <f t="shared" si="649"/>
        <v>0.41236150046722736</v>
      </c>
      <c r="BH1335" s="6" t="s">
        <v>13210</v>
      </c>
      <c r="BI1335" s="6" t="str">
        <f t="shared" si="633"/>
        <v>=74.91*100000000</v>
      </c>
      <c r="BJ1335" s="1">
        <f>74.91*100000000</f>
        <v>7491000000</v>
      </c>
      <c r="BK1335" s="6" t="s">
        <v>12798</v>
      </c>
      <c r="BL1335" s="1" t="str">
        <f t="shared" si="635"/>
        <v>=42.80*100000000</v>
      </c>
      <c r="BM1335" s="16">
        <f t="shared" si="650"/>
        <v>0.75023364485981325</v>
      </c>
      <c r="BN1335" s="1">
        <f>42.8*100000000</f>
        <v>4279999999.9999995</v>
      </c>
    </row>
    <row r="1336" spans="1:66">
      <c r="A1336" s="18"/>
      <c r="B1336">
        <v>601238</v>
      </c>
      <c r="C1336" t="s">
        <v>58</v>
      </c>
      <c r="D1336" s="6" t="s">
        <v>13211</v>
      </c>
      <c r="E1336" s="7" t="str">
        <f t="shared" si="634"/>
        <v>=72.37*100000000</v>
      </c>
      <c r="F1336" s="1">
        <f>72.37*100000000</f>
        <v>7237000000</v>
      </c>
      <c r="G1336" s="8">
        <f t="shared" si="636"/>
        <v>0.39119569396386006</v>
      </c>
      <c r="H1336" s="6" t="s">
        <v>13212</v>
      </c>
      <c r="I1336" s="6" t="str">
        <f t="shared" si="620"/>
        <v>=52.02*100000000</v>
      </c>
      <c r="J1336" s="1">
        <f>52.02*100000000</f>
        <v>5202000000</v>
      </c>
      <c r="K1336" s="10">
        <f t="shared" si="637"/>
        <v>0.23211747986736145</v>
      </c>
      <c r="L1336" s="6" t="s">
        <v>13213</v>
      </c>
      <c r="M1336" s="6" t="str">
        <f t="shared" si="621"/>
        <v>=42.22*100000000</v>
      </c>
      <c r="N1336" s="1">
        <f>42.22*100000000</f>
        <v>4222000000</v>
      </c>
      <c r="O1336" s="8">
        <f t="shared" si="638"/>
        <v>0.84932106876916336</v>
      </c>
      <c r="P1336" s="6" t="s">
        <v>12681</v>
      </c>
      <c r="Q1336" s="6" t="str">
        <f t="shared" si="622"/>
        <v>=22.83*100000000</v>
      </c>
      <c r="R1336" s="11">
        <f>22.83*100000000</f>
        <v>2283000000</v>
      </c>
      <c r="S1336" s="8">
        <f t="shared" si="639"/>
        <v>-0.59912203687445131</v>
      </c>
      <c r="T1336" s="6" t="s">
        <v>13214</v>
      </c>
      <c r="U1336" s="6" t="str">
        <f t="shared" si="623"/>
        <v>=56.95*100000000</v>
      </c>
      <c r="V1336" s="1">
        <f>56.95*100000000</f>
        <v>5695000000</v>
      </c>
      <c r="W1336" s="8">
        <f t="shared" si="640"/>
        <v>0.14633655394524961</v>
      </c>
      <c r="X1336" s="6" t="s">
        <v>9015</v>
      </c>
      <c r="Y1336" s="6" t="str">
        <f t="shared" si="624"/>
        <v>=49.68*100000000</v>
      </c>
      <c r="Z1336" s="1">
        <f>49.68*100000000</f>
        <v>4968000000</v>
      </c>
      <c r="AA1336" s="8">
        <f t="shared" si="641"/>
        <v>1.2070191026210573</v>
      </c>
      <c r="AB1336" s="6" t="s">
        <v>6459</v>
      </c>
      <c r="AC1336" s="6" t="str">
        <f t="shared" si="625"/>
        <v>=22.51*100000000</v>
      </c>
      <c r="AD1336" s="1">
        <f>22.51*100000000</f>
        <v>2251000000</v>
      </c>
      <c r="AE1336" s="8">
        <f t="shared" si="642"/>
        <v>235.62356774939556</v>
      </c>
      <c r="AF1336" s="7" t="s">
        <v>13215</v>
      </c>
      <c r="AG1336" s="6" t="str">
        <f t="shared" si="626"/>
        <v>=951.3*10000</v>
      </c>
      <c r="AH1336" s="1">
        <f>951.3*10000</f>
        <v>9513000</v>
      </c>
      <c r="AI1336" s="8">
        <f t="shared" si="643"/>
        <v>-0.99848856053384172</v>
      </c>
      <c r="AJ1336" s="6" t="s">
        <v>13216</v>
      </c>
      <c r="AK1336" s="6" t="str">
        <f t="shared" si="627"/>
        <v>=62.94*100000000</v>
      </c>
      <c r="AL1336" s="1">
        <f>62.94*100000000</f>
        <v>6294000000</v>
      </c>
      <c r="AM1336" s="8">
        <f t="shared" si="644"/>
        <v>-1.5023474178403756E-2</v>
      </c>
      <c r="AN1336" s="6" t="s">
        <v>10713</v>
      </c>
      <c r="AO1336" s="6" t="str">
        <f t="shared" si="628"/>
        <v>=63.90*100000000</v>
      </c>
      <c r="AP1336" s="1">
        <f>63.9*100000000</f>
        <v>6390000000</v>
      </c>
      <c r="AQ1336" s="8">
        <f t="shared" si="645"/>
        <v>0.28416398713826369</v>
      </c>
      <c r="AR1336" s="6" t="s">
        <v>13217</v>
      </c>
      <c r="AS1336" s="6" t="str">
        <f t="shared" si="629"/>
        <v>=49.76*100000000</v>
      </c>
      <c r="AT1336" s="1">
        <f>49.76*100000000</f>
        <v>4976000000</v>
      </c>
      <c r="AU1336" s="8">
        <f t="shared" si="646"/>
        <v>0.76266383280198369</v>
      </c>
      <c r="AV1336" s="6" t="s">
        <v>5895</v>
      </c>
      <c r="AW1336" s="6" t="str">
        <f t="shared" si="630"/>
        <v>=28.23*100000000</v>
      </c>
      <c r="AX1336" s="1">
        <f>28.23*100000000</f>
        <v>2823000000</v>
      </c>
      <c r="AY1336" s="10">
        <f t="shared" si="647"/>
        <v>-0.76217354675652904</v>
      </c>
      <c r="AZ1336" s="6" t="s">
        <v>526</v>
      </c>
      <c r="BA1336" s="6" t="str">
        <f t="shared" si="631"/>
        <v>=118.7*100000000</v>
      </c>
      <c r="BB1336" s="1">
        <f>118.7*100000000</f>
        <v>11870000000</v>
      </c>
      <c r="BC1336" s="8">
        <f t="shared" si="648"/>
        <v>0.10727611940298508</v>
      </c>
      <c r="BD1336" s="6" t="s">
        <v>1157</v>
      </c>
      <c r="BE1336" s="6" t="str">
        <f t="shared" si="632"/>
        <v>=107.2*100000000</v>
      </c>
      <c r="BF1336" s="1">
        <f>107.2*100000000</f>
        <v>10720000000</v>
      </c>
      <c r="BG1336" s="8">
        <f t="shared" si="649"/>
        <v>0.40811769341915144</v>
      </c>
      <c r="BH1336" s="6" t="s">
        <v>6265</v>
      </c>
      <c r="BI1336" s="6" t="str">
        <f t="shared" si="633"/>
        <v>=76.13*100000000</v>
      </c>
      <c r="BJ1336" s="1">
        <f>76.13*100000000</f>
        <v>7613000000</v>
      </c>
      <c r="BK1336" s="6" t="s">
        <v>13218</v>
      </c>
      <c r="BL1336" s="1" t="str">
        <f t="shared" si="635"/>
        <v>=43.20*100000000</v>
      </c>
      <c r="BM1336" s="16">
        <f t="shared" si="650"/>
        <v>0.76226851851851851</v>
      </c>
      <c r="BN1336" s="1">
        <f>43.2*100000000</f>
        <v>4320000000</v>
      </c>
    </row>
    <row r="1337" spans="1:66">
      <c r="A1337" s="19"/>
      <c r="B1337">
        <v>601238</v>
      </c>
      <c r="C1337" t="s">
        <v>68</v>
      </c>
      <c r="D1337" s="6" t="s">
        <v>13219</v>
      </c>
      <c r="E1337" s="7" t="str">
        <f t="shared" si="634"/>
        <v>=73.91*100000000</v>
      </c>
      <c r="F1337" s="1">
        <f>73.91*100000000</f>
        <v>7391000000</v>
      </c>
      <c r="G1337" s="8">
        <f t="shared" si="636"/>
        <v>0.39742862544904517</v>
      </c>
      <c r="H1337" s="6" t="s">
        <v>13220</v>
      </c>
      <c r="I1337" s="6" t="str">
        <f t="shared" si="620"/>
        <v>=52.89*100000000</v>
      </c>
      <c r="J1337" s="1">
        <f>52.89*100000000</f>
        <v>5289000000</v>
      </c>
      <c r="K1337" s="10">
        <f t="shared" si="637"/>
        <v>0.21502412129565818</v>
      </c>
      <c r="L1337" s="6" t="s">
        <v>13221</v>
      </c>
      <c r="M1337" s="6" t="str">
        <f t="shared" si="621"/>
        <v>=43.53*100000000</v>
      </c>
      <c r="N1337" s="1">
        <f>43.53*100000000</f>
        <v>4353000000</v>
      </c>
      <c r="O1337" s="8">
        <f t="shared" si="638"/>
        <v>0.85312899106002549</v>
      </c>
      <c r="P1337" s="6" t="s">
        <v>10864</v>
      </c>
      <c r="Q1337" s="6" t="str">
        <f t="shared" si="622"/>
        <v>=23.49*100000000</v>
      </c>
      <c r="R1337" s="11">
        <f>23.49*100000000</f>
        <v>2349000000</v>
      </c>
      <c r="S1337" s="8">
        <f t="shared" si="639"/>
        <v>-0.61179970252850768</v>
      </c>
      <c r="T1337" s="6" t="s">
        <v>13222</v>
      </c>
      <c r="U1337" s="6" t="str">
        <f t="shared" si="623"/>
        <v>=60.51*100000000</v>
      </c>
      <c r="V1337" s="1">
        <f>60.51*100000000</f>
        <v>6051000000</v>
      </c>
      <c r="W1337" s="8">
        <f t="shared" si="640"/>
        <v>0.19372657328861709</v>
      </c>
      <c r="X1337" s="6" t="s">
        <v>4838</v>
      </c>
      <c r="Y1337" s="6" t="str">
        <f t="shared" si="624"/>
        <v>=50.69*100000000</v>
      </c>
      <c r="Z1337" s="1">
        <f>50.69*100000000</f>
        <v>5069000000</v>
      </c>
      <c r="AA1337" s="8">
        <f t="shared" si="641"/>
        <v>1.1634656423388818</v>
      </c>
      <c r="AB1337" s="6" t="s">
        <v>1540</v>
      </c>
      <c r="AC1337" s="6" t="str">
        <f t="shared" si="625"/>
        <v>=23.43*100000000</v>
      </c>
      <c r="AD1337" s="1">
        <f>23.43*100000000</f>
        <v>2343000000</v>
      </c>
      <c r="AE1337" s="8">
        <f t="shared" si="642"/>
        <v>19.994623655913976</v>
      </c>
      <c r="AF1337" s="6" t="s">
        <v>3880</v>
      </c>
      <c r="AG1337" s="6" t="str">
        <f t="shared" si="626"/>
        <v>=1.116*100000000</v>
      </c>
      <c r="AH1337" s="1">
        <f>1.116*100000000</f>
        <v>111600000.00000001</v>
      </c>
      <c r="AI1337" s="8">
        <f t="shared" si="643"/>
        <v>-0.98337058560572199</v>
      </c>
      <c r="AJ1337" s="6" t="s">
        <v>13223</v>
      </c>
      <c r="AK1337" s="6" t="str">
        <f t="shared" si="627"/>
        <v>=67.11*100000000</v>
      </c>
      <c r="AL1337" s="1">
        <f>67.11*100000000</f>
        <v>6711000000</v>
      </c>
      <c r="AM1337" s="8">
        <f t="shared" si="644"/>
        <v>4.5164304625447904E-2</v>
      </c>
      <c r="AN1337" s="6" t="s">
        <v>13224</v>
      </c>
      <c r="AO1337" s="6" t="str">
        <f t="shared" si="628"/>
        <v>=64.21*100000000</v>
      </c>
      <c r="AP1337" s="1">
        <f>64.21*100000000</f>
        <v>6420999999.999999</v>
      </c>
      <c r="AQ1337" s="8">
        <f t="shared" si="645"/>
        <v>0.29091274628065922</v>
      </c>
      <c r="AR1337" s="6" t="s">
        <v>9123</v>
      </c>
      <c r="AS1337" s="6" t="str">
        <f t="shared" si="629"/>
        <v>=49.74*100000000</v>
      </c>
      <c r="AT1337" s="1">
        <f>49.74*100000000</f>
        <v>4974000000</v>
      </c>
      <c r="AU1337" s="8">
        <f t="shared" si="646"/>
        <v>0.76570820021299257</v>
      </c>
      <c r="AV1337" s="6" t="s">
        <v>5645</v>
      </c>
      <c r="AW1337" s="6" t="str">
        <f t="shared" si="630"/>
        <v>=28.17*100000000</v>
      </c>
      <c r="AX1337" s="1">
        <f>28.17*100000000</f>
        <v>2817000000</v>
      </c>
      <c r="AY1337" s="10">
        <f t="shared" si="647"/>
        <v>-0.74273972602739724</v>
      </c>
      <c r="AZ1337" s="6" t="s">
        <v>13225</v>
      </c>
      <c r="BA1337" s="6" t="str">
        <f t="shared" si="631"/>
        <v>=109.5*100000000</v>
      </c>
      <c r="BB1337" s="1">
        <f>109.5*100000000</f>
        <v>10950000000</v>
      </c>
      <c r="BC1337" s="8">
        <f t="shared" si="648"/>
        <v>0.10673135233474833</v>
      </c>
      <c r="BD1337" s="6" t="s">
        <v>13226</v>
      </c>
      <c r="BE1337" s="6" t="str">
        <f t="shared" si="632"/>
        <v>=98.94*100000000</v>
      </c>
      <c r="BF1337" s="1">
        <f>98.94*100000000</f>
        <v>9894000000</v>
      </c>
      <c r="BG1337" s="8">
        <f t="shared" si="649"/>
        <v>0.42462203023758099</v>
      </c>
      <c r="BH1337" s="6" t="s">
        <v>13227</v>
      </c>
      <c r="BI1337" s="6" t="str">
        <f t="shared" si="633"/>
        <v>=69.45*100000000</v>
      </c>
      <c r="BJ1337" s="1">
        <f>69.45*100000000</f>
        <v>6945000000</v>
      </c>
      <c r="BK1337" s="6" t="s">
        <v>13228</v>
      </c>
      <c r="BL1337" s="1" t="str">
        <f t="shared" si="635"/>
        <v>=38.99*100000000</v>
      </c>
      <c r="BM1337" s="16">
        <f t="shared" si="650"/>
        <v>0.78122595537317263</v>
      </c>
      <c r="BN1337" s="1">
        <f>38.99*100000000</f>
        <v>3899000000</v>
      </c>
    </row>
    <row r="1338" spans="1:66">
      <c r="A1338" s="17">
        <v>336</v>
      </c>
      <c r="B1338">
        <v>601288</v>
      </c>
      <c r="C1338" t="s">
        <v>31</v>
      </c>
      <c r="D1338" s="6" t="s">
        <v>13229</v>
      </c>
      <c r="E1338" s="7" t="str">
        <f t="shared" si="634"/>
        <v>=7199*100000000</v>
      </c>
      <c r="F1338" s="1">
        <f>7199*100000000</f>
        <v>719900000000</v>
      </c>
      <c r="G1338" s="8">
        <f t="shared" si="636"/>
        <v>0.32115984584327401</v>
      </c>
      <c r="H1338" s="6" t="s">
        <v>13230</v>
      </c>
      <c r="I1338" s="6" t="str">
        <f t="shared" si="620"/>
        <v>=5449*100000000</v>
      </c>
      <c r="J1338" s="1">
        <f>5449*100000000</f>
        <v>544900000000</v>
      </c>
      <c r="K1338" s="10">
        <f t="shared" si="637"/>
        <v>0.49083447332421343</v>
      </c>
      <c r="L1338" s="6" t="s">
        <v>13231</v>
      </c>
      <c r="M1338" s="6" t="str">
        <f t="shared" si="621"/>
        <v>=3655*100000000</v>
      </c>
      <c r="N1338" s="1">
        <f>3655*100000000</f>
        <v>365500000000</v>
      </c>
      <c r="O1338" s="8">
        <f t="shared" si="638"/>
        <v>0.87917737789203088</v>
      </c>
      <c r="P1338" s="6" t="s">
        <v>13232</v>
      </c>
      <c r="Q1338" s="6" t="str">
        <f t="shared" si="622"/>
        <v>=1945*100000000</v>
      </c>
      <c r="R1338" s="11">
        <f>1945*100000000</f>
        <v>194500000000</v>
      </c>
      <c r="S1338" s="8">
        <f t="shared" si="639"/>
        <v>-0.70440729483282671</v>
      </c>
      <c r="T1338" s="6" t="s">
        <v>13233</v>
      </c>
      <c r="U1338" s="6" t="str">
        <f t="shared" si="623"/>
        <v>=6580*100000000</v>
      </c>
      <c r="V1338" s="1">
        <f>6580*100000000</f>
        <v>658000000000</v>
      </c>
      <c r="W1338" s="8">
        <f t="shared" si="640"/>
        <v>0.32075471698113206</v>
      </c>
      <c r="X1338" s="6" t="s">
        <v>13234</v>
      </c>
      <c r="Y1338" s="6" t="str">
        <f t="shared" si="624"/>
        <v>=4982*100000000</v>
      </c>
      <c r="Z1338" s="1">
        <f>4982*100000000</f>
        <v>498200000000</v>
      </c>
      <c r="AA1338" s="8">
        <f t="shared" si="641"/>
        <v>0.46875</v>
      </c>
      <c r="AB1338" s="6" t="s">
        <v>13235</v>
      </c>
      <c r="AC1338" s="6" t="str">
        <f t="shared" si="625"/>
        <v>=3392*100000000</v>
      </c>
      <c r="AD1338" s="1">
        <f>3392*100000000</f>
        <v>339200000000</v>
      </c>
      <c r="AE1338" s="8">
        <f t="shared" si="642"/>
        <v>0.81681842528119974</v>
      </c>
      <c r="AF1338" s="6" t="s">
        <v>13236</v>
      </c>
      <c r="AG1338" s="6" t="str">
        <f t="shared" si="626"/>
        <v>=1867*100000000</v>
      </c>
      <c r="AH1338" s="1">
        <f>1867*100000000</f>
        <v>186700000000</v>
      </c>
      <c r="AI1338" s="8">
        <f t="shared" si="643"/>
        <v>-0.70237525904670817</v>
      </c>
      <c r="AJ1338" s="6" t="s">
        <v>13237</v>
      </c>
      <c r="AK1338" s="6" t="str">
        <f t="shared" si="627"/>
        <v>=6273*100000000</v>
      </c>
      <c r="AL1338" s="1">
        <f>6273*100000000</f>
        <v>627300000000</v>
      </c>
      <c r="AM1338" s="8">
        <f t="shared" si="644"/>
        <v>0.32063157894736843</v>
      </c>
      <c r="AN1338" s="6" t="s">
        <v>13238</v>
      </c>
      <c r="AO1338" s="6" t="str">
        <f t="shared" si="628"/>
        <v>=4750*100000000</v>
      </c>
      <c r="AP1338" s="1">
        <f>4750*100000000</f>
        <v>475000000000</v>
      </c>
      <c r="AQ1338" s="8">
        <f t="shared" si="645"/>
        <v>0.46967821782178215</v>
      </c>
      <c r="AR1338" s="6" t="s">
        <v>13239</v>
      </c>
      <c r="AS1338" s="6" t="str">
        <f t="shared" si="629"/>
        <v>=3232*100000000</v>
      </c>
      <c r="AT1338" s="1">
        <f>3232*100000000</f>
        <v>323200000000</v>
      </c>
      <c r="AU1338" s="8">
        <f t="shared" si="646"/>
        <v>0.86820809248554909</v>
      </c>
      <c r="AV1338" s="6" t="s">
        <v>13240</v>
      </c>
      <c r="AW1338" s="6" t="str">
        <f t="shared" si="630"/>
        <v>=1730*100000000</v>
      </c>
      <c r="AX1338" s="1">
        <f>1730*100000000</f>
        <v>173000000000</v>
      </c>
      <c r="AY1338" s="10">
        <f t="shared" si="647"/>
        <v>-0.7109923154026061</v>
      </c>
      <c r="AZ1338" s="6" t="s">
        <v>13241</v>
      </c>
      <c r="BA1338" s="6" t="str">
        <f t="shared" si="631"/>
        <v>=5986*100000000</v>
      </c>
      <c r="BB1338" s="1">
        <f>5986*100000000</f>
        <v>598600000000</v>
      </c>
      <c r="BC1338" s="8">
        <f t="shared" si="648"/>
        <v>0.30870135548753824</v>
      </c>
      <c r="BD1338" s="6" t="s">
        <v>13242</v>
      </c>
      <c r="BE1338" s="6" t="str">
        <f t="shared" si="632"/>
        <v>=4574*100000000</v>
      </c>
      <c r="BF1338" s="1">
        <f>4574*100000000</f>
        <v>457400000000</v>
      </c>
      <c r="BG1338" s="8">
        <f t="shared" si="649"/>
        <v>0.4933072151485472</v>
      </c>
      <c r="BH1338" s="6" t="s">
        <v>13243</v>
      </c>
      <c r="BI1338" s="6" t="str">
        <f t="shared" si="633"/>
        <v>=3063*100000000</v>
      </c>
      <c r="BJ1338" s="1">
        <f>3063*100000000</f>
        <v>306300000000</v>
      </c>
      <c r="BK1338" s="6" t="s">
        <v>13244</v>
      </c>
      <c r="BL1338" s="1" t="str">
        <f t="shared" si="635"/>
        <v>=1559*100000000</v>
      </c>
      <c r="BM1338" s="16">
        <f t="shared" si="650"/>
        <v>0.96472097498396403</v>
      </c>
      <c r="BN1338" s="1">
        <f>1559*100000000</f>
        <v>155900000000</v>
      </c>
    </row>
    <row r="1339" spans="1:66">
      <c r="A1339" s="18"/>
      <c r="B1339">
        <v>601288</v>
      </c>
      <c r="C1339" t="s">
        <v>48</v>
      </c>
      <c r="D1339" s="6" t="s">
        <v>13245</v>
      </c>
      <c r="E1339" s="7" t="str">
        <f t="shared" si="634"/>
        <v>=2958*100000000</v>
      </c>
      <c r="F1339" s="1">
        <f>2958*100000000</f>
        <v>295800000000</v>
      </c>
      <c r="G1339" s="8">
        <f t="shared" si="636"/>
        <v>0.28107405803378088</v>
      </c>
      <c r="H1339" s="6" t="s">
        <v>13246</v>
      </c>
      <c r="I1339" s="6" t="str">
        <f t="shared" si="620"/>
        <v>=2309*100000000</v>
      </c>
      <c r="J1339" s="1">
        <f>2309*100000000</f>
        <v>230900000000</v>
      </c>
      <c r="K1339" s="10">
        <f t="shared" si="637"/>
        <v>0.50718015665796345</v>
      </c>
      <c r="L1339" s="6" t="s">
        <v>13247</v>
      </c>
      <c r="M1339" s="6" t="str">
        <f t="shared" si="621"/>
        <v>=1532*100000000</v>
      </c>
      <c r="N1339" s="1">
        <f>1532*100000000</f>
        <v>153200000000</v>
      </c>
      <c r="O1339" s="8">
        <f t="shared" si="638"/>
        <v>0.89510143493320138</v>
      </c>
      <c r="P1339" s="6" t="s">
        <v>13248</v>
      </c>
      <c r="Q1339" s="6" t="str">
        <f t="shared" si="622"/>
        <v>=808.4*100000000</v>
      </c>
      <c r="R1339" s="11">
        <f>808.4*100000000</f>
        <v>80840000000</v>
      </c>
      <c r="S1339" s="8">
        <f t="shared" si="639"/>
        <v>-0.69609022556390976</v>
      </c>
      <c r="T1339" s="6" t="s">
        <v>13249</v>
      </c>
      <c r="U1339" s="6" t="str">
        <f t="shared" si="623"/>
        <v>=2660*100000000</v>
      </c>
      <c r="V1339" s="1">
        <f>2660*100000000</f>
        <v>266000000000</v>
      </c>
      <c r="W1339" s="8">
        <f t="shared" si="640"/>
        <v>0.32867132867132864</v>
      </c>
      <c r="X1339" s="6" t="s">
        <v>13250</v>
      </c>
      <c r="Y1339" s="6" t="str">
        <f t="shared" si="624"/>
        <v>=2002*100000000</v>
      </c>
      <c r="Z1339" s="1">
        <f>2002*100000000</f>
        <v>200200000000</v>
      </c>
      <c r="AA1339" s="8">
        <f t="shared" si="641"/>
        <v>0.50866616428033162</v>
      </c>
      <c r="AB1339" s="6" t="s">
        <v>13251</v>
      </c>
      <c r="AC1339" s="6" t="str">
        <f t="shared" si="625"/>
        <v>=1327*100000000</v>
      </c>
      <c r="AD1339" s="1">
        <f>1327*100000000</f>
        <v>132700000000</v>
      </c>
      <c r="AE1339" s="8">
        <f t="shared" si="642"/>
        <v>0.62962053297310572</v>
      </c>
      <c r="AF1339" s="6" t="s">
        <v>13252</v>
      </c>
      <c r="AG1339" s="6" t="str">
        <f t="shared" si="626"/>
        <v>=814.3*100000000</v>
      </c>
      <c r="AH1339" s="1">
        <f>814.3*100000000</f>
        <v>81430000000</v>
      </c>
      <c r="AI1339" s="8">
        <f t="shared" si="643"/>
        <v>-0.69421704844160725</v>
      </c>
      <c r="AJ1339" s="6" t="s">
        <v>13253</v>
      </c>
      <c r="AK1339" s="6" t="str">
        <f t="shared" si="627"/>
        <v>=2663*100000000</v>
      </c>
      <c r="AL1339" s="1">
        <f>2663*100000000</f>
        <v>266300000000</v>
      </c>
      <c r="AM1339" s="8">
        <f t="shared" si="644"/>
        <v>0.22888786340562992</v>
      </c>
      <c r="AN1339" s="6" t="s">
        <v>13254</v>
      </c>
      <c r="AO1339" s="6" t="str">
        <f t="shared" si="628"/>
        <v>=2167*100000000</v>
      </c>
      <c r="AP1339" s="1">
        <f>2167*100000000</f>
        <v>216700000000</v>
      </c>
      <c r="AQ1339" s="8">
        <f t="shared" si="645"/>
        <v>0.49448275862068963</v>
      </c>
      <c r="AR1339" s="6" t="s">
        <v>263</v>
      </c>
      <c r="AS1339" s="6" t="str">
        <f t="shared" si="629"/>
        <v>=1450*100000000</v>
      </c>
      <c r="AT1339" s="1">
        <f>1450*100000000</f>
        <v>145000000000</v>
      </c>
      <c r="AU1339" s="8">
        <f t="shared" si="646"/>
        <v>0.95259897656881232</v>
      </c>
      <c r="AV1339" s="6" t="s">
        <v>13255</v>
      </c>
      <c r="AW1339" s="6" t="str">
        <f t="shared" si="630"/>
        <v>=742.6*100000000</v>
      </c>
      <c r="AX1339" s="1">
        <f>742.6*100000000</f>
        <v>74260000000</v>
      </c>
      <c r="AY1339" s="10">
        <f t="shared" si="647"/>
        <v>-0.70319744204636292</v>
      </c>
      <c r="AZ1339" s="6" t="s">
        <v>13256</v>
      </c>
      <c r="BA1339" s="6" t="str">
        <f t="shared" si="631"/>
        <v>=2502*100000000</v>
      </c>
      <c r="BB1339" s="1">
        <f>2502*100000000</f>
        <v>250200000000</v>
      </c>
      <c r="BC1339" s="8">
        <f t="shared" si="648"/>
        <v>0.19885002395783422</v>
      </c>
      <c r="BD1339" s="6" t="s">
        <v>13257</v>
      </c>
      <c r="BE1339" s="6" t="str">
        <f t="shared" si="632"/>
        <v>=2087*100000000</v>
      </c>
      <c r="BF1339" s="1">
        <f>2087*100000000</f>
        <v>208700000000</v>
      </c>
      <c r="BG1339" s="8">
        <f t="shared" si="649"/>
        <v>0.48119233498935415</v>
      </c>
      <c r="BH1339" s="6" t="s">
        <v>13258</v>
      </c>
      <c r="BI1339" s="6" t="str">
        <f t="shared" si="633"/>
        <v>=1409*100000000</v>
      </c>
      <c r="BJ1339" s="1">
        <f>1409*100000000</f>
        <v>140900000000</v>
      </c>
      <c r="BK1339" s="6" t="s">
        <v>13259</v>
      </c>
      <c r="BL1339" s="1" t="str">
        <f t="shared" si="635"/>
        <v>=701.8*100000000</v>
      </c>
      <c r="BM1339" s="16">
        <f t="shared" si="650"/>
        <v>1.0076944998575093</v>
      </c>
      <c r="BN1339" s="1">
        <f>701.8*100000000</f>
        <v>70180000000</v>
      </c>
    </row>
    <row r="1340" spans="1:66">
      <c r="A1340" s="18"/>
      <c r="B1340">
        <v>601288</v>
      </c>
      <c r="C1340" t="s">
        <v>58</v>
      </c>
      <c r="D1340" s="6" t="s">
        <v>13260</v>
      </c>
      <c r="E1340" s="7" t="str">
        <f t="shared" si="634"/>
        <v>=2959*100000000</v>
      </c>
      <c r="F1340" s="1">
        <f>2959*100000000</f>
        <v>295900000000</v>
      </c>
      <c r="G1340" s="8">
        <f t="shared" si="636"/>
        <v>0.27929096411586685</v>
      </c>
      <c r="H1340" s="6" t="s">
        <v>13261</v>
      </c>
      <c r="I1340" s="6" t="str">
        <f t="shared" si="620"/>
        <v>=2313*100000000</v>
      </c>
      <c r="J1340" s="1">
        <f>2313*100000000</f>
        <v>231300000000</v>
      </c>
      <c r="K1340" s="10">
        <f t="shared" si="637"/>
        <v>0.50684039087947885</v>
      </c>
      <c r="L1340" s="6" t="s">
        <v>13262</v>
      </c>
      <c r="M1340" s="6" t="str">
        <f t="shared" si="621"/>
        <v>=1535*100000000</v>
      </c>
      <c r="N1340" s="1">
        <f>1535*100000000</f>
        <v>153500000000</v>
      </c>
      <c r="O1340" s="8">
        <f t="shared" si="638"/>
        <v>0.89904738339725354</v>
      </c>
      <c r="P1340" s="6" t="s">
        <v>13263</v>
      </c>
      <c r="Q1340" s="6" t="str">
        <f t="shared" si="622"/>
        <v>=808.3*100000000</v>
      </c>
      <c r="R1340" s="11">
        <f>808.3*100000000</f>
        <v>80830000000</v>
      </c>
      <c r="S1340" s="8">
        <f t="shared" si="639"/>
        <v>-0.69509619011693702</v>
      </c>
      <c r="T1340" s="6" t="s">
        <v>13264</v>
      </c>
      <c r="U1340" s="6" t="str">
        <f t="shared" si="623"/>
        <v>=2651*100000000</v>
      </c>
      <c r="V1340" s="1">
        <f>2651*100000000</f>
        <v>265100000000</v>
      </c>
      <c r="W1340" s="8">
        <f t="shared" si="640"/>
        <v>0.32682682682682684</v>
      </c>
      <c r="X1340" s="6" t="s">
        <v>13265</v>
      </c>
      <c r="Y1340" s="6" t="str">
        <f t="shared" si="624"/>
        <v>=1998*100000000</v>
      </c>
      <c r="Z1340" s="1">
        <f>1998*100000000</f>
        <v>199800000000</v>
      </c>
      <c r="AA1340" s="8">
        <f t="shared" si="641"/>
        <v>0.50678733031674206</v>
      </c>
      <c r="AB1340" s="6" t="s">
        <v>13266</v>
      </c>
      <c r="AC1340" s="6" t="str">
        <f t="shared" si="625"/>
        <v>=1326*100000000</v>
      </c>
      <c r="AD1340" s="1">
        <f>1326*100000000</f>
        <v>132600000000</v>
      </c>
      <c r="AE1340" s="8">
        <f t="shared" si="642"/>
        <v>0.62919277552524877</v>
      </c>
      <c r="AF1340" s="6" t="s">
        <v>13267</v>
      </c>
      <c r="AG1340" s="6" t="str">
        <f t="shared" si="626"/>
        <v>=813.9*100000000</v>
      </c>
      <c r="AH1340" s="1">
        <f>813.9*100000000</f>
        <v>81390000000</v>
      </c>
      <c r="AI1340" s="8">
        <f t="shared" si="643"/>
        <v>-0.69471117779444858</v>
      </c>
      <c r="AJ1340" s="6" t="s">
        <v>13268</v>
      </c>
      <c r="AK1340" s="6" t="str">
        <f t="shared" si="627"/>
        <v>=2666*100000000</v>
      </c>
      <c r="AL1340" s="1">
        <f>2666*100000000</f>
        <v>266600000000</v>
      </c>
      <c r="AM1340" s="8">
        <f t="shared" si="644"/>
        <v>0.22687528762080073</v>
      </c>
      <c r="AN1340" s="6" t="s">
        <v>13269</v>
      </c>
      <c r="AO1340" s="6" t="str">
        <f t="shared" si="628"/>
        <v>=2173*100000000</v>
      </c>
      <c r="AP1340" s="1">
        <f>2173*100000000</f>
        <v>217300000000</v>
      </c>
      <c r="AQ1340" s="8">
        <f t="shared" si="645"/>
        <v>0.4893762851267992</v>
      </c>
      <c r="AR1340" s="6" t="s">
        <v>13270</v>
      </c>
      <c r="AS1340" s="6" t="str">
        <f t="shared" si="629"/>
        <v>=1459*100000000</v>
      </c>
      <c r="AT1340" s="1">
        <f>1459*100000000</f>
        <v>145900000000</v>
      </c>
      <c r="AU1340" s="8">
        <f t="shared" si="646"/>
        <v>0.95419233860166086</v>
      </c>
      <c r="AV1340" s="6" t="s">
        <v>13271</v>
      </c>
      <c r="AW1340" s="6" t="str">
        <f t="shared" si="630"/>
        <v>=746.6*100000000</v>
      </c>
      <c r="AX1340" s="1">
        <f>746.6*100000000</f>
        <v>74660000000</v>
      </c>
      <c r="AY1340" s="10">
        <f t="shared" si="647"/>
        <v>-0.70337703615415181</v>
      </c>
      <c r="AZ1340" s="6" t="s">
        <v>13272</v>
      </c>
      <c r="BA1340" s="6" t="str">
        <f t="shared" si="631"/>
        <v>=2517*100000000</v>
      </c>
      <c r="BB1340" s="1">
        <f>2517*100000000</f>
        <v>251700000000</v>
      </c>
      <c r="BC1340" s="8">
        <f t="shared" si="648"/>
        <v>0.19800095192765349</v>
      </c>
      <c r="BD1340" s="6" t="s">
        <v>13273</v>
      </c>
      <c r="BE1340" s="6" t="str">
        <f t="shared" si="632"/>
        <v>=2101*100000000</v>
      </c>
      <c r="BF1340" s="1">
        <f>2101*100000000</f>
        <v>210100000000</v>
      </c>
      <c r="BG1340" s="8">
        <f t="shared" si="649"/>
        <v>0.48375706214689268</v>
      </c>
      <c r="BH1340" s="6" t="s">
        <v>13274</v>
      </c>
      <c r="BI1340" s="6" t="str">
        <f t="shared" si="633"/>
        <v>=1416*100000000</v>
      </c>
      <c r="BJ1340" s="1">
        <f>1416*100000000</f>
        <v>141600000000</v>
      </c>
      <c r="BK1340" s="6" t="s">
        <v>13275</v>
      </c>
      <c r="BL1340" s="1" t="str">
        <f t="shared" si="635"/>
        <v>=713.5*100000000</v>
      </c>
      <c r="BM1340" s="16">
        <f t="shared" si="650"/>
        <v>0.98458304134548003</v>
      </c>
      <c r="BN1340" s="1">
        <f>713.5*100000000</f>
        <v>71350000000</v>
      </c>
    </row>
    <row r="1341" spans="1:66">
      <c r="A1341" s="19"/>
      <c r="B1341">
        <v>601288</v>
      </c>
      <c r="C1341" t="s">
        <v>68</v>
      </c>
      <c r="D1341" s="6" t="s">
        <v>12622</v>
      </c>
      <c r="E1341" s="7" t="str">
        <f t="shared" si="634"/>
        <v>=2419*100000000</v>
      </c>
      <c r="F1341" s="1">
        <f>2419*100000000</f>
        <v>241900000000</v>
      </c>
      <c r="G1341" s="8">
        <f t="shared" si="636"/>
        <v>0.29082177161152617</v>
      </c>
      <c r="H1341" s="6" t="s">
        <v>13276</v>
      </c>
      <c r="I1341" s="6" t="str">
        <f t="shared" si="620"/>
        <v>=1874*100000000</v>
      </c>
      <c r="J1341" s="1">
        <f>1874*100000000</f>
        <v>187400000000</v>
      </c>
      <c r="K1341" s="10">
        <f t="shared" si="637"/>
        <v>0.52605863192182412</v>
      </c>
      <c r="L1341" s="6" t="s">
        <v>13277</v>
      </c>
      <c r="M1341" s="6" t="str">
        <f t="shared" si="621"/>
        <v>=1228*100000000</v>
      </c>
      <c r="N1341" s="1">
        <f>1228*100000000</f>
        <v>122800000000</v>
      </c>
      <c r="O1341" s="8">
        <f t="shared" si="638"/>
        <v>0.85526514579241575</v>
      </c>
      <c r="P1341" s="6" t="s">
        <v>13278</v>
      </c>
      <c r="Q1341" s="6" t="str">
        <f t="shared" si="622"/>
        <v>=661.9*100000000</v>
      </c>
      <c r="R1341" s="11">
        <f>661.9*100000000</f>
        <v>66190000000</v>
      </c>
      <c r="S1341" s="8">
        <f t="shared" si="639"/>
        <v>-0.69413123844731983</v>
      </c>
      <c r="T1341" s="6" t="s">
        <v>13279</v>
      </c>
      <c r="U1341" s="6" t="str">
        <f t="shared" si="623"/>
        <v>=2164*100000000</v>
      </c>
      <c r="V1341" s="1">
        <f>2164*100000000</f>
        <v>216400000000</v>
      </c>
      <c r="W1341" s="8">
        <f t="shared" si="640"/>
        <v>0.30440024110910185</v>
      </c>
      <c r="X1341" s="6" t="s">
        <v>13280</v>
      </c>
      <c r="Y1341" s="6" t="str">
        <f t="shared" si="624"/>
        <v>=1659*100000000</v>
      </c>
      <c r="Z1341" s="1">
        <f>1659*100000000</f>
        <v>165900000000</v>
      </c>
      <c r="AA1341" s="8">
        <f t="shared" si="641"/>
        <v>0.51923076923076927</v>
      </c>
      <c r="AB1341" s="6" t="s">
        <v>13281</v>
      </c>
      <c r="AC1341" s="6" t="str">
        <f t="shared" si="625"/>
        <v>=1092*100000000</v>
      </c>
      <c r="AD1341" s="1">
        <f>1092*100000000</f>
        <v>109200000000</v>
      </c>
      <c r="AE1341" s="8">
        <f t="shared" si="642"/>
        <v>0.69644244213142747</v>
      </c>
      <c r="AF1341" s="6" t="s">
        <v>13282</v>
      </c>
      <c r="AG1341" s="6" t="str">
        <f t="shared" si="626"/>
        <v>=643.7*100000000</v>
      </c>
      <c r="AH1341" s="1">
        <f>643.7*100000000</f>
        <v>64370000000.000008</v>
      </c>
      <c r="AI1341" s="8">
        <f t="shared" si="643"/>
        <v>-0.69765147956787221</v>
      </c>
      <c r="AJ1341" s="6" t="s">
        <v>13283</v>
      </c>
      <c r="AK1341" s="6" t="str">
        <f t="shared" si="627"/>
        <v>=2129*100000000</v>
      </c>
      <c r="AL1341" s="1">
        <f>2129*100000000</f>
        <v>212900000000</v>
      </c>
      <c r="AM1341" s="8">
        <f t="shared" si="644"/>
        <v>0.17106710671067107</v>
      </c>
      <c r="AN1341" s="6" t="s">
        <v>13284</v>
      </c>
      <c r="AO1341" s="6" t="str">
        <f t="shared" si="628"/>
        <v>=1818*100000000</v>
      </c>
      <c r="AP1341" s="1">
        <f>1818*100000000</f>
        <v>181800000000</v>
      </c>
      <c r="AQ1341" s="8">
        <f t="shared" si="645"/>
        <v>0.48529411764705882</v>
      </c>
      <c r="AR1341" s="6" t="s">
        <v>980</v>
      </c>
      <c r="AS1341" s="6" t="str">
        <f t="shared" si="629"/>
        <v>=1224*100000000</v>
      </c>
      <c r="AT1341" s="1">
        <f>1224*100000000</f>
        <v>122400000000</v>
      </c>
      <c r="AU1341" s="8">
        <f t="shared" si="646"/>
        <v>0.97037990985189926</v>
      </c>
      <c r="AV1341" s="6" t="s">
        <v>13285</v>
      </c>
      <c r="AW1341" s="6" t="str">
        <f t="shared" si="630"/>
        <v>=621.2*100000000</v>
      </c>
      <c r="AX1341" s="1">
        <f>621.2*100000000</f>
        <v>62120000000.000008</v>
      </c>
      <c r="AY1341" s="10">
        <f t="shared" si="647"/>
        <v>-0.69338598223099701</v>
      </c>
      <c r="AZ1341" s="6" t="s">
        <v>13286</v>
      </c>
      <c r="BA1341" s="6" t="str">
        <f t="shared" si="631"/>
        <v>=2026*100000000</v>
      </c>
      <c r="BB1341" s="1">
        <f>2026*100000000</f>
        <v>202600000000</v>
      </c>
      <c r="BC1341" s="8">
        <f t="shared" si="648"/>
        <v>0.17927823050058206</v>
      </c>
      <c r="BD1341" s="6" t="s">
        <v>13287</v>
      </c>
      <c r="BE1341" s="6" t="str">
        <f t="shared" si="632"/>
        <v>=1718*100000000</v>
      </c>
      <c r="BF1341" s="1">
        <f>1718*100000000</f>
        <v>171800000000</v>
      </c>
      <c r="BG1341" s="8">
        <f t="shared" si="649"/>
        <v>0.48103448275862071</v>
      </c>
      <c r="BH1341" s="6" t="s">
        <v>13288</v>
      </c>
      <c r="BI1341" s="6" t="str">
        <f t="shared" si="633"/>
        <v>=1160*100000000</v>
      </c>
      <c r="BJ1341" s="1">
        <f>1160*100000000</f>
        <v>116000000000</v>
      </c>
      <c r="BK1341" s="6" t="s">
        <v>7201</v>
      </c>
      <c r="BL1341" s="1" t="str">
        <f t="shared" si="635"/>
        <v>=590.4*100000000</v>
      </c>
      <c r="BM1341" s="16">
        <f t="shared" si="650"/>
        <v>0.964769647696477</v>
      </c>
      <c r="BN1341" s="1">
        <f>590.4*100000000</f>
        <v>59040000000</v>
      </c>
    </row>
    <row r="1342" spans="1:66">
      <c r="A1342" s="17">
        <v>337</v>
      </c>
      <c r="B1342">
        <v>601318</v>
      </c>
      <c r="C1342" t="s">
        <v>31</v>
      </c>
      <c r="D1342" s="9" t="s">
        <v>13289</v>
      </c>
      <c r="E1342" s="7" t="str">
        <f t="shared" si="634"/>
        <v>=1.180*1000000000000</v>
      </c>
      <c r="F1342" s="1">
        <f>1.18*1000000000000</f>
        <v>1180000000000</v>
      </c>
      <c r="G1342" s="8">
        <f t="shared" si="636"/>
        <v>0.30444395312845457</v>
      </c>
      <c r="H1342" s="6" t="s">
        <v>13290</v>
      </c>
      <c r="I1342" s="6" t="str">
        <f t="shared" si="620"/>
        <v>=9046*100000000</v>
      </c>
      <c r="J1342" s="1">
        <f>9046*100000000</f>
        <v>904600000000</v>
      </c>
      <c r="K1342" s="10">
        <f t="shared" si="637"/>
        <v>0.42322215229704219</v>
      </c>
      <c r="L1342" s="6" t="s">
        <v>13291</v>
      </c>
      <c r="M1342" s="6" t="str">
        <f t="shared" si="621"/>
        <v>=6356*100000000</v>
      </c>
      <c r="N1342" s="1">
        <f>6356*100000000</f>
        <v>635600000000</v>
      </c>
      <c r="O1342" s="8">
        <f t="shared" si="638"/>
        <v>0.8677637378783426</v>
      </c>
      <c r="P1342" s="6" t="s">
        <v>13292</v>
      </c>
      <c r="Q1342" s="6" t="str">
        <f t="shared" si="622"/>
        <v>=3403*100000000</v>
      </c>
      <c r="R1342" s="11">
        <f>3403*100000000</f>
        <v>340300000000</v>
      </c>
      <c r="S1342" s="8">
        <f t="shared" si="639"/>
        <v>-0.7206075533661741</v>
      </c>
      <c r="T1342" s="9" t="s">
        <v>13293</v>
      </c>
      <c r="U1342" s="6" t="str">
        <f t="shared" si="623"/>
        <v>=1.218*1000000000000</v>
      </c>
      <c r="V1342" s="1">
        <f>1.218*1000000000000</f>
        <v>1218000000000</v>
      </c>
      <c r="W1342" s="8">
        <f t="shared" si="640"/>
        <v>0.32809944389924761</v>
      </c>
      <c r="X1342" s="6" t="s">
        <v>13294</v>
      </c>
      <c r="Y1342" s="6" t="str">
        <f t="shared" si="624"/>
        <v>=9171*100000000</v>
      </c>
      <c r="Z1342" s="1">
        <f>9171*100000000</f>
        <v>917100000000</v>
      </c>
      <c r="AA1342" s="8">
        <f t="shared" si="641"/>
        <v>0.45571428571428574</v>
      </c>
      <c r="AB1342" s="6" t="s">
        <v>13295</v>
      </c>
      <c r="AC1342" s="6" t="str">
        <f t="shared" si="625"/>
        <v>=6300*100000000</v>
      </c>
      <c r="AD1342" s="1">
        <f>6300*100000000</f>
        <v>630000000000</v>
      </c>
      <c r="AE1342" s="8">
        <f t="shared" si="642"/>
        <v>0.91956124314442411</v>
      </c>
      <c r="AF1342" s="6" t="s">
        <v>13296</v>
      </c>
      <c r="AG1342" s="6" t="str">
        <f t="shared" si="626"/>
        <v>=3282*100000000</v>
      </c>
      <c r="AH1342" s="1">
        <f>3282*100000000</f>
        <v>328200000000</v>
      </c>
      <c r="AI1342" s="8">
        <f t="shared" si="643"/>
        <v>-0.71924721984602225</v>
      </c>
      <c r="AJ1342" s="9" t="s">
        <v>13297</v>
      </c>
      <c r="AK1342" s="6" t="str">
        <f t="shared" si="627"/>
        <v>=1.169*1000000000000</v>
      </c>
      <c r="AL1342" s="1">
        <f>1.169*1000000000000</f>
        <v>1169000000000</v>
      </c>
      <c r="AM1342" s="8">
        <f t="shared" si="644"/>
        <v>0.30936379928315411</v>
      </c>
      <c r="AN1342" s="6" t="s">
        <v>13298</v>
      </c>
      <c r="AO1342" s="6" t="str">
        <f t="shared" si="628"/>
        <v>=8928*100000000</v>
      </c>
      <c r="AP1342" s="1">
        <f>8928*100000000</f>
        <v>892800000000</v>
      </c>
      <c r="AQ1342" s="8">
        <f t="shared" si="645"/>
        <v>0.39674593241551942</v>
      </c>
      <c r="AR1342" s="6" t="s">
        <v>13299</v>
      </c>
      <c r="AS1342" s="6" t="str">
        <f t="shared" si="629"/>
        <v>=6392*100000000</v>
      </c>
      <c r="AT1342" s="1">
        <f>6392*100000000</f>
        <v>639200000000</v>
      </c>
      <c r="AU1342" s="8">
        <f t="shared" si="646"/>
        <v>0.69011105235325221</v>
      </c>
      <c r="AV1342" s="6" t="s">
        <v>13300</v>
      </c>
      <c r="AW1342" s="6" t="str">
        <f t="shared" si="630"/>
        <v>=3782*100000000</v>
      </c>
      <c r="AX1342" s="1">
        <f>3782*100000000</f>
        <v>378200000000</v>
      </c>
      <c r="AY1342" s="10">
        <f t="shared" si="647"/>
        <v>-0.61281736281736277</v>
      </c>
      <c r="AZ1342" s="6" t="s">
        <v>13301</v>
      </c>
      <c r="BA1342" s="6" t="str">
        <f t="shared" si="631"/>
        <v>=9768*100000000</v>
      </c>
      <c r="BB1342" s="1">
        <f>9768*100000000</f>
        <v>976800000000</v>
      </c>
      <c r="BC1342" s="8">
        <f t="shared" si="648"/>
        <v>0.29807308970099666</v>
      </c>
      <c r="BD1342" s="6" t="s">
        <v>13302</v>
      </c>
      <c r="BE1342" s="6" t="str">
        <f t="shared" si="632"/>
        <v>=7525*100000000</v>
      </c>
      <c r="BF1342" s="1">
        <f>7525*100000000</f>
        <v>752500000000</v>
      </c>
      <c r="BG1342" s="8">
        <f t="shared" si="649"/>
        <v>0.40313257505127725</v>
      </c>
      <c r="BH1342" s="6" t="s">
        <v>13303</v>
      </c>
      <c r="BI1342" s="6" t="str">
        <f t="shared" si="633"/>
        <v>=5363*100000000</v>
      </c>
      <c r="BJ1342" s="1">
        <f>5363*100000000</f>
        <v>536300000000</v>
      </c>
      <c r="BK1342" s="6" t="s">
        <v>13304</v>
      </c>
      <c r="BL1342" s="1" t="str">
        <f t="shared" si="635"/>
        <v>=3112*100000000</v>
      </c>
      <c r="BM1342" s="16">
        <f t="shared" si="650"/>
        <v>0.72332904884318761</v>
      </c>
      <c r="BN1342" s="1">
        <f>3112*100000000</f>
        <v>311200000000</v>
      </c>
    </row>
    <row r="1343" spans="1:66">
      <c r="A1343" s="18"/>
      <c r="B1343">
        <v>601318</v>
      </c>
      <c r="C1343" t="s">
        <v>48</v>
      </c>
      <c r="D1343" s="6" t="s">
        <v>13305</v>
      </c>
      <c r="E1343" s="7" t="str">
        <f t="shared" si="634"/>
        <v>=1397*100000000</v>
      </c>
      <c r="F1343" s="1">
        <f>1397*100000000</f>
        <v>139700000000</v>
      </c>
      <c r="G1343" s="8">
        <f t="shared" si="636"/>
        <v>0.22759226713532513</v>
      </c>
      <c r="H1343" s="6" t="s">
        <v>13306</v>
      </c>
      <c r="I1343" s="6" t="str">
        <f t="shared" ref="I1343:I1406" si="651">"="&amp;H1343</f>
        <v>=1138*100000000</v>
      </c>
      <c r="J1343" s="1">
        <f>1138*100000000</f>
        <v>113800000000</v>
      </c>
      <c r="K1343" s="10">
        <f t="shared" si="637"/>
        <v>0.44251489415642031</v>
      </c>
      <c r="L1343" s="6" t="s">
        <v>13307</v>
      </c>
      <c r="M1343" s="6" t="str">
        <f t="shared" ref="M1343:M1406" si="652">"="&amp;L1343</f>
        <v>=788.9*100000000</v>
      </c>
      <c r="N1343" s="1">
        <f>788.9*100000000</f>
        <v>78890000000</v>
      </c>
      <c r="O1343" s="8">
        <f t="shared" si="638"/>
        <v>1.0363964894166235</v>
      </c>
      <c r="P1343" s="6" t="s">
        <v>7157</v>
      </c>
      <c r="Q1343" s="6" t="str">
        <f t="shared" ref="Q1343:Q1406" si="653">"="&amp;P1343</f>
        <v>=387.4*100000000</v>
      </c>
      <c r="R1343" s="11">
        <f>387.4*100000000</f>
        <v>38740000000</v>
      </c>
      <c r="S1343" s="8">
        <f t="shared" si="639"/>
        <v>-0.79426447158789171</v>
      </c>
      <c r="T1343" s="6" t="s">
        <v>13308</v>
      </c>
      <c r="U1343" s="6" t="str">
        <f t="shared" ref="U1343:U1406" si="654">"="&amp;T1343</f>
        <v>=1883*100000000</v>
      </c>
      <c r="V1343" s="1">
        <f>1883*100000000</f>
        <v>188300000000</v>
      </c>
      <c r="W1343" s="8">
        <f t="shared" si="640"/>
        <v>0.36746550472040668</v>
      </c>
      <c r="X1343" s="6" t="s">
        <v>13309</v>
      </c>
      <c r="Y1343" s="6" t="str">
        <f t="shared" ref="Y1343:Y1406" si="655">"="&amp;X1343</f>
        <v>=1377*100000000</v>
      </c>
      <c r="Z1343" s="1">
        <f>1377*100000000</f>
        <v>137700000000</v>
      </c>
      <c r="AA1343" s="8">
        <f t="shared" si="641"/>
        <v>0.51268812479402393</v>
      </c>
      <c r="AB1343" s="6" t="s">
        <v>13310</v>
      </c>
      <c r="AC1343" s="6" t="str">
        <f t="shared" ref="AC1343:AC1406" si="656">"="&amp;AB1343</f>
        <v>=910.3*100000000</v>
      </c>
      <c r="AD1343" s="1">
        <f>910.3*100000000</f>
        <v>91030000000</v>
      </c>
      <c r="AE1343" s="8">
        <f t="shared" si="642"/>
        <v>1.4294101948225246</v>
      </c>
      <c r="AF1343" s="6" t="s">
        <v>12632</v>
      </c>
      <c r="AG1343" s="6" t="str">
        <f t="shared" ref="AG1343:AG1406" si="657">"="&amp;AF1343</f>
        <v>=374.7*100000000</v>
      </c>
      <c r="AH1343" s="1">
        <f>374.7*100000000</f>
        <v>37470000000</v>
      </c>
      <c r="AI1343" s="8">
        <f t="shared" si="643"/>
        <v>-0.79745945945945951</v>
      </c>
      <c r="AJ1343" s="6" t="s">
        <v>381</v>
      </c>
      <c r="AK1343" s="6" t="str">
        <f t="shared" ref="AK1343:AK1406" si="658">"="&amp;AJ1343</f>
        <v>=1850*100000000</v>
      </c>
      <c r="AL1343" s="1">
        <f>1850*100000000</f>
        <v>185000000000</v>
      </c>
      <c r="AM1343" s="8">
        <f t="shared" si="644"/>
        <v>0.14835505896958412</v>
      </c>
      <c r="AN1343" s="6" t="s">
        <v>13311</v>
      </c>
      <c r="AO1343" s="6" t="str">
        <f t="shared" ref="AO1343:AO1406" si="659">"="&amp;AN1343</f>
        <v>=1611*100000000</v>
      </c>
      <c r="AP1343" s="1">
        <f>1611*100000000</f>
        <v>161100000000</v>
      </c>
      <c r="AQ1343" s="8">
        <f t="shared" si="645"/>
        <v>0.38402061855670105</v>
      </c>
      <c r="AR1343" s="6" t="s">
        <v>12624</v>
      </c>
      <c r="AS1343" s="6" t="str">
        <f t="shared" ref="AS1343:AS1406" si="660">"="&amp;AR1343</f>
        <v>=1164*100000000</v>
      </c>
      <c r="AT1343" s="1">
        <f>1164*100000000</f>
        <v>116400000000</v>
      </c>
      <c r="AU1343" s="8">
        <f t="shared" si="646"/>
        <v>0.83886255924170616</v>
      </c>
      <c r="AV1343" s="6" t="s">
        <v>13312</v>
      </c>
      <c r="AW1343" s="6" t="str">
        <f t="shared" ref="AW1343:AW1406" si="661">"="&amp;AV1343</f>
        <v>=633.0*100000000</v>
      </c>
      <c r="AX1343" s="1">
        <f>633*100000000</f>
        <v>63300000000</v>
      </c>
      <c r="AY1343" s="10">
        <f t="shared" si="647"/>
        <v>-0.61236987140232702</v>
      </c>
      <c r="AZ1343" s="6" t="s">
        <v>13313</v>
      </c>
      <c r="BA1343" s="6" t="str">
        <f t="shared" ref="BA1343:BA1406" si="662">"="&amp;AZ1343</f>
        <v>=1633*100000000</v>
      </c>
      <c r="BB1343" s="1">
        <f>1633*100000000</f>
        <v>163300000000</v>
      </c>
      <c r="BC1343" s="8">
        <f t="shared" si="648"/>
        <v>0.3341503267973856</v>
      </c>
      <c r="BD1343" s="6" t="s">
        <v>980</v>
      </c>
      <c r="BE1343" s="6" t="str">
        <f t="shared" ref="BE1343:BE1406" si="663">"="&amp;BD1343</f>
        <v>=1224*100000000</v>
      </c>
      <c r="BF1343" s="1">
        <f>1224*100000000</f>
        <v>122400000000</v>
      </c>
      <c r="BG1343" s="8">
        <f t="shared" si="649"/>
        <v>0.41143911439114389</v>
      </c>
      <c r="BH1343" s="6" t="s">
        <v>13314</v>
      </c>
      <c r="BI1343" s="6" t="str">
        <f t="shared" ref="BI1343:BI1406" si="664">"="&amp;BH1343</f>
        <v>=867.2*100000000</v>
      </c>
      <c r="BJ1343" s="1">
        <f>867.2*100000000</f>
        <v>86720000000</v>
      </c>
      <c r="BK1343" s="6" t="s">
        <v>13315</v>
      </c>
      <c r="BL1343" s="1" t="str">
        <f t="shared" si="635"/>
        <v>=395.8*100000000</v>
      </c>
      <c r="BM1343" s="16">
        <f t="shared" si="650"/>
        <v>1.1910055583628094</v>
      </c>
      <c r="BN1343" s="1">
        <f>395.8*100000000</f>
        <v>39580000000</v>
      </c>
    </row>
    <row r="1344" spans="1:66">
      <c r="A1344" s="18"/>
      <c r="B1344">
        <v>601318</v>
      </c>
      <c r="C1344" t="s">
        <v>58</v>
      </c>
      <c r="D1344" s="6" t="s">
        <v>13316</v>
      </c>
      <c r="E1344" s="7" t="str">
        <f t="shared" si="634"/>
        <v>=1396*100000000</v>
      </c>
      <c r="F1344" s="1">
        <f>1396*100000000</f>
        <v>139600000000</v>
      </c>
      <c r="G1344" s="8">
        <f t="shared" si="636"/>
        <v>0.227792436235708</v>
      </c>
      <c r="H1344" s="6" t="s">
        <v>13317</v>
      </c>
      <c r="I1344" s="6" t="str">
        <f t="shared" si="651"/>
        <v>=1137*100000000</v>
      </c>
      <c r="J1344" s="1">
        <f>1137*100000000</f>
        <v>113700000000</v>
      </c>
      <c r="K1344" s="10">
        <f t="shared" si="637"/>
        <v>0.44252727734077646</v>
      </c>
      <c r="L1344" s="6" t="s">
        <v>13318</v>
      </c>
      <c r="M1344" s="6" t="str">
        <f t="shared" si="652"/>
        <v>=788.2*100000000</v>
      </c>
      <c r="N1344" s="1">
        <f>788.2*100000000</f>
        <v>78820000000</v>
      </c>
      <c r="O1344" s="8">
        <f t="shared" si="638"/>
        <v>1.0393272962483828</v>
      </c>
      <c r="P1344" s="6" t="s">
        <v>13319</v>
      </c>
      <c r="Q1344" s="6" t="str">
        <f t="shared" si="653"/>
        <v>=386.5*100000000</v>
      </c>
      <c r="R1344" s="11">
        <f>386.5*100000000</f>
        <v>38650000000</v>
      </c>
      <c r="S1344" s="8">
        <f t="shared" si="639"/>
        <v>-0.79419595314164004</v>
      </c>
      <c r="T1344" s="6" t="s">
        <v>13320</v>
      </c>
      <c r="U1344" s="6" t="str">
        <f t="shared" si="654"/>
        <v>=1878*100000000</v>
      </c>
      <c r="V1344" s="1">
        <f>1878*100000000</f>
        <v>187800000000</v>
      </c>
      <c r="W1344" s="8">
        <f t="shared" si="640"/>
        <v>0.36681222707423583</v>
      </c>
      <c r="X1344" s="6" t="s">
        <v>13321</v>
      </c>
      <c r="Y1344" s="6" t="str">
        <f t="shared" si="655"/>
        <v>=1374*100000000</v>
      </c>
      <c r="Z1344" s="1">
        <f>1374*100000000</f>
        <v>137400000000</v>
      </c>
      <c r="AA1344" s="8">
        <f t="shared" si="641"/>
        <v>0.51388276773909214</v>
      </c>
      <c r="AB1344" s="6" t="s">
        <v>13322</v>
      </c>
      <c r="AC1344" s="6" t="str">
        <f t="shared" si="656"/>
        <v>=907.6*100000000</v>
      </c>
      <c r="AD1344" s="1">
        <f>907.6*100000000</f>
        <v>90760000000</v>
      </c>
      <c r="AE1344" s="8">
        <f t="shared" si="642"/>
        <v>1.4299866131191432</v>
      </c>
      <c r="AF1344" s="6" t="s">
        <v>13323</v>
      </c>
      <c r="AG1344" s="6" t="str">
        <f t="shared" si="657"/>
        <v>=373.5*100000000</v>
      </c>
      <c r="AH1344" s="1">
        <f>373.5*100000000</f>
        <v>37350000000</v>
      </c>
      <c r="AI1344" s="8">
        <f t="shared" si="643"/>
        <v>-0.79778018408229556</v>
      </c>
      <c r="AJ1344" s="6" t="s">
        <v>13324</v>
      </c>
      <c r="AK1344" s="6" t="str">
        <f t="shared" si="658"/>
        <v>=1847*100000000</v>
      </c>
      <c r="AL1344" s="1">
        <f>1847*100000000</f>
        <v>184700000000</v>
      </c>
      <c r="AM1344" s="8">
        <f t="shared" si="644"/>
        <v>0.14791796146674954</v>
      </c>
      <c r="AN1344" s="6" t="s">
        <v>13325</v>
      </c>
      <c r="AO1344" s="6" t="str">
        <f t="shared" si="659"/>
        <v>=1609*100000000</v>
      </c>
      <c r="AP1344" s="1">
        <f>1609*100000000</f>
        <v>160900000000</v>
      </c>
      <c r="AQ1344" s="8">
        <f t="shared" si="645"/>
        <v>0.38468158347676418</v>
      </c>
      <c r="AR1344" s="6" t="s">
        <v>13326</v>
      </c>
      <c r="AS1344" s="6" t="str">
        <f t="shared" si="660"/>
        <v>=1162*100000000</v>
      </c>
      <c r="AT1344" s="1">
        <f>1162*100000000</f>
        <v>116200000000</v>
      </c>
      <c r="AU1344" s="8">
        <f t="shared" si="646"/>
        <v>0.83686373695858363</v>
      </c>
      <c r="AV1344" s="6" t="s">
        <v>13327</v>
      </c>
      <c r="AW1344" s="6" t="str">
        <f t="shared" si="661"/>
        <v>=632.6*100000000</v>
      </c>
      <c r="AX1344" s="1">
        <f>632.6*100000000</f>
        <v>63260000000</v>
      </c>
      <c r="AY1344" s="10">
        <f t="shared" si="647"/>
        <v>-0.6123774509803922</v>
      </c>
      <c r="AZ1344" s="6" t="s">
        <v>13328</v>
      </c>
      <c r="BA1344" s="6" t="str">
        <f t="shared" si="662"/>
        <v>=1632*100000000</v>
      </c>
      <c r="BB1344" s="1">
        <f>1632*100000000</f>
        <v>163200000000</v>
      </c>
      <c r="BC1344" s="8">
        <f t="shared" si="648"/>
        <v>0.33333333333333331</v>
      </c>
      <c r="BD1344" s="6" t="s">
        <v>980</v>
      </c>
      <c r="BE1344" s="6" t="str">
        <f t="shared" si="663"/>
        <v>=1224*100000000</v>
      </c>
      <c r="BF1344" s="1">
        <f>1224*100000000</f>
        <v>122400000000</v>
      </c>
      <c r="BG1344" s="8">
        <f t="shared" si="649"/>
        <v>0.41078838174273857</v>
      </c>
      <c r="BH1344" s="6" t="s">
        <v>13329</v>
      </c>
      <c r="BI1344" s="6" t="str">
        <f t="shared" si="664"/>
        <v>=867.6*100000000</v>
      </c>
      <c r="BJ1344" s="1">
        <f>867.6*100000000</f>
        <v>86760000000</v>
      </c>
      <c r="BK1344" s="6" t="s">
        <v>13315</v>
      </c>
      <c r="BL1344" s="1" t="str">
        <f t="shared" si="635"/>
        <v>=395.8*100000000</v>
      </c>
      <c r="BM1344" s="16">
        <f t="shared" si="650"/>
        <v>1.1920161697827185</v>
      </c>
      <c r="BN1344" s="1">
        <f>395.8*100000000</f>
        <v>39580000000</v>
      </c>
    </row>
    <row r="1345" spans="1:66">
      <c r="A1345" s="19"/>
      <c r="B1345">
        <v>601318</v>
      </c>
      <c r="C1345" t="s">
        <v>68</v>
      </c>
      <c r="D1345" s="6" t="s">
        <v>13330</v>
      </c>
      <c r="E1345" s="7" t="str">
        <f t="shared" si="634"/>
        <v>=1218*100000000</v>
      </c>
      <c r="F1345" s="1">
        <f>1218*100000000</f>
        <v>121800000000</v>
      </c>
      <c r="G1345" s="8">
        <f t="shared" si="636"/>
        <v>0.24859046642747309</v>
      </c>
      <c r="H1345" s="6" t="s">
        <v>13331</v>
      </c>
      <c r="I1345" s="6" t="str">
        <f t="shared" si="651"/>
        <v>=975.5*100000000</v>
      </c>
      <c r="J1345" s="1">
        <f>975.5*100000000</f>
        <v>97550000000</v>
      </c>
      <c r="K1345" s="10">
        <f t="shared" si="637"/>
        <v>0.43540317834020009</v>
      </c>
      <c r="L1345" s="6" t="s">
        <v>13332</v>
      </c>
      <c r="M1345" s="6" t="str">
        <f t="shared" si="652"/>
        <v>=679.6*100000000</v>
      </c>
      <c r="N1345" s="1">
        <f>679.6*100000000</f>
        <v>67960000000</v>
      </c>
      <c r="O1345" s="8">
        <f t="shared" si="638"/>
        <v>1.0587700696758557</v>
      </c>
      <c r="P1345" s="6" t="s">
        <v>13333</v>
      </c>
      <c r="Q1345" s="6" t="str">
        <f t="shared" si="653"/>
        <v>=330.1*100000000</v>
      </c>
      <c r="R1345" s="11">
        <f>330.1*100000000</f>
        <v>33010000000.000004</v>
      </c>
      <c r="S1345" s="8">
        <f t="shared" si="639"/>
        <v>-0.79291091593475538</v>
      </c>
      <c r="T1345" s="6" t="s">
        <v>13334</v>
      </c>
      <c r="U1345" s="6" t="str">
        <f t="shared" si="654"/>
        <v>=1594*100000000</v>
      </c>
      <c r="V1345" s="1">
        <f>1594*100000000</f>
        <v>159400000000</v>
      </c>
      <c r="W1345" s="8">
        <f t="shared" si="640"/>
        <v>0.38729329852045258</v>
      </c>
      <c r="X1345" s="6" t="s">
        <v>2257</v>
      </c>
      <c r="Y1345" s="6" t="str">
        <f t="shared" si="655"/>
        <v>=1149*100000000</v>
      </c>
      <c r="Z1345" s="1">
        <f>1149*100000000</f>
        <v>114900000000</v>
      </c>
      <c r="AA1345" s="8">
        <f t="shared" si="641"/>
        <v>0.51243912070554165</v>
      </c>
      <c r="AB1345" s="6" t="s">
        <v>13335</v>
      </c>
      <c r="AC1345" s="6" t="str">
        <f t="shared" si="656"/>
        <v>=759.7*100000000</v>
      </c>
      <c r="AD1345" s="1">
        <f>759.7*100000000</f>
        <v>75970000000</v>
      </c>
      <c r="AE1345" s="8">
        <f t="shared" si="642"/>
        <v>1.5047807451368282</v>
      </c>
      <c r="AF1345" s="6" t="s">
        <v>13336</v>
      </c>
      <c r="AG1345" s="6" t="str">
        <f t="shared" si="657"/>
        <v>=303.3*100000000</v>
      </c>
      <c r="AH1345" s="1">
        <f>303.3*100000000</f>
        <v>30330000000</v>
      </c>
      <c r="AI1345" s="8">
        <f t="shared" si="643"/>
        <v>-0.81551094890510945</v>
      </c>
      <c r="AJ1345" s="6" t="s">
        <v>13337</v>
      </c>
      <c r="AK1345" s="6" t="str">
        <f t="shared" si="658"/>
        <v>=1644*100000000</v>
      </c>
      <c r="AL1345" s="1">
        <f>1644*100000000</f>
        <v>164400000000</v>
      </c>
      <c r="AM1345" s="8">
        <f t="shared" si="644"/>
        <v>0.16019760056457305</v>
      </c>
      <c r="AN1345" s="6" t="s">
        <v>13338</v>
      </c>
      <c r="AO1345" s="6" t="str">
        <f t="shared" si="659"/>
        <v>=1417*100000000</v>
      </c>
      <c r="AP1345" s="1">
        <f>1417*100000000</f>
        <v>141700000000</v>
      </c>
      <c r="AQ1345" s="8">
        <f t="shared" si="645"/>
        <v>0.34058656575212864</v>
      </c>
      <c r="AR1345" s="6" t="s">
        <v>13339</v>
      </c>
      <c r="AS1345" s="6" t="str">
        <f t="shared" si="660"/>
        <v>=1057*100000000</v>
      </c>
      <c r="AT1345" s="1">
        <f>1057*100000000</f>
        <v>105700000000</v>
      </c>
      <c r="AU1345" s="8">
        <f t="shared" si="646"/>
        <v>1.1431467964314679</v>
      </c>
      <c r="AV1345" s="6" t="s">
        <v>13340</v>
      </c>
      <c r="AW1345" s="6" t="str">
        <f t="shared" si="661"/>
        <v>=493.2*100000000</v>
      </c>
      <c r="AX1345" s="1">
        <f>493.2*100000000</f>
        <v>49320000000</v>
      </c>
      <c r="AY1345" s="10">
        <f t="shared" si="647"/>
        <v>-0.59070539419087142</v>
      </c>
      <c r="AZ1345" s="6" t="s">
        <v>13341</v>
      </c>
      <c r="BA1345" s="6" t="str">
        <f t="shared" si="662"/>
        <v>=1205*100000000</v>
      </c>
      <c r="BB1345" s="1">
        <f>1205*100000000</f>
        <v>120500000000</v>
      </c>
      <c r="BC1345" s="8">
        <f t="shared" si="648"/>
        <v>0.34651916415241929</v>
      </c>
      <c r="BD1345" s="6" t="s">
        <v>13342</v>
      </c>
      <c r="BE1345" s="6" t="str">
        <f t="shared" si="663"/>
        <v>=894.9*100000000</v>
      </c>
      <c r="BF1345" s="1">
        <f>894.9*100000000</f>
        <v>89490000000</v>
      </c>
      <c r="BG1345" s="8">
        <f t="shared" si="649"/>
        <v>0.38165817508105587</v>
      </c>
      <c r="BH1345" s="6" t="s">
        <v>13343</v>
      </c>
      <c r="BI1345" s="6" t="str">
        <f t="shared" si="664"/>
        <v>=647.7*100000000</v>
      </c>
      <c r="BJ1345" s="1">
        <f>647.7*100000000</f>
        <v>64770000000.000008</v>
      </c>
      <c r="BK1345" s="6" t="s">
        <v>13344</v>
      </c>
      <c r="BL1345" s="1" t="str">
        <f t="shared" si="635"/>
        <v>=289.5*100000000</v>
      </c>
      <c r="BM1345" s="16">
        <f t="shared" si="650"/>
        <v>1.2373056994818656</v>
      </c>
      <c r="BN1345" s="1">
        <f>289.5*100000000</f>
        <v>28950000000</v>
      </c>
    </row>
    <row r="1346" spans="1:66">
      <c r="A1346" s="17">
        <v>338</v>
      </c>
      <c r="B1346">
        <v>601326</v>
      </c>
      <c r="C1346" t="s">
        <v>31</v>
      </c>
      <c r="D1346" s="6" t="s">
        <v>13345</v>
      </c>
      <c r="E1346" s="7" t="str">
        <f t="shared" ref="E1346:E1409" si="665">"="&amp;D1346</f>
        <v>=65.95*100000000</v>
      </c>
      <c r="F1346" s="1">
        <f>65.95*100000000</f>
        <v>6595000000</v>
      </c>
      <c r="G1346" s="8">
        <f t="shared" si="636"/>
        <v>0.37510425354462051</v>
      </c>
      <c r="H1346" s="6" t="s">
        <v>13346</v>
      </c>
      <c r="I1346" s="6" t="str">
        <f t="shared" si="651"/>
        <v>=47.96*100000000</v>
      </c>
      <c r="J1346" s="1">
        <f>47.96*100000000</f>
        <v>4796000000</v>
      </c>
      <c r="K1346" s="10">
        <f t="shared" si="637"/>
        <v>0.4766009852216751</v>
      </c>
      <c r="L1346" s="6" t="s">
        <v>13347</v>
      </c>
      <c r="M1346" s="6" t="str">
        <f t="shared" si="652"/>
        <v>=32.48*100000000</v>
      </c>
      <c r="N1346" s="1">
        <f>32.48*100000000</f>
        <v>3247999999.9999995</v>
      </c>
      <c r="O1346" s="8">
        <f t="shared" si="638"/>
        <v>0.97566909975669047</v>
      </c>
      <c r="P1346" s="6" t="s">
        <v>2843</v>
      </c>
      <c r="Q1346" s="6" t="str">
        <f t="shared" si="653"/>
        <v>=16.44*100000000</v>
      </c>
      <c r="R1346" s="11">
        <f>16.44*100000000</f>
        <v>1644000000.0000002</v>
      </c>
      <c r="S1346" s="8">
        <f t="shared" si="639"/>
        <v>-0.74535315985130113</v>
      </c>
      <c r="T1346" s="6" t="s">
        <v>13348</v>
      </c>
      <c r="U1346" s="6" t="str">
        <f t="shared" si="654"/>
        <v>=64.56*100000000</v>
      </c>
      <c r="V1346" s="1">
        <f>64.56*100000000</f>
        <v>6456000000</v>
      </c>
      <c r="W1346" s="8">
        <f t="shared" si="640"/>
        <v>0.37478705281090291</v>
      </c>
      <c r="X1346" s="6" t="s">
        <v>6234</v>
      </c>
      <c r="Y1346" s="6" t="str">
        <f t="shared" si="655"/>
        <v>=46.96*100000000</v>
      </c>
      <c r="Z1346" s="1">
        <f>46.96*100000000</f>
        <v>4696000000</v>
      </c>
      <c r="AA1346" s="8">
        <f t="shared" si="641"/>
        <v>0.56794657762938228</v>
      </c>
      <c r="AB1346" s="6" t="s">
        <v>5902</v>
      </c>
      <c r="AC1346" s="6" t="str">
        <f t="shared" si="656"/>
        <v>=29.95*100000000</v>
      </c>
      <c r="AD1346" s="1">
        <f>29.95*100000000</f>
        <v>2995000000</v>
      </c>
      <c r="AE1346" s="8">
        <f t="shared" si="642"/>
        <v>1.1531272465851905</v>
      </c>
      <c r="AF1346" s="6" t="s">
        <v>10510</v>
      </c>
      <c r="AG1346" s="6" t="str">
        <f t="shared" si="657"/>
        <v>=13.91*100000000</v>
      </c>
      <c r="AH1346" s="1">
        <f>13.91*100000000</f>
        <v>1391000000</v>
      </c>
      <c r="AI1346" s="8">
        <f t="shared" si="643"/>
        <v>-0.79309831920273688</v>
      </c>
      <c r="AJ1346" s="6" t="s">
        <v>13349</v>
      </c>
      <c r="AK1346" s="6" t="str">
        <f t="shared" si="658"/>
        <v>=67.23*100000000</v>
      </c>
      <c r="AL1346" s="1">
        <f>67.23*100000000</f>
        <v>6723000000</v>
      </c>
      <c r="AM1346" s="8">
        <f t="shared" si="644"/>
        <v>0.33764424990051733</v>
      </c>
      <c r="AN1346" s="6" t="s">
        <v>13350</v>
      </c>
      <c r="AO1346" s="6" t="str">
        <f t="shared" si="659"/>
        <v>=50.26*100000000</v>
      </c>
      <c r="AP1346" s="1">
        <f>50.26*100000000</f>
        <v>5026000000</v>
      </c>
      <c r="AQ1346" s="8">
        <f t="shared" si="645"/>
        <v>0.48215865526393414</v>
      </c>
      <c r="AR1346" s="6" t="s">
        <v>13351</v>
      </c>
      <c r="AS1346" s="6" t="str">
        <f t="shared" si="660"/>
        <v>=33.91*100000000</v>
      </c>
      <c r="AT1346" s="1">
        <f>33.91*100000000</f>
        <v>3390999999.9999995</v>
      </c>
      <c r="AU1346" s="8">
        <f t="shared" si="646"/>
        <v>1.0689444783404511</v>
      </c>
      <c r="AV1346" s="6" t="s">
        <v>2675</v>
      </c>
      <c r="AW1346" s="6" t="str">
        <f t="shared" si="661"/>
        <v>=16.39*100000000</v>
      </c>
      <c r="AX1346" s="1">
        <f>16.39*100000000</f>
        <v>1639000000</v>
      </c>
      <c r="AY1346" s="10">
        <f t="shared" si="647"/>
        <v>-0.76166933255780134</v>
      </c>
      <c r="AZ1346" s="6" t="s">
        <v>12874</v>
      </c>
      <c r="BA1346" s="6" t="str">
        <f t="shared" si="662"/>
        <v>=68.77*100000000</v>
      </c>
      <c r="BB1346" s="1">
        <f>68.77*100000000</f>
        <v>6877000000</v>
      </c>
      <c r="BC1346" s="8">
        <f t="shared" si="648"/>
        <v>0.31592039800995025</v>
      </c>
      <c r="BD1346" s="6" t="s">
        <v>13352</v>
      </c>
      <c r="BE1346" s="6" t="str">
        <f t="shared" si="663"/>
        <v>=52.26*100000000</v>
      </c>
      <c r="BF1346" s="1">
        <f>52.26*100000000</f>
        <v>5226000000</v>
      </c>
      <c r="BG1346" s="8">
        <f t="shared" si="649"/>
        <v>0.48804100227790453</v>
      </c>
      <c r="BH1346" s="6" t="s">
        <v>13353</v>
      </c>
      <c r="BI1346" s="6" t="str">
        <f t="shared" si="664"/>
        <v>=35.12*100000000</v>
      </c>
      <c r="BJ1346" s="1">
        <f>35.12*100000000</f>
        <v>3511999999.9999995</v>
      </c>
      <c r="BK1346" s="6" t="s">
        <v>9524</v>
      </c>
      <c r="BL1346" s="1" t="str">
        <f t="shared" ref="BL1346:BL1409" si="666">"="&amp;BK1346</f>
        <v>=17.63*100000000</v>
      </c>
      <c r="BM1346" s="16">
        <f t="shared" si="650"/>
        <v>0.99205899035734513</v>
      </c>
      <c r="BN1346" s="1">
        <f>17.63*100000000</f>
        <v>1763000000</v>
      </c>
    </row>
    <row r="1347" spans="1:66">
      <c r="A1347" s="18"/>
      <c r="B1347">
        <v>601326</v>
      </c>
      <c r="C1347" t="s">
        <v>48</v>
      </c>
      <c r="D1347" s="6" t="s">
        <v>9161</v>
      </c>
      <c r="E1347" s="7" t="str">
        <f t="shared" si="665"/>
        <v>=12.78*100000000</v>
      </c>
      <c r="F1347" s="1">
        <f>12.78*100000000</f>
        <v>1278000000</v>
      </c>
      <c r="G1347" s="8">
        <f t="shared" ref="G1347:G1410" si="667">(F1347-J1347)/J1347</f>
        <v>7.3047858942065488E-2</v>
      </c>
      <c r="H1347" s="6" t="s">
        <v>1299</v>
      </c>
      <c r="I1347" s="6" t="str">
        <f t="shared" si="651"/>
        <v>=11.91*100000000</v>
      </c>
      <c r="J1347" s="1">
        <f>11.91*100000000</f>
        <v>1191000000</v>
      </c>
      <c r="K1347" s="10">
        <f t="shared" ref="K1347:K1410" si="668">(J1347-N1347)/N1347</f>
        <v>0.40780141843971612</v>
      </c>
      <c r="L1347" s="6" t="s">
        <v>13354</v>
      </c>
      <c r="M1347" s="6" t="str">
        <f t="shared" si="652"/>
        <v>=8.460*100000000</v>
      </c>
      <c r="N1347" s="1">
        <f>8.46*100000000</f>
        <v>846000000.00000012</v>
      </c>
      <c r="O1347" s="8">
        <f t="shared" ref="O1347:O1410" si="669">(N1347-R1347)/R1347</f>
        <v>1.0639180287875094</v>
      </c>
      <c r="P1347" s="6" t="s">
        <v>13355</v>
      </c>
      <c r="Q1347" s="6" t="str">
        <f t="shared" si="653"/>
        <v>=4.099*100000000</v>
      </c>
      <c r="R1347" s="11">
        <f>4.099*100000000</f>
        <v>409900000</v>
      </c>
      <c r="S1347" s="8">
        <f t="shared" ref="S1347:S1410" si="670">(R1347-V1347)/V1347</f>
        <v>-0.6667479674796748</v>
      </c>
      <c r="T1347" s="6" t="s">
        <v>11050</v>
      </c>
      <c r="U1347" s="6" t="str">
        <f t="shared" si="654"/>
        <v>=12.30*100000000</v>
      </c>
      <c r="V1347" s="1">
        <f>12.3*100000000</f>
        <v>1230000000</v>
      </c>
      <c r="W1347" s="8">
        <f t="shared" ref="W1347:W1410" si="671">(V1347-Z1347)/Z1347</f>
        <v>2.7568922305764409E-2</v>
      </c>
      <c r="X1347" s="6" t="s">
        <v>1118</v>
      </c>
      <c r="Y1347" s="6" t="str">
        <f t="shared" si="655"/>
        <v>=11.97*100000000</v>
      </c>
      <c r="Z1347" s="1">
        <f>11.97*100000000</f>
        <v>1197000000</v>
      </c>
      <c r="AA1347" s="8">
        <f t="shared" ref="AA1347:AA1410" si="672">(Z1347-AD1347)/AD1347</f>
        <v>0.67529741077676697</v>
      </c>
      <c r="AB1347" s="6" t="s">
        <v>496</v>
      </c>
      <c r="AC1347" s="6" t="str">
        <f t="shared" si="656"/>
        <v>=7.145*100000000</v>
      </c>
      <c r="AD1347" s="1">
        <f>7.145*100000000</f>
        <v>714500000</v>
      </c>
      <c r="AE1347" s="8">
        <f t="shared" ref="AE1347:AE1410" si="673">(AD1347-AH1347)/AH1347</f>
        <v>1.5618501254930082</v>
      </c>
      <c r="AF1347" s="6" t="s">
        <v>11071</v>
      </c>
      <c r="AG1347" s="6" t="str">
        <f t="shared" si="657"/>
        <v>=2.789*100000000</v>
      </c>
      <c r="AH1347" s="1">
        <f>2.789*100000000</f>
        <v>278900000</v>
      </c>
      <c r="AI1347" s="8">
        <f t="shared" ref="AI1347:AI1410" si="674">(AH1347-AL1347)/AL1347</f>
        <v>-0.74412844036697245</v>
      </c>
      <c r="AJ1347" s="6" t="s">
        <v>7435</v>
      </c>
      <c r="AK1347" s="6" t="str">
        <f t="shared" si="658"/>
        <v>=10.90*100000000</v>
      </c>
      <c r="AL1347" s="1">
        <f>10.9*100000000</f>
        <v>1090000000</v>
      </c>
      <c r="AM1347" s="8">
        <f t="shared" ref="AM1347:AM1410" si="675">(AL1347-AP1347)/AP1347</f>
        <v>-1.3574660633484163E-2</v>
      </c>
      <c r="AN1347" s="6" t="s">
        <v>173</v>
      </c>
      <c r="AO1347" s="6" t="str">
        <f t="shared" si="659"/>
        <v>=11.05*100000000</v>
      </c>
      <c r="AP1347" s="1">
        <f>11.05*100000000</f>
        <v>1105000000</v>
      </c>
      <c r="AQ1347" s="8">
        <f t="shared" ref="AQ1347:AQ1410" si="676">(AP1347-AT1347)/AT1347</f>
        <v>0.57519600855310049</v>
      </c>
      <c r="AR1347" s="6" t="s">
        <v>13356</v>
      </c>
      <c r="AS1347" s="6" t="str">
        <f t="shared" si="660"/>
        <v>=7.015*100000000</v>
      </c>
      <c r="AT1347" s="1">
        <f>7.015*100000000</f>
        <v>701500000</v>
      </c>
      <c r="AU1347" s="8">
        <f t="shared" ref="AU1347:AU1410" si="677">(AT1347-AX1347)/AX1347</f>
        <v>3.7721088435374148</v>
      </c>
      <c r="AV1347" s="6" t="s">
        <v>10304</v>
      </c>
      <c r="AW1347" s="6" t="str">
        <f t="shared" si="661"/>
        <v>=1.470*100000000</v>
      </c>
      <c r="AX1347" s="1">
        <f>1.47*100000000</f>
        <v>147000000</v>
      </c>
      <c r="AY1347" s="10">
        <f t="shared" ref="AY1347:AY1410" si="678">(AX1347-BB1347)/BB1347</f>
        <v>-0.85488647581441268</v>
      </c>
      <c r="AZ1347" s="6" t="s">
        <v>1409</v>
      </c>
      <c r="BA1347" s="6" t="str">
        <f t="shared" si="662"/>
        <v>=10.13*100000000</v>
      </c>
      <c r="BB1347" s="1">
        <f>10.13*100000000</f>
        <v>1013000000.0000001</v>
      </c>
      <c r="BC1347" s="8">
        <f t="shared" ref="BC1347:BC1410" si="679">(BB1347-BF1347)/BF1347</f>
        <v>-0.14730639730639722</v>
      </c>
      <c r="BD1347" s="6" t="s">
        <v>342</v>
      </c>
      <c r="BE1347" s="6" t="str">
        <f t="shared" si="663"/>
        <v>=11.88*100000000</v>
      </c>
      <c r="BF1347" s="1">
        <f>11.88*100000000</f>
        <v>1188000000</v>
      </c>
      <c r="BG1347" s="8">
        <f t="shared" ref="BG1347:BG1410" si="680">(BF1347-BJ1347)/BJ1347</f>
        <v>0.28794449262792715</v>
      </c>
      <c r="BH1347" s="6" t="s">
        <v>13357</v>
      </c>
      <c r="BI1347" s="6" t="str">
        <f t="shared" si="664"/>
        <v>=9.224*100000000</v>
      </c>
      <c r="BJ1347" s="1">
        <f>9.224*100000000</f>
        <v>922400000</v>
      </c>
      <c r="BK1347" s="6" t="s">
        <v>12492</v>
      </c>
      <c r="BL1347" s="1" t="str">
        <f t="shared" si="666"/>
        <v>=4.269*100000000</v>
      </c>
      <c r="BM1347" s="16">
        <f t="shared" ref="BM1347:BM1410" si="681">(BJ1347-BN1347)/BN1347</f>
        <v>1.1606933708128366</v>
      </c>
      <c r="BN1347" s="1">
        <f>4.269*100000000</f>
        <v>426900000</v>
      </c>
    </row>
    <row r="1348" spans="1:66">
      <c r="A1348" s="18"/>
      <c r="B1348">
        <v>601326</v>
      </c>
      <c r="C1348" t="s">
        <v>58</v>
      </c>
      <c r="D1348" s="6" t="s">
        <v>3969</v>
      </c>
      <c r="E1348" s="7" t="str">
        <f t="shared" si="665"/>
        <v>=12.81*100000000</v>
      </c>
      <c r="F1348" s="1">
        <f>12.81*100000000</f>
        <v>1281000000</v>
      </c>
      <c r="G1348" s="8">
        <f t="shared" si="667"/>
        <v>7.1070234113712369E-2</v>
      </c>
      <c r="H1348" s="6" t="s">
        <v>11402</v>
      </c>
      <c r="I1348" s="6" t="str">
        <f t="shared" si="651"/>
        <v>=11.96*100000000</v>
      </c>
      <c r="J1348" s="1">
        <f>11.96*100000000</f>
        <v>1196000000</v>
      </c>
      <c r="K1348" s="10">
        <f t="shared" si="668"/>
        <v>0.40606630613684458</v>
      </c>
      <c r="L1348" s="6" t="s">
        <v>13358</v>
      </c>
      <c r="M1348" s="6" t="str">
        <f t="shared" si="652"/>
        <v>=8.506*100000000</v>
      </c>
      <c r="N1348" s="1">
        <f>8.506*100000000</f>
        <v>850600000</v>
      </c>
      <c r="O1348" s="8">
        <f t="shared" si="669"/>
        <v>1.0751402781166137</v>
      </c>
      <c r="P1348" s="6" t="s">
        <v>13355</v>
      </c>
      <c r="Q1348" s="6" t="str">
        <f t="shared" si="653"/>
        <v>=4.099*100000000</v>
      </c>
      <c r="R1348" s="11">
        <f>4.099*100000000</f>
        <v>409900000</v>
      </c>
      <c r="S1348" s="8">
        <f t="shared" si="670"/>
        <v>-0.66782820097244733</v>
      </c>
      <c r="T1348" s="6" t="s">
        <v>7282</v>
      </c>
      <c r="U1348" s="6" t="str">
        <f t="shared" si="654"/>
        <v>=12.34*100000000</v>
      </c>
      <c r="V1348" s="1">
        <f>12.34*100000000</f>
        <v>1234000000</v>
      </c>
      <c r="W1348" s="8">
        <f t="shared" si="671"/>
        <v>3.350083752093802E-2</v>
      </c>
      <c r="X1348" s="6" t="s">
        <v>8646</v>
      </c>
      <c r="Y1348" s="6" t="str">
        <f t="shared" si="655"/>
        <v>=11.94*100000000</v>
      </c>
      <c r="Z1348" s="1">
        <f>11.94*100000000</f>
        <v>1194000000</v>
      </c>
      <c r="AA1348" s="8">
        <f t="shared" si="672"/>
        <v>0.67885264341957252</v>
      </c>
      <c r="AB1348" s="6" t="s">
        <v>6996</v>
      </c>
      <c r="AC1348" s="6" t="str">
        <f t="shared" si="656"/>
        <v>=7.112*100000000</v>
      </c>
      <c r="AD1348" s="1">
        <f>7.112*100000000</f>
        <v>711200000</v>
      </c>
      <c r="AE1348" s="8">
        <f t="shared" si="673"/>
        <v>1.603221083455344</v>
      </c>
      <c r="AF1348" s="6" t="s">
        <v>13359</v>
      </c>
      <c r="AG1348" s="6" t="str">
        <f t="shared" si="657"/>
        <v>=2.732*100000000</v>
      </c>
      <c r="AH1348" s="1">
        <f>2.732*100000000</f>
        <v>273200000</v>
      </c>
      <c r="AI1348" s="8">
        <f t="shared" si="674"/>
        <v>-0.75004574565416282</v>
      </c>
      <c r="AJ1348" s="6" t="s">
        <v>1379</v>
      </c>
      <c r="AK1348" s="6" t="str">
        <f t="shared" si="658"/>
        <v>=10.93*100000000</v>
      </c>
      <c r="AL1348" s="1">
        <f>10.93*100000000</f>
        <v>1093000000</v>
      </c>
      <c r="AM1348" s="8">
        <f t="shared" si="675"/>
        <v>-1.4427412082957619E-2</v>
      </c>
      <c r="AN1348" s="6" t="s">
        <v>4498</v>
      </c>
      <c r="AO1348" s="6" t="str">
        <f t="shared" si="659"/>
        <v>=11.09*100000000</v>
      </c>
      <c r="AP1348" s="1">
        <f>11.09*100000000</f>
        <v>1109000000</v>
      </c>
      <c r="AQ1348" s="8">
        <f t="shared" si="676"/>
        <v>0.5728265494256134</v>
      </c>
      <c r="AR1348" s="6" t="s">
        <v>11438</v>
      </c>
      <c r="AS1348" s="6" t="str">
        <f t="shared" si="660"/>
        <v>=7.051*100000000</v>
      </c>
      <c r="AT1348" s="1">
        <f>7.051*100000000</f>
        <v>705100000</v>
      </c>
      <c r="AU1348" s="8">
        <f t="shared" si="677"/>
        <v>3.7900815217391304</v>
      </c>
      <c r="AV1348" s="6" t="s">
        <v>6588</v>
      </c>
      <c r="AW1348" s="6" t="str">
        <f t="shared" si="661"/>
        <v>=1.472*100000000</v>
      </c>
      <c r="AX1348" s="1">
        <f>1.472*100000000</f>
        <v>147200000</v>
      </c>
      <c r="AY1348" s="10">
        <f t="shared" si="678"/>
        <v>-0.85680933852140073</v>
      </c>
      <c r="AZ1348" s="6" t="s">
        <v>3466</v>
      </c>
      <c r="BA1348" s="6" t="str">
        <f t="shared" si="662"/>
        <v>=10.28*100000000</v>
      </c>
      <c r="BB1348" s="1">
        <f>10.28*100000000</f>
        <v>1027999999.9999999</v>
      </c>
      <c r="BC1348" s="8">
        <f t="shared" si="679"/>
        <v>-0.14190317195325552</v>
      </c>
      <c r="BD1348" s="6" t="s">
        <v>9617</v>
      </c>
      <c r="BE1348" s="6" t="str">
        <f t="shared" si="663"/>
        <v>=11.98*100000000</v>
      </c>
      <c r="BF1348" s="1">
        <f>11.98*100000000</f>
        <v>1198000000</v>
      </c>
      <c r="BG1348" s="8">
        <f t="shared" si="680"/>
        <v>0.28692663014287267</v>
      </c>
      <c r="BH1348" s="6" t="s">
        <v>9619</v>
      </c>
      <c r="BI1348" s="6" t="str">
        <f t="shared" si="664"/>
        <v>=9.309*100000000</v>
      </c>
      <c r="BJ1348" s="1">
        <f>9.309*100000000</f>
        <v>930899999.99999988</v>
      </c>
      <c r="BK1348" s="6" t="s">
        <v>1652</v>
      </c>
      <c r="BL1348" s="1" t="str">
        <f t="shared" si="666"/>
        <v>=4.338*100000000</v>
      </c>
      <c r="BM1348" s="16">
        <f t="shared" si="681"/>
        <v>1.1459197786998614</v>
      </c>
      <c r="BN1348" s="1">
        <f>4.338*100000000</f>
        <v>433800000</v>
      </c>
    </row>
    <row r="1349" spans="1:66">
      <c r="A1349" s="19"/>
      <c r="B1349">
        <v>601326</v>
      </c>
      <c r="C1349" t="s">
        <v>68</v>
      </c>
      <c r="D1349" s="6" t="s">
        <v>13360</v>
      </c>
      <c r="E1349" s="7" t="str">
        <f t="shared" si="665"/>
        <v>=9.971*100000000</v>
      </c>
      <c r="F1349" s="1">
        <f>9.971*100000000</f>
        <v>997100000</v>
      </c>
      <c r="G1349" s="8">
        <f t="shared" si="667"/>
        <v>6.6189050470487593E-2</v>
      </c>
      <c r="H1349" s="6" t="s">
        <v>8794</v>
      </c>
      <c r="I1349" s="6" t="str">
        <f t="shared" si="651"/>
        <v>=9.352*100000000</v>
      </c>
      <c r="J1349" s="1">
        <f>9.352*100000000</f>
        <v>935200000</v>
      </c>
      <c r="K1349" s="10">
        <f t="shared" si="668"/>
        <v>0.39436409721186821</v>
      </c>
      <c r="L1349" s="6" t="s">
        <v>11780</v>
      </c>
      <c r="M1349" s="6" t="str">
        <f t="shared" si="652"/>
        <v>=6.707*100000000</v>
      </c>
      <c r="N1349" s="1">
        <f>6.707*100000000</f>
        <v>670700000</v>
      </c>
      <c r="O1349" s="8">
        <f t="shared" si="669"/>
        <v>1.2643484132343012</v>
      </c>
      <c r="P1349" s="6" t="s">
        <v>10878</v>
      </c>
      <c r="Q1349" s="6" t="str">
        <f t="shared" si="653"/>
        <v>=2.962*100000000</v>
      </c>
      <c r="R1349" s="11">
        <f>2.962*100000000</f>
        <v>296200000</v>
      </c>
      <c r="S1349" s="8">
        <f t="shared" si="670"/>
        <v>-0.67074255224544244</v>
      </c>
      <c r="T1349" s="6" t="s">
        <v>13361</v>
      </c>
      <c r="U1349" s="6" t="str">
        <f t="shared" si="654"/>
        <v>=8.996*100000000</v>
      </c>
      <c r="V1349" s="1">
        <f>8.996*100000000</f>
        <v>899600000</v>
      </c>
      <c r="W1349" s="8">
        <f t="shared" si="671"/>
        <v>1.1127346296504441E-2</v>
      </c>
      <c r="X1349" s="6" t="s">
        <v>13362</v>
      </c>
      <c r="Y1349" s="6" t="str">
        <f t="shared" si="655"/>
        <v>=8.897*100000000</v>
      </c>
      <c r="Z1349" s="1">
        <f>8.897*100000000</f>
        <v>889700000</v>
      </c>
      <c r="AA1349" s="8">
        <f t="shared" si="672"/>
        <v>0.73363211223694491</v>
      </c>
      <c r="AB1349" s="6" t="s">
        <v>6390</v>
      </c>
      <c r="AC1349" s="6" t="str">
        <f t="shared" si="656"/>
        <v>=5.132*100000000</v>
      </c>
      <c r="AD1349" s="1">
        <f>5.132*100000000</f>
        <v>513199999.99999994</v>
      </c>
      <c r="AE1349" s="8">
        <f t="shared" si="673"/>
        <v>1.5443728309370348</v>
      </c>
      <c r="AF1349" s="6" t="s">
        <v>9145</v>
      </c>
      <c r="AG1349" s="6" t="str">
        <f t="shared" si="657"/>
        <v>=2.017*100000000</v>
      </c>
      <c r="AH1349" s="1">
        <f>2.017*100000000</f>
        <v>201700000</v>
      </c>
      <c r="AI1349" s="8">
        <f t="shared" si="674"/>
        <v>-0.75654797827398912</v>
      </c>
      <c r="AJ1349" s="6" t="s">
        <v>13363</v>
      </c>
      <c r="AK1349" s="6" t="str">
        <f t="shared" si="658"/>
        <v>=8.285*100000000</v>
      </c>
      <c r="AL1349" s="1">
        <f>8.285*100000000</f>
        <v>828500000</v>
      </c>
      <c r="AM1349" s="8">
        <f t="shared" si="675"/>
        <v>3.3042394014962596E-2</v>
      </c>
      <c r="AN1349" s="6" t="s">
        <v>8771</v>
      </c>
      <c r="AO1349" s="6" t="str">
        <f t="shared" si="659"/>
        <v>=8.020*100000000</v>
      </c>
      <c r="AP1349" s="1">
        <f>8.02*100000000</f>
        <v>802000000</v>
      </c>
      <c r="AQ1349" s="8">
        <f t="shared" si="676"/>
        <v>0.54766499421072923</v>
      </c>
      <c r="AR1349" s="6" t="s">
        <v>3669</v>
      </c>
      <c r="AS1349" s="6" t="str">
        <f t="shared" si="660"/>
        <v>=5.182*100000000</v>
      </c>
      <c r="AT1349" s="1">
        <f>5.182*100000000</f>
        <v>518200000.00000006</v>
      </c>
      <c r="AU1349" s="8">
        <f t="shared" si="677"/>
        <v>4.0556097560975619</v>
      </c>
      <c r="AV1349" s="6" t="s">
        <v>11156</v>
      </c>
      <c r="AW1349" s="6" t="str">
        <f t="shared" si="661"/>
        <v>=1.025*100000000</v>
      </c>
      <c r="AX1349" s="1">
        <f>1.025*100000000</f>
        <v>102499999.99999999</v>
      </c>
      <c r="AY1349" s="10">
        <f t="shared" si="678"/>
        <v>-0.85224160299841434</v>
      </c>
      <c r="AZ1349" s="6" t="s">
        <v>13037</v>
      </c>
      <c r="BA1349" s="6" t="str">
        <f t="shared" si="662"/>
        <v>=6.937*100000000</v>
      </c>
      <c r="BB1349" s="1">
        <f>6.937*100000000</f>
        <v>693700000</v>
      </c>
      <c r="BC1349" s="8">
        <f t="shared" si="679"/>
        <v>-0.17524670074901913</v>
      </c>
      <c r="BD1349" s="6" t="s">
        <v>7171</v>
      </c>
      <c r="BE1349" s="6" t="str">
        <f t="shared" si="663"/>
        <v>=8.411*100000000</v>
      </c>
      <c r="BF1349" s="1">
        <f>8.411*100000000</f>
        <v>841100000</v>
      </c>
      <c r="BG1349" s="8">
        <f t="shared" si="680"/>
        <v>0.27749088699878494</v>
      </c>
      <c r="BH1349" s="6" t="s">
        <v>9211</v>
      </c>
      <c r="BI1349" s="6" t="str">
        <f t="shared" si="664"/>
        <v>=6.584*100000000</v>
      </c>
      <c r="BJ1349" s="1">
        <f>6.584*100000000</f>
        <v>658400000</v>
      </c>
      <c r="BK1349" s="6" t="s">
        <v>11580</v>
      </c>
      <c r="BL1349" s="1" t="str">
        <f t="shared" si="666"/>
        <v>=2.995*100000000</v>
      </c>
      <c r="BM1349" s="16">
        <f t="shared" si="681"/>
        <v>1.198330550918197</v>
      </c>
      <c r="BN1349" s="1">
        <f>2.995*100000000</f>
        <v>299500000</v>
      </c>
    </row>
    <row r="1350" spans="1:66">
      <c r="A1350" s="17">
        <v>339</v>
      </c>
      <c r="B1350">
        <v>601328</v>
      </c>
      <c r="C1350" t="s">
        <v>31</v>
      </c>
      <c r="D1350" s="6" t="s">
        <v>13364</v>
      </c>
      <c r="E1350" s="7" t="str">
        <f t="shared" si="665"/>
        <v>=2694*100000000</v>
      </c>
      <c r="F1350" s="1">
        <f>2694*100000000</f>
        <v>269400000000</v>
      </c>
      <c r="G1350" s="8">
        <f t="shared" si="667"/>
        <v>0.34699999999999998</v>
      </c>
      <c r="H1350" s="6" t="s">
        <v>13365</v>
      </c>
      <c r="I1350" s="6" t="str">
        <f t="shared" si="651"/>
        <v>=2000*100000000</v>
      </c>
      <c r="J1350" s="1">
        <f>2000*100000000</f>
        <v>200000000000</v>
      </c>
      <c r="K1350" s="10">
        <f t="shared" si="668"/>
        <v>0.49365197908887232</v>
      </c>
      <c r="L1350" s="6" t="s">
        <v>13366</v>
      </c>
      <c r="M1350" s="6" t="str">
        <f t="shared" si="652"/>
        <v>=1339*100000000</v>
      </c>
      <c r="N1350" s="1">
        <f>1339*100000000</f>
        <v>133900000000</v>
      </c>
      <c r="O1350" s="8">
        <f t="shared" si="669"/>
        <v>0.95932104184957567</v>
      </c>
      <c r="P1350" s="6" t="s">
        <v>13367</v>
      </c>
      <c r="Q1350" s="6" t="str">
        <f t="shared" si="653"/>
        <v>=683.4*100000000</v>
      </c>
      <c r="R1350" s="11">
        <f>683.4*100000000</f>
        <v>68340000000</v>
      </c>
      <c r="S1350" s="8">
        <f t="shared" si="670"/>
        <v>-0.72242079610073107</v>
      </c>
      <c r="T1350" s="6" t="s">
        <v>13368</v>
      </c>
      <c r="U1350" s="6" t="str">
        <f t="shared" si="654"/>
        <v>=2462*100000000</v>
      </c>
      <c r="V1350" s="1">
        <f>2462*100000000</f>
        <v>246200000000</v>
      </c>
      <c r="W1350" s="8">
        <f t="shared" si="671"/>
        <v>0.32793959007551243</v>
      </c>
      <c r="X1350" s="6" t="s">
        <v>13369</v>
      </c>
      <c r="Y1350" s="6" t="str">
        <f t="shared" si="655"/>
        <v>=1854*100000000</v>
      </c>
      <c r="Z1350" s="1">
        <f>1854*100000000</f>
        <v>185400000000</v>
      </c>
      <c r="AA1350" s="8">
        <f t="shared" si="672"/>
        <v>0.46214511041009465</v>
      </c>
      <c r="AB1350" s="6" t="s">
        <v>13370</v>
      </c>
      <c r="AC1350" s="6" t="str">
        <f t="shared" si="656"/>
        <v>=1268*100000000</v>
      </c>
      <c r="AD1350" s="1">
        <f>1268*100000000</f>
        <v>126800000000</v>
      </c>
      <c r="AE1350" s="8">
        <f t="shared" si="673"/>
        <v>0.95076923076923081</v>
      </c>
      <c r="AF1350" s="6" t="s">
        <v>13371</v>
      </c>
      <c r="AG1350" s="6" t="str">
        <f t="shared" si="657"/>
        <v>=650.0*100000000</v>
      </c>
      <c r="AH1350" s="1">
        <f>650*100000000</f>
        <v>65000000000</v>
      </c>
      <c r="AI1350" s="8">
        <f t="shared" si="674"/>
        <v>-0.72043010752688175</v>
      </c>
      <c r="AJ1350" s="6" t="s">
        <v>13372</v>
      </c>
      <c r="AK1350" s="6" t="str">
        <f t="shared" si="658"/>
        <v>=2325*100000000</v>
      </c>
      <c r="AL1350" s="1">
        <f>2325*100000000</f>
        <v>232500000000</v>
      </c>
      <c r="AM1350" s="8">
        <f t="shared" si="675"/>
        <v>0.31877481565513327</v>
      </c>
      <c r="AN1350" s="6" t="s">
        <v>7977</v>
      </c>
      <c r="AO1350" s="6" t="str">
        <f t="shared" si="659"/>
        <v>=1763*100000000</v>
      </c>
      <c r="AP1350" s="1">
        <f>1763*100000000</f>
        <v>176300000000</v>
      </c>
      <c r="AQ1350" s="8">
        <f t="shared" si="676"/>
        <v>0.49153976311336717</v>
      </c>
      <c r="AR1350" s="6" t="s">
        <v>13373</v>
      </c>
      <c r="AS1350" s="6" t="str">
        <f t="shared" si="660"/>
        <v>=1182*100000000</v>
      </c>
      <c r="AT1350" s="1">
        <f>1182*100000000</f>
        <v>118200000000</v>
      </c>
      <c r="AU1350" s="8">
        <f t="shared" si="677"/>
        <v>0.90338164251207731</v>
      </c>
      <c r="AV1350" s="6" t="s">
        <v>13374</v>
      </c>
      <c r="AW1350" s="6" t="str">
        <f t="shared" si="661"/>
        <v>=621.0*100000000</v>
      </c>
      <c r="AX1350" s="1">
        <f>621*100000000</f>
        <v>62100000000</v>
      </c>
      <c r="AY1350" s="10">
        <f t="shared" si="678"/>
        <v>-0.70803949224259521</v>
      </c>
      <c r="AZ1350" s="6" t="s">
        <v>13375</v>
      </c>
      <c r="BA1350" s="6" t="str">
        <f t="shared" si="662"/>
        <v>=2127*100000000</v>
      </c>
      <c r="BB1350" s="1">
        <f>2127*100000000</f>
        <v>212700000000</v>
      </c>
      <c r="BC1350" s="8">
        <f t="shared" si="679"/>
        <v>0.34790874524714827</v>
      </c>
      <c r="BD1350" s="6" t="s">
        <v>13376</v>
      </c>
      <c r="BE1350" s="6" t="str">
        <f t="shared" si="663"/>
        <v>=1578*100000000</v>
      </c>
      <c r="BF1350" s="1">
        <f>1578*100000000</f>
        <v>157800000000</v>
      </c>
      <c r="BG1350" s="8">
        <f t="shared" si="680"/>
        <v>0.5485770363101079</v>
      </c>
      <c r="BH1350" s="6" t="s">
        <v>13377</v>
      </c>
      <c r="BI1350" s="6" t="str">
        <f t="shared" si="664"/>
        <v>=1019*100000000</v>
      </c>
      <c r="BJ1350" s="1">
        <f>1019*100000000</f>
        <v>101900000000</v>
      </c>
      <c r="BK1350" s="6" t="s">
        <v>773</v>
      </c>
      <c r="BL1350" s="1" t="str">
        <f t="shared" si="666"/>
        <v>=491.0*100000000</v>
      </c>
      <c r="BM1350" s="16">
        <f t="shared" si="681"/>
        <v>1.075356415478615</v>
      </c>
      <c r="BN1350" s="1">
        <f>491*100000000</f>
        <v>49100000000</v>
      </c>
    </row>
    <row r="1351" spans="1:66">
      <c r="A1351" s="18"/>
      <c r="B1351">
        <v>601328</v>
      </c>
      <c r="C1351" t="s">
        <v>48</v>
      </c>
      <c r="D1351" s="6" t="s">
        <v>13378</v>
      </c>
      <c r="E1351" s="7" t="str">
        <f t="shared" si="665"/>
        <v>=937.5*100000000</v>
      </c>
      <c r="F1351" s="1">
        <f>937.5*100000000</f>
        <v>93750000000</v>
      </c>
      <c r="G1351" s="8">
        <f t="shared" si="667"/>
        <v>0.3553563683677895</v>
      </c>
      <c r="H1351" s="6" t="s">
        <v>13379</v>
      </c>
      <c r="I1351" s="6" t="str">
        <f t="shared" si="651"/>
        <v>=691.7*100000000</v>
      </c>
      <c r="J1351" s="1">
        <f>691.7*100000000</f>
        <v>69170000000</v>
      </c>
      <c r="K1351" s="10">
        <f t="shared" si="668"/>
        <v>0.48720705224682864</v>
      </c>
      <c r="L1351" s="6" t="s">
        <v>13380</v>
      </c>
      <c r="M1351" s="6" t="str">
        <f t="shared" si="652"/>
        <v>=465.1*100000000</v>
      </c>
      <c r="N1351" s="1">
        <f>465.1*100000000</f>
        <v>46510000000</v>
      </c>
      <c r="O1351" s="8">
        <f t="shared" si="669"/>
        <v>0.87012464817048651</v>
      </c>
      <c r="P1351" s="6" t="s">
        <v>13381</v>
      </c>
      <c r="Q1351" s="6" t="str">
        <f t="shared" si="653"/>
        <v>=248.7*100000000</v>
      </c>
      <c r="R1351" s="11">
        <f>248.7*100000000</f>
        <v>24870000000</v>
      </c>
      <c r="S1351" s="8">
        <f t="shared" si="670"/>
        <v>-0.71151838533812783</v>
      </c>
      <c r="T1351" s="6" t="s">
        <v>13382</v>
      </c>
      <c r="U1351" s="6" t="str">
        <f t="shared" si="654"/>
        <v>=862.1*100000000</v>
      </c>
      <c r="V1351" s="1">
        <f>862.1*100000000</f>
        <v>86210000000</v>
      </c>
      <c r="W1351" s="8">
        <f t="shared" si="671"/>
        <v>0.50139324277255293</v>
      </c>
      <c r="X1351" s="6" t="s">
        <v>13383</v>
      </c>
      <c r="Y1351" s="6" t="str">
        <f t="shared" si="655"/>
        <v>=574.2*100000000</v>
      </c>
      <c r="Z1351" s="1">
        <f>574.2*100000000</f>
        <v>57420000000.000008</v>
      </c>
      <c r="AA1351" s="8">
        <f t="shared" si="672"/>
        <v>0.44090338770388976</v>
      </c>
      <c r="AB1351" s="6" t="s">
        <v>12309</v>
      </c>
      <c r="AC1351" s="6" t="str">
        <f t="shared" si="656"/>
        <v>=398.5*100000000</v>
      </c>
      <c r="AD1351" s="1">
        <f>398.5*100000000</f>
        <v>39850000000</v>
      </c>
      <c r="AE1351" s="8">
        <f t="shared" si="673"/>
        <v>0.63520722199425528</v>
      </c>
      <c r="AF1351" s="6" t="s">
        <v>11873</v>
      </c>
      <c r="AG1351" s="6" t="str">
        <f t="shared" si="657"/>
        <v>=243.7*100000000</v>
      </c>
      <c r="AH1351" s="1">
        <f>243.7*100000000</f>
        <v>24370000000</v>
      </c>
      <c r="AI1351" s="8">
        <f t="shared" si="674"/>
        <v>-0.72353942144072603</v>
      </c>
      <c r="AJ1351" s="6" t="s">
        <v>13384</v>
      </c>
      <c r="AK1351" s="6" t="str">
        <f t="shared" si="658"/>
        <v>=881.5*100000000</v>
      </c>
      <c r="AL1351" s="1">
        <f>881.5*100000000</f>
        <v>88150000000</v>
      </c>
      <c r="AM1351" s="8">
        <f t="shared" si="675"/>
        <v>0.2764262959745149</v>
      </c>
      <c r="AN1351" s="6" t="s">
        <v>13385</v>
      </c>
      <c r="AO1351" s="6" t="str">
        <f t="shared" si="659"/>
        <v>=690.6*100000000</v>
      </c>
      <c r="AP1351" s="1">
        <f>690.6*100000000</f>
        <v>69060000000</v>
      </c>
      <c r="AQ1351" s="8">
        <f t="shared" si="676"/>
        <v>0.40508646998982706</v>
      </c>
      <c r="AR1351" s="6" t="s">
        <v>13386</v>
      </c>
      <c r="AS1351" s="6" t="str">
        <f t="shared" si="660"/>
        <v>=491.5*100000000</v>
      </c>
      <c r="AT1351" s="1">
        <f>491.5*100000000</f>
        <v>49150000000</v>
      </c>
      <c r="AU1351" s="8">
        <f t="shared" si="677"/>
        <v>1.0044861337683524</v>
      </c>
      <c r="AV1351" s="6" t="s">
        <v>792</v>
      </c>
      <c r="AW1351" s="6" t="str">
        <f t="shared" si="661"/>
        <v>=245.2*100000000</v>
      </c>
      <c r="AX1351" s="1">
        <f>245.2*100000000</f>
        <v>24520000000</v>
      </c>
      <c r="AY1351" s="10">
        <f t="shared" si="678"/>
        <v>-0.71659731853906616</v>
      </c>
      <c r="AZ1351" s="6" t="s">
        <v>13387</v>
      </c>
      <c r="BA1351" s="6" t="str">
        <f t="shared" si="662"/>
        <v>=865.2*100000000</v>
      </c>
      <c r="BB1351" s="1">
        <f>865.2*100000000</f>
        <v>86520000000</v>
      </c>
      <c r="BC1351" s="8">
        <f t="shared" si="679"/>
        <v>0.30105263157894735</v>
      </c>
      <c r="BD1351" s="6" t="s">
        <v>13388</v>
      </c>
      <c r="BE1351" s="6" t="str">
        <f t="shared" si="663"/>
        <v>=665.0*100000000</v>
      </c>
      <c r="BF1351" s="1">
        <f>665*100000000</f>
        <v>66500000000</v>
      </c>
      <c r="BG1351" s="8">
        <f t="shared" si="680"/>
        <v>0.40147523709167543</v>
      </c>
      <c r="BH1351" s="6" t="s">
        <v>13389</v>
      </c>
      <c r="BI1351" s="6" t="str">
        <f t="shared" si="664"/>
        <v>=474.5*100000000</v>
      </c>
      <c r="BJ1351" s="1">
        <f>474.5*100000000</f>
        <v>47450000000</v>
      </c>
      <c r="BK1351" s="6" t="s">
        <v>13390</v>
      </c>
      <c r="BL1351" s="1" t="str">
        <f t="shared" si="666"/>
        <v>=233.0*100000000</v>
      </c>
      <c r="BM1351" s="16">
        <f t="shared" si="681"/>
        <v>1.0364806866952789</v>
      </c>
      <c r="BN1351" s="1">
        <f>233*100000000</f>
        <v>23300000000</v>
      </c>
    </row>
    <row r="1352" spans="1:66">
      <c r="A1352" s="18"/>
      <c r="B1352">
        <v>601328</v>
      </c>
      <c r="C1352" t="s">
        <v>58</v>
      </c>
      <c r="D1352" s="6" t="s">
        <v>13391</v>
      </c>
      <c r="E1352" s="7" t="str">
        <f t="shared" si="665"/>
        <v>=939.6*100000000</v>
      </c>
      <c r="F1352" s="1">
        <f>939.6*100000000</f>
        <v>93960000000</v>
      </c>
      <c r="G1352" s="8">
        <f t="shared" si="667"/>
        <v>0.35350043215211757</v>
      </c>
      <c r="H1352" s="6" t="s">
        <v>13392</v>
      </c>
      <c r="I1352" s="6" t="str">
        <f t="shared" si="651"/>
        <v>=694.2*100000000</v>
      </c>
      <c r="J1352" s="1">
        <f>694.2*100000000</f>
        <v>69420000000</v>
      </c>
      <c r="K1352" s="10">
        <f t="shared" si="668"/>
        <v>0.49001931745009658</v>
      </c>
      <c r="L1352" s="6" t="s">
        <v>13393</v>
      </c>
      <c r="M1352" s="6" t="str">
        <f t="shared" si="652"/>
        <v>=465.9*100000000</v>
      </c>
      <c r="N1352" s="1">
        <f>465.9*100000000</f>
        <v>46590000000</v>
      </c>
      <c r="O1352" s="8">
        <f t="shared" si="669"/>
        <v>0.86583900680816983</v>
      </c>
      <c r="P1352" s="6" t="s">
        <v>13394</v>
      </c>
      <c r="Q1352" s="6" t="str">
        <f t="shared" si="653"/>
        <v>=249.7*100000000</v>
      </c>
      <c r="R1352" s="11">
        <f>249.7*100000000</f>
        <v>24970000000</v>
      </c>
      <c r="S1352" s="8">
        <f t="shared" si="670"/>
        <v>-0.7110956843688534</v>
      </c>
      <c r="T1352" s="6" t="s">
        <v>13395</v>
      </c>
      <c r="U1352" s="6" t="str">
        <f t="shared" si="654"/>
        <v>=864.3*100000000</v>
      </c>
      <c r="V1352" s="1">
        <f>864.3*100000000</f>
        <v>86430000000</v>
      </c>
      <c r="W1352" s="8">
        <f t="shared" si="671"/>
        <v>0.502607788595271</v>
      </c>
      <c r="X1352" s="6" t="s">
        <v>13396</v>
      </c>
      <c r="Y1352" s="6" t="str">
        <f t="shared" si="655"/>
        <v>=575.2*100000000</v>
      </c>
      <c r="Z1352" s="1">
        <f>575.2*100000000</f>
        <v>57520000000.000008</v>
      </c>
      <c r="AA1352" s="8">
        <f t="shared" si="672"/>
        <v>0.43943943943943964</v>
      </c>
      <c r="AB1352" s="6" t="s">
        <v>13397</v>
      </c>
      <c r="AC1352" s="6" t="str">
        <f t="shared" si="656"/>
        <v>=399.6*100000000</v>
      </c>
      <c r="AD1352" s="1">
        <f>399.6*100000000</f>
        <v>39960000000</v>
      </c>
      <c r="AE1352" s="8">
        <f t="shared" si="673"/>
        <v>0.64106776180698155</v>
      </c>
      <c r="AF1352" s="6" t="s">
        <v>13398</v>
      </c>
      <c r="AG1352" s="6" t="str">
        <f t="shared" si="657"/>
        <v>=243.5*100000000</v>
      </c>
      <c r="AH1352" s="1">
        <f>243.5*100000000</f>
        <v>24350000000</v>
      </c>
      <c r="AI1352" s="8">
        <f t="shared" si="674"/>
        <v>-0.72392290249433111</v>
      </c>
      <c r="AJ1352" s="6" t="s">
        <v>13399</v>
      </c>
      <c r="AK1352" s="6" t="str">
        <f t="shared" si="658"/>
        <v>=882.0*100000000</v>
      </c>
      <c r="AL1352" s="1">
        <f>882*100000000</f>
        <v>88200000000</v>
      </c>
      <c r="AM1352" s="8">
        <f t="shared" si="675"/>
        <v>0.27844615161617625</v>
      </c>
      <c r="AN1352" s="6" t="s">
        <v>13400</v>
      </c>
      <c r="AO1352" s="6" t="str">
        <f t="shared" si="659"/>
        <v>=689.9*100000000</v>
      </c>
      <c r="AP1352" s="1">
        <f>689.9*100000000</f>
        <v>68990000000</v>
      </c>
      <c r="AQ1352" s="8">
        <f t="shared" si="676"/>
        <v>0.409109477124183</v>
      </c>
      <c r="AR1352" s="6" t="s">
        <v>13401</v>
      </c>
      <c r="AS1352" s="6" t="str">
        <f t="shared" si="660"/>
        <v>=489.6*100000000</v>
      </c>
      <c r="AT1352" s="1">
        <f>489.6*100000000</f>
        <v>48960000000</v>
      </c>
      <c r="AU1352" s="8">
        <f t="shared" si="677"/>
        <v>0.99673735725938006</v>
      </c>
      <c r="AV1352" s="6" t="s">
        <v>792</v>
      </c>
      <c r="AW1352" s="6" t="str">
        <f t="shared" si="661"/>
        <v>=245.2*100000000</v>
      </c>
      <c r="AX1352" s="1">
        <f>245.2*100000000</f>
        <v>24520000000</v>
      </c>
      <c r="AY1352" s="10">
        <f t="shared" si="678"/>
        <v>-0.71511560357848258</v>
      </c>
      <c r="AZ1352" s="6" t="s">
        <v>13402</v>
      </c>
      <c r="BA1352" s="6" t="str">
        <f t="shared" si="662"/>
        <v>=860.7*100000000</v>
      </c>
      <c r="BB1352" s="1">
        <f>860.7*100000000</f>
        <v>86070000000</v>
      </c>
      <c r="BC1352" s="8">
        <f t="shared" si="679"/>
        <v>0.29370208928303038</v>
      </c>
      <c r="BD1352" s="6" t="s">
        <v>13403</v>
      </c>
      <c r="BE1352" s="6" t="str">
        <f t="shared" si="663"/>
        <v>=665.3*100000000</v>
      </c>
      <c r="BF1352" s="1">
        <f>665.3*100000000</f>
        <v>66529999999.999992</v>
      </c>
      <c r="BG1352" s="8">
        <f t="shared" si="680"/>
        <v>0.40151674741942261</v>
      </c>
      <c r="BH1352" s="6" t="s">
        <v>13404</v>
      </c>
      <c r="BI1352" s="6" t="str">
        <f t="shared" si="664"/>
        <v>=474.7*100000000</v>
      </c>
      <c r="BJ1352" s="1">
        <f>474.7*100000000</f>
        <v>47470000000</v>
      </c>
      <c r="BK1352" s="6" t="s">
        <v>11038</v>
      </c>
      <c r="BL1352" s="1" t="str">
        <f t="shared" si="666"/>
        <v>=233.9*100000000</v>
      </c>
      <c r="BM1352" s="16">
        <f t="shared" si="681"/>
        <v>1.0294997862334332</v>
      </c>
      <c r="BN1352" s="1">
        <f>233.9*100000000</f>
        <v>23390000000</v>
      </c>
    </row>
    <row r="1353" spans="1:66">
      <c r="A1353" s="19"/>
      <c r="B1353">
        <v>601328</v>
      </c>
      <c r="C1353" t="s">
        <v>68</v>
      </c>
      <c r="D1353" s="6" t="s">
        <v>13405</v>
      </c>
      <c r="E1353" s="7" t="str">
        <f t="shared" si="665"/>
        <v>=889.4*100000000</v>
      </c>
      <c r="F1353" s="1">
        <f>889.4*100000000</f>
        <v>88940000000</v>
      </c>
      <c r="G1353" s="8">
        <f t="shared" si="667"/>
        <v>0.35806993434112078</v>
      </c>
      <c r="H1353" s="6" t="s">
        <v>13406</v>
      </c>
      <c r="I1353" s="6" t="str">
        <f t="shared" si="651"/>
        <v>=654.9*100000000</v>
      </c>
      <c r="J1353" s="1">
        <f>654.9*100000000</f>
        <v>65490000000</v>
      </c>
      <c r="K1353" s="10">
        <f t="shared" si="668"/>
        <v>0.52764170748775363</v>
      </c>
      <c r="L1353" s="6" t="s">
        <v>13407</v>
      </c>
      <c r="M1353" s="6" t="str">
        <f t="shared" si="652"/>
        <v>=428.7*100000000</v>
      </c>
      <c r="N1353" s="1">
        <f>428.7*100000000</f>
        <v>42870000000</v>
      </c>
      <c r="O1353" s="8">
        <f t="shared" si="669"/>
        <v>0.92155983863738233</v>
      </c>
      <c r="P1353" s="6" t="s">
        <v>13408</v>
      </c>
      <c r="Q1353" s="6" t="str">
        <f t="shared" si="653"/>
        <v>=223.1*100000000</v>
      </c>
      <c r="R1353" s="11">
        <f>223.1*100000000</f>
        <v>22310000000</v>
      </c>
      <c r="S1353" s="8">
        <f t="shared" si="670"/>
        <v>-0.71961794646223454</v>
      </c>
      <c r="T1353" s="6" t="s">
        <v>13409</v>
      </c>
      <c r="U1353" s="6" t="str">
        <f t="shared" si="654"/>
        <v>=795.7*100000000</v>
      </c>
      <c r="V1353" s="1">
        <f>795.7*100000000</f>
        <v>79570000000</v>
      </c>
      <c r="W1353" s="8">
        <f t="shared" si="671"/>
        <v>0.48812418178417782</v>
      </c>
      <c r="X1353" s="6" t="s">
        <v>13410</v>
      </c>
      <c r="Y1353" s="6" t="str">
        <f t="shared" si="655"/>
        <v>=534.7*100000000</v>
      </c>
      <c r="Z1353" s="1">
        <f>534.7*100000000</f>
        <v>53470000000.000008</v>
      </c>
      <c r="AA1353" s="8">
        <f t="shared" si="672"/>
        <v>0.44513513513513536</v>
      </c>
      <c r="AB1353" s="6" t="s">
        <v>13411</v>
      </c>
      <c r="AC1353" s="6" t="str">
        <f t="shared" si="656"/>
        <v>=370.0*100000000</v>
      </c>
      <c r="AD1353" s="1">
        <f>370*100000000</f>
        <v>37000000000</v>
      </c>
      <c r="AE1353" s="8">
        <f t="shared" si="673"/>
        <v>0.71773444753946147</v>
      </c>
      <c r="AF1353" s="6" t="s">
        <v>11979</v>
      </c>
      <c r="AG1353" s="6" t="str">
        <f t="shared" si="657"/>
        <v>=215.4*100000000</v>
      </c>
      <c r="AH1353" s="1">
        <f>215.4*100000000</f>
        <v>21540000000</v>
      </c>
      <c r="AI1353" s="8">
        <f t="shared" si="674"/>
        <v>-0.72405841660261339</v>
      </c>
      <c r="AJ1353" s="6" t="s">
        <v>13412</v>
      </c>
      <c r="AK1353" s="6" t="str">
        <f t="shared" si="658"/>
        <v>=780.6*100000000</v>
      </c>
      <c r="AL1353" s="1">
        <f>780.6*100000000</f>
        <v>78060000000</v>
      </c>
      <c r="AM1353" s="8">
        <f t="shared" si="675"/>
        <v>0.28536143586365897</v>
      </c>
      <c r="AN1353" s="6" t="s">
        <v>13413</v>
      </c>
      <c r="AO1353" s="6" t="str">
        <f t="shared" si="659"/>
        <v>=607.3*100000000</v>
      </c>
      <c r="AP1353" s="1">
        <f>607.3*100000000</f>
        <v>60729999999.999992</v>
      </c>
      <c r="AQ1353" s="8">
        <f t="shared" si="676"/>
        <v>0.40741599073001139</v>
      </c>
      <c r="AR1353" s="6" t="s">
        <v>13414</v>
      </c>
      <c r="AS1353" s="6" t="str">
        <f t="shared" si="660"/>
        <v>=431.5*100000000</v>
      </c>
      <c r="AT1353" s="1">
        <f>431.5*100000000</f>
        <v>43150000000</v>
      </c>
      <c r="AU1353" s="8">
        <f t="shared" si="677"/>
        <v>1.0210772833723654</v>
      </c>
      <c r="AV1353" s="6" t="s">
        <v>10471</v>
      </c>
      <c r="AW1353" s="6" t="str">
        <f t="shared" si="661"/>
        <v>=213.5*100000000</v>
      </c>
      <c r="AX1353" s="1">
        <f>213.5*100000000</f>
        <v>21350000000</v>
      </c>
      <c r="AY1353" s="10">
        <f t="shared" si="678"/>
        <v>-0.71214776863961171</v>
      </c>
      <c r="AZ1353" s="6" t="s">
        <v>13415</v>
      </c>
      <c r="BA1353" s="6" t="str">
        <f t="shared" si="662"/>
        <v>=741.7*100000000</v>
      </c>
      <c r="BB1353" s="1">
        <f>741.7*100000000</f>
        <v>74170000000</v>
      </c>
      <c r="BC1353" s="8">
        <f t="shared" si="679"/>
        <v>0.28611062944338461</v>
      </c>
      <c r="BD1353" s="6" t="s">
        <v>13416</v>
      </c>
      <c r="BE1353" s="6" t="str">
        <f t="shared" si="663"/>
        <v>=576.7*100000000</v>
      </c>
      <c r="BF1353" s="1">
        <f>576.7*100000000</f>
        <v>57670000000.000008</v>
      </c>
      <c r="BG1353" s="8">
        <f t="shared" si="680"/>
        <v>0.40692851915101264</v>
      </c>
      <c r="BH1353" s="6" t="s">
        <v>13417</v>
      </c>
      <c r="BI1353" s="6" t="str">
        <f t="shared" si="664"/>
        <v>=409.9*100000000</v>
      </c>
      <c r="BJ1353" s="1">
        <f>409.9*100000000</f>
        <v>40990000000</v>
      </c>
      <c r="BK1353" s="6" t="s">
        <v>12960</v>
      </c>
      <c r="BL1353" s="1" t="str">
        <f t="shared" si="666"/>
        <v>=202.3*100000000</v>
      </c>
      <c r="BM1353" s="16">
        <f t="shared" si="681"/>
        <v>1.0261987147800296</v>
      </c>
      <c r="BN1353" s="1">
        <f>202.3*100000000</f>
        <v>20230000000</v>
      </c>
    </row>
    <row r="1354" spans="1:66">
      <c r="A1354" s="17">
        <v>340</v>
      </c>
      <c r="B1354">
        <v>601330</v>
      </c>
      <c r="C1354" t="s">
        <v>31</v>
      </c>
      <c r="D1354" s="6" t="s">
        <v>13418</v>
      </c>
      <c r="E1354" s="7" t="str">
        <f t="shared" si="665"/>
        <v>=50.57*100000000</v>
      </c>
      <c r="F1354" s="1">
        <f>50.57*100000000</f>
        <v>5057000000</v>
      </c>
      <c r="G1354" s="8">
        <f t="shared" si="667"/>
        <v>1.6</v>
      </c>
      <c r="H1354" s="6" t="s">
        <v>7423</v>
      </c>
      <c r="I1354" s="6" t="str">
        <f t="shared" si="651"/>
        <v>=19.45*100000000</v>
      </c>
      <c r="J1354" s="1">
        <f>19.45*100000000</f>
        <v>1945000000</v>
      </c>
      <c r="K1354" s="10">
        <f t="shared" si="668"/>
        <v>0.55351437699680506</v>
      </c>
      <c r="L1354" s="6" t="s">
        <v>8066</v>
      </c>
      <c r="M1354" s="6" t="str">
        <f t="shared" si="652"/>
        <v>=12.52*100000000</v>
      </c>
      <c r="N1354" s="1">
        <f>12.52*100000000</f>
        <v>1252000000</v>
      </c>
      <c r="O1354" s="8">
        <f t="shared" si="669"/>
        <v>1.0939956514467302</v>
      </c>
      <c r="P1354" s="6" t="s">
        <v>11696</v>
      </c>
      <c r="Q1354" s="6" t="str">
        <f t="shared" si="653"/>
        <v>=5.979*100000000</v>
      </c>
      <c r="R1354" s="11">
        <f>5.979*100000000</f>
        <v>597900000</v>
      </c>
      <c r="S1354" s="8">
        <f t="shared" si="670"/>
        <v>-0.73753292361720812</v>
      </c>
      <c r="T1354" s="6" t="s">
        <v>13419</v>
      </c>
      <c r="U1354" s="6" t="str">
        <f t="shared" si="654"/>
        <v>=22.78*100000000</v>
      </c>
      <c r="V1354" s="1">
        <f>22.78*100000000</f>
        <v>2278000000</v>
      </c>
      <c r="W1354" s="8">
        <f t="shared" si="671"/>
        <v>0.38144329896907236</v>
      </c>
      <c r="X1354" s="6" t="s">
        <v>6068</v>
      </c>
      <c r="Y1354" s="6" t="str">
        <f t="shared" si="655"/>
        <v>=16.49*100000000</v>
      </c>
      <c r="Z1354" s="1">
        <f>16.49*100000000</f>
        <v>1648999999.9999998</v>
      </c>
      <c r="AA1354" s="8">
        <f t="shared" si="672"/>
        <v>0.63105835806132515</v>
      </c>
      <c r="AB1354" s="6" t="s">
        <v>3662</v>
      </c>
      <c r="AC1354" s="6" t="str">
        <f t="shared" si="656"/>
        <v>=10.11*100000000</v>
      </c>
      <c r="AD1354" s="1">
        <f>10.11*100000000</f>
        <v>1011000000</v>
      </c>
      <c r="AE1354" s="8">
        <f t="shared" si="673"/>
        <v>1.3354123354123355</v>
      </c>
      <c r="AF1354" s="6" t="s">
        <v>13420</v>
      </c>
      <c r="AG1354" s="6" t="str">
        <f t="shared" si="657"/>
        <v>=4.329*100000000</v>
      </c>
      <c r="AH1354" s="1">
        <f>4.329*100000000</f>
        <v>432900000</v>
      </c>
      <c r="AI1354" s="8">
        <f t="shared" si="674"/>
        <v>-0.75291095890410964</v>
      </c>
      <c r="AJ1354" s="6" t="s">
        <v>322</v>
      </c>
      <c r="AK1354" s="6" t="str">
        <f t="shared" si="658"/>
        <v>=17.52*100000000</v>
      </c>
      <c r="AL1354" s="1">
        <f>17.52*100000000</f>
        <v>1752000000</v>
      </c>
      <c r="AM1354" s="8">
        <f t="shared" si="675"/>
        <v>0.39824421388667197</v>
      </c>
      <c r="AN1354" s="6" t="s">
        <v>65</v>
      </c>
      <c r="AO1354" s="6" t="str">
        <f t="shared" si="659"/>
        <v>=12.53*100000000</v>
      </c>
      <c r="AP1354" s="1">
        <f>12.53*100000000</f>
        <v>1253000000</v>
      </c>
      <c r="AQ1354" s="8">
        <f t="shared" si="676"/>
        <v>0.57550609832767508</v>
      </c>
      <c r="AR1354" s="6" t="s">
        <v>13421</v>
      </c>
      <c r="AS1354" s="6" t="str">
        <f t="shared" si="660"/>
        <v>=7.953*100000000</v>
      </c>
      <c r="AT1354" s="1">
        <f>7.953*100000000</f>
        <v>795300000</v>
      </c>
      <c r="AU1354" s="8">
        <f t="shared" si="677"/>
        <v>1.2677502138579984</v>
      </c>
      <c r="AV1354" s="6" t="s">
        <v>12232</v>
      </c>
      <c r="AW1354" s="6" t="str">
        <f t="shared" si="661"/>
        <v>=3.507*100000000</v>
      </c>
      <c r="AX1354" s="1">
        <f>3.507*100000000</f>
        <v>350700000</v>
      </c>
      <c r="AY1354" s="10">
        <f t="shared" si="678"/>
        <v>-0.69236842105263163</v>
      </c>
      <c r="AZ1354" s="6" t="s">
        <v>6906</v>
      </c>
      <c r="BA1354" s="6" t="str">
        <f t="shared" si="662"/>
        <v>=11.40*100000000</v>
      </c>
      <c r="BB1354" s="1">
        <f>11.4*100000000</f>
        <v>1140000000</v>
      </c>
      <c r="BC1354" s="8">
        <f t="shared" si="679"/>
        <v>0.38568129330254042</v>
      </c>
      <c r="BD1354" s="6" t="s">
        <v>13422</v>
      </c>
      <c r="BE1354" s="6" t="str">
        <f t="shared" si="663"/>
        <v>=8.227*100000000</v>
      </c>
      <c r="BF1354" s="1">
        <f>8.227*100000000</f>
        <v>822700000</v>
      </c>
      <c r="BG1354" s="8">
        <f t="shared" si="680"/>
        <v>0.59376210771018989</v>
      </c>
      <c r="BH1354" s="6" t="s">
        <v>13423</v>
      </c>
      <c r="BI1354" s="6" t="str">
        <f t="shared" si="664"/>
        <v>=5.162*100000000</v>
      </c>
      <c r="BJ1354" s="1">
        <f>5.162*100000000</f>
        <v>516200000</v>
      </c>
      <c r="BK1354" s="6" t="s">
        <v>13424</v>
      </c>
      <c r="BL1354" s="1" t="str">
        <f t="shared" si="666"/>
        <v>=2.526*100000000</v>
      </c>
      <c r="BM1354" s="16">
        <f t="shared" si="681"/>
        <v>1.0435471100554239</v>
      </c>
      <c r="BN1354" s="1">
        <f>2.526*100000000</f>
        <v>252599999.99999997</v>
      </c>
    </row>
    <row r="1355" spans="1:66">
      <c r="A1355" s="18"/>
      <c r="B1355">
        <v>601330</v>
      </c>
      <c r="C1355" t="s">
        <v>48</v>
      </c>
      <c r="D1355" s="6" t="s">
        <v>13425</v>
      </c>
      <c r="E1355" s="7" t="str">
        <f t="shared" si="665"/>
        <v>=8.849*100000000</v>
      </c>
      <c r="F1355" s="1">
        <f>8.849*100000000</f>
        <v>884900000</v>
      </c>
      <c r="G1355" s="8">
        <f t="shared" si="667"/>
        <v>0.21568896826487155</v>
      </c>
      <c r="H1355" s="6" t="s">
        <v>7591</v>
      </c>
      <c r="I1355" s="6" t="str">
        <f t="shared" si="651"/>
        <v>=7.279*100000000</v>
      </c>
      <c r="J1355" s="1">
        <f>7.279*100000000</f>
        <v>727900000</v>
      </c>
      <c r="K1355" s="10">
        <f t="shared" si="668"/>
        <v>0.60295089187403639</v>
      </c>
      <c r="L1355" s="6" t="s">
        <v>1045</v>
      </c>
      <c r="M1355" s="6" t="str">
        <f t="shared" si="652"/>
        <v>=4.541*100000000</v>
      </c>
      <c r="N1355" s="1">
        <f>4.541*100000000</f>
        <v>454100000.00000006</v>
      </c>
      <c r="O1355" s="8">
        <f t="shared" si="669"/>
        <v>1.0594104308390024</v>
      </c>
      <c r="P1355" s="6" t="s">
        <v>13426</v>
      </c>
      <c r="Q1355" s="6" t="str">
        <f t="shared" si="653"/>
        <v>=2.205*100000000</v>
      </c>
      <c r="R1355" s="11">
        <f>2.205*100000000</f>
        <v>220500000</v>
      </c>
      <c r="S1355" s="8">
        <f t="shared" si="670"/>
        <v>-0.64832535885167464</v>
      </c>
      <c r="T1355" s="6" t="s">
        <v>13427</v>
      </c>
      <c r="U1355" s="6" t="str">
        <f t="shared" si="654"/>
        <v>=6.270*100000000</v>
      </c>
      <c r="V1355" s="1">
        <f>6.27*100000000</f>
        <v>627000000</v>
      </c>
      <c r="W1355" s="8">
        <f t="shared" si="671"/>
        <v>0.2071621101270697</v>
      </c>
      <c r="X1355" s="6" t="s">
        <v>11201</v>
      </c>
      <c r="Y1355" s="6" t="str">
        <f t="shared" si="655"/>
        <v>=5.194*100000000</v>
      </c>
      <c r="Z1355" s="1">
        <f>5.194*100000000</f>
        <v>519400000</v>
      </c>
      <c r="AA1355" s="8">
        <f t="shared" si="672"/>
        <v>0.7102403687849852</v>
      </c>
      <c r="AB1355" s="6" t="s">
        <v>13428</v>
      </c>
      <c r="AC1355" s="6" t="str">
        <f t="shared" si="656"/>
        <v>=3.037*100000000</v>
      </c>
      <c r="AD1355" s="1">
        <f>3.037*100000000</f>
        <v>303700000</v>
      </c>
      <c r="AE1355" s="8">
        <f t="shared" si="673"/>
        <v>1.5521008403361345</v>
      </c>
      <c r="AF1355" s="6" t="s">
        <v>1958</v>
      </c>
      <c r="AG1355" s="6" t="str">
        <f t="shared" si="657"/>
        <v>=1.190*100000000</v>
      </c>
      <c r="AH1355" s="1">
        <f>1.19*100000000</f>
        <v>119000000</v>
      </c>
      <c r="AI1355" s="8">
        <f t="shared" si="674"/>
        <v>-0.74814814814814812</v>
      </c>
      <c r="AJ1355" s="6" t="s">
        <v>4542</v>
      </c>
      <c r="AK1355" s="6" t="str">
        <f t="shared" si="658"/>
        <v>=4.725*100000000</v>
      </c>
      <c r="AL1355" s="1">
        <f>4.725*100000000</f>
        <v>472499999.99999994</v>
      </c>
      <c r="AM1355" s="8">
        <f t="shared" si="675"/>
        <v>0.28187737384698847</v>
      </c>
      <c r="AN1355" s="6" t="s">
        <v>10922</v>
      </c>
      <c r="AO1355" s="6" t="str">
        <f t="shared" si="659"/>
        <v>=3.686*100000000</v>
      </c>
      <c r="AP1355" s="1">
        <f>3.686*100000000</f>
        <v>368600000</v>
      </c>
      <c r="AQ1355" s="8">
        <f t="shared" si="676"/>
        <v>0.50142566191446025</v>
      </c>
      <c r="AR1355" s="6" t="s">
        <v>11811</v>
      </c>
      <c r="AS1355" s="6" t="str">
        <f t="shared" si="660"/>
        <v>=2.455*100000000</v>
      </c>
      <c r="AT1355" s="1">
        <f>2.455*100000000</f>
        <v>245500000</v>
      </c>
      <c r="AU1355" s="8">
        <f t="shared" si="677"/>
        <v>1.2461116193961574</v>
      </c>
      <c r="AV1355" s="6" t="s">
        <v>10492</v>
      </c>
      <c r="AW1355" s="6" t="str">
        <f t="shared" si="661"/>
        <v>=1.093*100000000</v>
      </c>
      <c r="AX1355" s="1">
        <f>1.093*100000000</f>
        <v>109300000</v>
      </c>
      <c r="AY1355" s="10">
        <f t="shared" si="678"/>
        <v>-0.7164721141374838</v>
      </c>
      <c r="AZ1355" s="6" t="s">
        <v>13429</v>
      </c>
      <c r="BA1355" s="6" t="str">
        <f t="shared" si="662"/>
        <v>=3.855*100000000</v>
      </c>
      <c r="BB1355" s="1">
        <f>3.855*100000000</f>
        <v>385500000</v>
      </c>
      <c r="BC1355" s="8">
        <f t="shared" si="679"/>
        <v>0.22848948374760994</v>
      </c>
      <c r="BD1355" s="6" t="s">
        <v>6321</v>
      </c>
      <c r="BE1355" s="6" t="str">
        <f t="shared" si="663"/>
        <v>=3.138*100000000</v>
      </c>
      <c r="BF1355" s="1">
        <f>3.138*100000000</f>
        <v>313800000</v>
      </c>
      <c r="BG1355" s="8">
        <f t="shared" si="680"/>
        <v>0.57847082494969815</v>
      </c>
      <c r="BH1355" s="6" t="s">
        <v>5150</v>
      </c>
      <c r="BI1355" s="6" t="str">
        <f t="shared" si="664"/>
        <v>=1.988*100000000</v>
      </c>
      <c r="BJ1355" s="1">
        <f>1.988*100000000</f>
        <v>198800000</v>
      </c>
      <c r="BK1355" s="7" t="s">
        <v>13430</v>
      </c>
      <c r="BL1355" s="1" t="str">
        <f t="shared" si="666"/>
        <v>=9045*10000</v>
      </c>
      <c r="BM1355" s="16">
        <f t="shared" si="681"/>
        <v>1.1978993919292427</v>
      </c>
      <c r="BN1355" s="1">
        <f>9045*10000</f>
        <v>90450000</v>
      </c>
    </row>
    <row r="1356" spans="1:66">
      <c r="A1356" s="18"/>
      <c r="B1356">
        <v>601330</v>
      </c>
      <c r="C1356" t="s">
        <v>58</v>
      </c>
      <c r="D1356" s="6" t="s">
        <v>13431</v>
      </c>
      <c r="E1356" s="7" t="str">
        <f t="shared" si="665"/>
        <v>=8.901*100000000</v>
      </c>
      <c r="F1356" s="1">
        <f>8.901*100000000</f>
        <v>890100000</v>
      </c>
      <c r="G1356" s="8">
        <f t="shared" si="667"/>
        <v>0.21948212083847102</v>
      </c>
      <c r="H1356" s="6" t="s">
        <v>1380</v>
      </c>
      <c r="I1356" s="6" t="str">
        <f t="shared" si="651"/>
        <v>=7.299*100000000</v>
      </c>
      <c r="J1356" s="1">
        <f>7.299*100000000</f>
        <v>729900000</v>
      </c>
      <c r="K1356" s="10">
        <f t="shared" si="668"/>
        <v>0.60311882275422801</v>
      </c>
      <c r="L1356" s="6" t="s">
        <v>5176</v>
      </c>
      <c r="M1356" s="6" t="str">
        <f t="shared" si="652"/>
        <v>=4.553*100000000</v>
      </c>
      <c r="N1356" s="1">
        <f>4.553*100000000</f>
        <v>455300000</v>
      </c>
      <c r="O1356" s="8">
        <f t="shared" si="669"/>
        <v>1.0583182640144662</v>
      </c>
      <c r="P1356" s="6" t="s">
        <v>13432</v>
      </c>
      <c r="Q1356" s="6" t="str">
        <f t="shared" si="653"/>
        <v>=2.212*100000000</v>
      </c>
      <c r="R1356" s="11">
        <f>2.212*100000000</f>
        <v>221200000.00000003</v>
      </c>
      <c r="S1356" s="8">
        <f t="shared" si="670"/>
        <v>-0.64771460423634342</v>
      </c>
      <c r="T1356" s="6" t="s">
        <v>13433</v>
      </c>
      <c r="U1356" s="6" t="str">
        <f t="shared" si="654"/>
        <v>=6.279*100000000</v>
      </c>
      <c r="V1356" s="1">
        <f>6.279*100000000</f>
        <v>627900000</v>
      </c>
      <c r="W1356" s="8">
        <f t="shared" si="671"/>
        <v>0.20773225620311597</v>
      </c>
      <c r="X1356" s="6" t="s">
        <v>3453</v>
      </c>
      <c r="Y1356" s="6" t="str">
        <f t="shared" si="655"/>
        <v>=5.199*100000000</v>
      </c>
      <c r="Z1356" s="1">
        <f>5.199*100000000</f>
        <v>519900000</v>
      </c>
      <c r="AA1356" s="8">
        <f t="shared" si="672"/>
        <v>0.71076011846001974</v>
      </c>
      <c r="AB1356" s="6" t="s">
        <v>13434</v>
      </c>
      <c r="AC1356" s="6" t="str">
        <f t="shared" si="656"/>
        <v>=3.039*100000000</v>
      </c>
      <c r="AD1356" s="1">
        <f>3.039*100000000</f>
        <v>303900000</v>
      </c>
      <c r="AE1356" s="8">
        <f t="shared" si="673"/>
        <v>1.5473595976529757</v>
      </c>
      <c r="AF1356" s="6" t="s">
        <v>2097</v>
      </c>
      <c r="AG1356" s="6" t="str">
        <f t="shared" si="657"/>
        <v>=1.193*100000000</v>
      </c>
      <c r="AH1356" s="1">
        <f>1.193*100000000</f>
        <v>119300000</v>
      </c>
      <c r="AI1356" s="8">
        <f t="shared" si="674"/>
        <v>-0.74825912639797421</v>
      </c>
      <c r="AJ1356" s="6" t="s">
        <v>13435</v>
      </c>
      <c r="AK1356" s="6" t="str">
        <f t="shared" si="658"/>
        <v>=4.739*100000000</v>
      </c>
      <c r="AL1356" s="1">
        <f>4.739*100000000</f>
        <v>473900000</v>
      </c>
      <c r="AM1356" s="8">
        <f t="shared" si="675"/>
        <v>0.28254397834912043</v>
      </c>
      <c r="AN1356" s="6" t="s">
        <v>3020</v>
      </c>
      <c r="AO1356" s="6" t="str">
        <f t="shared" si="659"/>
        <v>=3.695*100000000</v>
      </c>
      <c r="AP1356" s="1">
        <f>3.695*100000000</f>
        <v>369500000</v>
      </c>
      <c r="AQ1356" s="8">
        <f t="shared" si="676"/>
        <v>0.49898580121703856</v>
      </c>
      <c r="AR1356" s="6" t="s">
        <v>3384</v>
      </c>
      <c r="AS1356" s="6" t="str">
        <f t="shared" si="660"/>
        <v>=2.465*100000000</v>
      </c>
      <c r="AT1356" s="1">
        <f>2.465*100000000</f>
        <v>246500000</v>
      </c>
      <c r="AU1356" s="8">
        <f t="shared" si="677"/>
        <v>1.2409090909090907</v>
      </c>
      <c r="AV1356" s="6" t="s">
        <v>3906</v>
      </c>
      <c r="AW1356" s="6" t="str">
        <f t="shared" si="661"/>
        <v>=1.100*100000000</v>
      </c>
      <c r="AX1356" s="1">
        <f>1.1*100000000</f>
        <v>110000000.00000001</v>
      </c>
      <c r="AY1356" s="10">
        <f t="shared" si="678"/>
        <v>-0.72375690607734811</v>
      </c>
      <c r="AZ1356" s="6" t="s">
        <v>4042</v>
      </c>
      <c r="BA1356" s="6" t="str">
        <f t="shared" si="662"/>
        <v>=3.982*100000000</v>
      </c>
      <c r="BB1356" s="1">
        <f>3.982*100000000</f>
        <v>398200000</v>
      </c>
      <c r="BC1356" s="8">
        <f t="shared" si="679"/>
        <v>0.27058072750478623</v>
      </c>
      <c r="BD1356" s="6" t="s">
        <v>2638</v>
      </c>
      <c r="BE1356" s="6" t="str">
        <f t="shared" si="663"/>
        <v>=3.134*100000000</v>
      </c>
      <c r="BF1356" s="1">
        <f>3.134*100000000</f>
        <v>313400000</v>
      </c>
      <c r="BG1356" s="8">
        <f t="shared" si="680"/>
        <v>0.58442871587462086</v>
      </c>
      <c r="BH1356" s="6" t="s">
        <v>9903</v>
      </c>
      <c r="BI1356" s="6" t="str">
        <f t="shared" si="664"/>
        <v>=1.978*100000000</v>
      </c>
      <c r="BJ1356" s="1">
        <f>1.978*100000000</f>
        <v>197800000</v>
      </c>
      <c r="BK1356" s="7" t="s">
        <v>4303</v>
      </c>
      <c r="BL1356" s="1" t="str">
        <f t="shared" si="666"/>
        <v>=9041*10000</v>
      </c>
      <c r="BM1356" s="16">
        <f t="shared" si="681"/>
        <v>1.1878110828448181</v>
      </c>
      <c r="BN1356" s="1">
        <f>9041*10000</f>
        <v>90410000</v>
      </c>
    </row>
    <row r="1357" spans="1:66">
      <c r="A1357" s="19"/>
      <c r="B1357">
        <v>601330</v>
      </c>
      <c r="C1357" t="s">
        <v>68</v>
      </c>
      <c r="D1357" s="6" t="s">
        <v>13436</v>
      </c>
      <c r="E1357" s="7" t="str">
        <f t="shared" si="665"/>
        <v>=7.418*100000000</v>
      </c>
      <c r="F1357" s="1">
        <f>7.418*100000000</f>
        <v>741800000</v>
      </c>
      <c r="G1357" s="8">
        <f t="shared" si="667"/>
        <v>0.14563706563706563</v>
      </c>
      <c r="H1357" s="6" t="s">
        <v>5430</v>
      </c>
      <c r="I1357" s="6" t="str">
        <f t="shared" si="651"/>
        <v>=6.475*100000000</v>
      </c>
      <c r="J1357" s="1">
        <f>6.475*100000000</f>
        <v>647500000</v>
      </c>
      <c r="K1357" s="10">
        <f t="shared" si="668"/>
        <v>0.61794102948525742</v>
      </c>
      <c r="L1357" s="6" t="s">
        <v>7502</v>
      </c>
      <c r="M1357" s="6" t="str">
        <f t="shared" si="652"/>
        <v>=4.002*100000000</v>
      </c>
      <c r="N1357" s="1">
        <f>4.002*100000000</f>
        <v>400200000</v>
      </c>
      <c r="O1357" s="8">
        <f t="shared" si="669"/>
        <v>1.0811232449297972</v>
      </c>
      <c r="P1357" s="6" t="s">
        <v>7653</v>
      </c>
      <c r="Q1357" s="6" t="str">
        <f t="shared" si="653"/>
        <v>=1.923*100000000</v>
      </c>
      <c r="R1357" s="11">
        <f>1.923*100000000</f>
        <v>192300000</v>
      </c>
      <c r="S1357" s="8">
        <f t="shared" si="670"/>
        <v>-0.6360711582134746</v>
      </c>
      <c r="T1357" s="6" t="s">
        <v>1556</v>
      </c>
      <c r="U1357" s="6" t="str">
        <f t="shared" si="654"/>
        <v>=5.284*100000000</v>
      </c>
      <c r="V1357" s="1">
        <f>5.284*100000000</f>
        <v>528400000</v>
      </c>
      <c r="W1357" s="8">
        <f t="shared" si="671"/>
        <v>0.19304583427410252</v>
      </c>
      <c r="X1357" s="6" t="s">
        <v>12231</v>
      </c>
      <c r="Y1357" s="6" t="str">
        <f t="shared" si="655"/>
        <v>=4.429*100000000</v>
      </c>
      <c r="Z1357" s="1">
        <f>4.429*100000000</f>
        <v>442900000</v>
      </c>
      <c r="AA1357" s="8">
        <f t="shared" si="672"/>
        <v>0.73278560250391234</v>
      </c>
      <c r="AB1357" s="6" t="s">
        <v>4169</v>
      </c>
      <c r="AC1357" s="6" t="str">
        <f t="shared" si="656"/>
        <v>=2.556*100000000</v>
      </c>
      <c r="AD1357" s="1">
        <f>2.556*100000000</f>
        <v>255600000</v>
      </c>
      <c r="AE1357" s="8">
        <f t="shared" si="673"/>
        <v>1.6896769441229085</v>
      </c>
      <c r="AF1357" s="7" t="s">
        <v>13437</v>
      </c>
      <c r="AG1357" s="6" t="str">
        <f t="shared" si="657"/>
        <v>=9503*10000</v>
      </c>
      <c r="AH1357" s="1">
        <f>9503*10000</f>
        <v>95030000</v>
      </c>
      <c r="AI1357" s="8">
        <f t="shared" si="674"/>
        <v>-0.77205564883665145</v>
      </c>
      <c r="AJ1357" s="6" t="s">
        <v>13438</v>
      </c>
      <c r="AK1357" s="6" t="str">
        <f t="shared" si="658"/>
        <v>=4.169*100000000</v>
      </c>
      <c r="AL1357" s="1">
        <f>4.169*100000000</f>
        <v>416899999.99999994</v>
      </c>
      <c r="AM1357" s="8">
        <f t="shared" si="675"/>
        <v>0.28474576271186425</v>
      </c>
      <c r="AN1357" s="6" t="s">
        <v>13439</v>
      </c>
      <c r="AO1357" s="6" t="str">
        <f t="shared" si="659"/>
        <v>=3.245*100000000</v>
      </c>
      <c r="AP1357" s="1">
        <f>3.245*100000000</f>
        <v>324500000</v>
      </c>
      <c r="AQ1357" s="8">
        <f t="shared" si="676"/>
        <v>0.48648648648648668</v>
      </c>
      <c r="AR1357" s="6" t="s">
        <v>10004</v>
      </c>
      <c r="AS1357" s="6" t="str">
        <f t="shared" si="660"/>
        <v>=2.183*100000000</v>
      </c>
      <c r="AT1357" s="1">
        <f>2.183*100000000</f>
        <v>218299999.99999997</v>
      </c>
      <c r="AU1357" s="8">
        <f t="shared" si="677"/>
        <v>1.2880201236767632</v>
      </c>
      <c r="AV1357" s="7" t="s">
        <v>13440</v>
      </c>
      <c r="AW1357" s="6" t="str">
        <f t="shared" si="661"/>
        <v>=9541*10000</v>
      </c>
      <c r="AX1357" s="1">
        <f>9541*10000</f>
        <v>95410000</v>
      </c>
      <c r="AY1357" s="10">
        <f t="shared" si="678"/>
        <v>-0.73910308996445173</v>
      </c>
      <c r="AZ1357" s="6" t="s">
        <v>11951</v>
      </c>
      <c r="BA1357" s="6" t="str">
        <f t="shared" si="662"/>
        <v>=3.657*100000000</v>
      </c>
      <c r="BB1357" s="1">
        <f>3.657*100000000</f>
        <v>365700000</v>
      </c>
      <c r="BC1357" s="8">
        <f t="shared" si="679"/>
        <v>0.35444444444444445</v>
      </c>
      <c r="BD1357" s="6" t="s">
        <v>13441</v>
      </c>
      <c r="BE1357" s="6" t="str">
        <f t="shared" si="663"/>
        <v>=2.700*100000000</v>
      </c>
      <c r="BF1357" s="1">
        <f>2.7*100000000</f>
        <v>270000000</v>
      </c>
      <c r="BG1357" s="8">
        <f t="shared" si="680"/>
        <v>0.49584487534626037</v>
      </c>
      <c r="BH1357" s="6" t="s">
        <v>13442</v>
      </c>
      <c r="BI1357" s="6" t="str">
        <f t="shared" si="664"/>
        <v>=1.805*100000000</v>
      </c>
      <c r="BJ1357" s="1">
        <f>1.805*100000000</f>
        <v>180500000</v>
      </c>
      <c r="BK1357" s="7" t="s">
        <v>13443</v>
      </c>
      <c r="BL1357" s="1" t="str">
        <f t="shared" si="666"/>
        <v>=8042*10000</v>
      </c>
      <c r="BM1357" s="16">
        <f t="shared" si="681"/>
        <v>1.2444665506093011</v>
      </c>
      <c r="BN1357" s="1">
        <f>8042*10000</f>
        <v>80420000</v>
      </c>
    </row>
    <row r="1358" spans="1:66">
      <c r="A1358" s="17">
        <v>341</v>
      </c>
      <c r="B1358">
        <v>601333</v>
      </c>
      <c r="C1358" t="s">
        <v>31</v>
      </c>
      <c r="D1358" s="6" t="s">
        <v>13444</v>
      </c>
      <c r="E1358" s="7" t="str">
        <f t="shared" si="665"/>
        <v>=202.1*100000000</v>
      </c>
      <c r="F1358" s="1">
        <f>202.1*100000000</f>
        <v>20210000000</v>
      </c>
      <c r="G1358" s="8">
        <f t="shared" si="667"/>
        <v>0.35183946488294315</v>
      </c>
      <c r="H1358" s="6" t="s">
        <v>13090</v>
      </c>
      <c r="I1358" s="6" t="str">
        <f t="shared" si="651"/>
        <v>=149.5*100000000</v>
      </c>
      <c r="J1358" s="1">
        <f>149.5*100000000</f>
        <v>14950000000</v>
      </c>
      <c r="K1358" s="10">
        <f t="shared" si="668"/>
        <v>0.54633843607778243</v>
      </c>
      <c r="L1358" s="6" t="s">
        <v>13445</v>
      </c>
      <c r="M1358" s="6" t="str">
        <f t="shared" si="652"/>
        <v>=96.68*100000000</v>
      </c>
      <c r="N1358" s="1">
        <f>96.68*100000000</f>
        <v>9668000000</v>
      </c>
      <c r="O1358" s="8">
        <f t="shared" si="669"/>
        <v>1.1903035795197101</v>
      </c>
      <c r="P1358" s="6" t="s">
        <v>10431</v>
      </c>
      <c r="Q1358" s="6" t="str">
        <f t="shared" si="653"/>
        <v>=44.14*100000000</v>
      </c>
      <c r="R1358" s="11">
        <f>44.14*100000000</f>
        <v>4414000000</v>
      </c>
      <c r="S1358" s="8">
        <f t="shared" si="670"/>
        <v>-0.73003058103975538</v>
      </c>
      <c r="T1358" s="6" t="s">
        <v>13446</v>
      </c>
      <c r="U1358" s="6" t="str">
        <f t="shared" si="654"/>
        <v>=163.5*100000000</v>
      </c>
      <c r="V1358" s="1">
        <f>163.5*100000000</f>
        <v>16350000000</v>
      </c>
      <c r="W1358" s="8">
        <f t="shared" si="671"/>
        <v>0.41558441558441561</v>
      </c>
      <c r="X1358" s="6" t="s">
        <v>1855</v>
      </c>
      <c r="Y1358" s="6" t="str">
        <f t="shared" si="655"/>
        <v>=115.5*100000000</v>
      </c>
      <c r="Z1358" s="1">
        <f>115.5*100000000</f>
        <v>11550000000</v>
      </c>
      <c r="AA1358" s="8">
        <f t="shared" si="672"/>
        <v>0.54888024674802216</v>
      </c>
      <c r="AB1358" s="6" t="s">
        <v>13447</v>
      </c>
      <c r="AC1358" s="6" t="str">
        <f t="shared" si="656"/>
        <v>=74.57*100000000</v>
      </c>
      <c r="AD1358" s="1">
        <f>74.57*100000000</f>
        <v>7456999999.999999</v>
      </c>
      <c r="AE1358" s="8">
        <f t="shared" si="673"/>
        <v>0.97903397027600825</v>
      </c>
      <c r="AF1358" s="6" t="s">
        <v>13448</v>
      </c>
      <c r="AG1358" s="6" t="str">
        <f t="shared" si="657"/>
        <v>=37.68*100000000</v>
      </c>
      <c r="AH1358" s="1">
        <f>37.68*100000000</f>
        <v>3768000000</v>
      </c>
      <c r="AI1358" s="8">
        <f t="shared" si="674"/>
        <v>-0.82209631728045329</v>
      </c>
      <c r="AJ1358" s="6" t="s">
        <v>13449</v>
      </c>
      <c r="AK1358" s="6" t="str">
        <f t="shared" si="658"/>
        <v>=211.8*100000000</v>
      </c>
      <c r="AL1358" s="1">
        <f>211.8*100000000</f>
        <v>21180000000</v>
      </c>
      <c r="AM1358" s="8">
        <f t="shared" si="675"/>
        <v>0.35682254964766175</v>
      </c>
      <c r="AN1358" s="6" t="s">
        <v>13450</v>
      </c>
      <c r="AO1358" s="6" t="str">
        <f t="shared" si="659"/>
        <v>=156.1*100000000</v>
      </c>
      <c r="AP1358" s="1">
        <f>156.1*100000000</f>
        <v>15610000000</v>
      </c>
      <c r="AQ1358" s="8">
        <f t="shared" si="676"/>
        <v>0.53189401373895973</v>
      </c>
      <c r="AR1358" s="6" t="s">
        <v>3999</v>
      </c>
      <c r="AS1358" s="6" t="str">
        <f t="shared" si="660"/>
        <v>=101.9*100000000</v>
      </c>
      <c r="AT1358" s="1">
        <f>101.9*100000000</f>
        <v>10190000000</v>
      </c>
      <c r="AU1358" s="8">
        <f t="shared" si="677"/>
        <v>0.99179046129788895</v>
      </c>
      <c r="AV1358" s="6" t="s">
        <v>13451</v>
      </c>
      <c r="AW1358" s="6" t="str">
        <f t="shared" si="661"/>
        <v>=51.16*100000000</v>
      </c>
      <c r="AX1358" s="1">
        <f>51.16*100000000</f>
        <v>5116000000</v>
      </c>
      <c r="AY1358" s="10">
        <f t="shared" si="678"/>
        <v>-0.74200706001008576</v>
      </c>
      <c r="AZ1358" s="6" t="s">
        <v>5357</v>
      </c>
      <c r="BA1358" s="6" t="str">
        <f t="shared" si="662"/>
        <v>=198.3*100000000</v>
      </c>
      <c r="BB1358" s="1">
        <f>198.3*100000000</f>
        <v>19830000000</v>
      </c>
      <c r="BC1358" s="8">
        <f t="shared" si="679"/>
        <v>0.36008230452674878</v>
      </c>
      <c r="BD1358" s="6" t="s">
        <v>535</v>
      </c>
      <c r="BE1358" s="6" t="str">
        <f t="shared" si="663"/>
        <v>=145.8*100000000</v>
      </c>
      <c r="BF1358" s="1">
        <f>145.8*100000000</f>
        <v>14580000000.000002</v>
      </c>
      <c r="BG1358" s="8">
        <f t="shared" si="680"/>
        <v>0.53022670025188934</v>
      </c>
      <c r="BH1358" s="6" t="s">
        <v>13452</v>
      </c>
      <c r="BI1358" s="6" t="str">
        <f t="shared" si="664"/>
        <v>=95.28*100000000</v>
      </c>
      <c r="BJ1358" s="1">
        <f>95.28*100000000</f>
        <v>9528000000</v>
      </c>
      <c r="BK1358" s="6" t="s">
        <v>2825</v>
      </c>
      <c r="BL1358" s="1" t="str">
        <f t="shared" si="666"/>
        <v>=48.77*100000000</v>
      </c>
      <c r="BM1358" s="16">
        <f t="shared" si="681"/>
        <v>0.95366003690793522</v>
      </c>
      <c r="BN1358" s="1">
        <f>48.77*100000000</f>
        <v>4877000000</v>
      </c>
    </row>
    <row r="1359" spans="1:66">
      <c r="A1359" s="18"/>
      <c r="B1359">
        <v>601333</v>
      </c>
      <c r="C1359" t="s">
        <v>48</v>
      </c>
      <c r="D1359" s="6">
        <f>-13.44*100000000</f>
        <v>-1344000000</v>
      </c>
      <c r="E1359" s="7" t="str">
        <f t="shared" si="665"/>
        <v>=-1344000000</v>
      </c>
      <c r="F1359" s="1">
        <f>-1344000000</f>
        <v>-1344000000</v>
      </c>
      <c r="G1359" s="8">
        <f t="shared" si="667"/>
        <v>3.1687344913151363</v>
      </c>
      <c r="H1359" s="6">
        <f>-3.224*100000000</f>
        <v>-322400000</v>
      </c>
      <c r="I1359" s="6" t="str">
        <f t="shared" si="651"/>
        <v>=-322400000</v>
      </c>
      <c r="J1359" s="1">
        <f>-322400000</f>
        <v>-322400000</v>
      </c>
      <c r="K1359" s="10">
        <f t="shared" si="668"/>
        <v>-8.5344706707174574</v>
      </c>
      <c r="L1359" s="7" t="s">
        <v>13453</v>
      </c>
      <c r="M1359" s="6" t="str">
        <f t="shared" si="652"/>
        <v>=4279*10000</v>
      </c>
      <c r="N1359" s="1">
        <f>4279*10000</f>
        <v>42790000</v>
      </c>
      <c r="O1359" s="8">
        <f t="shared" si="669"/>
        <v>-1.362320067739204</v>
      </c>
      <c r="P1359" s="6">
        <f>-1.181*100000000</f>
        <v>-118100000</v>
      </c>
      <c r="Q1359" s="6" t="str">
        <f t="shared" si="653"/>
        <v>=-118100000</v>
      </c>
      <c r="R1359" s="11">
        <f>-118100000</f>
        <v>-118100000</v>
      </c>
      <c r="S1359" s="8">
        <f t="shared" si="670"/>
        <v>-0.80087674928342611</v>
      </c>
      <c r="T1359" s="6">
        <f>-5.931*100000000</f>
        <v>-593100000</v>
      </c>
      <c r="U1359" s="6" t="str">
        <f t="shared" si="654"/>
        <v>=-593100000</v>
      </c>
      <c r="V1359" s="1">
        <f>-593100000</f>
        <v>-593100000</v>
      </c>
      <c r="W1359" s="8">
        <f t="shared" si="671"/>
        <v>-0.57876420454545452</v>
      </c>
      <c r="X1359" s="6">
        <f>-14.08*100000000</f>
        <v>-1408000000</v>
      </c>
      <c r="Y1359" s="6" t="str">
        <f t="shared" si="655"/>
        <v>=-1408000000</v>
      </c>
      <c r="Z1359" s="1">
        <f>-1408000000</f>
        <v>-1408000000</v>
      </c>
      <c r="AA1359" s="8">
        <f t="shared" si="672"/>
        <v>0.83620239958268128</v>
      </c>
      <c r="AB1359" s="6">
        <f>-7.668*100000000</f>
        <v>-766800000</v>
      </c>
      <c r="AC1359" s="6" t="str">
        <f t="shared" si="656"/>
        <v>=-766800000</v>
      </c>
      <c r="AD1359" s="1">
        <f>-766800000</f>
        <v>-766800000</v>
      </c>
      <c r="AE1359" s="8">
        <f t="shared" si="673"/>
        <v>0.64337762537505361</v>
      </c>
      <c r="AF1359" s="6">
        <f>-4.666*100000000</f>
        <v>-466600000.00000006</v>
      </c>
      <c r="AG1359" s="6" t="str">
        <f t="shared" si="657"/>
        <v>=-466600000</v>
      </c>
      <c r="AH1359" s="1">
        <f>-466600000</f>
        <v>-466600000</v>
      </c>
      <c r="AI1359" s="8">
        <f t="shared" si="674"/>
        <v>-1.43364312267658</v>
      </c>
      <c r="AJ1359" s="6" t="s">
        <v>649</v>
      </c>
      <c r="AK1359" s="6" t="str">
        <f t="shared" si="658"/>
        <v>=10.76*100000000</v>
      </c>
      <c r="AL1359" s="1">
        <f>10.76*100000000</f>
        <v>1076000000</v>
      </c>
      <c r="AM1359" s="8">
        <f t="shared" si="675"/>
        <v>-9.1983122362869194E-2</v>
      </c>
      <c r="AN1359" s="6" t="s">
        <v>35</v>
      </c>
      <c r="AO1359" s="6" t="str">
        <f t="shared" si="659"/>
        <v>=11.85*100000000</v>
      </c>
      <c r="AP1359" s="1">
        <f>11.85*100000000</f>
        <v>1185000000</v>
      </c>
      <c r="AQ1359" s="8">
        <f t="shared" si="676"/>
        <v>0.16519174041297935</v>
      </c>
      <c r="AR1359" s="6" t="s">
        <v>6860</v>
      </c>
      <c r="AS1359" s="6" t="str">
        <f t="shared" si="660"/>
        <v>=10.17*100000000</v>
      </c>
      <c r="AT1359" s="1">
        <f>10.17*100000000</f>
        <v>1017000000</v>
      </c>
      <c r="AU1359" s="8">
        <f t="shared" si="677"/>
        <v>0.94566673043810956</v>
      </c>
      <c r="AV1359" s="6" t="s">
        <v>13454</v>
      </c>
      <c r="AW1359" s="6" t="str">
        <f t="shared" si="661"/>
        <v>=5.227*100000000</v>
      </c>
      <c r="AX1359" s="1">
        <f>5.227*100000000</f>
        <v>522700000.00000006</v>
      </c>
      <c r="AY1359" s="10">
        <f t="shared" si="678"/>
        <v>-0.57085385878489325</v>
      </c>
      <c r="AZ1359" s="6" t="s">
        <v>11056</v>
      </c>
      <c r="BA1359" s="6" t="str">
        <f t="shared" si="662"/>
        <v>=12.18*100000000</v>
      </c>
      <c r="BB1359" s="1">
        <f>12.18*100000000</f>
        <v>1218000000</v>
      </c>
      <c r="BC1359" s="8">
        <f t="shared" si="679"/>
        <v>-8.4898572501878281E-2</v>
      </c>
      <c r="BD1359" s="6" t="s">
        <v>2291</v>
      </c>
      <c r="BE1359" s="6" t="str">
        <f t="shared" si="663"/>
        <v>=13.31*100000000</v>
      </c>
      <c r="BF1359" s="1">
        <f>13.31*100000000</f>
        <v>1331000000</v>
      </c>
      <c r="BG1359" s="8">
        <f t="shared" si="680"/>
        <v>0.47446549241165414</v>
      </c>
      <c r="BH1359" s="6" t="s">
        <v>13455</v>
      </c>
      <c r="BI1359" s="6" t="str">
        <f t="shared" si="664"/>
        <v>=9.027*100000000</v>
      </c>
      <c r="BJ1359" s="1">
        <f>9.027*100000000</f>
        <v>902699999.99999988</v>
      </c>
      <c r="BK1359" s="6" t="s">
        <v>13456</v>
      </c>
      <c r="BL1359" s="1" t="str">
        <f t="shared" si="666"/>
        <v>=5.927*100000000</v>
      </c>
      <c r="BM1359" s="16">
        <f t="shared" si="681"/>
        <v>0.52303020077610918</v>
      </c>
      <c r="BN1359" s="1">
        <f>5.927*100000000</f>
        <v>592700000</v>
      </c>
    </row>
    <row r="1360" spans="1:66">
      <c r="A1360" s="18"/>
      <c r="B1360">
        <v>601333</v>
      </c>
      <c r="C1360" t="s">
        <v>58</v>
      </c>
      <c r="D1360" s="6">
        <f>-12.5*100000000</f>
        <v>-1250000000</v>
      </c>
      <c r="E1360" s="7" t="str">
        <f t="shared" si="665"/>
        <v>=-1250000000</v>
      </c>
      <c r="F1360" s="1">
        <f>-1250000000</f>
        <v>-1250000000</v>
      </c>
      <c r="G1360" s="8">
        <f t="shared" si="667"/>
        <v>2.7627934978928357</v>
      </c>
      <c r="H1360" s="6">
        <f>-3.322*100000000</f>
        <v>-332200000</v>
      </c>
      <c r="I1360" s="6" t="str">
        <f t="shared" si="651"/>
        <v>=-332200000</v>
      </c>
      <c r="J1360" s="1">
        <f>-332200000</f>
        <v>-332200000</v>
      </c>
      <c r="K1360" s="10">
        <f t="shared" si="668"/>
        <v>-11.446540880503145</v>
      </c>
      <c r="L1360" s="7" t="s">
        <v>12500</v>
      </c>
      <c r="M1360" s="6" t="str">
        <f t="shared" si="652"/>
        <v>=3180*10000</v>
      </c>
      <c r="N1360" s="1">
        <f>3180*10000</f>
        <v>31800000</v>
      </c>
      <c r="O1360" s="8">
        <f t="shared" si="669"/>
        <v>-1.2706382978723405</v>
      </c>
      <c r="P1360" s="6">
        <f>-1.175*100000000</f>
        <v>-117500000</v>
      </c>
      <c r="Q1360" s="6" t="str">
        <f t="shared" si="653"/>
        <v>=-117500000</v>
      </c>
      <c r="R1360" s="11">
        <f>-117500000</f>
        <v>-117500000</v>
      </c>
      <c r="S1360" s="8">
        <f t="shared" si="670"/>
        <v>-0.82988272766758364</v>
      </c>
      <c r="T1360" s="6">
        <f>-6.907*100000000</f>
        <v>-690700000</v>
      </c>
      <c r="U1360" s="6" t="str">
        <f t="shared" si="654"/>
        <v>=-690700000</v>
      </c>
      <c r="V1360" s="1">
        <f>-690700000</f>
        <v>-690700000</v>
      </c>
      <c r="W1360" s="8">
        <f t="shared" si="671"/>
        <v>-0.51934585942936673</v>
      </c>
      <c r="X1360" s="6">
        <f>-14.37*100000000</f>
        <v>-1437000000</v>
      </c>
      <c r="Y1360" s="6" t="str">
        <f t="shared" si="655"/>
        <v>=-1437000000</v>
      </c>
      <c r="Z1360" s="1">
        <f>-1437000000</f>
        <v>-1437000000</v>
      </c>
      <c r="AA1360" s="8">
        <f t="shared" si="672"/>
        <v>0.82894234440626191</v>
      </c>
      <c r="AB1360" s="6">
        <f>-7.857*100000000</f>
        <v>-785700000</v>
      </c>
      <c r="AC1360" s="6" t="str">
        <f t="shared" si="656"/>
        <v>=-785700000</v>
      </c>
      <c r="AD1360" s="1">
        <f>-785700000</f>
        <v>-785700000</v>
      </c>
      <c r="AE1360" s="8">
        <f t="shared" si="673"/>
        <v>0.67777065983344009</v>
      </c>
      <c r="AF1360" s="6">
        <f>-4.683*100000000</f>
        <v>-468300000</v>
      </c>
      <c r="AG1360" s="6" t="str">
        <f t="shared" si="657"/>
        <v>=-468300000</v>
      </c>
      <c r="AH1360" s="1">
        <f>-468300000</f>
        <v>-468300000</v>
      </c>
      <c r="AI1360" s="8">
        <f t="shared" si="674"/>
        <v>-1.4641228939544102</v>
      </c>
      <c r="AJ1360" s="6" t="s">
        <v>340</v>
      </c>
      <c r="AK1360" s="6" t="str">
        <f t="shared" si="658"/>
        <v>=10.09*100000000</v>
      </c>
      <c r="AL1360" s="1">
        <f>10.09*100000000</f>
        <v>1009000000</v>
      </c>
      <c r="AM1360" s="8">
        <f t="shared" si="675"/>
        <v>-0.14200680272108843</v>
      </c>
      <c r="AN1360" s="6" t="s">
        <v>13457</v>
      </c>
      <c r="AO1360" s="6" t="str">
        <f t="shared" si="659"/>
        <v>=11.76*100000000</v>
      </c>
      <c r="AP1360" s="1">
        <f>11.76*100000000</f>
        <v>1176000000</v>
      </c>
      <c r="AQ1360" s="8">
        <f t="shared" si="676"/>
        <v>0.15634218289085547</v>
      </c>
      <c r="AR1360" s="6" t="s">
        <v>6860</v>
      </c>
      <c r="AS1360" s="6" t="str">
        <f t="shared" si="660"/>
        <v>=10.17*100000000</v>
      </c>
      <c r="AT1360" s="1">
        <f>10.17*100000000</f>
        <v>1017000000</v>
      </c>
      <c r="AU1360" s="8">
        <f t="shared" si="677"/>
        <v>0.93677394781946277</v>
      </c>
      <c r="AV1360" s="6" t="s">
        <v>13458</v>
      </c>
      <c r="AW1360" s="6" t="str">
        <f t="shared" si="661"/>
        <v>=5.251*100000000</v>
      </c>
      <c r="AX1360" s="1">
        <f>5.251*100000000</f>
        <v>525100000.00000006</v>
      </c>
      <c r="AY1360" s="10">
        <f t="shared" si="678"/>
        <v>-0.5087932647333957</v>
      </c>
      <c r="AZ1360" s="6" t="s">
        <v>3044</v>
      </c>
      <c r="BA1360" s="6" t="str">
        <f t="shared" si="662"/>
        <v>=10.69*100000000</v>
      </c>
      <c r="BB1360" s="1">
        <f>10.69*100000000</f>
        <v>1069000000</v>
      </c>
      <c r="BC1360" s="8">
        <f t="shared" si="679"/>
        <v>-0.16156862745098038</v>
      </c>
      <c r="BD1360" s="6" t="s">
        <v>901</v>
      </c>
      <c r="BE1360" s="6" t="str">
        <f t="shared" si="663"/>
        <v>=12.75*100000000</v>
      </c>
      <c r="BF1360" s="1">
        <f>12.75*100000000</f>
        <v>1275000000</v>
      </c>
      <c r="BG1360" s="8">
        <f t="shared" si="680"/>
        <v>0.46014658726523155</v>
      </c>
      <c r="BH1360" s="6" t="s">
        <v>13459</v>
      </c>
      <c r="BI1360" s="6" t="str">
        <f t="shared" si="664"/>
        <v>=8.732*100000000</v>
      </c>
      <c r="BJ1360" s="1">
        <f>8.732*100000000</f>
        <v>873199999.99999988</v>
      </c>
      <c r="BK1360" s="6" t="s">
        <v>1032</v>
      </c>
      <c r="BL1360" s="1" t="str">
        <f t="shared" si="666"/>
        <v>=5.910*100000000</v>
      </c>
      <c r="BM1360" s="16">
        <f t="shared" si="681"/>
        <v>0.47749576988155651</v>
      </c>
      <c r="BN1360" s="1">
        <f>5.91*100000000</f>
        <v>591000000</v>
      </c>
    </row>
    <row r="1361" spans="1:66">
      <c r="A1361" s="19"/>
      <c r="B1361">
        <v>601333</v>
      </c>
      <c r="C1361" t="s">
        <v>68</v>
      </c>
      <c r="D1361" s="6">
        <f>-9.74*100000000</f>
        <v>-974000000</v>
      </c>
      <c r="E1361" s="7" t="str">
        <f t="shared" si="665"/>
        <v>=-974000000</v>
      </c>
      <c r="F1361" s="1">
        <f>-974000000</f>
        <v>-974000000</v>
      </c>
      <c r="G1361" s="8">
        <f t="shared" si="667"/>
        <v>2.8032018742678639</v>
      </c>
      <c r="H1361" s="6">
        <f>-2.561*100000000</f>
        <v>-256100000</v>
      </c>
      <c r="I1361" s="6" t="str">
        <f t="shared" si="651"/>
        <v>=-256100000</v>
      </c>
      <c r="J1361" s="1">
        <f>-256100000</f>
        <v>-256100000</v>
      </c>
      <c r="K1361" s="10">
        <f t="shared" si="668"/>
        <v>-60.077277970011536</v>
      </c>
      <c r="L1361" s="7" t="s">
        <v>13460</v>
      </c>
      <c r="M1361" s="6" t="str">
        <f t="shared" si="652"/>
        <v>=433.5*10000</v>
      </c>
      <c r="N1361" s="1">
        <f>433.5*10000</f>
        <v>4335000</v>
      </c>
      <c r="O1361" s="8">
        <f t="shared" si="669"/>
        <v>-1.0465828497743392</v>
      </c>
      <c r="P1361" s="7">
        <f>-9306*10000</f>
        <v>-93060000</v>
      </c>
      <c r="Q1361" s="6" t="str">
        <f t="shared" si="653"/>
        <v>=-93060000</v>
      </c>
      <c r="R1361" s="11">
        <f>-93060000</f>
        <v>-93060000</v>
      </c>
      <c r="S1361" s="8">
        <f t="shared" si="670"/>
        <v>-0.83325568894463353</v>
      </c>
      <c r="T1361" s="6">
        <f>-5.581*100000000</f>
        <v>-558100000</v>
      </c>
      <c r="U1361" s="6" t="str">
        <f t="shared" si="654"/>
        <v>=-558100000</v>
      </c>
      <c r="V1361" s="1">
        <f>-558100000</f>
        <v>-558100000</v>
      </c>
      <c r="W1361" s="8">
        <f t="shared" si="671"/>
        <v>-0.49991039426523298</v>
      </c>
      <c r="X1361" s="6">
        <f>-11.16*100000000</f>
        <v>-1116000000</v>
      </c>
      <c r="Y1361" s="6" t="str">
        <f t="shared" si="655"/>
        <v>=-1116000000</v>
      </c>
      <c r="Z1361" s="1">
        <f>-1116000000</f>
        <v>-1116000000</v>
      </c>
      <c r="AA1361" s="8">
        <f t="shared" si="672"/>
        <v>0.82085168869309844</v>
      </c>
      <c r="AB1361" s="6">
        <f>-6.129*100000000</f>
        <v>-612900000</v>
      </c>
      <c r="AC1361" s="6" t="str">
        <f t="shared" si="656"/>
        <v>=-612900000</v>
      </c>
      <c r="AD1361" s="1">
        <f>-612900000</f>
        <v>-612900000</v>
      </c>
      <c r="AE1361" s="8">
        <f t="shared" si="673"/>
        <v>0.32863646217212228</v>
      </c>
      <c r="AF1361" s="6">
        <f>-4.613*100000000</f>
        <v>-461300000.00000006</v>
      </c>
      <c r="AG1361" s="6" t="str">
        <f t="shared" si="657"/>
        <v>=-461300000</v>
      </c>
      <c r="AH1361" s="1">
        <f>-461300000</f>
        <v>-461300000</v>
      </c>
      <c r="AI1361" s="8">
        <f t="shared" si="674"/>
        <v>-1.6167112299465241</v>
      </c>
      <c r="AJ1361" s="6" t="s">
        <v>13461</v>
      </c>
      <c r="AK1361" s="6" t="str">
        <f t="shared" si="658"/>
        <v>=7.480*100000000</v>
      </c>
      <c r="AL1361" s="1">
        <f>7.48*100000000</f>
        <v>748000000</v>
      </c>
      <c r="AM1361" s="8">
        <f t="shared" si="675"/>
        <v>-0.14484966274151137</v>
      </c>
      <c r="AN1361" s="6" t="s">
        <v>13462</v>
      </c>
      <c r="AO1361" s="6" t="str">
        <f t="shared" si="659"/>
        <v>=8.747*100000000</v>
      </c>
      <c r="AP1361" s="1">
        <f>8.747*100000000</f>
        <v>874700000</v>
      </c>
      <c r="AQ1361" s="8">
        <f t="shared" si="676"/>
        <v>0.15076963557426654</v>
      </c>
      <c r="AR1361" s="6" t="s">
        <v>13463</v>
      </c>
      <c r="AS1361" s="6" t="str">
        <f t="shared" si="660"/>
        <v>=7.601*100000000</v>
      </c>
      <c r="AT1361" s="1">
        <f>7.601*100000000</f>
        <v>760100000</v>
      </c>
      <c r="AU1361" s="8">
        <f t="shared" si="677"/>
        <v>0.95649935649935647</v>
      </c>
      <c r="AV1361" s="6" t="s">
        <v>5046</v>
      </c>
      <c r="AW1361" s="6" t="str">
        <f t="shared" si="661"/>
        <v>=3.885*100000000</v>
      </c>
      <c r="AX1361" s="1">
        <f>3.885*100000000</f>
        <v>388500000</v>
      </c>
      <c r="AY1361" s="10">
        <f t="shared" si="678"/>
        <v>-0.50128369704749676</v>
      </c>
      <c r="AZ1361" s="6" t="s">
        <v>13464</v>
      </c>
      <c r="BA1361" s="6" t="str">
        <f t="shared" si="662"/>
        <v>=7.790*100000000</v>
      </c>
      <c r="BB1361" s="1">
        <f>7.79*100000000</f>
        <v>779000000</v>
      </c>
      <c r="BC1361" s="8">
        <f t="shared" si="679"/>
        <v>-0.18854166666666666</v>
      </c>
      <c r="BD1361" s="6" t="s">
        <v>13465</v>
      </c>
      <c r="BE1361" s="6" t="str">
        <f t="shared" si="663"/>
        <v>=9.600*100000000</v>
      </c>
      <c r="BF1361" s="1">
        <f>9.6*100000000</f>
        <v>960000000</v>
      </c>
      <c r="BG1361" s="8">
        <f t="shared" si="680"/>
        <v>0.47329650092081033</v>
      </c>
      <c r="BH1361" s="6" t="s">
        <v>7128</v>
      </c>
      <c r="BI1361" s="6" t="str">
        <f t="shared" si="664"/>
        <v>=6.516*100000000</v>
      </c>
      <c r="BJ1361" s="1">
        <f>6.516*100000000</f>
        <v>651600000</v>
      </c>
      <c r="BK1361" s="6" t="s">
        <v>13466</v>
      </c>
      <c r="BL1361" s="1" t="str">
        <f t="shared" si="666"/>
        <v>=4.446*100000000</v>
      </c>
      <c r="BM1361" s="16">
        <f t="shared" si="681"/>
        <v>0.46558704453441296</v>
      </c>
      <c r="BN1361" s="1">
        <f>4.446*100000000</f>
        <v>444600000</v>
      </c>
    </row>
    <row r="1362" spans="1:66">
      <c r="A1362" s="17">
        <v>342</v>
      </c>
      <c r="B1362">
        <v>601336</v>
      </c>
      <c r="C1362" t="s">
        <v>31</v>
      </c>
      <c r="D1362" s="6" t="s">
        <v>13467</v>
      </c>
      <c r="E1362" s="7" t="str">
        <f t="shared" si="665"/>
        <v>=2224*100000000</v>
      </c>
      <c r="F1362" s="1">
        <f>2224*100000000</f>
        <v>222400000000</v>
      </c>
      <c r="G1362" s="8">
        <f t="shared" si="667"/>
        <v>0.20869565217391303</v>
      </c>
      <c r="H1362" s="6" t="s">
        <v>13468</v>
      </c>
      <c r="I1362" s="6" t="str">
        <f t="shared" si="651"/>
        <v>=1840*100000000</v>
      </c>
      <c r="J1362" s="1">
        <f>1840*100000000</f>
        <v>184000000000</v>
      </c>
      <c r="K1362" s="10">
        <f t="shared" si="668"/>
        <v>0.39288417865253594</v>
      </c>
      <c r="L1362" s="6" t="s">
        <v>13469</v>
      </c>
      <c r="M1362" s="6" t="str">
        <f t="shared" si="652"/>
        <v>=1321*100000000</v>
      </c>
      <c r="N1362" s="1">
        <f>1321*100000000</f>
        <v>132100000000</v>
      </c>
      <c r="O1362" s="8">
        <f t="shared" si="669"/>
        <v>0.6234484453729876</v>
      </c>
      <c r="P1362" s="6" t="s">
        <v>13470</v>
      </c>
      <c r="Q1362" s="6" t="str">
        <f t="shared" si="653"/>
        <v>=813.7*100000000</v>
      </c>
      <c r="R1362" s="11">
        <f>813.7*100000000</f>
        <v>81370000000</v>
      </c>
      <c r="S1362" s="8">
        <f t="shared" si="670"/>
        <v>-0.60595641646489107</v>
      </c>
      <c r="T1362" s="6" t="s">
        <v>13471</v>
      </c>
      <c r="U1362" s="6" t="str">
        <f t="shared" si="654"/>
        <v>=2065*100000000</v>
      </c>
      <c r="V1362" s="1">
        <f>2065*100000000</f>
        <v>206500000000</v>
      </c>
      <c r="W1362" s="8">
        <f t="shared" si="671"/>
        <v>0.21613663133097763</v>
      </c>
      <c r="X1362" s="6" t="s">
        <v>13472</v>
      </c>
      <c r="Y1362" s="6" t="str">
        <f t="shared" si="655"/>
        <v>=1698*100000000</v>
      </c>
      <c r="Z1362" s="1">
        <f>1698*100000000</f>
        <v>169800000000</v>
      </c>
      <c r="AA1362" s="8">
        <f t="shared" si="672"/>
        <v>0.43049705139005895</v>
      </c>
      <c r="AB1362" s="6" t="s">
        <v>13473</v>
      </c>
      <c r="AC1362" s="6" t="str">
        <f t="shared" si="656"/>
        <v>=1187*100000000</v>
      </c>
      <c r="AD1362" s="1">
        <f>1187*100000000</f>
        <v>118700000000</v>
      </c>
      <c r="AE1362" s="8">
        <f t="shared" si="673"/>
        <v>0.74174614820249452</v>
      </c>
      <c r="AF1362" s="6" t="s">
        <v>13474</v>
      </c>
      <c r="AG1362" s="6" t="str">
        <f t="shared" si="657"/>
        <v>=681.5*100000000</v>
      </c>
      <c r="AH1362" s="1">
        <f>681.5*100000000</f>
        <v>68150000000</v>
      </c>
      <c r="AI1362" s="8">
        <f t="shared" si="674"/>
        <v>-0.6096792668957618</v>
      </c>
      <c r="AJ1362" s="6" t="s">
        <v>13475</v>
      </c>
      <c r="AK1362" s="6" t="str">
        <f t="shared" si="658"/>
        <v>=1746*100000000</v>
      </c>
      <c r="AL1362" s="1">
        <f>1746*100000000</f>
        <v>174600000000</v>
      </c>
      <c r="AM1362" s="8">
        <f t="shared" si="675"/>
        <v>0.31475903614457829</v>
      </c>
      <c r="AN1362" s="6" t="s">
        <v>13476</v>
      </c>
      <c r="AO1362" s="6" t="str">
        <f t="shared" si="659"/>
        <v>=1328*100000000</v>
      </c>
      <c r="AP1362" s="1">
        <f>1328*100000000</f>
        <v>132800000000</v>
      </c>
      <c r="AQ1362" s="8">
        <f t="shared" si="676"/>
        <v>0.47179430344674722</v>
      </c>
      <c r="AR1362" s="6" t="s">
        <v>13477</v>
      </c>
      <c r="AS1362" s="6" t="str">
        <f t="shared" si="660"/>
        <v>=902.3*100000000</v>
      </c>
      <c r="AT1362" s="1">
        <f>902.3*100000000</f>
        <v>90230000000</v>
      </c>
      <c r="AU1362" s="8">
        <f t="shared" si="677"/>
        <v>0.82025418599959654</v>
      </c>
      <c r="AV1362" s="6" t="s">
        <v>13478</v>
      </c>
      <c r="AW1362" s="6" t="str">
        <f t="shared" si="661"/>
        <v>=495.7*100000000</v>
      </c>
      <c r="AX1362" s="1">
        <f>495.7*100000000</f>
        <v>49570000000</v>
      </c>
      <c r="AY1362" s="10">
        <f t="shared" si="678"/>
        <v>-0.67853437094682234</v>
      </c>
      <c r="AZ1362" s="6" t="s">
        <v>13479</v>
      </c>
      <c r="BA1362" s="6" t="str">
        <f t="shared" si="662"/>
        <v>=1542*100000000</v>
      </c>
      <c r="BB1362" s="1">
        <f>1542*100000000</f>
        <v>154200000000</v>
      </c>
      <c r="BC1362" s="8">
        <f t="shared" si="679"/>
        <v>0.248582995951417</v>
      </c>
      <c r="BD1362" s="6" t="s">
        <v>13480</v>
      </c>
      <c r="BE1362" s="6" t="str">
        <f t="shared" si="663"/>
        <v>=1235*100000000</v>
      </c>
      <c r="BF1362" s="1">
        <f>1235*100000000</f>
        <v>123500000000</v>
      </c>
      <c r="BG1362" s="8">
        <f t="shared" si="680"/>
        <v>0.47603681128241904</v>
      </c>
      <c r="BH1362" s="6" t="s">
        <v>13481</v>
      </c>
      <c r="BI1362" s="6" t="str">
        <f t="shared" si="664"/>
        <v>=836.7*100000000</v>
      </c>
      <c r="BJ1362" s="1">
        <f>836.7*100000000</f>
        <v>83670000000</v>
      </c>
      <c r="BK1362" s="6" t="s">
        <v>13482</v>
      </c>
      <c r="BL1362" s="1" t="str">
        <f t="shared" si="666"/>
        <v>=461.6*100000000</v>
      </c>
      <c r="BM1362" s="16">
        <f t="shared" si="681"/>
        <v>0.81260831889081453</v>
      </c>
      <c r="BN1362" s="1">
        <f>461.6*100000000</f>
        <v>46160000000</v>
      </c>
    </row>
    <row r="1363" spans="1:66">
      <c r="A1363" s="18"/>
      <c r="B1363">
        <v>601336</v>
      </c>
      <c r="C1363" t="s">
        <v>48</v>
      </c>
      <c r="D1363" s="6" t="s">
        <v>2350</v>
      </c>
      <c r="E1363" s="7" t="str">
        <f t="shared" si="665"/>
        <v>=156.4*100000000</v>
      </c>
      <c r="F1363" s="1">
        <f>156.4*100000000</f>
        <v>15640000000</v>
      </c>
      <c r="G1363" s="8">
        <f t="shared" si="667"/>
        <v>0.191165270373191</v>
      </c>
      <c r="H1363" s="6" t="s">
        <v>4705</v>
      </c>
      <c r="I1363" s="6" t="str">
        <f t="shared" si="651"/>
        <v>=131.3*100000000</v>
      </c>
      <c r="J1363" s="1">
        <f>131.3*100000000</f>
        <v>13130000000.000002</v>
      </c>
      <c r="K1363" s="10">
        <f t="shared" si="668"/>
        <v>8.5123966942148924E-2</v>
      </c>
      <c r="L1363" s="6" t="s">
        <v>5273</v>
      </c>
      <c r="M1363" s="6" t="str">
        <f t="shared" si="652"/>
        <v>=121.0*100000000</v>
      </c>
      <c r="N1363" s="1">
        <f>121*100000000</f>
        <v>12100000000</v>
      </c>
      <c r="O1363" s="8">
        <f t="shared" si="669"/>
        <v>0.60222457627118642</v>
      </c>
      <c r="P1363" s="6" t="s">
        <v>13483</v>
      </c>
      <c r="Q1363" s="6" t="str">
        <f t="shared" si="653"/>
        <v>=75.52*100000000</v>
      </c>
      <c r="R1363" s="11">
        <f>75.52*100000000</f>
        <v>7552000000</v>
      </c>
      <c r="S1363" s="8">
        <f t="shared" si="670"/>
        <v>-0.51527599486521192</v>
      </c>
      <c r="T1363" s="6" t="s">
        <v>4120</v>
      </c>
      <c r="U1363" s="6" t="str">
        <f t="shared" si="654"/>
        <v>=155.8*100000000</v>
      </c>
      <c r="V1363" s="1">
        <f>155.8*100000000</f>
        <v>15580000000.000002</v>
      </c>
      <c r="W1363" s="8">
        <f t="shared" si="671"/>
        <v>0.28866832092638561</v>
      </c>
      <c r="X1363" s="6" t="s">
        <v>13484</v>
      </c>
      <c r="Y1363" s="6" t="str">
        <f t="shared" si="655"/>
        <v>=120.9*100000000</v>
      </c>
      <c r="Z1363" s="1">
        <f>120.9*100000000</f>
        <v>12090000000</v>
      </c>
      <c r="AA1363" s="8">
        <f t="shared" si="672"/>
        <v>0.30069930069930068</v>
      </c>
      <c r="AB1363" s="6" t="s">
        <v>13485</v>
      </c>
      <c r="AC1363" s="6" t="str">
        <f t="shared" si="656"/>
        <v>=92.95*100000000</v>
      </c>
      <c r="AD1363" s="1">
        <f>92.95*100000000</f>
        <v>9295000000</v>
      </c>
      <c r="AE1363" s="8">
        <f t="shared" si="673"/>
        <v>0.66547213760974733</v>
      </c>
      <c r="AF1363" s="6" t="s">
        <v>13486</v>
      </c>
      <c r="AG1363" s="6" t="str">
        <f t="shared" si="657"/>
        <v>=55.81*100000000</v>
      </c>
      <c r="AH1363" s="1">
        <f>55.81*100000000</f>
        <v>5581000000</v>
      </c>
      <c r="AI1363" s="8">
        <f t="shared" si="674"/>
        <v>-0.58006019563581646</v>
      </c>
      <c r="AJ1363" s="6" t="s">
        <v>631</v>
      </c>
      <c r="AK1363" s="6" t="str">
        <f t="shared" si="658"/>
        <v>=132.9*100000000</v>
      </c>
      <c r="AL1363" s="1">
        <f>132.9*100000000</f>
        <v>13290000000</v>
      </c>
      <c r="AM1363" s="8">
        <f t="shared" si="675"/>
        <v>7.6113360323886645E-2</v>
      </c>
      <c r="AN1363" s="6" t="s">
        <v>13487</v>
      </c>
      <c r="AO1363" s="6" t="str">
        <f t="shared" si="659"/>
        <v>=123.5*100000000</v>
      </c>
      <c r="AP1363" s="1">
        <f>123.5*100000000</f>
        <v>12350000000</v>
      </c>
      <c r="AQ1363" s="8">
        <f t="shared" si="676"/>
        <v>0.24911499949428542</v>
      </c>
      <c r="AR1363" s="6" t="s">
        <v>13488</v>
      </c>
      <c r="AS1363" s="6" t="str">
        <f t="shared" si="660"/>
        <v>=98.87*100000000</v>
      </c>
      <c r="AT1363" s="1">
        <f>98.87*100000000</f>
        <v>9887000000</v>
      </c>
      <c r="AU1363" s="8">
        <f t="shared" si="677"/>
        <v>1.4454612911204552</v>
      </c>
      <c r="AV1363" s="6" t="s">
        <v>42</v>
      </c>
      <c r="AW1363" s="6" t="str">
        <f t="shared" si="661"/>
        <v>=40.43*100000000</v>
      </c>
      <c r="AX1363" s="1">
        <f>40.43*100000000</f>
        <v>4043000000</v>
      </c>
      <c r="AY1363" s="10">
        <f t="shared" si="678"/>
        <v>-0.61930320150659135</v>
      </c>
      <c r="AZ1363" s="6" t="s">
        <v>11106</v>
      </c>
      <c r="BA1363" s="6" t="str">
        <f t="shared" si="662"/>
        <v>=106.2*100000000</v>
      </c>
      <c r="BB1363" s="1">
        <f>106.2*100000000</f>
        <v>10620000000</v>
      </c>
      <c r="BC1363" s="8">
        <f t="shared" si="679"/>
        <v>3.1067961165048542E-2</v>
      </c>
      <c r="BD1363" s="6" t="s">
        <v>8559</v>
      </c>
      <c r="BE1363" s="6" t="str">
        <f t="shared" si="663"/>
        <v>=103.0*100000000</v>
      </c>
      <c r="BF1363" s="1">
        <f>103*100000000</f>
        <v>10300000000</v>
      </c>
      <c r="BG1363" s="8">
        <f t="shared" si="680"/>
        <v>0.32254750898818696</v>
      </c>
      <c r="BH1363" s="6" t="s">
        <v>13489</v>
      </c>
      <c r="BI1363" s="6" t="str">
        <f t="shared" si="664"/>
        <v>=77.88*100000000</v>
      </c>
      <c r="BJ1363" s="1">
        <f>77.88*100000000</f>
        <v>7788000000</v>
      </c>
      <c r="BK1363" s="6" t="s">
        <v>9566</v>
      </c>
      <c r="BL1363" s="1" t="str">
        <f t="shared" si="666"/>
        <v>=36.23*100000000</v>
      </c>
      <c r="BM1363" s="16">
        <f t="shared" si="681"/>
        <v>1.1495997791885182</v>
      </c>
      <c r="BN1363" s="1">
        <f>36.23*100000000</f>
        <v>3622999999.9999995</v>
      </c>
    </row>
    <row r="1364" spans="1:66">
      <c r="A1364" s="18"/>
      <c r="B1364">
        <v>601336</v>
      </c>
      <c r="C1364" t="s">
        <v>58</v>
      </c>
      <c r="D1364" s="6" t="s">
        <v>7886</v>
      </c>
      <c r="E1364" s="7" t="str">
        <f t="shared" si="665"/>
        <v>=156.7*100000000</v>
      </c>
      <c r="F1364" s="1">
        <f>156.7*100000000</f>
        <v>15669999999.999998</v>
      </c>
      <c r="G1364" s="8">
        <f t="shared" si="667"/>
        <v>0.19984686064318516</v>
      </c>
      <c r="H1364" s="6" t="s">
        <v>9710</v>
      </c>
      <c r="I1364" s="6" t="str">
        <f t="shared" si="651"/>
        <v>=130.6*100000000</v>
      </c>
      <c r="J1364" s="1">
        <f>130.6*100000000</f>
        <v>13060000000</v>
      </c>
      <c r="K1364" s="10">
        <f t="shared" si="668"/>
        <v>8.0231596360628613E-2</v>
      </c>
      <c r="L1364" s="6" t="s">
        <v>13484</v>
      </c>
      <c r="M1364" s="6" t="str">
        <f t="shared" si="652"/>
        <v>=120.9*100000000</v>
      </c>
      <c r="N1364" s="1">
        <f>120.9*100000000</f>
        <v>12090000000</v>
      </c>
      <c r="O1364" s="8">
        <f t="shared" si="669"/>
        <v>0.60259809119830332</v>
      </c>
      <c r="P1364" s="6" t="s">
        <v>13490</v>
      </c>
      <c r="Q1364" s="6" t="str">
        <f t="shared" si="653"/>
        <v>=75.44*100000000</v>
      </c>
      <c r="R1364" s="11">
        <f>75.44*100000000</f>
        <v>7544000000</v>
      </c>
      <c r="S1364" s="8">
        <f t="shared" si="670"/>
        <v>-0.51297611362169138</v>
      </c>
      <c r="T1364" s="6" t="s">
        <v>7889</v>
      </c>
      <c r="U1364" s="6" t="str">
        <f t="shared" si="654"/>
        <v>=154.9*100000000</v>
      </c>
      <c r="V1364" s="1">
        <f>154.9*100000000</f>
        <v>15490000000</v>
      </c>
      <c r="W1364" s="8">
        <f t="shared" si="671"/>
        <v>0.28654485049833889</v>
      </c>
      <c r="X1364" s="6" t="s">
        <v>509</v>
      </c>
      <c r="Y1364" s="6" t="str">
        <f t="shared" si="655"/>
        <v>=120.4*100000000</v>
      </c>
      <c r="Z1364" s="1">
        <f>120.4*100000000</f>
        <v>12040000000</v>
      </c>
      <c r="AA1364" s="8">
        <f t="shared" si="672"/>
        <v>0.3010590015128593</v>
      </c>
      <c r="AB1364" s="6" t="s">
        <v>3238</v>
      </c>
      <c r="AC1364" s="6" t="str">
        <f t="shared" si="656"/>
        <v>=92.54*100000000</v>
      </c>
      <c r="AD1364" s="1">
        <f>92.54*100000000</f>
        <v>9254000000</v>
      </c>
      <c r="AE1364" s="8">
        <f t="shared" si="673"/>
        <v>0.66169868917220331</v>
      </c>
      <c r="AF1364" s="6" t="s">
        <v>13491</v>
      </c>
      <c r="AG1364" s="6" t="str">
        <f t="shared" si="657"/>
        <v>=55.69*100000000</v>
      </c>
      <c r="AH1364" s="1">
        <f>55.69*100000000</f>
        <v>5569000000</v>
      </c>
      <c r="AI1364" s="8">
        <f t="shared" si="674"/>
        <v>-0.57874432677760967</v>
      </c>
      <c r="AJ1364" s="6" t="s">
        <v>5349</v>
      </c>
      <c r="AK1364" s="6" t="str">
        <f t="shared" si="658"/>
        <v>=132.2*100000000</v>
      </c>
      <c r="AL1364" s="1">
        <f>132.2*100000000</f>
        <v>13219999999.999998</v>
      </c>
      <c r="AM1364" s="8">
        <f t="shared" si="675"/>
        <v>7.3051948051947896E-2</v>
      </c>
      <c r="AN1364" s="6" t="s">
        <v>13492</v>
      </c>
      <c r="AO1364" s="6" t="str">
        <f t="shared" si="659"/>
        <v>=123.2*100000000</v>
      </c>
      <c r="AP1364" s="1">
        <f>123.2*100000000</f>
        <v>12320000000</v>
      </c>
      <c r="AQ1364" s="8">
        <f t="shared" si="676"/>
        <v>0.24545086938940558</v>
      </c>
      <c r="AR1364" s="6" t="s">
        <v>13493</v>
      </c>
      <c r="AS1364" s="6" t="str">
        <f t="shared" si="660"/>
        <v>=98.92*100000000</v>
      </c>
      <c r="AT1364" s="1">
        <f>98.92*100000000</f>
        <v>9892000000</v>
      </c>
      <c r="AU1364" s="8">
        <f t="shared" si="677"/>
        <v>1.4304668304668302</v>
      </c>
      <c r="AV1364" s="6" t="s">
        <v>816</v>
      </c>
      <c r="AW1364" s="6" t="str">
        <f t="shared" si="661"/>
        <v>=40.70*100000000</v>
      </c>
      <c r="AX1364" s="1">
        <f>40.7*100000000</f>
        <v>4070000000.0000005</v>
      </c>
      <c r="AY1364" s="10">
        <f t="shared" si="678"/>
        <v>-0.6127497621313035</v>
      </c>
      <c r="AZ1364" s="6" t="s">
        <v>11284</v>
      </c>
      <c r="BA1364" s="6" t="str">
        <f t="shared" si="662"/>
        <v>=105.1*100000000</v>
      </c>
      <c r="BB1364" s="1">
        <f>105.1*100000000</f>
        <v>10510000000</v>
      </c>
      <c r="BC1364" s="8">
        <f t="shared" si="679"/>
        <v>2.5365853658536587E-2</v>
      </c>
      <c r="BD1364" s="6" t="s">
        <v>13088</v>
      </c>
      <c r="BE1364" s="6" t="str">
        <f t="shared" si="663"/>
        <v>=102.5*100000000</v>
      </c>
      <c r="BF1364" s="1">
        <f>102.5*100000000</f>
        <v>10250000000</v>
      </c>
      <c r="BG1364" s="8">
        <f t="shared" si="680"/>
        <v>0.32292204439855449</v>
      </c>
      <c r="BH1364" s="6" t="s">
        <v>13494</v>
      </c>
      <c r="BI1364" s="6" t="str">
        <f t="shared" si="664"/>
        <v>=77.48*100000000</v>
      </c>
      <c r="BJ1364" s="1">
        <f>77.48*100000000</f>
        <v>7748000000</v>
      </c>
      <c r="BK1364" s="6" t="s">
        <v>13495</v>
      </c>
      <c r="BL1364" s="1" t="str">
        <f t="shared" si="666"/>
        <v>=36.04*100000000</v>
      </c>
      <c r="BM1364" s="16">
        <f t="shared" si="681"/>
        <v>1.1498335183129855</v>
      </c>
      <c r="BN1364" s="1">
        <f>36.04*100000000</f>
        <v>3604000000</v>
      </c>
    </row>
    <row r="1365" spans="1:66">
      <c r="A1365" s="19"/>
      <c r="B1365">
        <v>601336</v>
      </c>
      <c r="C1365" t="s">
        <v>68</v>
      </c>
      <c r="D1365" s="6" t="s">
        <v>13090</v>
      </c>
      <c r="E1365" s="7" t="str">
        <f t="shared" si="665"/>
        <v>=149.5*100000000</v>
      </c>
      <c r="F1365" s="1">
        <f>149.5*100000000</f>
        <v>14950000000</v>
      </c>
      <c r="G1365" s="8">
        <f t="shared" si="667"/>
        <v>0.25</v>
      </c>
      <c r="H1365" s="6" t="s">
        <v>13496</v>
      </c>
      <c r="I1365" s="6" t="str">
        <f t="shared" si="651"/>
        <v>=119.6*100000000</v>
      </c>
      <c r="J1365" s="1">
        <f>119.6*100000000</f>
        <v>11960000000</v>
      </c>
      <c r="K1365" s="10">
        <f t="shared" si="668"/>
        <v>0.13364928909952606</v>
      </c>
      <c r="L1365" s="6" t="s">
        <v>1171</v>
      </c>
      <c r="M1365" s="6" t="str">
        <f t="shared" si="652"/>
        <v>=105.5*100000000</v>
      </c>
      <c r="N1365" s="1">
        <f>105.5*100000000</f>
        <v>10550000000</v>
      </c>
      <c r="O1365" s="8">
        <f t="shared" si="669"/>
        <v>0.67300983190612118</v>
      </c>
      <c r="P1365" s="6" t="s">
        <v>13497</v>
      </c>
      <c r="Q1365" s="6" t="str">
        <f t="shared" si="653"/>
        <v>=63.06*100000000</v>
      </c>
      <c r="R1365" s="11">
        <f>63.06*100000000</f>
        <v>6306000000</v>
      </c>
      <c r="S1365" s="8">
        <f t="shared" si="670"/>
        <v>-0.55902097902097903</v>
      </c>
      <c r="T1365" s="6" t="s">
        <v>2774</v>
      </c>
      <c r="U1365" s="6" t="str">
        <f t="shared" si="654"/>
        <v>=143.0*100000000</v>
      </c>
      <c r="V1365" s="1">
        <f>143*100000000</f>
        <v>14300000000</v>
      </c>
      <c r="W1365" s="8">
        <f t="shared" si="671"/>
        <v>0.28712871287128711</v>
      </c>
      <c r="X1365" s="6" t="s">
        <v>9421</v>
      </c>
      <c r="Y1365" s="6" t="str">
        <f t="shared" si="655"/>
        <v>=111.1*100000000</v>
      </c>
      <c r="Z1365" s="1">
        <f>111.1*100000000</f>
        <v>11110000000</v>
      </c>
      <c r="AA1365" s="8">
        <f t="shared" si="672"/>
        <v>0.35174595449568075</v>
      </c>
      <c r="AB1365" s="6" t="s">
        <v>13498</v>
      </c>
      <c r="AC1365" s="6" t="str">
        <f t="shared" si="656"/>
        <v>=82.19*100000000</v>
      </c>
      <c r="AD1365" s="1">
        <f>82.19*100000000</f>
        <v>8219000000</v>
      </c>
      <c r="AE1365" s="8">
        <f t="shared" si="673"/>
        <v>0.77286453839516822</v>
      </c>
      <c r="AF1365" s="6" t="s">
        <v>13499</v>
      </c>
      <c r="AG1365" s="6" t="str">
        <f t="shared" si="657"/>
        <v>=46.36*100000000</v>
      </c>
      <c r="AH1365" s="1">
        <f>46.36*100000000</f>
        <v>4636000000</v>
      </c>
      <c r="AI1365" s="8">
        <f t="shared" si="674"/>
        <v>-0.68159340659340661</v>
      </c>
      <c r="AJ1365" s="6" t="s">
        <v>13500</v>
      </c>
      <c r="AK1365" s="6" t="str">
        <f t="shared" si="658"/>
        <v>=145.6*100000000</v>
      </c>
      <c r="AL1365" s="1">
        <f>145.6*100000000</f>
        <v>14560000000</v>
      </c>
      <c r="AM1365" s="8">
        <f t="shared" si="675"/>
        <v>0.12</v>
      </c>
      <c r="AN1365" s="6" t="s">
        <v>5384</v>
      </c>
      <c r="AO1365" s="6" t="str">
        <f t="shared" si="659"/>
        <v>=130.0*100000000</v>
      </c>
      <c r="AP1365" s="1">
        <f>130*100000000</f>
        <v>13000000000</v>
      </c>
      <c r="AQ1365" s="8">
        <f t="shared" si="676"/>
        <v>0.23222748815165878</v>
      </c>
      <c r="AR1365" s="6" t="s">
        <v>1171</v>
      </c>
      <c r="AS1365" s="6" t="str">
        <f t="shared" si="660"/>
        <v>=105.5*100000000</v>
      </c>
      <c r="AT1365" s="1">
        <f>105.5*100000000</f>
        <v>10550000000</v>
      </c>
      <c r="AU1365" s="8">
        <f t="shared" si="677"/>
        <v>2.1324228028503565</v>
      </c>
      <c r="AV1365" s="6" t="s">
        <v>4217</v>
      </c>
      <c r="AW1365" s="6" t="str">
        <f t="shared" si="661"/>
        <v>=33.68*100000000</v>
      </c>
      <c r="AX1365" s="1">
        <f>33.68*100000000</f>
        <v>3368000000</v>
      </c>
      <c r="AY1365" s="10">
        <f t="shared" si="678"/>
        <v>-0.57490849425722579</v>
      </c>
      <c r="AZ1365" s="6" t="s">
        <v>13501</v>
      </c>
      <c r="BA1365" s="6" t="str">
        <f t="shared" si="662"/>
        <v>=79.23*100000000</v>
      </c>
      <c r="BB1365" s="1">
        <f>79.23*100000000</f>
        <v>7923000000</v>
      </c>
      <c r="BC1365" s="8">
        <f t="shared" si="679"/>
        <v>2.8560301181357911E-2</v>
      </c>
      <c r="BD1365" s="6" t="s">
        <v>8067</v>
      </c>
      <c r="BE1365" s="6" t="str">
        <f t="shared" si="663"/>
        <v>=77.03*100000000</v>
      </c>
      <c r="BF1365" s="1">
        <f>77.03*100000000</f>
        <v>7703000000</v>
      </c>
      <c r="BG1365" s="8">
        <f t="shared" si="680"/>
        <v>0.32810344827586208</v>
      </c>
      <c r="BH1365" s="6" t="s">
        <v>13502</v>
      </c>
      <c r="BI1365" s="6" t="str">
        <f t="shared" si="664"/>
        <v>=58.00*100000000</v>
      </c>
      <c r="BJ1365" s="1">
        <f>58*100000000</f>
        <v>5800000000</v>
      </c>
      <c r="BK1365" s="6" t="s">
        <v>5173</v>
      </c>
      <c r="BL1365" s="1" t="str">
        <f t="shared" si="666"/>
        <v>=26.10*100000000</v>
      </c>
      <c r="BM1365" s="16">
        <f t="shared" si="681"/>
        <v>1.2222222222222223</v>
      </c>
      <c r="BN1365" s="1">
        <f>26.1*100000000</f>
        <v>2610000000</v>
      </c>
    </row>
    <row r="1366" spans="1:66">
      <c r="A1366" s="17">
        <v>343</v>
      </c>
      <c r="B1366">
        <v>601375</v>
      </c>
      <c r="C1366" t="s">
        <v>31</v>
      </c>
      <c r="D1366" s="6" t="s">
        <v>13503</v>
      </c>
      <c r="E1366" s="7" t="str">
        <f t="shared" si="665"/>
        <v>=44.21*100000000</v>
      </c>
      <c r="F1366" s="1">
        <f>44.21*100000000</f>
        <v>4421000000</v>
      </c>
      <c r="G1366" s="8">
        <f t="shared" si="667"/>
        <v>0.2725964306275187</v>
      </c>
      <c r="H1366" s="6" t="s">
        <v>12871</v>
      </c>
      <c r="I1366" s="6" t="str">
        <f t="shared" si="651"/>
        <v>=34.74*100000000</v>
      </c>
      <c r="J1366" s="1">
        <f>34.74*100000000</f>
        <v>3474000000</v>
      </c>
      <c r="K1366" s="10">
        <f t="shared" si="668"/>
        <v>0.48715753424657532</v>
      </c>
      <c r="L1366" s="6" t="s">
        <v>8578</v>
      </c>
      <c r="M1366" s="6" t="str">
        <f t="shared" si="652"/>
        <v>=23.36*100000000</v>
      </c>
      <c r="N1366" s="1">
        <f>23.36*100000000</f>
        <v>2336000000</v>
      </c>
      <c r="O1366" s="8">
        <f t="shared" si="669"/>
        <v>1.1710037174721191</v>
      </c>
      <c r="P1366" s="6" t="s">
        <v>649</v>
      </c>
      <c r="Q1366" s="6" t="str">
        <f t="shared" si="653"/>
        <v>=10.76*100000000</v>
      </c>
      <c r="R1366" s="11">
        <f>10.76*100000000</f>
        <v>1076000000</v>
      </c>
      <c r="S1366" s="8">
        <f t="shared" si="670"/>
        <v>-0.65323880116016753</v>
      </c>
      <c r="T1366" s="6" t="s">
        <v>12570</v>
      </c>
      <c r="U1366" s="6" t="str">
        <f t="shared" si="654"/>
        <v>=31.03*100000000</v>
      </c>
      <c r="V1366" s="1">
        <f>31.03*100000000</f>
        <v>3103000000</v>
      </c>
      <c r="W1366" s="8">
        <f t="shared" si="671"/>
        <v>0.40534420289855072</v>
      </c>
      <c r="X1366" s="6" t="s">
        <v>7243</v>
      </c>
      <c r="Y1366" s="6" t="str">
        <f t="shared" si="655"/>
        <v>=22.08*100000000</v>
      </c>
      <c r="Z1366" s="1">
        <f>22.08*100000000</f>
        <v>2208000000</v>
      </c>
      <c r="AA1366" s="8">
        <f t="shared" si="672"/>
        <v>0.76639999999999997</v>
      </c>
      <c r="AB1366" s="6" t="s">
        <v>7678</v>
      </c>
      <c r="AC1366" s="6" t="str">
        <f t="shared" si="656"/>
        <v>=12.50*100000000</v>
      </c>
      <c r="AD1366" s="1">
        <f>12.5*100000000</f>
        <v>1250000000</v>
      </c>
      <c r="AE1366" s="8">
        <f t="shared" si="673"/>
        <v>1.8623769177925349</v>
      </c>
      <c r="AF1366" s="6" t="s">
        <v>13504</v>
      </c>
      <c r="AG1366" s="6" t="str">
        <f t="shared" si="657"/>
        <v>=4.367*100000000</v>
      </c>
      <c r="AH1366" s="1">
        <f>4.367*100000000</f>
        <v>436700000</v>
      </c>
      <c r="AI1366" s="8">
        <f t="shared" si="674"/>
        <v>-0.81597134428992835</v>
      </c>
      <c r="AJ1366" s="6" t="s">
        <v>7080</v>
      </c>
      <c r="AK1366" s="6" t="str">
        <f t="shared" si="658"/>
        <v>=23.73*100000000</v>
      </c>
      <c r="AL1366" s="1">
        <f>23.73*100000000</f>
        <v>2373000000</v>
      </c>
      <c r="AM1366" s="8">
        <f t="shared" si="675"/>
        <v>0.19546599496221648</v>
      </c>
      <c r="AN1366" s="6" t="s">
        <v>13505</v>
      </c>
      <c r="AO1366" s="6" t="str">
        <f t="shared" si="659"/>
        <v>=19.85*100000000</v>
      </c>
      <c r="AP1366" s="1">
        <f>19.85*100000000</f>
        <v>1985000000.0000002</v>
      </c>
      <c r="AQ1366" s="8">
        <f t="shared" si="676"/>
        <v>0.54234654234654256</v>
      </c>
      <c r="AR1366" s="6" t="s">
        <v>13506</v>
      </c>
      <c r="AS1366" s="6" t="str">
        <f t="shared" si="660"/>
        <v>=12.87*100000000</v>
      </c>
      <c r="AT1366" s="1">
        <f>12.87*100000000</f>
        <v>1287000000</v>
      </c>
      <c r="AU1366" s="8">
        <f t="shared" si="677"/>
        <v>0.95533272561531446</v>
      </c>
      <c r="AV1366" s="6" t="s">
        <v>13507</v>
      </c>
      <c r="AW1366" s="6" t="str">
        <f t="shared" si="661"/>
        <v>=6.582*100000000</v>
      </c>
      <c r="AX1366" s="1">
        <f>6.582*100000000</f>
        <v>658200000</v>
      </c>
      <c r="AY1366" s="10">
        <f t="shared" si="678"/>
        <v>-0.60109090909090912</v>
      </c>
      <c r="AZ1366" s="6" t="s">
        <v>13508</v>
      </c>
      <c r="BA1366" s="6" t="str">
        <f t="shared" si="662"/>
        <v>=16.50*100000000</v>
      </c>
      <c r="BB1366" s="1">
        <f>16.5*100000000</f>
        <v>1650000000</v>
      </c>
      <c r="BC1366" s="8">
        <f t="shared" si="679"/>
        <v>0.29921259842519687</v>
      </c>
      <c r="BD1366" s="6" t="s">
        <v>1090</v>
      </c>
      <c r="BE1366" s="6" t="str">
        <f t="shared" si="663"/>
        <v>=12.70*100000000</v>
      </c>
      <c r="BF1366" s="1">
        <f>12.7*100000000</f>
        <v>1270000000</v>
      </c>
      <c r="BG1366" s="8">
        <f t="shared" si="680"/>
        <v>0.46786870087840982</v>
      </c>
      <c r="BH1366" s="6" t="s">
        <v>6462</v>
      </c>
      <c r="BI1366" s="6" t="str">
        <f t="shared" si="664"/>
        <v>=8.652*100000000</v>
      </c>
      <c r="BJ1366" s="1">
        <f>8.652*100000000</f>
        <v>865199999.99999988</v>
      </c>
      <c r="BK1366" s="6" t="s">
        <v>13509</v>
      </c>
      <c r="BL1366" s="1" t="str">
        <f t="shared" si="666"/>
        <v>=4.505*100000000</v>
      </c>
      <c r="BM1366" s="16">
        <f t="shared" si="681"/>
        <v>0.92053274139844588</v>
      </c>
      <c r="BN1366" s="1">
        <f>4.505*100000000</f>
        <v>450500000</v>
      </c>
    </row>
    <row r="1367" spans="1:66">
      <c r="A1367" s="18"/>
      <c r="B1367">
        <v>601375</v>
      </c>
      <c r="C1367" t="s">
        <v>48</v>
      </c>
      <c r="D1367" s="6" t="s">
        <v>4429</v>
      </c>
      <c r="E1367" s="7" t="str">
        <f t="shared" si="665"/>
        <v>=7.105*100000000</v>
      </c>
      <c r="F1367" s="1">
        <f>7.105*100000000</f>
        <v>710500000</v>
      </c>
      <c r="G1367" s="8">
        <f t="shared" si="667"/>
        <v>8.2584184062166693E-2</v>
      </c>
      <c r="H1367" s="6" t="s">
        <v>13510</v>
      </c>
      <c r="I1367" s="6" t="str">
        <f t="shared" si="651"/>
        <v>=6.563*100000000</v>
      </c>
      <c r="J1367" s="1">
        <f>6.563*100000000</f>
        <v>656300000</v>
      </c>
      <c r="K1367" s="10">
        <f t="shared" si="668"/>
        <v>1.1503931847968545</v>
      </c>
      <c r="L1367" s="6" t="s">
        <v>6970</v>
      </c>
      <c r="M1367" s="6" t="str">
        <f t="shared" si="652"/>
        <v>=3.052*100000000</v>
      </c>
      <c r="N1367" s="1">
        <f>3.052*100000000</f>
        <v>305200000</v>
      </c>
      <c r="O1367" s="8">
        <f t="shared" si="669"/>
        <v>0.97030342156229821</v>
      </c>
      <c r="P1367" s="6" t="s">
        <v>1448</v>
      </c>
      <c r="Q1367" s="6" t="str">
        <f t="shared" si="653"/>
        <v>=1.549*100000000</v>
      </c>
      <c r="R1367" s="11">
        <f>1.549*100000000</f>
        <v>154900000</v>
      </c>
      <c r="S1367" s="8">
        <f t="shared" si="670"/>
        <v>4.0994623655913977E-2</v>
      </c>
      <c r="T1367" s="6" t="s">
        <v>4851</v>
      </c>
      <c r="U1367" s="6" t="str">
        <f t="shared" si="654"/>
        <v>=1.488*100000000</v>
      </c>
      <c r="V1367" s="1">
        <f>1.488*100000000</f>
        <v>148800000</v>
      </c>
      <c r="W1367" s="8">
        <f t="shared" si="671"/>
        <v>-1.782178217821782E-2</v>
      </c>
      <c r="X1367" s="6" t="s">
        <v>4027</v>
      </c>
      <c r="Y1367" s="6" t="str">
        <f t="shared" si="655"/>
        <v>=1.515*100000000</v>
      </c>
      <c r="Z1367" s="1">
        <f>1.515*100000000</f>
        <v>151500000</v>
      </c>
      <c r="AA1367" s="8">
        <f t="shared" si="672"/>
        <v>1.3528498214008386</v>
      </c>
      <c r="AB1367" s="7" t="s">
        <v>13511</v>
      </c>
      <c r="AC1367" s="6" t="str">
        <f t="shared" si="656"/>
        <v>=6439*10000</v>
      </c>
      <c r="AD1367" s="1">
        <f>6439*10000</f>
        <v>64390000</v>
      </c>
      <c r="AE1367" s="8">
        <f t="shared" si="673"/>
        <v>-2.0049945372249103</v>
      </c>
      <c r="AF1367" s="7">
        <f>-6407*10000</f>
        <v>-64070000</v>
      </c>
      <c r="AG1367" s="6" t="str">
        <f t="shared" si="657"/>
        <v>=-64070000</v>
      </c>
      <c r="AH1367" s="1">
        <f>-64070000</f>
        <v>-64070000</v>
      </c>
      <c r="AI1367" s="8">
        <f t="shared" si="674"/>
        <v>-1.563500439753738</v>
      </c>
      <c r="AJ1367" s="6" t="s">
        <v>2916</v>
      </c>
      <c r="AK1367" s="6" t="str">
        <f t="shared" si="658"/>
        <v>=1.137*100000000</v>
      </c>
      <c r="AL1367" s="1">
        <f>1.137*100000000</f>
        <v>113700000</v>
      </c>
      <c r="AM1367" s="8">
        <f t="shared" si="675"/>
        <v>-0.72476397966594042</v>
      </c>
      <c r="AN1367" s="6" t="s">
        <v>2970</v>
      </c>
      <c r="AO1367" s="6" t="str">
        <f t="shared" si="659"/>
        <v>=4.131*100000000</v>
      </c>
      <c r="AP1367" s="1">
        <f>4.131*100000000</f>
        <v>413100000</v>
      </c>
      <c r="AQ1367" s="8">
        <f t="shared" si="676"/>
        <v>0.16992353440951571</v>
      </c>
      <c r="AR1367" s="6" t="s">
        <v>13512</v>
      </c>
      <c r="AS1367" s="6" t="str">
        <f t="shared" si="660"/>
        <v>=3.531*100000000</v>
      </c>
      <c r="AT1367" s="1">
        <f>3.531*100000000</f>
        <v>353100000</v>
      </c>
      <c r="AU1367" s="8">
        <f t="shared" si="677"/>
        <v>0.32395950506186744</v>
      </c>
      <c r="AV1367" s="6" t="s">
        <v>13513</v>
      </c>
      <c r="AW1367" s="6" t="str">
        <f t="shared" si="661"/>
        <v>=2.667*100000000</v>
      </c>
      <c r="AX1367" s="1">
        <f>2.667*100000000</f>
        <v>266699999.99999997</v>
      </c>
      <c r="AY1367" s="10">
        <f t="shared" si="678"/>
        <v>2.2987012987012982</v>
      </c>
      <c r="AZ1367" s="7" t="s">
        <v>5606</v>
      </c>
      <c r="BA1367" s="6" t="str">
        <f t="shared" si="662"/>
        <v>=8085*10000</v>
      </c>
      <c r="BB1367" s="1">
        <f>8085*10000</f>
        <v>80850000</v>
      </c>
      <c r="BC1367" s="8">
        <f t="shared" si="679"/>
        <v>-0.63048446069469843</v>
      </c>
      <c r="BD1367" s="6" t="s">
        <v>1270</v>
      </c>
      <c r="BE1367" s="6" t="str">
        <f t="shared" si="663"/>
        <v>=2.188*100000000</v>
      </c>
      <c r="BF1367" s="1">
        <f>2.188*100000000</f>
        <v>218800000.00000003</v>
      </c>
      <c r="BG1367" s="8">
        <f t="shared" si="680"/>
        <v>0.10840932117527877</v>
      </c>
      <c r="BH1367" s="6" t="s">
        <v>2889</v>
      </c>
      <c r="BI1367" s="6" t="str">
        <f t="shared" si="664"/>
        <v>=1.974*100000000</v>
      </c>
      <c r="BJ1367" s="1">
        <f>1.974*100000000</f>
        <v>197400000</v>
      </c>
      <c r="BK1367" s="6" t="s">
        <v>8304</v>
      </c>
      <c r="BL1367" s="1" t="str">
        <f t="shared" si="666"/>
        <v>=1.484*100000000</v>
      </c>
      <c r="BM1367" s="16">
        <f t="shared" si="681"/>
        <v>0.330188679245283</v>
      </c>
      <c r="BN1367" s="1">
        <f>1.484*100000000</f>
        <v>148400000</v>
      </c>
    </row>
    <row r="1368" spans="1:66">
      <c r="A1368" s="18"/>
      <c r="B1368">
        <v>601375</v>
      </c>
      <c r="C1368" t="s">
        <v>58</v>
      </c>
      <c r="D1368" s="6" t="s">
        <v>11537</v>
      </c>
      <c r="E1368" s="7" t="str">
        <f t="shared" si="665"/>
        <v>=7.182*100000000</v>
      </c>
      <c r="F1368" s="1">
        <f>7.182*100000000</f>
        <v>718200000</v>
      </c>
      <c r="G1368" s="8">
        <f t="shared" si="667"/>
        <v>0.10102713475394758</v>
      </c>
      <c r="H1368" s="6" t="s">
        <v>5816</v>
      </c>
      <c r="I1368" s="6" t="str">
        <f t="shared" si="651"/>
        <v>=6.523*100000000</v>
      </c>
      <c r="J1368" s="1">
        <f>6.523*100000000</f>
        <v>652300000</v>
      </c>
      <c r="K1368" s="10">
        <f t="shared" si="668"/>
        <v>1.1240638228590036</v>
      </c>
      <c r="L1368" s="6" t="s">
        <v>13514</v>
      </c>
      <c r="M1368" s="6" t="str">
        <f t="shared" si="652"/>
        <v>=3.071*100000000</v>
      </c>
      <c r="N1368" s="1">
        <f>3.071*100000000</f>
        <v>307100000</v>
      </c>
      <c r="O1368" s="8">
        <f t="shared" si="669"/>
        <v>0.96230031948881789</v>
      </c>
      <c r="P1368" s="6" t="s">
        <v>4893</v>
      </c>
      <c r="Q1368" s="6" t="str">
        <f t="shared" si="653"/>
        <v>=1.565*100000000</v>
      </c>
      <c r="R1368" s="11">
        <f>1.565*100000000</f>
        <v>156500000</v>
      </c>
      <c r="S1368" s="8">
        <f t="shared" si="670"/>
        <v>8.6805555555555552E-2</v>
      </c>
      <c r="T1368" s="6" t="s">
        <v>4750</v>
      </c>
      <c r="U1368" s="6" t="str">
        <f t="shared" si="654"/>
        <v>=1.440*100000000</v>
      </c>
      <c r="V1368" s="1">
        <f>1.44*100000000</f>
        <v>144000000</v>
      </c>
      <c r="W1368" s="8">
        <f t="shared" si="671"/>
        <v>-2.4390243902439025E-2</v>
      </c>
      <c r="X1368" s="6" t="s">
        <v>4451</v>
      </c>
      <c r="Y1368" s="6" t="str">
        <f t="shared" si="655"/>
        <v>=1.476*100000000</v>
      </c>
      <c r="Z1368" s="1">
        <f>1.476*100000000</f>
        <v>147600000</v>
      </c>
      <c r="AA1368" s="8">
        <f t="shared" si="672"/>
        <v>1.5265320095857584</v>
      </c>
      <c r="AB1368" s="7" t="s">
        <v>9051</v>
      </c>
      <c r="AC1368" s="6" t="str">
        <f t="shared" si="656"/>
        <v>=5842*10000</v>
      </c>
      <c r="AD1368" s="1">
        <f>5842*10000</f>
        <v>58420000</v>
      </c>
      <c r="AE1368" s="8">
        <f t="shared" si="673"/>
        <v>-1.8587387917095399</v>
      </c>
      <c r="AF1368" s="7">
        <f>-6803*10000</f>
        <v>-68030000</v>
      </c>
      <c r="AG1368" s="6" t="str">
        <f t="shared" si="657"/>
        <v>=-68030000</v>
      </c>
      <c r="AH1368" s="1">
        <f>-68030000</f>
        <v>-68030000</v>
      </c>
      <c r="AI1368" s="8">
        <f t="shared" si="674"/>
        <v>-1.5859603789836347</v>
      </c>
      <c r="AJ1368" s="6" t="s">
        <v>2109</v>
      </c>
      <c r="AK1368" s="6" t="str">
        <f t="shared" si="658"/>
        <v>=1.161*100000000</v>
      </c>
      <c r="AL1368" s="1">
        <f>1.161*100000000</f>
        <v>116100000</v>
      </c>
      <c r="AM1368" s="8">
        <f t="shared" si="675"/>
        <v>-0.72204931769212355</v>
      </c>
      <c r="AN1368" s="6" t="s">
        <v>13515</v>
      </c>
      <c r="AO1368" s="6" t="str">
        <f t="shared" si="659"/>
        <v>=4.177*100000000</v>
      </c>
      <c r="AP1368" s="1">
        <f>4.177*100000000</f>
        <v>417699999.99999994</v>
      </c>
      <c r="AQ1368" s="8">
        <f t="shared" si="676"/>
        <v>0.17927724449463564</v>
      </c>
      <c r="AR1368" s="6" t="s">
        <v>13516</v>
      </c>
      <c r="AS1368" s="6" t="str">
        <f t="shared" si="660"/>
        <v>=3.542*100000000</v>
      </c>
      <c r="AT1368" s="1">
        <f>3.542*100000000</f>
        <v>354200000</v>
      </c>
      <c r="AU1368" s="8">
        <f t="shared" si="677"/>
        <v>0.32460732984293195</v>
      </c>
      <c r="AV1368" s="6" t="s">
        <v>4034</v>
      </c>
      <c r="AW1368" s="6" t="str">
        <f t="shared" si="661"/>
        <v>=2.674*100000000</v>
      </c>
      <c r="AX1368" s="1">
        <f>2.674*100000000</f>
        <v>267400000</v>
      </c>
      <c r="AY1368" s="10">
        <f t="shared" si="678"/>
        <v>1.6449060336300694</v>
      </c>
      <c r="AZ1368" s="6" t="s">
        <v>2230</v>
      </c>
      <c r="BA1368" s="6" t="str">
        <f t="shared" si="662"/>
        <v>=1.011*100000000</v>
      </c>
      <c r="BB1368" s="1">
        <f>1.011*100000000</f>
        <v>101099999.99999999</v>
      </c>
      <c r="BC1368" s="8">
        <f t="shared" si="679"/>
        <v>-0.56290531776913111</v>
      </c>
      <c r="BD1368" s="6" t="s">
        <v>3900</v>
      </c>
      <c r="BE1368" s="6" t="str">
        <f t="shared" si="663"/>
        <v>=2.313*100000000</v>
      </c>
      <c r="BF1368" s="1">
        <f>2.313*100000000</f>
        <v>231300000.00000003</v>
      </c>
      <c r="BG1368" s="8">
        <f t="shared" si="680"/>
        <v>9.5170454545454683E-2</v>
      </c>
      <c r="BH1368" s="6" t="s">
        <v>8486</v>
      </c>
      <c r="BI1368" s="6" t="str">
        <f t="shared" si="664"/>
        <v>=2.112*100000000</v>
      </c>
      <c r="BJ1368" s="1">
        <f>2.112*100000000</f>
        <v>211200000</v>
      </c>
      <c r="BK1368" s="6" t="s">
        <v>2223</v>
      </c>
      <c r="BL1368" s="1" t="str">
        <f t="shared" si="666"/>
        <v>=1.586*100000000</v>
      </c>
      <c r="BM1368" s="16">
        <f t="shared" si="681"/>
        <v>0.3316519546027743</v>
      </c>
      <c r="BN1368" s="1">
        <f>1.586*100000000</f>
        <v>158600000</v>
      </c>
    </row>
    <row r="1369" spans="1:66">
      <c r="A1369" s="19"/>
      <c r="B1369">
        <v>601375</v>
      </c>
      <c r="C1369" t="s">
        <v>68</v>
      </c>
      <c r="D1369" s="6" t="s">
        <v>13517</v>
      </c>
      <c r="E1369" s="7" t="str">
        <f t="shared" si="665"/>
        <v>=5.510*100000000</v>
      </c>
      <c r="F1369" s="1">
        <f>5.51*100000000</f>
        <v>551000000</v>
      </c>
      <c r="G1369" s="8">
        <f t="shared" si="667"/>
        <v>9.3037095814322429E-2</v>
      </c>
      <c r="H1369" s="6" t="s">
        <v>13518</v>
      </c>
      <c r="I1369" s="6" t="str">
        <f t="shared" si="651"/>
        <v>=5.041*100000000</v>
      </c>
      <c r="J1369" s="1">
        <f>5.041*100000000</f>
        <v>504100000.00000006</v>
      </c>
      <c r="K1369" s="10">
        <f t="shared" si="668"/>
        <v>1.1691049913941487</v>
      </c>
      <c r="L1369" s="6" t="s">
        <v>133</v>
      </c>
      <c r="M1369" s="6" t="str">
        <f t="shared" si="652"/>
        <v>=2.324*100000000</v>
      </c>
      <c r="N1369" s="1">
        <f>2.324*100000000</f>
        <v>232399999.99999997</v>
      </c>
      <c r="O1369" s="8">
        <f t="shared" si="669"/>
        <v>0.8371541501976284</v>
      </c>
      <c r="P1369" s="6" t="s">
        <v>2052</v>
      </c>
      <c r="Q1369" s="6" t="str">
        <f t="shared" si="653"/>
        <v>=1.265*100000000</v>
      </c>
      <c r="R1369" s="11">
        <f>1.265*100000000</f>
        <v>126499999.99999999</v>
      </c>
      <c r="S1369" s="8">
        <f t="shared" si="670"/>
        <v>0.23898139079333991</v>
      </c>
      <c r="T1369" s="6" t="s">
        <v>4430</v>
      </c>
      <c r="U1369" s="6" t="str">
        <f t="shared" si="654"/>
        <v>=1.021*100000000</v>
      </c>
      <c r="V1369" s="1">
        <f>1.021*100000000</f>
        <v>102099999.99999999</v>
      </c>
      <c r="W1369" s="8">
        <f t="shared" si="671"/>
        <v>4.5785107036771334E-2</v>
      </c>
      <c r="X1369" s="7" t="s">
        <v>13519</v>
      </c>
      <c r="Y1369" s="6" t="str">
        <f t="shared" si="655"/>
        <v>=9763*10000</v>
      </c>
      <c r="Z1369" s="1">
        <f>9763*10000</f>
        <v>97630000</v>
      </c>
      <c r="AA1369" s="8">
        <f t="shared" si="672"/>
        <v>1.8987529691211402</v>
      </c>
      <c r="AB1369" s="7" t="s">
        <v>13520</v>
      </c>
      <c r="AC1369" s="6" t="str">
        <f t="shared" si="656"/>
        <v>=3368*10000</v>
      </c>
      <c r="AD1369" s="1">
        <f>3368*10000</f>
        <v>33680000</v>
      </c>
      <c r="AE1369" s="8">
        <f t="shared" si="673"/>
        <v>-1.5656701377225395</v>
      </c>
      <c r="AF1369" s="7">
        <f>-5954*10000</f>
        <v>-59540000</v>
      </c>
      <c r="AG1369" s="6" t="str">
        <f t="shared" si="657"/>
        <v>=-59540000</v>
      </c>
      <c r="AH1369" s="1">
        <f>-59540000</f>
        <v>-59540000</v>
      </c>
      <c r="AI1369" s="8">
        <f t="shared" si="674"/>
        <v>-1.793020777836974</v>
      </c>
      <c r="AJ1369" s="7" t="s">
        <v>2087</v>
      </c>
      <c r="AK1369" s="6" t="str">
        <f t="shared" si="658"/>
        <v>=7508*10000</v>
      </c>
      <c r="AL1369" s="1">
        <f>7508*10000</f>
        <v>75080000</v>
      </c>
      <c r="AM1369" s="8">
        <f t="shared" si="675"/>
        <v>-0.77067806963958463</v>
      </c>
      <c r="AN1369" s="6" t="s">
        <v>11697</v>
      </c>
      <c r="AO1369" s="6" t="str">
        <f t="shared" si="659"/>
        <v>=3.274*100000000</v>
      </c>
      <c r="AP1369" s="1">
        <f>3.274*100000000</f>
        <v>327400000</v>
      </c>
      <c r="AQ1369" s="8">
        <f t="shared" si="676"/>
        <v>0.16553933784264863</v>
      </c>
      <c r="AR1369" s="6" t="s">
        <v>13521</v>
      </c>
      <c r="AS1369" s="6" t="str">
        <f t="shared" si="660"/>
        <v>=2.809*100000000</v>
      </c>
      <c r="AT1369" s="1">
        <f>2.809*100000000</f>
        <v>280900000</v>
      </c>
      <c r="AU1369" s="8">
        <f t="shared" si="677"/>
        <v>0.34853576572251543</v>
      </c>
      <c r="AV1369" s="6" t="s">
        <v>8460</v>
      </c>
      <c r="AW1369" s="6" t="str">
        <f t="shared" si="661"/>
        <v>=2.083*100000000</v>
      </c>
      <c r="AX1369" s="1">
        <f>2.083*100000000</f>
        <v>208300000.00000003</v>
      </c>
      <c r="AY1369" s="10">
        <f t="shared" si="678"/>
        <v>1.1729605674942627</v>
      </c>
      <c r="AZ1369" s="7" t="s">
        <v>13522</v>
      </c>
      <c r="BA1369" s="6" t="str">
        <f t="shared" si="662"/>
        <v>=9586*10000</v>
      </c>
      <c r="BB1369" s="1">
        <f>9586*10000</f>
        <v>95860000</v>
      </c>
      <c r="BC1369" s="8">
        <f t="shared" si="679"/>
        <v>-0.46980088495575223</v>
      </c>
      <c r="BD1369" s="6" t="s">
        <v>13523</v>
      </c>
      <c r="BE1369" s="6" t="str">
        <f t="shared" si="663"/>
        <v>=1.808*100000000</v>
      </c>
      <c r="BF1369" s="1">
        <f>1.808*100000000</f>
        <v>180800000</v>
      </c>
      <c r="BG1369" s="8">
        <f t="shared" si="680"/>
        <v>0.14939605848696758</v>
      </c>
      <c r="BH1369" s="6" t="s">
        <v>11459</v>
      </c>
      <c r="BI1369" s="6" t="str">
        <f t="shared" si="664"/>
        <v>=1.573*100000000</v>
      </c>
      <c r="BJ1369" s="1">
        <f>1.573*100000000</f>
        <v>157300000</v>
      </c>
      <c r="BK1369" s="6" t="s">
        <v>2532</v>
      </c>
      <c r="BL1369" s="1" t="str">
        <f t="shared" si="666"/>
        <v>=1.203*100000000</v>
      </c>
      <c r="BM1369" s="16">
        <f t="shared" si="681"/>
        <v>0.30756442227763925</v>
      </c>
      <c r="BN1369" s="1">
        <f>1.203*100000000</f>
        <v>120300000</v>
      </c>
    </row>
    <row r="1370" spans="1:66">
      <c r="A1370" s="17">
        <v>344</v>
      </c>
      <c r="B1370">
        <v>601377</v>
      </c>
      <c r="C1370" t="s">
        <v>31</v>
      </c>
      <c r="D1370" s="6" t="s">
        <v>13524</v>
      </c>
      <c r="E1370" s="7" t="str">
        <f t="shared" si="665"/>
        <v>=189.7*100000000</v>
      </c>
      <c r="F1370" s="1">
        <f>189.7*100000000</f>
        <v>18970000000</v>
      </c>
      <c r="G1370" s="8">
        <f t="shared" si="667"/>
        <v>0.36671469740633988</v>
      </c>
      <c r="H1370" s="6" t="s">
        <v>634</v>
      </c>
      <c r="I1370" s="6" t="str">
        <f t="shared" si="651"/>
        <v>=138.8*100000000</v>
      </c>
      <c r="J1370" s="1">
        <f>138.8*100000000</f>
        <v>13880000000.000002</v>
      </c>
      <c r="K1370" s="10">
        <f t="shared" si="668"/>
        <v>0.36748768472906423</v>
      </c>
      <c r="L1370" s="6" t="s">
        <v>1916</v>
      </c>
      <c r="M1370" s="6" t="str">
        <f t="shared" si="652"/>
        <v>=101.5*100000000</v>
      </c>
      <c r="N1370" s="1">
        <f>101.5*100000000</f>
        <v>10150000000</v>
      </c>
      <c r="O1370" s="8">
        <f t="shared" si="669"/>
        <v>0.8437783832879201</v>
      </c>
      <c r="P1370" s="6" t="s">
        <v>13525</v>
      </c>
      <c r="Q1370" s="6" t="str">
        <f t="shared" si="653"/>
        <v>=55.05*100000000</v>
      </c>
      <c r="R1370" s="11">
        <f>55.05*100000000</f>
        <v>5505000000</v>
      </c>
      <c r="S1370" s="8">
        <f t="shared" si="670"/>
        <v>-0.68686006825938561</v>
      </c>
      <c r="T1370" s="6" t="s">
        <v>13526</v>
      </c>
      <c r="U1370" s="6" t="str">
        <f t="shared" si="654"/>
        <v>=175.8*100000000</v>
      </c>
      <c r="V1370" s="1">
        <f>175.8*100000000</f>
        <v>17580000000</v>
      </c>
      <c r="W1370" s="8">
        <f t="shared" si="671"/>
        <v>0.30222222222222223</v>
      </c>
      <c r="X1370" s="6" t="s">
        <v>13527</v>
      </c>
      <c r="Y1370" s="6" t="str">
        <f t="shared" si="655"/>
        <v>=135.0*100000000</v>
      </c>
      <c r="Z1370" s="1">
        <f>135*100000000</f>
        <v>13500000000</v>
      </c>
      <c r="AA1370" s="8">
        <f t="shared" si="672"/>
        <v>0.62846803377563309</v>
      </c>
      <c r="AB1370" s="6" t="s">
        <v>13528</v>
      </c>
      <c r="AC1370" s="6" t="str">
        <f t="shared" si="656"/>
        <v>=82.90*100000000</v>
      </c>
      <c r="AD1370" s="1">
        <f>82.9*100000000</f>
        <v>8290000000.000001</v>
      </c>
      <c r="AE1370" s="8">
        <f t="shared" si="673"/>
        <v>1.2963988919667593</v>
      </c>
      <c r="AF1370" s="6" t="s">
        <v>8592</v>
      </c>
      <c r="AG1370" s="6" t="str">
        <f t="shared" si="657"/>
        <v>=36.10*100000000</v>
      </c>
      <c r="AH1370" s="1">
        <f>36.1*100000000</f>
        <v>3610000000</v>
      </c>
      <c r="AI1370" s="8">
        <f t="shared" si="674"/>
        <v>-0.7466666666666667</v>
      </c>
      <c r="AJ1370" s="6" t="s">
        <v>13529</v>
      </c>
      <c r="AK1370" s="6" t="str">
        <f t="shared" si="658"/>
        <v>=142.5*100000000</v>
      </c>
      <c r="AL1370" s="1">
        <f>142.5*100000000</f>
        <v>14250000000</v>
      </c>
      <c r="AM1370" s="8">
        <f t="shared" si="675"/>
        <v>0.31822386679000925</v>
      </c>
      <c r="AN1370" s="6" t="s">
        <v>9032</v>
      </c>
      <c r="AO1370" s="6" t="str">
        <f t="shared" si="659"/>
        <v>=108.1*100000000</v>
      </c>
      <c r="AP1370" s="1">
        <f>108.1*100000000</f>
        <v>10810000000</v>
      </c>
      <c r="AQ1370" s="8">
        <f t="shared" si="676"/>
        <v>0.53529328220423233</v>
      </c>
      <c r="AR1370" s="6" t="s">
        <v>13530</v>
      </c>
      <c r="AS1370" s="6" t="str">
        <f t="shared" si="660"/>
        <v>=70.41*100000000</v>
      </c>
      <c r="AT1370" s="1">
        <f>70.41*100000000</f>
        <v>7041000000</v>
      </c>
      <c r="AU1370" s="8">
        <f t="shared" si="677"/>
        <v>0.83598435462842247</v>
      </c>
      <c r="AV1370" s="6" t="s">
        <v>697</v>
      </c>
      <c r="AW1370" s="6" t="str">
        <f t="shared" si="661"/>
        <v>=38.35*100000000</v>
      </c>
      <c r="AX1370" s="1">
        <f>38.35*100000000</f>
        <v>3835000000</v>
      </c>
      <c r="AY1370" s="10">
        <f t="shared" si="678"/>
        <v>-0.40990921680258491</v>
      </c>
      <c r="AZ1370" s="6" t="s">
        <v>10720</v>
      </c>
      <c r="BA1370" s="6" t="str">
        <f t="shared" si="662"/>
        <v>=64.99*100000000</v>
      </c>
      <c r="BB1370" s="1">
        <f>64.99*100000000</f>
        <v>6498999999.999999</v>
      </c>
      <c r="BC1370" s="8">
        <f t="shared" si="679"/>
        <v>0.4199257155341925</v>
      </c>
      <c r="BD1370" s="6" t="s">
        <v>13531</v>
      </c>
      <c r="BE1370" s="6" t="str">
        <f t="shared" si="663"/>
        <v>=45.77*100000000</v>
      </c>
      <c r="BF1370" s="1">
        <f>45.77*100000000</f>
        <v>4577000000</v>
      </c>
      <c r="BG1370" s="8">
        <f t="shared" si="680"/>
        <v>0.38319734058627963</v>
      </c>
      <c r="BH1370" s="6" t="s">
        <v>13532</v>
      </c>
      <c r="BI1370" s="6" t="str">
        <f t="shared" si="664"/>
        <v>=33.09*100000000</v>
      </c>
      <c r="BJ1370" s="1">
        <f>33.09*100000000</f>
        <v>3309000000.0000005</v>
      </c>
      <c r="BK1370" s="6" t="s">
        <v>3670</v>
      </c>
      <c r="BL1370" s="1" t="str">
        <f t="shared" si="666"/>
        <v>=16.43*100000000</v>
      </c>
      <c r="BM1370" s="16">
        <f t="shared" si="681"/>
        <v>1.0139987827145469</v>
      </c>
      <c r="BN1370" s="1">
        <f>16.43*100000000</f>
        <v>1643000000</v>
      </c>
    </row>
    <row r="1371" spans="1:66">
      <c r="A1371" s="18"/>
      <c r="B1371">
        <v>601377</v>
      </c>
      <c r="C1371" t="s">
        <v>48</v>
      </c>
      <c r="D1371" s="6" t="s">
        <v>13533</v>
      </c>
      <c r="E1371" s="7" t="str">
        <f t="shared" si="665"/>
        <v>=77.08*100000000</v>
      </c>
      <c r="F1371" s="1">
        <f>77.08*100000000</f>
        <v>7708000000</v>
      </c>
      <c r="G1371" s="8">
        <f t="shared" si="667"/>
        <v>0.32235374849888487</v>
      </c>
      <c r="H1371" s="6" t="s">
        <v>13534</v>
      </c>
      <c r="I1371" s="6" t="str">
        <f t="shared" si="651"/>
        <v>=58.29*100000000</v>
      </c>
      <c r="J1371" s="1">
        <f>58.29*100000000</f>
        <v>5829000000</v>
      </c>
      <c r="K1371" s="10">
        <f t="shared" si="668"/>
        <v>0.41962981003409644</v>
      </c>
      <c r="L1371" s="6" t="s">
        <v>13535</v>
      </c>
      <c r="M1371" s="6" t="str">
        <f t="shared" si="652"/>
        <v>=41.06*100000000</v>
      </c>
      <c r="N1371" s="1">
        <f>41.06*100000000</f>
        <v>4106000000</v>
      </c>
      <c r="O1371" s="8">
        <f t="shared" si="669"/>
        <v>0.99611084103062708</v>
      </c>
      <c r="P1371" s="6" t="s">
        <v>7348</v>
      </c>
      <c r="Q1371" s="6" t="str">
        <f t="shared" si="653"/>
        <v>=20.57*100000000</v>
      </c>
      <c r="R1371" s="11">
        <f>20.57*100000000</f>
        <v>2057000000</v>
      </c>
      <c r="S1371" s="8">
        <f t="shared" si="670"/>
        <v>-0.66822580645161289</v>
      </c>
      <c r="T1371" s="6" t="s">
        <v>12290</v>
      </c>
      <c r="U1371" s="6" t="str">
        <f t="shared" si="654"/>
        <v>=62.00*100000000</v>
      </c>
      <c r="V1371" s="1">
        <f>62*100000000</f>
        <v>6200000000</v>
      </c>
      <c r="W1371" s="8">
        <f t="shared" si="671"/>
        <v>0.32167981240673632</v>
      </c>
      <c r="X1371" s="6" t="s">
        <v>13536</v>
      </c>
      <c r="Y1371" s="6" t="str">
        <f t="shared" si="655"/>
        <v>=46.91*100000000</v>
      </c>
      <c r="Z1371" s="1">
        <f>46.91*100000000</f>
        <v>4691000000</v>
      </c>
      <c r="AA1371" s="8">
        <f t="shared" si="672"/>
        <v>0.95784641068447407</v>
      </c>
      <c r="AB1371" s="6" t="s">
        <v>34</v>
      </c>
      <c r="AC1371" s="6" t="str">
        <f t="shared" si="656"/>
        <v>=23.96*100000000</v>
      </c>
      <c r="AD1371" s="1">
        <f>23.96*100000000</f>
        <v>2396000000</v>
      </c>
      <c r="AE1371" s="8">
        <f t="shared" si="673"/>
        <v>4.5347655347655351</v>
      </c>
      <c r="AF1371" s="6" t="s">
        <v>13420</v>
      </c>
      <c r="AG1371" s="6" t="str">
        <f t="shared" si="657"/>
        <v>=4.329*100000000</v>
      </c>
      <c r="AH1371" s="1">
        <f>4.329*100000000</f>
        <v>432900000</v>
      </c>
      <c r="AI1371" s="8">
        <f t="shared" si="674"/>
        <v>-0.83731679819616689</v>
      </c>
      <c r="AJ1371" s="6" t="s">
        <v>2436</v>
      </c>
      <c r="AK1371" s="6" t="str">
        <f t="shared" si="658"/>
        <v>=26.61*100000000</v>
      </c>
      <c r="AL1371" s="1">
        <f>26.61*100000000</f>
        <v>2661000000</v>
      </c>
      <c r="AM1371" s="8">
        <f t="shared" si="675"/>
        <v>-2.4560117302052785E-2</v>
      </c>
      <c r="AN1371" s="6" t="s">
        <v>13537</v>
      </c>
      <c r="AO1371" s="6" t="str">
        <f t="shared" si="659"/>
        <v>=27.28*100000000</v>
      </c>
      <c r="AP1371" s="1">
        <f>27.28*100000000</f>
        <v>2728000000</v>
      </c>
      <c r="AQ1371" s="8">
        <f t="shared" si="676"/>
        <v>0.33203125</v>
      </c>
      <c r="AR1371" s="6" t="s">
        <v>9130</v>
      </c>
      <c r="AS1371" s="6" t="str">
        <f t="shared" si="660"/>
        <v>=20.48*100000000</v>
      </c>
      <c r="AT1371" s="1">
        <f>20.48*100000000</f>
        <v>2048000000</v>
      </c>
      <c r="AU1371" s="8">
        <f t="shared" si="677"/>
        <v>0.27047146401985112</v>
      </c>
      <c r="AV1371" s="6" t="s">
        <v>13538</v>
      </c>
      <c r="AW1371" s="6" t="str">
        <f t="shared" si="661"/>
        <v>=16.12*100000000</v>
      </c>
      <c r="AX1371" s="1">
        <f>16.12*100000000</f>
        <v>1612000000</v>
      </c>
      <c r="AY1371" s="10">
        <f t="shared" si="678"/>
        <v>1.4200570484912176</v>
      </c>
      <c r="AZ1371" s="6" t="s">
        <v>10240</v>
      </c>
      <c r="BA1371" s="6" t="str">
        <f t="shared" si="662"/>
        <v>=6.661*100000000</v>
      </c>
      <c r="BB1371" s="1">
        <f>6.661*100000000</f>
        <v>666100000</v>
      </c>
      <c r="BC1371" s="8">
        <f t="shared" si="679"/>
        <v>-0.52758865248226949</v>
      </c>
      <c r="BD1371" s="6" t="s">
        <v>6213</v>
      </c>
      <c r="BE1371" s="6" t="str">
        <f t="shared" si="663"/>
        <v>=14.10*100000000</v>
      </c>
      <c r="BF1371" s="1">
        <f>14.1*100000000</f>
        <v>1410000000</v>
      </c>
      <c r="BG1371" s="8">
        <f t="shared" si="680"/>
        <v>0.12440191387559808</v>
      </c>
      <c r="BH1371" s="6" t="s">
        <v>5024</v>
      </c>
      <c r="BI1371" s="6" t="str">
        <f t="shared" si="664"/>
        <v>=12.54*100000000</v>
      </c>
      <c r="BJ1371" s="1">
        <f>12.54*100000000</f>
        <v>1254000000</v>
      </c>
      <c r="BK1371" s="6" t="s">
        <v>914</v>
      </c>
      <c r="BL1371" s="1" t="str">
        <f t="shared" si="666"/>
        <v>=6.768*100000000</v>
      </c>
      <c r="BM1371" s="16">
        <f t="shared" si="681"/>
        <v>0.8528368794326241</v>
      </c>
      <c r="BN1371" s="1">
        <f>6.768*100000000</f>
        <v>676800000</v>
      </c>
    </row>
    <row r="1372" spans="1:66">
      <c r="A1372" s="18"/>
      <c r="B1372">
        <v>601377</v>
      </c>
      <c r="C1372" t="s">
        <v>58</v>
      </c>
      <c r="D1372" s="6" t="s">
        <v>13539</v>
      </c>
      <c r="E1372" s="7" t="str">
        <f t="shared" si="665"/>
        <v>=76.63*100000000</v>
      </c>
      <c r="F1372" s="1">
        <f>76.63*100000000</f>
        <v>7663000000</v>
      </c>
      <c r="G1372" s="8">
        <f t="shared" si="667"/>
        <v>0.31576236263736263</v>
      </c>
      <c r="H1372" s="6" t="s">
        <v>12797</v>
      </c>
      <c r="I1372" s="6" t="str">
        <f t="shared" si="651"/>
        <v>=58.24*100000000</v>
      </c>
      <c r="J1372" s="1">
        <f>58.24*100000000</f>
        <v>5824000000</v>
      </c>
      <c r="K1372" s="10">
        <f t="shared" si="668"/>
        <v>0.41875761266747885</v>
      </c>
      <c r="L1372" s="6" t="s">
        <v>9018</v>
      </c>
      <c r="M1372" s="6" t="str">
        <f t="shared" si="652"/>
        <v>=41.05*100000000</v>
      </c>
      <c r="N1372" s="1">
        <f>41.05*100000000</f>
        <v>4104999999.9999995</v>
      </c>
      <c r="O1372" s="8">
        <f t="shared" si="669"/>
        <v>0.99562469615945526</v>
      </c>
      <c r="P1372" s="6" t="s">
        <v>7348</v>
      </c>
      <c r="Q1372" s="6" t="str">
        <f t="shared" si="653"/>
        <v>=20.57*100000000</v>
      </c>
      <c r="R1372" s="11">
        <f>20.57*100000000</f>
        <v>2057000000</v>
      </c>
      <c r="S1372" s="8">
        <f t="shared" si="670"/>
        <v>-0.66585445094217022</v>
      </c>
      <c r="T1372" s="6" t="s">
        <v>13540</v>
      </c>
      <c r="U1372" s="6" t="str">
        <f t="shared" si="654"/>
        <v>=61.56*100000000</v>
      </c>
      <c r="V1372" s="1">
        <f>61.56*100000000</f>
        <v>6156000000</v>
      </c>
      <c r="W1372" s="8">
        <f t="shared" si="671"/>
        <v>0.31454196028187059</v>
      </c>
      <c r="X1372" s="6" t="s">
        <v>13541</v>
      </c>
      <c r="Y1372" s="6" t="str">
        <f t="shared" si="655"/>
        <v>=46.83*100000000</v>
      </c>
      <c r="Z1372" s="1">
        <f>46.83*100000000</f>
        <v>4683000000</v>
      </c>
      <c r="AA1372" s="8">
        <f t="shared" si="672"/>
        <v>0.95859473023839403</v>
      </c>
      <c r="AB1372" s="6" t="s">
        <v>9523</v>
      </c>
      <c r="AC1372" s="6" t="str">
        <f t="shared" si="656"/>
        <v>=23.91*100000000</v>
      </c>
      <c r="AD1372" s="1">
        <f>23.91*100000000</f>
        <v>2391000000</v>
      </c>
      <c r="AE1372" s="8">
        <f t="shared" si="673"/>
        <v>4.5695317959468902</v>
      </c>
      <c r="AF1372" s="6" t="s">
        <v>8624</v>
      </c>
      <c r="AG1372" s="6" t="str">
        <f t="shared" si="657"/>
        <v>=4.293*100000000</v>
      </c>
      <c r="AH1372" s="1">
        <f>4.293*100000000</f>
        <v>429300000</v>
      </c>
      <c r="AI1372" s="8">
        <f t="shared" si="674"/>
        <v>-0.8367680608365019</v>
      </c>
      <c r="AJ1372" s="6" t="s">
        <v>13542</v>
      </c>
      <c r="AK1372" s="6" t="str">
        <f t="shared" si="658"/>
        <v>=26.30*100000000</v>
      </c>
      <c r="AL1372" s="1">
        <f>26.3*100000000</f>
        <v>2630000000</v>
      </c>
      <c r="AM1372" s="8">
        <f t="shared" si="675"/>
        <v>-3.2376747608535691E-2</v>
      </c>
      <c r="AN1372" s="6" t="s">
        <v>13543</v>
      </c>
      <c r="AO1372" s="6" t="str">
        <f t="shared" si="659"/>
        <v>=27.18*100000000</v>
      </c>
      <c r="AP1372" s="1">
        <f>27.18*100000000</f>
        <v>2718000000</v>
      </c>
      <c r="AQ1372" s="8">
        <f t="shared" si="676"/>
        <v>0.3284457478005865</v>
      </c>
      <c r="AR1372" s="6" t="s">
        <v>4528</v>
      </c>
      <c r="AS1372" s="6" t="str">
        <f t="shared" si="660"/>
        <v>=20.46*100000000</v>
      </c>
      <c r="AT1372" s="1">
        <f>20.46*100000000</f>
        <v>2046000000</v>
      </c>
      <c r="AU1372" s="8">
        <f t="shared" si="677"/>
        <v>0.26923076923076922</v>
      </c>
      <c r="AV1372" s="6" t="s">
        <v>13538</v>
      </c>
      <c r="AW1372" s="6" t="str">
        <f t="shared" si="661"/>
        <v>=16.12*100000000</v>
      </c>
      <c r="AX1372" s="1">
        <f>16.12*100000000</f>
        <v>1612000000</v>
      </c>
      <c r="AY1372" s="10">
        <f t="shared" si="678"/>
        <v>1.467472830246441</v>
      </c>
      <c r="AZ1372" s="6" t="s">
        <v>13544</v>
      </c>
      <c r="BA1372" s="6" t="str">
        <f t="shared" si="662"/>
        <v>=6.533*100000000</v>
      </c>
      <c r="BB1372" s="1">
        <f>6.533*100000000</f>
        <v>653300000</v>
      </c>
      <c r="BC1372" s="8">
        <f t="shared" si="679"/>
        <v>-0.53369022127052101</v>
      </c>
      <c r="BD1372" s="6" t="s">
        <v>8678</v>
      </c>
      <c r="BE1372" s="6" t="str">
        <f t="shared" si="663"/>
        <v>=14.01*100000000</v>
      </c>
      <c r="BF1372" s="1">
        <f>14.01*100000000</f>
        <v>1401000000</v>
      </c>
      <c r="BG1372" s="8">
        <f t="shared" si="680"/>
        <v>0.12259615384615384</v>
      </c>
      <c r="BH1372" s="6" t="s">
        <v>6517</v>
      </c>
      <c r="BI1372" s="6" t="str">
        <f t="shared" si="664"/>
        <v>=12.48*100000000</v>
      </c>
      <c r="BJ1372" s="1">
        <f>12.48*100000000</f>
        <v>1248000000</v>
      </c>
      <c r="BK1372" s="6" t="s">
        <v>2135</v>
      </c>
      <c r="BL1372" s="1" t="str">
        <f t="shared" si="666"/>
        <v>=6.919*100000000</v>
      </c>
      <c r="BM1372" s="16">
        <f t="shared" si="681"/>
        <v>0.80372886255239195</v>
      </c>
      <c r="BN1372" s="1">
        <f>6.919*100000000</f>
        <v>691900000</v>
      </c>
    </row>
    <row r="1373" spans="1:66">
      <c r="A1373" s="19"/>
      <c r="B1373">
        <v>601377</v>
      </c>
      <c r="C1373" t="s">
        <v>68</v>
      </c>
      <c r="D1373" s="6" t="s">
        <v>4216</v>
      </c>
      <c r="E1373" s="7" t="str">
        <f t="shared" si="665"/>
        <v>=58.55*100000000</v>
      </c>
      <c r="F1373" s="1">
        <f>58.55*100000000</f>
        <v>5855000000</v>
      </c>
      <c r="G1373" s="8">
        <f t="shared" si="667"/>
        <v>0.31484392544352124</v>
      </c>
      <c r="H1373" s="6" t="s">
        <v>13545</v>
      </c>
      <c r="I1373" s="6" t="str">
        <f t="shared" si="651"/>
        <v>=44.53*100000000</v>
      </c>
      <c r="J1373" s="1">
        <f>44.53*100000000</f>
        <v>4453000000</v>
      </c>
      <c r="K1373" s="10">
        <f t="shared" si="668"/>
        <v>0.42041467304625202</v>
      </c>
      <c r="L1373" s="6" t="s">
        <v>13546</v>
      </c>
      <c r="M1373" s="6" t="str">
        <f t="shared" si="652"/>
        <v>=31.35*100000000</v>
      </c>
      <c r="N1373" s="1">
        <f>31.35*100000000</f>
        <v>3135000000</v>
      </c>
      <c r="O1373" s="8">
        <f t="shared" si="669"/>
        <v>1.0044757033248082</v>
      </c>
      <c r="P1373" s="6" t="s">
        <v>2424</v>
      </c>
      <c r="Q1373" s="6" t="str">
        <f t="shared" si="653"/>
        <v>=15.64*100000000</v>
      </c>
      <c r="R1373" s="11">
        <f>15.64*100000000</f>
        <v>1564000000</v>
      </c>
      <c r="S1373" s="8">
        <f t="shared" si="670"/>
        <v>-0.65881326352530545</v>
      </c>
      <c r="T1373" s="6" t="s">
        <v>13547</v>
      </c>
      <c r="U1373" s="6" t="str">
        <f t="shared" si="654"/>
        <v>=45.84*100000000</v>
      </c>
      <c r="V1373" s="1">
        <f>45.84*100000000</f>
        <v>4584000000</v>
      </c>
      <c r="W1373" s="8">
        <f t="shared" si="671"/>
        <v>0.29601357082273128</v>
      </c>
      <c r="X1373" s="6" t="s">
        <v>13548</v>
      </c>
      <c r="Y1373" s="6" t="str">
        <f t="shared" si="655"/>
        <v>=35.37*100000000</v>
      </c>
      <c r="Z1373" s="1">
        <f>35.37*100000000</f>
        <v>3536999999.9999995</v>
      </c>
      <c r="AA1373" s="8">
        <f t="shared" si="672"/>
        <v>0.97267150027886196</v>
      </c>
      <c r="AB1373" s="6" t="s">
        <v>9109</v>
      </c>
      <c r="AC1373" s="6" t="str">
        <f t="shared" si="656"/>
        <v>=17.93*100000000</v>
      </c>
      <c r="AD1373" s="1">
        <f>17.93*100000000</f>
        <v>1793000000</v>
      </c>
      <c r="AE1373" s="8">
        <f t="shared" si="673"/>
        <v>5.8123100303951372</v>
      </c>
      <c r="AF1373" s="6" t="s">
        <v>11594</v>
      </c>
      <c r="AG1373" s="6" t="str">
        <f t="shared" si="657"/>
        <v>=2.632*100000000</v>
      </c>
      <c r="AH1373" s="1">
        <f>2.632*100000000</f>
        <v>263200000</v>
      </c>
      <c r="AI1373" s="8">
        <f t="shared" si="674"/>
        <v>-0.8625587467362924</v>
      </c>
      <c r="AJ1373" s="6" t="s">
        <v>13549</v>
      </c>
      <c r="AK1373" s="6" t="str">
        <f t="shared" si="658"/>
        <v>=19.15*100000000</v>
      </c>
      <c r="AL1373" s="1">
        <f>19.15*100000000</f>
        <v>1914999999.9999998</v>
      </c>
      <c r="AM1373" s="8">
        <f t="shared" si="675"/>
        <v>-8.3732057416267949E-2</v>
      </c>
      <c r="AN1373" s="6" t="s">
        <v>896</v>
      </c>
      <c r="AO1373" s="6" t="str">
        <f t="shared" si="659"/>
        <v>=20.90*100000000</v>
      </c>
      <c r="AP1373" s="1">
        <f>20.9*100000000</f>
        <v>2089999999.9999998</v>
      </c>
      <c r="AQ1373" s="8">
        <f t="shared" si="676"/>
        <v>0.33717210492642341</v>
      </c>
      <c r="AR1373" s="6" t="s">
        <v>3144</v>
      </c>
      <c r="AS1373" s="6" t="str">
        <f t="shared" si="660"/>
        <v>=15.63*100000000</v>
      </c>
      <c r="AT1373" s="1">
        <f>15.63*100000000</f>
        <v>1563000000</v>
      </c>
      <c r="AU1373" s="8">
        <f t="shared" si="677"/>
        <v>0.36745406824146981</v>
      </c>
      <c r="AV1373" s="6" t="s">
        <v>5256</v>
      </c>
      <c r="AW1373" s="6" t="str">
        <f t="shared" si="661"/>
        <v>=11.43*100000000</v>
      </c>
      <c r="AX1373" s="1">
        <f>11.43*100000000</f>
        <v>1143000000</v>
      </c>
      <c r="AY1373" s="10">
        <f t="shared" si="678"/>
        <v>0.986444212721585</v>
      </c>
      <c r="AZ1373" s="6" t="s">
        <v>7657</v>
      </c>
      <c r="BA1373" s="6" t="str">
        <f t="shared" si="662"/>
        <v>=5.754*100000000</v>
      </c>
      <c r="BB1373" s="1">
        <f>5.754*100000000</f>
        <v>575400000</v>
      </c>
      <c r="BC1373" s="8">
        <f t="shared" si="679"/>
        <v>-0.47452054794520548</v>
      </c>
      <c r="BD1373" s="6" t="s">
        <v>2042</v>
      </c>
      <c r="BE1373" s="6" t="str">
        <f t="shared" si="663"/>
        <v>=10.95*100000000</v>
      </c>
      <c r="BF1373" s="1">
        <f>10.95*100000000</f>
        <v>1095000000</v>
      </c>
      <c r="BG1373" s="8">
        <f t="shared" si="680"/>
        <v>0.10617234064046886</v>
      </c>
      <c r="BH1373" s="6" t="s">
        <v>13550</v>
      </c>
      <c r="BI1373" s="6" t="str">
        <f t="shared" si="664"/>
        <v>=9.899*100000000</v>
      </c>
      <c r="BJ1373" s="1">
        <f>9.899*100000000</f>
        <v>989899999.99999988</v>
      </c>
      <c r="BK1373" s="6" t="s">
        <v>6380</v>
      </c>
      <c r="BL1373" s="1" t="str">
        <f t="shared" si="666"/>
        <v>=5.405*100000000</v>
      </c>
      <c r="BM1373" s="16">
        <f t="shared" si="681"/>
        <v>0.83145235892691927</v>
      </c>
      <c r="BN1373" s="1">
        <f>5.405*100000000</f>
        <v>540500000</v>
      </c>
    </row>
    <row r="1374" spans="1:66">
      <c r="A1374" s="17">
        <v>345</v>
      </c>
      <c r="B1374">
        <v>601390</v>
      </c>
      <c r="C1374" t="s">
        <v>31</v>
      </c>
      <c r="D1374" s="9" t="s">
        <v>13551</v>
      </c>
      <c r="E1374" s="7" t="str">
        <f t="shared" si="665"/>
        <v>=1.070*1000000000000</v>
      </c>
      <c r="F1374" s="1">
        <f>1.07*1000000000000</f>
        <v>1070000000000.0001</v>
      </c>
      <c r="G1374" s="8">
        <f t="shared" si="667"/>
        <v>0.39341060033858594</v>
      </c>
      <c r="H1374" s="6" t="s">
        <v>13552</v>
      </c>
      <c r="I1374" s="6" t="str">
        <f t="shared" si="651"/>
        <v>=7679*100000000</v>
      </c>
      <c r="J1374" s="1">
        <f>7679*100000000</f>
        <v>767900000000</v>
      </c>
      <c r="K1374" s="10">
        <f t="shared" si="668"/>
        <v>0.54631494160289973</v>
      </c>
      <c r="L1374" s="6" t="s">
        <v>13553</v>
      </c>
      <c r="M1374" s="6" t="str">
        <f t="shared" si="652"/>
        <v>=4966*100000000</v>
      </c>
      <c r="N1374" s="1">
        <f>4966*100000000</f>
        <v>496600000000</v>
      </c>
      <c r="O1374" s="8">
        <f t="shared" si="669"/>
        <v>1.1024555461473329</v>
      </c>
      <c r="P1374" s="6" t="s">
        <v>13554</v>
      </c>
      <c r="Q1374" s="6" t="str">
        <f t="shared" si="653"/>
        <v>=2362*100000000</v>
      </c>
      <c r="R1374" s="11">
        <f>2362*100000000</f>
        <v>236200000000</v>
      </c>
      <c r="S1374" s="8">
        <f t="shared" si="670"/>
        <v>-0.75684578958204651</v>
      </c>
      <c r="T1374" s="6" t="s">
        <v>13555</v>
      </c>
      <c r="U1374" s="6" t="str">
        <f t="shared" si="654"/>
        <v>=9714*100000000</v>
      </c>
      <c r="V1374" s="1">
        <f>9714*100000000</f>
        <v>971400000000</v>
      </c>
      <c r="W1374" s="8">
        <f t="shared" si="671"/>
        <v>0.41500364166059722</v>
      </c>
      <c r="X1374" s="6" t="s">
        <v>13556</v>
      </c>
      <c r="Y1374" s="6" t="str">
        <f t="shared" si="655"/>
        <v>=6865*100000000</v>
      </c>
      <c r="Z1374" s="1">
        <f>6865*100000000</f>
        <v>686500000000</v>
      </c>
      <c r="AA1374" s="8">
        <f t="shared" si="672"/>
        <v>0.65461557001687154</v>
      </c>
      <c r="AB1374" s="6" t="s">
        <v>13557</v>
      </c>
      <c r="AC1374" s="6" t="str">
        <f t="shared" si="656"/>
        <v>=4149*100000000</v>
      </c>
      <c r="AD1374" s="1">
        <f>4149*100000000</f>
        <v>414900000000</v>
      </c>
      <c r="AE1374" s="8">
        <f t="shared" si="673"/>
        <v>1.654510556621881</v>
      </c>
      <c r="AF1374" s="6" t="s">
        <v>13558</v>
      </c>
      <c r="AG1374" s="6" t="str">
        <f t="shared" si="657"/>
        <v>=1563*100000000</v>
      </c>
      <c r="AH1374" s="1">
        <f>1563*100000000</f>
        <v>156300000000</v>
      </c>
      <c r="AI1374" s="8">
        <f t="shared" si="674"/>
        <v>-0.81577086280056577</v>
      </c>
      <c r="AJ1374" s="6" t="s">
        <v>13559</v>
      </c>
      <c r="AK1374" s="6" t="str">
        <f t="shared" si="658"/>
        <v>=8484*100000000</v>
      </c>
      <c r="AL1374" s="1">
        <f>8484*100000000</f>
        <v>848400000000</v>
      </c>
      <c r="AM1374" s="8">
        <f t="shared" si="675"/>
        <v>0.48789898281304805</v>
      </c>
      <c r="AN1374" s="6" t="s">
        <v>13560</v>
      </c>
      <c r="AO1374" s="6" t="str">
        <f t="shared" si="659"/>
        <v>=5702*100000000</v>
      </c>
      <c r="AP1374" s="1">
        <f>5702*100000000</f>
        <v>570200000000</v>
      </c>
      <c r="AQ1374" s="8">
        <f t="shared" si="676"/>
        <v>0.58037694013303764</v>
      </c>
      <c r="AR1374" s="6" t="s">
        <v>13561</v>
      </c>
      <c r="AS1374" s="6" t="str">
        <f t="shared" si="660"/>
        <v>=3608*100000000</v>
      </c>
      <c r="AT1374" s="1">
        <f>3608*100000000</f>
        <v>360800000000</v>
      </c>
      <c r="AU1374" s="8">
        <f t="shared" si="677"/>
        <v>1.2592360676268002</v>
      </c>
      <c r="AV1374" s="6" t="s">
        <v>13562</v>
      </c>
      <c r="AW1374" s="6" t="str">
        <f t="shared" si="661"/>
        <v>=1597*100000000</v>
      </c>
      <c r="AX1374" s="1">
        <f>1597*100000000</f>
        <v>159700000000</v>
      </c>
      <c r="AY1374" s="10">
        <f t="shared" si="678"/>
        <v>-0.78351633455334146</v>
      </c>
      <c r="AZ1374" s="6" t="s">
        <v>13563</v>
      </c>
      <c r="BA1374" s="6" t="str">
        <f t="shared" si="662"/>
        <v>=7377*100000000</v>
      </c>
      <c r="BB1374" s="1">
        <f>7377*100000000</f>
        <v>737700000000</v>
      </c>
      <c r="BC1374" s="8">
        <f t="shared" si="679"/>
        <v>0.49513579246047834</v>
      </c>
      <c r="BD1374" s="6" t="s">
        <v>13564</v>
      </c>
      <c r="BE1374" s="6" t="str">
        <f t="shared" si="663"/>
        <v>=4934*100000000</v>
      </c>
      <c r="BF1374" s="1">
        <f>4934*100000000</f>
        <v>493400000000</v>
      </c>
      <c r="BG1374" s="8">
        <f t="shared" si="680"/>
        <v>0.56883942766295703</v>
      </c>
      <c r="BH1374" s="6" t="s">
        <v>13565</v>
      </c>
      <c r="BI1374" s="6" t="str">
        <f t="shared" si="664"/>
        <v>=3145*100000000</v>
      </c>
      <c r="BJ1374" s="1">
        <f>3145*100000000</f>
        <v>314500000000</v>
      </c>
      <c r="BK1374" s="6" t="s">
        <v>13566</v>
      </c>
      <c r="BL1374" s="1" t="str">
        <f t="shared" si="666"/>
        <v>=1476*100000000</v>
      </c>
      <c r="BM1374" s="16">
        <f t="shared" si="681"/>
        <v>1.1307588075880759</v>
      </c>
      <c r="BN1374" s="1">
        <f>1476*100000000</f>
        <v>147600000000</v>
      </c>
    </row>
    <row r="1375" spans="1:66">
      <c r="A1375" s="18"/>
      <c r="B1375">
        <v>601390</v>
      </c>
      <c r="C1375" t="s">
        <v>48</v>
      </c>
      <c r="D1375" s="6" t="s">
        <v>13567</v>
      </c>
      <c r="E1375" s="7" t="str">
        <f t="shared" si="665"/>
        <v>=387.8*100000000</v>
      </c>
      <c r="F1375" s="1">
        <f>387.8*100000000</f>
        <v>38780000000</v>
      </c>
      <c r="G1375" s="8">
        <f t="shared" si="667"/>
        <v>0.41223597960670044</v>
      </c>
      <c r="H1375" s="6" t="s">
        <v>13568</v>
      </c>
      <c r="I1375" s="6" t="str">
        <f t="shared" si="651"/>
        <v>=274.6*100000000</v>
      </c>
      <c r="J1375" s="1">
        <f>274.6*100000000</f>
        <v>27460000000.000004</v>
      </c>
      <c r="K1375" s="10">
        <f t="shared" si="668"/>
        <v>0.53837535014005622</v>
      </c>
      <c r="L1375" s="6" t="s">
        <v>2017</v>
      </c>
      <c r="M1375" s="6" t="str">
        <f t="shared" si="652"/>
        <v>=178.5*100000000</v>
      </c>
      <c r="N1375" s="1">
        <f>178.5*100000000</f>
        <v>17850000000</v>
      </c>
      <c r="O1375" s="8">
        <f t="shared" si="669"/>
        <v>1.0219755323969189</v>
      </c>
      <c r="P1375" s="6" t="s">
        <v>13569</v>
      </c>
      <c r="Q1375" s="6" t="str">
        <f t="shared" si="653"/>
        <v>=88.28*100000000</v>
      </c>
      <c r="R1375" s="11">
        <f>88.28*100000000</f>
        <v>8828000000</v>
      </c>
      <c r="S1375" s="8">
        <f t="shared" si="670"/>
        <v>-0.73710541989279332</v>
      </c>
      <c r="T1375" s="6" t="s">
        <v>13570</v>
      </c>
      <c r="U1375" s="6" t="str">
        <f t="shared" si="654"/>
        <v>=335.8*100000000</v>
      </c>
      <c r="V1375" s="1">
        <f>335.8*100000000</f>
        <v>33580000000</v>
      </c>
      <c r="W1375" s="8">
        <f t="shared" si="671"/>
        <v>0.40208768267223383</v>
      </c>
      <c r="X1375" s="6" t="s">
        <v>13571</v>
      </c>
      <c r="Y1375" s="6" t="str">
        <f t="shared" si="655"/>
        <v>=239.5*100000000</v>
      </c>
      <c r="Z1375" s="1">
        <f>239.5*100000000</f>
        <v>23950000000</v>
      </c>
      <c r="AA1375" s="8">
        <f t="shared" si="672"/>
        <v>0.56843483955468255</v>
      </c>
      <c r="AB1375" s="6" t="s">
        <v>13572</v>
      </c>
      <c r="AC1375" s="6" t="str">
        <f t="shared" si="656"/>
        <v>=152.7*100000000</v>
      </c>
      <c r="AD1375" s="1">
        <f>152.7*100000000</f>
        <v>15269999999.999998</v>
      </c>
      <c r="AE1375" s="8">
        <f t="shared" si="673"/>
        <v>2.1055521659548502</v>
      </c>
      <c r="AF1375" s="6" t="s">
        <v>13573</v>
      </c>
      <c r="AG1375" s="6" t="str">
        <f t="shared" si="657"/>
        <v>=49.17*100000000</v>
      </c>
      <c r="AH1375" s="1">
        <f>49.17*100000000</f>
        <v>4917000000</v>
      </c>
      <c r="AI1375" s="8">
        <f t="shared" si="674"/>
        <v>-0.84576537013801756</v>
      </c>
      <c r="AJ1375" s="6" t="s">
        <v>13574</v>
      </c>
      <c r="AK1375" s="6" t="str">
        <f t="shared" si="658"/>
        <v>=318.8*100000000</v>
      </c>
      <c r="AL1375" s="1">
        <f>318.8*100000000</f>
        <v>31880000000</v>
      </c>
      <c r="AM1375" s="8">
        <f t="shared" si="675"/>
        <v>0.52975047984644918</v>
      </c>
      <c r="AN1375" s="6" t="s">
        <v>13575</v>
      </c>
      <c r="AO1375" s="6" t="str">
        <f t="shared" si="659"/>
        <v>=208.4*100000000</v>
      </c>
      <c r="AP1375" s="1">
        <f>208.4*100000000</f>
        <v>20840000000</v>
      </c>
      <c r="AQ1375" s="8">
        <f t="shared" si="676"/>
        <v>0.49070100143061496</v>
      </c>
      <c r="AR1375" s="6" t="s">
        <v>13576</v>
      </c>
      <c r="AS1375" s="6" t="str">
        <f t="shared" si="660"/>
        <v>=139.8*100000000</v>
      </c>
      <c r="AT1375" s="1">
        <f>139.8*100000000</f>
        <v>13980000000.000002</v>
      </c>
      <c r="AU1375" s="8">
        <f t="shared" si="677"/>
        <v>1.5841035120147877</v>
      </c>
      <c r="AV1375" s="6" t="s">
        <v>11977</v>
      </c>
      <c r="AW1375" s="6" t="str">
        <f t="shared" si="661"/>
        <v>=54.10*100000000</v>
      </c>
      <c r="AX1375" s="1">
        <f>54.1*100000000</f>
        <v>5410000000</v>
      </c>
      <c r="AY1375" s="10">
        <f t="shared" si="678"/>
        <v>-0.76167400881057268</v>
      </c>
      <c r="AZ1375" s="6" t="s">
        <v>13577</v>
      </c>
      <c r="BA1375" s="6" t="str">
        <f t="shared" si="662"/>
        <v>=227.0*100000000</v>
      </c>
      <c r="BB1375" s="1">
        <f>227*100000000</f>
        <v>22700000000</v>
      </c>
      <c r="BC1375" s="8">
        <f t="shared" si="679"/>
        <v>0.29418472063854045</v>
      </c>
      <c r="BD1375" s="6" t="s">
        <v>13578</v>
      </c>
      <c r="BE1375" s="6" t="str">
        <f t="shared" si="663"/>
        <v>=175.4*100000000</v>
      </c>
      <c r="BF1375" s="1">
        <f>175.4*100000000</f>
        <v>17540000000</v>
      </c>
      <c r="BG1375" s="8">
        <f t="shared" si="680"/>
        <v>0.40657578187650362</v>
      </c>
      <c r="BH1375" s="6" t="s">
        <v>548</v>
      </c>
      <c r="BI1375" s="6" t="str">
        <f t="shared" si="664"/>
        <v>=124.7*100000000</v>
      </c>
      <c r="BJ1375" s="1">
        <f>124.7*100000000</f>
        <v>12470000000</v>
      </c>
      <c r="BK1375" s="6" t="s">
        <v>8068</v>
      </c>
      <c r="BL1375" s="1" t="str">
        <f t="shared" si="666"/>
        <v>=45.48*100000000</v>
      </c>
      <c r="BM1375" s="16">
        <f t="shared" si="681"/>
        <v>1.7418645558487247</v>
      </c>
      <c r="BN1375" s="1">
        <f>45.48*100000000</f>
        <v>4548000000</v>
      </c>
    </row>
    <row r="1376" spans="1:66">
      <c r="A1376" s="18"/>
      <c r="B1376">
        <v>601390</v>
      </c>
      <c r="C1376" t="s">
        <v>58</v>
      </c>
      <c r="D1376" s="6" t="s">
        <v>13579</v>
      </c>
      <c r="E1376" s="7" t="str">
        <f t="shared" si="665"/>
        <v>=375.9*100000000</v>
      </c>
      <c r="F1376" s="1">
        <f>375.9*100000000</f>
        <v>37590000000</v>
      </c>
      <c r="G1376" s="8">
        <f t="shared" si="667"/>
        <v>0.38504053058216675</v>
      </c>
      <c r="H1376" s="6" t="s">
        <v>13580</v>
      </c>
      <c r="I1376" s="6" t="str">
        <f t="shared" si="651"/>
        <v>=271.4*100000000</v>
      </c>
      <c r="J1376" s="1">
        <f>271.4*100000000</f>
        <v>27139999999.999996</v>
      </c>
      <c r="K1376" s="10">
        <f t="shared" si="668"/>
        <v>0.53160270880361149</v>
      </c>
      <c r="L1376" s="6" t="s">
        <v>1633</v>
      </c>
      <c r="M1376" s="6" t="str">
        <f t="shared" si="652"/>
        <v>=177.2*100000000</v>
      </c>
      <c r="N1376" s="1">
        <f>177.2*100000000</f>
        <v>17720000000</v>
      </c>
      <c r="O1376" s="8">
        <f t="shared" si="669"/>
        <v>1.0281561176605243</v>
      </c>
      <c r="P1376" s="6" t="s">
        <v>13581</v>
      </c>
      <c r="Q1376" s="6" t="str">
        <f t="shared" si="653"/>
        <v>=87.37*100000000</v>
      </c>
      <c r="R1376" s="11">
        <f>87.37*100000000</f>
        <v>8737000000</v>
      </c>
      <c r="S1376" s="8">
        <f t="shared" si="670"/>
        <v>-0.73825644098262433</v>
      </c>
      <c r="T1376" s="6" t="s">
        <v>13582</v>
      </c>
      <c r="U1376" s="6" t="str">
        <f t="shared" si="654"/>
        <v>=333.8*100000000</v>
      </c>
      <c r="V1376" s="1">
        <f>333.8*100000000</f>
        <v>33380000000</v>
      </c>
      <c r="W1376" s="8">
        <f t="shared" si="671"/>
        <v>0.39199332777314427</v>
      </c>
      <c r="X1376" s="6" t="s">
        <v>13583</v>
      </c>
      <c r="Y1376" s="6" t="str">
        <f t="shared" si="655"/>
        <v>=239.8*100000000</v>
      </c>
      <c r="Z1376" s="1">
        <f>239.8*100000000</f>
        <v>23980000000</v>
      </c>
      <c r="AA1376" s="8">
        <f t="shared" si="672"/>
        <v>0.57452396585686127</v>
      </c>
      <c r="AB1376" s="6" t="s">
        <v>200</v>
      </c>
      <c r="AC1376" s="6" t="str">
        <f t="shared" si="656"/>
        <v>=152.3*100000000</v>
      </c>
      <c r="AD1376" s="1">
        <f>152.3*100000000</f>
        <v>15230000000.000002</v>
      </c>
      <c r="AE1376" s="8">
        <f t="shared" si="673"/>
        <v>2.1107026143790852</v>
      </c>
      <c r="AF1376" s="6" t="s">
        <v>13584</v>
      </c>
      <c r="AG1376" s="6" t="str">
        <f t="shared" si="657"/>
        <v>=48.96*100000000</v>
      </c>
      <c r="AH1376" s="1">
        <f>48.96*100000000</f>
        <v>4896000000</v>
      </c>
      <c r="AI1376" s="8">
        <f t="shared" si="674"/>
        <v>-0.84372805617618896</v>
      </c>
      <c r="AJ1376" s="6" t="s">
        <v>13585</v>
      </c>
      <c r="AK1376" s="6" t="str">
        <f t="shared" si="658"/>
        <v>=313.3*100000000</v>
      </c>
      <c r="AL1376" s="1">
        <f>313.3*100000000</f>
        <v>31330000000</v>
      </c>
      <c r="AM1376" s="8">
        <f t="shared" si="675"/>
        <v>0.49546539379474941</v>
      </c>
      <c r="AN1376" s="6" t="s">
        <v>13586</v>
      </c>
      <c r="AO1376" s="6" t="str">
        <f t="shared" si="659"/>
        <v>=209.5*100000000</v>
      </c>
      <c r="AP1376" s="1">
        <f>209.5*100000000</f>
        <v>20950000000</v>
      </c>
      <c r="AQ1376" s="8">
        <f t="shared" si="676"/>
        <v>0.4953604568165596</v>
      </c>
      <c r="AR1376" s="6" t="s">
        <v>11628</v>
      </c>
      <c r="AS1376" s="6" t="str">
        <f t="shared" si="660"/>
        <v>=140.1*100000000</v>
      </c>
      <c r="AT1376" s="1">
        <f>140.1*100000000</f>
        <v>14010000000</v>
      </c>
      <c r="AU1376" s="8">
        <f t="shared" si="677"/>
        <v>1.5706422018348625</v>
      </c>
      <c r="AV1376" s="6" t="s">
        <v>13587</v>
      </c>
      <c r="AW1376" s="6" t="str">
        <f t="shared" si="661"/>
        <v>=54.50*100000000</v>
      </c>
      <c r="AX1376" s="1">
        <f>54.5*100000000</f>
        <v>5450000000</v>
      </c>
      <c r="AY1376" s="10">
        <f t="shared" si="678"/>
        <v>-0.76001761338617346</v>
      </c>
      <c r="AZ1376" s="6" t="s">
        <v>1006</v>
      </c>
      <c r="BA1376" s="6" t="str">
        <f t="shared" si="662"/>
        <v>=227.1*100000000</v>
      </c>
      <c r="BB1376" s="1">
        <f>227.1*100000000</f>
        <v>22710000000</v>
      </c>
      <c r="BC1376" s="8">
        <f t="shared" si="679"/>
        <v>0.30068728522336768</v>
      </c>
      <c r="BD1376" s="6" t="s">
        <v>13588</v>
      </c>
      <c r="BE1376" s="6" t="str">
        <f t="shared" si="663"/>
        <v>=174.6*100000000</v>
      </c>
      <c r="BF1376" s="1">
        <f>174.6*100000000</f>
        <v>17460000000</v>
      </c>
      <c r="BG1376" s="8">
        <f t="shared" si="680"/>
        <v>0.40579710144927539</v>
      </c>
      <c r="BH1376" s="6" t="s">
        <v>12833</v>
      </c>
      <c r="BI1376" s="6" t="str">
        <f t="shared" si="664"/>
        <v>=124.2*100000000</v>
      </c>
      <c r="BJ1376" s="1">
        <f>124.2*100000000</f>
        <v>12420000000</v>
      </c>
      <c r="BK1376" s="6" t="s">
        <v>13589</v>
      </c>
      <c r="BL1376" s="1" t="str">
        <f t="shared" si="666"/>
        <v>=46.09*100000000</v>
      </c>
      <c r="BM1376" s="16">
        <f t="shared" si="681"/>
        <v>1.6947277066608808</v>
      </c>
      <c r="BN1376" s="1">
        <f>46.09*100000000</f>
        <v>4609000000</v>
      </c>
    </row>
    <row r="1377" spans="1:66">
      <c r="A1377" s="19"/>
      <c r="B1377">
        <v>601390</v>
      </c>
      <c r="C1377" t="s">
        <v>68</v>
      </c>
      <c r="D1377" s="6" t="s">
        <v>5222</v>
      </c>
      <c r="E1377" s="7" t="str">
        <f t="shared" si="665"/>
        <v>=304.7*100000000</v>
      </c>
      <c r="F1377" s="1">
        <f>304.7*100000000</f>
        <v>30470000000</v>
      </c>
      <c r="G1377" s="8">
        <f t="shared" si="667"/>
        <v>0.36759425493716336</v>
      </c>
      <c r="H1377" s="6" t="s">
        <v>13590</v>
      </c>
      <c r="I1377" s="6" t="str">
        <f t="shared" si="651"/>
        <v>=222.8*100000000</v>
      </c>
      <c r="J1377" s="1">
        <f>222.8*100000000</f>
        <v>22280000000</v>
      </c>
      <c r="K1377" s="10">
        <f t="shared" si="668"/>
        <v>0.55261324041811843</v>
      </c>
      <c r="L1377" s="6" t="s">
        <v>13591</v>
      </c>
      <c r="M1377" s="6" t="str">
        <f t="shared" si="652"/>
        <v>=143.5*100000000</v>
      </c>
      <c r="N1377" s="1">
        <f>143.5*100000000</f>
        <v>14350000000</v>
      </c>
      <c r="O1377" s="8">
        <f t="shared" si="669"/>
        <v>1.0438683948155536</v>
      </c>
      <c r="P1377" s="6" t="s">
        <v>10628</v>
      </c>
      <c r="Q1377" s="6" t="str">
        <f t="shared" si="653"/>
        <v>=70.21*100000000</v>
      </c>
      <c r="R1377" s="11">
        <f>70.21*100000000</f>
        <v>7020999999.999999</v>
      </c>
      <c r="S1377" s="8">
        <f t="shared" si="670"/>
        <v>-0.74234862385321099</v>
      </c>
      <c r="T1377" s="6" t="s">
        <v>13592</v>
      </c>
      <c r="U1377" s="6" t="str">
        <f t="shared" si="654"/>
        <v>=272.5*100000000</v>
      </c>
      <c r="V1377" s="1">
        <f>272.5*100000000</f>
        <v>27250000000</v>
      </c>
      <c r="W1377" s="8">
        <f t="shared" si="671"/>
        <v>0.40463917525773196</v>
      </c>
      <c r="X1377" s="6" t="s">
        <v>13593</v>
      </c>
      <c r="Y1377" s="6" t="str">
        <f t="shared" si="655"/>
        <v>=194.0*100000000</v>
      </c>
      <c r="Z1377" s="1">
        <f>194*100000000</f>
        <v>19400000000</v>
      </c>
      <c r="AA1377" s="8">
        <f t="shared" si="672"/>
        <v>0.56451612903225812</v>
      </c>
      <c r="AB1377" s="6" t="s">
        <v>13594</v>
      </c>
      <c r="AC1377" s="6" t="str">
        <f t="shared" si="656"/>
        <v>=124.0*100000000</v>
      </c>
      <c r="AD1377" s="1">
        <f>124*100000000</f>
        <v>12400000000</v>
      </c>
      <c r="AE1377" s="8">
        <f t="shared" si="673"/>
        <v>2.2224532224532227</v>
      </c>
      <c r="AF1377" s="6" t="s">
        <v>637</v>
      </c>
      <c r="AG1377" s="6" t="str">
        <f t="shared" si="657"/>
        <v>=38.48*100000000</v>
      </c>
      <c r="AH1377" s="1">
        <f>38.48*100000000</f>
        <v>3847999999.9999995</v>
      </c>
      <c r="AI1377" s="8">
        <f t="shared" si="674"/>
        <v>-0.84838455476753349</v>
      </c>
      <c r="AJ1377" s="6" t="s">
        <v>13595</v>
      </c>
      <c r="AK1377" s="6" t="str">
        <f t="shared" si="658"/>
        <v>=253.8*100000000</v>
      </c>
      <c r="AL1377" s="1">
        <f>253.8*100000000</f>
        <v>25380000000</v>
      </c>
      <c r="AM1377" s="8">
        <f t="shared" si="675"/>
        <v>0.51794258373205759</v>
      </c>
      <c r="AN1377" s="6" t="s">
        <v>13596</v>
      </c>
      <c r="AO1377" s="6" t="str">
        <f t="shared" si="659"/>
        <v>=167.2*100000000</v>
      </c>
      <c r="AP1377" s="1">
        <f>167.2*100000000</f>
        <v>16719999999.999998</v>
      </c>
      <c r="AQ1377" s="8">
        <f t="shared" si="676"/>
        <v>0.48490230905861442</v>
      </c>
      <c r="AR1377" s="6" t="s">
        <v>1181</v>
      </c>
      <c r="AS1377" s="6" t="str">
        <f t="shared" si="660"/>
        <v>=112.6*100000000</v>
      </c>
      <c r="AT1377" s="1">
        <f>112.6*100000000</f>
        <v>11260000000</v>
      </c>
      <c r="AU1377" s="8">
        <f t="shared" si="677"/>
        <v>1.6886341929321871</v>
      </c>
      <c r="AV1377" s="6" t="s">
        <v>13597</v>
      </c>
      <c r="AW1377" s="6" t="str">
        <f t="shared" si="661"/>
        <v>=41.88*100000000</v>
      </c>
      <c r="AX1377" s="1">
        <f>41.88*100000000</f>
        <v>4188000000.0000005</v>
      </c>
      <c r="AY1377" s="10">
        <f t="shared" si="678"/>
        <v>-0.75986238532110095</v>
      </c>
      <c r="AZ1377" s="6" t="s">
        <v>12320</v>
      </c>
      <c r="BA1377" s="6" t="str">
        <f t="shared" si="662"/>
        <v>=174.4*100000000</v>
      </c>
      <c r="BB1377" s="1">
        <f>174.4*100000000</f>
        <v>17440000000</v>
      </c>
      <c r="BC1377" s="8">
        <f t="shared" si="679"/>
        <v>0.32121212121212123</v>
      </c>
      <c r="BD1377" s="6" t="s">
        <v>13598</v>
      </c>
      <c r="BE1377" s="6" t="str">
        <f t="shared" si="663"/>
        <v>=132.0*100000000</v>
      </c>
      <c r="BF1377" s="1">
        <f>132*100000000</f>
        <v>13200000000</v>
      </c>
      <c r="BG1377" s="8">
        <f t="shared" si="680"/>
        <v>0.40246493837654057</v>
      </c>
      <c r="BH1377" s="6" t="s">
        <v>13599</v>
      </c>
      <c r="BI1377" s="6" t="str">
        <f t="shared" si="664"/>
        <v>=94.12*100000000</v>
      </c>
      <c r="BJ1377" s="1">
        <f>94.12*100000000</f>
        <v>9412000000</v>
      </c>
      <c r="BK1377" s="6" t="s">
        <v>12871</v>
      </c>
      <c r="BL1377" s="1" t="str">
        <f t="shared" si="666"/>
        <v>=34.74*100000000</v>
      </c>
      <c r="BM1377" s="16">
        <f t="shared" si="681"/>
        <v>1.7092688543465746</v>
      </c>
      <c r="BN1377" s="1">
        <f>34.74*100000000</f>
        <v>3474000000</v>
      </c>
    </row>
    <row r="1378" spans="1:66">
      <c r="A1378" s="17">
        <v>346</v>
      </c>
      <c r="B1378">
        <v>601398</v>
      </c>
      <c r="C1378" t="s">
        <v>31</v>
      </c>
      <c r="D1378" s="6" t="s">
        <v>13600</v>
      </c>
      <c r="E1378" s="7" t="str">
        <f t="shared" si="665"/>
        <v>=9428*100000000</v>
      </c>
      <c r="F1378" s="1">
        <f>9428*100000000</f>
        <v>942800000000</v>
      </c>
      <c r="G1378" s="8">
        <f t="shared" si="667"/>
        <v>0.32397135233815477</v>
      </c>
      <c r="H1378" s="6" t="s">
        <v>13601</v>
      </c>
      <c r="I1378" s="6" t="str">
        <f t="shared" si="651"/>
        <v>=7121*100000000</v>
      </c>
      <c r="J1378" s="1">
        <f>7121*100000000</f>
        <v>712100000000</v>
      </c>
      <c r="K1378" s="10">
        <f t="shared" si="668"/>
        <v>0.52223172295852927</v>
      </c>
      <c r="L1378" s="6" t="s">
        <v>13602</v>
      </c>
      <c r="M1378" s="6" t="str">
        <f t="shared" si="652"/>
        <v>=4678*100000000</v>
      </c>
      <c r="N1378" s="1">
        <f>4678*100000000</f>
        <v>467800000000</v>
      </c>
      <c r="O1378" s="8">
        <f t="shared" si="669"/>
        <v>0.99743808710503845</v>
      </c>
      <c r="P1378" s="6" t="s">
        <v>13603</v>
      </c>
      <c r="Q1378" s="6" t="str">
        <f t="shared" si="653"/>
        <v>=2342*100000000</v>
      </c>
      <c r="R1378" s="11">
        <f>2342*100000000</f>
        <v>234200000000</v>
      </c>
      <c r="S1378" s="8">
        <f t="shared" si="670"/>
        <v>-0.73467769344058009</v>
      </c>
      <c r="T1378" s="6" t="s">
        <v>13604</v>
      </c>
      <c r="U1378" s="6" t="str">
        <f t="shared" si="654"/>
        <v>=8827*100000000</v>
      </c>
      <c r="V1378" s="1">
        <f>8827*100000000</f>
        <v>882700000000</v>
      </c>
      <c r="W1378" s="8">
        <f t="shared" si="671"/>
        <v>0.32597266035751843</v>
      </c>
      <c r="X1378" s="6" t="s">
        <v>13605</v>
      </c>
      <c r="Y1378" s="6" t="str">
        <f t="shared" si="655"/>
        <v>=6657*100000000</v>
      </c>
      <c r="Z1378" s="1">
        <f>6657*100000000</f>
        <v>665700000000</v>
      </c>
      <c r="AA1378" s="8">
        <f t="shared" si="672"/>
        <v>0.48428093645484949</v>
      </c>
      <c r="AB1378" s="6" t="s">
        <v>13606</v>
      </c>
      <c r="AC1378" s="6" t="str">
        <f t="shared" si="656"/>
        <v>=4485*100000000</v>
      </c>
      <c r="AD1378" s="1">
        <f>4485*100000000</f>
        <v>448500000000</v>
      </c>
      <c r="AE1378" s="8">
        <f t="shared" si="673"/>
        <v>0.97577092511013219</v>
      </c>
      <c r="AF1378" s="6" t="s">
        <v>13607</v>
      </c>
      <c r="AG1378" s="6" t="str">
        <f t="shared" si="657"/>
        <v>=2270*100000000</v>
      </c>
      <c r="AH1378" s="1">
        <f>2270*100000000</f>
        <v>227000000000</v>
      </c>
      <c r="AI1378" s="8">
        <f t="shared" si="674"/>
        <v>-0.73462707505260694</v>
      </c>
      <c r="AJ1378" s="6" t="s">
        <v>13608</v>
      </c>
      <c r="AK1378" s="6" t="str">
        <f t="shared" si="658"/>
        <v>=8554*100000000</v>
      </c>
      <c r="AL1378" s="1">
        <f>8554*100000000</f>
        <v>855400000000</v>
      </c>
      <c r="AM1378" s="8">
        <f t="shared" si="675"/>
        <v>0.32230638429432679</v>
      </c>
      <c r="AN1378" s="6" t="s">
        <v>13609</v>
      </c>
      <c r="AO1378" s="6" t="str">
        <f t="shared" si="659"/>
        <v>=6469*100000000</v>
      </c>
      <c r="AP1378" s="1">
        <f>6469*100000000</f>
        <v>646900000000</v>
      </c>
      <c r="AQ1378" s="8">
        <f t="shared" si="676"/>
        <v>0.46060058703996387</v>
      </c>
      <c r="AR1378" s="6" t="s">
        <v>13610</v>
      </c>
      <c r="AS1378" s="6" t="str">
        <f t="shared" si="660"/>
        <v>=4429*100000000</v>
      </c>
      <c r="AT1378" s="1">
        <f>4429*100000000</f>
        <v>442900000000</v>
      </c>
      <c r="AU1378" s="8">
        <f t="shared" si="677"/>
        <v>0.88067940552016988</v>
      </c>
      <c r="AV1378" s="6" t="s">
        <v>13611</v>
      </c>
      <c r="AW1378" s="6" t="str">
        <f t="shared" si="661"/>
        <v>=2355*100000000</v>
      </c>
      <c r="AX1378" s="1">
        <f>2355*100000000</f>
        <v>235500000000</v>
      </c>
      <c r="AY1378" s="10">
        <f t="shared" si="678"/>
        <v>-0.69565779271129491</v>
      </c>
      <c r="AZ1378" s="6" t="s">
        <v>13612</v>
      </c>
      <c r="BA1378" s="6" t="str">
        <f t="shared" si="662"/>
        <v>=7738*100000000</v>
      </c>
      <c r="BB1378" s="1">
        <f>7738*100000000</f>
        <v>773800000000</v>
      </c>
      <c r="BC1378" s="8">
        <f t="shared" si="679"/>
        <v>0.34084214174319877</v>
      </c>
      <c r="BD1378" s="6" t="s">
        <v>13613</v>
      </c>
      <c r="BE1378" s="6" t="str">
        <f t="shared" si="663"/>
        <v>=5771*100000000</v>
      </c>
      <c r="BF1378" s="1">
        <f>5771*100000000</f>
        <v>577100000000</v>
      </c>
      <c r="BG1378" s="8">
        <f t="shared" si="680"/>
        <v>0.48929032258064514</v>
      </c>
      <c r="BH1378" s="6" t="s">
        <v>13614</v>
      </c>
      <c r="BI1378" s="6" t="str">
        <f t="shared" si="664"/>
        <v>=3875*100000000</v>
      </c>
      <c r="BJ1378" s="1">
        <f>3875*100000000</f>
        <v>387500000000</v>
      </c>
      <c r="BK1378" s="6" t="s">
        <v>13615</v>
      </c>
      <c r="BL1378" s="1" t="str">
        <f t="shared" si="666"/>
        <v>=1972*100000000</v>
      </c>
      <c r="BM1378" s="16">
        <f t="shared" si="681"/>
        <v>0.96501014198782964</v>
      </c>
      <c r="BN1378" s="1">
        <f>1972*100000000</f>
        <v>197200000000</v>
      </c>
    </row>
    <row r="1379" spans="1:66">
      <c r="A1379" s="18"/>
      <c r="B1379">
        <v>601398</v>
      </c>
      <c r="C1379" t="s">
        <v>48</v>
      </c>
      <c r="D1379" s="6" t="s">
        <v>13616</v>
      </c>
      <c r="E1379" s="7" t="str">
        <f t="shared" si="665"/>
        <v>=4236*100000000</v>
      </c>
      <c r="F1379" s="1">
        <f>4236*100000000</f>
        <v>423600000000</v>
      </c>
      <c r="G1379" s="8">
        <f t="shared" si="667"/>
        <v>0.34093067426400758</v>
      </c>
      <c r="H1379" s="6" t="s">
        <v>13617</v>
      </c>
      <c r="I1379" s="6" t="str">
        <f t="shared" si="651"/>
        <v>=3159*100000000</v>
      </c>
      <c r="J1379" s="1">
        <f>3159*100000000</f>
        <v>315900000000</v>
      </c>
      <c r="K1379" s="10">
        <f t="shared" si="668"/>
        <v>0.52167630057803471</v>
      </c>
      <c r="L1379" s="6" t="s">
        <v>13618</v>
      </c>
      <c r="M1379" s="6" t="str">
        <f t="shared" si="652"/>
        <v>=2076*100000000</v>
      </c>
      <c r="N1379" s="1">
        <f>2076*100000000</f>
        <v>207600000000</v>
      </c>
      <c r="O1379" s="8">
        <f t="shared" si="669"/>
        <v>0.91866913123844729</v>
      </c>
      <c r="P1379" s="6" t="s">
        <v>13619</v>
      </c>
      <c r="Q1379" s="6" t="str">
        <f t="shared" si="653"/>
        <v>=1082*100000000</v>
      </c>
      <c r="R1379" s="11">
        <f>1082*100000000</f>
        <v>108200000000</v>
      </c>
      <c r="S1379" s="8">
        <f t="shared" si="670"/>
        <v>-0.72355646397547269</v>
      </c>
      <c r="T1379" s="6" t="s">
        <v>13620</v>
      </c>
      <c r="U1379" s="6" t="str">
        <f t="shared" si="654"/>
        <v>=3914*100000000</v>
      </c>
      <c r="V1379" s="1">
        <f>3914*100000000</f>
        <v>391400000000</v>
      </c>
      <c r="W1379" s="8">
        <f t="shared" si="671"/>
        <v>0.37962636587945014</v>
      </c>
      <c r="X1379" s="6" t="s">
        <v>13621</v>
      </c>
      <c r="Y1379" s="6" t="str">
        <f t="shared" si="655"/>
        <v>=2837*100000000</v>
      </c>
      <c r="Z1379" s="1">
        <f>2837*100000000</f>
        <v>283700000000</v>
      </c>
      <c r="AA1379" s="8">
        <f t="shared" si="672"/>
        <v>0.49947145877378435</v>
      </c>
      <c r="AB1379" s="6" t="s">
        <v>13622</v>
      </c>
      <c r="AC1379" s="6" t="str">
        <f t="shared" si="656"/>
        <v>=1892*100000000</v>
      </c>
      <c r="AD1379" s="1">
        <f>1892*100000000</f>
        <v>189200000000</v>
      </c>
      <c r="AE1379" s="8">
        <f t="shared" si="673"/>
        <v>0.77153558052434457</v>
      </c>
      <c r="AF1379" s="6" t="s">
        <v>13623</v>
      </c>
      <c r="AG1379" s="6" t="str">
        <f t="shared" si="657"/>
        <v>=1068*100000000</v>
      </c>
      <c r="AH1379" s="1">
        <f>1068*100000000</f>
        <v>106800000000</v>
      </c>
      <c r="AI1379" s="8">
        <f t="shared" si="674"/>
        <v>-0.72657450076804919</v>
      </c>
      <c r="AJ1379" s="6" t="s">
        <v>13624</v>
      </c>
      <c r="AK1379" s="6" t="str">
        <f t="shared" si="658"/>
        <v>=3906*100000000</v>
      </c>
      <c r="AL1379" s="1">
        <f>3906*100000000</f>
        <v>390600000000</v>
      </c>
      <c r="AM1379" s="8">
        <f t="shared" si="675"/>
        <v>0.25152194809355977</v>
      </c>
      <c r="AN1379" s="6" t="s">
        <v>13625</v>
      </c>
      <c r="AO1379" s="6" t="str">
        <f t="shared" si="659"/>
        <v>=3121*100000000</v>
      </c>
      <c r="AP1379" s="1">
        <f>3121*100000000</f>
        <v>312100000000</v>
      </c>
      <c r="AQ1379" s="8">
        <f t="shared" si="676"/>
        <v>0.49401627573001439</v>
      </c>
      <c r="AR1379" s="6" t="s">
        <v>13626</v>
      </c>
      <c r="AS1379" s="6" t="str">
        <f t="shared" si="660"/>
        <v>=2089*100000000</v>
      </c>
      <c r="AT1379" s="1">
        <f>2089*100000000</f>
        <v>208900000000</v>
      </c>
      <c r="AU1379" s="8">
        <f t="shared" si="677"/>
        <v>1.0261881668283219</v>
      </c>
      <c r="AV1379" s="6" t="s">
        <v>12696</v>
      </c>
      <c r="AW1379" s="6" t="str">
        <f t="shared" si="661"/>
        <v>=1031*100000000</v>
      </c>
      <c r="AX1379" s="1">
        <f>1031*100000000</f>
        <v>103100000000</v>
      </c>
      <c r="AY1379" s="10">
        <f t="shared" si="678"/>
        <v>-0.72225215517241381</v>
      </c>
      <c r="AZ1379" s="6" t="s">
        <v>13627</v>
      </c>
      <c r="BA1379" s="6" t="str">
        <f t="shared" si="662"/>
        <v>=3712*100000000</v>
      </c>
      <c r="BB1379" s="1">
        <f>3712*100000000</f>
        <v>371200000000</v>
      </c>
      <c r="BC1379" s="8">
        <f t="shared" si="679"/>
        <v>0.2608695652173913</v>
      </c>
      <c r="BD1379" s="6" t="s">
        <v>13628</v>
      </c>
      <c r="BE1379" s="6" t="str">
        <f t="shared" si="663"/>
        <v>=2944*100000000</v>
      </c>
      <c r="BF1379" s="1">
        <f>2944*100000000</f>
        <v>294400000000</v>
      </c>
      <c r="BG1379" s="8">
        <f t="shared" si="680"/>
        <v>0.50819672131147542</v>
      </c>
      <c r="BH1379" s="6" t="s">
        <v>13629</v>
      </c>
      <c r="BI1379" s="6" t="str">
        <f t="shared" si="664"/>
        <v>=1952*100000000</v>
      </c>
      <c r="BJ1379" s="1">
        <f>1952*100000000</f>
        <v>195200000000</v>
      </c>
      <c r="BK1379" s="6" t="s">
        <v>9311</v>
      </c>
      <c r="BL1379" s="1" t="str">
        <f t="shared" si="666"/>
        <v>=1003*100000000</v>
      </c>
      <c r="BM1379" s="16">
        <f t="shared" si="681"/>
        <v>0.94616151545363913</v>
      </c>
      <c r="BN1379" s="1">
        <f>1003*100000000</f>
        <v>100300000000</v>
      </c>
    </row>
    <row r="1380" spans="1:66">
      <c r="A1380" s="18"/>
      <c r="B1380">
        <v>601398</v>
      </c>
      <c r="C1380" t="s">
        <v>58</v>
      </c>
      <c r="D1380" s="6" t="s">
        <v>13630</v>
      </c>
      <c r="E1380" s="7" t="str">
        <f t="shared" si="665"/>
        <v>=4249*100000000</v>
      </c>
      <c r="F1380" s="1">
        <f>4249*100000000</f>
        <v>424900000000</v>
      </c>
      <c r="G1380" s="8">
        <f t="shared" si="667"/>
        <v>0.34249605055292259</v>
      </c>
      <c r="H1380" s="6" t="s">
        <v>13631</v>
      </c>
      <c r="I1380" s="6" t="str">
        <f t="shared" si="651"/>
        <v>=3165*100000000</v>
      </c>
      <c r="J1380" s="1">
        <f>3165*100000000</f>
        <v>316500000000</v>
      </c>
      <c r="K1380" s="10">
        <f t="shared" si="668"/>
        <v>0.52090341182123978</v>
      </c>
      <c r="L1380" s="6" t="s">
        <v>13632</v>
      </c>
      <c r="M1380" s="6" t="str">
        <f t="shared" si="652"/>
        <v>=2081*100000000</v>
      </c>
      <c r="N1380" s="1">
        <f>2081*100000000</f>
        <v>208100000000</v>
      </c>
      <c r="O1380" s="8">
        <f t="shared" si="669"/>
        <v>0.9197416974169742</v>
      </c>
      <c r="P1380" s="6" t="s">
        <v>13633</v>
      </c>
      <c r="Q1380" s="6" t="str">
        <f t="shared" si="653"/>
        <v>=1084*100000000</v>
      </c>
      <c r="R1380" s="11">
        <f>1084*100000000</f>
        <v>108400000000</v>
      </c>
      <c r="S1380" s="8">
        <f t="shared" si="670"/>
        <v>-0.72353991328742673</v>
      </c>
      <c r="T1380" s="6" t="s">
        <v>13634</v>
      </c>
      <c r="U1380" s="6" t="str">
        <f t="shared" si="654"/>
        <v>=3921*100000000</v>
      </c>
      <c r="V1380" s="1">
        <f>3921*100000000</f>
        <v>392100000000</v>
      </c>
      <c r="W1380" s="8">
        <f t="shared" si="671"/>
        <v>0.38014783526927137</v>
      </c>
      <c r="X1380" s="6" t="s">
        <v>13635</v>
      </c>
      <c r="Y1380" s="6" t="str">
        <f t="shared" si="655"/>
        <v>=2841*100000000</v>
      </c>
      <c r="Z1380" s="1">
        <f>2841*100000000</f>
        <v>284100000000</v>
      </c>
      <c r="AA1380" s="8">
        <f t="shared" si="672"/>
        <v>0.5</v>
      </c>
      <c r="AB1380" s="6" t="s">
        <v>13636</v>
      </c>
      <c r="AC1380" s="6" t="str">
        <f t="shared" si="656"/>
        <v>=1894*100000000</v>
      </c>
      <c r="AD1380" s="1">
        <f>1894*100000000</f>
        <v>189400000000</v>
      </c>
      <c r="AE1380" s="8">
        <f t="shared" si="673"/>
        <v>0.76844070961718025</v>
      </c>
      <c r="AF1380" s="6" t="s">
        <v>13637</v>
      </c>
      <c r="AG1380" s="6" t="str">
        <f t="shared" si="657"/>
        <v>=1071*100000000</v>
      </c>
      <c r="AH1380" s="1">
        <f>1071*100000000</f>
        <v>107100000000</v>
      </c>
      <c r="AI1380" s="8">
        <f t="shared" si="674"/>
        <v>-0.72664624808575806</v>
      </c>
      <c r="AJ1380" s="6" t="s">
        <v>13638</v>
      </c>
      <c r="AK1380" s="6" t="str">
        <f t="shared" si="658"/>
        <v>=3918*100000000</v>
      </c>
      <c r="AL1380" s="1">
        <f>3918*100000000</f>
        <v>391800000000</v>
      </c>
      <c r="AM1380" s="8">
        <f t="shared" si="675"/>
        <v>0.25095785440613028</v>
      </c>
      <c r="AN1380" s="6" t="s">
        <v>13639</v>
      </c>
      <c r="AO1380" s="6" t="str">
        <f t="shared" si="659"/>
        <v>=3132*100000000</v>
      </c>
      <c r="AP1380" s="1">
        <f>3132*100000000</f>
        <v>313200000000</v>
      </c>
      <c r="AQ1380" s="8">
        <f t="shared" si="676"/>
        <v>0.49713193116634802</v>
      </c>
      <c r="AR1380" s="6" t="s">
        <v>13640</v>
      </c>
      <c r="AS1380" s="6" t="str">
        <f t="shared" si="660"/>
        <v>=2092*100000000</v>
      </c>
      <c r="AT1380" s="1">
        <f>2092*100000000</f>
        <v>209200000000</v>
      </c>
      <c r="AU1380" s="8">
        <f t="shared" si="677"/>
        <v>1.0193050193050193</v>
      </c>
      <c r="AV1380" s="6" t="s">
        <v>13641</v>
      </c>
      <c r="AW1380" s="6" t="str">
        <f t="shared" si="661"/>
        <v>=1036*100000000</v>
      </c>
      <c r="AX1380" s="1">
        <f>1036*100000000</f>
        <v>103600000000</v>
      </c>
      <c r="AY1380" s="10">
        <f t="shared" si="678"/>
        <v>-0.72180451127819545</v>
      </c>
      <c r="AZ1380" s="6" t="s">
        <v>13642</v>
      </c>
      <c r="BA1380" s="6" t="str">
        <f t="shared" si="662"/>
        <v>=3724*100000000</v>
      </c>
      <c r="BB1380" s="1">
        <f>3724*100000000</f>
        <v>372400000000</v>
      </c>
      <c r="BC1380" s="8">
        <f t="shared" si="679"/>
        <v>0.25598650927487354</v>
      </c>
      <c r="BD1380" s="6" t="s">
        <v>13643</v>
      </c>
      <c r="BE1380" s="6" t="str">
        <f t="shared" si="663"/>
        <v>=2965*100000000</v>
      </c>
      <c r="BF1380" s="1">
        <f>2965*100000000</f>
        <v>296500000000</v>
      </c>
      <c r="BG1380" s="8">
        <f t="shared" si="680"/>
        <v>0.50354969574036512</v>
      </c>
      <c r="BH1380" s="6" t="s">
        <v>13615</v>
      </c>
      <c r="BI1380" s="6" t="str">
        <f t="shared" si="664"/>
        <v>=1972*100000000</v>
      </c>
      <c r="BJ1380" s="1">
        <f>1972*100000000</f>
        <v>197200000000</v>
      </c>
      <c r="BK1380" s="6" t="s">
        <v>793</v>
      </c>
      <c r="BL1380" s="1" t="str">
        <f t="shared" si="666"/>
        <v>=1016*100000000</v>
      </c>
      <c r="BM1380" s="16">
        <f t="shared" si="681"/>
        <v>0.94094488188976377</v>
      </c>
      <c r="BN1380" s="1">
        <f>1016*100000000</f>
        <v>101600000000</v>
      </c>
    </row>
    <row r="1381" spans="1:66">
      <c r="A1381" s="19"/>
      <c r="B1381">
        <v>601398</v>
      </c>
      <c r="C1381" t="s">
        <v>68</v>
      </c>
      <c r="D1381" s="6" t="s">
        <v>13644</v>
      </c>
      <c r="E1381" s="7" t="str">
        <f t="shared" si="665"/>
        <v>=3502*100000000</v>
      </c>
      <c r="F1381" s="1">
        <f>3502*100000000</f>
        <v>350200000000</v>
      </c>
      <c r="G1381" s="8">
        <f t="shared" si="667"/>
        <v>0.3825503355704698</v>
      </c>
      <c r="H1381" s="6" t="s">
        <v>13645</v>
      </c>
      <c r="I1381" s="6" t="str">
        <f t="shared" si="651"/>
        <v>=2533*100000000</v>
      </c>
      <c r="J1381" s="1">
        <f>2533*100000000</f>
        <v>253300000000</v>
      </c>
      <c r="K1381" s="10">
        <f t="shared" si="668"/>
        <v>0.53981762917933129</v>
      </c>
      <c r="L1381" s="6" t="s">
        <v>13646</v>
      </c>
      <c r="M1381" s="6" t="str">
        <f t="shared" si="652"/>
        <v>=1645*100000000</v>
      </c>
      <c r="N1381" s="1">
        <f>1645*100000000</f>
        <v>164500000000</v>
      </c>
      <c r="O1381" s="8">
        <f t="shared" si="669"/>
        <v>0.90614136732329087</v>
      </c>
      <c r="P1381" s="6" t="s">
        <v>13647</v>
      </c>
      <c r="Q1381" s="6" t="str">
        <f t="shared" si="653"/>
        <v>=863.0*100000000</v>
      </c>
      <c r="R1381" s="11">
        <f>863*100000000</f>
        <v>86300000000</v>
      </c>
      <c r="S1381" s="8">
        <f t="shared" si="670"/>
        <v>-0.7283600881334592</v>
      </c>
      <c r="T1381" s="6" t="s">
        <v>13648</v>
      </c>
      <c r="U1381" s="6" t="str">
        <f t="shared" si="654"/>
        <v>=3177*100000000</v>
      </c>
      <c r="V1381" s="1">
        <f>3177*100000000</f>
        <v>317700000000</v>
      </c>
      <c r="W1381" s="8">
        <f t="shared" si="671"/>
        <v>0.38010425716768026</v>
      </c>
      <c r="X1381" s="6" t="s">
        <v>13649</v>
      </c>
      <c r="Y1381" s="6" t="str">
        <f t="shared" si="655"/>
        <v>=2302*100000000</v>
      </c>
      <c r="Z1381" s="1">
        <f>2302*100000000</f>
        <v>230200000000</v>
      </c>
      <c r="AA1381" s="8">
        <f t="shared" si="672"/>
        <v>0.53671562082777036</v>
      </c>
      <c r="AB1381" s="6" t="s">
        <v>13650</v>
      </c>
      <c r="AC1381" s="6" t="str">
        <f t="shared" si="656"/>
        <v>=1498*100000000</v>
      </c>
      <c r="AD1381" s="1">
        <f>1498*100000000</f>
        <v>149800000000</v>
      </c>
      <c r="AE1381" s="8">
        <f t="shared" si="673"/>
        <v>0.76214562992589108</v>
      </c>
      <c r="AF1381" s="6" t="s">
        <v>13651</v>
      </c>
      <c r="AG1381" s="6" t="str">
        <f t="shared" si="657"/>
        <v>=850.1*100000000</v>
      </c>
      <c r="AH1381" s="1">
        <f>850.1*100000000</f>
        <v>85010000000</v>
      </c>
      <c r="AI1381" s="8">
        <f t="shared" si="674"/>
        <v>-0.72874920229738349</v>
      </c>
      <c r="AJ1381" s="6" t="s">
        <v>13652</v>
      </c>
      <c r="AK1381" s="6" t="str">
        <f t="shared" si="658"/>
        <v>=3134*100000000</v>
      </c>
      <c r="AL1381" s="1">
        <f>3134*100000000</f>
        <v>313400000000</v>
      </c>
      <c r="AM1381" s="8">
        <f t="shared" si="675"/>
        <v>0.24020577760189948</v>
      </c>
      <c r="AN1381" s="6" t="s">
        <v>13653</v>
      </c>
      <c r="AO1381" s="6" t="str">
        <f t="shared" si="659"/>
        <v>=2527*100000000</v>
      </c>
      <c r="AP1381" s="1">
        <f>2527*100000000</f>
        <v>252700000000</v>
      </c>
      <c r="AQ1381" s="8">
        <f t="shared" si="676"/>
        <v>0.49792531120331951</v>
      </c>
      <c r="AR1381" s="6" t="s">
        <v>947</v>
      </c>
      <c r="AS1381" s="6" t="str">
        <f t="shared" si="660"/>
        <v>=1687*100000000</v>
      </c>
      <c r="AT1381" s="1">
        <f>1687*100000000</f>
        <v>168700000000</v>
      </c>
      <c r="AU1381" s="8">
        <f t="shared" si="677"/>
        <v>1.0401499576732374</v>
      </c>
      <c r="AV1381" s="6" t="s">
        <v>276</v>
      </c>
      <c r="AW1381" s="6" t="str">
        <f t="shared" si="661"/>
        <v>=826.9*100000000</v>
      </c>
      <c r="AX1381" s="1">
        <f>826.9*100000000</f>
        <v>82690000000</v>
      </c>
      <c r="AY1381" s="10">
        <f t="shared" si="678"/>
        <v>-0.72316705724807495</v>
      </c>
      <c r="AZ1381" s="6" t="s">
        <v>13654</v>
      </c>
      <c r="BA1381" s="6" t="str">
        <f t="shared" si="662"/>
        <v>=2987*100000000</v>
      </c>
      <c r="BB1381" s="1">
        <f>2987*100000000</f>
        <v>298700000000</v>
      </c>
      <c r="BC1381" s="8">
        <f t="shared" si="679"/>
        <v>0.24406497292794668</v>
      </c>
      <c r="BD1381" s="6" t="s">
        <v>13655</v>
      </c>
      <c r="BE1381" s="6" t="str">
        <f t="shared" si="663"/>
        <v>=2401*100000000</v>
      </c>
      <c r="BF1381" s="1">
        <f>2401*100000000</f>
        <v>240100000000</v>
      </c>
      <c r="BG1381" s="8">
        <f t="shared" si="680"/>
        <v>0.49408836341008089</v>
      </c>
      <c r="BH1381" s="6" t="s">
        <v>13656</v>
      </c>
      <c r="BI1381" s="6" t="str">
        <f t="shared" si="664"/>
        <v>=1607*100000000</v>
      </c>
      <c r="BJ1381" s="1">
        <f>1607*100000000</f>
        <v>160700000000</v>
      </c>
      <c r="BK1381" s="6" t="s">
        <v>13657</v>
      </c>
      <c r="BL1381" s="1" t="str">
        <f t="shared" si="666"/>
        <v>=790.7*100000000</v>
      </c>
      <c r="BM1381" s="16">
        <f t="shared" si="681"/>
        <v>1.0323763753636019</v>
      </c>
      <c r="BN1381" s="1">
        <f>790.7*100000000</f>
        <v>79070000000</v>
      </c>
    </row>
    <row r="1382" spans="1:66">
      <c r="A1382" s="17">
        <v>347</v>
      </c>
      <c r="B1382">
        <v>601555</v>
      </c>
      <c r="C1382" t="s">
        <v>31</v>
      </c>
      <c r="D1382" s="6" t="s">
        <v>5573</v>
      </c>
      <c r="E1382" s="7" t="str">
        <f t="shared" si="665"/>
        <v>=92.45*100000000</v>
      </c>
      <c r="F1382" s="1">
        <f>92.45*100000000</f>
        <v>9245000000</v>
      </c>
      <c r="G1382" s="8">
        <f t="shared" si="667"/>
        <v>0.44656548271006102</v>
      </c>
      <c r="H1382" s="6" t="s">
        <v>13658</v>
      </c>
      <c r="I1382" s="6" t="str">
        <f t="shared" si="651"/>
        <v>=63.91*100000000</v>
      </c>
      <c r="J1382" s="1">
        <f>63.91*100000000</f>
        <v>6391000000</v>
      </c>
      <c r="K1382" s="10">
        <f t="shared" si="668"/>
        <v>0.56988454925079834</v>
      </c>
      <c r="L1382" s="6" t="s">
        <v>13659</v>
      </c>
      <c r="M1382" s="6" t="str">
        <f t="shared" si="652"/>
        <v>=40.71*100000000</v>
      </c>
      <c r="N1382" s="1">
        <f>40.71*100000000</f>
        <v>4071000000</v>
      </c>
      <c r="O1382" s="8">
        <f t="shared" si="669"/>
        <v>1.3450460829493087</v>
      </c>
      <c r="P1382" s="6" t="s">
        <v>3629</v>
      </c>
      <c r="Q1382" s="6" t="str">
        <f t="shared" si="653"/>
        <v>=17.36*100000000</v>
      </c>
      <c r="R1382" s="11">
        <f>17.36*100000000</f>
        <v>1736000000</v>
      </c>
      <c r="S1382" s="8">
        <f t="shared" si="670"/>
        <v>-0.76400217509516044</v>
      </c>
      <c r="T1382" s="6" t="s">
        <v>695</v>
      </c>
      <c r="U1382" s="6" t="str">
        <f t="shared" si="654"/>
        <v>=73.56*100000000</v>
      </c>
      <c r="V1382" s="1">
        <f>73.56*100000000</f>
        <v>7356000000</v>
      </c>
      <c r="W1382" s="8">
        <f t="shared" si="671"/>
        <v>0.37959489872468116</v>
      </c>
      <c r="X1382" s="6" t="s">
        <v>9580</v>
      </c>
      <c r="Y1382" s="6" t="str">
        <f t="shared" si="655"/>
        <v>=53.32*100000000</v>
      </c>
      <c r="Z1382" s="1">
        <f>53.32*100000000</f>
        <v>5332000000</v>
      </c>
      <c r="AA1382" s="8">
        <f t="shared" si="672"/>
        <v>0.48565059905266089</v>
      </c>
      <c r="AB1382" s="6" t="s">
        <v>4703</v>
      </c>
      <c r="AC1382" s="6" t="str">
        <f t="shared" si="656"/>
        <v>=35.89*100000000</v>
      </c>
      <c r="AD1382" s="1">
        <f>35.89*100000000</f>
        <v>3589000000</v>
      </c>
      <c r="AE1382" s="8">
        <f t="shared" si="673"/>
        <v>1.8827309236947791</v>
      </c>
      <c r="AF1382" s="6" t="s">
        <v>455</v>
      </c>
      <c r="AG1382" s="6" t="str">
        <f t="shared" si="657"/>
        <v>=12.45*100000000</v>
      </c>
      <c r="AH1382" s="1">
        <f>12.45*100000000</f>
        <v>1245000000</v>
      </c>
      <c r="AI1382" s="8">
        <f t="shared" si="674"/>
        <v>-0.75730994152046782</v>
      </c>
      <c r="AJ1382" s="6" t="s">
        <v>452</v>
      </c>
      <c r="AK1382" s="6" t="str">
        <f t="shared" si="658"/>
        <v>=51.30*100000000</v>
      </c>
      <c r="AL1382" s="1">
        <f>51.3*100000000</f>
        <v>5130000000</v>
      </c>
      <c r="AM1382" s="8">
        <f t="shared" si="675"/>
        <v>0.31774980734651942</v>
      </c>
      <c r="AN1382" s="6" t="s">
        <v>11683</v>
      </c>
      <c r="AO1382" s="6" t="str">
        <f t="shared" si="659"/>
        <v>=38.93*100000000</v>
      </c>
      <c r="AP1382" s="1">
        <f>38.93*100000000</f>
        <v>3893000000</v>
      </c>
      <c r="AQ1382" s="8">
        <f t="shared" si="676"/>
        <v>0.45532710280373834</v>
      </c>
      <c r="AR1382" s="6" t="s">
        <v>13660</v>
      </c>
      <c r="AS1382" s="6" t="str">
        <f t="shared" si="660"/>
        <v>=26.75*100000000</v>
      </c>
      <c r="AT1382" s="1">
        <f>26.75*100000000</f>
        <v>2675000000</v>
      </c>
      <c r="AU1382" s="8">
        <f t="shared" si="677"/>
        <v>0.79049531459170008</v>
      </c>
      <c r="AV1382" s="6" t="s">
        <v>13661</v>
      </c>
      <c r="AW1382" s="6" t="str">
        <f t="shared" si="661"/>
        <v>=14.94*100000000</v>
      </c>
      <c r="AX1382" s="1">
        <f>14.94*100000000</f>
        <v>1494000000</v>
      </c>
      <c r="AY1382" s="10">
        <f t="shared" si="678"/>
        <v>-0.64103796251802014</v>
      </c>
      <c r="AZ1382" s="6" t="s">
        <v>13662</v>
      </c>
      <c r="BA1382" s="6" t="str">
        <f t="shared" si="662"/>
        <v>=41.62*100000000</v>
      </c>
      <c r="BB1382" s="1">
        <f>41.62*100000000</f>
        <v>4161999999.9999995</v>
      </c>
      <c r="BC1382" s="8">
        <f t="shared" si="679"/>
        <v>0.652242953552997</v>
      </c>
      <c r="BD1382" s="6" t="s">
        <v>5916</v>
      </c>
      <c r="BE1382" s="6" t="str">
        <f t="shared" si="663"/>
        <v>=25.19*100000000</v>
      </c>
      <c r="BF1382" s="1">
        <f>25.19*100000000</f>
        <v>2519000000</v>
      </c>
      <c r="BG1382" s="8">
        <f t="shared" si="680"/>
        <v>0.63997395833333337</v>
      </c>
      <c r="BH1382" s="6" t="s">
        <v>4548</v>
      </c>
      <c r="BI1382" s="6" t="str">
        <f t="shared" si="664"/>
        <v>=15.36*100000000</v>
      </c>
      <c r="BJ1382" s="1">
        <f>15.36*100000000</f>
        <v>1536000000</v>
      </c>
      <c r="BK1382" s="6" t="s">
        <v>7095</v>
      </c>
      <c r="BL1382" s="1" t="str">
        <f t="shared" si="666"/>
        <v>=8.241*100000000</v>
      </c>
      <c r="BM1382" s="16">
        <f t="shared" si="681"/>
        <v>0.86385147433563891</v>
      </c>
      <c r="BN1382" s="1">
        <f>8.241*100000000</f>
        <v>824100000</v>
      </c>
    </row>
    <row r="1383" spans="1:66">
      <c r="A1383" s="18"/>
      <c r="B1383">
        <v>601555</v>
      </c>
      <c r="C1383" t="s">
        <v>48</v>
      </c>
      <c r="D1383" s="6" t="s">
        <v>13663</v>
      </c>
      <c r="E1383" s="7" t="str">
        <f t="shared" si="665"/>
        <v>=32.42*100000000</v>
      </c>
      <c r="F1383" s="1">
        <f>32.42*100000000</f>
        <v>3242000000</v>
      </c>
      <c r="G1383" s="8">
        <f t="shared" si="667"/>
        <v>0.29266347687400318</v>
      </c>
      <c r="H1383" s="6" t="s">
        <v>10647</v>
      </c>
      <c r="I1383" s="6" t="str">
        <f t="shared" si="651"/>
        <v>=25.08*100000000</v>
      </c>
      <c r="J1383" s="1">
        <f>25.08*100000000</f>
        <v>2508000000</v>
      </c>
      <c r="K1383" s="10">
        <f t="shared" si="668"/>
        <v>0.44803695150115475</v>
      </c>
      <c r="L1383" s="6" t="s">
        <v>4543</v>
      </c>
      <c r="M1383" s="6" t="str">
        <f t="shared" si="652"/>
        <v>=17.32*100000000</v>
      </c>
      <c r="N1383" s="1">
        <f>17.32*100000000</f>
        <v>1732000000</v>
      </c>
      <c r="O1383" s="8">
        <f t="shared" si="669"/>
        <v>2.0584495850256048</v>
      </c>
      <c r="P1383" s="6" t="s">
        <v>11273</v>
      </c>
      <c r="Q1383" s="6" t="str">
        <f t="shared" si="653"/>
        <v>=5.663*100000000</v>
      </c>
      <c r="R1383" s="11">
        <f>5.663*100000000</f>
        <v>566300000</v>
      </c>
      <c r="S1383" s="8">
        <f t="shared" si="670"/>
        <v>-0.75388961321164716</v>
      </c>
      <c r="T1383" s="6" t="s">
        <v>13664</v>
      </c>
      <c r="U1383" s="6" t="str">
        <f t="shared" si="654"/>
        <v>=23.01*100000000</v>
      </c>
      <c r="V1383" s="1">
        <f>23.01*100000000</f>
        <v>2301000000</v>
      </c>
      <c r="W1383" s="8">
        <f t="shared" si="671"/>
        <v>0.17039674465920651</v>
      </c>
      <c r="X1383" s="6" t="s">
        <v>13665</v>
      </c>
      <c r="Y1383" s="6" t="str">
        <f t="shared" si="655"/>
        <v>=19.66*100000000</v>
      </c>
      <c r="Z1383" s="1">
        <f>19.66*100000000</f>
        <v>1966000000</v>
      </c>
      <c r="AA1383" s="8">
        <f t="shared" si="672"/>
        <v>0.47708489857250186</v>
      </c>
      <c r="AB1383" s="6" t="s">
        <v>2291</v>
      </c>
      <c r="AC1383" s="6" t="str">
        <f t="shared" si="656"/>
        <v>=13.31*100000000</v>
      </c>
      <c r="AD1383" s="1">
        <f>13.31*100000000</f>
        <v>1331000000</v>
      </c>
      <c r="AE1383" s="8">
        <f t="shared" si="673"/>
        <v>1.7665765953024319</v>
      </c>
      <c r="AF1383" s="6" t="s">
        <v>9528</v>
      </c>
      <c r="AG1383" s="6" t="str">
        <f t="shared" si="657"/>
        <v>=4.811*100000000</v>
      </c>
      <c r="AH1383" s="1">
        <f>4.811*100000000</f>
        <v>481100000</v>
      </c>
      <c r="AI1383" s="8">
        <f t="shared" si="674"/>
        <v>-0.63989520958083834</v>
      </c>
      <c r="AJ1383" s="6" t="s">
        <v>7759</v>
      </c>
      <c r="AK1383" s="6" t="str">
        <f t="shared" si="658"/>
        <v>=13.36*100000000</v>
      </c>
      <c r="AL1383" s="1">
        <f>13.36*100000000</f>
        <v>1336000000</v>
      </c>
      <c r="AM1383" s="8">
        <f t="shared" si="675"/>
        <v>6.6241021548284124E-2</v>
      </c>
      <c r="AN1383" s="6" t="s">
        <v>65</v>
      </c>
      <c r="AO1383" s="6" t="str">
        <f t="shared" si="659"/>
        <v>=12.53*100000000</v>
      </c>
      <c r="AP1383" s="1">
        <f>12.53*100000000</f>
        <v>1253000000</v>
      </c>
      <c r="AQ1383" s="8">
        <f t="shared" si="676"/>
        <v>0.23936696340257171</v>
      </c>
      <c r="AR1383" s="6" t="s">
        <v>3662</v>
      </c>
      <c r="AS1383" s="6" t="str">
        <f t="shared" si="660"/>
        <v>=10.11*100000000</v>
      </c>
      <c r="AT1383" s="1">
        <f>10.11*100000000</f>
        <v>1011000000</v>
      </c>
      <c r="AU1383" s="8">
        <f t="shared" si="677"/>
        <v>0.25232255667038278</v>
      </c>
      <c r="AV1383" s="6" t="s">
        <v>13666</v>
      </c>
      <c r="AW1383" s="6" t="str">
        <f t="shared" si="661"/>
        <v>=8.073*100000000</v>
      </c>
      <c r="AX1383" s="1">
        <f>8.073*100000000</f>
        <v>807300000</v>
      </c>
      <c r="AY1383" s="10">
        <f t="shared" si="678"/>
        <v>1.1100365917407213</v>
      </c>
      <c r="AZ1383" s="6" t="s">
        <v>13667</v>
      </c>
      <c r="BA1383" s="6" t="str">
        <f t="shared" si="662"/>
        <v>=3.826*100000000</v>
      </c>
      <c r="BB1383" s="1">
        <f>3.826*100000000</f>
        <v>382600000</v>
      </c>
      <c r="BC1383" s="8">
        <f t="shared" si="679"/>
        <v>0.47210465563678322</v>
      </c>
      <c r="BD1383" s="6" t="s">
        <v>9716</v>
      </c>
      <c r="BE1383" s="6" t="str">
        <f t="shared" si="663"/>
        <v>=2.599*100000000</v>
      </c>
      <c r="BF1383" s="1">
        <f>2.599*100000000</f>
        <v>259900000.00000003</v>
      </c>
      <c r="BG1383" s="8">
        <f t="shared" si="680"/>
        <v>4.7284549261626632</v>
      </c>
      <c r="BH1383" s="7" t="s">
        <v>13668</v>
      </c>
      <c r="BI1383" s="6" t="str">
        <f t="shared" si="664"/>
        <v>=4537*10000</v>
      </c>
      <c r="BJ1383" s="1">
        <f>4537*10000</f>
        <v>45370000</v>
      </c>
      <c r="BK1383" s="7" t="s">
        <v>13669</v>
      </c>
      <c r="BL1383" s="1" t="str">
        <f t="shared" si="666"/>
        <v>=8582*10000</v>
      </c>
      <c r="BM1383" s="16">
        <f t="shared" si="681"/>
        <v>-0.47133535306455371</v>
      </c>
      <c r="BN1383" s="1">
        <f>8582*10000</f>
        <v>85820000</v>
      </c>
    </row>
    <row r="1384" spans="1:66">
      <c r="A1384" s="18"/>
      <c r="B1384">
        <v>601555</v>
      </c>
      <c r="C1384" t="s">
        <v>58</v>
      </c>
      <c r="D1384" s="6" t="s">
        <v>5982</v>
      </c>
      <c r="E1384" s="7" t="str">
        <f t="shared" si="665"/>
        <v>=31.87*100000000</v>
      </c>
      <c r="F1384" s="1">
        <f>31.87*100000000</f>
        <v>3187000000</v>
      </c>
      <c r="G1384" s="8">
        <f t="shared" si="667"/>
        <v>0.276331597917501</v>
      </c>
      <c r="H1384" s="6" t="s">
        <v>13670</v>
      </c>
      <c r="I1384" s="6" t="str">
        <f t="shared" si="651"/>
        <v>=24.97*100000000</v>
      </c>
      <c r="J1384" s="1">
        <f>24.97*100000000</f>
        <v>2497000000</v>
      </c>
      <c r="K1384" s="10">
        <f t="shared" si="668"/>
        <v>0.44251877527440808</v>
      </c>
      <c r="L1384" s="6" t="s">
        <v>3658</v>
      </c>
      <c r="M1384" s="6" t="str">
        <f t="shared" si="652"/>
        <v>=17.31*100000000</v>
      </c>
      <c r="N1384" s="1">
        <f>17.31*100000000</f>
        <v>1730999999.9999998</v>
      </c>
      <c r="O1384" s="8">
        <f t="shared" si="669"/>
        <v>2.0507578427916808</v>
      </c>
      <c r="P1384" s="6" t="s">
        <v>2561</v>
      </c>
      <c r="Q1384" s="6" t="str">
        <f t="shared" si="653"/>
        <v>=5.674*100000000</v>
      </c>
      <c r="R1384" s="11">
        <f>5.674*100000000</f>
        <v>567400000</v>
      </c>
      <c r="S1384" s="8">
        <f t="shared" si="670"/>
        <v>-0.75037395512538496</v>
      </c>
      <c r="T1384" s="6" t="s">
        <v>12673</v>
      </c>
      <c r="U1384" s="6" t="str">
        <f t="shared" si="654"/>
        <v>=22.73*100000000</v>
      </c>
      <c r="V1384" s="1">
        <f>22.73*100000000</f>
        <v>2273000000</v>
      </c>
      <c r="W1384" s="8">
        <f t="shared" si="671"/>
        <v>0.16444672131147542</v>
      </c>
      <c r="X1384" s="6" t="s">
        <v>1013</v>
      </c>
      <c r="Y1384" s="6" t="str">
        <f t="shared" si="655"/>
        <v>=19.52*100000000</v>
      </c>
      <c r="Z1384" s="1">
        <f>19.52*100000000</f>
        <v>1952000000</v>
      </c>
      <c r="AA1384" s="8">
        <f t="shared" si="672"/>
        <v>0.47990902198635332</v>
      </c>
      <c r="AB1384" s="6" t="s">
        <v>1807</v>
      </c>
      <c r="AC1384" s="6" t="str">
        <f t="shared" si="656"/>
        <v>=13.19*100000000</v>
      </c>
      <c r="AD1384" s="1">
        <f>13.19*100000000</f>
        <v>1319000000</v>
      </c>
      <c r="AE1384" s="8">
        <f t="shared" si="673"/>
        <v>1.7968617472434267</v>
      </c>
      <c r="AF1384" s="6" t="s">
        <v>8296</v>
      </c>
      <c r="AG1384" s="6" t="str">
        <f t="shared" si="657"/>
        <v>=4.716*100000000</v>
      </c>
      <c r="AH1384" s="1">
        <f>4.716*100000000</f>
        <v>471600000</v>
      </c>
      <c r="AI1384" s="8">
        <f t="shared" si="674"/>
        <v>-0.64647676161919043</v>
      </c>
      <c r="AJ1384" s="6" t="s">
        <v>6572</v>
      </c>
      <c r="AK1384" s="6" t="str">
        <f t="shared" si="658"/>
        <v>=13.34*100000000</v>
      </c>
      <c r="AL1384" s="1">
        <f>13.34*100000000</f>
        <v>1334000000</v>
      </c>
      <c r="AM1384" s="8">
        <f t="shared" si="675"/>
        <v>6.6346922462030375E-2</v>
      </c>
      <c r="AN1384" s="6" t="s">
        <v>8131</v>
      </c>
      <c r="AO1384" s="6" t="str">
        <f t="shared" si="659"/>
        <v>=12.51*100000000</v>
      </c>
      <c r="AP1384" s="1">
        <f>12.51*100000000</f>
        <v>1251000000</v>
      </c>
      <c r="AQ1384" s="8">
        <f t="shared" si="676"/>
        <v>0.23616600790513848</v>
      </c>
      <c r="AR1384" s="6" t="s">
        <v>11413</v>
      </c>
      <c r="AS1384" s="6" t="str">
        <f t="shared" si="660"/>
        <v>=10.12*100000000</v>
      </c>
      <c r="AT1384" s="1">
        <f>10.12*100000000</f>
        <v>1011999999.9999999</v>
      </c>
      <c r="AU1384" s="8">
        <f t="shared" si="677"/>
        <v>0.25154588177096199</v>
      </c>
      <c r="AV1384" s="6" t="s">
        <v>13671</v>
      </c>
      <c r="AW1384" s="6" t="str">
        <f t="shared" si="661"/>
        <v>=8.086*100000000</v>
      </c>
      <c r="AX1384" s="1">
        <f>8.086*100000000</f>
        <v>808600000</v>
      </c>
      <c r="AY1384" s="10">
        <f t="shared" si="678"/>
        <v>1.1499601169901621</v>
      </c>
      <c r="AZ1384" s="6" t="s">
        <v>13672</v>
      </c>
      <c r="BA1384" s="6" t="str">
        <f t="shared" si="662"/>
        <v>=3.761*100000000</v>
      </c>
      <c r="BB1384" s="1">
        <f>3.761*100000000</f>
        <v>376100000</v>
      </c>
      <c r="BC1384" s="8">
        <f t="shared" si="679"/>
        <v>0.46684867394695789</v>
      </c>
      <c r="BD1384" s="6" t="s">
        <v>5323</v>
      </c>
      <c r="BE1384" s="6" t="str">
        <f t="shared" si="663"/>
        <v>=2.564*100000000</v>
      </c>
      <c r="BF1384" s="1">
        <f>2.564*100000000</f>
        <v>256400000</v>
      </c>
      <c r="BG1384" s="8">
        <f t="shared" si="680"/>
        <v>5.1842739990352147</v>
      </c>
      <c r="BH1384" s="7" t="s">
        <v>11147</v>
      </c>
      <c r="BI1384" s="6" t="str">
        <f t="shared" si="664"/>
        <v>=4146*10000</v>
      </c>
      <c r="BJ1384" s="1">
        <f>4146*10000</f>
        <v>41460000</v>
      </c>
      <c r="BK1384" s="7" t="s">
        <v>13673</v>
      </c>
      <c r="BL1384" s="1" t="str">
        <f t="shared" si="666"/>
        <v>=8538*10000</v>
      </c>
      <c r="BM1384" s="16">
        <f t="shared" si="681"/>
        <v>-0.51440618411806038</v>
      </c>
      <c r="BN1384" s="1">
        <f>8538*10000</f>
        <v>85380000</v>
      </c>
    </row>
    <row r="1385" spans="1:66">
      <c r="A1385" s="19"/>
      <c r="B1385">
        <v>601555</v>
      </c>
      <c r="C1385" t="s">
        <v>68</v>
      </c>
      <c r="D1385" s="6" t="s">
        <v>9106</v>
      </c>
      <c r="E1385" s="7" t="str">
        <f t="shared" si="665"/>
        <v>=24.12*100000000</v>
      </c>
      <c r="F1385" s="1">
        <f>24.12*100000000</f>
        <v>2412000000</v>
      </c>
      <c r="G1385" s="8">
        <f t="shared" si="667"/>
        <v>0.25887265135699372</v>
      </c>
      <c r="H1385" s="6" t="s">
        <v>11583</v>
      </c>
      <c r="I1385" s="6" t="str">
        <f t="shared" si="651"/>
        <v>=19.16*100000000</v>
      </c>
      <c r="J1385" s="1">
        <f>19.16*100000000</f>
        <v>1916000000</v>
      </c>
      <c r="K1385" s="10">
        <f t="shared" si="668"/>
        <v>0.42453531598513011</v>
      </c>
      <c r="L1385" s="6" t="s">
        <v>2413</v>
      </c>
      <c r="M1385" s="6" t="str">
        <f t="shared" si="652"/>
        <v>=13.45*100000000</v>
      </c>
      <c r="N1385" s="1">
        <f>13.45*100000000</f>
        <v>1345000000</v>
      </c>
      <c r="O1385" s="8">
        <f t="shared" si="669"/>
        <v>2.1491453992039333</v>
      </c>
      <c r="P1385" s="6" t="s">
        <v>13674</v>
      </c>
      <c r="Q1385" s="6" t="str">
        <f t="shared" si="653"/>
        <v>=4.271*100000000</v>
      </c>
      <c r="R1385" s="11">
        <f>4.271*100000000</f>
        <v>427100000</v>
      </c>
      <c r="S1385" s="8">
        <f t="shared" si="670"/>
        <v>-0.7508168028004667</v>
      </c>
      <c r="T1385" s="6" t="s">
        <v>5990</v>
      </c>
      <c r="U1385" s="6" t="str">
        <f t="shared" si="654"/>
        <v>=17.14*100000000</v>
      </c>
      <c r="V1385" s="1">
        <f>17.14*100000000</f>
        <v>1714000000</v>
      </c>
      <c r="W1385" s="8">
        <f t="shared" si="671"/>
        <v>0.14190539640239841</v>
      </c>
      <c r="X1385" s="6" t="s">
        <v>9328</v>
      </c>
      <c r="Y1385" s="6" t="str">
        <f t="shared" si="655"/>
        <v>=15.01*100000000</v>
      </c>
      <c r="Z1385" s="1">
        <f>15.01*100000000</f>
        <v>1501000000</v>
      </c>
      <c r="AA1385" s="8">
        <f t="shared" si="672"/>
        <v>0.45164410058027077</v>
      </c>
      <c r="AB1385" s="6" t="s">
        <v>6685</v>
      </c>
      <c r="AC1385" s="6" t="str">
        <f t="shared" si="656"/>
        <v>=10.34*100000000</v>
      </c>
      <c r="AD1385" s="1">
        <f>10.34*100000000</f>
        <v>1034000000</v>
      </c>
      <c r="AE1385" s="8">
        <f t="shared" si="673"/>
        <v>1.7536617842876165</v>
      </c>
      <c r="AF1385" s="6" t="s">
        <v>2388</v>
      </c>
      <c r="AG1385" s="6" t="str">
        <f t="shared" si="657"/>
        <v>=3.755*100000000</v>
      </c>
      <c r="AH1385" s="1">
        <f>3.755*100000000</f>
        <v>375500000</v>
      </c>
      <c r="AI1385" s="8">
        <f t="shared" si="674"/>
        <v>-0.61652369281045749</v>
      </c>
      <c r="AJ1385" s="6" t="s">
        <v>13675</v>
      </c>
      <c r="AK1385" s="6" t="str">
        <f t="shared" si="658"/>
        <v>=9.792*100000000</v>
      </c>
      <c r="AL1385" s="1">
        <f>9.792*100000000</f>
        <v>979200000</v>
      </c>
      <c r="AM1385" s="8">
        <f t="shared" si="675"/>
        <v>5.6310679611650483E-2</v>
      </c>
      <c r="AN1385" s="6" t="s">
        <v>13676</v>
      </c>
      <c r="AO1385" s="6" t="str">
        <f t="shared" si="659"/>
        <v>=9.270*100000000</v>
      </c>
      <c r="AP1385" s="1">
        <f>9.27*100000000</f>
        <v>927000000</v>
      </c>
      <c r="AQ1385" s="8">
        <f t="shared" si="676"/>
        <v>0.2297691695409923</v>
      </c>
      <c r="AR1385" s="6" t="s">
        <v>13677</v>
      </c>
      <c r="AS1385" s="6" t="str">
        <f t="shared" si="660"/>
        <v>=7.538*100000000</v>
      </c>
      <c r="AT1385" s="1">
        <f>7.538*100000000</f>
        <v>753800000</v>
      </c>
      <c r="AU1385" s="8">
        <f t="shared" si="677"/>
        <v>0.22708774214553151</v>
      </c>
      <c r="AV1385" s="6" t="s">
        <v>8584</v>
      </c>
      <c r="AW1385" s="6" t="str">
        <f t="shared" si="661"/>
        <v>=6.143*100000000</v>
      </c>
      <c r="AX1385" s="1">
        <f>6.143*100000000</f>
        <v>614300000</v>
      </c>
      <c r="AY1385" s="10">
        <f t="shared" si="678"/>
        <v>0.76827864133563617</v>
      </c>
      <c r="AZ1385" s="6" t="s">
        <v>9071</v>
      </c>
      <c r="BA1385" s="6" t="str">
        <f t="shared" si="662"/>
        <v>=3.474*100000000</v>
      </c>
      <c r="BB1385" s="1">
        <f>3.474*100000000</f>
        <v>347400000</v>
      </c>
      <c r="BC1385" s="8">
        <f t="shared" si="679"/>
        <v>0.75365976779404342</v>
      </c>
      <c r="BD1385" s="6" t="s">
        <v>7769</v>
      </c>
      <c r="BE1385" s="6" t="str">
        <f t="shared" si="663"/>
        <v>=1.981*100000000</v>
      </c>
      <c r="BF1385" s="1">
        <f>1.981*100000000</f>
        <v>198100000</v>
      </c>
      <c r="BG1385" s="8">
        <f t="shared" si="680"/>
        <v>5.5509259259259256</v>
      </c>
      <c r="BH1385" s="7" t="s">
        <v>2128</v>
      </c>
      <c r="BI1385" s="6" t="str">
        <f t="shared" si="664"/>
        <v>=3024*10000</v>
      </c>
      <c r="BJ1385" s="1">
        <f>3024*10000</f>
        <v>30240000</v>
      </c>
      <c r="BK1385" s="7" t="s">
        <v>13678</v>
      </c>
      <c r="BL1385" s="1" t="str">
        <f t="shared" si="666"/>
        <v>=6314*10000</v>
      </c>
      <c r="BM1385" s="16">
        <f t="shared" si="681"/>
        <v>-0.52106430155210648</v>
      </c>
      <c r="BN1385" s="1">
        <f>6314*10000</f>
        <v>63140000</v>
      </c>
    </row>
    <row r="1386" spans="1:66">
      <c r="A1386" s="17">
        <v>348</v>
      </c>
      <c r="B1386">
        <v>601588</v>
      </c>
      <c r="C1386" t="s">
        <v>31</v>
      </c>
      <c r="D1386" s="6" t="s">
        <v>13679</v>
      </c>
      <c r="E1386" s="7" t="str">
        <f t="shared" si="665"/>
        <v>=220.9*100000000</v>
      </c>
      <c r="F1386" s="1">
        <f>220.9*100000000</f>
        <v>22090000000</v>
      </c>
      <c r="G1386" s="8">
        <f t="shared" si="667"/>
        <v>0.28504944735311227</v>
      </c>
      <c r="H1386" s="6" t="s">
        <v>8013</v>
      </c>
      <c r="I1386" s="6" t="str">
        <f t="shared" si="651"/>
        <v>=171.9*100000000</v>
      </c>
      <c r="J1386" s="1">
        <f>171.9*100000000</f>
        <v>17190000000</v>
      </c>
      <c r="K1386" s="10">
        <f t="shared" si="668"/>
        <v>0.6787109375</v>
      </c>
      <c r="L1386" s="6" t="s">
        <v>12563</v>
      </c>
      <c r="M1386" s="6" t="str">
        <f t="shared" si="652"/>
        <v>=102.4*100000000</v>
      </c>
      <c r="N1386" s="1">
        <f>102.4*100000000</f>
        <v>10240000000</v>
      </c>
      <c r="O1386" s="8">
        <f t="shared" si="669"/>
        <v>0.56240463838876997</v>
      </c>
      <c r="P1386" s="6" t="s">
        <v>11835</v>
      </c>
      <c r="Q1386" s="6" t="str">
        <f t="shared" si="653"/>
        <v>=65.54*100000000</v>
      </c>
      <c r="R1386" s="11">
        <f>65.54*100000000</f>
        <v>6554000000.000001</v>
      </c>
      <c r="S1386" s="8">
        <f t="shared" si="670"/>
        <v>-0.63588888888888884</v>
      </c>
      <c r="T1386" s="6" t="s">
        <v>7340</v>
      </c>
      <c r="U1386" s="6" t="str">
        <f t="shared" si="654"/>
        <v>=180.0*100000000</v>
      </c>
      <c r="V1386" s="1">
        <f>180*100000000</f>
        <v>18000000000</v>
      </c>
      <c r="W1386" s="8">
        <f t="shared" si="671"/>
        <v>2.7305699481865284</v>
      </c>
      <c r="X1386" s="6" t="s">
        <v>13680</v>
      </c>
      <c r="Y1386" s="6" t="str">
        <f t="shared" si="655"/>
        <v>=48.25*100000000</v>
      </c>
      <c r="Z1386" s="1">
        <f>48.25*100000000</f>
        <v>4825000000</v>
      </c>
      <c r="AA1386" s="8">
        <f t="shared" si="672"/>
        <v>0.44072857569423707</v>
      </c>
      <c r="AB1386" s="6" t="s">
        <v>12457</v>
      </c>
      <c r="AC1386" s="6" t="str">
        <f t="shared" si="656"/>
        <v>=33.49*100000000</v>
      </c>
      <c r="AD1386" s="1">
        <f>33.49*100000000</f>
        <v>3349000000</v>
      </c>
      <c r="AE1386" s="8">
        <f t="shared" si="673"/>
        <v>0.34822866344605474</v>
      </c>
      <c r="AF1386" s="6" t="s">
        <v>10229</v>
      </c>
      <c r="AG1386" s="6" t="str">
        <f t="shared" si="657"/>
        <v>=24.84*100000000</v>
      </c>
      <c r="AH1386" s="1">
        <f>24.84*100000000</f>
        <v>2484000000</v>
      </c>
      <c r="AI1386" s="8">
        <f t="shared" si="674"/>
        <v>-0.87654075546719679</v>
      </c>
      <c r="AJ1386" s="6" t="s">
        <v>13681</v>
      </c>
      <c r="AK1386" s="6" t="str">
        <f t="shared" si="658"/>
        <v>=201.2*100000000</v>
      </c>
      <c r="AL1386" s="1">
        <f>201.2*100000000</f>
        <v>20120000000</v>
      </c>
      <c r="AM1386" s="8">
        <f t="shared" si="675"/>
        <v>0.99801390268123136</v>
      </c>
      <c r="AN1386" s="6" t="s">
        <v>4949</v>
      </c>
      <c r="AO1386" s="6" t="str">
        <f t="shared" si="659"/>
        <v>=100.7*100000000</v>
      </c>
      <c r="AP1386" s="1">
        <f>100.7*100000000</f>
        <v>10070000000</v>
      </c>
      <c r="AQ1386" s="8">
        <f t="shared" si="676"/>
        <v>0.1779155456778572</v>
      </c>
      <c r="AR1386" s="6" t="s">
        <v>13682</v>
      </c>
      <c r="AS1386" s="6" t="str">
        <f t="shared" si="660"/>
        <v>=85.49*100000000</v>
      </c>
      <c r="AT1386" s="1">
        <f>85.49*100000000</f>
        <v>8548999999.999999</v>
      </c>
      <c r="AU1386" s="8">
        <f t="shared" si="677"/>
        <v>0.69522109855244874</v>
      </c>
      <c r="AV1386" s="6" t="s">
        <v>13683</v>
      </c>
      <c r="AW1386" s="6" t="str">
        <f t="shared" si="661"/>
        <v>=50.43*100000000</v>
      </c>
      <c r="AX1386" s="1">
        <f>50.43*100000000</f>
        <v>5043000000</v>
      </c>
      <c r="AY1386" s="10">
        <f t="shared" si="678"/>
        <v>-0.71763717805151173</v>
      </c>
      <c r="AZ1386" s="6" t="s">
        <v>518</v>
      </c>
      <c r="BA1386" s="6" t="str">
        <f t="shared" si="662"/>
        <v>=178.6*100000000</v>
      </c>
      <c r="BB1386" s="1">
        <f>178.6*100000000</f>
        <v>17860000000</v>
      </c>
      <c r="BC1386" s="8">
        <f t="shared" si="679"/>
        <v>0.6567717996289425</v>
      </c>
      <c r="BD1386" s="6" t="s">
        <v>4719</v>
      </c>
      <c r="BE1386" s="6" t="str">
        <f t="shared" si="663"/>
        <v>=107.8*100000000</v>
      </c>
      <c r="BF1386" s="1">
        <f>107.8*100000000</f>
        <v>10780000000</v>
      </c>
      <c r="BG1386" s="8">
        <f t="shared" si="680"/>
        <v>0.97074954296160876</v>
      </c>
      <c r="BH1386" s="6" t="s">
        <v>8757</v>
      </c>
      <c r="BI1386" s="6" t="str">
        <f t="shared" si="664"/>
        <v>=54.70*100000000</v>
      </c>
      <c r="BJ1386" s="1">
        <f>54.7*100000000</f>
        <v>5470000000</v>
      </c>
      <c r="BK1386" s="6" t="s">
        <v>2668</v>
      </c>
      <c r="BL1386" s="1" t="str">
        <f t="shared" si="666"/>
        <v>=17.28*100000000</v>
      </c>
      <c r="BM1386" s="16">
        <f t="shared" si="681"/>
        <v>2.1655092592592591</v>
      </c>
      <c r="BN1386" s="1">
        <f>17.28*100000000</f>
        <v>1728000000</v>
      </c>
    </row>
    <row r="1387" spans="1:66">
      <c r="A1387" s="18"/>
      <c r="B1387">
        <v>601588</v>
      </c>
      <c r="C1387" t="s">
        <v>48</v>
      </c>
      <c r="D1387" s="6" t="s">
        <v>13684</v>
      </c>
      <c r="E1387" s="7" t="str">
        <f t="shared" si="665"/>
        <v>=5.615*100000000</v>
      </c>
      <c r="F1387" s="1">
        <f>5.615*100000000</f>
        <v>561500000</v>
      </c>
      <c r="G1387" s="8">
        <f t="shared" si="667"/>
        <v>-9.8426461143224148E-2</v>
      </c>
      <c r="H1387" s="6" t="s">
        <v>13685</v>
      </c>
      <c r="I1387" s="6" t="str">
        <f t="shared" si="651"/>
        <v>=6.228*100000000</v>
      </c>
      <c r="J1387" s="1">
        <f>6.228*100000000</f>
        <v>622800000</v>
      </c>
      <c r="K1387" s="10">
        <f t="shared" si="668"/>
        <v>0.14107731769879076</v>
      </c>
      <c r="L1387" s="6" t="s">
        <v>10482</v>
      </c>
      <c r="M1387" s="6" t="str">
        <f t="shared" si="652"/>
        <v>=5.458*100000000</v>
      </c>
      <c r="N1387" s="1">
        <f>5.458*100000000</f>
        <v>545800000</v>
      </c>
      <c r="O1387" s="8">
        <f t="shared" si="669"/>
        <v>0.20246750385547493</v>
      </c>
      <c r="P1387" s="6" t="s">
        <v>13686</v>
      </c>
      <c r="Q1387" s="6" t="str">
        <f t="shared" si="653"/>
        <v>=4.539*100000000</v>
      </c>
      <c r="R1387" s="11">
        <f>4.539*100000000</f>
        <v>453899999.99999994</v>
      </c>
      <c r="S1387" s="8">
        <f t="shared" si="670"/>
        <v>-0.61105398457583548</v>
      </c>
      <c r="T1387" s="6" t="s">
        <v>1549</v>
      </c>
      <c r="U1387" s="6" t="str">
        <f t="shared" si="654"/>
        <v>=11.67*100000000</v>
      </c>
      <c r="V1387" s="1">
        <f>11.67*100000000</f>
        <v>1167000000</v>
      </c>
      <c r="W1387" s="8">
        <f t="shared" si="671"/>
        <v>3.0633704735376046</v>
      </c>
      <c r="X1387" s="6" t="s">
        <v>4488</v>
      </c>
      <c r="Y1387" s="6" t="str">
        <f t="shared" si="655"/>
        <v>=2.872*100000000</v>
      </c>
      <c r="Z1387" s="1">
        <f>2.872*100000000</f>
        <v>287200000</v>
      </c>
      <c r="AA1387" s="8">
        <f t="shared" si="672"/>
        <v>-1.3397457918241155E-2</v>
      </c>
      <c r="AB1387" s="6" t="s">
        <v>13687</v>
      </c>
      <c r="AC1387" s="6" t="str">
        <f t="shared" si="656"/>
        <v>=2.911*100000000</v>
      </c>
      <c r="AD1387" s="1">
        <f>2.911*100000000</f>
        <v>291100000</v>
      </c>
      <c r="AE1387" s="8">
        <f t="shared" si="673"/>
        <v>-0.10403200984918437</v>
      </c>
      <c r="AF1387" s="6" t="s">
        <v>10191</v>
      </c>
      <c r="AG1387" s="6" t="str">
        <f t="shared" si="657"/>
        <v>=3.249*100000000</v>
      </c>
      <c r="AH1387" s="1">
        <f>3.249*100000000</f>
        <v>324900000</v>
      </c>
      <c r="AI1387" s="8">
        <f t="shared" si="674"/>
        <v>-0.88168244719592137</v>
      </c>
      <c r="AJ1387" s="6" t="s">
        <v>13688</v>
      </c>
      <c r="AK1387" s="6" t="str">
        <f t="shared" si="658"/>
        <v>=27.46*100000000</v>
      </c>
      <c r="AL1387" s="1">
        <f>27.46*100000000</f>
        <v>2746000000</v>
      </c>
      <c r="AM1387" s="8">
        <f t="shared" si="675"/>
        <v>0.34872298624754422</v>
      </c>
      <c r="AN1387" s="6" t="s">
        <v>2633</v>
      </c>
      <c r="AO1387" s="6" t="str">
        <f t="shared" si="659"/>
        <v>=20.36*100000000</v>
      </c>
      <c r="AP1387" s="1">
        <f>20.36*100000000</f>
        <v>2036000000</v>
      </c>
      <c r="AQ1387" s="8">
        <f t="shared" si="676"/>
        <v>4.41025641025641E-2</v>
      </c>
      <c r="AR1387" s="6" t="s">
        <v>13689</v>
      </c>
      <c r="AS1387" s="6" t="str">
        <f t="shared" si="660"/>
        <v>=19.50*100000000</v>
      </c>
      <c r="AT1387" s="1">
        <f>19.5*100000000</f>
        <v>1950000000</v>
      </c>
      <c r="AU1387" s="8">
        <f t="shared" si="677"/>
        <v>0.6062602965403624</v>
      </c>
      <c r="AV1387" s="6" t="s">
        <v>2082</v>
      </c>
      <c r="AW1387" s="6" t="str">
        <f t="shared" si="661"/>
        <v>=12.14*100000000</v>
      </c>
      <c r="AX1387" s="1">
        <f>12.14*100000000</f>
        <v>1214000000</v>
      </c>
      <c r="AY1387" s="10">
        <f t="shared" si="678"/>
        <v>-0.56735566642908053</v>
      </c>
      <c r="AZ1387" s="6" t="s">
        <v>13690</v>
      </c>
      <c r="BA1387" s="6" t="str">
        <f t="shared" si="662"/>
        <v>=28.06*100000000</v>
      </c>
      <c r="BB1387" s="1">
        <f>28.06*100000000</f>
        <v>2806000000</v>
      </c>
      <c r="BC1387" s="8">
        <f t="shared" si="679"/>
        <v>0.29727230698104484</v>
      </c>
      <c r="BD1387" s="6" t="s">
        <v>709</v>
      </c>
      <c r="BE1387" s="6" t="str">
        <f t="shared" si="663"/>
        <v>=21.63*100000000</v>
      </c>
      <c r="BF1387" s="1">
        <f>21.63*100000000</f>
        <v>2163000000</v>
      </c>
      <c r="BG1387" s="8">
        <f t="shared" si="680"/>
        <v>0.93643688451208595</v>
      </c>
      <c r="BH1387" s="6" t="s">
        <v>1597</v>
      </c>
      <c r="BI1387" s="6" t="str">
        <f t="shared" si="664"/>
        <v>=11.17*100000000</v>
      </c>
      <c r="BJ1387" s="1">
        <f>11.17*100000000</f>
        <v>1117000000</v>
      </c>
      <c r="BK1387" s="6" t="s">
        <v>586</v>
      </c>
      <c r="BL1387" s="1" t="str">
        <f t="shared" si="666"/>
        <v>=2.445*100000000</v>
      </c>
      <c r="BM1387" s="16">
        <f t="shared" si="681"/>
        <v>3.5685071574642131</v>
      </c>
      <c r="BN1387" s="1">
        <f>2.445*100000000</f>
        <v>244499999.99999997</v>
      </c>
    </row>
    <row r="1388" spans="1:66">
      <c r="A1388" s="18"/>
      <c r="B1388">
        <v>601588</v>
      </c>
      <c r="C1388" t="s">
        <v>58</v>
      </c>
      <c r="D1388" s="6" t="s">
        <v>13691</v>
      </c>
      <c r="E1388" s="7" t="str">
        <f t="shared" si="665"/>
        <v>=5.652*100000000</v>
      </c>
      <c r="F1388" s="1">
        <f>5.652*100000000</f>
        <v>565200000</v>
      </c>
      <c r="G1388" s="8">
        <f t="shared" si="667"/>
        <v>-0.11048158640226628</v>
      </c>
      <c r="H1388" s="6" t="s">
        <v>5158</v>
      </c>
      <c r="I1388" s="6" t="str">
        <f t="shared" si="651"/>
        <v>=6.354*100000000</v>
      </c>
      <c r="J1388" s="1">
        <f>6.354*100000000</f>
        <v>635400000</v>
      </c>
      <c r="K1388" s="10">
        <f t="shared" si="668"/>
        <v>0.15485278080697928</v>
      </c>
      <c r="L1388" s="6" t="s">
        <v>13692</v>
      </c>
      <c r="M1388" s="6" t="str">
        <f t="shared" si="652"/>
        <v>=5.502*100000000</v>
      </c>
      <c r="N1388" s="1">
        <f>5.502*100000000</f>
        <v>550200000</v>
      </c>
      <c r="O1388" s="8">
        <f t="shared" si="669"/>
        <v>0.20157239571958943</v>
      </c>
      <c r="P1388" s="6" t="s">
        <v>2792</v>
      </c>
      <c r="Q1388" s="6" t="str">
        <f t="shared" si="653"/>
        <v>=4.579*100000000</v>
      </c>
      <c r="R1388" s="11">
        <f>4.579*100000000</f>
        <v>457900000</v>
      </c>
      <c r="S1388" s="8">
        <f t="shared" si="670"/>
        <v>-0.60525862068965519</v>
      </c>
      <c r="T1388" s="6" t="s">
        <v>5356</v>
      </c>
      <c r="U1388" s="6" t="str">
        <f t="shared" si="654"/>
        <v>=11.60*100000000</v>
      </c>
      <c r="V1388" s="1">
        <f>11.6*100000000</f>
        <v>1160000000</v>
      </c>
      <c r="W1388" s="8">
        <f t="shared" si="671"/>
        <v>2.9136302294197032</v>
      </c>
      <c r="X1388" s="6" t="s">
        <v>13693</v>
      </c>
      <c r="Y1388" s="6" t="str">
        <f t="shared" si="655"/>
        <v>=2.964*100000000</v>
      </c>
      <c r="Z1388" s="1">
        <f>2.964*100000000</f>
        <v>296400000</v>
      </c>
      <c r="AA1388" s="8">
        <f t="shared" si="672"/>
        <v>1.0914051841746248E-2</v>
      </c>
      <c r="AB1388" s="6" t="s">
        <v>10963</v>
      </c>
      <c r="AC1388" s="6" t="str">
        <f t="shared" si="656"/>
        <v>=2.932*100000000</v>
      </c>
      <c r="AD1388" s="1">
        <f>2.932*100000000</f>
        <v>293200000</v>
      </c>
      <c r="AE1388" s="8">
        <f t="shared" si="673"/>
        <v>-0.10935601458080195</v>
      </c>
      <c r="AF1388" s="6" t="s">
        <v>13694</v>
      </c>
      <c r="AG1388" s="6" t="str">
        <f t="shared" si="657"/>
        <v>=3.292*100000000</v>
      </c>
      <c r="AH1388" s="1">
        <f>3.292*100000000</f>
        <v>329200000</v>
      </c>
      <c r="AI1388" s="8">
        <f t="shared" si="674"/>
        <v>-0.88085414404632645</v>
      </c>
      <c r="AJ1388" s="6" t="s">
        <v>11309</v>
      </c>
      <c r="AK1388" s="6" t="str">
        <f t="shared" si="658"/>
        <v>=27.63*100000000</v>
      </c>
      <c r="AL1388" s="1">
        <f>27.63*100000000</f>
        <v>2763000000</v>
      </c>
      <c r="AM1388" s="8">
        <f t="shared" si="675"/>
        <v>0.35176125244618378</v>
      </c>
      <c r="AN1388" s="6" t="s">
        <v>13695</v>
      </c>
      <c r="AO1388" s="6" t="str">
        <f t="shared" si="659"/>
        <v>=20.44*100000000</v>
      </c>
      <c r="AP1388" s="1">
        <f>20.44*100000000</f>
        <v>2044000000.0000002</v>
      </c>
      <c r="AQ1388" s="8">
        <f t="shared" si="676"/>
        <v>4.8205128205128331E-2</v>
      </c>
      <c r="AR1388" s="6" t="s">
        <v>13689</v>
      </c>
      <c r="AS1388" s="6" t="str">
        <f t="shared" si="660"/>
        <v>=19.50*100000000</v>
      </c>
      <c r="AT1388" s="1">
        <f>19.5*100000000</f>
        <v>1950000000</v>
      </c>
      <c r="AU1388" s="8">
        <f t="shared" si="677"/>
        <v>0.59836065573770492</v>
      </c>
      <c r="AV1388" s="6" t="s">
        <v>13696</v>
      </c>
      <c r="AW1388" s="6" t="str">
        <f t="shared" si="661"/>
        <v>=12.20*100000000</v>
      </c>
      <c r="AX1388" s="1">
        <f>12.2*100000000</f>
        <v>1220000000</v>
      </c>
      <c r="AY1388" s="10">
        <f t="shared" si="678"/>
        <v>-0.56428571428571428</v>
      </c>
      <c r="AZ1388" s="6" t="s">
        <v>13697</v>
      </c>
      <c r="BA1388" s="6" t="str">
        <f t="shared" si="662"/>
        <v>=28.00*100000000</v>
      </c>
      <c r="BB1388" s="1">
        <f>28*100000000</f>
        <v>2800000000</v>
      </c>
      <c r="BC1388" s="8">
        <f t="shared" si="679"/>
        <v>0.28794848206071755</v>
      </c>
      <c r="BD1388" s="6" t="s">
        <v>730</v>
      </c>
      <c r="BE1388" s="6" t="str">
        <f t="shared" si="663"/>
        <v>=21.74*100000000</v>
      </c>
      <c r="BF1388" s="1">
        <f>21.74*100000000</f>
        <v>2174000000</v>
      </c>
      <c r="BG1388" s="8">
        <f t="shared" si="680"/>
        <v>0.9341637010676157</v>
      </c>
      <c r="BH1388" s="6" t="s">
        <v>13698</v>
      </c>
      <c r="BI1388" s="6" t="str">
        <f t="shared" si="664"/>
        <v>=11.24*100000000</v>
      </c>
      <c r="BJ1388" s="1">
        <f>11.24*100000000</f>
        <v>1124000000</v>
      </c>
      <c r="BK1388" s="6" t="s">
        <v>13699</v>
      </c>
      <c r="BL1388" s="1" t="str">
        <f t="shared" si="666"/>
        <v>=2.470*100000000</v>
      </c>
      <c r="BM1388" s="16">
        <f t="shared" si="681"/>
        <v>3.5506072874493921</v>
      </c>
      <c r="BN1388" s="1">
        <f>2.47*100000000</f>
        <v>247000000.00000003</v>
      </c>
    </row>
    <row r="1389" spans="1:66">
      <c r="A1389" s="19"/>
      <c r="B1389">
        <v>601588</v>
      </c>
      <c r="C1389" t="s">
        <v>68</v>
      </c>
      <c r="D1389" s="7" t="s">
        <v>13700</v>
      </c>
      <c r="E1389" s="7" t="str">
        <f t="shared" si="665"/>
        <v>=9916*10000</v>
      </c>
      <c r="F1389" s="1">
        <f>9916*10000</f>
        <v>99160000</v>
      </c>
      <c r="G1389" s="8">
        <f t="shared" si="667"/>
        <v>-0.58597077244258877</v>
      </c>
      <c r="H1389" s="6" t="s">
        <v>11269</v>
      </c>
      <c r="I1389" s="6" t="str">
        <f t="shared" si="651"/>
        <v>=2.395*100000000</v>
      </c>
      <c r="J1389" s="1">
        <f>2.395*100000000</f>
        <v>239500000</v>
      </c>
      <c r="K1389" s="10">
        <f t="shared" si="668"/>
        <v>4.4027898866608545E-2</v>
      </c>
      <c r="L1389" s="6" t="s">
        <v>6973</v>
      </c>
      <c r="M1389" s="6" t="str">
        <f t="shared" si="652"/>
        <v>=2.294*100000000</v>
      </c>
      <c r="N1389" s="1">
        <f>2.294*100000000</f>
        <v>229400000</v>
      </c>
      <c r="O1389" s="8">
        <f t="shared" si="669"/>
        <v>-0.27656890570797854</v>
      </c>
      <c r="P1389" s="6" t="s">
        <v>158</v>
      </c>
      <c r="Q1389" s="6" t="str">
        <f t="shared" si="653"/>
        <v>=3.171*100000000</v>
      </c>
      <c r="R1389" s="11">
        <f>3.171*100000000</f>
        <v>317100000</v>
      </c>
      <c r="S1389" s="8">
        <f t="shared" si="670"/>
        <v>-0.44947916666666665</v>
      </c>
      <c r="T1389" s="6" t="s">
        <v>9742</v>
      </c>
      <c r="U1389" s="6" t="str">
        <f t="shared" si="654"/>
        <v>=5.760*100000000</v>
      </c>
      <c r="V1389" s="1">
        <f>5.76*100000000</f>
        <v>576000000</v>
      </c>
      <c r="W1389" s="8">
        <f t="shared" si="671"/>
        <v>2.041182682154171</v>
      </c>
      <c r="X1389" s="6" t="s">
        <v>13701</v>
      </c>
      <c r="Y1389" s="6" t="str">
        <f t="shared" si="655"/>
        <v>=1.894*100000000</v>
      </c>
      <c r="Z1389" s="1">
        <f>1.894*100000000</f>
        <v>189400000</v>
      </c>
      <c r="AA1389" s="8">
        <f t="shared" si="672"/>
        <v>1.1211959423384944E-2</v>
      </c>
      <c r="AB1389" s="6" t="s">
        <v>12245</v>
      </c>
      <c r="AC1389" s="6" t="str">
        <f t="shared" si="656"/>
        <v>=1.873*100000000</v>
      </c>
      <c r="AD1389" s="1">
        <f>1.873*100000000</f>
        <v>187300000</v>
      </c>
      <c r="AE1389" s="8">
        <f t="shared" si="673"/>
        <v>-0.2326915198689061</v>
      </c>
      <c r="AF1389" s="6" t="s">
        <v>3479</v>
      </c>
      <c r="AG1389" s="6" t="str">
        <f t="shared" si="657"/>
        <v>=2.441*100000000</v>
      </c>
      <c r="AH1389" s="1">
        <f>2.441*100000000</f>
        <v>244099999.99999997</v>
      </c>
      <c r="AI1389" s="8">
        <f t="shared" si="674"/>
        <v>-0.86762472885032538</v>
      </c>
      <c r="AJ1389" s="6" t="s">
        <v>233</v>
      </c>
      <c r="AK1389" s="6" t="str">
        <f t="shared" si="658"/>
        <v>=18.44*100000000</v>
      </c>
      <c r="AL1389" s="1">
        <f>18.44*100000000</f>
        <v>1844000000.0000002</v>
      </c>
      <c r="AM1389" s="8">
        <f t="shared" si="675"/>
        <v>0.22769640479360867</v>
      </c>
      <c r="AN1389" s="6" t="s">
        <v>2841</v>
      </c>
      <c r="AO1389" s="6" t="str">
        <f t="shared" si="659"/>
        <v>=15.02*100000000</v>
      </c>
      <c r="AP1389" s="1">
        <f>15.02*100000000</f>
        <v>1502000000</v>
      </c>
      <c r="AQ1389" s="8">
        <f t="shared" si="676"/>
        <v>3.8727524204702629E-2</v>
      </c>
      <c r="AR1389" s="6" t="s">
        <v>7955</v>
      </c>
      <c r="AS1389" s="6" t="str">
        <f t="shared" si="660"/>
        <v>=14.46*100000000</v>
      </c>
      <c r="AT1389" s="1">
        <f>14.46*100000000</f>
        <v>1446000000</v>
      </c>
      <c r="AU1389" s="8">
        <f t="shared" si="677"/>
        <v>0.5993805994912067</v>
      </c>
      <c r="AV1389" s="6" t="s">
        <v>4019</v>
      </c>
      <c r="AW1389" s="6" t="str">
        <f t="shared" si="661"/>
        <v>=9.041*100000000</v>
      </c>
      <c r="AX1389" s="1">
        <f>9.041*100000000</f>
        <v>904100000</v>
      </c>
      <c r="AY1389" s="10">
        <f t="shared" si="678"/>
        <v>-0.5463622679377822</v>
      </c>
      <c r="AZ1389" s="6" t="s">
        <v>13702</v>
      </c>
      <c r="BA1389" s="6" t="str">
        <f t="shared" si="662"/>
        <v>=19.93*100000000</v>
      </c>
      <c r="BB1389" s="1">
        <f>19.93*100000000</f>
        <v>1993000000</v>
      </c>
      <c r="BC1389" s="8">
        <f t="shared" si="679"/>
        <v>0.22495390288875231</v>
      </c>
      <c r="BD1389" s="6" t="s">
        <v>2636</v>
      </c>
      <c r="BE1389" s="6" t="str">
        <f t="shared" si="663"/>
        <v>=16.27*100000000</v>
      </c>
      <c r="BF1389" s="1">
        <f>16.27*100000000</f>
        <v>1627000000</v>
      </c>
      <c r="BG1389" s="8">
        <f t="shared" si="680"/>
        <v>0.90895224686143372</v>
      </c>
      <c r="BH1389" s="6" t="s">
        <v>13703</v>
      </c>
      <c r="BI1389" s="6" t="str">
        <f t="shared" si="664"/>
        <v>=8.523*100000000</v>
      </c>
      <c r="BJ1389" s="1">
        <f>8.523*100000000</f>
        <v>852300000</v>
      </c>
      <c r="BK1389" s="6" t="s">
        <v>10936</v>
      </c>
      <c r="BL1389" s="1" t="str">
        <f t="shared" si="666"/>
        <v>=1.792*100000000</v>
      </c>
      <c r="BM1389" s="16">
        <f t="shared" si="681"/>
        <v>3.7561383928571428</v>
      </c>
      <c r="BN1389" s="1">
        <f>1.792*100000000</f>
        <v>179200000</v>
      </c>
    </row>
    <row r="1390" spans="1:66">
      <c r="A1390" s="17">
        <v>349</v>
      </c>
      <c r="B1390">
        <v>601600</v>
      </c>
      <c r="C1390" t="s">
        <v>31</v>
      </c>
      <c r="D1390" s="6" t="s">
        <v>953</v>
      </c>
      <c r="E1390" s="7" t="str">
        <f t="shared" si="665"/>
        <v>=2697*100000000</v>
      </c>
      <c r="F1390" s="1">
        <f>2697*100000000</f>
        <v>269700000000</v>
      </c>
      <c r="G1390" s="8">
        <f t="shared" si="667"/>
        <v>0.38378655720882504</v>
      </c>
      <c r="H1390" s="6" t="s">
        <v>13704</v>
      </c>
      <c r="I1390" s="6" t="str">
        <f t="shared" si="651"/>
        <v>=1949*100000000</v>
      </c>
      <c r="J1390" s="1">
        <f>1949*100000000</f>
        <v>194900000000</v>
      </c>
      <c r="K1390" s="10">
        <f t="shared" si="668"/>
        <v>0.61474730737365368</v>
      </c>
      <c r="L1390" s="6" t="s">
        <v>13705</v>
      </c>
      <c r="M1390" s="6" t="str">
        <f t="shared" si="652"/>
        <v>=1207*100000000</v>
      </c>
      <c r="N1390" s="1">
        <f>1207*100000000</f>
        <v>120700000000</v>
      </c>
      <c r="O1390" s="8">
        <f t="shared" si="669"/>
        <v>1.2942406386618515</v>
      </c>
      <c r="P1390" s="6" t="s">
        <v>13706</v>
      </c>
      <c r="Q1390" s="6" t="str">
        <f t="shared" si="653"/>
        <v>=526.1*100000000</v>
      </c>
      <c r="R1390" s="11">
        <f>526.1*100000000</f>
        <v>52610000000</v>
      </c>
      <c r="S1390" s="8">
        <f t="shared" si="670"/>
        <v>-0.71715053763440861</v>
      </c>
      <c r="T1390" s="6" t="s">
        <v>13707</v>
      </c>
      <c r="U1390" s="6" t="str">
        <f t="shared" si="654"/>
        <v>=1860*100000000</v>
      </c>
      <c r="V1390" s="1">
        <f>1860*100000000</f>
        <v>186000000000</v>
      </c>
      <c r="W1390" s="8">
        <f t="shared" si="671"/>
        <v>0.3963963963963964</v>
      </c>
      <c r="X1390" s="6" t="s">
        <v>13708</v>
      </c>
      <c r="Y1390" s="6" t="str">
        <f t="shared" si="655"/>
        <v>=1332*100000000</v>
      </c>
      <c r="Z1390" s="1">
        <f>1332*100000000</f>
        <v>133200000000</v>
      </c>
      <c r="AA1390" s="8">
        <f t="shared" si="672"/>
        <v>0.58364047081203185</v>
      </c>
      <c r="AB1390" s="6" t="s">
        <v>13709</v>
      </c>
      <c r="AC1390" s="6" t="str">
        <f t="shared" si="656"/>
        <v>=841.1*100000000</v>
      </c>
      <c r="AD1390" s="1">
        <f>841.1*100000000</f>
        <v>84110000000</v>
      </c>
      <c r="AE1390" s="8">
        <f t="shared" si="673"/>
        <v>1.1186397984886649</v>
      </c>
      <c r="AF1390" s="6" t="s">
        <v>13710</v>
      </c>
      <c r="AG1390" s="6" t="str">
        <f t="shared" si="657"/>
        <v>=397.0*100000000</v>
      </c>
      <c r="AH1390" s="1">
        <f>397*100000000</f>
        <v>39700000000</v>
      </c>
      <c r="AI1390" s="8">
        <f t="shared" si="674"/>
        <v>-0.79127234490010512</v>
      </c>
      <c r="AJ1390" s="6" t="s">
        <v>13711</v>
      </c>
      <c r="AK1390" s="6" t="str">
        <f t="shared" si="658"/>
        <v>=1902*100000000</v>
      </c>
      <c r="AL1390" s="1">
        <f>1902*100000000</f>
        <v>190200000000</v>
      </c>
      <c r="AM1390" s="8">
        <f t="shared" si="675"/>
        <v>0.30452674897119342</v>
      </c>
      <c r="AN1390" s="6" t="s">
        <v>13712</v>
      </c>
      <c r="AO1390" s="6" t="str">
        <f t="shared" si="659"/>
        <v>=1458*100000000</v>
      </c>
      <c r="AP1390" s="1">
        <f>1458*100000000</f>
        <v>145800000000</v>
      </c>
      <c r="AQ1390" s="8">
        <f t="shared" si="676"/>
        <v>0.53441380761944857</v>
      </c>
      <c r="AR1390" s="6" t="s">
        <v>13713</v>
      </c>
      <c r="AS1390" s="6" t="str">
        <f t="shared" si="660"/>
        <v>=950.2*100000000</v>
      </c>
      <c r="AT1390" s="1">
        <f>950.2*100000000</f>
        <v>95020000000</v>
      </c>
      <c r="AU1390" s="8">
        <f t="shared" si="677"/>
        <v>1.2041289723961959</v>
      </c>
      <c r="AV1390" s="6" t="s">
        <v>7987</v>
      </c>
      <c r="AW1390" s="6" t="str">
        <f t="shared" si="661"/>
        <v>=431.1*100000000</v>
      </c>
      <c r="AX1390" s="1">
        <f>431.1*100000000</f>
        <v>43110000000</v>
      </c>
      <c r="AY1390" s="10">
        <f t="shared" si="678"/>
        <v>-0.76076581576026636</v>
      </c>
      <c r="AZ1390" s="6" t="s">
        <v>13714</v>
      </c>
      <c r="BA1390" s="6" t="str">
        <f t="shared" si="662"/>
        <v>=1802*100000000</v>
      </c>
      <c r="BB1390" s="1">
        <f>1802*100000000</f>
        <v>180200000000</v>
      </c>
      <c r="BC1390" s="8">
        <f t="shared" si="679"/>
        <v>0.43357199681782022</v>
      </c>
      <c r="BD1390" s="6" t="s">
        <v>13715</v>
      </c>
      <c r="BE1390" s="6" t="str">
        <f t="shared" si="663"/>
        <v>=1257*100000000</v>
      </c>
      <c r="BF1390" s="1">
        <f>1257*100000000</f>
        <v>125700000000</v>
      </c>
      <c r="BG1390" s="8">
        <f t="shared" si="680"/>
        <v>0.52567059109115188</v>
      </c>
      <c r="BH1390" s="6" t="s">
        <v>13716</v>
      </c>
      <c r="BI1390" s="6" t="str">
        <f t="shared" si="664"/>
        <v>=823.9*100000000</v>
      </c>
      <c r="BJ1390" s="1">
        <f>823.9*100000000</f>
        <v>82390000000</v>
      </c>
      <c r="BK1390" s="6" t="s">
        <v>13717</v>
      </c>
      <c r="BL1390" s="1" t="str">
        <f t="shared" si="666"/>
        <v>=367.4*100000000</v>
      </c>
      <c r="BM1390" s="16">
        <f t="shared" si="681"/>
        <v>1.2425149700598803</v>
      </c>
      <c r="BN1390" s="1">
        <f>367.4*100000000</f>
        <v>36740000000</v>
      </c>
    </row>
    <row r="1391" spans="1:66">
      <c r="A1391" s="18"/>
      <c r="B1391">
        <v>601600</v>
      </c>
      <c r="C1391" t="s">
        <v>48</v>
      </c>
      <c r="D1391" s="6" t="s">
        <v>312</v>
      </c>
      <c r="E1391" s="7" t="str">
        <f t="shared" si="665"/>
        <v>=112.1*100000000</v>
      </c>
      <c r="F1391" s="1">
        <f>112.1*100000000</f>
        <v>11210000000</v>
      </c>
      <c r="G1391" s="8">
        <f t="shared" si="667"/>
        <v>2.938475665748393E-2</v>
      </c>
      <c r="H1391" s="6" t="s">
        <v>12463</v>
      </c>
      <c r="I1391" s="6" t="str">
        <f t="shared" si="651"/>
        <v>=108.9*100000000</v>
      </c>
      <c r="J1391" s="1">
        <f>108.9*100000000</f>
        <v>10890000000</v>
      </c>
      <c r="K1391" s="10">
        <f t="shared" si="668"/>
        <v>0.62101816016671607</v>
      </c>
      <c r="L1391" s="6" t="s">
        <v>13718</v>
      </c>
      <c r="M1391" s="6" t="str">
        <f t="shared" si="652"/>
        <v>=67.18*100000000</v>
      </c>
      <c r="N1391" s="1">
        <f>67.18*100000000</f>
        <v>6718000000.000001</v>
      </c>
      <c r="O1391" s="8">
        <f t="shared" si="669"/>
        <v>2.2947523295733205</v>
      </c>
      <c r="P1391" s="6" t="s">
        <v>3333</v>
      </c>
      <c r="Q1391" s="6" t="str">
        <f t="shared" si="653"/>
        <v>=20.39*100000000</v>
      </c>
      <c r="R1391" s="11">
        <f>20.39*100000000</f>
        <v>2039000000</v>
      </c>
      <c r="S1391" s="8">
        <f t="shared" si="670"/>
        <v>-0.12751390671801455</v>
      </c>
      <c r="T1391" s="6" t="s">
        <v>152</v>
      </c>
      <c r="U1391" s="6" t="str">
        <f t="shared" si="654"/>
        <v>=23.37*100000000</v>
      </c>
      <c r="V1391" s="1">
        <f>23.37*100000000</f>
        <v>2337000000</v>
      </c>
      <c r="W1391" s="8">
        <f t="shared" si="671"/>
        <v>0.53851217906517446</v>
      </c>
      <c r="X1391" s="6" t="s">
        <v>8802</v>
      </c>
      <c r="Y1391" s="6" t="str">
        <f t="shared" si="655"/>
        <v>=15.19*100000000</v>
      </c>
      <c r="Z1391" s="1">
        <f>15.19*100000000</f>
        <v>1519000000</v>
      </c>
      <c r="AA1391" s="8">
        <f t="shared" si="672"/>
        <v>2.9879233394591758</v>
      </c>
      <c r="AB1391" s="6" t="s">
        <v>1964</v>
      </c>
      <c r="AC1391" s="6" t="str">
        <f t="shared" si="656"/>
        <v>=3.809*100000000</v>
      </c>
      <c r="AD1391" s="1">
        <f>3.809*100000000</f>
        <v>380900000</v>
      </c>
      <c r="AE1391" s="8">
        <f t="shared" si="673"/>
        <v>0.99424083769633509</v>
      </c>
      <c r="AF1391" s="6" t="s">
        <v>8268</v>
      </c>
      <c r="AG1391" s="6" t="str">
        <f t="shared" si="657"/>
        <v>=1.910*100000000</v>
      </c>
      <c r="AH1391" s="1">
        <f>1.91*100000000</f>
        <v>191000000</v>
      </c>
      <c r="AI1391" s="8">
        <f t="shared" si="674"/>
        <v>-0.90265035677879712</v>
      </c>
      <c r="AJ1391" s="6" t="s">
        <v>13173</v>
      </c>
      <c r="AK1391" s="6" t="str">
        <f t="shared" si="658"/>
        <v>=19.62*100000000</v>
      </c>
      <c r="AL1391" s="1">
        <f>19.62*100000000</f>
        <v>1962000000</v>
      </c>
      <c r="AM1391" s="8">
        <f t="shared" si="675"/>
        <v>-0.10696404187528448</v>
      </c>
      <c r="AN1391" s="6" t="s">
        <v>13719</v>
      </c>
      <c r="AO1391" s="6" t="str">
        <f t="shared" si="659"/>
        <v>=21.97*100000000</v>
      </c>
      <c r="AP1391" s="1">
        <f>21.97*100000000</f>
        <v>2197000000</v>
      </c>
      <c r="AQ1391" s="8">
        <f t="shared" si="676"/>
        <v>0.32509047044632106</v>
      </c>
      <c r="AR1391" s="6" t="s">
        <v>3657</v>
      </c>
      <c r="AS1391" s="6" t="str">
        <f t="shared" si="660"/>
        <v>=16.58*100000000</v>
      </c>
      <c r="AT1391" s="1">
        <f>16.58*100000000</f>
        <v>1657999999.9999998</v>
      </c>
      <c r="AU1391" s="8">
        <f t="shared" si="677"/>
        <v>1.3618233618233615</v>
      </c>
      <c r="AV1391" s="6" t="s">
        <v>4818</v>
      </c>
      <c r="AW1391" s="6" t="str">
        <f t="shared" si="661"/>
        <v>=7.020*100000000</v>
      </c>
      <c r="AX1391" s="1">
        <f>7.02*100000000</f>
        <v>702000000</v>
      </c>
      <c r="AY1391" s="10">
        <f t="shared" si="678"/>
        <v>-0.70566037735849052</v>
      </c>
      <c r="AZ1391" s="6" t="s">
        <v>3052</v>
      </c>
      <c r="BA1391" s="6" t="str">
        <f t="shared" si="662"/>
        <v>=23.85*100000000</v>
      </c>
      <c r="BB1391" s="1">
        <f>23.85*100000000</f>
        <v>2385000000</v>
      </c>
      <c r="BC1391" s="8">
        <f t="shared" si="679"/>
        <v>-0.19831932773109243</v>
      </c>
      <c r="BD1391" s="6" t="s">
        <v>13720</v>
      </c>
      <c r="BE1391" s="6" t="str">
        <f t="shared" si="663"/>
        <v>=29.75*100000000</v>
      </c>
      <c r="BF1391" s="1">
        <f>29.75*100000000</f>
        <v>2975000000</v>
      </c>
      <c r="BG1391" s="8">
        <f t="shared" si="680"/>
        <v>0.71965317919075145</v>
      </c>
      <c r="BH1391" s="6" t="s">
        <v>11525</v>
      </c>
      <c r="BI1391" s="6" t="str">
        <f t="shared" si="664"/>
        <v>=17.30*100000000</v>
      </c>
      <c r="BJ1391" s="1">
        <f>17.3*100000000</f>
        <v>1730000000</v>
      </c>
      <c r="BK1391" s="6" t="s">
        <v>13721</v>
      </c>
      <c r="BL1391" s="1" t="str">
        <f t="shared" si="666"/>
        <v>=5.624*100000000</v>
      </c>
      <c r="BM1391" s="16">
        <f t="shared" si="681"/>
        <v>2.0761024182076815</v>
      </c>
      <c r="BN1391" s="1">
        <f>5.624*100000000</f>
        <v>562400000</v>
      </c>
    </row>
    <row r="1392" spans="1:66">
      <c r="A1392" s="18"/>
      <c r="B1392">
        <v>601600</v>
      </c>
      <c r="C1392" t="s">
        <v>58</v>
      </c>
      <c r="D1392" s="6" t="s">
        <v>12847</v>
      </c>
      <c r="E1392" s="7" t="str">
        <f t="shared" si="665"/>
        <v>=101.8*100000000</v>
      </c>
      <c r="F1392" s="1">
        <f>101.8*100000000</f>
        <v>10180000000</v>
      </c>
      <c r="G1392" s="8">
        <f t="shared" si="667"/>
        <v>6.923837784371909E-3</v>
      </c>
      <c r="H1392" s="6" t="s">
        <v>82</v>
      </c>
      <c r="I1392" s="6" t="str">
        <f t="shared" si="651"/>
        <v>=101.1*100000000</v>
      </c>
      <c r="J1392" s="1">
        <f>101.1*100000000</f>
        <v>10110000000</v>
      </c>
      <c r="K1392" s="10">
        <f t="shared" si="668"/>
        <v>0.6763389156027193</v>
      </c>
      <c r="L1392" s="6" t="s">
        <v>13722</v>
      </c>
      <c r="M1392" s="6" t="str">
        <f t="shared" si="652"/>
        <v>=60.31*100000000</v>
      </c>
      <c r="N1392" s="1">
        <f>60.31*100000000</f>
        <v>6031000000</v>
      </c>
      <c r="O1392" s="8">
        <f t="shared" si="669"/>
        <v>2.0109835247129304</v>
      </c>
      <c r="P1392" s="6" t="s">
        <v>13723</v>
      </c>
      <c r="Q1392" s="6" t="str">
        <f t="shared" si="653"/>
        <v>=20.03*100000000</v>
      </c>
      <c r="R1392" s="11">
        <f>20.03*100000000</f>
        <v>2003000000</v>
      </c>
      <c r="S1392" s="8">
        <f t="shared" si="670"/>
        <v>-8.497030607583371E-2</v>
      </c>
      <c r="T1392" s="6" t="s">
        <v>3062</v>
      </c>
      <c r="U1392" s="6" t="str">
        <f t="shared" si="654"/>
        <v>=21.89*100000000</v>
      </c>
      <c r="V1392" s="1">
        <f>21.89*100000000</f>
        <v>2189000000</v>
      </c>
      <c r="W1392" s="8">
        <f t="shared" si="671"/>
        <v>0.60366300366300363</v>
      </c>
      <c r="X1392" s="6" t="s">
        <v>155</v>
      </c>
      <c r="Y1392" s="6" t="str">
        <f t="shared" si="655"/>
        <v>=13.65*100000000</v>
      </c>
      <c r="Z1392" s="1">
        <f>13.65*100000000</f>
        <v>1365000000</v>
      </c>
      <c r="AA1392" s="8">
        <f t="shared" si="672"/>
        <v>2.4794799898037216</v>
      </c>
      <c r="AB1392" s="6" t="s">
        <v>13724</v>
      </c>
      <c r="AC1392" s="6" t="str">
        <f t="shared" si="656"/>
        <v>=3.923*100000000</v>
      </c>
      <c r="AD1392" s="1">
        <f>3.923*100000000</f>
        <v>392300000</v>
      </c>
      <c r="AE1392" s="8">
        <f t="shared" si="673"/>
        <v>0.79378143575674465</v>
      </c>
      <c r="AF1392" s="6" t="s">
        <v>4415</v>
      </c>
      <c r="AG1392" s="6" t="str">
        <f t="shared" si="657"/>
        <v>=2.187*100000000</v>
      </c>
      <c r="AH1392" s="1">
        <f>2.187*100000000</f>
        <v>218699999.99999997</v>
      </c>
      <c r="AI1392" s="8">
        <f t="shared" si="674"/>
        <v>-0.89679093912222752</v>
      </c>
      <c r="AJ1392" s="6" t="s">
        <v>338</v>
      </c>
      <c r="AK1392" s="6" t="str">
        <f t="shared" si="658"/>
        <v>=21.19*100000000</v>
      </c>
      <c r="AL1392" s="1">
        <f>21.19*100000000</f>
        <v>2119000000.0000002</v>
      </c>
      <c r="AM1392" s="8">
        <f t="shared" si="675"/>
        <v>3.0140982012639882E-2</v>
      </c>
      <c r="AN1392" s="6" t="s">
        <v>7348</v>
      </c>
      <c r="AO1392" s="6" t="str">
        <f t="shared" si="659"/>
        <v>=20.57*100000000</v>
      </c>
      <c r="AP1392" s="1">
        <f>20.57*100000000</f>
        <v>2057000000</v>
      </c>
      <c r="AQ1392" s="8">
        <f t="shared" si="676"/>
        <v>0.29615626969124131</v>
      </c>
      <c r="AR1392" s="6" t="s">
        <v>223</v>
      </c>
      <c r="AS1392" s="6" t="str">
        <f t="shared" si="660"/>
        <v>=15.87*100000000</v>
      </c>
      <c r="AT1392" s="1">
        <f>15.87*100000000</f>
        <v>1587000000</v>
      </c>
      <c r="AU1392" s="8">
        <f t="shared" si="677"/>
        <v>1.2533011500780917</v>
      </c>
      <c r="AV1392" s="6" t="s">
        <v>13725</v>
      </c>
      <c r="AW1392" s="6" t="str">
        <f t="shared" si="661"/>
        <v>=7.043*100000000</v>
      </c>
      <c r="AX1392" s="1">
        <f>7.043*100000000</f>
        <v>704300000</v>
      </c>
      <c r="AY1392" s="10">
        <f t="shared" si="678"/>
        <v>-0.70543705562526138</v>
      </c>
      <c r="AZ1392" s="6" t="s">
        <v>9523</v>
      </c>
      <c r="BA1392" s="6" t="str">
        <f t="shared" si="662"/>
        <v>=23.91*100000000</v>
      </c>
      <c r="BB1392" s="1">
        <f>23.91*100000000</f>
        <v>2391000000</v>
      </c>
      <c r="BC1392" s="8">
        <f t="shared" si="679"/>
        <v>-0.23168380462724936</v>
      </c>
      <c r="BD1392" s="6" t="s">
        <v>5122</v>
      </c>
      <c r="BE1392" s="6" t="str">
        <f t="shared" si="663"/>
        <v>=31.12*100000000</v>
      </c>
      <c r="BF1392" s="1">
        <f>31.12*100000000</f>
        <v>3112000000</v>
      </c>
      <c r="BG1392" s="8">
        <f t="shared" si="680"/>
        <v>0.63273871983210939</v>
      </c>
      <c r="BH1392" s="6" t="s">
        <v>13726</v>
      </c>
      <c r="BI1392" s="6" t="str">
        <f t="shared" si="664"/>
        <v>=19.06*100000000</v>
      </c>
      <c r="BJ1392" s="1">
        <f>19.06*100000000</f>
        <v>1905999999.9999998</v>
      </c>
      <c r="BK1392" s="6" t="s">
        <v>4003</v>
      </c>
      <c r="BL1392" s="1" t="str">
        <f t="shared" si="666"/>
        <v>=7.001*100000000</v>
      </c>
      <c r="BM1392" s="16">
        <f t="shared" si="681"/>
        <v>1.7224682188258817</v>
      </c>
      <c r="BN1392" s="1">
        <f>7.001*100000000</f>
        <v>700100000</v>
      </c>
    </row>
    <row r="1393" spans="1:66">
      <c r="A1393" s="19"/>
      <c r="B1393">
        <v>601600</v>
      </c>
      <c r="C1393" t="s">
        <v>68</v>
      </c>
      <c r="D1393" s="6" t="s">
        <v>13727</v>
      </c>
      <c r="E1393" s="7" t="str">
        <f t="shared" si="665"/>
        <v>=77.89*100000000</v>
      </c>
      <c r="F1393" s="1">
        <f>77.89*100000000</f>
        <v>7789000000</v>
      </c>
      <c r="G1393" s="8">
        <f t="shared" si="667"/>
        <v>-3.7087402645568056E-2</v>
      </c>
      <c r="H1393" s="6" t="s">
        <v>13728</v>
      </c>
      <c r="I1393" s="6" t="str">
        <f t="shared" si="651"/>
        <v>=80.89*100000000</v>
      </c>
      <c r="J1393" s="1">
        <f>80.89*100000000</f>
        <v>8089000000</v>
      </c>
      <c r="K1393" s="10">
        <f t="shared" si="668"/>
        <v>0.68802170283806341</v>
      </c>
      <c r="L1393" s="6" t="s">
        <v>12437</v>
      </c>
      <c r="M1393" s="6" t="str">
        <f t="shared" si="652"/>
        <v>=47.92*100000000</v>
      </c>
      <c r="N1393" s="1">
        <f>47.92*100000000</f>
        <v>4792000000</v>
      </c>
      <c r="O1393" s="8">
        <f t="shared" si="669"/>
        <v>2.0816720257234729</v>
      </c>
      <c r="P1393" s="6" t="s">
        <v>7354</v>
      </c>
      <c r="Q1393" s="6" t="str">
        <f t="shared" si="653"/>
        <v>=15.55*100000000</v>
      </c>
      <c r="R1393" s="11">
        <f>15.55*100000000</f>
        <v>1555000000</v>
      </c>
      <c r="S1393" s="8">
        <f t="shared" si="670"/>
        <v>-2.7517198248905566E-2</v>
      </c>
      <c r="T1393" s="6" t="s">
        <v>239</v>
      </c>
      <c r="U1393" s="6" t="str">
        <f t="shared" si="654"/>
        <v>=15.99*100000000</v>
      </c>
      <c r="V1393" s="1">
        <f>15.99*100000000</f>
        <v>1599000000</v>
      </c>
      <c r="W1393" s="8">
        <f t="shared" si="671"/>
        <v>0.65716654575603706</v>
      </c>
      <c r="X1393" s="6" t="s">
        <v>13180</v>
      </c>
      <c r="Y1393" s="6" t="str">
        <f t="shared" si="655"/>
        <v>=9.649*100000000</v>
      </c>
      <c r="Z1393" s="1">
        <f>9.649*100000000</f>
        <v>964899999.99999988</v>
      </c>
      <c r="AA1393" s="8">
        <f t="shared" si="672"/>
        <v>3.1988685813751081</v>
      </c>
      <c r="AB1393" s="6" t="s">
        <v>2318</v>
      </c>
      <c r="AC1393" s="6" t="str">
        <f t="shared" si="656"/>
        <v>=2.298*100000000</v>
      </c>
      <c r="AD1393" s="1">
        <f>2.298*100000000</f>
        <v>229800000</v>
      </c>
      <c r="AE1393" s="8">
        <f t="shared" si="673"/>
        <v>0.71492537313432813</v>
      </c>
      <c r="AF1393" s="6" t="s">
        <v>13729</v>
      </c>
      <c r="AG1393" s="6" t="str">
        <f t="shared" si="657"/>
        <v>=1.340*100000000</v>
      </c>
      <c r="AH1393" s="1">
        <f>1.34*100000000</f>
        <v>134000000.00000001</v>
      </c>
      <c r="AI1393" s="8">
        <f t="shared" si="674"/>
        <v>-0.91012743125419182</v>
      </c>
      <c r="AJ1393" s="6" t="s">
        <v>5898</v>
      </c>
      <c r="AK1393" s="6" t="str">
        <f t="shared" si="658"/>
        <v>=14.91*100000000</v>
      </c>
      <c r="AL1393" s="1">
        <f>14.91*100000000</f>
        <v>1491000000</v>
      </c>
      <c r="AM1393" s="8">
        <f t="shared" si="675"/>
        <v>1.8442622950819672E-2</v>
      </c>
      <c r="AN1393" s="6" t="s">
        <v>11237</v>
      </c>
      <c r="AO1393" s="6" t="str">
        <f t="shared" si="659"/>
        <v>=14.64*100000000</v>
      </c>
      <c r="AP1393" s="1">
        <f>14.64*100000000</f>
        <v>1464000000</v>
      </c>
      <c r="AQ1393" s="8">
        <f t="shared" si="676"/>
        <v>0.24914675767918087</v>
      </c>
      <c r="AR1393" s="6" t="s">
        <v>13730</v>
      </c>
      <c r="AS1393" s="6" t="str">
        <f t="shared" si="660"/>
        <v>=11.72*100000000</v>
      </c>
      <c r="AT1393" s="1">
        <f>11.72*100000000</f>
        <v>1172000000</v>
      </c>
      <c r="AU1393" s="8">
        <f t="shared" si="677"/>
        <v>1.1667591051950452</v>
      </c>
      <c r="AV1393" s="6" t="s">
        <v>13731</v>
      </c>
      <c r="AW1393" s="6" t="str">
        <f t="shared" si="661"/>
        <v>=5.409*100000000</v>
      </c>
      <c r="AX1393" s="1">
        <f>5.409*100000000</f>
        <v>540900000</v>
      </c>
      <c r="AY1393" s="10">
        <f t="shared" si="678"/>
        <v>-0.65525812619502866</v>
      </c>
      <c r="AZ1393" s="6" t="s">
        <v>2438</v>
      </c>
      <c r="BA1393" s="6" t="str">
        <f t="shared" si="662"/>
        <v>=15.69*100000000</v>
      </c>
      <c r="BB1393" s="1">
        <f>15.69*100000000</f>
        <v>1569000000</v>
      </c>
      <c r="BC1393" s="8">
        <f t="shared" si="679"/>
        <v>-0.31871471993052541</v>
      </c>
      <c r="BD1393" s="6" t="s">
        <v>13732</v>
      </c>
      <c r="BE1393" s="6" t="str">
        <f t="shared" si="663"/>
        <v>=23.03*100000000</v>
      </c>
      <c r="BF1393" s="1">
        <f>23.03*100000000</f>
        <v>2303000000</v>
      </c>
      <c r="BG1393" s="8">
        <f t="shared" si="680"/>
        <v>0.72509363295880147</v>
      </c>
      <c r="BH1393" s="6" t="s">
        <v>227</v>
      </c>
      <c r="BI1393" s="6" t="str">
        <f t="shared" si="664"/>
        <v>=13.35*100000000</v>
      </c>
      <c r="BJ1393" s="1">
        <f>13.35*100000000</f>
        <v>1335000000</v>
      </c>
      <c r="BK1393" s="6" t="s">
        <v>13733</v>
      </c>
      <c r="BL1393" s="1" t="str">
        <f t="shared" si="666"/>
        <v>=4.867*100000000</v>
      </c>
      <c r="BM1393" s="16">
        <f t="shared" si="681"/>
        <v>1.7429628107663859</v>
      </c>
      <c r="BN1393" s="1">
        <f>4.867*100000000</f>
        <v>486700000</v>
      </c>
    </row>
    <row r="1394" spans="1:66">
      <c r="A1394" s="17">
        <v>350</v>
      </c>
      <c r="B1394">
        <v>601601</v>
      </c>
      <c r="C1394" t="s">
        <v>31</v>
      </c>
      <c r="D1394" s="6" t="s">
        <v>13734</v>
      </c>
      <c r="E1394" s="7" t="str">
        <f t="shared" si="665"/>
        <v>=4406*100000000</v>
      </c>
      <c r="F1394" s="1">
        <f>4406*100000000</f>
        <v>440600000000</v>
      </c>
      <c r="G1394" s="8">
        <f t="shared" si="667"/>
        <v>0.25562838415502992</v>
      </c>
      <c r="H1394" s="6" t="s">
        <v>13735</v>
      </c>
      <c r="I1394" s="6" t="str">
        <f t="shared" si="651"/>
        <v>=3509*100000000</v>
      </c>
      <c r="J1394" s="1">
        <f>3509*100000000</f>
        <v>350900000000</v>
      </c>
      <c r="K1394" s="10">
        <f t="shared" si="668"/>
        <v>0.38970297029702972</v>
      </c>
      <c r="L1394" s="6" t="s">
        <v>13736</v>
      </c>
      <c r="M1394" s="6" t="str">
        <f t="shared" si="652"/>
        <v>=2525*100000000</v>
      </c>
      <c r="N1394" s="1">
        <f>2525*100000000</f>
        <v>252500000000</v>
      </c>
      <c r="O1394" s="8">
        <f t="shared" si="669"/>
        <v>0.66886979510905487</v>
      </c>
      <c r="P1394" s="6" t="s">
        <v>13737</v>
      </c>
      <c r="Q1394" s="6" t="str">
        <f t="shared" si="653"/>
        <v>=1513*100000000</v>
      </c>
      <c r="R1394" s="11">
        <f>1513*100000000</f>
        <v>151300000000</v>
      </c>
      <c r="S1394" s="8">
        <f t="shared" si="670"/>
        <v>-0.64163903363334918</v>
      </c>
      <c r="T1394" s="6" t="s">
        <v>13738</v>
      </c>
      <c r="U1394" s="6" t="str">
        <f t="shared" si="654"/>
        <v>=4222*100000000</v>
      </c>
      <c r="V1394" s="1">
        <f>4222*100000000</f>
        <v>422200000000</v>
      </c>
      <c r="W1394" s="8">
        <f t="shared" si="671"/>
        <v>0.23486399532026908</v>
      </c>
      <c r="X1394" s="6" t="s">
        <v>13739</v>
      </c>
      <c r="Y1394" s="6" t="str">
        <f t="shared" si="655"/>
        <v>=3419*100000000</v>
      </c>
      <c r="Z1394" s="1">
        <f>3419*100000000</f>
        <v>341900000000</v>
      </c>
      <c r="AA1394" s="8">
        <f t="shared" si="672"/>
        <v>0.45180467091295118</v>
      </c>
      <c r="AB1394" s="6" t="s">
        <v>13611</v>
      </c>
      <c r="AC1394" s="6" t="str">
        <f t="shared" si="656"/>
        <v>=2355*100000000</v>
      </c>
      <c r="AD1394" s="1">
        <f>2355*100000000</f>
        <v>235500000000</v>
      </c>
      <c r="AE1394" s="8">
        <f t="shared" si="673"/>
        <v>0.70405209840810423</v>
      </c>
      <c r="AF1394" s="6" t="s">
        <v>9389</v>
      </c>
      <c r="AG1394" s="6" t="str">
        <f t="shared" si="657"/>
        <v>=1382*100000000</v>
      </c>
      <c r="AH1394" s="1">
        <f>1382*100000000</f>
        <v>138200000000</v>
      </c>
      <c r="AI1394" s="8">
        <f t="shared" si="674"/>
        <v>-0.64150453955901432</v>
      </c>
      <c r="AJ1394" s="6" t="s">
        <v>13740</v>
      </c>
      <c r="AK1394" s="6" t="str">
        <f t="shared" si="658"/>
        <v>=3855*100000000</v>
      </c>
      <c r="AL1394" s="1">
        <f>3855*100000000</f>
        <v>385500000000</v>
      </c>
      <c r="AM1394" s="8">
        <f t="shared" si="675"/>
        <v>0.23875321336760927</v>
      </c>
      <c r="AN1394" s="6" t="s">
        <v>13304</v>
      </c>
      <c r="AO1394" s="6" t="str">
        <f t="shared" si="659"/>
        <v>=3112*100000000</v>
      </c>
      <c r="AP1394" s="1">
        <f>3112*100000000</f>
        <v>311200000000</v>
      </c>
      <c r="AQ1394" s="8">
        <f t="shared" si="676"/>
        <v>0.41197822141560797</v>
      </c>
      <c r="AR1394" s="6" t="s">
        <v>13741</v>
      </c>
      <c r="AS1394" s="6" t="str">
        <f t="shared" si="660"/>
        <v>=2204*100000000</v>
      </c>
      <c r="AT1394" s="1">
        <f>2204*100000000</f>
        <v>220400000000</v>
      </c>
      <c r="AU1394" s="8">
        <f t="shared" si="677"/>
        <v>0.65465465465465467</v>
      </c>
      <c r="AV1394" s="6" t="s">
        <v>13708</v>
      </c>
      <c r="AW1394" s="6" t="str">
        <f t="shared" si="661"/>
        <v>=1332*100000000</v>
      </c>
      <c r="AX1394" s="1">
        <f>1332*100000000</f>
        <v>133200000000</v>
      </c>
      <c r="AY1394" s="10">
        <f t="shared" si="678"/>
        <v>-0.62415349887133187</v>
      </c>
      <c r="AZ1394" s="6" t="s">
        <v>13742</v>
      </c>
      <c r="BA1394" s="6" t="str">
        <f t="shared" si="662"/>
        <v>=3544*100000000</v>
      </c>
      <c r="BB1394" s="1">
        <f>3544*100000000</f>
        <v>354400000000</v>
      </c>
      <c r="BC1394" s="8">
        <f t="shared" si="679"/>
        <v>0.22291235334713597</v>
      </c>
      <c r="BD1394" s="6" t="s">
        <v>13743</v>
      </c>
      <c r="BE1394" s="6" t="str">
        <f t="shared" si="663"/>
        <v>=2898*100000000</v>
      </c>
      <c r="BF1394" s="1">
        <f>2898*100000000</f>
        <v>289800000000</v>
      </c>
      <c r="BG1394" s="8">
        <f t="shared" si="680"/>
        <v>0.4157303370786517</v>
      </c>
      <c r="BH1394" s="6" t="s">
        <v>13744</v>
      </c>
      <c r="BI1394" s="6" t="str">
        <f t="shared" si="664"/>
        <v>=2047*100000000</v>
      </c>
      <c r="BJ1394" s="1">
        <f>2047*100000000</f>
        <v>204700000000</v>
      </c>
      <c r="BK1394" s="6" t="s">
        <v>13745</v>
      </c>
      <c r="BL1394" s="1" t="str">
        <f t="shared" si="666"/>
        <v>=1244*100000000</v>
      </c>
      <c r="BM1394" s="16">
        <f t="shared" si="681"/>
        <v>0.64549839228295824</v>
      </c>
      <c r="BN1394" s="1">
        <f>1244*100000000</f>
        <v>124400000000</v>
      </c>
    </row>
    <row r="1395" spans="1:66">
      <c r="A1395" s="18"/>
      <c r="B1395">
        <v>601601</v>
      </c>
      <c r="C1395" t="s">
        <v>48</v>
      </c>
      <c r="D1395" s="6" t="s">
        <v>13746</v>
      </c>
      <c r="E1395" s="7" t="str">
        <f t="shared" si="665"/>
        <v>=307.9*100000000</v>
      </c>
      <c r="F1395" s="1">
        <f>307.9*100000000</f>
        <v>30789999999.999996</v>
      </c>
      <c r="G1395" s="8">
        <f t="shared" si="667"/>
        <v>0.13032305433186492</v>
      </c>
      <c r="H1395" s="6" t="s">
        <v>1258</v>
      </c>
      <c r="I1395" s="6" t="str">
        <f t="shared" si="651"/>
        <v>=272.4*100000000</v>
      </c>
      <c r="J1395" s="1">
        <f>272.4*100000000</f>
        <v>27239999999.999996</v>
      </c>
      <c r="K1395" s="10">
        <f t="shared" si="668"/>
        <v>0.27528089887640433</v>
      </c>
      <c r="L1395" s="6" t="s">
        <v>2024</v>
      </c>
      <c r="M1395" s="6" t="str">
        <f t="shared" si="652"/>
        <v>=213.6*100000000</v>
      </c>
      <c r="N1395" s="1">
        <f>213.6*100000000</f>
        <v>21360000000</v>
      </c>
      <c r="O1395" s="8">
        <f t="shared" si="669"/>
        <v>0.97961075069508807</v>
      </c>
      <c r="P1395" s="6" t="s">
        <v>9025</v>
      </c>
      <c r="Q1395" s="6" t="str">
        <f t="shared" si="653"/>
        <v>=107.9*100000000</v>
      </c>
      <c r="R1395" s="11">
        <f>107.9*100000000</f>
        <v>10790000000</v>
      </c>
      <c r="S1395" s="8">
        <f t="shared" si="670"/>
        <v>-0.63274336283185839</v>
      </c>
      <c r="T1395" s="6" t="s">
        <v>13747</v>
      </c>
      <c r="U1395" s="6" t="str">
        <f t="shared" si="654"/>
        <v>=293.8*100000000</v>
      </c>
      <c r="V1395" s="1">
        <f>293.8*100000000</f>
        <v>29380000000</v>
      </c>
      <c r="W1395" s="8">
        <f t="shared" si="671"/>
        <v>0.21605960264900662</v>
      </c>
      <c r="X1395" s="6" t="s">
        <v>13748</v>
      </c>
      <c r="Y1395" s="6" t="str">
        <f t="shared" si="655"/>
        <v>=241.6*100000000</v>
      </c>
      <c r="Z1395" s="1">
        <f>241.6*100000000</f>
        <v>24160000000</v>
      </c>
      <c r="AA1395" s="8">
        <f t="shared" si="672"/>
        <v>0.36883852691218133</v>
      </c>
      <c r="AB1395" s="6" t="s">
        <v>12868</v>
      </c>
      <c r="AC1395" s="6" t="str">
        <f t="shared" si="656"/>
        <v>=176.5*100000000</v>
      </c>
      <c r="AD1395" s="1">
        <f>176.5*100000000</f>
        <v>17650000000</v>
      </c>
      <c r="AE1395" s="8">
        <f t="shared" si="673"/>
        <v>0.62822878228782286</v>
      </c>
      <c r="AF1395" s="6" t="s">
        <v>1178</v>
      </c>
      <c r="AG1395" s="6" t="str">
        <f t="shared" si="657"/>
        <v>=108.4*100000000</v>
      </c>
      <c r="AH1395" s="1">
        <f>108.4*100000000</f>
        <v>10840000000</v>
      </c>
      <c r="AI1395" s="8">
        <f t="shared" si="674"/>
        <v>-0.61382258639116494</v>
      </c>
      <c r="AJ1395" s="6" t="s">
        <v>13749</v>
      </c>
      <c r="AK1395" s="6" t="str">
        <f t="shared" si="658"/>
        <v>=280.7*100000000</v>
      </c>
      <c r="AL1395" s="1">
        <f>280.7*100000000</f>
        <v>28070000000</v>
      </c>
      <c r="AM1395" s="8">
        <f t="shared" si="675"/>
        <v>0.22096563723357981</v>
      </c>
      <c r="AN1395" s="6" t="s">
        <v>13750</v>
      </c>
      <c r="AO1395" s="6" t="str">
        <f t="shared" si="659"/>
        <v>=229.9*100000000</v>
      </c>
      <c r="AP1395" s="1">
        <f>229.9*100000000</f>
        <v>22990000000</v>
      </c>
      <c r="AQ1395" s="8">
        <f t="shared" si="676"/>
        <v>0.5844245348035837</v>
      </c>
      <c r="AR1395" s="6" t="s">
        <v>519</v>
      </c>
      <c r="AS1395" s="6" t="str">
        <f t="shared" si="660"/>
        <v>=145.1*100000000</v>
      </c>
      <c r="AT1395" s="1">
        <f>145.1*100000000</f>
        <v>14510000000</v>
      </c>
      <c r="AU1395" s="8">
        <f t="shared" si="677"/>
        <v>0.86503856041131111</v>
      </c>
      <c r="AV1395" s="6" t="s">
        <v>13751</v>
      </c>
      <c r="AW1395" s="6" t="str">
        <f t="shared" si="661"/>
        <v>=77.80*100000000</v>
      </c>
      <c r="AX1395" s="1">
        <f>77.8*100000000</f>
        <v>7780000000</v>
      </c>
      <c r="AY1395" s="10">
        <f t="shared" si="678"/>
        <v>-0.72469922151450816</v>
      </c>
      <c r="AZ1395" s="6" t="s">
        <v>13752</v>
      </c>
      <c r="BA1395" s="6" t="str">
        <f t="shared" si="662"/>
        <v>=282.6*100000000</v>
      </c>
      <c r="BB1395" s="1">
        <f>282.6*100000000</f>
        <v>28260000000.000004</v>
      </c>
      <c r="BC1395" s="8">
        <f t="shared" si="679"/>
        <v>0.36918604651162812</v>
      </c>
      <c r="BD1395" s="6" t="s">
        <v>851</v>
      </c>
      <c r="BE1395" s="6" t="str">
        <f t="shared" si="663"/>
        <v>=206.4*100000000</v>
      </c>
      <c r="BF1395" s="1">
        <f>206.4*100000000</f>
        <v>20640000000</v>
      </c>
      <c r="BG1395" s="8">
        <f t="shared" si="680"/>
        <v>0.50547045951859959</v>
      </c>
      <c r="BH1395" s="6" t="s">
        <v>11630</v>
      </c>
      <c r="BI1395" s="6" t="str">
        <f t="shared" si="664"/>
        <v>=137.1*100000000</v>
      </c>
      <c r="BJ1395" s="1">
        <f>137.1*100000000</f>
        <v>13710000000</v>
      </c>
      <c r="BK1395" s="6" t="s">
        <v>13753</v>
      </c>
      <c r="BL1395" s="1" t="str">
        <f t="shared" si="666"/>
        <v>=62.08*100000000</v>
      </c>
      <c r="BM1395" s="16">
        <f t="shared" si="681"/>
        <v>1.2084407216494846</v>
      </c>
      <c r="BN1395" s="1">
        <f>62.08*100000000</f>
        <v>6208000000</v>
      </c>
    </row>
    <row r="1396" spans="1:66">
      <c r="A1396" s="18"/>
      <c r="B1396">
        <v>601601</v>
      </c>
      <c r="C1396" t="s">
        <v>58</v>
      </c>
      <c r="D1396" s="6" t="s">
        <v>13754</v>
      </c>
      <c r="E1396" s="7" t="str">
        <f t="shared" si="665"/>
        <v>=308.0*100000000</v>
      </c>
      <c r="F1396" s="1">
        <f>308*100000000</f>
        <v>30800000000</v>
      </c>
      <c r="G1396" s="8">
        <f t="shared" si="667"/>
        <v>0.12944627796112945</v>
      </c>
      <c r="H1396" s="6" t="s">
        <v>7182</v>
      </c>
      <c r="I1396" s="6" t="str">
        <f t="shared" si="651"/>
        <v>=272.7*100000000</v>
      </c>
      <c r="J1396" s="1">
        <f>272.7*100000000</f>
        <v>27270000000</v>
      </c>
      <c r="K1396" s="10">
        <f t="shared" si="668"/>
        <v>0.27429906542056076</v>
      </c>
      <c r="L1396" s="6" t="s">
        <v>13755</v>
      </c>
      <c r="M1396" s="6" t="str">
        <f t="shared" si="652"/>
        <v>=214.0*100000000</v>
      </c>
      <c r="N1396" s="1">
        <f>214*100000000</f>
        <v>21400000000</v>
      </c>
      <c r="O1396" s="8">
        <f t="shared" si="669"/>
        <v>0.97416974169741699</v>
      </c>
      <c r="P1396" s="6" t="s">
        <v>1178</v>
      </c>
      <c r="Q1396" s="6" t="str">
        <f t="shared" si="653"/>
        <v>=108.4*100000000</v>
      </c>
      <c r="R1396" s="11">
        <f>108.4*100000000</f>
        <v>10840000000</v>
      </c>
      <c r="S1396" s="8">
        <f t="shared" si="670"/>
        <v>-0.62927496580027353</v>
      </c>
      <c r="T1396" s="6" t="s">
        <v>13756</v>
      </c>
      <c r="U1396" s="6" t="str">
        <f t="shared" si="654"/>
        <v>=292.4*100000000</v>
      </c>
      <c r="V1396" s="1">
        <f>292.4*100000000</f>
        <v>29239999999.999996</v>
      </c>
      <c r="W1396" s="8">
        <f t="shared" si="671"/>
        <v>0.21327800829875504</v>
      </c>
      <c r="X1396" s="6" t="s">
        <v>4323</v>
      </c>
      <c r="Y1396" s="6" t="str">
        <f t="shared" si="655"/>
        <v>=241.0*100000000</v>
      </c>
      <c r="Z1396" s="1">
        <f>241*100000000</f>
        <v>24100000000</v>
      </c>
      <c r="AA1396" s="8">
        <f t="shared" si="672"/>
        <v>0.36698808848553605</v>
      </c>
      <c r="AB1396" s="6" t="s">
        <v>1078</v>
      </c>
      <c r="AC1396" s="6" t="str">
        <f t="shared" si="656"/>
        <v>=176.3*100000000</v>
      </c>
      <c r="AD1396" s="1">
        <f>176.3*100000000</f>
        <v>17630000000</v>
      </c>
      <c r="AE1396" s="8">
        <f t="shared" si="673"/>
        <v>0.62939001848428833</v>
      </c>
      <c r="AF1396" s="6" t="s">
        <v>13757</v>
      </c>
      <c r="AG1396" s="6" t="str">
        <f t="shared" si="657"/>
        <v>=108.2*100000000</v>
      </c>
      <c r="AH1396" s="1">
        <f>108.2*100000000</f>
        <v>10820000000</v>
      </c>
      <c r="AI1396" s="8">
        <f t="shared" si="674"/>
        <v>-0.61315695387915625</v>
      </c>
      <c r="AJ1396" s="6" t="s">
        <v>13758</v>
      </c>
      <c r="AK1396" s="6" t="str">
        <f t="shared" si="658"/>
        <v>=279.7*100000000</v>
      </c>
      <c r="AL1396" s="1">
        <f>279.7*100000000</f>
        <v>27970000000</v>
      </c>
      <c r="AM1396" s="8">
        <f t="shared" si="675"/>
        <v>0.21873638344226579</v>
      </c>
      <c r="AN1396" s="6" t="s">
        <v>2402</v>
      </c>
      <c r="AO1396" s="6" t="str">
        <f t="shared" si="659"/>
        <v>=229.5*100000000</v>
      </c>
      <c r="AP1396" s="1">
        <f>229.5*100000000</f>
        <v>22950000000</v>
      </c>
      <c r="AQ1396" s="8">
        <f t="shared" si="676"/>
        <v>0.58385093167701863</v>
      </c>
      <c r="AR1396" s="6" t="s">
        <v>13759</v>
      </c>
      <c r="AS1396" s="6" t="str">
        <f t="shared" si="660"/>
        <v>=144.9*100000000</v>
      </c>
      <c r="AT1396" s="1">
        <f>144.9*100000000</f>
        <v>14490000000</v>
      </c>
      <c r="AU1396" s="8">
        <f t="shared" si="677"/>
        <v>0.86630602782071098</v>
      </c>
      <c r="AV1396" s="6" t="s">
        <v>13760</v>
      </c>
      <c r="AW1396" s="6" t="str">
        <f t="shared" si="661"/>
        <v>=77.64*100000000</v>
      </c>
      <c r="AX1396" s="1">
        <f>77.64*100000000</f>
        <v>7764000000</v>
      </c>
      <c r="AY1396" s="10">
        <f t="shared" si="678"/>
        <v>-0.72281328097108177</v>
      </c>
      <c r="AZ1396" s="6" t="s">
        <v>13761</v>
      </c>
      <c r="BA1396" s="6" t="str">
        <f t="shared" si="662"/>
        <v>=280.1*100000000</v>
      </c>
      <c r="BB1396" s="1">
        <f>280.1*100000000</f>
        <v>28010000000.000004</v>
      </c>
      <c r="BC1396" s="8">
        <f t="shared" si="679"/>
        <v>0.3570736434108529</v>
      </c>
      <c r="BD1396" s="6" t="s">
        <v>851</v>
      </c>
      <c r="BE1396" s="6" t="str">
        <f t="shared" si="663"/>
        <v>=206.4*100000000</v>
      </c>
      <c r="BF1396" s="1">
        <f>206.4*100000000</f>
        <v>20640000000</v>
      </c>
      <c r="BG1396" s="8">
        <f t="shared" si="680"/>
        <v>0.50547045951859959</v>
      </c>
      <c r="BH1396" s="6" t="s">
        <v>11630</v>
      </c>
      <c r="BI1396" s="6" t="str">
        <f t="shared" si="664"/>
        <v>=137.1*100000000</v>
      </c>
      <c r="BJ1396" s="1">
        <f>137.1*100000000</f>
        <v>13710000000</v>
      </c>
      <c r="BK1396" s="6" t="s">
        <v>13753</v>
      </c>
      <c r="BL1396" s="1" t="str">
        <f t="shared" si="666"/>
        <v>=62.08*100000000</v>
      </c>
      <c r="BM1396" s="16">
        <f t="shared" si="681"/>
        <v>1.2084407216494846</v>
      </c>
      <c r="BN1396" s="1">
        <f>62.08*100000000</f>
        <v>6208000000</v>
      </c>
    </row>
    <row r="1397" spans="1:66">
      <c r="A1397" s="19"/>
      <c r="B1397">
        <v>601601</v>
      </c>
      <c r="C1397" t="s">
        <v>68</v>
      </c>
      <c r="D1397" s="6" t="s">
        <v>13762</v>
      </c>
      <c r="E1397" s="7" t="str">
        <f t="shared" si="665"/>
        <v>=276.2*100000000</v>
      </c>
      <c r="F1397" s="1">
        <f>276.2*100000000</f>
        <v>27620000000</v>
      </c>
      <c r="G1397" s="8">
        <f t="shared" si="667"/>
        <v>0.1854077253218884</v>
      </c>
      <c r="H1397" s="6" t="s">
        <v>13390</v>
      </c>
      <c r="I1397" s="6" t="str">
        <f t="shared" si="651"/>
        <v>=233.0*100000000</v>
      </c>
      <c r="J1397" s="1">
        <f>233*100000000</f>
        <v>23300000000</v>
      </c>
      <c r="K1397" s="10">
        <f t="shared" si="668"/>
        <v>0.3089887640449438</v>
      </c>
      <c r="L1397" s="6" t="s">
        <v>13763</v>
      </c>
      <c r="M1397" s="6" t="str">
        <f t="shared" si="652"/>
        <v>=178.0*100000000</v>
      </c>
      <c r="N1397" s="1">
        <f>178*100000000</f>
        <v>17800000000</v>
      </c>
      <c r="O1397" s="8">
        <f t="shared" si="669"/>
        <v>1.0254893035958124</v>
      </c>
      <c r="P1397" s="6" t="s">
        <v>2345</v>
      </c>
      <c r="Q1397" s="6" t="str">
        <f t="shared" si="653"/>
        <v>=87.88*100000000</v>
      </c>
      <c r="R1397" s="11">
        <f>87.88*100000000</f>
        <v>8788000000</v>
      </c>
      <c r="S1397" s="8">
        <f t="shared" si="670"/>
        <v>-0.65333333333333332</v>
      </c>
      <c r="T1397" s="6" t="s">
        <v>13764</v>
      </c>
      <c r="U1397" s="6" t="str">
        <f t="shared" si="654"/>
        <v>=253.5*100000000</v>
      </c>
      <c r="V1397" s="1">
        <f>253.5*100000000</f>
        <v>25350000000</v>
      </c>
      <c r="W1397" s="8">
        <f t="shared" si="671"/>
        <v>0.25619425173439048</v>
      </c>
      <c r="X1397" s="6" t="s">
        <v>13765</v>
      </c>
      <c r="Y1397" s="6" t="str">
        <f t="shared" si="655"/>
        <v>=201.8*100000000</v>
      </c>
      <c r="Z1397" s="1">
        <f>201.8*100000000</f>
        <v>20180000000</v>
      </c>
      <c r="AA1397" s="8">
        <f t="shared" si="672"/>
        <v>0.38313913639479097</v>
      </c>
      <c r="AB1397" s="6" t="s">
        <v>13766</v>
      </c>
      <c r="AC1397" s="6" t="str">
        <f t="shared" si="656"/>
        <v>=145.9*100000000</v>
      </c>
      <c r="AD1397" s="1">
        <f>145.9*100000000</f>
        <v>14590000000</v>
      </c>
      <c r="AE1397" s="8">
        <f t="shared" si="673"/>
        <v>0.69848661233993015</v>
      </c>
      <c r="AF1397" s="6" t="s">
        <v>13767</v>
      </c>
      <c r="AG1397" s="6" t="str">
        <f t="shared" si="657"/>
        <v>=85.90*100000000</v>
      </c>
      <c r="AH1397" s="1">
        <f>85.9*100000000</f>
        <v>8590000000</v>
      </c>
      <c r="AI1397" s="8">
        <f t="shared" si="674"/>
        <v>-0.69700176366843036</v>
      </c>
      <c r="AJ1397" s="6" t="s">
        <v>13768</v>
      </c>
      <c r="AK1397" s="6" t="str">
        <f t="shared" si="658"/>
        <v>=283.5*100000000</v>
      </c>
      <c r="AL1397" s="1">
        <f>283.5*100000000</f>
        <v>28350000000</v>
      </c>
      <c r="AM1397" s="8">
        <f t="shared" si="675"/>
        <v>0.21205643437366395</v>
      </c>
      <c r="AN1397" s="6" t="s">
        <v>11038</v>
      </c>
      <c r="AO1397" s="6" t="str">
        <f t="shared" si="659"/>
        <v>=233.9*100000000</v>
      </c>
      <c r="AP1397" s="1">
        <f>233.9*100000000</f>
        <v>23390000000</v>
      </c>
      <c r="AQ1397" s="8">
        <f t="shared" si="676"/>
        <v>0.41500302480338763</v>
      </c>
      <c r="AR1397" s="6" t="s">
        <v>13769</v>
      </c>
      <c r="AS1397" s="6" t="str">
        <f t="shared" si="660"/>
        <v>=165.3*100000000</v>
      </c>
      <c r="AT1397" s="1">
        <f>165.3*100000000</f>
        <v>16530000000.000002</v>
      </c>
      <c r="AU1397" s="8">
        <f t="shared" si="677"/>
        <v>1.9523129130201826</v>
      </c>
      <c r="AV1397" s="6" t="s">
        <v>13770</v>
      </c>
      <c r="AW1397" s="6" t="str">
        <f t="shared" si="661"/>
        <v>=55.99*100000000</v>
      </c>
      <c r="AX1397" s="1">
        <f>55.99*100000000</f>
        <v>5599000000</v>
      </c>
      <c r="AY1397" s="10">
        <f t="shared" si="678"/>
        <v>-0.69620184481823111</v>
      </c>
      <c r="AZ1397" s="6" t="s">
        <v>13771</v>
      </c>
      <c r="BA1397" s="6" t="str">
        <f t="shared" si="662"/>
        <v>=184.3*100000000</v>
      </c>
      <c r="BB1397" s="1">
        <f>184.3*100000000</f>
        <v>18430000000</v>
      </c>
      <c r="BC1397" s="8">
        <f t="shared" si="679"/>
        <v>0.41660261337432741</v>
      </c>
      <c r="BD1397" s="6" t="s">
        <v>13772</v>
      </c>
      <c r="BE1397" s="6" t="str">
        <f t="shared" si="663"/>
        <v>=130.1*100000000</v>
      </c>
      <c r="BF1397" s="1">
        <f>130.1*100000000</f>
        <v>13010000000</v>
      </c>
      <c r="BG1397" s="8">
        <f t="shared" si="680"/>
        <v>0.53982719848502803</v>
      </c>
      <c r="BH1397" s="6" t="s">
        <v>13773</v>
      </c>
      <c r="BI1397" s="6" t="str">
        <f t="shared" si="664"/>
        <v>=84.49*100000000</v>
      </c>
      <c r="BJ1397" s="1">
        <f>84.49*100000000</f>
        <v>8448999999.999999</v>
      </c>
      <c r="BK1397" s="6" t="s">
        <v>13774</v>
      </c>
      <c r="BL1397" s="1" t="str">
        <f t="shared" si="666"/>
        <v>=38.32*100000000</v>
      </c>
      <c r="BM1397" s="16">
        <f t="shared" si="681"/>
        <v>1.2048538622129434</v>
      </c>
      <c r="BN1397" s="1">
        <f>38.32*100000000</f>
        <v>3832000000</v>
      </c>
    </row>
    <row r="1398" spans="1:66">
      <c r="A1398" s="17">
        <v>351</v>
      </c>
      <c r="B1398">
        <v>601606</v>
      </c>
      <c r="C1398" t="s">
        <v>31</v>
      </c>
      <c r="D1398" s="6" t="s">
        <v>7490</v>
      </c>
      <c r="E1398" s="7" t="str">
        <f t="shared" si="665"/>
        <v>=16.96*100000000</v>
      </c>
      <c r="F1398" s="1">
        <f>16.96*100000000</f>
        <v>1696000000</v>
      </c>
      <c r="G1398" s="8">
        <f t="shared" si="667"/>
        <v>1.3335167859108421</v>
      </c>
      <c r="H1398" s="6" t="s">
        <v>1508</v>
      </c>
      <c r="I1398" s="6" t="str">
        <f t="shared" si="651"/>
        <v>=7.268*100000000</v>
      </c>
      <c r="J1398" s="1">
        <f>7.268*100000000</f>
        <v>726800000</v>
      </c>
      <c r="K1398" s="10">
        <f t="shared" si="668"/>
        <v>0.44723217841497409</v>
      </c>
      <c r="L1398" s="6" t="s">
        <v>3785</v>
      </c>
      <c r="M1398" s="6" t="str">
        <f t="shared" si="652"/>
        <v>=5.022*100000000</v>
      </c>
      <c r="N1398" s="1">
        <f>5.022*100000000</f>
        <v>502200000</v>
      </c>
      <c r="O1398" s="8">
        <f t="shared" si="669"/>
        <v>2.1804939835338821</v>
      </c>
      <c r="P1398" s="6" t="s">
        <v>1716</v>
      </c>
      <c r="Q1398" s="6" t="str">
        <f t="shared" si="653"/>
        <v>=1.579*100000000</v>
      </c>
      <c r="R1398" s="11">
        <f>1.579*100000000</f>
        <v>157900000</v>
      </c>
      <c r="S1398" s="8">
        <f t="shared" si="670"/>
        <v>-0.90044136191677171</v>
      </c>
      <c r="T1398" s="6" t="s">
        <v>278</v>
      </c>
      <c r="U1398" s="6" t="str">
        <f t="shared" si="654"/>
        <v>=15.86*100000000</v>
      </c>
      <c r="V1398" s="1">
        <f>15.86*100000000</f>
        <v>1586000000</v>
      </c>
      <c r="W1398" s="8">
        <f t="shared" si="671"/>
        <v>1.238532110091743</v>
      </c>
      <c r="X1398" s="6" t="s">
        <v>3748</v>
      </c>
      <c r="Y1398" s="6" t="str">
        <f t="shared" si="655"/>
        <v>=7.085*100000000</v>
      </c>
      <c r="Z1398" s="1">
        <f>7.085*100000000</f>
        <v>708500000</v>
      </c>
      <c r="AA1398" s="8">
        <f t="shared" si="672"/>
        <v>0.30286870172857666</v>
      </c>
      <c r="AB1398" s="6" t="s">
        <v>13775</v>
      </c>
      <c r="AC1398" s="6" t="str">
        <f t="shared" si="656"/>
        <v>=5.438*100000000</v>
      </c>
      <c r="AD1398" s="1">
        <f>5.438*100000000</f>
        <v>543800000</v>
      </c>
      <c r="AE1398" s="8">
        <f t="shared" si="673"/>
        <v>2.1801169590643275</v>
      </c>
      <c r="AF1398" s="6" t="s">
        <v>9990</v>
      </c>
      <c r="AG1398" s="6" t="str">
        <f t="shared" si="657"/>
        <v>=1.710*100000000</v>
      </c>
      <c r="AH1398" s="1">
        <f>1.71*100000000</f>
        <v>171000000</v>
      </c>
      <c r="AI1398" s="8">
        <f t="shared" si="674"/>
        <v>-0.885923949299533</v>
      </c>
      <c r="AJ1398" s="6" t="s">
        <v>4482</v>
      </c>
      <c r="AK1398" s="6" t="str">
        <f t="shared" si="658"/>
        <v>=14.99*100000000</v>
      </c>
      <c r="AL1398" s="1">
        <f>14.99*100000000</f>
        <v>1499000000</v>
      </c>
      <c r="AM1398" s="8">
        <f t="shared" si="675"/>
        <v>0.94372406639004147</v>
      </c>
      <c r="AN1398" s="6" t="s">
        <v>8184</v>
      </c>
      <c r="AO1398" s="6" t="str">
        <f t="shared" si="659"/>
        <v>=7.712*100000000</v>
      </c>
      <c r="AP1398" s="1">
        <f>7.712*100000000</f>
        <v>771200000</v>
      </c>
      <c r="AQ1398" s="8">
        <f t="shared" si="676"/>
        <v>0.44419475655430712</v>
      </c>
      <c r="AR1398" s="6" t="s">
        <v>4816</v>
      </c>
      <c r="AS1398" s="6" t="str">
        <f t="shared" si="660"/>
        <v>=5.340*100000000</v>
      </c>
      <c r="AT1398" s="1">
        <f>5.34*100000000</f>
        <v>534000000</v>
      </c>
      <c r="AU1398" s="8">
        <f t="shared" si="677"/>
        <v>2.9614243323442135</v>
      </c>
      <c r="AV1398" s="6" t="s">
        <v>6508</v>
      </c>
      <c r="AW1398" s="6" t="str">
        <f t="shared" si="661"/>
        <v>=1.348*100000000</v>
      </c>
      <c r="AX1398" s="1">
        <f>1.348*100000000</f>
        <v>134800000</v>
      </c>
      <c r="AY1398" s="10">
        <f t="shared" si="678"/>
        <v>-0.90573426573426574</v>
      </c>
      <c r="AZ1398" s="6" t="s">
        <v>2791</v>
      </c>
      <c r="BA1398" s="6" t="str">
        <f t="shared" si="662"/>
        <v>=14.30*100000000</v>
      </c>
      <c r="BB1398" s="1">
        <f>14.3*100000000</f>
        <v>1430000000</v>
      </c>
      <c r="BC1398" s="8">
        <f t="shared" si="679"/>
        <v>0.5514809590973202</v>
      </c>
      <c r="BD1398" s="6" t="s">
        <v>13776</v>
      </c>
      <c r="BE1398" s="6" t="str">
        <f t="shared" si="663"/>
        <v>=9.217*100000000</v>
      </c>
      <c r="BF1398" s="1">
        <f>9.217*100000000</f>
        <v>921700000</v>
      </c>
      <c r="BG1398" s="8">
        <f t="shared" si="680"/>
        <v>0.59878577623590634</v>
      </c>
      <c r="BH1398" s="6" t="s">
        <v>4487</v>
      </c>
      <c r="BI1398" s="6" t="str">
        <f t="shared" si="664"/>
        <v>=5.765*100000000</v>
      </c>
      <c r="BJ1398" s="1">
        <f>5.765*100000000</f>
        <v>576500000</v>
      </c>
      <c r="BK1398" s="6" t="s">
        <v>13777</v>
      </c>
      <c r="BL1398" s="1" t="str">
        <f t="shared" si="666"/>
        <v>=1.267*100000000</v>
      </c>
      <c r="BM1398" s="16">
        <f t="shared" si="681"/>
        <v>3.550118389897396</v>
      </c>
      <c r="BN1398" s="1">
        <f>1.267*100000000</f>
        <v>126699999.99999999</v>
      </c>
    </row>
    <row r="1399" spans="1:66">
      <c r="A1399" s="18"/>
      <c r="B1399">
        <v>601606</v>
      </c>
      <c r="C1399" t="s">
        <v>48</v>
      </c>
      <c r="D1399" s="6" t="s">
        <v>3481</v>
      </c>
      <c r="E1399" s="7" t="str">
        <f t="shared" si="665"/>
        <v>=1.453*100000000</v>
      </c>
      <c r="F1399" s="1">
        <f>1.453*100000000</f>
        <v>145300000</v>
      </c>
      <c r="G1399" s="8">
        <f t="shared" si="667"/>
        <v>-4.8602550478214663</v>
      </c>
      <c r="H1399" s="7">
        <f>-3764*10000</f>
        <v>-37640000</v>
      </c>
      <c r="I1399" s="6" t="str">
        <f t="shared" si="651"/>
        <v>=-37640000</v>
      </c>
      <c r="J1399" s="1">
        <f>-37640000</f>
        <v>-37640000</v>
      </c>
      <c r="K1399" s="10">
        <f t="shared" si="668"/>
        <v>2.2034042553191489</v>
      </c>
      <c r="L1399" s="7">
        <f>-1175*10000</f>
        <v>-11750000</v>
      </c>
      <c r="M1399" s="6" t="str">
        <f t="shared" si="652"/>
        <v>=-11750000</v>
      </c>
      <c r="N1399" s="1">
        <f>-11750000</f>
        <v>-11750000</v>
      </c>
      <c r="O1399" s="8">
        <f t="shared" si="669"/>
        <v>-0.63857274684712395</v>
      </c>
      <c r="P1399" s="7">
        <f>-3251*10000</f>
        <v>-32510000</v>
      </c>
      <c r="Q1399" s="6" t="str">
        <f t="shared" si="653"/>
        <v>=-32510000</v>
      </c>
      <c r="R1399" s="11">
        <f>-32510000</f>
        <v>-32510000</v>
      </c>
      <c r="S1399" s="8">
        <f t="shared" si="670"/>
        <v>-1.241351150705271</v>
      </c>
      <c r="T1399" s="6" t="s">
        <v>4392</v>
      </c>
      <c r="U1399" s="6" t="str">
        <f t="shared" si="654"/>
        <v>=1.347*100000000</v>
      </c>
      <c r="V1399" s="1">
        <f>1.347*100000000</f>
        <v>134700000</v>
      </c>
      <c r="W1399" s="8">
        <f t="shared" si="671"/>
        <v>27.156354515050168</v>
      </c>
      <c r="X1399" s="7" t="s">
        <v>13778</v>
      </c>
      <c r="Y1399" s="6" t="str">
        <f t="shared" si="655"/>
        <v>=478.4*10000</v>
      </c>
      <c r="Z1399" s="1">
        <f>478.4*10000</f>
        <v>4784000</v>
      </c>
      <c r="AA1399" s="8">
        <f t="shared" si="672"/>
        <v>-0.74539648749334753</v>
      </c>
      <c r="AB1399" s="7" t="s">
        <v>3300</v>
      </c>
      <c r="AC1399" s="6" t="str">
        <f t="shared" si="656"/>
        <v>=1879*10000</v>
      </c>
      <c r="AD1399" s="1">
        <f>1879*10000</f>
        <v>18790000</v>
      </c>
      <c r="AE1399" s="8">
        <f t="shared" si="673"/>
        <v>-1.5422799422799423</v>
      </c>
      <c r="AF1399" s="7">
        <f>-3465*10000</f>
        <v>-34650000</v>
      </c>
      <c r="AG1399" s="6" t="str">
        <f t="shared" si="657"/>
        <v>=-34650000</v>
      </c>
      <c r="AH1399" s="1">
        <f>-34650000</f>
        <v>-34650000</v>
      </c>
      <c r="AI1399" s="8">
        <f t="shared" si="674"/>
        <v>-1.3099284436493737</v>
      </c>
      <c r="AJ1399" s="6" t="s">
        <v>11714</v>
      </c>
      <c r="AK1399" s="6" t="str">
        <f t="shared" si="658"/>
        <v>=1.118*100000000</v>
      </c>
      <c r="AL1399" s="1">
        <f>1.118*100000000</f>
        <v>111800000.00000001</v>
      </c>
      <c r="AM1399" s="8">
        <f t="shared" si="675"/>
        <v>16.698274497388002</v>
      </c>
      <c r="AN1399" s="7" t="s">
        <v>13779</v>
      </c>
      <c r="AO1399" s="6" t="str">
        <f t="shared" si="659"/>
        <v>=631.7*10000</v>
      </c>
      <c r="AP1399" s="1">
        <f>631.7*10000</f>
        <v>6317000</v>
      </c>
      <c r="AQ1399" s="8">
        <f t="shared" si="676"/>
        <v>-0.49220257234726689</v>
      </c>
      <c r="AR1399" s="7" t="s">
        <v>13780</v>
      </c>
      <c r="AS1399" s="6" t="str">
        <f t="shared" si="660"/>
        <v>=1244*10000</v>
      </c>
      <c r="AT1399" s="1">
        <f>1244*10000</f>
        <v>12440000</v>
      </c>
      <c r="AU1399" s="8">
        <f t="shared" si="677"/>
        <v>-1.3102244389027431</v>
      </c>
      <c r="AV1399" s="7">
        <f>-4010*10000</f>
        <v>-40100000</v>
      </c>
      <c r="AW1399" s="6" t="str">
        <f t="shared" si="661"/>
        <v>=-40100000</v>
      </c>
      <c r="AX1399" s="1">
        <f>-40100000</f>
        <v>-40100000</v>
      </c>
      <c r="AY1399" s="10">
        <f t="shared" si="678"/>
        <v>-1.3493031358885019</v>
      </c>
      <c r="AZ1399" s="6" t="s">
        <v>13781</v>
      </c>
      <c r="BA1399" s="6" t="str">
        <f t="shared" si="662"/>
        <v>=1.148*100000000</v>
      </c>
      <c r="BB1399" s="1">
        <f>1.148*100000000</f>
        <v>114799999.99999999</v>
      </c>
      <c r="BC1399" s="8">
        <f t="shared" si="679"/>
        <v>1.2567328484371925</v>
      </c>
      <c r="BD1399" s="7" t="s">
        <v>11393</v>
      </c>
      <c r="BE1399" s="6" t="str">
        <f t="shared" si="663"/>
        <v>=5087*10000</v>
      </c>
      <c r="BF1399" s="1">
        <f>5087*10000</f>
        <v>50870000</v>
      </c>
      <c r="BG1399" s="8">
        <f t="shared" si="680"/>
        <v>0.9276241000378932</v>
      </c>
      <c r="BH1399" s="7" t="s">
        <v>13782</v>
      </c>
      <c r="BI1399" s="6" t="str">
        <f t="shared" si="664"/>
        <v>=2639*10000</v>
      </c>
      <c r="BJ1399" s="1">
        <f>2639*10000</f>
        <v>26390000</v>
      </c>
      <c r="BK1399" s="7">
        <f>-3745*10000</f>
        <v>-37450000</v>
      </c>
      <c r="BL1399" s="1" t="str">
        <f t="shared" si="666"/>
        <v>=-37450000</v>
      </c>
      <c r="BM1399" s="16">
        <f t="shared" si="681"/>
        <v>-1.7046728971962617</v>
      </c>
      <c r="BN1399" s="1">
        <f>-37450000</f>
        <v>-37450000</v>
      </c>
    </row>
    <row r="1400" spans="1:66">
      <c r="A1400" s="18"/>
      <c r="B1400">
        <v>601606</v>
      </c>
      <c r="C1400" t="s">
        <v>58</v>
      </c>
      <c r="D1400" s="6" t="s">
        <v>2855</v>
      </c>
      <c r="E1400" s="7" t="str">
        <f t="shared" si="665"/>
        <v>=1.413*100000000</v>
      </c>
      <c r="F1400" s="1">
        <f>1.413*100000000</f>
        <v>141300000</v>
      </c>
      <c r="G1400" s="8">
        <f t="shared" si="667"/>
        <v>-4.7811078405137808</v>
      </c>
      <c r="H1400" s="7">
        <f>-3737*10000</f>
        <v>-37370000</v>
      </c>
      <c r="I1400" s="6" t="str">
        <f t="shared" si="651"/>
        <v>=-37370000</v>
      </c>
      <c r="J1400" s="1">
        <f>-37370000</f>
        <v>-37370000</v>
      </c>
      <c r="K1400" s="10">
        <f t="shared" si="668"/>
        <v>2.2187769164513349</v>
      </c>
      <c r="L1400" s="7">
        <f>-1161*10000</f>
        <v>-11610000</v>
      </c>
      <c r="M1400" s="6" t="str">
        <f t="shared" si="652"/>
        <v>=-11610000</v>
      </c>
      <c r="N1400" s="1">
        <f>-11610000</f>
        <v>-11610000</v>
      </c>
      <c r="O1400" s="8">
        <f t="shared" si="669"/>
        <v>-0.6424391746227287</v>
      </c>
      <c r="P1400" s="7">
        <f>-3247*10000</f>
        <v>-32470000</v>
      </c>
      <c r="Q1400" s="6" t="str">
        <f t="shared" si="653"/>
        <v>=-32470000</v>
      </c>
      <c r="R1400" s="11">
        <f>-32470000</f>
        <v>-32470000</v>
      </c>
      <c r="S1400" s="8">
        <f t="shared" si="670"/>
        <v>-1.2435858964741184</v>
      </c>
      <c r="T1400" s="6" t="s">
        <v>4282</v>
      </c>
      <c r="U1400" s="6" t="str">
        <f t="shared" si="654"/>
        <v>=1.333*100000000</v>
      </c>
      <c r="V1400" s="1">
        <f>1.333*100000000</f>
        <v>133300000</v>
      </c>
      <c r="W1400" s="8">
        <f t="shared" si="671"/>
        <v>30.617647058823529</v>
      </c>
      <c r="X1400" s="7" t="s">
        <v>13783</v>
      </c>
      <c r="Y1400" s="6" t="str">
        <f t="shared" si="655"/>
        <v>=421.6*10000</v>
      </c>
      <c r="Z1400" s="1">
        <f>421.6*10000</f>
        <v>4216000</v>
      </c>
      <c r="AA1400" s="8">
        <f t="shared" si="672"/>
        <v>-0.76499442586399113</v>
      </c>
      <c r="AB1400" s="7" t="s">
        <v>6659</v>
      </c>
      <c r="AC1400" s="6" t="str">
        <f t="shared" si="656"/>
        <v>=1794*10000</v>
      </c>
      <c r="AD1400" s="1">
        <f>1794*10000</f>
        <v>17940000</v>
      </c>
      <c r="AE1400" s="8">
        <f t="shared" si="673"/>
        <v>-1.508647575843493</v>
      </c>
      <c r="AF1400" s="7">
        <f>-3527*10000</f>
        <v>-35270000</v>
      </c>
      <c r="AG1400" s="6" t="str">
        <f t="shared" si="657"/>
        <v>=-35270000</v>
      </c>
      <c r="AH1400" s="1">
        <f>-35270000</f>
        <v>-35270000</v>
      </c>
      <c r="AI1400" s="8">
        <f t="shared" si="674"/>
        <v>-1.3171762589928055</v>
      </c>
      <c r="AJ1400" s="6" t="s">
        <v>12234</v>
      </c>
      <c r="AK1400" s="6" t="str">
        <f t="shared" si="658"/>
        <v>=1.112*100000000</v>
      </c>
      <c r="AL1400" s="1">
        <f>1.112*100000000</f>
        <v>111200000.00000001</v>
      </c>
      <c r="AM1400" s="8">
        <f t="shared" si="675"/>
        <v>13.261895600872132</v>
      </c>
      <c r="AN1400" s="7" t="s">
        <v>13784</v>
      </c>
      <c r="AO1400" s="6" t="str">
        <f t="shared" si="659"/>
        <v>=779.7*10000</v>
      </c>
      <c r="AP1400" s="1">
        <f>779.7*10000</f>
        <v>7797000</v>
      </c>
      <c r="AQ1400" s="8">
        <f t="shared" si="676"/>
        <v>-0.43294545454545452</v>
      </c>
      <c r="AR1400" s="7" t="s">
        <v>9155</v>
      </c>
      <c r="AS1400" s="6" t="str">
        <f t="shared" si="660"/>
        <v>=1375*10000</v>
      </c>
      <c r="AT1400" s="1">
        <f>1375*10000</f>
        <v>13750000</v>
      </c>
      <c r="AU1400" s="8">
        <f t="shared" si="677"/>
        <v>-1.3426364315973087</v>
      </c>
      <c r="AV1400" s="7">
        <f>-4013*10000</f>
        <v>-40130000</v>
      </c>
      <c r="AW1400" s="6" t="str">
        <f t="shared" si="661"/>
        <v>=-40130000</v>
      </c>
      <c r="AX1400" s="1">
        <f>-40130000</f>
        <v>-40130000</v>
      </c>
      <c r="AY1400" s="10">
        <f t="shared" si="678"/>
        <v>-1.3654826958105646</v>
      </c>
      <c r="AZ1400" s="6" t="s">
        <v>4295</v>
      </c>
      <c r="BA1400" s="6" t="str">
        <f t="shared" si="662"/>
        <v>=1.098*100000000</v>
      </c>
      <c r="BB1400" s="1">
        <f>1.098*100000000</f>
        <v>109800000.00000001</v>
      </c>
      <c r="BC1400" s="8">
        <f t="shared" si="679"/>
        <v>1.4752028854824168</v>
      </c>
      <c r="BD1400" s="7" t="s">
        <v>13785</v>
      </c>
      <c r="BE1400" s="6" t="str">
        <f t="shared" si="663"/>
        <v>=4436*10000</v>
      </c>
      <c r="BF1400" s="1">
        <f>4436*10000</f>
        <v>44360000</v>
      </c>
      <c r="BG1400" s="8">
        <f t="shared" si="680"/>
        <v>1.2325113236034222</v>
      </c>
      <c r="BH1400" s="7" t="s">
        <v>3521</v>
      </c>
      <c r="BI1400" s="6" t="str">
        <f t="shared" si="664"/>
        <v>=1987*10000</v>
      </c>
      <c r="BJ1400" s="1">
        <f>1987*10000</f>
        <v>19870000</v>
      </c>
      <c r="BK1400" s="7">
        <f>-3758*10000</f>
        <v>-37580000</v>
      </c>
      <c r="BL1400" s="1" t="str">
        <f t="shared" si="666"/>
        <v>=-37580000</v>
      </c>
      <c r="BM1400" s="16">
        <f t="shared" si="681"/>
        <v>-1.528738690792975</v>
      </c>
      <c r="BN1400" s="1">
        <f>-37580000</f>
        <v>-37580000</v>
      </c>
    </row>
    <row r="1401" spans="1:66">
      <c r="A1401" s="19"/>
      <c r="B1401">
        <v>601606</v>
      </c>
      <c r="C1401" t="s">
        <v>68</v>
      </c>
      <c r="D1401" s="6" t="s">
        <v>8280</v>
      </c>
      <c r="E1401" s="7" t="str">
        <f t="shared" si="665"/>
        <v>=1.366*100000000</v>
      </c>
      <c r="F1401" s="1">
        <f>1.366*100000000</f>
        <v>136600000</v>
      </c>
      <c r="G1401" s="8">
        <f t="shared" si="667"/>
        <v>-6.0913156913902347</v>
      </c>
      <c r="H1401" s="7">
        <f>-2683*10000</f>
        <v>-26830000</v>
      </c>
      <c r="I1401" s="6" t="str">
        <f t="shared" si="651"/>
        <v>=-26830000</v>
      </c>
      <c r="J1401" s="1">
        <f>-26830000</f>
        <v>-26830000</v>
      </c>
      <c r="K1401" s="10">
        <f t="shared" si="668"/>
        <v>2.8771676300578033</v>
      </c>
      <c r="L1401" s="7">
        <f>-692*10000</f>
        <v>-6920000</v>
      </c>
      <c r="M1401" s="6" t="str">
        <f t="shared" si="652"/>
        <v>=-6920000</v>
      </c>
      <c r="N1401" s="1">
        <f>-6920000</f>
        <v>-6920000</v>
      </c>
      <c r="O1401" s="8">
        <f t="shared" si="669"/>
        <v>-0.78688019710502</v>
      </c>
      <c r="P1401" s="7">
        <f>-3247*10000</f>
        <v>-32470000</v>
      </c>
      <c r="Q1401" s="6" t="str">
        <f t="shared" si="653"/>
        <v>=-32470000</v>
      </c>
      <c r="R1401" s="11">
        <f>-32470000</f>
        <v>-32470000</v>
      </c>
      <c r="S1401" s="8">
        <f t="shared" si="670"/>
        <v>-1.2747038917089679</v>
      </c>
      <c r="T1401" s="6" t="s">
        <v>13786</v>
      </c>
      <c r="U1401" s="6" t="str">
        <f t="shared" si="654"/>
        <v>=1.182*100000000</v>
      </c>
      <c r="V1401" s="1">
        <f>1.182*100000000</f>
        <v>118200000</v>
      </c>
      <c r="W1401" s="8">
        <f t="shared" si="671"/>
        <v>95.964725184577517</v>
      </c>
      <c r="X1401" s="7" t="s">
        <v>13787</v>
      </c>
      <c r="Y1401" s="6" t="str">
        <f t="shared" si="655"/>
        <v>=121.9*10000</v>
      </c>
      <c r="Z1401" s="1">
        <f>121.9*10000</f>
        <v>1219000</v>
      </c>
      <c r="AA1401" s="8">
        <f t="shared" si="672"/>
        <v>-0.90615858352578904</v>
      </c>
      <c r="AB1401" s="7" t="s">
        <v>9887</v>
      </c>
      <c r="AC1401" s="6" t="str">
        <f t="shared" si="656"/>
        <v>=1299*10000</v>
      </c>
      <c r="AD1401" s="1">
        <f>1299*10000</f>
        <v>12990000</v>
      </c>
      <c r="AE1401" s="8">
        <f t="shared" si="673"/>
        <v>-1.3683016728097532</v>
      </c>
      <c r="AF1401" s="7">
        <f>-3527*10000</f>
        <v>-35270000</v>
      </c>
      <c r="AG1401" s="6" t="str">
        <f t="shared" si="657"/>
        <v>=-35270000</v>
      </c>
      <c r="AH1401" s="1">
        <f>-35270000</f>
        <v>-35270000</v>
      </c>
      <c r="AI1401" s="8">
        <f t="shared" si="674"/>
        <v>-1.3478303747534517</v>
      </c>
      <c r="AJ1401" s="6" t="s">
        <v>4298</v>
      </c>
      <c r="AK1401" s="6" t="str">
        <f t="shared" si="658"/>
        <v>=1.014*100000000</v>
      </c>
      <c r="AL1401" s="1">
        <f>1.014*100000000</f>
        <v>101400000</v>
      </c>
      <c r="AM1401" s="8">
        <f t="shared" si="675"/>
        <v>26.941581702948472</v>
      </c>
      <c r="AN1401" s="7" t="s">
        <v>13788</v>
      </c>
      <c r="AO1401" s="6" t="str">
        <f t="shared" si="659"/>
        <v>=362.9*10000</v>
      </c>
      <c r="AP1401" s="1">
        <f>362.9*10000</f>
        <v>3629000</v>
      </c>
      <c r="AQ1401" s="8">
        <f t="shared" si="676"/>
        <v>-0.68796216680997424</v>
      </c>
      <c r="AR1401" s="7" t="s">
        <v>7326</v>
      </c>
      <c r="AS1401" s="6" t="str">
        <f t="shared" si="660"/>
        <v>=1163*10000</v>
      </c>
      <c r="AT1401" s="1">
        <f>1163*10000</f>
        <v>11630000</v>
      </c>
      <c r="AU1401" s="8">
        <f t="shared" si="677"/>
        <v>-1.2898081235983054</v>
      </c>
      <c r="AV1401" s="7">
        <f>-4013*10000</f>
        <v>-40130000</v>
      </c>
      <c r="AW1401" s="6" t="str">
        <f t="shared" si="661"/>
        <v>=-40130000</v>
      </c>
      <c r="AX1401" s="1">
        <f>-40130000</f>
        <v>-40130000</v>
      </c>
      <c r="AY1401" s="10">
        <f t="shared" si="678"/>
        <v>-1.4114209555054336</v>
      </c>
      <c r="AZ1401" s="7" t="s">
        <v>13789</v>
      </c>
      <c r="BA1401" s="6" t="str">
        <f t="shared" si="662"/>
        <v>=9754*10000</v>
      </c>
      <c r="BB1401" s="1">
        <f>9754*10000</f>
        <v>97540000</v>
      </c>
      <c r="BC1401" s="8">
        <f t="shared" si="679"/>
        <v>1.4869964303926568</v>
      </c>
      <c r="BD1401" s="7" t="s">
        <v>11353</v>
      </c>
      <c r="BE1401" s="6" t="str">
        <f t="shared" si="663"/>
        <v>=3922*10000</v>
      </c>
      <c r="BF1401" s="1">
        <f>3922*10000</f>
        <v>39220000</v>
      </c>
      <c r="BG1401" s="8">
        <f t="shared" si="680"/>
        <v>1.5973509933774834</v>
      </c>
      <c r="BH1401" s="7" t="s">
        <v>13790</v>
      </c>
      <c r="BI1401" s="6" t="str">
        <f t="shared" si="664"/>
        <v>=1510*10000</v>
      </c>
      <c r="BJ1401" s="1">
        <f>1510*10000</f>
        <v>15100000</v>
      </c>
      <c r="BK1401" s="7">
        <f>-3758*10000</f>
        <v>-37580000</v>
      </c>
      <c r="BL1401" s="1" t="str">
        <f t="shared" si="666"/>
        <v>=-37580000</v>
      </c>
      <c r="BM1401" s="16">
        <f t="shared" si="681"/>
        <v>-1.4018094731240021</v>
      </c>
      <c r="BN1401" s="1">
        <f>-37580000</f>
        <v>-37580000</v>
      </c>
    </row>
    <row r="1402" spans="1:66">
      <c r="A1402" s="17">
        <v>352</v>
      </c>
      <c r="B1402">
        <v>601607</v>
      </c>
      <c r="C1402" t="s">
        <v>31</v>
      </c>
      <c r="D1402" s="6" t="s">
        <v>13791</v>
      </c>
      <c r="E1402" s="7" t="str">
        <f t="shared" si="665"/>
        <v>=2158*100000000</v>
      </c>
      <c r="F1402" s="1">
        <f>2158*100000000</f>
        <v>215800000000</v>
      </c>
      <c r="G1402" s="8">
        <f t="shared" si="667"/>
        <v>0.34037267080745343</v>
      </c>
      <c r="H1402" s="6" t="s">
        <v>13792</v>
      </c>
      <c r="I1402" s="6" t="str">
        <f t="shared" si="651"/>
        <v>=1610*100000000</v>
      </c>
      <c r="J1402" s="1">
        <f>1610*100000000</f>
        <v>161000000000</v>
      </c>
      <c r="K1402" s="10">
        <f t="shared" si="668"/>
        <v>0.53041825095057038</v>
      </c>
      <c r="L1402" s="6" t="s">
        <v>13793</v>
      </c>
      <c r="M1402" s="6" t="str">
        <f t="shared" si="652"/>
        <v>=1052*100000000</v>
      </c>
      <c r="N1402" s="1">
        <f>1052*100000000</f>
        <v>105200000000</v>
      </c>
      <c r="O1402" s="8">
        <f t="shared" si="669"/>
        <v>1.0387596899224807</v>
      </c>
      <c r="P1402" s="6" t="s">
        <v>13794</v>
      </c>
      <c r="Q1402" s="6" t="str">
        <f t="shared" si="653"/>
        <v>=516.0*100000000</v>
      </c>
      <c r="R1402" s="11">
        <f>516*100000000</f>
        <v>51600000000</v>
      </c>
      <c r="S1402" s="8">
        <f t="shared" si="670"/>
        <v>-0.73110995310057325</v>
      </c>
      <c r="T1402" s="6" t="s">
        <v>13795</v>
      </c>
      <c r="U1402" s="6" t="str">
        <f t="shared" si="654"/>
        <v>=1919*100000000</v>
      </c>
      <c r="V1402" s="1">
        <f>1919*100000000</f>
        <v>191900000000</v>
      </c>
      <c r="W1402" s="8">
        <f t="shared" si="671"/>
        <v>0.36778332145402709</v>
      </c>
      <c r="X1402" s="6" t="s">
        <v>13796</v>
      </c>
      <c r="Y1402" s="6" t="str">
        <f t="shared" si="655"/>
        <v>=1403*100000000</v>
      </c>
      <c r="Z1402" s="1">
        <f>1403*100000000</f>
        <v>140300000000</v>
      </c>
      <c r="AA1402" s="8">
        <f t="shared" si="672"/>
        <v>0.60949868073878632</v>
      </c>
      <c r="AB1402" s="6" t="s">
        <v>13797</v>
      </c>
      <c r="AC1402" s="6" t="str">
        <f t="shared" si="656"/>
        <v>=871.7*100000000</v>
      </c>
      <c r="AD1402" s="1">
        <f>871.7*100000000</f>
        <v>87170000000</v>
      </c>
      <c r="AE1402" s="8">
        <f t="shared" si="673"/>
        <v>1.1550061804697156</v>
      </c>
      <c r="AF1402" s="6" t="s">
        <v>13798</v>
      </c>
      <c r="AG1402" s="6" t="str">
        <f t="shared" si="657"/>
        <v>=404.5*100000000</v>
      </c>
      <c r="AH1402" s="1">
        <f>404.5*100000000</f>
        <v>40450000000</v>
      </c>
      <c r="AI1402" s="8">
        <f t="shared" si="674"/>
        <v>-0.78322615219721325</v>
      </c>
      <c r="AJ1402" s="6" t="s">
        <v>13799</v>
      </c>
      <c r="AK1402" s="6" t="str">
        <f t="shared" si="658"/>
        <v>=1866*100000000</v>
      </c>
      <c r="AL1402" s="1">
        <f>1866*100000000</f>
        <v>186600000000</v>
      </c>
      <c r="AM1402" s="8">
        <f t="shared" si="675"/>
        <v>0.32716927453769556</v>
      </c>
      <c r="AN1402" s="6" t="s">
        <v>13800</v>
      </c>
      <c r="AO1402" s="6" t="str">
        <f t="shared" si="659"/>
        <v>=1406*100000000</v>
      </c>
      <c r="AP1402" s="1">
        <f>1406*100000000</f>
        <v>140600000000</v>
      </c>
      <c r="AQ1402" s="8">
        <f t="shared" si="676"/>
        <v>0.51868654136962622</v>
      </c>
      <c r="AR1402" s="6" t="s">
        <v>13801</v>
      </c>
      <c r="AS1402" s="6" t="str">
        <f t="shared" si="660"/>
        <v>=925.8*100000000</v>
      </c>
      <c r="AT1402" s="1">
        <f>925.8*100000000</f>
        <v>92580000000</v>
      </c>
      <c r="AU1402" s="8">
        <f t="shared" si="677"/>
        <v>1.0121712671158445</v>
      </c>
      <c r="AV1402" s="6" t="s">
        <v>13802</v>
      </c>
      <c r="AW1402" s="6" t="str">
        <f t="shared" si="661"/>
        <v>=460.1*100000000</v>
      </c>
      <c r="AX1402" s="1">
        <f>460.1*100000000</f>
        <v>46010000000</v>
      </c>
      <c r="AY1402" s="10">
        <f t="shared" si="678"/>
        <v>-0.71081081081081077</v>
      </c>
      <c r="AZ1402" s="6" t="s">
        <v>13803</v>
      </c>
      <c r="BA1402" s="6" t="str">
        <f t="shared" si="662"/>
        <v>=1591*100000000</v>
      </c>
      <c r="BB1402" s="1">
        <f>1591*100000000</f>
        <v>159100000000</v>
      </c>
      <c r="BC1402" s="8">
        <f t="shared" si="679"/>
        <v>0.35289115646258501</v>
      </c>
      <c r="BD1402" s="6" t="s">
        <v>13804</v>
      </c>
      <c r="BE1402" s="6" t="str">
        <f t="shared" si="663"/>
        <v>=1176*100000000</v>
      </c>
      <c r="BF1402" s="1">
        <f>1176*100000000</f>
        <v>117600000000</v>
      </c>
      <c r="BG1402" s="8">
        <f t="shared" si="680"/>
        <v>0.54981549815498154</v>
      </c>
      <c r="BH1402" s="6" t="s">
        <v>13805</v>
      </c>
      <c r="BI1402" s="6" t="str">
        <f t="shared" si="664"/>
        <v>=758.8*100000000</v>
      </c>
      <c r="BJ1402" s="1">
        <f>758.8*100000000</f>
        <v>75880000000</v>
      </c>
      <c r="BK1402" s="6" t="s">
        <v>13806</v>
      </c>
      <c r="BL1402" s="1" t="str">
        <f t="shared" si="666"/>
        <v>=363.9*100000000</v>
      </c>
      <c r="BM1402" s="16">
        <f t="shared" si="681"/>
        <v>1.0851882385270679</v>
      </c>
      <c r="BN1402" s="1">
        <f>363.9*100000000</f>
        <v>36390000000</v>
      </c>
    </row>
    <row r="1403" spans="1:66">
      <c r="A1403" s="18"/>
      <c r="B1403">
        <v>601607</v>
      </c>
      <c r="C1403" t="s">
        <v>48</v>
      </c>
      <c r="D1403" s="6" t="s">
        <v>13807</v>
      </c>
      <c r="E1403" s="7" t="str">
        <f t="shared" si="665"/>
        <v>=82.05*100000000</v>
      </c>
      <c r="F1403" s="1">
        <f>82.05*100000000</f>
        <v>8205000000</v>
      </c>
      <c r="G1403" s="8">
        <f t="shared" si="667"/>
        <v>0.20644022937803247</v>
      </c>
      <c r="H1403" s="6" t="s">
        <v>13808</v>
      </c>
      <c r="I1403" s="6" t="str">
        <f t="shared" si="651"/>
        <v>=68.01*100000000</v>
      </c>
      <c r="J1403" s="1">
        <f>68.01*100000000</f>
        <v>6801000000.000001</v>
      </c>
      <c r="K1403" s="10">
        <f t="shared" si="668"/>
        <v>0.30038240917782044</v>
      </c>
      <c r="L1403" s="6" t="s">
        <v>13809</v>
      </c>
      <c r="M1403" s="6" t="str">
        <f t="shared" si="652"/>
        <v>=52.30*100000000</v>
      </c>
      <c r="N1403" s="1">
        <f>52.3*100000000</f>
        <v>5230000000</v>
      </c>
      <c r="O1403" s="8">
        <f t="shared" si="669"/>
        <v>0.74799465240641716</v>
      </c>
      <c r="P1403" s="6" t="s">
        <v>13810</v>
      </c>
      <c r="Q1403" s="6" t="str">
        <f t="shared" si="653"/>
        <v>=29.92*100000000</v>
      </c>
      <c r="R1403" s="11">
        <f>29.92*100000000</f>
        <v>2992000000</v>
      </c>
      <c r="S1403" s="8">
        <f t="shared" si="670"/>
        <v>-0.5835189309576837</v>
      </c>
      <c r="T1403" s="6" t="s">
        <v>13811</v>
      </c>
      <c r="U1403" s="6" t="str">
        <f t="shared" si="654"/>
        <v>=71.84*100000000</v>
      </c>
      <c r="V1403" s="1">
        <f>71.84*100000000</f>
        <v>7184000000</v>
      </c>
      <c r="W1403" s="8">
        <f t="shared" si="671"/>
        <v>0.3114275282949982</v>
      </c>
      <c r="X1403" s="6" t="s">
        <v>13812</v>
      </c>
      <c r="Y1403" s="6" t="str">
        <f t="shared" si="655"/>
        <v>=54.78*100000000</v>
      </c>
      <c r="Z1403" s="1">
        <f>54.78*100000000</f>
        <v>5478000000</v>
      </c>
      <c r="AA1403" s="8">
        <f t="shared" si="672"/>
        <v>0.50742982938910275</v>
      </c>
      <c r="AB1403" s="6" t="s">
        <v>13813</v>
      </c>
      <c r="AC1403" s="6" t="str">
        <f t="shared" si="656"/>
        <v>=36.34*100000000</v>
      </c>
      <c r="AD1403" s="1">
        <f>36.34*100000000</f>
        <v>3634000000.0000005</v>
      </c>
      <c r="AE1403" s="8">
        <f t="shared" si="673"/>
        <v>1.2812303829252984</v>
      </c>
      <c r="AF1403" s="6" t="s">
        <v>1586</v>
      </c>
      <c r="AG1403" s="6" t="str">
        <f t="shared" si="657"/>
        <v>=15.93*100000000</v>
      </c>
      <c r="AH1403" s="1">
        <f>15.93*100000000</f>
        <v>1593000000</v>
      </c>
      <c r="AI1403" s="8">
        <f t="shared" si="674"/>
        <v>-0.7436433859028001</v>
      </c>
      <c r="AJ1403" s="6" t="s">
        <v>12111</v>
      </c>
      <c r="AK1403" s="6" t="str">
        <f t="shared" si="658"/>
        <v>=62.14*100000000</v>
      </c>
      <c r="AL1403" s="1">
        <f>62.14*100000000</f>
        <v>6214000000</v>
      </c>
      <c r="AM1403" s="8">
        <f t="shared" si="675"/>
        <v>0.2591691995947315</v>
      </c>
      <c r="AN1403" s="6" t="s">
        <v>8229</v>
      </c>
      <c r="AO1403" s="6" t="str">
        <f t="shared" si="659"/>
        <v>=49.35*100000000</v>
      </c>
      <c r="AP1403" s="1">
        <f>49.35*100000000</f>
        <v>4935000000</v>
      </c>
      <c r="AQ1403" s="8">
        <f t="shared" si="676"/>
        <v>0.40919474585950866</v>
      </c>
      <c r="AR1403" s="6" t="s">
        <v>13814</v>
      </c>
      <c r="AS1403" s="6" t="str">
        <f t="shared" si="660"/>
        <v>=35.02*100000000</v>
      </c>
      <c r="AT1403" s="1">
        <f>35.02*100000000</f>
        <v>3502000000.0000005</v>
      </c>
      <c r="AU1403" s="8">
        <f t="shared" si="677"/>
        <v>1.1083684527393141</v>
      </c>
      <c r="AV1403" s="6" t="s">
        <v>3618</v>
      </c>
      <c r="AW1403" s="6" t="str">
        <f t="shared" si="661"/>
        <v>=16.61*100000000</v>
      </c>
      <c r="AX1403" s="1">
        <f>16.61*100000000</f>
        <v>1661000000</v>
      </c>
      <c r="AY1403" s="10">
        <f t="shared" si="678"/>
        <v>-0.68106758832565284</v>
      </c>
      <c r="AZ1403" s="6" t="s">
        <v>13815</v>
      </c>
      <c r="BA1403" s="6" t="str">
        <f t="shared" si="662"/>
        <v>=52.08*100000000</v>
      </c>
      <c r="BB1403" s="1">
        <f>52.08*100000000</f>
        <v>5208000000</v>
      </c>
      <c r="BC1403" s="8">
        <f t="shared" si="679"/>
        <v>9.5729013254786458E-2</v>
      </c>
      <c r="BD1403" s="6" t="s">
        <v>9191</v>
      </c>
      <c r="BE1403" s="6" t="str">
        <f t="shared" si="663"/>
        <v>=47.53*100000000</v>
      </c>
      <c r="BF1403" s="1">
        <f>47.53*100000000</f>
        <v>4753000000</v>
      </c>
      <c r="BG1403" s="8">
        <f t="shared" si="680"/>
        <v>0.54018146467919637</v>
      </c>
      <c r="BH1403" s="6" t="s">
        <v>13816</v>
      </c>
      <c r="BI1403" s="6" t="str">
        <f t="shared" si="664"/>
        <v>=30.86*100000000</v>
      </c>
      <c r="BJ1403" s="1">
        <f>30.86*100000000</f>
        <v>3086000000</v>
      </c>
      <c r="BK1403" s="6" t="s">
        <v>2847</v>
      </c>
      <c r="BL1403" s="1" t="str">
        <f t="shared" si="666"/>
        <v>=15.29*100000000</v>
      </c>
      <c r="BM1403" s="16">
        <f t="shared" si="681"/>
        <v>1.0183126226291694</v>
      </c>
      <c r="BN1403" s="1">
        <f>15.29*100000000</f>
        <v>1529000000</v>
      </c>
    </row>
    <row r="1404" spans="1:66">
      <c r="A1404" s="18"/>
      <c r="B1404">
        <v>601607</v>
      </c>
      <c r="C1404" t="s">
        <v>58</v>
      </c>
      <c r="D1404" s="6" t="s">
        <v>13817</v>
      </c>
      <c r="E1404" s="7" t="str">
        <f t="shared" si="665"/>
        <v>=81.44*100000000</v>
      </c>
      <c r="F1404" s="1">
        <f>81.44*100000000</f>
        <v>8144000000</v>
      </c>
      <c r="G1404" s="8">
        <f t="shared" si="667"/>
        <v>0.19817566573488304</v>
      </c>
      <c r="H1404" s="6" t="s">
        <v>13818</v>
      </c>
      <c r="I1404" s="6" t="str">
        <f t="shared" si="651"/>
        <v>=67.97*100000000</v>
      </c>
      <c r="J1404" s="1">
        <f>67.97*100000000</f>
        <v>6797000000</v>
      </c>
      <c r="K1404" s="10">
        <f t="shared" si="668"/>
        <v>0.30260636259103102</v>
      </c>
      <c r="L1404" s="6" t="s">
        <v>3015</v>
      </c>
      <c r="M1404" s="6" t="str">
        <f t="shared" si="652"/>
        <v>=52.18*100000000</v>
      </c>
      <c r="N1404" s="1">
        <f>52.18*100000000</f>
        <v>5218000000</v>
      </c>
      <c r="O1404" s="8">
        <f t="shared" si="669"/>
        <v>0.74107440774107436</v>
      </c>
      <c r="P1404" s="6" t="s">
        <v>10716</v>
      </c>
      <c r="Q1404" s="6" t="str">
        <f t="shared" si="653"/>
        <v>=29.97*100000000</v>
      </c>
      <c r="R1404" s="11">
        <f>29.97*100000000</f>
        <v>2997000000</v>
      </c>
      <c r="S1404" s="8">
        <f t="shared" si="670"/>
        <v>-0.58229965156794428</v>
      </c>
      <c r="T1404" s="6" t="s">
        <v>13819</v>
      </c>
      <c r="U1404" s="6" t="str">
        <f t="shared" si="654"/>
        <v>=71.75*100000000</v>
      </c>
      <c r="V1404" s="1">
        <f>71.75*100000000</f>
        <v>7175000000</v>
      </c>
      <c r="W1404" s="8">
        <f t="shared" si="671"/>
        <v>0.31050228310502281</v>
      </c>
      <c r="X1404" s="6" t="s">
        <v>13820</v>
      </c>
      <c r="Y1404" s="6" t="str">
        <f t="shared" si="655"/>
        <v>=54.75*100000000</v>
      </c>
      <c r="Z1404" s="1">
        <f>54.75*100000000</f>
        <v>5475000000</v>
      </c>
      <c r="AA1404" s="8">
        <f t="shared" si="672"/>
        <v>0.51914539400665927</v>
      </c>
      <c r="AB1404" s="6" t="s">
        <v>13495</v>
      </c>
      <c r="AC1404" s="6" t="str">
        <f t="shared" si="656"/>
        <v>=36.04*100000000</v>
      </c>
      <c r="AD1404" s="1">
        <f>36.04*100000000</f>
        <v>3604000000</v>
      </c>
      <c r="AE1404" s="8">
        <f t="shared" si="673"/>
        <v>1.2999361837906829</v>
      </c>
      <c r="AF1404" s="6" t="s">
        <v>6354</v>
      </c>
      <c r="AG1404" s="6" t="str">
        <f t="shared" si="657"/>
        <v>=15.67*100000000</v>
      </c>
      <c r="AH1404" s="1">
        <f>15.67*100000000</f>
        <v>1567000000</v>
      </c>
      <c r="AI1404" s="8">
        <f t="shared" si="674"/>
        <v>-0.74976045991695939</v>
      </c>
      <c r="AJ1404" s="6" t="s">
        <v>13821</v>
      </c>
      <c r="AK1404" s="6" t="str">
        <f t="shared" si="658"/>
        <v>=62.62*100000000</v>
      </c>
      <c r="AL1404" s="1">
        <f>62.62*100000000</f>
        <v>6262000000</v>
      </c>
      <c r="AM1404" s="8">
        <f t="shared" si="675"/>
        <v>0.25114885114885116</v>
      </c>
      <c r="AN1404" s="6" t="s">
        <v>532</v>
      </c>
      <c r="AO1404" s="6" t="str">
        <f t="shared" si="659"/>
        <v>=50.05*100000000</v>
      </c>
      <c r="AP1404" s="1">
        <f>50.05*100000000</f>
        <v>5005000000</v>
      </c>
      <c r="AQ1404" s="8">
        <f t="shared" si="676"/>
        <v>0.45409645554909939</v>
      </c>
      <c r="AR1404" s="6" t="s">
        <v>8250</v>
      </c>
      <c r="AS1404" s="6" t="str">
        <f t="shared" si="660"/>
        <v>=34.42*100000000</v>
      </c>
      <c r="AT1404" s="1">
        <f>34.42*100000000</f>
        <v>3442000000</v>
      </c>
      <c r="AU1404" s="8">
        <f t="shared" si="677"/>
        <v>1.0023269342641068</v>
      </c>
      <c r="AV1404" s="6" t="s">
        <v>1799</v>
      </c>
      <c r="AW1404" s="6" t="str">
        <f t="shared" si="661"/>
        <v>=17.19*100000000</v>
      </c>
      <c r="AX1404" s="1">
        <f>17.19*100000000</f>
        <v>1719000000.0000002</v>
      </c>
      <c r="AY1404" s="10">
        <f t="shared" si="678"/>
        <v>-0.67827063447501401</v>
      </c>
      <c r="AZ1404" s="6" t="s">
        <v>875</v>
      </c>
      <c r="BA1404" s="6" t="str">
        <f t="shared" si="662"/>
        <v>=53.43*100000000</v>
      </c>
      <c r="BB1404" s="1">
        <f>53.43*100000000</f>
        <v>5343000000</v>
      </c>
      <c r="BC1404" s="8">
        <f t="shared" si="679"/>
        <v>0.12342304457527334</v>
      </c>
      <c r="BD1404" s="6" t="s">
        <v>13822</v>
      </c>
      <c r="BE1404" s="6" t="str">
        <f t="shared" si="663"/>
        <v>=47.56*100000000</v>
      </c>
      <c r="BF1404" s="1">
        <f>47.56*100000000</f>
        <v>4756000000</v>
      </c>
      <c r="BG1404" s="8">
        <f t="shared" si="680"/>
        <v>0.53172302737520127</v>
      </c>
      <c r="BH1404" s="6" t="s">
        <v>13823</v>
      </c>
      <c r="BI1404" s="6" t="str">
        <f t="shared" si="664"/>
        <v>=31.05*100000000</v>
      </c>
      <c r="BJ1404" s="1">
        <f>31.05*100000000</f>
        <v>3105000000</v>
      </c>
      <c r="BK1404" s="6" t="s">
        <v>13824</v>
      </c>
      <c r="BL1404" s="1" t="str">
        <f t="shared" si="666"/>
        <v>=15.22*100000000</v>
      </c>
      <c r="BM1404" s="16">
        <f t="shared" si="681"/>
        <v>1.0400788436268069</v>
      </c>
      <c r="BN1404" s="1">
        <f>15.22*100000000</f>
        <v>1522000000</v>
      </c>
    </row>
    <row r="1405" spans="1:66">
      <c r="A1405" s="19"/>
      <c r="B1405">
        <v>601607</v>
      </c>
      <c r="C1405" t="s">
        <v>68</v>
      </c>
      <c r="D1405" s="6" t="s">
        <v>13825</v>
      </c>
      <c r="E1405" s="7" t="str">
        <f t="shared" si="665"/>
        <v>=62.75*100000000</v>
      </c>
      <c r="F1405" s="1">
        <f>62.75*100000000</f>
        <v>6275000000</v>
      </c>
      <c r="G1405" s="8">
        <f t="shared" si="667"/>
        <v>0.1698359433258762</v>
      </c>
      <c r="H1405" s="6" t="s">
        <v>13826</v>
      </c>
      <c r="I1405" s="6" t="str">
        <f t="shared" si="651"/>
        <v>=53.64*100000000</v>
      </c>
      <c r="J1405" s="1">
        <f>53.64*100000000</f>
        <v>5364000000</v>
      </c>
      <c r="K1405" s="10">
        <f t="shared" si="668"/>
        <v>0.28787515006002401</v>
      </c>
      <c r="L1405" s="6" t="s">
        <v>6777</v>
      </c>
      <c r="M1405" s="6" t="str">
        <f t="shared" si="652"/>
        <v>=41.65*100000000</v>
      </c>
      <c r="N1405" s="1">
        <f>41.65*100000000</f>
        <v>4165000000</v>
      </c>
      <c r="O1405" s="8">
        <f t="shared" si="669"/>
        <v>0.75147182506307819</v>
      </c>
      <c r="P1405" s="6" t="s">
        <v>8227</v>
      </c>
      <c r="Q1405" s="6" t="str">
        <f t="shared" si="653"/>
        <v>=23.78*100000000</v>
      </c>
      <c r="R1405" s="11">
        <f>23.78*100000000</f>
        <v>2378000000</v>
      </c>
      <c r="S1405" s="8">
        <f t="shared" si="670"/>
        <v>-0.57573595004460298</v>
      </c>
      <c r="T1405" s="6" t="s">
        <v>12886</v>
      </c>
      <c r="U1405" s="6" t="str">
        <f t="shared" si="654"/>
        <v>=56.05*100000000</v>
      </c>
      <c r="V1405" s="1">
        <f>56.05*100000000</f>
        <v>5605000000</v>
      </c>
      <c r="W1405" s="8">
        <f t="shared" si="671"/>
        <v>0.28614043139054612</v>
      </c>
      <c r="X1405" s="6" t="s">
        <v>13827</v>
      </c>
      <c r="Y1405" s="6" t="str">
        <f t="shared" si="655"/>
        <v>=43.58*100000000</v>
      </c>
      <c r="Z1405" s="1">
        <f>43.58*100000000</f>
        <v>4358000000</v>
      </c>
      <c r="AA1405" s="8">
        <f t="shared" si="672"/>
        <v>0.51266921207913918</v>
      </c>
      <c r="AB1405" s="6" t="s">
        <v>13828</v>
      </c>
      <c r="AC1405" s="6" t="str">
        <f t="shared" si="656"/>
        <v>=28.81*100000000</v>
      </c>
      <c r="AD1405" s="1">
        <f>28.81*100000000</f>
        <v>2881000000</v>
      </c>
      <c r="AE1405" s="8">
        <f t="shared" si="673"/>
        <v>1.3460912052117264</v>
      </c>
      <c r="AF1405" s="6" t="s">
        <v>6185</v>
      </c>
      <c r="AG1405" s="6" t="str">
        <f t="shared" si="657"/>
        <v>=12.28*100000000</v>
      </c>
      <c r="AH1405" s="1">
        <f>12.28*100000000</f>
        <v>1228000000</v>
      </c>
      <c r="AI1405" s="8">
        <f t="shared" si="674"/>
        <v>-0.74580832125853858</v>
      </c>
      <c r="AJ1405" s="6" t="s">
        <v>13829</v>
      </c>
      <c r="AK1405" s="6" t="str">
        <f t="shared" si="658"/>
        <v>=48.31*100000000</v>
      </c>
      <c r="AL1405" s="1">
        <f>48.31*100000000</f>
        <v>4831000000</v>
      </c>
      <c r="AM1405" s="8">
        <f t="shared" si="675"/>
        <v>0.19460929772502472</v>
      </c>
      <c r="AN1405" s="6" t="s">
        <v>3540</v>
      </c>
      <c r="AO1405" s="6" t="str">
        <f t="shared" si="659"/>
        <v>=40.44*100000000</v>
      </c>
      <c r="AP1405" s="1">
        <f>40.44*100000000</f>
        <v>4044000000</v>
      </c>
      <c r="AQ1405" s="8">
        <f t="shared" si="676"/>
        <v>0.47001090512540894</v>
      </c>
      <c r="AR1405" s="6" t="s">
        <v>11883</v>
      </c>
      <c r="AS1405" s="6" t="str">
        <f t="shared" si="660"/>
        <v>=27.51*100000000</v>
      </c>
      <c r="AT1405" s="1">
        <f>27.51*100000000</f>
        <v>2751000000</v>
      </c>
      <c r="AU1405" s="8">
        <f t="shared" si="677"/>
        <v>0.99927325581395354</v>
      </c>
      <c r="AV1405" s="6" t="s">
        <v>13830</v>
      </c>
      <c r="AW1405" s="6" t="str">
        <f t="shared" si="661"/>
        <v>=13.76*100000000</v>
      </c>
      <c r="AX1405" s="1">
        <f>13.76*100000000</f>
        <v>1376000000</v>
      </c>
      <c r="AY1405" s="10">
        <f t="shared" si="678"/>
        <v>-0.69120287253141832</v>
      </c>
      <c r="AZ1405" s="6" t="s">
        <v>3536</v>
      </c>
      <c r="BA1405" s="6" t="str">
        <f t="shared" si="662"/>
        <v>=44.56*100000000</v>
      </c>
      <c r="BB1405" s="1">
        <f>44.56*100000000</f>
        <v>4456000000</v>
      </c>
      <c r="BC1405" s="8">
        <f t="shared" si="679"/>
        <v>0.126105635582512</v>
      </c>
      <c r="BD1405" s="6" t="s">
        <v>5642</v>
      </c>
      <c r="BE1405" s="6" t="str">
        <f t="shared" si="663"/>
        <v>=39.57*100000000</v>
      </c>
      <c r="BF1405" s="1">
        <f>39.57*100000000</f>
        <v>3957000000</v>
      </c>
      <c r="BG1405" s="8">
        <f t="shared" si="680"/>
        <v>0.61181262729124242</v>
      </c>
      <c r="BH1405" s="6" t="s">
        <v>13831</v>
      </c>
      <c r="BI1405" s="6" t="str">
        <f t="shared" si="664"/>
        <v>=24.55*100000000</v>
      </c>
      <c r="BJ1405" s="1">
        <f>24.55*100000000</f>
        <v>2455000000</v>
      </c>
      <c r="BK1405" s="6" t="s">
        <v>2844</v>
      </c>
      <c r="BL1405" s="1" t="str">
        <f t="shared" si="666"/>
        <v>=11.93*100000000</v>
      </c>
      <c r="BM1405" s="16">
        <f t="shared" si="681"/>
        <v>1.0578373847443421</v>
      </c>
      <c r="BN1405" s="1">
        <f>11.93*100000000</f>
        <v>1193000000</v>
      </c>
    </row>
    <row r="1406" spans="1:66">
      <c r="A1406" s="17">
        <v>353</v>
      </c>
      <c r="B1406">
        <v>601608</v>
      </c>
      <c r="C1406" t="s">
        <v>31</v>
      </c>
      <c r="D1406" s="6" t="s">
        <v>13832</v>
      </c>
      <c r="E1406" s="7" t="str">
        <f t="shared" si="665"/>
        <v>=75.50*100000000</v>
      </c>
      <c r="F1406" s="1">
        <f>75.5*100000000</f>
        <v>7550000000</v>
      </c>
      <c r="G1406" s="8">
        <f t="shared" si="667"/>
        <v>0.37597958811736831</v>
      </c>
      <c r="H1406" s="6" t="s">
        <v>13833</v>
      </c>
      <c r="I1406" s="6" t="str">
        <f t="shared" si="651"/>
        <v>=54.87*100000000</v>
      </c>
      <c r="J1406" s="1">
        <f>54.87*100000000</f>
        <v>5487000000</v>
      </c>
      <c r="K1406" s="10">
        <f t="shared" si="668"/>
        <v>0.4565967613485532</v>
      </c>
      <c r="L1406" s="6" t="s">
        <v>13834</v>
      </c>
      <c r="M1406" s="6" t="str">
        <f t="shared" si="652"/>
        <v>=37.67*100000000</v>
      </c>
      <c r="N1406" s="1">
        <f>37.67*100000000</f>
        <v>3767000000</v>
      </c>
      <c r="O1406" s="8">
        <f t="shared" si="669"/>
        <v>0.99840848806366023</v>
      </c>
      <c r="P1406" s="6" t="s">
        <v>5262</v>
      </c>
      <c r="Q1406" s="6" t="str">
        <f t="shared" si="653"/>
        <v>=18.85*100000000</v>
      </c>
      <c r="R1406" s="11">
        <f>18.85*100000000</f>
        <v>1885000000.0000002</v>
      </c>
      <c r="S1406" s="8">
        <f t="shared" si="670"/>
        <v>-0.70164609053497939</v>
      </c>
      <c r="T1406" s="6" t="s">
        <v>13835</v>
      </c>
      <c r="U1406" s="6" t="str">
        <f t="shared" si="654"/>
        <v>=63.18*100000000</v>
      </c>
      <c r="V1406" s="1">
        <f>63.18*100000000</f>
        <v>6318000000</v>
      </c>
      <c r="W1406" s="8">
        <f t="shared" si="671"/>
        <v>0.46589327146171694</v>
      </c>
      <c r="X1406" s="6" t="s">
        <v>13836</v>
      </c>
      <c r="Y1406" s="6" t="str">
        <f t="shared" si="655"/>
        <v>=43.10*100000000</v>
      </c>
      <c r="Z1406" s="1">
        <f>43.1*100000000</f>
        <v>4310000000</v>
      </c>
      <c r="AA1406" s="8">
        <f t="shared" si="672"/>
        <v>0.6040193524376628</v>
      </c>
      <c r="AB1406" s="6" t="s">
        <v>12272</v>
      </c>
      <c r="AC1406" s="6" t="str">
        <f t="shared" si="656"/>
        <v>=26.87*100000000</v>
      </c>
      <c r="AD1406" s="1">
        <f>26.87*100000000</f>
        <v>2687000000</v>
      </c>
      <c r="AE1406" s="8">
        <f t="shared" si="673"/>
        <v>1.490268767377201</v>
      </c>
      <c r="AF1406" s="6" t="s">
        <v>1835</v>
      </c>
      <c r="AG1406" s="6" t="str">
        <f t="shared" si="657"/>
        <v>=10.79*100000000</v>
      </c>
      <c r="AH1406" s="1">
        <f>10.79*100000000</f>
        <v>1079000000</v>
      </c>
      <c r="AI1406" s="8">
        <f t="shared" si="674"/>
        <v>-0.79408396946564885</v>
      </c>
      <c r="AJ1406" s="6" t="s">
        <v>13837</v>
      </c>
      <c r="AK1406" s="6" t="str">
        <f t="shared" si="658"/>
        <v>=52.40*100000000</v>
      </c>
      <c r="AL1406" s="1">
        <f>52.4*100000000</f>
        <v>5240000000</v>
      </c>
      <c r="AM1406" s="8">
        <f t="shared" si="675"/>
        <v>0.43208526919923457</v>
      </c>
      <c r="AN1406" s="6" t="s">
        <v>13838</v>
      </c>
      <c r="AO1406" s="6" t="str">
        <f t="shared" si="659"/>
        <v>=36.59*100000000</v>
      </c>
      <c r="AP1406" s="1">
        <f>36.59*100000000</f>
        <v>3659000000.0000005</v>
      </c>
      <c r="AQ1406" s="8">
        <f t="shared" si="676"/>
        <v>0.50328677074774053</v>
      </c>
      <c r="AR1406" s="6" t="s">
        <v>5565</v>
      </c>
      <c r="AS1406" s="6" t="str">
        <f t="shared" si="660"/>
        <v>=24.34*100000000</v>
      </c>
      <c r="AT1406" s="1">
        <f>24.34*100000000</f>
        <v>2434000000</v>
      </c>
      <c r="AU1406" s="8">
        <f t="shared" si="677"/>
        <v>1.2875939849624061</v>
      </c>
      <c r="AV1406" s="6" t="s">
        <v>8695</v>
      </c>
      <c r="AW1406" s="6" t="str">
        <f t="shared" si="661"/>
        <v>=10.64*100000000</v>
      </c>
      <c r="AX1406" s="1">
        <f>10.64*100000000</f>
        <v>1064000000</v>
      </c>
      <c r="AY1406" s="10">
        <f t="shared" si="678"/>
        <v>-0.79542395693135937</v>
      </c>
      <c r="AZ1406" s="6" t="s">
        <v>13839</v>
      </c>
      <c r="BA1406" s="6" t="str">
        <f t="shared" si="662"/>
        <v>=52.01*100000000</v>
      </c>
      <c r="BB1406" s="1">
        <f>52.01*100000000</f>
        <v>5201000000</v>
      </c>
      <c r="BC1406" s="8">
        <f t="shared" si="679"/>
        <v>0.4552322327923895</v>
      </c>
      <c r="BD1406" s="6" t="s">
        <v>318</v>
      </c>
      <c r="BE1406" s="6" t="str">
        <f t="shared" si="663"/>
        <v>=35.74*100000000</v>
      </c>
      <c r="BF1406" s="1">
        <f>35.74*100000000</f>
        <v>3574000000</v>
      </c>
      <c r="BG1406" s="8">
        <f t="shared" si="680"/>
        <v>0.55933682373472948</v>
      </c>
      <c r="BH1406" s="6" t="s">
        <v>12895</v>
      </c>
      <c r="BI1406" s="6" t="str">
        <f t="shared" si="664"/>
        <v>=22.92*100000000</v>
      </c>
      <c r="BJ1406" s="1">
        <f>22.92*100000000</f>
        <v>2292000000</v>
      </c>
      <c r="BK1406" s="6" t="s">
        <v>6671</v>
      </c>
      <c r="BL1406" s="1" t="str">
        <f t="shared" si="666"/>
        <v>=8.961*100000000</v>
      </c>
      <c r="BM1406" s="16">
        <f t="shared" si="681"/>
        <v>1.5577502510880481</v>
      </c>
      <c r="BN1406" s="1">
        <f>8.961*100000000</f>
        <v>896100000</v>
      </c>
    </row>
    <row r="1407" spans="1:66">
      <c r="A1407" s="18"/>
      <c r="B1407">
        <v>601608</v>
      </c>
      <c r="C1407" t="s">
        <v>48</v>
      </c>
      <c r="D1407" s="6" t="s">
        <v>222</v>
      </c>
      <c r="E1407" s="7" t="str">
        <f t="shared" si="665"/>
        <v>=2.044*100000000</v>
      </c>
      <c r="F1407" s="1">
        <f>2.044*100000000</f>
        <v>204400000</v>
      </c>
      <c r="G1407" s="8">
        <f t="shared" si="667"/>
        <v>-8.5049239033124446E-2</v>
      </c>
      <c r="H1407" s="6" t="s">
        <v>491</v>
      </c>
      <c r="I1407" s="6" t="str">
        <f t="shared" ref="I1407:I1470" si="682">"="&amp;H1407</f>
        <v>=2.234*100000000</v>
      </c>
      <c r="J1407" s="1">
        <f>2.234*100000000</f>
        <v>223400000</v>
      </c>
      <c r="K1407" s="10">
        <f t="shared" si="668"/>
        <v>0.33452807646356031</v>
      </c>
      <c r="L1407" s="6" t="s">
        <v>13840</v>
      </c>
      <c r="M1407" s="6" t="str">
        <f t="shared" ref="M1407:M1470" si="683">"="&amp;L1407</f>
        <v>=1.674*100000000</v>
      </c>
      <c r="N1407" s="1">
        <f>1.674*100000000</f>
        <v>167400000</v>
      </c>
      <c r="O1407" s="8">
        <f t="shared" si="669"/>
        <v>1.4055180342003162</v>
      </c>
      <c r="P1407" s="7" t="s">
        <v>13841</v>
      </c>
      <c r="Q1407" s="6" t="str">
        <f t="shared" ref="Q1407:Q1470" si="684">"="&amp;P1407</f>
        <v>=6959*10000</v>
      </c>
      <c r="R1407" s="11">
        <f>6959*10000</f>
        <v>69590000</v>
      </c>
      <c r="S1407" s="8">
        <f t="shared" si="670"/>
        <v>-0.59634570765661254</v>
      </c>
      <c r="T1407" s="6" t="s">
        <v>5030</v>
      </c>
      <c r="U1407" s="6" t="str">
        <f t="shared" ref="U1407:U1470" si="685">"="&amp;T1407</f>
        <v>=1.724*100000000</v>
      </c>
      <c r="V1407" s="1">
        <f>1.724*100000000</f>
        <v>172400000</v>
      </c>
      <c r="W1407" s="8">
        <f t="shared" si="671"/>
        <v>-0.19136960600375236</v>
      </c>
      <c r="X1407" s="6" t="s">
        <v>13842</v>
      </c>
      <c r="Y1407" s="6" t="str">
        <f t="shared" ref="Y1407:Y1470" si="686">"="&amp;X1407</f>
        <v>=2.132*100000000</v>
      </c>
      <c r="Z1407" s="1">
        <f>2.132*100000000</f>
        <v>213200000</v>
      </c>
      <c r="AA1407" s="8">
        <f t="shared" si="672"/>
        <v>0.23953488372093024</v>
      </c>
      <c r="AB1407" s="6" t="s">
        <v>6133</v>
      </c>
      <c r="AC1407" s="6" t="str">
        <f t="shared" ref="AC1407:AC1470" si="687">"="&amp;AB1407</f>
        <v>=1.720*100000000</v>
      </c>
      <c r="AD1407" s="1">
        <f>1.72*100000000</f>
        <v>172000000</v>
      </c>
      <c r="AE1407" s="8">
        <f t="shared" si="673"/>
        <v>7.3779834388699461</v>
      </c>
      <c r="AF1407" s="7" t="s">
        <v>13843</v>
      </c>
      <c r="AG1407" s="6" t="str">
        <f t="shared" ref="AG1407:AG1470" si="688">"="&amp;AF1407</f>
        <v>=2053*10000</v>
      </c>
      <c r="AH1407" s="1">
        <f>2053*10000</f>
        <v>20530000</v>
      </c>
      <c r="AI1407" s="8">
        <f t="shared" si="674"/>
        <v>-0.86062457569585882</v>
      </c>
      <c r="AJ1407" s="6" t="s">
        <v>11698</v>
      </c>
      <c r="AK1407" s="6" t="str">
        <f t="shared" ref="AK1407:AK1470" si="689">"="&amp;AJ1407</f>
        <v>=1.473*100000000</v>
      </c>
      <c r="AL1407" s="1">
        <f>1.473*100000000</f>
        <v>147300000</v>
      </c>
      <c r="AM1407" s="8">
        <f t="shared" si="675"/>
        <v>4.025423728813559E-2</v>
      </c>
      <c r="AN1407" s="6" t="s">
        <v>7608</v>
      </c>
      <c r="AO1407" s="6" t="str">
        <f t="shared" ref="AO1407:AO1470" si="690">"="&amp;AN1407</f>
        <v>=1.416*100000000</v>
      </c>
      <c r="AP1407" s="1">
        <f>1.416*100000000</f>
        <v>141600000</v>
      </c>
      <c r="AQ1407" s="8">
        <f t="shared" si="676"/>
        <v>0.17901748542880933</v>
      </c>
      <c r="AR1407" s="6" t="s">
        <v>3506</v>
      </c>
      <c r="AS1407" s="6" t="str">
        <f t="shared" ref="AS1407:AS1470" si="691">"="&amp;AR1407</f>
        <v>=1.201*100000000</v>
      </c>
      <c r="AT1407" s="1">
        <f>1.201*100000000</f>
        <v>120100000</v>
      </c>
      <c r="AU1407" s="8">
        <f t="shared" si="677"/>
        <v>5.9542559351476552</v>
      </c>
      <c r="AV1407" s="7" t="s">
        <v>13844</v>
      </c>
      <c r="AW1407" s="6" t="str">
        <f t="shared" ref="AW1407:AW1470" si="692">"="&amp;AV1407</f>
        <v>=1727*10000</v>
      </c>
      <c r="AX1407" s="1">
        <f>1727*10000</f>
        <v>17270000</v>
      </c>
      <c r="AY1407" s="10">
        <f t="shared" si="678"/>
        <v>-0.90080413555427918</v>
      </c>
      <c r="AZ1407" s="6" t="s">
        <v>5163</v>
      </c>
      <c r="BA1407" s="6" t="str">
        <f t="shared" ref="BA1407:BA1470" si="693">"="&amp;AZ1407</f>
        <v>=1.741*100000000</v>
      </c>
      <c r="BB1407" s="1">
        <f>1.741*100000000</f>
        <v>174100000</v>
      </c>
      <c r="BC1407" s="8">
        <f t="shared" si="679"/>
        <v>0.30022404779686335</v>
      </c>
      <c r="BD1407" s="6" t="s">
        <v>1959</v>
      </c>
      <c r="BE1407" s="6" t="str">
        <f t="shared" ref="BE1407:BE1470" si="694">"="&amp;BD1407</f>
        <v>=1.339*100000000</v>
      </c>
      <c r="BF1407" s="1">
        <f>1.339*100000000</f>
        <v>133900000</v>
      </c>
      <c r="BG1407" s="8">
        <f t="shared" si="680"/>
        <v>0.14054514480408858</v>
      </c>
      <c r="BH1407" s="6" t="s">
        <v>8719</v>
      </c>
      <c r="BI1407" s="6" t="str">
        <f t="shared" ref="BI1407:BI1470" si="695">"="&amp;BH1407</f>
        <v>=1.174*100000000</v>
      </c>
      <c r="BJ1407" s="1">
        <f>1.174*100000000</f>
        <v>117400000</v>
      </c>
      <c r="BK1407" s="7" t="s">
        <v>9975</v>
      </c>
      <c r="BL1407" s="1" t="str">
        <f t="shared" si="666"/>
        <v>=1321*10000</v>
      </c>
      <c r="BM1407" s="16">
        <f t="shared" si="681"/>
        <v>7.8872066616199845</v>
      </c>
      <c r="BN1407" s="1">
        <f>1321*10000</f>
        <v>13210000</v>
      </c>
    </row>
    <row r="1408" spans="1:66">
      <c r="A1408" s="18"/>
      <c r="B1408">
        <v>601608</v>
      </c>
      <c r="C1408" t="s">
        <v>58</v>
      </c>
      <c r="D1408" s="6" t="s">
        <v>2799</v>
      </c>
      <c r="E1408" s="7" t="str">
        <f t="shared" si="665"/>
        <v>=2.433*100000000</v>
      </c>
      <c r="F1408" s="1">
        <f>2.433*100000000</f>
        <v>243299999.99999997</v>
      </c>
      <c r="G1408" s="8">
        <f t="shared" si="667"/>
        <v>-2.9130087789305668E-2</v>
      </c>
      <c r="H1408" s="6" t="s">
        <v>2653</v>
      </c>
      <c r="I1408" s="6" t="str">
        <f t="shared" si="682"/>
        <v>=2.506*100000000</v>
      </c>
      <c r="J1408" s="1">
        <f>2.506*100000000</f>
        <v>250599999.99999997</v>
      </c>
      <c r="K1408" s="10">
        <f t="shared" si="668"/>
        <v>0.35240151106314072</v>
      </c>
      <c r="L1408" s="6" t="s">
        <v>13845</v>
      </c>
      <c r="M1408" s="6" t="str">
        <f t="shared" si="683"/>
        <v>=1.853*100000000</v>
      </c>
      <c r="N1408" s="1">
        <f>1.853*100000000</f>
        <v>185300000</v>
      </c>
      <c r="O1408" s="8">
        <f t="shared" si="669"/>
        <v>1.4895875319091765</v>
      </c>
      <c r="P1408" s="7" t="s">
        <v>13846</v>
      </c>
      <c r="Q1408" s="6" t="str">
        <f t="shared" si="684"/>
        <v>=7443*10000</v>
      </c>
      <c r="R1408" s="11">
        <f>7443*10000</f>
        <v>74430000</v>
      </c>
      <c r="S1408" s="8">
        <f t="shared" si="670"/>
        <v>-0.64791863765373703</v>
      </c>
      <c r="T1408" s="6" t="s">
        <v>13847</v>
      </c>
      <c r="U1408" s="6" t="str">
        <f t="shared" si="685"/>
        <v>=2.114*100000000</v>
      </c>
      <c r="V1408" s="1">
        <f>2.114*100000000</f>
        <v>211400000</v>
      </c>
      <c r="W1408" s="8">
        <f t="shared" si="671"/>
        <v>-7.9268292682926705E-2</v>
      </c>
      <c r="X1408" s="6" t="s">
        <v>13848</v>
      </c>
      <c r="Y1408" s="6" t="str">
        <f t="shared" si="686"/>
        <v>=2.296*100000000</v>
      </c>
      <c r="Z1408" s="1">
        <f>2.296*100000000</f>
        <v>229599999.99999997</v>
      </c>
      <c r="AA1408" s="8">
        <f t="shared" si="672"/>
        <v>0.24782608695652159</v>
      </c>
      <c r="AB1408" s="6" t="s">
        <v>13849</v>
      </c>
      <c r="AC1408" s="6" t="str">
        <f t="shared" si="687"/>
        <v>=1.840*100000000</v>
      </c>
      <c r="AD1408" s="1">
        <f>1.84*100000000</f>
        <v>184000000</v>
      </c>
      <c r="AE1408" s="8">
        <f t="shared" si="673"/>
        <v>5.7821599705123479</v>
      </c>
      <c r="AF1408" s="7" t="s">
        <v>2609</v>
      </c>
      <c r="AG1408" s="6" t="str">
        <f t="shared" si="688"/>
        <v>=2713*10000</v>
      </c>
      <c r="AH1408" s="1">
        <f>2713*10000</f>
        <v>27130000</v>
      </c>
      <c r="AI1408" s="8">
        <f t="shared" si="674"/>
        <v>-0.8407863849765258</v>
      </c>
      <c r="AJ1408" s="6" t="s">
        <v>3577</v>
      </c>
      <c r="AK1408" s="6" t="str">
        <f t="shared" si="689"/>
        <v>=1.704*100000000</v>
      </c>
      <c r="AL1408" s="1">
        <f>1.704*100000000</f>
        <v>170400000</v>
      </c>
      <c r="AM1408" s="8">
        <f t="shared" si="675"/>
        <v>8.8817891373801916E-2</v>
      </c>
      <c r="AN1408" s="6" t="s">
        <v>4893</v>
      </c>
      <c r="AO1408" s="6" t="str">
        <f t="shared" si="690"/>
        <v>=1.565*100000000</v>
      </c>
      <c r="AP1408" s="1">
        <f>1.565*100000000</f>
        <v>156500000</v>
      </c>
      <c r="AQ1408" s="8">
        <f t="shared" si="676"/>
        <v>0.19465648854961831</v>
      </c>
      <c r="AR1408" s="6" t="s">
        <v>7649</v>
      </c>
      <c r="AS1408" s="6" t="str">
        <f t="shared" si="691"/>
        <v>=1.310*100000000</v>
      </c>
      <c r="AT1408" s="1">
        <f>1.31*100000000</f>
        <v>131000000</v>
      </c>
      <c r="AU1408" s="8">
        <f t="shared" si="677"/>
        <v>4.84299732381802</v>
      </c>
      <c r="AV1408" s="7" t="s">
        <v>13850</v>
      </c>
      <c r="AW1408" s="6" t="str">
        <f t="shared" si="692"/>
        <v>=2242*10000</v>
      </c>
      <c r="AX1408" s="1">
        <f>2242*10000</f>
        <v>22420000</v>
      </c>
      <c r="AY1408" s="10">
        <f t="shared" si="678"/>
        <v>-0.88928395061728394</v>
      </c>
      <c r="AZ1408" s="6" t="s">
        <v>13027</v>
      </c>
      <c r="BA1408" s="6" t="str">
        <f t="shared" si="693"/>
        <v>=2.025*100000000</v>
      </c>
      <c r="BB1408" s="1">
        <f>2.025*100000000</f>
        <v>202500000</v>
      </c>
      <c r="BC1408" s="8">
        <f t="shared" si="679"/>
        <v>0.39944713199723564</v>
      </c>
      <c r="BD1408" s="6" t="s">
        <v>13851</v>
      </c>
      <c r="BE1408" s="6" t="str">
        <f t="shared" si="694"/>
        <v>=1.447*100000000</v>
      </c>
      <c r="BF1408" s="1">
        <f>1.447*100000000</f>
        <v>144700000</v>
      </c>
      <c r="BG1408" s="8">
        <f t="shared" si="680"/>
        <v>0.19291014014839228</v>
      </c>
      <c r="BH1408" s="6" t="s">
        <v>9180</v>
      </c>
      <c r="BI1408" s="6" t="str">
        <f t="shared" si="695"/>
        <v>=1.213*100000000</v>
      </c>
      <c r="BJ1408" s="1">
        <f>1.213*100000000</f>
        <v>121300000.00000001</v>
      </c>
      <c r="BK1408" s="7" t="s">
        <v>13852</v>
      </c>
      <c r="BL1408" s="1" t="str">
        <f t="shared" si="666"/>
        <v>=2000*10000</v>
      </c>
      <c r="BM1408" s="16">
        <f t="shared" si="681"/>
        <v>5.0650000000000004</v>
      </c>
      <c r="BN1408" s="1">
        <f>2000*10000</f>
        <v>20000000</v>
      </c>
    </row>
    <row r="1409" spans="1:66">
      <c r="A1409" s="19"/>
      <c r="B1409">
        <v>601608</v>
      </c>
      <c r="C1409" t="s">
        <v>68</v>
      </c>
      <c r="D1409" s="6" t="s">
        <v>13853</v>
      </c>
      <c r="E1409" s="7" t="str">
        <f t="shared" si="665"/>
        <v>=2.226*100000000</v>
      </c>
      <c r="F1409" s="1">
        <f>2.226*100000000</f>
        <v>222600000</v>
      </c>
      <c r="G1409" s="8">
        <f t="shared" si="667"/>
        <v>-6.9008782936010038E-2</v>
      </c>
      <c r="H1409" s="6" t="s">
        <v>12777</v>
      </c>
      <c r="I1409" s="6" t="str">
        <f t="shared" si="682"/>
        <v>=2.391*100000000</v>
      </c>
      <c r="J1409" s="1">
        <f>2.391*100000000</f>
        <v>239100000</v>
      </c>
      <c r="K1409" s="10">
        <f t="shared" si="668"/>
        <v>0.3516110797060486</v>
      </c>
      <c r="L1409" s="6" t="s">
        <v>11261</v>
      </c>
      <c r="M1409" s="6" t="str">
        <f t="shared" si="683"/>
        <v>=1.769*100000000</v>
      </c>
      <c r="N1409" s="1">
        <f>1.769*100000000</f>
        <v>176900000</v>
      </c>
      <c r="O1409" s="8">
        <f t="shared" si="669"/>
        <v>1.6129985228951256</v>
      </c>
      <c r="P1409" s="7" t="s">
        <v>13854</v>
      </c>
      <c r="Q1409" s="6" t="str">
        <f t="shared" si="684"/>
        <v>=6770*10000</v>
      </c>
      <c r="R1409" s="11">
        <f>6770*10000</f>
        <v>67700000</v>
      </c>
      <c r="S1409" s="8">
        <f t="shared" si="670"/>
        <v>-0.6618381618381618</v>
      </c>
      <c r="T1409" s="6" t="s">
        <v>2147</v>
      </c>
      <c r="U1409" s="6" t="str">
        <f t="shared" si="685"/>
        <v>=2.002*100000000</v>
      </c>
      <c r="V1409" s="1">
        <f>2.002*100000000</f>
        <v>200199999.99999997</v>
      </c>
      <c r="W1409" s="8">
        <f t="shared" si="671"/>
        <v>-2.9097963142580025E-2</v>
      </c>
      <c r="X1409" s="6" t="s">
        <v>1050</v>
      </c>
      <c r="Y1409" s="6" t="str">
        <f t="shared" si="686"/>
        <v>=2.062*100000000</v>
      </c>
      <c r="Z1409" s="1">
        <f>2.062*100000000</f>
        <v>206199999.99999997</v>
      </c>
      <c r="AA1409" s="8">
        <f t="shared" si="672"/>
        <v>0.17292377701934</v>
      </c>
      <c r="AB1409" s="6" t="s">
        <v>6293</v>
      </c>
      <c r="AC1409" s="6" t="str">
        <f t="shared" si="687"/>
        <v>=1.758*100000000</v>
      </c>
      <c r="AD1409" s="1">
        <f>1.758*100000000</f>
        <v>175800000</v>
      </c>
      <c r="AE1409" s="8">
        <f t="shared" si="673"/>
        <v>7.27683615819209</v>
      </c>
      <c r="AF1409" s="7" t="s">
        <v>3732</v>
      </c>
      <c r="AG1409" s="6" t="str">
        <f t="shared" si="688"/>
        <v>=2124*10000</v>
      </c>
      <c r="AH1409" s="1">
        <f>2124*10000</f>
        <v>21240000</v>
      </c>
      <c r="AI1409" s="8">
        <f t="shared" si="674"/>
        <v>-0.84496350364963502</v>
      </c>
      <c r="AJ1409" s="6" t="s">
        <v>10313</v>
      </c>
      <c r="AK1409" s="6" t="str">
        <f t="shared" si="689"/>
        <v>=1.370*100000000</v>
      </c>
      <c r="AL1409" s="1">
        <f>1.37*100000000</f>
        <v>137000000</v>
      </c>
      <c r="AM1409" s="8">
        <f t="shared" si="675"/>
        <v>0.23534715960324618</v>
      </c>
      <c r="AN1409" s="6" t="s">
        <v>10021</v>
      </c>
      <c r="AO1409" s="6" t="str">
        <f t="shared" si="690"/>
        <v>=1.109*100000000</v>
      </c>
      <c r="AP1409" s="1">
        <f>1.109*100000000</f>
        <v>110900000</v>
      </c>
      <c r="AQ1409" s="8">
        <f t="shared" si="676"/>
        <v>2.4953789279112754E-2</v>
      </c>
      <c r="AR1409" s="6" t="s">
        <v>13855</v>
      </c>
      <c r="AS1409" s="6" t="str">
        <f t="shared" si="691"/>
        <v>=1.082*100000000</v>
      </c>
      <c r="AT1409" s="1">
        <f>1.082*100000000</f>
        <v>108200000</v>
      </c>
      <c r="AU1409" s="8">
        <f t="shared" si="677"/>
        <v>6.0351105331599477</v>
      </c>
      <c r="AV1409" s="7" t="s">
        <v>13856</v>
      </c>
      <c r="AW1409" s="6" t="str">
        <f t="shared" si="692"/>
        <v>=1538*10000</v>
      </c>
      <c r="AX1409" s="1">
        <f>1538*10000</f>
        <v>15380000</v>
      </c>
      <c r="AY1409" s="10">
        <f t="shared" si="678"/>
        <v>-0.89821310390469888</v>
      </c>
      <c r="AZ1409" s="6" t="s">
        <v>9073</v>
      </c>
      <c r="BA1409" s="6" t="str">
        <f t="shared" si="693"/>
        <v>=1.511*100000000</v>
      </c>
      <c r="BB1409" s="1">
        <f>1.511*100000000</f>
        <v>151100000</v>
      </c>
      <c r="BC1409" s="8">
        <f t="shared" si="679"/>
        <v>0.43904761904761902</v>
      </c>
      <c r="BD1409" s="6" t="s">
        <v>2241</v>
      </c>
      <c r="BE1409" s="6" t="str">
        <f t="shared" si="694"/>
        <v>=1.050*100000000</v>
      </c>
      <c r="BF1409" s="1">
        <f>1.05*100000000</f>
        <v>105000000</v>
      </c>
      <c r="BG1409" s="8">
        <f t="shared" si="680"/>
        <v>0.16047745358090185</v>
      </c>
      <c r="BH1409" s="7" t="s">
        <v>13857</v>
      </c>
      <c r="BI1409" s="6" t="str">
        <f t="shared" si="695"/>
        <v>=9048*10000</v>
      </c>
      <c r="BJ1409" s="1">
        <f>9048*10000</f>
        <v>90480000</v>
      </c>
      <c r="BK1409" s="7" t="s">
        <v>10314</v>
      </c>
      <c r="BL1409" s="1" t="str">
        <f t="shared" si="666"/>
        <v>=842.2*10000</v>
      </c>
      <c r="BM1409" s="16">
        <f t="shared" si="681"/>
        <v>9.743291379719782</v>
      </c>
      <c r="BN1409" s="1">
        <f>842.2*10000</f>
        <v>8422000</v>
      </c>
    </row>
    <row r="1410" spans="1:66">
      <c r="A1410" s="17">
        <v>354</v>
      </c>
      <c r="B1410">
        <v>601618</v>
      </c>
      <c r="C1410" t="s">
        <v>31</v>
      </c>
      <c r="D1410" s="6" t="s">
        <v>13858</v>
      </c>
      <c r="E1410" s="7" t="str">
        <f t="shared" ref="E1410:E1473" si="696">"="&amp;D1410</f>
        <v>=5006*100000000</v>
      </c>
      <c r="F1410" s="1">
        <f>5006*100000000</f>
        <v>500600000000</v>
      </c>
      <c r="G1410" s="8">
        <f t="shared" si="667"/>
        <v>0.43233190271816879</v>
      </c>
      <c r="H1410" s="6" t="s">
        <v>13859</v>
      </c>
      <c r="I1410" s="6" t="str">
        <f t="shared" si="682"/>
        <v>=3495*100000000</v>
      </c>
      <c r="J1410" s="1">
        <f>3495*100000000</f>
        <v>349500000000</v>
      </c>
      <c r="K1410" s="10">
        <f t="shared" si="668"/>
        <v>0.39243027888446214</v>
      </c>
      <c r="L1410" s="6" t="s">
        <v>13860</v>
      </c>
      <c r="M1410" s="6" t="str">
        <f t="shared" si="683"/>
        <v>=2510*100000000</v>
      </c>
      <c r="N1410" s="1">
        <f>2510*100000000</f>
        <v>251000000000</v>
      </c>
      <c r="O1410" s="8">
        <f t="shared" si="669"/>
        <v>1.6583350984960814</v>
      </c>
      <c r="P1410" s="6" t="s">
        <v>13861</v>
      </c>
      <c r="Q1410" s="6" t="str">
        <f t="shared" si="684"/>
        <v>=944.2*100000000</v>
      </c>
      <c r="R1410" s="11">
        <f>944.2*100000000</f>
        <v>94420000000</v>
      </c>
      <c r="S1410" s="8">
        <f t="shared" si="670"/>
        <v>-0.76400899775056241</v>
      </c>
      <c r="T1410" s="6" t="s">
        <v>13862</v>
      </c>
      <c r="U1410" s="6" t="str">
        <f t="shared" si="685"/>
        <v>=4001*100000000</v>
      </c>
      <c r="V1410" s="1">
        <f>4001*100000000</f>
        <v>400100000000</v>
      </c>
      <c r="W1410" s="8">
        <f t="shared" si="671"/>
        <v>0.49291044776119403</v>
      </c>
      <c r="X1410" s="6" t="s">
        <v>13863</v>
      </c>
      <c r="Y1410" s="6" t="str">
        <f t="shared" si="686"/>
        <v>=2680*100000000</v>
      </c>
      <c r="Z1410" s="1">
        <f>2680*100000000</f>
        <v>268000000000</v>
      </c>
      <c r="AA1410" s="8">
        <f t="shared" si="672"/>
        <v>0.4839424141749723</v>
      </c>
      <c r="AB1410" s="6" t="s">
        <v>13864</v>
      </c>
      <c r="AC1410" s="6" t="str">
        <f t="shared" si="687"/>
        <v>=1806*100000000</v>
      </c>
      <c r="AD1410" s="1">
        <f>1806*100000000</f>
        <v>180600000000</v>
      </c>
      <c r="AE1410" s="8">
        <f t="shared" si="673"/>
        <v>1.4834983498349834</v>
      </c>
      <c r="AF1410" s="6" t="s">
        <v>13865</v>
      </c>
      <c r="AG1410" s="6" t="str">
        <f t="shared" si="688"/>
        <v>=727.2*100000000</v>
      </c>
      <c r="AH1410" s="1">
        <f>727.2*100000000</f>
        <v>72720000000</v>
      </c>
      <c r="AI1410" s="8">
        <f t="shared" si="674"/>
        <v>-0.78523331364441817</v>
      </c>
      <c r="AJ1410" s="6" t="s">
        <v>13866</v>
      </c>
      <c r="AK1410" s="6" t="str">
        <f t="shared" si="689"/>
        <v>=3386*100000000</v>
      </c>
      <c r="AL1410" s="1">
        <f>3386*100000000</f>
        <v>338600000000</v>
      </c>
      <c r="AM1410" s="8">
        <f t="shared" si="675"/>
        <v>0.48443665059184571</v>
      </c>
      <c r="AN1410" s="6" t="s">
        <v>13867</v>
      </c>
      <c r="AO1410" s="6" t="str">
        <f t="shared" si="690"/>
        <v>=2281*100000000</v>
      </c>
      <c r="AP1410" s="1">
        <f>2281*100000000</f>
        <v>228100000000</v>
      </c>
      <c r="AQ1410" s="8">
        <f t="shared" si="676"/>
        <v>0.43459119496855347</v>
      </c>
      <c r="AR1410" s="6" t="s">
        <v>12824</v>
      </c>
      <c r="AS1410" s="6" t="str">
        <f t="shared" si="691"/>
        <v>=1590*100000000</v>
      </c>
      <c r="AT1410" s="1">
        <f>1590*100000000</f>
        <v>159000000000</v>
      </c>
      <c r="AU1410" s="8">
        <f t="shared" si="677"/>
        <v>1.5194105530026938</v>
      </c>
      <c r="AV1410" s="6" t="s">
        <v>13868</v>
      </c>
      <c r="AW1410" s="6" t="str">
        <f t="shared" si="692"/>
        <v>=631.1*100000000</v>
      </c>
      <c r="AX1410" s="1">
        <f>631.1*100000000</f>
        <v>63110000000</v>
      </c>
      <c r="AY1410" s="10">
        <f t="shared" si="678"/>
        <v>-0.78200345423143347</v>
      </c>
      <c r="AZ1410" s="6" t="s">
        <v>13869</v>
      </c>
      <c r="BA1410" s="6" t="str">
        <f t="shared" si="693"/>
        <v>=2895*100000000</v>
      </c>
      <c r="BB1410" s="1">
        <f>2895*100000000</f>
        <v>289500000000</v>
      </c>
      <c r="BC1410" s="8">
        <f t="shared" si="679"/>
        <v>0.59768211920529801</v>
      </c>
      <c r="BD1410" s="6" t="s">
        <v>13870</v>
      </c>
      <c r="BE1410" s="6" t="str">
        <f t="shared" si="694"/>
        <v>=1812*100000000</v>
      </c>
      <c r="BF1410" s="1">
        <f>1812*100000000</f>
        <v>181200000000</v>
      </c>
      <c r="BG1410" s="8">
        <f t="shared" si="680"/>
        <v>0.43695479777954005</v>
      </c>
      <c r="BH1410" s="6" t="s">
        <v>959</v>
      </c>
      <c r="BI1410" s="6" t="str">
        <f t="shared" si="695"/>
        <v>=1261*100000000</v>
      </c>
      <c r="BJ1410" s="1">
        <f>1261*100000000</f>
        <v>126100000000</v>
      </c>
      <c r="BK1410" s="6" t="s">
        <v>13871</v>
      </c>
      <c r="BL1410" s="1" t="str">
        <f t="shared" ref="BL1410:BL1473" si="697">"="&amp;BK1410</f>
        <v>=552.0*100000000</v>
      </c>
      <c r="BM1410" s="16">
        <f t="shared" si="681"/>
        <v>1.2844202898550725</v>
      </c>
      <c r="BN1410" s="1">
        <f>552*100000000</f>
        <v>55200000000</v>
      </c>
    </row>
    <row r="1411" spans="1:66">
      <c r="A1411" s="18"/>
      <c r="B1411">
        <v>601618</v>
      </c>
      <c r="C1411" t="s">
        <v>48</v>
      </c>
      <c r="D1411" s="6" t="s">
        <v>4108</v>
      </c>
      <c r="E1411" s="7" t="str">
        <f t="shared" si="696"/>
        <v>=141.6*100000000</v>
      </c>
      <c r="F1411" s="1">
        <f>141.6*100000000</f>
        <v>14160000000</v>
      </c>
      <c r="G1411" s="8">
        <f t="shared" ref="G1411:G1474" si="698">(F1411-J1411)/J1411</f>
        <v>0.35762224352828381</v>
      </c>
      <c r="H1411" s="6" t="s">
        <v>10658</v>
      </c>
      <c r="I1411" s="6" t="str">
        <f t="shared" si="682"/>
        <v>=104.3*100000000</v>
      </c>
      <c r="J1411" s="1">
        <f>104.3*100000000</f>
        <v>10430000000</v>
      </c>
      <c r="K1411" s="10">
        <f t="shared" ref="K1411:K1474" si="699">(J1411-N1411)/N1411</f>
        <v>0.32209405501330968</v>
      </c>
      <c r="L1411" s="6" t="s">
        <v>13872</v>
      </c>
      <c r="M1411" s="6" t="str">
        <f t="shared" si="683"/>
        <v>=78.89*100000000</v>
      </c>
      <c r="N1411" s="1">
        <f>78.89*100000000</f>
        <v>7889000000</v>
      </c>
      <c r="O1411" s="8">
        <f t="shared" ref="O1411:O1474" si="700">(N1411-R1411)/R1411</f>
        <v>0.98565315882204907</v>
      </c>
      <c r="P1411" s="6" t="s">
        <v>13873</v>
      </c>
      <c r="Q1411" s="6" t="str">
        <f t="shared" si="684"/>
        <v>=39.73*100000000</v>
      </c>
      <c r="R1411" s="11">
        <f>39.73*100000000</f>
        <v>3972999999.9999995</v>
      </c>
      <c r="S1411" s="8">
        <f t="shared" ref="S1411:S1474" si="701">(R1411-V1411)/V1411</f>
        <v>-0.66359017781541063</v>
      </c>
      <c r="T1411" s="6" t="s">
        <v>13874</v>
      </c>
      <c r="U1411" s="6" t="str">
        <f t="shared" si="685"/>
        <v>=118.1*100000000</v>
      </c>
      <c r="V1411" s="1">
        <f>118.1*100000000</f>
        <v>11810000000</v>
      </c>
      <c r="W1411" s="8">
        <f t="shared" ref="W1411:W1474" si="702">(V1411-Z1411)/Z1411</f>
        <v>0.57424686750199949</v>
      </c>
      <c r="X1411" s="6" t="s">
        <v>5360</v>
      </c>
      <c r="Y1411" s="6" t="str">
        <f t="shared" si="686"/>
        <v>=75.02*100000000</v>
      </c>
      <c r="Z1411" s="1">
        <f>75.02*100000000</f>
        <v>7502000000</v>
      </c>
      <c r="AA1411" s="8">
        <f t="shared" ref="AA1411:AA1474" si="703">(Z1411-AD1411)/AD1411</f>
        <v>0.4093556265263949</v>
      </c>
      <c r="AB1411" s="6" t="s">
        <v>8792</v>
      </c>
      <c r="AC1411" s="6" t="str">
        <f t="shared" si="687"/>
        <v>=53.23*100000000</v>
      </c>
      <c r="AD1411" s="1">
        <f>53.23*100000000</f>
        <v>5323000000</v>
      </c>
      <c r="AE1411" s="8">
        <f t="shared" ref="AE1411:AE1474" si="704">(AD1411-AH1411)/AH1411</f>
        <v>0.70335999999999999</v>
      </c>
      <c r="AF1411" s="6" t="s">
        <v>13875</v>
      </c>
      <c r="AG1411" s="6" t="str">
        <f t="shared" si="688"/>
        <v>=31.25*100000000</v>
      </c>
      <c r="AH1411" s="1">
        <f>31.25*100000000</f>
        <v>3125000000</v>
      </c>
      <c r="AI1411" s="8">
        <f t="shared" ref="AI1411:AI1474" si="705">(AH1411-AL1411)/AL1411</f>
        <v>-0.66548918861057593</v>
      </c>
      <c r="AJ1411" s="6" t="s">
        <v>13876</v>
      </c>
      <c r="AK1411" s="6" t="str">
        <f t="shared" si="689"/>
        <v>=93.42*100000000</v>
      </c>
      <c r="AL1411" s="1">
        <f>93.42*100000000</f>
        <v>9342000000</v>
      </c>
      <c r="AM1411" s="8">
        <f t="shared" ref="AM1411:AM1474" si="706">(AL1411-AP1411)/AP1411</f>
        <v>0.46449286722056748</v>
      </c>
      <c r="AN1411" s="6" t="s">
        <v>13877</v>
      </c>
      <c r="AO1411" s="6" t="str">
        <f t="shared" si="690"/>
        <v>=63.79*100000000</v>
      </c>
      <c r="AP1411" s="1">
        <f>63.79*100000000</f>
        <v>6379000000</v>
      </c>
      <c r="AQ1411" s="8">
        <f t="shared" ref="AQ1411:AQ1474" si="707">(AP1411-AT1411)/AT1411</f>
        <v>0.32234660033167495</v>
      </c>
      <c r="AR1411" s="6" t="s">
        <v>13878</v>
      </c>
      <c r="AS1411" s="6" t="str">
        <f t="shared" si="691"/>
        <v>=48.24*100000000</v>
      </c>
      <c r="AT1411" s="1">
        <f>48.24*100000000</f>
        <v>4824000000</v>
      </c>
      <c r="AU1411" s="8">
        <f t="shared" ref="AU1411:AU1474" si="708">(AT1411-AX1411)/AX1411</f>
        <v>0.71367673179396096</v>
      </c>
      <c r="AV1411" s="6" t="s">
        <v>12136</v>
      </c>
      <c r="AW1411" s="6" t="str">
        <f t="shared" si="692"/>
        <v>=28.15*100000000</v>
      </c>
      <c r="AX1411" s="1">
        <f>28.15*100000000</f>
        <v>2815000000</v>
      </c>
      <c r="AY1411" s="10">
        <f t="shared" ref="AY1411:AY1474" si="709">(AX1411-BB1411)/BB1411</f>
        <v>-0.71368999186330351</v>
      </c>
      <c r="AZ1411" s="6" t="s">
        <v>3103</v>
      </c>
      <c r="BA1411" s="6" t="str">
        <f t="shared" si="693"/>
        <v>=98.32*100000000</v>
      </c>
      <c r="BB1411" s="1">
        <f>98.32*100000000</f>
        <v>9832000000</v>
      </c>
      <c r="BC1411" s="8">
        <f t="shared" ref="BC1411:BC1474" si="710">(BB1411-BF1411)/BF1411</f>
        <v>0.62163945241629559</v>
      </c>
      <c r="BD1411" s="6" t="s">
        <v>13879</v>
      </c>
      <c r="BE1411" s="6" t="str">
        <f t="shared" si="694"/>
        <v>=60.63*100000000</v>
      </c>
      <c r="BF1411" s="1">
        <f>60.63*100000000</f>
        <v>6063000000</v>
      </c>
      <c r="BG1411" s="8">
        <f t="shared" ref="BG1411:BG1474" si="711">(BF1411-BJ1411)/BJ1411</f>
        <v>0.23482688391038697</v>
      </c>
      <c r="BH1411" s="6" t="s">
        <v>3597</v>
      </c>
      <c r="BI1411" s="6" t="str">
        <f t="shared" si="695"/>
        <v>=49.10*100000000</v>
      </c>
      <c r="BJ1411" s="1">
        <f>49.1*100000000</f>
        <v>4910000000</v>
      </c>
      <c r="BK1411" s="6" t="s">
        <v>3021</v>
      </c>
      <c r="BL1411" s="1" t="str">
        <f t="shared" si="697"/>
        <v>=25.24*100000000</v>
      </c>
      <c r="BM1411" s="16">
        <f t="shared" ref="BM1411:BM1474" si="712">(BJ1411-BN1411)/BN1411</f>
        <v>0.94532488114104596</v>
      </c>
      <c r="BN1411" s="1">
        <f>25.24*100000000</f>
        <v>2524000000</v>
      </c>
    </row>
    <row r="1412" spans="1:66">
      <c r="A1412" s="18"/>
      <c r="B1412">
        <v>601618</v>
      </c>
      <c r="C1412" t="s">
        <v>58</v>
      </c>
      <c r="D1412" s="6" t="s">
        <v>11628</v>
      </c>
      <c r="E1412" s="7" t="str">
        <f t="shared" si="696"/>
        <v>=140.1*100000000</v>
      </c>
      <c r="F1412" s="1">
        <f>140.1*100000000</f>
        <v>14010000000</v>
      </c>
      <c r="G1412" s="8">
        <f t="shared" si="698"/>
        <v>0.32294617563739375</v>
      </c>
      <c r="H1412" s="6" t="s">
        <v>522</v>
      </c>
      <c r="I1412" s="6" t="str">
        <f t="shared" si="682"/>
        <v>=105.9*100000000</v>
      </c>
      <c r="J1412" s="1">
        <f>105.9*100000000</f>
        <v>10590000000</v>
      </c>
      <c r="K1412" s="10">
        <f t="shared" si="699"/>
        <v>0.31864026895778857</v>
      </c>
      <c r="L1412" s="6" t="s">
        <v>13880</v>
      </c>
      <c r="M1412" s="6" t="str">
        <f t="shared" si="683"/>
        <v>=80.31*100000000</v>
      </c>
      <c r="N1412" s="1">
        <f>80.31*100000000</f>
        <v>8031000000</v>
      </c>
      <c r="O1412" s="8">
        <f t="shared" si="700"/>
        <v>0.98100641341884554</v>
      </c>
      <c r="P1412" s="6" t="s">
        <v>13881</v>
      </c>
      <c r="Q1412" s="6" t="str">
        <f t="shared" si="684"/>
        <v>=40.54*100000000</v>
      </c>
      <c r="R1412" s="11">
        <f>40.54*100000000</f>
        <v>4054000000</v>
      </c>
      <c r="S1412" s="8">
        <f t="shared" si="701"/>
        <v>-0.65989932885906044</v>
      </c>
      <c r="T1412" s="6" t="s">
        <v>1156</v>
      </c>
      <c r="U1412" s="6" t="str">
        <f t="shared" si="685"/>
        <v>=119.2*100000000</v>
      </c>
      <c r="V1412" s="1">
        <f>119.2*100000000</f>
        <v>11920000000</v>
      </c>
      <c r="W1412" s="8">
        <f t="shared" si="702"/>
        <v>0.53846153846153844</v>
      </c>
      <c r="X1412" s="6" t="s">
        <v>13494</v>
      </c>
      <c r="Y1412" s="6" t="str">
        <f t="shared" si="686"/>
        <v>=77.48*100000000</v>
      </c>
      <c r="Z1412" s="1">
        <f>77.48*100000000</f>
        <v>7748000000</v>
      </c>
      <c r="AA1412" s="8">
        <f t="shared" si="703"/>
        <v>0.40795929493003819</v>
      </c>
      <c r="AB1412" s="6" t="s">
        <v>13882</v>
      </c>
      <c r="AC1412" s="6" t="str">
        <f t="shared" si="687"/>
        <v>=55.03*100000000</v>
      </c>
      <c r="AD1412" s="1">
        <f>55.03*100000000</f>
        <v>5503000000</v>
      </c>
      <c r="AE1412" s="8">
        <f t="shared" si="704"/>
        <v>0.74090477696931356</v>
      </c>
      <c r="AF1412" s="6" t="s">
        <v>5644</v>
      </c>
      <c r="AG1412" s="6" t="str">
        <f t="shared" si="688"/>
        <v>=31.61*100000000</v>
      </c>
      <c r="AH1412" s="1">
        <f>31.61*100000000</f>
        <v>3161000000</v>
      </c>
      <c r="AI1412" s="8">
        <f t="shared" si="705"/>
        <v>-0.67685544878347981</v>
      </c>
      <c r="AJ1412" s="6" t="s">
        <v>13883</v>
      </c>
      <c r="AK1412" s="6" t="str">
        <f t="shared" si="689"/>
        <v>=97.82*100000000</v>
      </c>
      <c r="AL1412" s="1">
        <f>97.82*100000000</f>
        <v>9782000000</v>
      </c>
      <c r="AM1412" s="8">
        <f t="shared" si="706"/>
        <v>0.50747418708583758</v>
      </c>
      <c r="AN1412" s="6" t="s">
        <v>13884</v>
      </c>
      <c r="AO1412" s="6" t="str">
        <f t="shared" si="690"/>
        <v>=64.89*100000000</v>
      </c>
      <c r="AP1412" s="1">
        <f>64.89*100000000</f>
        <v>6489000000</v>
      </c>
      <c r="AQ1412" s="8">
        <f t="shared" si="707"/>
        <v>0.32916837361736995</v>
      </c>
      <c r="AR1412" s="6" t="s">
        <v>9189</v>
      </c>
      <c r="AS1412" s="6" t="str">
        <f t="shared" si="691"/>
        <v>=48.82*100000000</v>
      </c>
      <c r="AT1412" s="1">
        <f>48.82*100000000</f>
        <v>4882000000</v>
      </c>
      <c r="AU1412" s="8">
        <f t="shared" si="708"/>
        <v>0.71238162048404063</v>
      </c>
      <c r="AV1412" s="6" t="s">
        <v>11522</v>
      </c>
      <c r="AW1412" s="6" t="str">
        <f t="shared" si="692"/>
        <v>=28.51*100000000</v>
      </c>
      <c r="AX1412" s="1">
        <f>28.51*100000000</f>
        <v>2851000000</v>
      </c>
      <c r="AY1412" s="10">
        <f t="shared" si="709"/>
        <v>-0.7006509869802604</v>
      </c>
      <c r="AZ1412" s="6" t="s">
        <v>13885</v>
      </c>
      <c r="BA1412" s="6" t="str">
        <f t="shared" si="693"/>
        <v>=95.24*100000000</v>
      </c>
      <c r="BB1412" s="1">
        <f>95.24*100000000</f>
        <v>9524000000</v>
      </c>
      <c r="BC1412" s="8">
        <f t="shared" si="710"/>
        <v>0.61945247406903592</v>
      </c>
      <c r="BD1412" s="6" t="s">
        <v>3314</v>
      </c>
      <c r="BE1412" s="6" t="str">
        <f t="shared" si="694"/>
        <v>=58.81*100000000</v>
      </c>
      <c r="BF1412" s="1">
        <f>58.81*100000000</f>
        <v>5881000000</v>
      </c>
      <c r="BG1412" s="8">
        <f t="shared" si="711"/>
        <v>0.26093481989708406</v>
      </c>
      <c r="BH1412" s="6" t="s">
        <v>10927</v>
      </c>
      <c r="BI1412" s="6" t="str">
        <f t="shared" si="695"/>
        <v>=46.64*100000000</v>
      </c>
      <c r="BJ1412" s="1">
        <f>46.64*100000000</f>
        <v>4664000000</v>
      </c>
      <c r="BK1412" s="6" t="s">
        <v>9133</v>
      </c>
      <c r="BL1412" s="1" t="str">
        <f t="shared" si="697"/>
        <v>=25.87*100000000</v>
      </c>
      <c r="BM1412" s="16">
        <f t="shared" si="712"/>
        <v>0.8028604561267878</v>
      </c>
      <c r="BN1412" s="1">
        <f>25.87*100000000</f>
        <v>2587000000</v>
      </c>
    </row>
    <row r="1413" spans="1:66">
      <c r="A1413" s="19"/>
      <c r="B1413">
        <v>601618</v>
      </c>
      <c r="C1413" t="s">
        <v>68</v>
      </c>
      <c r="D1413" s="6" t="s">
        <v>6434</v>
      </c>
      <c r="E1413" s="7" t="str">
        <f t="shared" si="696"/>
        <v>=116.1*100000000</v>
      </c>
      <c r="F1413" s="1">
        <f>116.1*100000000</f>
        <v>11610000000</v>
      </c>
      <c r="G1413" s="8">
        <f t="shared" si="698"/>
        <v>0.36107854630715125</v>
      </c>
      <c r="H1413" s="6" t="s">
        <v>12291</v>
      </c>
      <c r="I1413" s="6" t="str">
        <f t="shared" si="682"/>
        <v>=85.30*100000000</v>
      </c>
      <c r="J1413" s="1">
        <f>85.3*100000000</f>
        <v>8530000000</v>
      </c>
      <c r="K1413" s="10">
        <f t="shared" si="699"/>
        <v>0.29418904566833559</v>
      </c>
      <c r="L1413" s="6" t="s">
        <v>11825</v>
      </c>
      <c r="M1413" s="6" t="str">
        <f t="shared" si="683"/>
        <v>=65.91*100000000</v>
      </c>
      <c r="N1413" s="1">
        <f>65.91*100000000</f>
        <v>6591000000</v>
      </c>
      <c r="O1413" s="8">
        <f t="shared" si="700"/>
        <v>1.1695194206714945</v>
      </c>
      <c r="P1413" s="6" t="s">
        <v>13886</v>
      </c>
      <c r="Q1413" s="6" t="str">
        <f t="shared" si="684"/>
        <v>=30.38*100000000</v>
      </c>
      <c r="R1413" s="11">
        <f>30.38*100000000</f>
        <v>3038000000</v>
      </c>
      <c r="S1413" s="8">
        <f t="shared" si="701"/>
        <v>-0.67618844596034966</v>
      </c>
      <c r="T1413" s="6" t="s">
        <v>13887</v>
      </c>
      <c r="U1413" s="6" t="str">
        <f t="shared" si="685"/>
        <v>=93.82*100000000</v>
      </c>
      <c r="V1413" s="1">
        <f>93.82*100000000</f>
        <v>9382000000</v>
      </c>
      <c r="W1413" s="8">
        <f t="shared" si="702"/>
        <v>0.59151823579304497</v>
      </c>
      <c r="X1413" s="6" t="s">
        <v>13888</v>
      </c>
      <c r="Y1413" s="6" t="str">
        <f t="shared" si="686"/>
        <v>=58.95*100000000</v>
      </c>
      <c r="Z1413" s="1">
        <f>58.95*100000000</f>
        <v>5895000000</v>
      </c>
      <c r="AA1413" s="8">
        <f t="shared" si="703"/>
        <v>0.37830254851531431</v>
      </c>
      <c r="AB1413" s="6" t="s">
        <v>11881</v>
      </c>
      <c r="AC1413" s="6" t="str">
        <f t="shared" si="687"/>
        <v>=42.77*100000000</v>
      </c>
      <c r="AD1413" s="1">
        <f>42.77*100000000</f>
        <v>4277000000.0000005</v>
      </c>
      <c r="AE1413" s="8">
        <f t="shared" si="704"/>
        <v>0.79781420765027344</v>
      </c>
      <c r="AF1413" s="6" t="s">
        <v>12904</v>
      </c>
      <c r="AG1413" s="6" t="str">
        <f t="shared" si="688"/>
        <v>=23.79*100000000</v>
      </c>
      <c r="AH1413" s="1">
        <f>23.79*100000000</f>
        <v>2379000000</v>
      </c>
      <c r="AI1413" s="8">
        <f t="shared" si="705"/>
        <v>-0.68602349214728786</v>
      </c>
      <c r="AJ1413" s="6" t="s">
        <v>13889</v>
      </c>
      <c r="AK1413" s="6" t="str">
        <f t="shared" si="689"/>
        <v>=75.77*100000000</v>
      </c>
      <c r="AL1413" s="1">
        <f>75.77*100000000</f>
        <v>7577000000</v>
      </c>
      <c r="AM1413" s="8">
        <f t="shared" si="706"/>
        <v>0.53722864678433757</v>
      </c>
      <c r="AN1413" s="6" t="s">
        <v>12867</v>
      </c>
      <c r="AO1413" s="6" t="str">
        <f t="shared" si="690"/>
        <v>=49.29*100000000</v>
      </c>
      <c r="AP1413" s="1">
        <f>49.29*100000000</f>
        <v>4929000000</v>
      </c>
      <c r="AQ1413" s="8">
        <f t="shared" si="707"/>
        <v>0.30465854949708843</v>
      </c>
      <c r="AR1413" s="6" t="s">
        <v>13890</v>
      </c>
      <c r="AS1413" s="6" t="str">
        <f t="shared" si="691"/>
        <v>=37.78*100000000</v>
      </c>
      <c r="AT1413" s="1">
        <f>37.78*100000000</f>
        <v>3778000000</v>
      </c>
      <c r="AU1413" s="8">
        <f t="shared" si="708"/>
        <v>0.75802698929734758</v>
      </c>
      <c r="AV1413" s="6" t="s">
        <v>1200</v>
      </c>
      <c r="AW1413" s="6" t="str">
        <f t="shared" si="692"/>
        <v>=21.49*100000000</v>
      </c>
      <c r="AX1413" s="1">
        <f>21.49*100000000</f>
        <v>2149000000</v>
      </c>
      <c r="AY1413" s="10">
        <f t="shared" si="709"/>
        <v>-0.71615374455157832</v>
      </c>
      <c r="AZ1413" s="6" t="s">
        <v>13891</v>
      </c>
      <c r="BA1413" s="6" t="str">
        <f t="shared" si="693"/>
        <v>=75.71*100000000</v>
      </c>
      <c r="BB1413" s="1">
        <f>75.71*100000000</f>
        <v>7570999999.999999</v>
      </c>
      <c r="BC1413" s="8">
        <f t="shared" si="710"/>
        <v>0.67834183107958301</v>
      </c>
      <c r="BD1413" s="6" t="s">
        <v>10783</v>
      </c>
      <c r="BE1413" s="6" t="str">
        <f t="shared" si="694"/>
        <v>=45.11*100000000</v>
      </c>
      <c r="BF1413" s="1">
        <f>45.11*100000000</f>
        <v>4511000000</v>
      </c>
      <c r="BG1413" s="8">
        <f t="shared" si="711"/>
        <v>0.28922549299799943</v>
      </c>
      <c r="BH1413" s="6" t="s">
        <v>13892</v>
      </c>
      <c r="BI1413" s="6" t="str">
        <f t="shared" si="695"/>
        <v>=34.99*100000000</v>
      </c>
      <c r="BJ1413" s="1">
        <f>34.99*100000000</f>
        <v>3499000000</v>
      </c>
      <c r="BK1413" s="6" t="s">
        <v>13893</v>
      </c>
      <c r="BL1413" s="1" t="str">
        <f t="shared" si="697"/>
        <v>=19.59*100000000</v>
      </c>
      <c r="BM1413" s="16">
        <f t="shared" si="712"/>
        <v>0.78611536498213375</v>
      </c>
      <c r="BN1413" s="1">
        <f>19.59*100000000</f>
        <v>1959000000</v>
      </c>
    </row>
    <row r="1414" spans="1:66">
      <c r="A1414" s="17">
        <v>355</v>
      </c>
      <c r="B1414">
        <v>601628</v>
      </c>
      <c r="C1414" t="s">
        <v>31</v>
      </c>
      <c r="D1414" s="6" t="s">
        <v>13894</v>
      </c>
      <c r="E1414" s="7" t="str">
        <f t="shared" si="696"/>
        <v>=8585*100000000</v>
      </c>
      <c r="F1414" s="1">
        <f>8585*100000000</f>
        <v>858500000000</v>
      </c>
      <c r="G1414" s="8">
        <f t="shared" si="698"/>
        <v>0.17974440016490312</v>
      </c>
      <c r="H1414" s="6" t="s">
        <v>13895</v>
      </c>
      <c r="I1414" s="6" t="str">
        <f t="shared" si="682"/>
        <v>=7277*100000000</v>
      </c>
      <c r="J1414" s="1">
        <f>7277*100000000</f>
        <v>727700000000</v>
      </c>
      <c r="K1414" s="10">
        <f t="shared" si="699"/>
        <v>0.31686572566051391</v>
      </c>
      <c r="L1414" s="6" t="s">
        <v>13896</v>
      </c>
      <c r="M1414" s="6" t="str">
        <f t="shared" si="683"/>
        <v>=5526*100000000</v>
      </c>
      <c r="N1414" s="1">
        <f>5526*100000000</f>
        <v>552600000000</v>
      </c>
      <c r="O1414" s="8">
        <f t="shared" si="700"/>
        <v>0.4795180722891566</v>
      </c>
      <c r="P1414" s="6" t="s">
        <v>13897</v>
      </c>
      <c r="Q1414" s="6" t="str">
        <f t="shared" si="684"/>
        <v>=3735*100000000</v>
      </c>
      <c r="R1414" s="11">
        <f>3735*100000000</f>
        <v>373500000000</v>
      </c>
      <c r="S1414" s="8">
        <f t="shared" si="701"/>
        <v>-0.54727272727272724</v>
      </c>
      <c r="T1414" s="6" t="s">
        <v>13898</v>
      </c>
      <c r="U1414" s="6" t="str">
        <f t="shared" si="685"/>
        <v>=8250*100000000</v>
      </c>
      <c r="V1414" s="1">
        <f>8250*100000000</f>
        <v>825000000000</v>
      </c>
      <c r="W1414" s="8">
        <f t="shared" si="702"/>
        <v>0.19288606130711394</v>
      </c>
      <c r="X1414" s="6" t="s">
        <v>13899</v>
      </c>
      <c r="Y1414" s="6" t="str">
        <f t="shared" si="686"/>
        <v>=6916*100000000</v>
      </c>
      <c r="Z1414" s="1">
        <f>6916*100000000</f>
        <v>691600000000</v>
      </c>
      <c r="AA1414" s="8">
        <f t="shared" si="703"/>
        <v>0.346311076503796</v>
      </c>
      <c r="AB1414" s="6" t="s">
        <v>13900</v>
      </c>
      <c r="AC1414" s="6" t="str">
        <f t="shared" si="687"/>
        <v>=5137*100000000</v>
      </c>
      <c r="AD1414" s="1">
        <f>5137*100000000</f>
        <v>513700000000</v>
      </c>
      <c r="AE1414" s="8">
        <f t="shared" si="704"/>
        <v>0.52072232089994075</v>
      </c>
      <c r="AF1414" s="6" t="s">
        <v>13901</v>
      </c>
      <c r="AG1414" s="6" t="str">
        <f t="shared" si="688"/>
        <v>=3378*100000000</v>
      </c>
      <c r="AH1414" s="1">
        <f>3378*100000000</f>
        <v>337800000000</v>
      </c>
      <c r="AI1414" s="8">
        <f t="shared" si="705"/>
        <v>-0.54669887278582929</v>
      </c>
      <c r="AJ1414" s="6" t="s">
        <v>13902</v>
      </c>
      <c r="AK1414" s="6" t="str">
        <f t="shared" si="689"/>
        <v>=7452*100000000</v>
      </c>
      <c r="AL1414" s="1">
        <f>7452*100000000</f>
        <v>745200000000</v>
      </c>
      <c r="AM1414" s="8">
        <f t="shared" si="706"/>
        <v>0.19423076923076923</v>
      </c>
      <c r="AN1414" s="6" t="s">
        <v>12978</v>
      </c>
      <c r="AO1414" s="6" t="str">
        <f t="shared" si="690"/>
        <v>=6240*100000000</v>
      </c>
      <c r="AP1414" s="1">
        <f>6240*100000000</f>
        <v>624000000000</v>
      </c>
      <c r="AQ1414" s="8">
        <f t="shared" si="707"/>
        <v>0.3648293963254593</v>
      </c>
      <c r="AR1414" s="6" t="s">
        <v>13903</v>
      </c>
      <c r="AS1414" s="6" t="str">
        <f t="shared" si="691"/>
        <v>=4572*100000000</v>
      </c>
      <c r="AT1414" s="1">
        <f>4572*100000000</f>
        <v>457200000000</v>
      </c>
      <c r="AU1414" s="8">
        <f t="shared" si="708"/>
        <v>0.464445868033312</v>
      </c>
      <c r="AV1414" s="6" t="s">
        <v>13904</v>
      </c>
      <c r="AW1414" s="6" t="str">
        <f t="shared" si="692"/>
        <v>=3122*100000000</v>
      </c>
      <c r="AX1414" s="1">
        <f>3122*100000000</f>
        <v>312200000000</v>
      </c>
      <c r="AY1414" s="10">
        <f t="shared" si="709"/>
        <v>-0.51453895195148502</v>
      </c>
      <c r="AZ1414" s="6" t="s">
        <v>13905</v>
      </c>
      <c r="BA1414" s="6" t="str">
        <f t="shared" si="693"/>
        <v>=6431*100000000</v>
      </c>
      <c r="BB1414" s="1">
        <f>6431*100000000</f>
        <v>643100000000</v>
      </c>
      <c r="BC1414" s="8">
        <f t="shared" si="710"/>
        <v>0.18872458410351201</v>
      </c>
      <c r="BD1414" s="6" t="s">
        <v>13906</v>
      </c>
      <c r="BE1414" s="6" t="str">
        <f t="shared" si="694"/>
        <v>=5410*100000000</v>
      </c>
      <c r="BF1414" s="1">
        <f>5410*100000000</f>
        <v>541000000000</v>
      </c>
      <c r="BG1414" s="8">
        <f t="shared" si="711"/>
        <v>0.32858546168958741</v>
      </c>
      <c r="BH1414" s="6" t="s">
        <v>13907</v>
      </c>
      <c r="BI1414" s="6" t="str">
        <f t="shared" si="695"/>
        <v>=4072*100000000</v>
      </c>
      <c r="BJ1414" s="1">
        <f>4072*100000000</f>
        <v>407200000000</v>
      </c>
      <c r="BK1414" s="6" t="s">
        <v>13908</v>
      </c>
      <c r="BL1414" s="1" t="str">
        <f t="shared" si="697"/>
        <v>=2649*100000000</v>
      </c>
      <c r="BM1414" s="16">
        <f t="shared" si="712"/>
        <v>0.53718384295960742</v>
      </c>
      <c r="BN1414" s="1">
        <f>2649*100000000</f>
        <v>264900000000</v>
      </c>
    </row>
    <row r="1415" spans="1:66">
      <c r="A1415" s="18"/>
      <c r="B1415">
        <v>601628</v>
      </c>
      <c r="C1415" t="s">
        <v>48</v>
      </c>
      <c r="D1415" s="6" t="s">
        <v>13909</v>
      </c>
      <c r="E1415" s="7" t="str">
        <f t="shared" si="696"/>
        <v>=509.8*100000000</v>
      </c>
      <c r="F1415" s="1">
        <f>509.8*100000000</f>
        <v>50980000000</v>
      </c>
      <c r="G1415" s="8">
        <f t="shared" si="698"/>
        <v>-1.9577133907595929E-3</v>
      </c>
      <c r="H1415" s="6" t="s">
        <v>12621</v>
      </c>
      <c r="I1415" s="6" t="str">
        <f t="shared" si="682"/>
        <v>=510.8*100000000</v>
      </c>
      <c r="J1415" s="1">
        <f>510.8*100000000</f>
        <v>51080000000</v>
      </c>
      <c r="K1415" s="10">
        <f t="shared" si="699"/>
        <v>0.10323974082073434</v>
      </c>
      <c r="L1415" s="6" t="s">
        <v>7990</v>
      </c>
      <c r="M1415" s="6" t="str">
        <f t="shared" si="683"/>
        <v>=463.0*100000000</v>
      </c>
      <c r="N1415" s="1">
        <f>463*100000000</f>
        <v>46300000000</v>
      </c>
      <c r="O1415" s="8">
        <f t="shared" si="700"/>
        <v>0.31347517730496455</v>
      </c>
      <c r="P1415" s="6" t="s">
        <v>13910</v>
      </c>
      <c r="Q1415" s="6" t="str">
        <f t="shared" si="684"/>
        <v>=352.5*100000000</v>
      </c>
      <c r="R1415" s="11">
        <f>352.5*100000000</f>
        <v>35250000000</v>
      </c>
      <c r="S1415" s="8">
        <f t="shared" si="701"/>
        <v>-0.35792349726775957</v>
      </c>
      <c r="T1415" s="6" t="s">
        <v>12637</v>
      </c>
      <c r="U1415" s="6" t="str">
        <f t="shared" si="685"/>
        <v>=549.0*100000000</v>
      </c>
      <c r="V1415" s="1">
        <f>549*100000000</f>
        <v>54900000000</v>
      </c>
      <c r="W1415" s="8">
        <f t="shared" si="702"/>
        <v>1.422501385553312E-2</v>
      </c>
      <c r="X1415" s="6" t="s">
        <v>12861</v>
      </c>
      <c r="Y1415" s="6" t="str">
        <f t="shared" si="686"/>
        <v>=541.3*100000000</v>
      </c>
      <c r="Z1415" s="1">
        <f>541.3*100000000</f>
        <v>54129999999.999992</v>
      </c>
      <c r="AA1415" s="8">
        <f t="shared" si="703"/>
        <v>0.51837307152875156</v>
      </c>
      <c r="AB1415" s="6" t="s">
        <v>13911</v>
      </c>
      <c r="AC1415" s="6" t="str">
        <f t="shared" si="687"/>
        <v>=356.5*100000000</v>
      </c>
      <c r="AD1415" s="1">
        <f>356.5*100000000</f>
        <v>35650000000</v>
      </c>
      <c r="AE1415" s="8">
        <f t="shared" si="704"/>
        <v>0.68717463322290584</v>
      </c>
      <c r="AF1415" s="6" t="s">
        <v>12837</v>
      </c>
      <c r="AG1415" s="6" t="str">
        <f t="shared" si="688"/>
        <v>=211.3*100000000</v>
      </c>
      <c r="AH1415" s="1">
        <f>211.3*100000000</f>
        <v>21130000000</v>
      </c>
      <c r="AI1415" s="8">
        <f t="shared" si="705"/>
        <v>-0.64777462910485084</v>
      </c>
      <c r="AJ1415" s="6" t="s">
        <v>13912</v>
      </c>
      <c r="AK1415" s="6" t="str">
        <f t="shared" si="689"/>
        <v>=599.9*100000000</v>
      </c>
      <c r="AL1415" s="1">
        <f>599.9*100000000</f>
        <v>59990000000</v>
      </c>
      <c r="AM1415" s="8">
        <f t="shared" si="706"/>
        <v>-3.3510552601901201E-2</v>
      </c>
      <c r="AN1415" s="6" t="s">
        <v>13913</v>
      </c>
      <c r="AO1415" s="6" t="str">
        <f t="shared" si="690"/>
        <v>=620.7*100000000</v>
      </c>
      <c r="AP1415" s="1">
        <f>620.7*100000000</f>
        <v>62070000000.000008</v>
      </c>
      <c r="AQ1415" s="8">
        <f t="shared" si="707"/>
        <v>0.59317248459958949</v>
      </c>
      <c r="AR1415" s="6" t="s">
        <v>787</v>
      </c>
      <c r="AS1415" s="6" t="str">
        <f t="shared" si="691"/>
        <v>=389.6*100000000</v>
      </c>
      <c r="AT1415" s="1">
        <f>389.6*100000000</f>
        <v>38960000000</v>
      </c>
      <c r="AU1415" s="8">
        <f t="shared" si="708"/>
        <v>0.16856628674265162</v>
      </c>
      <c r="AV1415" s="6" t="s">
        <v>5225</v>
      </c>
      <c r="AW1415" s="6" t="str">
        <f t="shared" si="692"/>
        <v>=333.4*100000000</v>
      </c>
      <c r="AX1415" s="1">
        <f>333.4*100000000</f>
        <v>33339999999.999996</v>
      </c>
      <c r="AY1415" s="10">
        <f t="shared" si="709"/>
        <v>1.3331000699790061</v>
      </c>
      <c r="AZ1415" s="6" t="s">
        <v>12134</v>
      </c>
      <c r="BA1415" s="6" t="str">
        <f t="shared" si="693"/>
        <v>=142.9*100000000</v>
      </c>
      <c r="BB1415" s="1">
        <f>142.9*100000000</f>
        <v>14290000000</v>
      </c>
      <c r="BC1415" s="8">
        <f t="shared" si="710"/>
        <v>-0.43651419558359622</v>
      </c>
      <c r="BD1415" s="6" t="s">
        <v>13914</v>
      </c>
      <c r="BE1415" s="6" t="str">
        <f t="shared" si="694"/>
        <v>=253.6*100000000</v>
      </c>
      <c r="BF1415" s="1">
        <f>253.6*100000000</f>
        <v>25360000000</v>
      </c>
      <c r="BG1415" s="8">
        <f t="shared" si="711"/>
        <v>0.17353077279037482</v>
      </c>
      <c r="BH1415" s="6" t="s">
        <v>13915</v>
      </c>
      <c r="BI1415" s="6" t="str">
        <f t="shared" si="695"/>
        <v>=216.1*100000000</v>
      </c>
      <c r="BJ1415" s="1">
        <f>216.1*100000000</f>
        <v>21610000000</v>
      </c>
      <c r="BK1415" s="6" t="s">
        <v>1846</v>
      </c>
      <c r="BL1415" s="1" t="str">
        <f t="shared" si="697"/>
        <v>=179.7*100000000</v>
      </c>
      <c r="BM1415" s="16">
        <f t="shared" si="712"/>
        <v>0.20255982192543129</v>
      </c>
      <c r="BN1415" s="1">
        <f>179.7*100000000</f>
        <v>17970000000</v>
      </c>
    </row>
    <row r="1416" spans="1:66">
      <c r="A1416" s="18"/>
      <c r="B1416">
        <v>601628</v>
      </c>
      <c r="C1416" t="s">
        <v>58</v>
      </c>
      <c r="D1416" s="6" t="s">
        <v>13916</v>
      </c>
      <c r="E1416" s="7" t="str">
        <f t="shared" si="696"/>
        <v>=505.0*100000000</v>
      </c>
      <c r="F1416" s="1">
        <f>505*100000000</f>
        <v>50500000000</v>
      </c>
      <c r="G1416" s="8">
        <f t="shared" si="698"/>
        <v>-5.5139818826309573E-3</v>
      </c>
      <c r="H1416" s="6" t="s">
        <v>13917</v>
      </c>
      <c r="I1416" s="6" t="str">
        <f t="shared" si="682"/>
        <v>=507.8*100000000</v>
      </c>
      <c r="J1416" s="1">
        <f>507.8*100000000</f>
        <v>50780000000</v>
      </c>
      <c r="K1416" s="10">
        <f t="shared" si="699"/>
        <v>0.10151843817787419</v>
      </c>
      <c r="L1416" s="6" t="s">
        <v>13918</v>
      </c>
      <c r="M1416" s="6" t="str">
        <f t="shared" si="683"/>
        <v>=461.0*100000000</v>
      </c>
      <c r="N1416" s="1">
        <f>461*100000000</f>
        <v>46100000000</v>
      </c>
      <c r="O1416" s="8">
        <f t="shared" si="700"/>
        <v>0.31226871619698265</v>
      </c>
      <c r="P1416" s="6" t="s">
        <v>968</v>
      </c>
      <c r="Q1416" s="6" t="str">
        <f t="shared" si="684"/>
        <v>=351.3*100000000</v>
      </c>
      <c r="R1416" s="11">
        <f>351.3*100000000</f>
        <v>35130000000</v>
      </c>
      <c r="S1416" s="8">
        <f t="shared" si="701"/>
        <v>-0.35517621145374439</v>
      </c>
      <c r="T1416" s="6" t="s">
        <v>13919</v>
      </c>
      <c r="U1416" s="6" t="str">
        <f t="shared" si="685"/>
        <v>=544.8*100000000</v>
      </c>
      <c r="V1416" s="1">
        <f>544.8*100000000</f>
        <v>54479999999.999992</v>
      </c>
      <c r="W1416" s="8">
        <f t="shared" si="702"/>
        <v>1.2263099219620674E-2</v>
      </c>
      <c r="X1416" s="6" t="s">
        <v>13920</v>
      </c>
      <c r="Y1416" s="6" t="str">
        <f t="shared" si="686"/>
        <v>=538.2*100000000</v>
      </c>
      <c r="Z1416" s="1">
        <f>538.2*100000000</f>
        <v>53820000000.000008</v>
      </c>
      <c r="AA1416" s="8">
        <f t="shared" si="703"/>
        <v>0.5134983127109114</v>
      </c>
      <c r="AB1416" s="6" t="s">
        <v>13921</v>
      </c>
      <c r="AC1416" s="6" t="str">
        <f t="shared" si="687"/>
        <v>=355.6*100000000</v>
      </c>
      <c r="AD1416" s="1">
        <f>355.6*100000000</f>
        <v>35560000000</v>
      </c>
      <c r="AE1416" s="8">
        <f t="shared" si="704"/>
        <v>0.68690702087286526</v>
      </c>
      <c r="AF1416" s="6" t="s">
        <v>9909</v>
      </c>
      <c r="AG1416" s="6" t="str">
        <f t="shared" si="688"/>
        <v>=210.8*100000000</v>
      </c>
      <c r="AH1416" s="1">
        <f>210.8*100000000</f>
        <v>21080000000</v>
      </c>
      <c r="AI1416" s="8">
        <f t="shared" si="705"/>
        <v>-0.64749163879598659</v>
      </c>
      <c r="AJ1416" s="6" t="s">
        <v>13922</v>
      </c>
      <c r="AK1416" s="6" t="str">
        <f t="shared" si="689"/>
        <v>=598.0*100000000</v>
      </c>
      <c r="AL1416" s="1">
        <f>598*100000000</f>
        <v>59800000000</v>
      </c>
      <c r="AM1416" s="8">
        <f t="shared" si="706"/>
        <v>-3.4861200774693353E-2</v>
      </c>
      <c r="AN1416" s="6" t="s">
        <v>13923</v>
      </c>
      <c r="AO1416" s="6" t="str">
        <f t="shared" si="690"/>
        <v>=619.6*100000000</v>
      </c>
      <c r="AP1416" s="1">
        <f>619.6*100000000</f>
        <v>61960000000</v>
      </c>
      <c r="AQ1416" s="8">
        <f t="shared" si="707"/>
        <v>0.59321162252507076</v>
      </c>
      <c r="AR1416" s="6" t="s">
        <v>13924</v>
      </c>
      <c r="AS1416" s="6" t="str">
        <f t="shared" si="691"/>
        <v>=388.9*100000000</v>
      </c>
      <c r="AT1416" s="1">
        <f>388.9*100000000</f>
        <v>38890000000</v>
      </c>
      <c r="AU1416" s="8">
        <f t="shared" si="708"/>
        <v>0.1675172620834583</v>
      </c>
      <c r="AV1416" s="6" t="s">
        <v>13925</v>
      </c>
      <c r="AW1416" s="6" t="str">
        <f t="shared" si="692"/>
        <v>=333.1*100000000</v>
      </c>
      <c r="AX1416" s="1">
        <f>333.1*100000000</f>
        <v>33310000000.000004</v>
      </c>
      <c r="AY1416" s="10">
        <f t="shared" si="709"/>
        <v>1.3929597701149432</v>
      </c>
      <c r="AZ1416" s="6" t="s">
        <v>13926</v>
      </c>
      <c r="BA1416" s="6" t="str">
        <f t="shared" si="693"/>
        <v>=139.2*100000000</v>
      </c>
      <c r="BB1416" s="1">
        <f>139.2*100000000</f>
        <v>13919999999.999998</v>
      </c>
      <c r="BC1416" s="8">
        <f t="shared" si="710"/>
        <v>-0.44519728975687534</v>
      </c>
      <c r="BD1416" s="6" t="s">
        <v>13927</v>
      </c>
      <c r="BE1416" s="6" t="str">
        <f t="shared" si="694"/>
        <v>=250.9*100000000</v>
      </c>
      <c r="BF1416" s="1">
        <f>250.9*100000000</f>
        <v>25090000000</v>
      </c>
      <c r="BG1416" s="8">
        <f t="shared" si="711"/>
        <v>0.16969696969696971</v>
      </c>
      <c r="BH1416" s="6" t="s">
        <v>13928</v>
      </c>
      <c r="BI1416" s="6" t="str">
        <f t="shared" si="695"/>
        <v>=214.5*100000000</v>
      </c>
      <c r="BJ1416" s="1">
        <f>214.5*100000000</f>
        <v>21450000000</v>
      </c>
      <c r="BK1416" s="6" t="s">
        <v>13929</v>
      </c>
      <c r="BL1416" s="1" t="str">
        <f t="shared" si="697"/>
        <v>=178.7*100000000</v>
      </c>
      <c r="BM1416" s="16">
        <f t="shared" si="712"/>
        <v>0.20033575825405708</v>
      </c>
      <c r="BN1416" s="1">
        <f>178.7*100000000</f>
        <v>17870000000</v>
      </c>
    </row>
    <row r="1417" spans="1:66">
      <c r="A1417" s="19"/>
      <c r="B1417">
        <v>601628</v>
      </c>
      <c r="C1417" t="s">
        <v>68</v>
      </c>
      <c r="D1417" s="6" t="s">
        <v>13930</v>
      </c>
      <c r="E1417" s="7" t="str">
        <f t="shared" si="696"/>
        <v>=524.1*100000000</v>
      </c>
      <c r="F1417" s="1">
        <f>524.1*100000000</f>
        <v>52410000000</v>
      </c>
      <c r="G1417" s="8">
        <f t="shared" si="698"/>
        <v>5.6866303690260134E-2</v>
      </c>
      <c r="H1417" s="6" t="s">
        <v>13931</v>
      </c>
      <c r="I1417" s="6" t="str">
        <f t="shared" si="682"/>
        <v>=495.9*100000000</v>
      </c>
      <c r="J1417" s="1">
        <f>495.9*100000000</f>
        <v>49590000000</v>
      </c>
      <c r="K1417" s="10">
        <f t="shared" si="699"/>
        <v>0.18835370237239396</v>
      </c>
      <c r="L1417" s="6" t="s">
        <v>13932</v>
      </c>
      <c r="M1417" s="6" t="str">
        <f t="shared" si="683"/>
        <v>=417.3*100000000</v>
      </c>
      <c r="N1417" s="1">
        <f>417.3*100000000</f>
        <v>41730000000</v>
      </c>
      <c r="O1417" s="8">
        <f t="shared" si="700"/>
        <v>0.43946188340807196</v>
      </c>
      <c r="P1417" s="6" t="s">
        <v>13933</v>
      </c>
      <c r="Q1417" s="6" t="str">
        <f t="shared" si="684"/>
        <v>=289.9*100000000</v>
      </c>
      <c r="R1417" s="11">
        <f>289.9*100000000</f>
        <v>28989999999.999996</v>
      </c>
      <c r="S1417" s="8">
        <f t="shared" si="701"/>
        <v>-0.43566283823243152</v>
      </c>
      <c r="T1417" s="6" t="s">
        <v>13934</v>
      </c>
      <c r="U1417" s="6" t="str">
        <f t="shared" si="685"/>
        <v>=513.7*100000000</v>
      </c>
      <c r="V1417" s="1">
        <f>513.7*100000000</f>
        <v>51370000000.000008</v>
      </c>
      <c r="W1417" s="8">
        <f t="shared" si="702"/>
        <v>7.1994991652754747E-2</v>
      </c>
      <c r="X1417" s="6" t="s">
        <v>13935</v>
      </c>
      <c r="Y1417" s="6" t="str">
        <f t="shared" si="686"/>
        <v>=479.2*100000000</v>
      </c>
      <c r="Z1417" s="1">
        <f>479.2*100000000</f>
        <v>47920000000</v>
      </c>
      <c r="AA1417" s="8">
        <f t="shared" si="703"/>
        <v>0.54282034771410159</v>
      </c>
      <c r="AB1417" s="6" t="s">
        <v>3208</v>
      </c>
      <c r="AC1417" s="6" t="str">
        <f t="shared" si="687"/>
        <v>=310.6*100000000</v>
      </c>
      <c r="AD1417" s="1">
        <f>310.6*100000000</f>
        <v>31060000000.000004</v>
      </c>
      <c r="AE1417" s="8">
        <f t="shared" si="704"/>
        <v>0.79330254041570458</v>
      </c>
      <c r="AF1417" s="6" t="s">
        <v>13936</v>
      </c>
      <c r="AG1417" s="6" t="str">
        <f t="shared" si="688"/>
        <v>=173.2*100000000</v>
      </c>
      <c r="AH1417" s="1">
        <f>173.2*100000000</f>
        <v>17320000000</v>
      </c>
      <c r="AI1417" s="8">
        <f t="shared" si="705"/>
        <v>-0.70649042535163531</v>
      </c>
      <c r="AJ1417" s="6" t="s">
        <v>13937</v>
      </c>
      <c r="AK1417" s="6" t="str">
        <f t="shared" si="689"/>
        <v>=590.1*100000000</v>
      </c>
      <c r="AL1417" s="1">
        <f>590.1*100000000</f>
        <v>59010000000</v>
      </c>
      <c r="AM1417" s="8">
        <f t="shared" si="706"/>
        <v>1.2873326467559218E-2</v>
      </c>
      <c r="AN1417" s="6" t="s">
        <v>13938</v>
      </c>
      <c r="AO1417" s="6" t="str">
        <f t="shared" si="690"/>
        <v>=582.6*100000000</v>
      </c>
      <c r="AP1417" s="1">
        <f>582.6*100000000</f>
        <v>58260000000</v>
      </c>
      <c r="AQ1417" s="8">
        <f t="shared" si="707"/>
        <v>0.53598734510941204</v>
      </c>
      <c r="AR1417" s="6" t="s">
        <v>13939</v>
      </c>
      <c r="AS1417" s="6" t="str">
        <f t="shared" si="691"/>
        <v>=379.3*100000000</v>
      </c>
      <c r="AT1417" s="1">
        <f>379.3*100000000</f>
        <v>37930000000</v>
      </c>
      <c r="AU1417" s="8">
        <f t="shared" si="708"/>
        <v>0.44770992366412216</v>
      </c>
      <c r="AV1417" s="6" t="s">
        <v>13940</v>
      </c>
      <c r="AW1417" s="6" t="str">
        <f t="shared" si="692"/>
        <v>=262.0*100000000</v>
      </c>
      <c r="AX1417" s="1">
        <f>262*100000000</f>
        <v>26200000000</v>
      </c>
      <c r="AY1417" s="10">
        <f t="shared" si="709"/>
        <v>1.1943048576214406</v>
      </c>
      <c r="AZ1417" s="6" t="s">
        <v>13105</v>
      </c>
      <c r="BA1417" s="6" t="str">
        <f t="shared" si="693"/>
        <v>=119.4*100000000</v>
      </c>
      <c r="BB1417" s="1">
        <f>119.4*100000000</f>
        <v>11940000000</v>
      </c>
      <c r="BC1417" s="8">
        <f t="shared" si="710"/>
        <v>-0.41211225997045792</v>
      </c>
      <c r="BD1417" s="6" t="s">
        <v>13941</v>
      </c>
      <c r="BE1417" s="6" t="str">
        <f t="shared" si="694"/>
        <v>=203.1*100000000</v>
      </c>
      <c r="BF1417" s="1">
        <f>203.1*100000000</f>
        <v>20310000000</v>
      </c>
      <c r="BG1417" s="8">
        <f t="shared" si="711"/>
        <v>0.21616766467065868</v>
      </c>
      <c r="BH1417" s="6" t="s">
        <v>13942</v>
      </c>
      <c r="BI1417" s="6" t="str">
        <f t="shared" si="695"/>
        <v>=167.0*100000000</v>
      </c>
      <c r="BJ1417" s="1">
        <f>167*100000000</f>
        <v>16700000000</v>
      </c>
      <c r="BK1417" s="6" t="s">
        <v>7377</v>
      </c>
      <c r="BL1417" s="1" t="str">
        <f t="shared" si="697"/>
        <v>=136.6*100000000</v>
      </c>
      <c r="BM1417" s="16">
        <f t="shared" si="712"/>
        <v>0.2225475841874085</v>
      </c>
      <c r="BN1417" s="1">
        <f>136.6*100000000</f>
        <v>13660000000</v>
      </c>
    </row>
    <row r="1418" spans="1:66">
      <c r="A1418" s="17">
        <v>356</v>
      </c>
      <c r="B1418">
        <v>601633</v>
      </c>
      <c r="C1418" t="s">
        <v>31</v>
      </c>
      <c r="D1418" s="6" t="s">
        <v>13943</v>
      </c>
      <c r="E1418" s="7" t="str">
        <f t="shared" si="696"/>
        <v>=1364*100000000</v>
      </c>
      <c r="F1418" s="1">
        <f>1364*100000000</f>
        <v>136400000000</v>
      </c>
      <c r="G1418" s="8">
        <f t="shared" si="698"/>
        <v>0.50220264317180618</v>
      </c>
      <c r="H1418" s="6" t="s">
        <v>13944</v>
      </c>
      <c r="I1418" s="6" t="str">
        <f t="shared" si="682"/>
        <v>=908.0*100000000</v>
      </c>
      <c r="J1418" s="1">
        <f>908*100000000</f>
        <v>90800000000</v>
      </c>
      <c r="K1418" s="10">
        <f t="shared" si="699"/>
        <v>0.46617148393347346</v>
      </c>
      <c r="L1418" s="6" t="s">
        <v>13945</v>
      </c>
      <c r="M1418" s="6" t="str">
        <f t="shared" si="683"/>
        <v>=619.3*100000000</v>
      </c>
      <c r="N1418" s="1">
        <f>619.3*100000000</f>
        <v>61929999999.999992</v>
      </c>
      <c r="O1418" s="8">
        <f t="shared" si="700"/>
        <v>0.99003856041131078</v>
      </c>
      <c r="P1418" s="6" t="s">
        <v>13946</v>
      </c>
      <c r="Q1418" s="6" t="str">
        <f t="shared" si="684"/>
        <v>=311.2*100000000</v>
      </c>
      <c r="R1418" s="11">
        <f>311.2*100000000</f>
        <v>31120000000</v>
      </c>
      <c r="S1418" s="8">
        <f t="shared" si="701"/>
        <v>-0.69874152952565338</v>
      </c>
      <c r="T1418" s="6" t="s">
        <v>5333</v>
      </c>
      <c r="U1418" s="6" t="str">
        <f t="shared" si="685"/>
        <v>=1033*100000000</v>
      </c>
      <c r="V1418" s="1">
        <f>1033*100000000</f>
        <v>103300000000</v>
      </c>
      <c r="W1418" s="8">
        <f t="shared" si="702"/>
        <v>0.66237528162214354</v>
      </c>
      <c r="X1418" s="6" t="s">
        <v>13947</v>
      </c>
      <c r="Y1418" s="6" t="str">
        <f t="shared" si="686"/>
        <v>=621.4*100000000</v>
      </c>
      <c r="Z1418" s="1">
        <f>621.4*100000000</f>
        <v>62140000000</v>
      </c>
      <c r="AA1418" s="8">
        <f t="shared" si="703"/>
        <v>0.72947397717784579</v>
      </c>
      <c r="AB1418" s="6" t="s">
        <v>13948</v>
      </c>
      <c r="AC1418" s="6" t="str">
        <f t="shared" si="687"/>
        <v>=359.3*100000000</v>
      </c>
      <c r="AD1418" s="1">
        <f>359.3*100000000</f>
        <v>35930000000</v>
      </c>
      <c r="AE1418" s="8">
        <f t="shared" si="704"/>
        <v>1.892914653784219</v>
      </c>
      <c r="AF1418" s="6" t="s">
        <v>12833</v>
      </c>
      <c r="AG1418" s="6" t="str">
        <f t="shared" si="688"/>
        <v>=124.2*100000000</v>
      </c>
      <c r="AH1418" s="1">
        <f>124.2*100000000</f>
        <v>12420000000</v>
      </c>
      <c r="AI1418" s="8">
        <f t="shared" si="705"/>
        <v>-0.86941436231731684</v>
      </c>
      <c r="AJ1418" s="6" t="s">
        <v>13949</v>
      </c>
      <c r="AK1418" s="6" t="str">
        <f t="shared" si="689"/>
        <v>=951.1*100000000</v>
      </c>
      <c r="AL1418" s="1">
        <f>951.1*100000000</f>
        <v>95110000000</v>
      </c>
      <c r="AM1418" s="8">
        <f t="shared" si="706"/>
        <v>0.54650406504065041</v>
      </c>
      <c r="AN1418" s="6" t="s">
        <v>13950</v>
      </c>
      <c r="AO1418" s="6" t="str">
        <f t="shared" si="690"/>
        <v>=615.0*100000000</v>
      </c>
      <c r="AP1418" s="1">
        <f>615*100000000</f>
        <v>61500000000</v>
      </c>
      <c r="AQ1418" s="8">
        <f t="shared" si="707"/>
        <v>0.52529761904761907</v>
      </c>
      <c r="AR1418" s="6" t="s">
        <v>13951</v>
      </c>
      <c r="AS1418" s="6" t="str">
        <f t="shared" si="691"/>
        <v>=403.2*100000000</v>
      </c>
      <c r="AT1418" s="1">
        <f>403.2*100000000</f>
        <v>40320000000</v>
      </c>
      <c r="AU1418" s="8">
        <f t="shared" si="708"/>
        <v>0.82526029877772744</v>
      </c>
      <c r="AV1418" s="6" t="s">
        <v>13679</v>
      </c>
      <c r="AW1418" s="6" t="str">
        <f t="shared" si="692"/>
        <v>=220.9*100000000</v>
      </c>
      <c r="AX1418" s="1">
        <f>220.9*100000000</f>
        <v>22090000000</v>
      </c>
      <c r="AY1418" s="10">
        <f t="shared" si="709"/>
        <v>-0.77413087934560332</v>
      </c>
      <c r="AZ1418" s="6" t="s">
        <v>13952</v>
      </c>
      <c r="BA1418" s="6" t="str">
        <f t="shared" si="693"/>
        <v>=978.0*100000000</v>
      </c>
      <c r="BB1418" s="1">
        <f>978*100000000</f>
        <v>97800000000</v>
      </c>
      <c r="BC1418" s="8">
        <f t="shared" si="710"/>
        <v>0.49290184704625251</v>
      </c>
      <c r="BD1418" s="6" t="s">
        <v>13953</v>
      </c>
      <c r="BE1418" s="6" t="str">
        <f t="shared" si="694"/>
        <v>=655.1*100000000</v>
      </c>
      <c r="BF1418" s="1">
        <f>655.1*100000000</f>
        <v>65510000000</v>
      </c>
      <c r="BG1418" s="8">
        <f t="shared" si="711"/>
        <v>0.36592994161801501</v>
      </c>
      <c r="BH1418" s="6" t="s">
        <v>13954</v>
      </c>
      <c r="BI1418" s="6" t="str">
        <f t="shared" si="695"/>
        <v>=479.6*100000000</v>
      </c>
      <c r="BJ1418" s="1">
        <f>479.6*100000000</f>
        <v>47960000000</v>
      </c>
      <c r="BK1418" s="6" t="s">
        <v>13955</v>
      </c>
      <c r="BL1418" s="1" t="str">
        <f t="shared" si="697"/>
        <v>=262.3*100000000</v>
      </c>
      <c r="BM1418" s="16">
        <f t="shared" si="712"/>
        <v>0.82844071673656117</v>
      </c>
      <c r="BN1418" s="1">
        <f>262.3*100000000</f>
        <v>26230000000</v>
      </c>
    </row>
    <row r="1419" spans="1:66">
      <c r="A1419" s="18"/>
      <c r="B1419">
        <v>601633</v>
      </c>
      <c r="C1419" t="s">
        <v>48</v>
      </c>
      <c r="D1419" s="6" t="s">
        <v>3961</v>
      </c>
      <c r="E1419" s="7" t="str">
        <f t="shared" si="696"/>
        <v>=63.69*100000000</v>
      </c>
      <c r="F1419" s="1">
        <f>63.69*100000000</f>
        <v>6369000000</v>
      </c>
      <c r="G1419" s="8">
        <f t="shared" si="698"/>
        <v>0.20670708601743085</v>
      </c>
      <c r="H1419" s="6" t="s">
        <v>13956</v>
      </c>
      <c r="I1419" s="6" t="str">
        <f t="shared" si="682"/>
        <v>=52.78*100000000</v>
      </c>
      <c r="J1419" s="1">
        <f>52.78*100000000</f>
        <v>5278000000</v>
      </c>
      <c r="K1419" s="10">
        <f t="shared" si="699"/>
        <v>0.3677118424462294</v>
      </c>
      <c r="L1419" s="6" t="s">
        <v>3230</v>
      </c>
      <c r="M1419" s="6" t="str">
        <f t="shared" si="683"/>
        <v>=38.59*100000000</v>
      </c>
      <c r="N1419" s="1">
        <f>38.59*100000000</f>
        <v>3859000000.0000005</v>
      </c>
      <c r="O1419" s="8">
        <f t="shared" si="700"/>
        <v>1.0702789699570818</v>
      </c>
      <c r="P1419" s="6" t="s">
        <v>7350</v>
      </c>
      <c r="Q1419" s="6" t="str">
        <f t="shared" si="684"/>
        <v>=18.64*100000000</v>
      </c>
      <c r="R1419" s="11">
        <f>18.64*100000000</f>
        <v>1864000000</v>
      </c>
      <c r="S1419" s="8">
        <f t="shared" si="701"/>
        <v>-0.67593880389429761</v>
      </c>
      <c r="T1419" s="6" t="s">
        <v>12276</v>
      </c>
      <c r="U1419" s="6" t="str">
        <f t="shared" si="685"/>
        <v>=57.52*100000000</v>
      </c>
      <c r="V1419" s="1">
        <f>57.52*100000000</f>
        <v>5752000000</v>
      </c>
      <c r="W1419" s="8">
        <f t="shared" si="702"/>
        <v>0.9986101459346769</v>
      </c>
      <c r="X1419" s="6" t="s">
        <v>9589</v>
      </c>
      <c r="Y1419" s="6" t="str">
        <f t="shared" si="686"/>
        <v>=28.78*100000000</v>
      </c>
      <c r="Z1419" s="1">
        <f>28.78*100000000</f>
        <v>2878000000</v>
      </c>
      <c r="AA1419" s="8">
        <f t="shared" si="703"/>
        <v>1.4810344827586206</v>
      </c>
      <c r="AB1419" s="6" t="s">
        <v>5356</v>
      </c>
      <c r="AC1419" s="6" t="str">
        <f t="shared" si="687"/>
        <v>=11.60*100000000</v>
      </c>
      <c r="AD1419" s="1">
        <f>11.6*100000000</f>
        <v>1160000000</v>
      </c>
      <c r="AE1419" s="8">
        <f t="shared" si="704"/>
        <v>-2.3996138996138998</v>
      </c>
      <c r="AF1419" s="6">
        <f>-8.288*100000000</f>
        <v>-828800000</v>
      </c>
      <c r="AG1419" s="6" t="str">
        <f t="shared" si="688"/>
        <v>=-828800000</v>
      </c>
      <c r="AH1419" s="1">
        <f>-828800000</f>
        <v>-828800000</v>
      </c>
      <c r="AI1419" s="8">
        <f t="shared" si="705"/>
        <v>-1.1734980113041658</v>
      </c>
      <c r="AJ1419" s="6" t="s">
        <v>4267</v>
      </c>
      <c r="AK1419" s="6" t="str">
        <f t="shared" si="689"/>
        <v>=47.77*100000000</v>
      </c>
      <c r="AL1419" s="1">
        <f>47.77*100000000</f>
        <v>4777000000</v>
      </c>
      <c r="AM1419" s="8">
        <f t="shared" si="706"/>
        <v>0.41331360946745582</v>
      </c>
      <c r="AN1419" s="6" t="s">
        <v>5265</v>
      </c>
      <c r="AO1419" s="6" t="str">
        <f t="shared" si="690"/>
        <v>=33.80*100000000</v>
      </c>
      <c r="AP1419" s="1">
        <f>33.8*100000000</f>
        <v>3379999999.9999995</v>
      </c>
      <c r="AQ1419" s="8">
        <f t="shared" si="707"/>
        <v>0.89994378864530611</v>
      </c>
      <c r="AR1419" s="6" t="s">
        <v>12907</v>
      </c>
      <c r="AS1419" s="6" t="str">
        <f t="shared" si="691"/>
        <v>=17.79*100000000</v>
      </c>
      <c r="AT1419" s="1">
        <f>17.79*100000000</f>
        <v>1779000000</v>
      </c>
      <c r="AU1419" s="8">
        <f t="shared" si="708"/>
        <v>0.89942344650864825</v>
      </c>
      <c r="AV1419" s="6" t="s">
        <v>13957</v>
      </c>
      <c r="AW1419" s="6" t="str">
        <f t="shared" si="692"/>
        <v>=9.366*100000000</v>
      </c>
      <c r="AX1419" s="1">
        <f>9.366*100000000</f>
        <v>936600000</v>
      </c>
      <c r="AY1419" s="10">
        <f t="shared" si="709"/>
        <v>-0.84971116816431325</v>
      </c>
      <c r="AZ1419" s="6" t="s">
        <v>13958</v>
      </c>
      <c r="BA1419" s="6" t="str">
        <f t="shared" si="693"/>
        <v>=62.32*100000000</v>
      </c>
      <c r="BB1419" s="1">
        <f>62.32*100000000</f>
        <v>6232000000</v>
      </c>
      <c r="BC1419" s="8">
        <f t="shared" si="710"/>
        <v>0.3654688869412796</v>
      </c>
      <c r="BD1419" s="6" t="s">
        <v>13959</v>
      </c>
      <c r="BE1419" s="6" t="str">
        <f t="shared" si="694"/>
        <v>=45.64*100000000</v>
      </c>
      <c r="BF1419" s="1">
        <f>45.64*100000000</f>
        <v>4564000000</v>
      </c>
      <c r="BG1419" s="8">
        <f t="shared" si="711"/>
        <v>4.799081515499426E-2</v>
      </c>
      <c r="BH1419" s="6" t="s">
        <v>13960</v>
      </c>
      <c r="BI1419" s="6" t="str">
        <f t="shared" si="695"/>
        <v>=43.55*100000000</v>
      </c>
      <c r="BJ1419" s="1">
        <f>43.55*100000000</f>
        <v>4355000000</v>
      </c>
      <c r="BK1419" s="6" t="s">
        <v>529</v>
      </c>
      <c r="BL1419" s="1" t="str">
        <f t="shared" si="697"/>
        <v>=25.47*100000000</v>
      </c>
      <c r="BM1419" s="16">
        <f t="shared" si="712"/>
        <v>0.70985473105614449</v>
      </c>
      <c r="BN1419" s="1">
        <f>25.47*100000000</f>
        <v>2547000000</v>
      </c>
    </row>
    <row r="1420" spans="1:66">
      <c r="A1420" s="18"/>
      <c r="B1420">
        <v>601633</v>
      </c>
      <c r="C1420" t="s">
        <v>58</v>
      </c>
      <c r="D1420" s="6" t="s">
        <v>13961</v>
      </c>
      <c r="E1420" s="7" t="str">
        <f t="shared" si="696"/>
        <v>=74.82*100000000</v>
      </c>
      <c r="F1420" s="1">
        <f>74.82*100000000</f>
        <v>7481999999.999999</v>
      </c>
      <c r="G1420" s="8">
        <f t="shared" si="698"/>
        <v>0.37587348289812411</v>
      </c>
      <c r="H1420" s="6" t="s">
        <v>13094</v>
      </c>
      <c r="I1420" s="6" t="str">
        <f t="shared" si="682"/>
        <v>=54.38*100000000</v>
      </c>
      <c r="J1420" s="1">
        <f>54.38*100000000</f>
        <v>5438000000</v>
      </c>
      <c r="K1420" s="10">
        <f t="shared" si="699"/>
        <v>0.38160569105691056</v>
      </c>
      <c r="L1420" s="6" t="s">
        <v>6108</v>
      </c>
      <c r="M1420" s="6" t="str">
        <f t="shared" si="683"/>
        <v>=39.36*100000000</v>
      </c>
      <c r="N1420" s="1">
        <f>39.36*100000000</f>
        <v>3936000000</v>
      </c>
      <c r="O1420" s="8">
        <f t="shared" si="700"/>
        <v>1.0770448548812666</v>
      </c>
      <c r="P1420" s="6" t="s">
        <v>6350</v>
      </c>
      <c r="Q1420" s="6" t="str">
        <f t="shared" si="684"/>
        <v>=18.95*100000000</v>
      </c>
      <c r="R1420" s="11">
        <f>18.95*100000000</f>
        <v>1895000000</v>
      </c>
      <c r="S1420" s="8">
        <f t="shared" si="701"/>
        <v>-0.6956801027782239</v>
      </c>
      <c r="T1420" s="6" t="s">
        <v>10661</v>
      </c>
      <c r="U1420" s="6" t="str">
        <f t="shared" si="685"/>
        <v>=62.27*100000000</v>
      </c>
      <c r="V1420" s="1">
        <f>62.27*100000000</f>
        <v>6227000000</v>
      </c>
      <c r="W1420" s="8">
        <f t="shared" si="702"/>
        <v>0.97056962025316451</v>
      </c>
      <c r="X1420" s="6" t="s">
        <v>13962</v>
      </c>
      <c r="Y1420" s="6" t="str">
        <f t="shared" si="686"/>
        <v>=31.60*100000000</v>
      </c>
      <c r="Z1420" s="1">
        <f>31.6*100000000</f>
        <v>3160000000</v>
      </c>
      <c r="AA1420" s="8">
        <f t="shared" si="703"/>
        <v>1.3975720789074355</v>
      </c>
      <c r="AB1420" s="6" t="s">
        <v>2034</v>
      </c>
      <c r="AC1420" s="6" t="str">
        <f t="shared" si="687"/>
        <v>=13.18*100000000</v>
      </c>
      <c r="AD1420" s="1">
        <f>13.18*100000000</f>
        <v>1318000000</v>
      </c>
      <c r="AE1420" s="8">
        <f t="shared" si="704"/>
        <v>-2.6824100076589228</v>
      </c>
      <c r="AF1420" s="6">
        <f>-7.834*100000000</f>
        <v>-783400000</v>
      </c>
      <c r="AG1420" s="6" t="str">
        <f t="shared" si="688"/>
        <v>=-783400000</v>
      </c>
      <c r="AH1420" s="1">
        <f>-783400000</f>
        <v>-783400000</v>
      </c>
      <c r="AI1420" s="8">
        <f t="shared" si="705"/>
        <v>-1.1535777298568908</v>
      </c>
      <c r="AJ1420" s="6" t="s">
        <v>13963</v>
      </c>
      <c r="AK1420" s="6" t="str">
        <f t="shared" si="689"/>
        <v>=51.01*100000000</v>
      </c>
      <c r="AL1420" s="1">
        <f>51.01*100000000</f>
        <v>5101000000</v>
      </c>
      <c r="AM1420" s="8">
        <f t="shared" si="706"/>
        <v>0.42287308228730824</v>
      </c>
      <c r="AN1420" s="6" t="s">
        <v>5026</v>
      </c>
      <c r="AO1420" s="6" t="str">
        <f t="shared" si="690"/>
        <v>=35.85*100000000</v>
      </c>
      <c r="AP1420" s="1">
        <f>35.85*100000000</f>
        <v>3585000000</v>
      </c>
      <c r="AQ1420" s="8">
        <f t="shared" si="707"/>
        <v>0.88188976377952755</v>
      </c>
      <c r="AR1420" s="6" t="s">
        <v>5380</v>
      </c>
      <c r="AS1420" s="6" t="str">
        <f t="shared" si="691"/>
        <v>=19.05*100000000</v>
      </c>
      <c r="AT1420" s="1">
        <f>19.05*100000000</f>
        <v>1905000000</v>
      </c>
      <c r="AU1420" s="8">
        <f t="shared" si="708"/>
        <v>0.95024570024569999</v>
      </c>
      <c r="AV1420" s="6" t="s">
        <v>13964</v>
      </c>
      <c r="AW1420" s="6" t="str">
        <f t="shared" si="692"/>
        <v>=9.768*100000000</v>
      </c>
      <c r="AX1420" s="1">
        <f>9.768*100000000</f>
        <v>976800000.00000012</v>
      </c>
      <c r="AY1420" s="10">
        <f t="shared" si="709"/>
        <v>-0.84918943955534965</v>
      </c>
      <c r="AZ1420" s="6" t="s">
        <v>13965</v>
      </c>
      <c r="BA1420" s="6" t="str">
        <f t="shared" si="693"/>
        <v>=64.77*100000000</v>
      </c>
      <c r="BB1420" s="1">
        <f>64.77*100000000</f>
        <v>6477000000</v>
      </c>
      <c r="BC1420" s="8">
        <f t="shared" si="710"/>
        <v>0.37603569152326322</v>
      </c>
      <c r="BD1420" s="6" t="s">
        <v>9148</v>
      </c>
      <c r="BE1420" s="6" t="str">
        <f t="shared" si="694"/>
        <v>=47.07*100000000</v>
      </c>
      <c r="BF1420" s="1">
        <f>47.07*100000000</f>
        <v>4707000000</v>
      </c>
      <c r="BG1420" s="8">
        <f t="shared" si="711"/>
        <v>6.1569688768606225E-2</v>
      </c>
      <c r="BH1420" s="6" t="s">
        <v>12893</v>
      </c>
      <c r="BI1420" s="6" t="str">
        <f t="shared" si="695"/>
        <v>=44.34*100000000</v>
      </c>
      <c r="BJ1420" s="1">
        <f>44.34*100000000</f>
        <v>4434000000</v>
      </c>
      <c r="BK1420" s="6" t="s">
        <v>1352</v>
      </c>
      <c r="BL1420" s="1" t="str">
        <f t="shared" si="697"/>
        <v>=25.76*100000000</v>
      </c>
      <c r="BM1420" s="16">
        <f t="shared" si="712"/>
        <v>0.72127329192546585</v>
      </c>
      <c r="BN1420" s="1">
        <f>25.76*100000000</f>
        <v>2576000000</v>
      </c>
    </row>
    <row r="1421" spans="1:66">
      <c r="A1421" s="19"/>
      <c r="B1421">
        <v>601633</v>
      </c>
      <c r="C1421" t="s">
        <v>68</v>
      </c>
      <c r="D1421" s="6" t="s">
        <v>13966</v>
      </c>
      <c r="E1421" s="7" t="str">
        <f t="shared" si="696"/>
        <v>=67.25*100000000</v>
      </c>
      <c r="F1421" s="1">
        <f>67.25*100000000</f>
        <v>6725000000</v>
      </c>
      <c r="G1421" s="8">
        <f t="shared" si="698"/>
        <v>0.35995955510616784</v>
      </c>
      <c r="H1421" s="6" t="s">
        <v>6947</v>
      </c>
      <c r="I1421" s="6" t="str">
        <f t="shared" si="682"/>
        <v>=49.45*100000000</v>
      </c>
      <c r="J1421" s="1">
        <f>49.45*100000000</f>
        <v>4945000000</v>
      </c>
      <c r="K1421" s="10">
        <f t="shared" si="699"/>
        <v>0.40124681212808161</v>
      </c>
      <c r="L1421" s="6" t="s">
        <v>12768</v>
      </c>
      <c r="M1421" s="6" t="str">
        <f t="shared" si="683"/>
        <v>=35.29*100000000</v>
      </c>
      <c r="N1421" s="1">
        <f>35.29*100000000</f>
        <v>3529000000</v>
      </c>
      <c r="O1421" s="8">
        <f t="shared" si="700"/>
        <v>1.1531421598535692</v>
      </c>
      <c r="P1421" s="6" t="s">
        <v>2675</v>
      </c>
      <c r="Q1421" s="6" t="str">
        <f t="shared" si="684"/>
        <v>=16.39*100000000</v>
      </c>
      <c r="R1421" s="11">
        <f>16.39*100000000</f>
        <v>1639000000</v>
      </c>
      <c r="S1421" s="8">
        <f t="shared" si="701"/>
        <v>-0.69433047370384182</v>
      </c>
      <c r="T1421" s="6" t="s">
        <v>4793</v>
      </c>
      <c r="U1421" s="6" t="str">
        <f t="shared" si="685"/>
        <v>=53.62*100000000</v>
      </c>
      <c r="V1421" s="1">
        <f>53.62*100000000</f>
        <v>5362000000</v>
      </c>
      <c r="W1421" s="8">
        <f t="shared" si="702"/>
        <v>1.0726710475454193</v>
      </c>
      <c r="X1421" s="6" t="s">
        <v>9133</v>
      </c>
      <c r="Y1421" s="6" t="str">
        <f t="shared" si="686"/>
        <v>=25.87*100000000</v>
      </c>
      <c r="Z1421" s="1">
        <f>25.87*100000000</f>
        <v>2587000000</v>
      </c>
      <c r="AA1421" s="8">
        <f t="shared" si="703"/>
        <v>1.2574171029668413</v>
      </c>
      <c r="AB1421" s="6" t="s">
        <v>5628</v>
      </c>
      <c r="AC1421" s="6" t="str">
        <f t="shared" si="687"/>
        <v>=11.46*100000000</v>
      </c>
      <c r="AD1421" s="1">
        <f>11.46*100000000</f>
        <v>1146000000</v>
      </c>
      <c r="AE1421" s="8">
        <f t="shared" si="704"/>
        <v>-2.7628057221965849</v>
      </c>
      <c r="AF1421" s="6">
        <f>-6.501*100000000</f>
        <v>-650100000</v>
      </c>
      <c r="AG1421" s="6" t="str">
        <f t="shared" si="688"/>
        <v>=-650100000</v>
      </c>
      <c r="AH1421" s="1">
        <f>-650100000</f>
        <v>-650100000</v>
      </c>
      <c r="AI1421" s="8">
        <f t="shared" si="705"/>
        <v>-1.1434782608695653</v>
      </c>
      <c r="AJ1421" s="6" t="s">
        <v>9837</v>
      </c>
      <c r="AK1421" s="6" t="str">
        <f t="shared" si="689"/>
        <v>=45.31*100000000</v>
      </c>
      <c r="AL1421" s="1">
        <f>45.31*100000000</f>
        <v>4531000000</v>
      </c>
      <c r="AM1421" s="8">
        <f t="shared" si="706"/>
        <v>0.53541172483903765</v>
      </c>
      <c r="AN1421" s="6" t="s">
        <v>3603</v>
      </c>
      <c r="AO1421" s="6" t="str">
        <f t="shared" si="690"/>
        <v>=29.51*100000000</v>
      </c>
      <c r="AP1421" s="1">
        <f>29.51*100000000</f>
        <v>2951000000</v>
      </c>
      <c r="AQ1421" s="8">
        <f t="shared" si="707"/>
        <v>0.90264345583494521</v>
      </c>
      <c r="AR1421" s="6" t="s">
        <v>3049</v>
      </c>
      <c r="AS1421" s="6" t="str">
        <f t="shared" si="691"/>
        <v>=15.51*100000000</v>
      </c>
      <c r="AT1421" s="1">
        <f>15.51*100000000</f>
        <v>1551000000</v>
      </c>
      <c r="AU1421" s="8">
        <f t="shared" si="708"/>
        <v>0.95586380832282469</v>
      </c>
      <c r="AV1421" s="6" t="s">
        <v>13967</v>
      </c>
      <c r="AW1421" s="6" t="str">
        <f t="shared" si="692"/>
        <v>=7.930*100000000</v>
      </c>
      <c r="AX1421" s="1">
        <f>7.93*100000000</f>
        <v>793000000</v>
      </c>
      <c r="AY1421" s="10">
        <f t="shared" si="709"/>
        <v>-0.84889481707317072</v>
      </c>
      <c r="AZ1421" s="6" t="s">
        <v>13968</v>
      </c>
      <c r="BA1421" s="6" t="str">
        <f t="shared" si="693"/>
        <v>=52.48*100000000</v>
      </c>
      <c r="BB1421" s="1">
        <f>52.48*100000000</f>
        <v>5248000000</v>
      </c>
      <c r="BC1421" s="8">
        <f t="shared" si="710"/>
        <v>0.325587269512503</v>
      </c>
      <c r="BD1421" s="6" t="s">
        <v>12132</v>
      </c>
      <c r="BE1421" s="6" t="str">
        <f t="shared" si="694"/>
        <v>=39.59*100000000</v>
      </c>
      <c r="BF1421" s="1">
        <f>39.59*100000000</f>
        <v>3959000000.0000005</v>
      </c>
      <c r="BG1421" s="8">
        <f t="shared" si="711"/>
        <v>6.5106268496099129E-2</v>
      </c>
      <c r="BH1421" s="6" t="s">
        <v>1544</v>
      </c>
      <c r="BI1421" s="6" t="str">
        <f t="shared" si="695"/>
        <v>=37.17*100000000</v>
      </c>
      <c r="BJ1421" s="1">
        <f>37.17*100000000</f>
        <v>3717000000</v>
      </c>
      <c r="BK1421" s="6" t="s">
        <v>1516</v>
      </c>
      <c r="BL1421" s="1" t="str">
        <f t="shared" si="697"/>
        <v>=20.87*100000000</v>
      </c>
      <c r="BM1421" s="16">
        <f t="shared" si="712"/>
        <v>0.78102539530426451</v>
      </c>
      <c r="BN1421" s="1">
        <f>20.87*100000000</f>
        <v>2087000000</v>
      </c>
    </row>
    <row r="1422" spans="1:66">
      <c r="A1422" s="17">
        <v>357</v>
      </c>
      <c r="B1422">
        <v>601636</v>
      </c>
      <c r="C1422" t="s">
        <v>31</v>
      </c>
      <c r="D1422" s="6" t="s">
        <v>13969</v>
      </c>
      <c r="E1422" s="7" t="str">
        <f t="shared" si="696"/>
        <v>=145.7*100000000</v>
      </c>
      <c r="F1422" s="1">
        <f>145.7*100000000</f>
        <v>14569999999.999998</v>
      </c>
      <c r="G1422" s="8">
        <f t="shared" si="698"/>
        <v>0.35283194057567296</v>
      </c>
      <c r="H1422" s="6" t="s">
        <v>13195</v>
      </c>
      <c r="I1422" s="6" t="str">
        <f t="shared" si="682"/>
        <v>=107.7*100000000</v>
      </c>
      <c r="J1422" s="1">
        <f>107.7*100000000</f>
        <v>10770000000</v>
      </c>
      <c r="K1422" s="10">
        <f t="shared" si="699"/>
        <v>0.58849557522123896</v>
      </c>
      <c r="L1422" s="6" t="s">
        <v>9001</v>
      </c>
      <c r="M1422" s="6" t="str">
        <f t="shared" si="683"/>
        <v>=67.80*100000000</v>
      </c>
      <c r="N1422" s="1">
        <f>67.8*100000000</f>
        <v>6780000000</v>
      </c>
      <c r="O1422" s="8">
        <f t="shared" si="700"/>
        <v>1.3203285420944559</v>
      </c>
      <c r="P1422" s="6" t="s">
        <v>13970</v>
      </c>
      <c r="Q1422" s="6" t="str">
        <f t="shared" si="684"/>
        <v>=29.22*100000000</v>
      </c>
      <c r="R1422" s="11">
        <f>29.22*100000000</f>
        <v>2922000000</v>
      </c>
      <c r="S1422" s="8">
        <f t="shared" si="701"/>
        <v>-0.69698226692937881</v>
      </c>
      <c r="T1422" s="6" t="s">
        <v>13971</v>
      </c>
      <c r="U1422" s="6" t="str">
        <f t="shared" si="685"/>
        <v>=96.43*100000000</v>
      </c>
      <c r="V1422" s="1">
        <f>96.43*100000000</f>
        <v>9643000000</v>
      </c>
      <c r="W1422" s="8">
        <f t="shared" si="702"/>
        <v>0.47109077040427155</v>
      </c>
      <c r="X1422" s="6" t="s">
        <v>13972</v>
      </c>
      <c r="Y1422" s="6" t="str">
        <f t="shared" si="686"/>
        <v>=65.55*100000000</v>
      </c>
      <c r="Z1422" s="1">
        <f>65.55*100000000</f>
        <v>6555000000</v>
      </c>
      <c r="AA1422" s="8">
        <f t="shared" si="703"/>
        <v>0.72909522553416006</v>
      </c>
      <c r="AB1422" s="6" t="s">
        <v>5914</v>
      </c>
      <c r="AC1422" s="6" t="str">
        <f t="shared" si="687"/>
        <v>=37.91*100000000</v>
      </c>
      <c r="AD1422" s="1">
        <f>37.91*100000000</f>
        <v>3790999999.9999995</v>
      </c>
      <c r="AE1422" s="8">
        <f t="shared" si="704"/>
        <v>1.9183987682832944</v>
      </c>
      <c r="AF1422" s="6" t="s">
        <v>5040</v>
      </c>
      <c r="AG1422" s="6" t="str">
        <f t="shared" si="688"/>
        <v>=12.99*100000000</v>
      </c>
      <c r="AH1422" s="1">
        <f>12.99*100000000</f>
        <v>1299000000</v>
      </c>
      <c r="AI1422" s="8">
        <f t="shared" si="705"/>
        <v>-0.86041263700838166</v>
      </c>
      <c r="AJ1422" s="6" t="s">
        <v>13973</v>
      </c>
      <c r="AK1422" s="6" t="str">
        <f t="shared" si="689"/>
        <v>=93.06*100000000</v>
      </c>
      <c r="AL1422" s="1">
        <f>93.06*100000000</f>
        <v>9306000000</v>
      </c>
      <c r="AM1422" s="8">
        <f t="shared" si="706"/>
        <v>0.42467850581751398</v>
      </c>
      <c r="AN1422" s="6" t="s">
        <v>13974</v>
      </c>
      <c r="AO1422" s="6" t="str">
        <f t="shared" si="690"/>
        <v>=65.32*100000000</v>
      </c>
      <c r="AP1422" s="1">
        <f>65.32*100000000</f>
        <v>6531999999.999999</v>
      </c>
      <c r="AQ1422" s="8">
        <f t="shared" si="707"/>
        <v>0.60649286768322674</v>
      </c>
      <c r="AR1422" s="6" t="s">
        <v>4364</v>
      </c>
      <c r="AS1422" s="6" t="str">
        <f t="shared" si="691"/>
        <v>=40.66*100000000</v>
      </c>
      <c r="AT1422" s="1">
        <f>40.66*100000000</f>
        <v>4065999999.9999995</v>
      </c>
      <c r="AU1422" s="8">
        <f t="shared" si="708"/>
        <v>1.2158038147138959</v>
      </c>
      <c r="AV1422" s="6" t="s">
        <v>10666</v>
      </c>
      <c r="AW1422" s="6" t="str">
        <f t="shared" si="692"/>
        <v>=18.35*100000000</v>
      </c>
      <c r="AX1422" s="1">
        <f>18.35*100000000</f>
        <v>1835000000.0000002</v>
      </c>
      <c r="AY1422" s="10">
        <f t="shared" si="709"/>
        <v>-0.78097397947004055</v>
      </c>
      <c r="AZ1422" s="6" t="s">
        <v>13975</v>
      </c>
      <c r="BA1422" s="6" t="str">
        <f t="shared" si="693"/>
        <v>=83.78*100000000</v>
      </c>
      <c r="BB1422" s="1">
        <f>83.78*100000000</f>
        <v>8378000000</v>
      </c>
      <c r="BC1422" s="8">
        <f t="shared" si="710"/>
        <v>0.38205212801055755</v>
      </c>
      <c r="BD1422" s="6" t="s">
        <v>13976</v>
      </c>
      <c r="BE1422" s="6" t="str">
        <f t="shared" si="694"/>
        <v>=60.62*100000000</v>
      </c>
      <c r="BF1422" s="1">
        <f>60.62*100000000</f>
        <v>6062000000</v>
      </c>
      <c r="BG1422" s="8">
        <f t="shared" si="711"/>
        <v>0.6079575596816974</v>
      </c>
      <c r="BH1422" s="6" t="s">
        <v>8572</v>
      </c>
      <c r="BI1422" s="6" t="str">
        <f t="shared" si="695"/>
        <v>=37.70*100000000</v>
      </c>
      <c r="BJ1422" s="1">
        <f>37.7*100000000</f>
        <v>3770000000.0000005</v>
      </c>
      <c r="BK1422" s="6" t="s">
        <v>3657</v>
      </c>
      <c r="BL1422" s="1" t="str">
        <f t="shared" si="697"/>
        <v>=16.58*100000000</v>
      </c>
      <c r="BM1422" s="16">
        <f t="shared" si="712"/>
        <v>1.2738238841978293</v>
      </c>
      <c r="BN1422" s="1">
        <f>16.58*100000000</f>
        <v>1657999999.9999998</v>
      </c>
    </row>
    <row r="1423" spans="1:66">
      <c r="A1423" s="18"/>
      <c r="B1423">
        <v>601636</v>
      </c>
      <c r="C1423" t="s">
        <v>48</v>
      </c>
      <c r="D1423" s="6" t="s">
        <v>1190</v>
      </c>
      <c r="E1423" s="7" t="str">
        <f t="shared" si="696"/>
        <v>=49.14*100000000</v>
      </c>
      <c r="F1423" s="1">
        <f>49.14*100000000</f>
        <v>4914000000</v>
      </c>
      <c r="G1423" s="8">
        <f t="shared" si="698"/>
        <v>0.17644242279147701</v>
      </c>
      <c r="H1423" s="6" t="s">
        <v>13977</v>
      </c>
      <c r="I1423" s="6" t="str">
        <f t="shared" si="682"/>
        <v>=41.77*100000000</v>
      </c>
      <c r="J1423" s="1">
        <f>41.77*100000000</f>
        <v>4177000000.0000005</v>
      </c>
      <c r="K1423" s="10">
        <f t="shared" si="699"/>
        <v>0.67818400964242687</v>
      </c>
      <c r="L1423" s="6" t="s">
        <v>7549</v>
      </c>
      <c r="M1423" s="6" t="str">
        <f t="shared" si="683"/>
        <v>=24.89*100000000</v>
      </c>
      <c r="N1423" s="1">
        <f>24.89*100000000</f>
        <v>2489000000</v>
      </c>
      <c r="O1423" s="8">
        <f t="shared" si="700"/>
        <v>1.4570582428430403</v>
      </c>
      <c r="P1423" s="6" t="s">
        <v>1409</v>
      </c>
      <c r="Q1423" s="6" t="str">
        <f t="shared" si="684"/>
        <v>=10.13*100000000</v>
      </c>
      <c r="R1423" s="11">
        <f>10.13*100000000</f>
        <v>1013000000.0000001</v>
      </c>
      <c r="S1423" s="8">
        <f t="shared" si="701"/>
        <v>-0.51274651274651273</v>
      </c>
      <c r="T1423" s="6" t="s">
        <v>810</v>
      </c>
      <c r="U1423" s="6" t="str">
        <f t="shared" si="685"/>
        <v>=20.79*100000000</v>
      </c>
      <c r="V1423" s="1">
        <f>20.79*100000000</f>
        <v>2079000000</v>
      </c>
      <c r="W1423" s="8">
        <f t="shared" si="702"/>
        <v>0.49676025917926564</v>
      </c>
      <c r="X1423" s="6" t="s">
        <v>7284</v>
      </c>
      <c r="Y1423" s="6" t="str">
        <f t="shared" si="686"/>
        <v>=13.89*100000000</v>
      </c>
      <c r="Z1423" s="1">
        <f>13.89*100000000</f>
        <v>1389000000</v>
      </c>
      <c r="AA1423" s="8">
        <f t="shared" si="703"/>
        <v>1.4317226890756303</v>
      </c>
      <c r="AB1423" s="6" t="s">
        <v>2637</v>
      </c>
      <c r="AC1423" s="6" t="str">
        <f t="shared" si="687"/>
        <v>=5.712*100000000</v>
      </c>
      <c r="AD1423" s="1">
        <f>5.712*100000000</f>
        <v>571200000</v>
      </c>
      <c r="AE1423" s="8">
        <f t="shared" si="704"/>
        <v>2.143643368189323</v>
      </c>
      <c r="AF1423" s="6" t="s">
        <v>13978</v>
      </c>
      <c r="AG1423" s="6" t="str">
        <f t="shared" si="688"/>
        <v>=1.817*100000000</v>
      </c>
      <c r="AH1423" s="1">
        <f>1.817*100000000</f>
        <v>181700000</v>
      </c>
      <c r="AI1423" s="8">
        <f t="shared" si="705"/>
        <v>-0.88507273877292858</v>
      </c>
      <c r="AJ1423" s="6" t="s">
        <v>248</v>
      </c>
      <c r="AK1423" s="6" t="str">
        <f t="shared" si="689"/>
        <v>=15.81*100000000</v>
      </c>
      <c r="AL1423" s="1">
        <f>15.81*100000000</f>
        <v>1581000000</v>
      </c>
      <c r="AM1423" s="8">
        <f t="shared" si="706"/>
        <v>0.45179063360881544</v>
      </c>
      <c r="AN1423" s="6" t="s">
        <v>587</v>
      </c>
      <c r="AO1423" s="6" t="str">
        <f t="shared" si="690"/>
        <v>=10.89*100000000</v>
      </c>
      <c r="AP1423" s="1">
        <f>10.89*100000000</f>
        <v>1089000000</v>
      </c>
      <c r="AQ1423" s="8">
        <f t="shared" si="707"/>
        <v>0.78583142013775009</v>
      </c>
      <c r="AR1423" s="6" t="s">
        <v>13979</v>
      </c>
      <c r="AS1423" s="6" t="str">
        <f t="shared" si="691"/>
        <v>=6.098*100000000</v>
      </c>
      <c r="AT1423" s="1">
        <f>6.098*100000000</f>
        <v>609800000</v>
      </c>
      <c r="AU1423" s="8">
        <f t="shared" si="708"/>
        <v>1.4879640962872298</v>
      </c>
      <c r="AV1423" s="6" t="s">
        <v>601</v>
      </c>
      <c r="AW1423" s="6" t="str">
        <f t="shared" si="692"/>
        <v>=2.451*100000000</v>
      </c>
      <c r="AX1423" s="1">
        <f>2.451*100000000</f>
        <v>245100000</v>
      </c>
      <c r="AY1423" s="10">
        <f t="shared" si="709"/>
        <v>-0.8183098591549296</v>
      </c>
      <c r="AZ1423" s="6" t="s">
        <v>1357</v>
      </c>
      <c r="BA1423" s="6" t="str">
        <f t="shared" si="693"/>
        <v>=13.49*100000000</v>
      </c>
      <c r="BB1423" s="1">
        <f>13.49*100000000</f>
        <v>1349000000</v>
      </c>
      <c r="BC1423" s="8">
        <f t="shared" si="710"/>
        <v>0.22524977293369663</v>
      </c>
      <c r="BD1423" s="6" t="s">
        <v>5034</v>
      </c>
      <c r="BE1423" s="6" t="str">
        <f t="shared" si="694"/>
        <v>=11.01*100000000</v>
      </c>
      <c r="BF1423" s="1">
        <f>11.01*100000000</f>
        <v>1101000000</v>
      </c>
      <c r="BG1423" s="8">
        <f t="shared" si="711"/>
        <v>0.49612719119445575</v>
      </c>
      <c r="BH1423" s="6" t="s">
        <v>13980</v>
      </c>
      <c r="BI1423" s="6" t="str">
        <f t="shared" si="695"/>
        <v>=7.359*100000000</v>
      </c>
      <c r="BJ1423" s="1">
        <f>7.359*100000000</f>
        <v>735900000</v>
      </c>
      <c r="BK1423" s="6" t="s">
        <v>13981</v>
      </c>
      <c r="BL1423" s="1" t="str">
        <f t="shared" si="697"/>
        <v>=3.739*100000000</v>
      </c>
      <c r="BM1423" s="16">
        <f t="shared" si="712"/>
        <v>0.96817330837122229</v>
      </c>
      <c r="BN1423" s="1">
        <f>3.739*100000000</f>
        <v>373900000</v>
      </c>
    </row>
    <row r="1424" spans="1:66">
      <c r="A1424" s="18"/>
      <c r="B1424">
        <v>601636</v>
      </c>
      <c r="C1424" t="s">
        <v>58</v>
      </c>
      <c r="D1424" s="6" t="s">
        <v>13982</v>
      </c>
      <c r="E1424" s="7" t="str">
        <f t="shared" si="696"/>
        <v>=49.12*100000000</v>
      </c>
      <c r="F1424" s="1">
        <f>49.12*100000000</f>
        <v>4912000000</v>
      </c>
      <c r="G1424" s="8">
        <f t="shared" si="698"/>
        <v>0.17596361024658833</v>
      </c>
      <c r="H1424" s="6" t="s">
        <v>13977</v>
      </c>
      <c r="I1424" s="6" t="str">
        <f t="shared" si="682"/>
        <v>=41.77*100000000</v>
      </c>
      <c r="J1424" s="1">
        <f>41.77*100000000</f>
        <v>4177000000.0000005</v>
      </c>
      <c r="K1424" s="10">
        <f t="shared" si="699"/>
        <v>0.67818400964242687</v>
      </c>
      <c r="L1424" s="6" t="s">
        <v>7549</v>
      </c>
      <c r="M1424" s="6" t="str">
        <f t="shared" si="683"/>
        <v>=24.89*100000000</v>
      </c>
      <c r="N1424" s="1">
        <f>24.89*100000000</f>
        <v>2489000000</v>
      </c>
      <c r="O1424" s="8">
        <f t="shared" si="700"/>
        <v>1.4570582428430403</v>
      </c>
      <c r="P1424" s="6" t="s">
        <v>1409</v>
      </c>
      <c r="Q1424" s="6" t="str">
        <f t="shared" si="684"/>
        <v>=10.13*100000000</v>
      </c>
      <c r="R1424" s="11">
        <f>10.13*100000000</f>
        <v>1013000000.0000001</v>
      </c>
      <c r="S1424" s="8">
        <f t="shared" si="701"/>
        <v>-0.512512030798845</v>
      </c>
      <c r="T1424" s="6" t="s">
        <v>4151</v>
      </c>
      <c r="U1424" s="6" t="str">
        <f t="shared" si="685"/>
        <v>=20.78*100000000</v>
      </c>
      <c r="V1424" s="1">
        <f>20.78*100000000</f>
        <v>2078000000</v>
      </c>
      <c r="W1424" s="8">
        <f t="shared" si="702"/>
        <v>0.49604031677465804</v>
      </c>
      <c r="X1424" s="6" t="s">
        <v>7284</v>
      </c>
      <c r="Y1424" s="6" t="str">
        <f t="shared" si="686"/>
        <v>=13.89*100000000</v>
      </c>
      <c r="Z1424" s="1">
        <f>13.89*100000000</f>
        <v>1389000000</v>
      </c>
      <c r="AA1424" s="8">
        <f t="shared" si="703"/>
        <v>1.4385533707865168</v>
      </c>
      <c r="AB1424" s="6" t="s">
        <v>10261</v>
      </c>
      <c r="AC1424" s="6" t="str">
        <f t="shared" si="687"/>
        <v>=5.696*100000000</v>
      </c>
      <c r="AD1424" s="1">
        <f>5.696*100000000</f>
        <v>569600000</v>
      </c>
      <c r="AE1424" s="8">
        <f t="shared" si="704"/>
        <v>2.1946158160403813</v>
      </c>
      <c r="AF1424" s="6" t="s">
        <v>11289</v>
      </c>
      <c r="AG1424" s="6" t="str">
        <f t="shared" si="688"/>
        <v>=1.783*100000000</v>
      </c>
      <c r="AH1424" s="1">
        <f>1.783*100000000</f>
        <v>178300000</v>
      </c>
      <c r="AI1424" s="8">
        <f t="shared" si="705"/>
        <v>-0.88628826530612248</v>
      </c>
      <c r="AJ1424" s="6" t="s">
        <v>4095</v>
      </c>
      <c r="AK1424" s="6" t="str">
        <f t="shared" si="689"/>
        <v>=15.68*100000000</v>
      </c>
      <c r="AL1424" s="1">
        <f>15.68*100000000</f>
        <v>1568000000</v>
      </c>
      <c r="AM1424" s="8">
        <f t="shared" si="706"/>
        <v>0.43721356553620533</v>
      </c>
      <c r="AN1424" s="6" t="s">
        <v>6805</v>
      </c>
      <c r="AO1424" s="6" t="str">
        <f t="shared" si="690"/>
        <v>=10.91*100000000</v>
      </c>
      <c r="AP1424" s="1">
        <f>10.91*100000000</f>
        <v>1091000000</v>
      </c>
      <c r="AQ1424" s="8">
        <f t="shared" si="707"/>
        <v>0.78413736713000814</v>
      </c>
      <c r="AR1424" s="6" t="s">
        <v>13983</v>
      </c>
      <c r="AS1424" s="6" t="str">
        <f t="shared" si="691"/>
        <v>=6.115*100000000</v>
      </c>
      <c r="AT1424" s="1">
        <f>6.115*100000000</f>
        <v>611500000</v>
      </c>
      <c r="AU1424" s="8">
        <f t="shared" si="708"/>
        <v>1.4898208469055374</v>
      </c>
      <c r="AV1424" s="6" t="s">
        <v>1457</v>
      </c>
      <c r="AW1424" s="6" t="str">
        <f t="shared" si="692"/>
        <v>=2.456*100000000</v>
      </c>
      <c r="AX1424" s="1">
        <f>2.456*100000000</f>
        <v>245600000</v>
      </c>
      <c r="AY1424" s="10">
        <f t="shared" si="709"/>
        <v>-0.81766889383815888</v>
      </c>
      <c r="AZ1424" s="6" t="s">
        <v>2049</v>
      </c>
      <c r="BA1424" s="6" t="str">
        <f t="shared" si="693"/>
        <v>=13.47*100000000</v>
      </c>
      <c r="BB1424" s="1">
        <f>13.47*100000000</f>
        <v>1347000000</v>
      </c>
      <c r="BC1424" s="8">
        <f t="shared" si="710"/>
        <v>0.20375335120643431</v>
      </c>
      <c r="BD1424" s="6" t="s">
        <v>10751</v>
      </c>
      <c r="BE1424" s="6" t="str">
        <f t="shared" si="694"/>
        <v>=11.19*100000000</v>
      </c>
      <c r="BF1424" s="1">
        <f>11.19*100000000</f>
        <v>1119000000</v>
      </c>
      <c r="BG1424" s="8">
        <f t="shared" si="711"/>
        <v>0.48684560191336701</v>
      </c>
      <c r="BH1424" s="6" t="s">
        <v>7798</v>
      </c>
      <c r="BI1424" s="6" t="str">
        <f t="shared" si="695"/>
        <v>=7.526*100000000</v>
      </c>
      <c r="BJ1424" s="1">
        <f>7.526*100000000</f>
        <v>752600000</v>
      </c>
      <c r="BK1424" s="6" t="s">
        <v>1054</v>
      </c>
      <c r="BL1424" s="1" t="str">
        <f t="shared" si="697"/>
        <v>=3.753*100000000</v>
      </c>
      <c r="BM1424" s="16">
        <f t="shared" si="712"/>
        <v>1.0053290700772715</v>
      </c>
      <c r="BN1424" s="1">
        <f>3.753*100000000</f>
        <v>375300000</v>
      </c>
    </row>
    <row r="1425" spans="1:66">
      <c r="A1425" s="19"/>
      <c r="B1425">
        <v>601636</v>
      </c>
      <c r="C1425" t="s">
        <v>68</v>
      </c>
      <c r="D1425" s="6" t="s">
        <v>13984</v>
      </c>
      <c r="E1425" s="7" t="str">
        <f t="shared" si="696"/>
        <v>=42.21*100000000</v>
      </c>
      <c r="F1425" s="1">
        <f>42.21*100000000</f>
        <v>4221000000</v>
      </c>
      <c r="G1425" s="8">
        <f t="shared" si="698"/>
        <v>0.15643835616438356</v>
      </c>
      <c r="H1425" s="6" t="s">
        <v>13985</v>
      </c>
      <c r="I1425" s="6" t="str">
        <f t="shared" si="682"/>
        <v>=36.50*100000000</v>
      </c>
      <c r="J1425" s="1">
        <f>36.5*100000000</f>
        <v>3650000000</v>
      </c>
      <c r="K1425" s="10">
        <f t="shared" si="699"/>
        <v>0.66971637694419028</v>
      </c>
      <c r="L1425" s="6" t="s">
        <v>2423</v>
      </c>
      <c r="M1425" s="6" t="str">
        <f t="shared" si="683"/>
        <v>=21.86*100000000</v>
      </c>
      <c r="N1425" s="1">
        <f>21.86*100000000</f>
        <v>2186000000</v>
      </c>
      <c r="O1425" s="8">
        <f t="shared" si="700"/>
        <v>1.4852205547976356</v>
      </c>
      <c r="P1425" s="6" t="s">
        <v>9918</v>
      </c>
      <c r="Q1425" s="6" t="str">
        <f t="shared" si="684"/>
        <v>=8.796*100000000</v>
      </c>
      <c r="R1425" s="11">
        <f>8.796*100000000</f>
        <v>879599999.99999988</v>
      </c>
      <c r="S1425" s="8">
        <f t="shared" si="701"/>
        <v>-0.51376451077943619</v>
      </c>
      <c r="T1425" s="6" t="s">
        <v>8652</v>
      </c>
      <c r="U1425" s="6" t="str">
        <f t="shared" si="685"/>
        <v>=18.09*100000000</v>
      </c>
      <c r="V1425" s="1">
        <f>18.09*100000000</f>
        <v>1809000000</v>
      </c>
      <c r="W1425" s="8">
        <f t="shared" si="702"/>
        <v>0.48888888888888887</v>
      </c>
      <c r="X1425" s="6" t="s">
        <v>1396</v>
      </c>
      <c r="Y1425" s="6" t="str">
        <f t="shared" si="686"/>
        <v>=12.15*100000000</v>
      </c>
      <c r="Z1425" s="1">
        <f>12.15*100000000</f>
        <v>1215000000</v>
      </c>
      <c r="AA1425" s="8">
        <f t="shared" si="703"/>
        <v>1.4045121709875321</v>
      </c>
      <c r="AB1425" s="6" t="s">
        <v>13986</v>
      </c>
      <c r="AC1425" s="6" t="str">
        <f t="shared" si="687"/>
        <v>=5.053*100000000</v>
      </c>
      <c r="AD1425" s="1">
        <f>5.053*100000000</f>
        <v>505300000</v>
      </c>
      <c r="AE1425" s="8">
        <f t="shared" si="704"/>
        <v>2.1541822721598001</v>
      </c>
      <c r="AF1425" s="6" t="s">
        <v>5692</v>
      </c>
      <c r="AG1425" s="6" t="str">
        <f t="shared" si="688"/>
        <v>=1.602*100000000</v>
      </c>
      <c r="AH1425" s="1">
        <f>1.602*100000000</f>
        <v>160200000</v>
      </c>
      <c r="AI1425" s="8">
        <f t="shared" si="705"/>
        <v>-0.88098068350668646</v>
      </c>
      <c r="AJ1425" s="6" t="s">
        <v>11738</v>
      </c>
      <c r="AK1425" s="6" t="str">
        <f t="shared" si="689"/>
        <v>=13.46*100000000</v>
      </c>
      <c r="AL1425" s="1">
        <f>13.46*100000000</f>
        <v>1346000000</v>
      </c>
      <c r="AM1425" s="8">
        <f t="shared" si="706"/>
        <v>0.45215233574279856</v>
      </c>
      <c r="AN1425" s="6" t="s">
        <v>9932</v>
      </c>
      <c r="AO1425" s="6" t="str">
        <f t="shared" si="690"/>
        <v>=9.269*100000000</v>
      </c>
      <c r="AP1425" s="1">
        <f>9.269*100000000</f>
        <v>926900000</v>
      </c>
      <c r="AQ1425" s="8">
        <f t="shared" si="707"/>
        <v>0.788691624855268</v>
      </c>
      <c r="AR1425" s="6" t="s">
        <v>3669</v>
      </c>
      <c r="AS1425" s="6" t="str">
        <f t="shared" si="691"/>
        <v>=5.182*100000000</v>
      </c>
      <c r="AT1425" s="1">
        <f>5.182*100000000</f>
        <v>518200000.00000006</v>
      </c>
      <c r="AU1425" s="8">
        <f t="shared" si="708"/>
        <v>1.4723282442748094</v>
      </c>
      <c r="AV1425" s="6" t="s">
        <v>9651</v>
      </c>
      <c r="AW1425" s="6" t="str">
        <f t="shared" si="692"/>
        <v>=2.096*100000000</v>
      </c>
      <c r="AX1425" s="1">
        <f>2.096*100000000</f>
        <v>209600000</v>
      </c>
      <c r="AY1425" s="10">
        <f t="shared" si="709"/>
        <v>-0.82649006622516552</v>
      </c>
      <c r="AZ1425" s="6" t="s">
        <v>4251</v>
      </c>
      <c r="BA1425" s="6" t="str">
        <f t="shared" si="693"/>
        <v>=12.08*100000000</v>
      </c>
      <c r="BB1425" s="1">
        <f>12.08*100000000</f>
        <v>1208000000</v>
      </c>
      <c r="BC1425" s="8">
        <f t="shared" si="710"/>
        <v>0.25938281901584653</v>
      </c>
      <c r="BD1425" s="6" t="s">
        <v>13987</v>
      </c>
      <c r="BE1425" s="6" t="str">
        <f t="shared" si="694"/>
        <v>=9.592*100000000</v>
      </c>
      <c r="BF1425" s="1">
        <f>9.592*100000000</f>
        <v>959200000</v>
      </c>
      <c r="BG1425" s="8">
        <f t="shared" si="711"/>
        <v>0.46353371986573083</v>
      </c>
      <c r="BH1425" s="6" t="s">
        <v>13988</v>
      </c>
      <c r="BI1425" s="6" t="str">
        <f t="shared" si="695"/>
        <v>=6.554*100000000</v>
      </c>
      <c r="BJ1425" s="1">
        <f>6.554*100000000</f>
        <v>655400000</v>
      </c>
      <c r="BK1425" s="6" t="s">
        <v>1663</v>
      </c>
      <c r="BL1425" s="1" t="str">
        <f t="shared" si="697"/>
        <v>=3.222*100000000</v>
      </c>
      <c r="BM1425" s="16">
        <f t="shared" si="712"/>
        <v>1.0341402855369335</v>
      </c>
      <c r="BN1425" s="1">
        <f>3.222*100000000</f>
        <v>322200000</v>
      </c>
    </row>
    <row r="1426" spans="1:66">
      <c r="A1426" s="17">
        <v>358</v>
      </c>
      <c r="B1426">
        <v>601666</v>
      </c>
      <c r="C1426" t="s">
        <v>31</v>
      </c>
      <c r="D1426" s="6" t="s">
        <v>13989</v>
      </c>
      <c r="E1426" s="7" t="str">
        <f t="shared" si="696"/>
        <v>=297.0*100000000</v>
      </c>
      <c r="F1426" s="1">
        <f>297*100000000</f>
        <v>29700000000</v>
      </c>
      <c r="G1426" s="8">
        <f t="shared" si="698"/>
        <v>0.51762902401635158</v>
      </c>
      <c r="H1426" s="6" t="s">
        <v>13990</v>
      </c>
      <c r="I1426" s="6" t="str">
        <f t="shared" si="682"/>
        <v>=195.7*100000000</v>
      </c>
      <c r="J1426" s="1">
        <f>195.7*100000000</f>
        <v>19570000000</v>
      </c>
      <c r="K1426" s="10">
        <f t="shared" si="699"/>
        <v>0.54703557312252959</v>
      </c>
      <c r="L1426" s="6" t="s">
        <v>880</v>
      </c>
      <c r="M1426" s="6" t="str">
        <f t="shared" si="683"/>
        <v>=126.5*100000000</v>
      </c>
      <c r="N1426" s="1">
        <f>126.5*100000000</f>
        <v>12650000000</v>
      </c>
      <c r="O1426" s="8">
        <f t="shared" si="700"/>
        <v>1.0034843205574913</v>
      </c>
      <c r="P1426" s="6" t="s">
        <v>3323</v>
      </c>
      <c r="Q1426" s="6" t="str">
        <f t="shared" si="684"/>
        <v>=63.14*100000000</v>
      </c>
      <c r="R1426" s="11">
        <f>63.14*100000000</f>
        <v>6314000000</v>
      </c>
      <c r="S1426" s="8">
        <f t="shared" si="701"/>
        <v>-0.71812500000000001</v>
      </c>
      <c r="T1426" s="6" t="s">
        <v>12826</v>
      </c>
      <c r="U1426" s="6" t="str">
        <f t="shared" si="685"/>
        <v>=224.0*100000000</v>
      </c>
      <c r="V1426" s="1">
        <f>224*100000000</f>
        <v>22400000000</v>
      </c>
      <c r="W1426" s="8">
        <f t="shared" si="702"/>
        <v>0.33016627078384797</v>
      </c>
      <c r="X1426" s="6" t="s">
        <v>13991</v>
      </c>
      <c r="Y1426" s="6" t="str">
        <f t="shared" si="686"/>
        <v>=168.4*100000000</v>
      </c>
      <c r="Z1426" s="1">
        <f>168.4*100000000</f>
        <v>16840000000</v>
      </c>
      <c r="AA1426" s="8">
        <f t="shared" si="703"/>
        <v>0.46817785527462946</v>
      </c>
      <c r="AB1426" s="6" t="s">
        <v>559</v>
      </c>
      <c r="AC1426" s="6" t="str">
        <f t="shared" si="687"/>
        <v>=114.7*100000000</v>
      </c>
      <c r="AD1426" s="1">
        <f>114.7*100000000</f>
        <v>11470000000</v>
      </c>
      <c r="AE1426" s="8">
        <f t="shared" si="704"/>
        <v>0.96774746954880764</v>
      </c>
      <c r="AF1426" s="6" t="s">
        <v>13534</v>
      </c>
      <c r="AG1426" s="6" t="str">
        <f t="shared" si="688"/>
        <v>=58.29*100000000</v>
      </c>
      <c r="AH1426" s="1">
        <f>58.29*100000000</f>
        <v>5829000000</v>
      </c>
      <c r="AI1426" s="8">
        <f t="shared" si="705"/>
        <v>-0.75353065539112052</v>
      </c>
      <c r="AJ1426" s="6" t="s">
        <v>13992</v>
      </c>
      <c r="AK1426" s="6" t="str">
        <f t="shared" si="689"/>
        <v>=236.5*100000000</v>
      </c>
      <c r="AL1426" s="1">
        <f>236.5*100000000</f>
        <v>23650000000</v>
      </c>
      <c r="AM1426" s="8">
        <f t="shared" si="706"/>
        <v>0.32270693512304249</v>
      </c>
      <c r="AN1426" s="6" t="s">
        <v>13993</v>
      </c>
      <c r="AO1426" s="6" t="str">
        <f t="shared" si="690"/>
        <v>=178.8*100000000</v>
      </c>
      <c r="AP1426" s="1">
        <f>178.8*100000000</f>
        <v>17880000000</v>
      </c>
      <c r="AQ1426" s="8">
        <f t="shared" si="707"/>
        <v>0.46197874080130824</v>
      </c>
      <c r="AR1426" s="6" t="s">
        <v>1167</v>
      </c>
      <c r="AS1426" s="6" t="str">
        <f t="shared" si="691"/>
        <v>=122.3*100000000</v>
      </c>
      <c r="AT1426" s="1">
        <f>122.3*100000000</f>
        <v>12230000000</v>
      </c>
      <c r="AU1426" s="8">
        <f t="shared" si="708"/>
        <v>1.0352804127142619</v>
      </c>
      <c r="AV1426" s="6" t="s">
        <v>13994</v>
      </c>
      <c r="AW1426" s="6" t="str">
        <f t="shared" si="692"/>
        <v>=60.09*100000000</v>
      </c>
      <c r="AX1426" s="1">
        <f>60.09*100000000</f>
        <v>6009000000</v>
      </c>
      <c r="AY1426" s="10">
        <f t="shared" si="709"/>
        <v>-0.71152184349495917</v>
      </c>
      <c r="AZ1426" s="6" t="s">
        <v>13995</v>
      </c>
      <c r="BA1426" s="6" t="str">
        <f t="shared" si="693"/>
        <v>=208.3*100000000</v>
      </c>
      <c r="BB1426" s="1">
        <f>208.3*100000000</f>
        <v>20830000000</v>
      </c>
      <c r="BC1426" s="8">
        <f t="shared" si="710"/>
        <v>0.38405315614617941</v>
      </c>
      <c r="BD1426" s="6" t="s">
        <v>5339</v>
      </c>
      <c r="BE1426" s="6" t="str">
        <f t="shared" si="694"/>
        <v>=150.5*100000000</v>
      </c>
      <c r="BF1426" s="1">
        <f>150.5*100000000</f>
        <v>15050000000</v>
      </c>
      <c r="BG1426" s="8">
        <f t="shared" si="711"/>
        <v>0.54311493899313035</v>
      </c>
      <c r="BH1426" s="6" t="s">
        <v>13996</v>
      </c>
      <c r="BI1426" s="6" t="str">
        <f t="shared" si="695"/>
        <v>=97.53*100000000</v>
      </c>
      <c r="BJ1426" s="1">
        <f>97.53*100000000</f>
        <v>9753000000</v>
      </c>
      <c r="BK1426" s="6" t="s">
        <v>13997</v>
      </c>
      <c r="BL1426" s="1" t="str">
        <f t="shared" si="697"/>
        <v>=45.99*100000000</v>
      </c>
      <c r="BM1426" s="16">
        <f t="shared" si="712"/>
        <v>1.1206784083496413</v>
      </c>
      <c r="BN1426" s="1">
        <f>45.99*100000000</f>
        <v>4599000000</v>
      </c>
    </row>
    <row r="1427" spans="1:66">
      <c r="A1427" s="18"/>
      <c r="B1427">
        <v>601666</v>
      </c>
      <c r="C1427" t="s">
        <v>48</v>
      </c>
      <c r="D1427" s="6" t="s">
        <v>13998</v>
      </c>
      <c r="E1427" s="7" t="str">
        <f t="shared" si="696"/>
        <v>=43.24*100000000</v>
      </c>
      <c r="F1427" s="1">
        <f>43.24*100000000</f>
        <v>4324000000</v>
      </c>
      <c r="G1427" s="8">
        <f t="shared" si="698"/>
        <v>0.62129733783277086</v>
      </c>
      <c r="H1427" s="6" t="s">
        <v>11573</v>
      </c>
      <c r="I1427" s="6" t="str">
        <f t="shared" si="682"/>
        <v>=26.67*100000000</v>
      </c>
      <c r="J1427" s="1">
        <f>26.67*100000000</f>
        <v>2667000000</v>
      </c>
      <c r="K1427" s="10">
        <f t="shared" si="699"/>
        <v>0.67947103274559195</v>
      </c>
      <c r="L1427" s="6" t="s">
        <v>13999</v>
      </c>
      <c r="M1427" s="6" t="str">
        <f t="shared" si="683"/>
        <v>=15.88*100000000</v>
      </c>
      <c r="N1427" s="1">
        <f>15.88*100000000</f>
        <v>1588000000</v>
      </c>
      <c r="O1427" s="8">
        <f t="shared" si="700"/>
        <v>0.86253811869575414</v>
      </c>
      <c r="P1427" s="6" t="s">
        <v>14000</v>
      </c>
      <c r="Q1427" s="6" t="str">
        <f t="shared" si="684"/>
        <v>=8.526*100000000</v>
      </c>
      <c r="R1427" s="11">
        <f>8.526*100000000</f>
        <v>852600000</v>
      </c>
      <c r="S1427" s="8">
        <f t="shared" si="701"/>
        <v>-0.65128834355828225</v>
      </c>
      <c r="T1427" s="6" t="s">
        <v>5630</v>
      </c>
      <c r="U1427" s="6" t="str">
        <f t="shared" si="685"/>
        <v>=24.45*100000000</v>
      </c>
      <c r="V1427" s="1">
        <f>24.45*100000000</f>
        <v>2445000000</v>
      </c>
      <c r="W1427" s="8">
        <f t="shared" si="702"/>
        <v>0.48002421307506055</v>
      </c>
      <c r="X1427" s="6" t="s">
        <v>9879</v>
      </c>
      <c r="Y1427" s="6" t="str">
        <f t="shared" si="686"/>
        <v>=16.52*100000000</v>
      </c>
      <c r="Z1427" s="1">
        <f>16.52*100000000</f>
        <v>1652000000</v>
      </c>
      <c r="AA1427" s="8">
        <f t="shared" si="703"/>
        <v>0.45166959578207383</v>
      </c>
      <c r="AB1427" s="6" t="s">
        <v>8450</v>
      </c>
      <c r="AC1427" s="6" t="str">
        <f t="shared" si="687"/>
        <v>=11.38*100000000</v>
      </c>
      <c r="AD1427" s="1">
        <f>11.38*100000000</f>
        <v>1138000000</v>
      </c>
      <c r="AE1427" s="8">
        <f t="shared" si="704"/>
        <v>1.2574885935330291</v>
      </c>
      <c r="AF1427" s="6" t="s">
        <v>13518</v>
      </c>
      <c r="AG1427" s="6" t="str">
        <f t="shared" si="688"/>
        <v>=5.041*100000000</v>
      </c>
      <c r="AH1427" s="1">
        <f>5.041*100000000</f>
        <v>504100000.00000006</v>
      </c>
      <c r="AI1427" s="8">
        <f t="shared" si="705"/>
        <v>-0.69850478468899524</v>
      </c>
      <c r="AJ1427" s="6" t="s">
        <v>3869</v>
      </c>
      <c r="AK1427" s="6" t="str">
        <f t="shared" si="689"/>
        <v>=16.72*100000000</v>
      </c>
      <c r="AL1427" s="1">
        <f>16.72*100000000</f>
        <v>1672000000</v>
      </c>
      <c r="AM1427" s="8">
        <f t="shared" si="706"/>
        <v>0.29311678267594743</v>
      </c>
      <c r="AN1427" s="6" t="s">
        <v>3068</v>
      </c>
      <c r="AO1427" s="6" t="str">
        <f t="shared" si="690"/>
        <v>=12.93*100000000</v>
      </c>
      <c r="AP1427" s="1">
        <f>12.93*100000000</f>
        <v>1293000000</v>
      </c>
      <c r="AQ1427" s="8">
        <f t="shared" si="707"/>
        <v>0.50331356818974515</v>
      </c>
      <c r="AR1427" s="6" t="s">
        <v>14001</v>
      </c>
      <c r="AS1427" s="6" t="str">
        <f t="shared" si="691"/>
        <v>=8.601*100000000</v>
      </c>
      <c r="AT1427" s="1">
        <f>8.601*100000000</f>
        <v>860100000.00000012</v>
      </c>
      <c r="AU1427" s="8">
        <f t="shared" si="708"/>
        <v>0.82224576271186467</v>
      </c>
      <c r="AV1427" s="6" t="s">
        <v>14002</v>
      </c>
      <c r="AW1427" s="6" t="str">
        <f t="shared" si="692"/>
        <v>=4.720*100000000</v>
      </c>
      <c r="AX1427" s="1">
        <f>4.72*100000000</f>
        <v>472000000</v>
      </c>
      <c r="AY1427" s="10">
        <f t="shared" si="709"/>
        <v>-0.60601001669449084</v>
      </c>
      <c r="AZ1427" s="6" t="s">
        <v>9617</v>
      </c>
      <c r="BA1427" s="6" t="str">
        <f t="shared" si="693"/>
        <v>=11.98*100000000</v>
      </c>
      <c r="BB1427" s="1">
        <f>11.98*100000000</f>
        <v>1198000000</v>
      </c>
      <c r="BC1427" s="8">
        <f t="shared" si="710"/>
        <v>0.47846476613599903</v>
      </c>
      <c r="BD1427" s="6" t="s">
        <v>14003</v>
      </c>
      <c r="BE1427" s="6" t="str">
        <f t="shared" si="694"/>
        <v>=8.103*100000000</v>
      </c>
      <c r="BF1427" s="1">
        <f>8.103*100000000</f>
        <v>810300000</v>
      </c>
      <c r="BG1427" s="8">
        <f t="shared" si="711"/>
        <v>0.58354504592534684</v>
      </c>
      <c r="BH1427" s="6" t="s">
        <v>14004</v>
      </c>
      <c r="BI1427" s="6" t="str">
        <f t="shared" si="695"/>
        <v>=5.117*100000000</v>
      </c>
      <c r="BJ1427" s="1">
        <f>5.117*100000000</f>
        <v>511700000</v>
      </c>
      <c r="BK1427" s="6" t="s">
        <v>14005</v>
      </c>
      <c r="BL1427" s="1" t="str">
        <f t="shared" si="697"/>
        <v>=1.663*100000000</v>
      </c>
      <c r="BM1427" s="16">
        <f t="shared" si="712"/>
        <v>2.0769693325315695</v>
      </c>
      <c r="BN1427" s="1">
        <f>1.663*100000000</f>
        <v>166300000</v>
      </c>
    </row>
    <row r="1428" spans="1:66">
      <c r="A1428" s="18"/>
      <c r="B1428">
        <v>601666</v>
      </c>
      <c r="C1428" t="s">
        <v>58</v>
      </c>
      <c r="D1428" s="6" t="s">
        <v>14006</v>
      </c>
      <c r="E1428" s="7" t="str">
        <f t="shared" si="696"/>
        <v>=42.82*100000000</v>
      </c>
      <c r="F1428" s="1">
        <f>42.82*100000000</f>
        <v>4282000000</v>
      </c>
      <c r="G1428" s="8">
        <f t="shared" si="698"/>
        <v>0.60856498873027798</v>
      </c>
      <c r="H1428" s="6" t="s">
        <v>14007</v>
      </c>
      <c r="I1428" s="6" t="str">
        <f t="shared" si="682"/>
        <v>=26.62*100000000</v>
      </c>
      <c r="J1428" s="1">
        <f>26.62*100000000</f>
        <v>2662000000</v>
      </c>
      <c r="K1428" s="10">
        <f t="shared" si="699"/>
        <v>0.67949526813880123</v>
      </c>
      <c r="L1428" s="6" t="s">
        <v>11219</v>
      </c>
      <c r="M1428" s="6" t="str">
        <f t="shared" si="683"/>
        <v>=15.85*100000000</v>
      </c>
      <c r="N1428" s="1">
        <f>15.85*100000000</f>
        <v>1585000000</v>
      </c>
      <c r="O1428" s="8">
        <f t="shared" si="700"/>
        <v>0.85271770894213905</v>
      </c>
      <c r="P1428" s="6" t="s">
        <v>14008</v>
      </c>
      <c r="Q1428" s="6" t="str">
        <f t="shared" si="684"/>
        <v>=8.555*100000000</v>
      </c>
      <c r="R1428" s="11">
        <f>8.555*100000000</f>
        <v>855500000</v>
      </c>
      <c r="S1428" s="8">
        <f t="shared" si="701"/>
        <v>-0.61324593128390592</v>
      </c>
      <c r="T1428" s="6" t="s">
        <v>1969</v>
      </c>
      <c r="U1428" s="6" t="str">
        <f t="shared" si="685"/>
        <v>=22.12*100000000</v>
      </c>
      <c r="V1428" s="1">
        <f>22.12*100000000</f>
        <v>2212000000</v>
      </c>
      <c r="W1428" s="8">
        <f t="shared" si="702"/>
        <v>0.32138590203106349</v>
      </c>
      <c r="X1428" s="6" t="s">
        <v>5638</v>
      </c>
      <c r="Y1428" s="6" t="str">
        <f t="shared" si="686"/>
        <v>=16.74*100000000</v>
      </c>
      <c r="Z1428" s="1">
        <f>16.74*100000000</f>
        <v>1673999999.9999998</v>
      </c>
      <c r="AA1428" s="8">
        <f t="shared" si="703"/>
        <v>0.46328671328671306</v>
      </c>
      <c r="AB1428" s="6" t="s">
        <v>9336</v>
      </c>
      <c r="AC1428" s="6" t="str">
        <f t="shared" si="687"/>
        <v>=11.44*100000000</v>
      </c>
      <c r="AD1428" s="1">
        <f>11.44*100000000</f>
        <v>1144000000</v>
      </c>
      <c r="AE1428" s="8">
        <f t="shared" si="704"/>
        <v>1.2711931705380186</v>
      </c>
      <c r="AF1428" s="6" t="s">
        <v>14009</v>
      </c>
      <c r="AG1428" s="6" t="str">
        <f t="shared" si="688"/>
        <v>=5.037*100000000</v>
      </c>
      <c r="AH1428" s="1">
        <f>5.037*100000000</f>
        <v>503700000</v>
      </c>
      <c r="AI1428" s="8">
        <f t="shared" si="705"/>
        <v>-0.7064685314685315</v>
      </c>
      <c r="AJ1428" s="6" t="s">
        <v>14010</v>
      </c>
      <c r="AK1428" s="6" t="str">
        <f t="shared" si="689"/>
        <v>=17.16*100000000</v>
      </c>
      <c r="AL1428" s="1">
        <f>17.16*100000000</f>
        <v>1716000000</v>
      </c>
      <c r="AM1428" s="8">
        <f t="shared" si="706"/>
        <v>0.28443113772455092</v>
      </c>
      <c r="AN1428" s="6" t="s">
        <v>7759</v>
      </c>
      <c r="AO1428" s="6" t="str">
        <f t="shared" si="690"/>
        <v>=13.36*100000000</v>
      </c>
      <c r="AP1428" s="1">
        <f>13.36*100000000</f>
        <v>1336000000</v>
      </c>
      <c r="AQ1428" s="8">
        <f t="shared" si="707"/>
        <v>0.51045788581119256</v>
      </c>
      <c r="AR1428" s="6" t="s">
        <v>10282</v>
      </c>
      <c r="AS1428" s="6" t="str">
        <f t="shared" si="691"/>
        <v>=8.845*100000000</v>
      </c>
      <c r="AT1428" s="1">
        <f>8.845*100000000</f>
        <v>884500000.00000012</v>
      </c>
      <c r="AU1428" s="8">
        <f t="shared" si="708"/>
        <v>0.81510363225938876</v>
      </c>
      <c r="AV1428" s="6" t="s">
        <v>6000</v>
      </c>
      <c r="AW1428" s="6" t="str">
        <f t="shared" si="692"/>
        <v>=4.873*100000000</v>
      </c>
      <c r="AX1428" s="1">
        <f>4.873*100000000</f>
        <v>487300000</v>
      </c>
      <c r="AY1428" s="10">
        <f t="shared" si="709"/>
        <v>-0.60733279613215152</v>
      </c>
      <c r="AZ1428" s="6" t="s">
        <v>1813</v>
      </c>
      <c r="BA1428" s="6" t="str">
        <f t="shared" si="693"/>
        <v>=12.41*100000000</v>
      </c>
      <c r="BB1428" s="1">
        <f>12.41*100000000</f>
        <v>1241000000</v>
      </c>
      <c r="BC1428" s="8">
        <f t="shared" si="710"/>
        <v>0.52644526445264428</v>
      </c>
      <c r="BD1428" s="6" t="s">
        <v>8820</v>
      </c>
      <c r="BE1428" s="6" t="str">
        <f t="shared" si="694"/>
        <v>=8.130*100000000</v>
      </c>
      <c r="BF1428" s="1">
        <f>8.13*100000000</f>
        <v>813000000.00000012</v>
      </c>
      <c r="BG1428" s="8">
        <f t="shared" si="711"/>
        <v>0.58140439603190064</v>
      </c>
      <c r="BH1428" s="6" t="s">
        <v>14011</v>
      </c>
      <c r="BI1428" s="6" t="str">
        <f t="shared" si="695"/>
        <v>=5.141*100000000</v>
      </c>
      <c r="BJ1428" s="1">
        <f>5.141*100000000</f>
        <v>514100000</v>
      </c>
      <c r="BK1428" s="6" t="s">
        <v>5185</v>
      </c>
      <c r="BL1428" s="1" t="str">
        <f t="shared" si="697"/>
        <v>=1.700*100000000</v>
      </c>
      <c r="BM1428" s="16">
        <f t="shared" si="712"/>
        <v>2.0241176470588234</v>
      </c>
      <c r="BN1428" s="1">
        <f>1.7*100000000</f>
        <v>170000000</v>
      </c>
    </row>
    <row r="1429" spans="1:66">
      <c r="A1429" s="19"/>
      <c r="B1429">
        <v>601666</v>
      </c>
      <c r="C1429" t="s">
        <v>68</v>
      </c>
      <c r="D1429" s="6" t="s">
        <v>14012</v>
      </c>
      <c r="E1429" s="7" t="str">
        <f t="shared" si="696"/>
        <v>=32.71*100000000</v>
      </c>
      <c r="F1429" s="1">
        <f>32.71*100000000</f>
        <v>3271000000</v>
      </c>
      <c r="G1429" s="8">
        <f t="shared" si="698"/>
        <v>0.62574552683896623</v>
      </c>
      <c r="H1429" s="6" t="s">
        <v>2840</v>
      </c>
      <c r="I1429" s="6" t="str">
        <f t="shared" si="682"/>
        <v>=20.12*100000000</v>
      </c>
      <c r="J1429" s="1">
        <f>20.12*100000000</f>
        <v>2012000000</v>
      </c>
      <c r="K1429" s="10">
        <f t="shared" si="699"/>
        <v>0.67248545303408147</v>
      </c>
      <c r="L1429" s="6" t="s">
        <v>917</v>
      </c>
      <c r="M1429" s="6" t="str">
        <f t="shared" si="683"/>
        <v>=12.03*100000000</v>
      </c>
      <c r="N1429" s="1">
        <f>12.03*100000000</f>
        <v>1203000000</v>
      </c>
      <c r="O1429" s="8">
        <f t="shared" si="700"/>
        <v>0.91591017677974196</v>
      </c>
      <c r="P1429" s="6" t="s">
        <v>13433</v>
      </c>
      <c r="Q1429" s="6" t="str">
        <f t="shared" si="684"/>
        <v>=6.279*100000000</v>
      </c>
      <c r="R1429" s="11">
        <f>6.279*100000000</f>
        <v>627900000</v>
      </c>
      <c r="S1429" s="8">
        <f t="shared" si="701"/>
        <v>-0.61431203931203926</v>
      </c>
      <c r="T1429" s="6" t="s">
        <v>1318</v>
      </c>
      <c r="U1429" s="6" t="str">
        <f t="shared" si="685"/>
        <v>=16.28*100000000</v>
      </c>
      <c r="V1429" s="1">
        <f>16.28*100000000</f>
        <v>1628000000</v>
      </c>
      <c r="W1429" s="8">
        <f t="shared" si="702"/>
        <v>0.31928687196110211</v>
      </c>
      <c r="X1429" s="6" t="s">
        <v>7282</v>
      </c>
      <c r="Y1429" s="6" t="str">
        <f t="shared" si="686"/>
        <v>=12.34*100000000</v>
      </c>
      <c r="Z1429" s="1">
        <f>12.34*100000000</f>
        <v>1234000000</v>
      </c>
      <c r="AA1429" s="8">
        <f t="shared" si="703"/>
        <v>0.47378478442613181</v>
      </c>
      <c r="AB1429" s="6" t="s">
        <v>14013</v>
      </c>
      <c r="AC1429" s="6" t="str">
        <f t="shared" si="687"/>
        <v>=8.373*100000000</v>
      </c>
      <c r="AD1429" s="1">
        <f>8.373*100000000</f>
        <v>837299999.99999988</v>
      </c>
      <c r="AE1429" s="8">
        <f t="shared" si="704"/>
        <v>1.2345876701361085</v>
      </c>
      <c r="AF1429" s="6" t="s">
        <v>14014</v>
      </c>
      <c r="AG1429" s="6" t="str">
        <f t="shared" si="688"/>
        <v>=3.747*100000000</v>
      </c>
      <c r="AH1429" s="1">
        <f>3.747*100000000</f>
        <v>374700000</v>
      </c>
      <c r="AI1429" s="8">
        <f t="shared" si="705"/>
        <v>-0.71763376036171811</v>
      </c>
      <c r="AJ1429" s="6" t="s">
        <v>4844</v>
      </c>
      <c r="AK1429" s="6" t="str">
        <f t="shared" si="689"/>
        <v>=13.27*100000000</v>
      </c>
      <c r="AL1429" s="1">
        <f>13.27*100000000</f>
        <v>1327000000</v>
      </c>
      <c r="AM1429" s="8">
        <f t="shared" si="706"/>
        <v>0.2997061704211556</v>
      </c>
      <c r="AN1429" s="6" t="s">
        <v>1390</v>
      </c>
      <c r="AO1429" s="6" t="str">
        <f t="shared" si="690"/>
        <v>=10.21*100000000</v>
      </c>
      <c r="AP1429" s="1">
        <f>10.21*100000000</f>
        <v>1021000000.0000001</v>
      </c>
      <c r="AQ1429" s="8">
        <f t="shared" si="707"/>
        <v>0.48638812054156372</v>
      </c>
      <c r="AR1429" s="6" t="s">
        <v>1901</v>
      </c>
      <c r="AS1429" s="6" t="str">
        <f t="shared" si="691"/>
        <v>=6.869*100000000</v>
      </c>
      <c r="AT1429" s="1">
        <f>6.869*100000000</f>
        <v>686900000</v>
      </c>
      <c r="AU1429" s="8">
        <f t="shared" si="708"/>
        <v>0.84998653380016165</v>
      </c>
      <c r="AV1429" s="6" t="s">
        <v>10148</v>
      </c>
      <c r="AW1429" s="6" t="str">
        <f t="shared" si="692"/>
        <v>=3.713*100000000</v>
      </c>
      <c r="AX1429" s="1">
        <f>3.713*100000000</f>
        <v>371300000</v>
      </c>
      <c r="AY1429" s="10">
        <f t="shared" si="709"/>
        <v>-0.57983478556071066</v>
      </c>
      <c r="AZ1429" s="6" t="s">
        <v>14015</v>
      </c>
      <c r="BA1429" s="6" t="str">
        <f t="shared" si="693"/>
        <v>=8.837*100000000</v>
      </c>
      <c r="BB1429" s="1">
        <f>8.837*100000000</f>
        <v>883700000</v>
      </c>
      <c r="BC1429" s="8">
        <f t="shared" si="710"/>
        <v>0.43971977842945587</v>
      </c>
      <c r="BD1429" s="6" t="s">
        <v>14016</v>
      </c>
      <c r="BE1429" s="6" t="str">
        <f t="shared" si="694"/>
        <v>=6.138*100000000</v>
      </c>
      <c r="BF1429" s="1">
        <f>6.138*100000000</f>
        <v>613800000</v>
      </c>
      <c r="BG1429" s="8">
        <f t="shared" si="711"/>
        <v>0.68348875479978055</v>
      </c>
      <c r="BH1429" s="6" t="s">
        <v>14017</v>
      </c>
      <c r="BI1429" s="6" t="str">
        <f t="shared" si="695"/>
        <v>=3.646*100000000</v>
      </c>
      <c r="BJ1429" s="1">
        <f>3.646*100000000</f>
        <v>364600000</v>
      </c>
      <c r="BK1429" s="6" t="s">
        <v>9299</v>
      </c>
      <c r="BL1429" s="1" t="str">
        <f t="shared" si="697"/>
        <v>=1.045*100000000</v>
      </c>
      <c r="BM1429" s="16">
        <f t="shared" si="712"/>
        <v>2.4889952153110046</v>
      </c>
      <c r="BN1429" s="1">
        <f>1.045*100000000</f>
        <v>104500000</v>
      </c>
    </row>
    <row r="1430" spans="1:66">
      <c r="A1430" s="17">
        <v>359</v>
      </c>
      <c r="B1430">
        <v>601677</v>
      </c>
      <c r="C1430" t="s">
        <v>31</v>
      </c>
      <c r="D1430" s="6" t="s">
        <v>1081</v>
      </c>
      <c r="E1430" s="7" t="str">
        <f t="shared" si="696"/>
        <v>=246.1*100000000</v>
      </c>
      <c r="F1430" s="1">
        <f>246.1*100000000</f>
        <v>24610000000</v>
      </c>
      <c r="G1430" s="8">
        <f t="shared" si="698"/>
        <v>0.44340175953079181</v>
      </c>
      <c r="H1430" s="6" t="s">
        <v>1850</v>
      </c>
      <c r="I1430" s="6" t="str">
        <f t="shared" si="682"/>
        <v>=170.5*100000000</v>
      </c>
      <c r="J1430" s="1">
        <f>170.5*100000000</f>
        <v>17050000000</v>
      </c>
      <c r="K1430" s="10">
        <f t="shared" si="699"/>
        <v>0.58457249070631967</v>
      </c>
      <c r="L1430" s="6" t="s">
        <v>6700</v>
      </c>
      <c r="M1430" s="6" t="str">
        <f t="shared" si="683"/>
        <v>=107.6*100000000</v>
      </c>
      <c r="N1430" s="1">
        <f>107.6*100000000</f>
        <v>10760000000</v>
      </c>
      <c r="O1430" s="8">
        <f t="shared" si="700"/>
        <v>1.2017597708205443</v>
      </c>
      <c r="P1430" s="6" t="s">
        <v>11944</v>
      </c>
      <c r="Q1430" s="6" t="str">
        <f t="shared" si="684"/>
        <v>=48.87*100000000</v>
      </c>
      <c r="R1430" s="11">
        <f>48.87*100000000</f>
        <v>4887000000</v>
      </c>
      <c r="S1430" s="8">
        <f t="shared" si="701"/>
        <v>-0.70073484384568285</v>
      </c>
      <c r="T1430" s="6" t="s">
        <v>3596</v>
      </c>
      <c r="U1430" s="6" t="str">
        <f t="shared" si="685"/>
        <v>=163.3*100000000</v>
      </c>
      <c r="V1430" s="1">
        <f>163.3*100000000</f>
        <v>16330000000.000002</v>
      </c>
      <c r="W1430" s="8">
        <f t="shared" si="702"/>
        <v>0.41753472222222238</v>
      </c>
      <c r="X1430" s="6" t="s">
        <v>14018</v>
      </c>
      <c r="Y1430" s="6" t="str">
        <f t="shared" si="686"/>
        <v>=115.2*100000000</v>
      </c>
      <c r="Z1430" s="1">
        <f>115.2*100000000</f>
        <v>11520000000</v>
      </c>
      <c r="AA1430" s="8">
        <f t="shared" si="703"/>
        <v>0.61051307143855726</v>
      </c>
      <c r="AB1430" s="6" t="s">
        <v>14019</v>
      </c>
      <c r="AC1430" s="6" t="str">
        <f t="shared" si="687"/>
        <v>=71.53*100000000</v>
      </c>
      <c r="AD1430" s="1">
        <f>71.53*100000000</f>
        <v>7153000000</v>
      </c>
      <c r="AE1430" s="8">
        <f t="shared" si="704"/>
        <v>1.356060606060606</v>
      </c>
      <c r="AF1430" s="6" t="s">
        <v>1119</v>
      </c>
      <c r="AG1430" s="6" t="str">
        <f t="shared" si="688"/>
        <v>=30.36*100000000</v>
      </c>
      <c r="AH1430" s="1">
        <f>30.36*100000000</f>
        <v>3036000000</v>
      </c>
      <c r="AI1430" s="8">
        <f t="shared" si="705"/>
        <v>-0.78544169611307424</v>
      </c>
      <c r="AJ1430" s="6" t="s">
        <v>13016</v>
      </c>
      <c r="AK1430" s="6" t="str">
        <f t="shared" si="689"/>
        <v>=141.5*100000000</v>
      </c>
      <c r="AL1430" s="1">
        <f>141.5*100000000</f>
        <v>14150000000</v>
      </c>
      <c r="AM1430" s="8">
        <f t="shared" si="706"/>
        <v>0.35148042024832854</v>
      </c>
      <c r="AN1430" s="6" t="s">
        <v>12384</v>
      </c>
      <c r="AO1430" s="6" t="str">
        <f t="shared" si="690"/>
        <v>=104.7*100000000</v>
      </c>
      <c r="AP1430" s="1">
        <f>104.7*100000000</f>
        <v>10470000000</v>
      </c>
      <c r="AQ1430" s="8">
        <f t="shared" si="707"/>
        <v>0.52091807088901798</v>
      </c>
      <c r="AR1430" s="6" t="s">
        <v>14020</v>
      </c>
      <c r="AS1430" s="6" t="str">
        <f t="shared" si="691"/>
        <v>=68.84*100000000</v>
      </c>
      <c r="AT1430" s="1">
        <f>68.84*100000000</f>
        <v>6884000000</v>
      </c>
      <c r="AU1430" s="8">
        <f t="shared" si="708"/>
        <v>1.0229209521010874</v>
      </c>
      <c r="AV1430" s="6" t="s">
        <v>2349</v>
      </c>
      <c r="AW1430" s="6" t="str">
        <f t="shared" si="692"/>
        <v>=34.03*100000000</v>
      </c>
      <c r="AX1430" s="1">
        <f>34.03*100000000</f>
        <v>3403000000</v>
      </c>
      <c r="AY1430" s="10">
        <f t="shared" si="709"/>
        <v>-0.74451951951951945</v>
      </c>
      <c r="AZ1430" s="6" t="s">
        <v>8087</v>
      </c>
      <c r="BA1430" s="6" t="str">
        <f t="shared" si="693"/>
        <v>=133.2*100000000</v>
      </c>
      <c r="BB1430" s="1">
        <f>133.2*100000000</f>
        <v>13319999999.999998</v>
      </c>
      <c r="BC1430" s="8">
        <f t="shared" si="710"/>
        <v>0.35641547861507111</v>
      </c>
      <c r="BD1430" s="6" t="s">
        <v>14021</v>
      </c>
      <c r="BE1430" s="6" t="str">
        <f t="shared" si="694"/>
        <v>=98.20*100000000</v>
      </c>
      <c r="BF1430" s="1">
        <f>98.2*100000000</f>
        <v>9820000000</v>
      </c>
      <c r="BG1430" s="8">
        <f t="shared" si="711"/>
        <v>0.64848077891556155</v>
      </c>
      <c r="BH1430" s="6" t="s">
        <v>9709</v>
      </c>
      <c r="BI1430" s="6" t="str">
        <f t="shared" si="695"/>
        <v>=59.57*100000000</v>
      </c>
      <c r="BJ1430" s="1">
        <f>59.57*100000000</f>
        <v>5957000000</v>
      </c>
      <c r="BK1430" s="6" t="s">
        <v>11309</v>
      </c>
      <c r="BL1430" s="1" t="str">
        <f t="shared" si="697"/>
        <v>=27.63*100000000</v>
      </c>
      <c r="BM1430" s="16">
        <f t="shared" si="712"/>
        <v>1.155989866087586</v>
      </c>
      <c r="BN1430" s="1">
        <f>27.63*100000000</f>
        <v>2763000000</v>
      </c>
    </row>
    <row r="1431" spans="1:66">
      <c r="A1431" s="18"/>
      <c r="B1431">
        <v>601677</v>
      </c>
      <c r="C1431" t="s">
        <v>48</v>
      </c>
      <c r="D1431" s="6" t="s">
        <v>14022</v>
      </c>
      <c r="E1431" s="7" t="str">
        <f t="shared" si="696"/>
        <v>=21.73*100000000</v>
      </c>
      <c r="F1431" s="1">
        <f>21.73*100000000</f>
        <v>2173000000</v>
      </c>
      <c r="G1431" s="8">
        <f t="shared" si="698"/>
        <v>0.1491274457958752</v>
      </c>
      <c r="H1431" s="6" t="s">
        <v>1825</v>
      </c>
      <c r="I1431" s="6" t="str">
        <f t="shared" si="682"/>
        <v>=18.91*100000000</v>
      </c>
      <c r="J1431" s="1">
        <f>18.91*100000000</f>
        <v>1891000000</v>
      </c>
      <c r="K1431" s="10">
        <f t="shared" si="699"/>
        <v>0.71286231884057971</v>
      </c>
      <c r="L1431" s="6" t="s">
        <v>4258</v>
      </c>
      <c r="M1431" s="6" t="str">
        <f t="shared" si="683"/>
        <v>=11.04*100000000</v>
      </c>
      <c r="N1431" s="1">
        <f>11.04*100000000</f>
        <v>1104000000</v>
      </c>
      <c r="O1431" s="8">
        <f t="shared" si="700"/>
        <v>1.8329484218629715</v>
      </c>
      <c r="P1431" s="6" t="s">
        <v>1207</v>
      </c>
      <c r="Q1431" s="6" t="str">
        <f t="shared" si="684"/>
        <v>=3.897*100000000</v>
      </c>
      <c r="R1431" s="11">
        <f>3.897*100000000</f>
        <v>389700000</v>
      </c>
      <c r="S1431" s="8">
        <f t="shared" si="701"/>
        <v>-0.70115030674846623</v>
      </c>
      <c r="T1431" s="6" t="s">
        <v>4546</v>
      </c>
      <c r="U1431" s="6" t="str">
        <f t="shared" si="685"/>
        <v>=13.04*100000000</v>
      </c>
      <c r="V1431" s="1">
        <f>13.04*100000000</f>
        <v>1304000000</v>
      </c>
      <c r="W1431" s="8">
        <f t="shared" si="702"/>
        <v>0.37814415556964703</v>
      </c>
      <c r="X1431" s="6" t="s">
        <v>14023</v>
      </c>
      <c r="Y1431" s="6" t="str">
        <f t="shared" si="686"/>
        <v>=9.462*100000000</v>
      </c>
      <c r="Z1431" s="1">
        <f>9.462*100000000</f>
        <v>946200000</v>
      </c>
      <c r="AA1431" s="8">
        <f t="shared" si="703"/>
        <v>0.97742946708463951</v>
      </c>
      <c r="AB1431" s="6" t="s">
        <v>14024</v>
      </c>
      <c r="AC1431" s="6" t="str">
        <f t="shared" si="687"/>
        <v>=4.785*100000000</v>
      </c>
      <c r="AD1431" s="1">
        <f>4.785*100000000</f>
        <v>478500000</v>
      </c>
      <c r="AE1431" s="8">
        <f t="shared" si="704"/>
        <v>2.0132241813602016</v>
      </c>
      <c r="AF1431" s="6" t="s">
        <v>2207</v>
      </c>
      <c r="AG1431" s="6" t="str">
        <f t="shared" si="688"/>
        <v>=1.588*100000000</v>
      </c>
      <c r="AH1431" s="1">
        <f>1.588*100000000</f>
        <v>158800000</v>
      </c>
      <c r="AI1431" s="8">
        <f t="shared" si="705"/>
        <v>-0.86919275123558482</v>
      </c>
      <c r="AJ1431" s="6" t="s">
        <v>2082</v>
      </c>
      <c r="AK1431" s="6" t="str">
        <f t="shared" si="689"/>
        <v>=12.14*100000000</v>
      </c>
      <c r="AL1431" s="1">
        <f>12.14*100000000</f>
        <v>1214000000</v>
      </c>
      <c r="AM1431" s="8">
        <f t="shared" si="706"/>
        <v>0.23663033513293266</v>
      </c>
      <c r="AN1431" s="6" t="s">
        <v>14025</v>
      </c>
      <c r="AO1431" s="6" t="str">
        <f t="shared" si="690"/>
        <v>=9.817*100000000</v>
      </c>
      <c r="AP1431" s="1">
        <f>9.817*100000000</f>
        <v>981700000</v>
      </c>
      <c r="AQ1431" s="8">
        <f t="shared" si="707"/>
        <v>1.2021085688649618</v>
      </c>
      <c r="AR1431" s="6" t="s">
        <v>5187</v>
      </c>
      <c r="AS1431" s="6" t="str">
        <f t="shared" si="691"/>
        <v>=4.458*100000000</v>
      </c>
      <c r="AT1431" s="1">
        <f>4.458*100000000</f>
        <v>445800000</v>
      </c>
      <c r="AU1431" s="8">
        <f t="shared" si="708"/>
        <v>1.317047817047817</v>
      </c>
      <c r="AV1431" s="6" t="s">
        <v>9833</v>
      </c>
      <c r="AW1431" s="6" t="str">
        <f t="shared" si="692"/>
        <v>=1.924*100000000</v>
      </c>
      <c r="AX1431" s="1">
        <f>1.924*100000000</f>
        <v>192400000</v>
      </c>
      <c r="AY1431" s="10">
        <f t="shared" si="709"/>
        <v>-0.70326958667489203</v>
      </c>
      <c r="AZ1431" s="6" t="s">
        <v>14026</v>
      </c>
      <c r="BA1431" s="6" t="str">
        <f t="shared" si="693"/>
        <v>=6.484*100000000</v>
      </c>
      <c r="BB1431" s="1">
        <f>6.484*100000000</f>
        <v>648400000</v>
      </c>
      <c r="BC1431" s="8">
        <f t="shared" si="710"/>
        <v>0.16618705035971224</v>
      </c>
      <c r="BD1431" s="6" t="s">
        <v>4255</v>
      </c>
      <c r="BE1431" s="6" t="str">
        <f t="shared" si="694"/>
        <v>=5.560*100000000</v>
      </c>
      <c r="BF1431" s="1">
        <f>5.56*100000000</f>
        <v>556000000</v>
      </c>
      <c r="BG1431" s="8">
        <f t="shared" si="711"/>
        <v>0.53761061946902655</v>
      </c>
      <c r="BH1431" s="6" t="s">
        <v>365</v>
      </c>
      <c r="BI1431" s="6" t="str">
        <f t="shared" si="695"/>
        <v>=3.616*100000000</v>
      </c>
      <c r="BJ1431" s="1">
        <f>3.616*100000000</f>
        <v>361600000</v>
      </c>
      <c r="BK1431" s="6" t="s">
        <v>1551</v>
      </c>
      <c r="BL1431" s="1" t="str">
        <f t="shared" si="697"/>
        <v>=1.876*100000000</v>
      </c>
      <c r="BM1431" s="16">
        <f t="shared" si="712"/>
        <v>0.92750533049040507</v>
      </c>
      <c r="BN1431" s="1">
        <f>1.876*100000000</f>
        <v>187600000</v>
      </c>
    </row>
    <row r="1432" spans="1:66">
      <c r="A1432" s="18"/>
      <c r="B1432">
        <v>601677</v>
      </c>
      <c r="C1432" t="s">
        <v>58</v>
      </c>
      <c r="D1432" s="6" t="s">
        <v>7488</v>
      </c>
      <c r="E1432" s="7" t="str">
        <f t="shared" si="696"/>
        <v>=21.42*100000000</v>
      </c>
      <c r="F1432" s="1">
        <f>21.42*100000000</f>
        <v>2142000000.0000002</v>
      </c>
      <c r="G1432" s="8">
        <f t="shared" si="698"/>
        <v>0.14240000000000014</v>
      </c>
      <c r="H1432" s="6" t="s">
        <v>10570</v>
      </c>
      <c r="I1432" s="6" t="str">
        <f t="shared" si="682"/>
        <v>=18.75*100000000</v>
      </c>
      <c r="J1432" s="1">
        <f>18.75*100000000</f>
        <v>1875000000</v>
      </c>
      <c r="K1432" s="10">
        <f t="shared" si="699"/>
        <v>0.69990933816863099</v>
      </c>
      <c r="L1432" s="6" t="s">
        <v>12800</v>
      </c>
      <c r="M1432" s="6" t="str">
        <f t="shared" si="683"/>
        <v>=11.03*100000000</v>
      </c>
      <c r="N1432" s="1">
        <f>11.03*100000000</f>
        <v>1103000000</v>
      </c>
      <c r="O1432" s="8">
        <f t="shared" si="700"/>
        <v>1.8325629173086799</v>
      </c>
      <c r="P1432" s="6" t="s">
        <v>7781</v>
      </c>
      <c r="Q1432" s="6" t="str">
        <f t="shared" si="684"/>
        <v>=3.894*100000000</v>
      </c>
      <c r="R1432" s="11">
        <f>3.894*100000000</f>
        <v>389400000</v>
      </c>
      <c r="S1432" s="8">
        <f t="shared" si="701"/>
        <v>-0.7006917755572637</v>
      </c>
      <c r="T1432" s="6" t="s">
        <v>177</v>
      </c>
      <c r="U1432" s="6" t="str">
        <f t="shared" si="685"/>
        <v>=13.01*100000000</v>
      </c>
      <c r="V1432" s="1">
        <f>13.01*100000000</f>
        <v>1301000000</v>
      </c>
      <c r="W1432" s="8">
        <f t="shared" si="702"/>
        <v>0.38051782682512736</v>
      </c>
      <c r="X1432" s="6" t="s">
        <v>14027</v>
      </c>
      <c r="Y1432" s="6" t="str">
        <f t="shared" si="686"/>
        <v>=9.424*100000000</v>
      </c>
      <c r="Z1432" s="1">
        <f>9.424*100000000</f>
        <v>942400000</v>
      </c>
      <c r="AA1432" s="8">
        <f t="shared" si="703"/>
        <v>0.97941608905692079</v>
      </c>
      <c r="AB1432" s="6" t="s">
        <v>14028</v>
      </c>
      <c r="AC1432" s="6" t="str">
        <f t="shared" si="687"/>
        <v>=4.761*100000000</v>
      </c>
      <c r="AD1432" s="1">
        <f>4.761*100000000</f>
        <v>476100000</v>
      </c>
      <c r="AE1432" s="8">
        <f t="shared" si="704"/>
        <v>2.0190234622701331</v>
      </c>
      <c r="AF1432" s="6" t="s">
        <v>1705</v>
      </c>
      <c r="AG1432" s="6" t="str">
        <f t="shared" si="688"/>
        <v>=1.577*100000000</v>
      </c>
      <c r="AH1432" s="1">
        <f>1.577*100000000</f>
        <v>157700000</v>
      </c>
      <c r="AI1432" s="8">
        <f t="shared" si="705"/>
        <v>-0.86988448844884492</v>
      </c>
      <c r="AJ1432" s="6" t="s">
        <v>1532</v>
      </c>
      <c r="AK1432" s="6" t="str">
        <f t="shared" si="689"/>
        <v>=12.12*100000000</v>
      </c>
      <c r="AL1432" s="1">
        <f>12.12*100000000</f>
        <v>1212000000</v>
      </c>
      <c r="AM1432" s="8">
        <f t="shared" si="706"/>
        <v>0.23635621748444338</v>
      </c>
      <c r="AN1432" s="6" t="s">
        <v>14029</v>
      </c>
      <c r="AO1432" s="6" t="str">
        <f t="shared" si="690"/>
        <v>=9.803*100000000</v>
      </c>
      <c r="AP1432" s="1">
        <f>9.803*100000000</f>
        <v>980300000.00000012</v>
      </c>
      <c r="AQ1432" s="8">
        <f t="shared" si="707"/>
        <v>1.2039118705035972</v>
      </c>
      <c r="AR1432" s="6" t="s">
        <v>8623</v>
      </c>
      <c r="AS1432" s="6" t="str">
        <f t="shared" si="691"/>
        <v>=4.448*100000000</v>
      </c>
      <c r="AT1432" s="1">
        <f>4.448*100000000</f>
        <v>444800000.00000006</v>
      </c>
      <c r="AU1432" s="8">
        <f t="shared" si="708"/>
        <v>1.3190823774765383</v>
      </c>
      <c r="AV1432" s="6" t="s">
        <v>14030</v>
      </c>
      <c r="AW1432" s="6" t="str">
        <f t="shared" si="692"/>
        <v>=1.918*100000000</v>
      </c>
      <c r="AX1432" s="1">
        <f>1.918*100000000</f>
        <v>191800000</v>
      </c>
      <c r="AY1432" s="10">
        <f t="shared" si="709"/>
        <v>-0.70681748700703151</v>
      </c>
      <c r="AZ1432" s="6" t="s">
        <v>10764</v>
      </c>
      <c r="BA1432" s="6" t="str">
        <f t="shared" si="693"/>
        <v>=6.542*100000000</v>
      </c>
      <c r="BB1432" s="1">
        <f>6.542*100000000</f>
        <v>654200000</v>
      </c>
      <c r="BC1432" s="8">
        <f t="shared" si="710"/>
        <v>0.17598418119719575</v>
      </c>
      <c r="BD1432" s="6" t="s">
        <v>8575</v>
      </c>
      <c r="BE1432" s="6" t="str">
        <f t="shared" si="694"/>
        <v>=5.563*100000000</v>
      </c>
      <c r="BF1432" s="1">
        <f>5.563*100000000</f>
        <v>556300000</v>
      </c>
      <c r="BG1432" s="8">
        <f t="shared" si="711"/>
        <v>0.5375898286346048</v>
      </c>
      <c r="BH1432" s="6" t="s">
        <v>7007</v>
      </c>
      <c r="BI1432" s="6" t="str">
        <f t="shared" si="695"/>
        <v>=3.618*100000000</v>
      </c>
      <c r="BJ1432" s="1">
        <f>3.618*100000000</f>
        <v>361800000</v>
      </c>
      <c r="BK1432" s="6" t="s">
        <v>12245</v>
      </c>
      <c r="BL1432" s="1" t="str">
        <f t="shared" si="697"/>
        <v>=1.873*100000000</v>
      </c>
      <c r="BM1432" s="16">
        <f t="shared" si="712"/>
        <v>0.93166043780032037</v>
      </c>
      <c r="BN1432" s="1">
        <f>1.873*100000000</f>
        <v>187300000</v>
      </c>
    </row>
    <row r="1433" spans="1:66">
      <c r="A1433" s="19"/>
      <c r="B1433">
        <v>601677</v>
      </c>
      <c r="C1433" t="s">
        <v>68</v>
      </c>
      <c r="D1433" s="6" t="s">
        <v>14031</v>
      </c>
      <c r="E1433" s="7" t="str">
        <f t="shared" si="696"/>
        <v>=18.90*100000000</v>
      </c>
      <c r="F1433" s="1">
        <f>18.9*100000000</f>
        <v>1889999999.9999998</v>
      </c>
      <c r="G1433" s="8">
        <f t="shared" si="698"/>
        <v>0.32538569424964919</v>
      </c>
      <c r="H1433" s="6" t="s">
        <v>14032</v>
      </c>
      <c r="I1433" s="6" t="str">
        <f t="shared" si="682"/>
        <v>=14.26*100000000</v>
      </c>
      <c r="J1433" s="1">
        <f>14.26*100000000</f>
        <v>1426000000</v>
      </c>
      <c r="K1433" s="10">
        <f t="shared" si="699"/>
        <v>0.65582907570831395</v>
      </c>
      <c r="L1433" s="6" t="s">
        <v>14033</v>
      </c>
      <c r="M1433" s="6" t="str">
        <f t="shared" si="683"/>
        <v>=8.612*100000000</v>
      </c>
      <c r="N1433" s="1">
        <f>8.612*100000000</f>
        <v>861200000</v>
      </c>
      <c r="O1433" s="8">
        <f t="shared" si="700"/>
        <v>1.5684461676110946</v>
      </c>
      <c r="P1433" s="6" t="s">
        <v>2846</v>
      </c>
      <c r="Q1433" s="6" t="str">
        <f t="shared" si="684"/>
        <v>=3.353*100000000</v>
      </c>
      <c r="R1433" s="11">
        <f>3.353*100000000</f>
        <v>335300000</v>
      </c>
      <c r="S1433" s="8">
        <f t="shared" si="701"/>
        <v>-0.69294871794871793</v>
      </c>
      <c r="T1433" s="6" t="s">
        <v>254</v>
      </c>
      <c r="U1433" s="6" t="str">
        <f t="shared" si="685"/>
        <v>=10.92*100000000</v>
      </c>
      <c r="V1433" s="1">
        <f>10.92*100000000</f>
        <v>1092000000</v>
      </c>
      <c r="W1433" s="8">
        <f t="shared" si="702"/>
        <v>0.47368421052631576</v>
      </c>
      <c r="X1433" s="6" t="s">
        <v>2650</v>
      </c>
      <c r="Y1433" s="6" t="str">
        <f t="shared" si="686"/>
        <v>=7.410*100000000</v>
      </c>
      <c r="Z1433" s="1">
        <f>7.41*100000000</f>
        <v>741000000</v>
      </c>
      <c r="AA1433" s="8">
        <f t="shared" si="703"/>
        <v>1.0157780195865072</v>
      </c>
      <c r="AB1433" s="6" t="s">
        <v>14034</v>
      </c>
      <c r="AC1433" s="6" t="str">
        <f t="shared" si="687"/>
        <v>=3.676*100000000</v>
      </c>
      <c r="AD1433" s="1">
        <f>3.676*100000000</f>
        <v>367600000</v>
      </c>
      <c r="AE1433" s="8">
        <f t="shared" si="704"/>
        <v>1.9267515923566878</v>
      </c>
      <c r="AF1433" s="6" t="s">
        <v>6145</v>
      </c>
      <c r="AG1433" s="6" t="str">
        <f t="shared" si="688"/>
        <v>=1.256*100000000</v>
      </c>
      <c r="AH1433" s="1">
        <f>1.256*100000000</f>
        <v>125600000</v>
      </c>
      <c r="AI1433" s="8">
        <f t="shared" si="705"/>
        <v>-0.87231879638101051</v>
      </c>
      <c r="AJ1433" s="6" t="s">
        <v>14035</v>
      </c>
      <c r="AK1433" s="6" t="str">
        <f t="shared" si="689"/>
        <v>=9.837*100000000</v>
      </c>
      <c r="AL1433" s="1">
        <f>9.837*100000000</f>
        <v>983700000</v>
      </c>
      <c r="AM1433" s="8">
        <f t="shared" si="706"/>
        <v>0.29604743083003954</v>
      </c>
      <c r="AN1433" s="6" t="s">
        <v>5130</v>
      </c>
      <c r="AO1433" s="6" t="str">
        <f t="shared" si="690"/>
        <v>=7.590*100000000</v>
      </c>
      <c r="AP1433" s="1">
        <f>7.59*100000000</f>
        <v>759000000</v>
      </c>
      <c r="AQ1433" s="8">
        <f t="shared" si="707"/>
        <v>1.2</v>
      </c>
      <c r="AR1433" s="6" t="s">
        <v>4025</v>
      </c>
      <c r="AS1433" s="6" t="str">
        <f t="shared" si="691"/>
        <v>=3.450*100000000</v>
      </c>
      <c r="AT1433" s="1">
        <f>3.45*100000000</f>
        <v>345000000</v>
      </c>
      <c r="AU1433" s="8">
        <f t="shared" si="708"/>
        <v>1.3310810810810811</v>
      </c>
      <c r="AV1433" s="6" t="s">
        <v>1701</v>
      </c>
      <c r="AW1433" s="6" t="str">
        <f t="shared" si="692"/>
        <v>=1.480*100000000</v>
      </c>
      <c r="AX1433" s="1">
        <f>1.48*100000000</f>
        <v>148000000</v>
      </c>
      <c r="AY1433" s="10">
        <f t="shared" si="709"/>
        <v>-0.71964387194544421</v>
      </c>
      <c r="AZ1433" s="6" t="s">
        <v>4140</v>
      </c>
      <c r="BA1433" s="6" t="str">
        <f t="shared" si="693"/>
        <v>=5.279*100000000</v>
      </c>
      <c r="BB1433" s="1">
        <f>5.279*100000000</f>
        <v>527900000</v>
      </c>
      <c r="BC1433" s="8">
        <f t="shared" si="710"/>
        <v>0.25511174512601026</v>
      </c>
      <c r="BD1433" s="6" t="s">
        <v>14036</v>
      </c>
      <c r="BE1433" s="6" t="str">
        <f t="shared" si="694"/>
        <v>=4.206*100000000</v>
      </c>
      <c r="BF1433" s="1">
        <f>4.206*100000000</f>
        <v>420600000.00000006</v>
      </c>
      <c r="BG1433" s="8">
        <f t="shared" si="711"/>
        <v>0.55260243632336681</v>
      </c>
      <c r="BH1433" s="6" t="s">
        <v>5303</v>
      </c>
      <c r="BI1433" s="6" t="str">
        <f t="shared" si="695"/>
        <v>=2.709*100000000</v>
      </c>
      <c r="BJ1433" s="1">
        <f>2.709*100000000</f>
        <v>270900000</v>
      </c>
      <c r="BK1433" s="6" t="s">
        <v>2751</v>
      </c>
      <c r="BL1433" s="1" t="str">
        <f t="shared" si="697"/>
        <v>=1.385*100000000</v>
      </c>
      <c r="BM1433" s="16">
        <f t="shared" si="712"/>
        <v>0.95595667870036105</v>
      </c>
      <c r="BN1433" s="1">
        <f>1.385*100000000</f>
        <v>138500000</v>
      </c>
    </row>
    <row r="1434" spans="1:66">
      <c r="A1434" s="17">
        <v>360</v>
      </c>
      <c r="B1434">
        <v>601688</v>
      </c>
      <c r="C1434" t="s">
        <v>31</v>
      </c>
      <c r="D1434" s="6" t="s">
        <v>2015</v>
      </c>
      <c r="E1434" s="7" t="str">
        <f t="shared" si="696"/>
        <v>=379.1*100000000</v>
      </c>
      <c r="F1434" s="1">
        <f>379.1*100000000</f>
        <v>37910000000</v>
      </c>
      <c r="G1434" s="8">
        <f t="shared" si="698"/>
        <v>0.40876997398736509</v>
      </c>
      <c r="H1434" s="6" t="s">
        <v>14037</v>
      </c>
      <c r="I1434" s="6" t="str">
        <f t="shared" si="682"/>
        <v>=269.1*100000000</v>
      </c>
      <c r="J1434" s="1">
        <f>269.1*100000000</f>
        <v>26910000000.000004</v>
      </c>
      <c r="K1434" s="10">
        <f t="shared" si="699"/>
        <v>0.47613823368074626</v>
      </c>
      <c r="L1434" s="6" t="s">
        <v>6433</v>
      </c>
      <c r="M1434" s="6" t="str">
        <f t="shared" si="683"/>
        <v>=182.3*100000000</v>
      </c>
      <c r="N1434" s="1">
        <f>182.3*100000000</f>
        <v>18230000000</v>
      </c>
      <c r="O1434" s="8">
        <f t="shared" si="700"/>
        <v>1.0744196631770597</v>
      </c>
      <c r="P1434" s="6" t="s">
        <v>2345</v>
      </c>
      <c r="Q1434" s="6" t="str">
        <f t="shared" si="684"/>
        <v>=87.88*100000000</v>
      </c>
      <c r="R1434" s="11">
        <f>87.88*100000000</f>
        <v>8788000000</v>
      </c>
      <c r="S1434" s="8">
        <f t="shared" si="701"/>
        <v>-0.7204834605597964</v>
      </c>
      <c r="T1434" s="6" t="s">
        <v>10595</v>
      </c>
      <c r="U1434" s="6" t="str">
        <f t="shared" si="685"/>
        <v>=314.4*100000000</v>
      </c>
      <c r="V1434" s="1">
        <f>314.4*100000000</f>
        <v>31439999999.999996</v>
      </c>
      <c r="W1434" s="8">
        <f t="shared" si="702"/>
        <v>0.29170090386195546</v>
      </c>
      <c r="X1434" s="6" t="s">
        <v>14038</v>
      </c>
      <c r="Y1434" s="6" t="str">
        <f t="shared" si="686"/>
        <v>=243.4*100000000</v>
      </c>
      <c r="Z1434" s="1">
        <f>243.4*100000000</f>
        <v>24340000000</v>
      </c>
      <c r="AA1434" s="8">
        <f t="shared" si="703"/>
        <v>0.56628056628056633</v>
      </c>
      <c r="AB1434" s="6" t="s">
        <v>4947</v>
      </c>
      <c r="AC1434" s="6" t="str">
        <f t="shared" si="687"/>
        <v>=155.4*100000000</v>
      </c>
      <c r="AD1434" s="1">
        <f>155.4*100000000</f>
        <v>15540000000</v>
      </c>
      <c r="AE1434" s="8">
        <f t="shared" si="704"/>
        <v>1.263656227239621</v>
      </c>
      <c r="AF1434" s="6" t="s">
        <v>14039</v>
      </c>
      <c r="AG1434" s="6" t="str">
        <f t="shared" si="688"/>
        <v>=68.65*100000000</v>
      </c>
      <c r="AH1434" s="1">
        <f>68.65*100000000</f>
        <v>6865000000.000001</v>
      </c>
      <c r="AI1434" s="8">
        <f t="shared" si="705"/>
        <v>-0.72385358004827027</v>
      </c>
      <c r="AJ1434" s="6" t="s">
        <v>14040</v>
      </c>
      <c r="AK1434" s="6" t="str">
        <f t="shared" si="689"/>
        <v>=248.6*100000000</v>
      </c>
      <c r="AL1434" s="1">
        <f>248.6*100000000</f>
        <v>24860000000</v>
      </c>
      <c r="AM1434" s="8">
        <f t="shared" si="706"/>
        <v>0.40056338028169014</v>
      </c>
      <c r="AN1434" s="6" t="s">
        <v>14041</v>
      </c>
      <c r="AO1434" s="6" t="str">
        <f t="shared" si="690"/>
        <v>=177.5*100000000</v>
      </c>
      <c r="AP1434" s="1">
        <f>177.5*100000000</f>
        <v>17750000000</v>
      </c>
      <c r="AQ1434" s="8">
        <f t="shared" si="707"/>
        <v>0.59765976597659765</v>
      </c>
      <c r="AR1434" s="6" t="s">
        <v>9421</v>
      </c>
      <c r="AS1434" s="6" t="str">
        <f t="shared" si="691"/>
        <v>=111.1*100000000</v>
      </c>
      <c r="AT1434" s="1">
        <f>111.1*100000000</f>
        <v>11110000000</v>
      </c>
      <c r="AU1434" s="8">
        <f t="shared" si="708"/>
        <v>0.778169014084507</v>
      </c>
      <c r="AV1434" s="6" t="s">
        <v>14042</v>
      </c>
      <c r="AW1434" s="6" t="str">
        <f t="shared" si="692"/>
        <v>=62.48*100000000</v>
      </c>
      <c r="AX1434" s="1">
        <f>62.48*100000000</f>
        <v>6248000000</v>
      </c>
      <c r="AY1434" s="10">
        <f t="shared" si="709"/>
        <v>-0.61216635630043448</v>
      </c>
      <c r="AZ1434" s="6" t="s">
        <v>3236</v>
      </c>
      <c r="BA1434" s="6" t="str">
        <f t="shared" si="693"/>
        <v>=161.1*100000000</v>
      </c>
      <c r="BB1434" s="1">
        <f>161.1*100000000</f>
        <v>16110000000</v>
      </c>
      <c r="BC1434" s="8">
        <f t="shared" si="710"/>
        <v>0.28674121405750796</v>
      </c>
      <c r="BD1434" s="6" t="s">
        <v>1177</v>
      </c>
      <c r="BE1434" s="6" t="str">
        <f t="shared" si="694"/>
        <v>=125.2*100000000</v>
      </c>
      <c r="BF1434" s="1">
        <f>125.2*100000000</f>
        <v>12520000000</v>
      </c>
      <c r="BG1434" s="8">
        <f t="shared" si="711"/>
        <v>0.52385589094449858</v>
      </c>
      <c r="BH1434" s="6" t="s">
        <v>14043</v>
      </c>
      <c r="BI1434" s="6" t="str">
        <f t="shared" si="695"/>
        <v>=82.16*100000000</v>
      </c>
      <c r="BJ1434" s="1">
        <f>82.16*100000000</f>
        <v>8216000000</v>
      </c>
      <c r="BK1434" s="6" t="s">
        <v>12120</v>
      </c>
      <c r="BL1434" s="1" t="str">
        <f t="shared" si="697"/>
        <v>=42.90*100000000</v>
      </c>
      <c r="BM1434" s="16">
        <f t="shared" si="712"/>
        <v>0.91515151515151516</v>
      </c>
      <c r="BN1434" s="1">
        <f>42.9*100000000</f>
        <v>4290000000</v>
      </c>
    </row>
    <row r="1435" spans="1:66">
      <c r="A1435" s="18"/>
      <c r="B1435">
        <v>601688</v>
      </c>
      <c r="C1435" t="s">
        <v>48</v>
      </c>
      <c r="D1435" s="6" t="s">
        <v>849</v>
      </c>
      <c r="E1435" s="7" t="str">
        <f t="shared" si="696"/>
        <v>=163.4*100000000</v>
      </c>
      <c r="F1435" s="1">
        <f>163.4*100000000</f>
        <v>16340000000</v>
      </c>
      <c r="G1435" s="8">
        <f t="shared" si="698"/>
        <v>0.13393476752255379</v>
      </c>
      <c r="H1435" s="6" t="s">
        <v>14044</v>
      </c>
      <c r="I1435" s="6" t="str">
        <f t="shared" si="682"/>
        <v>=144.1*100000000</v>
      </c>
      <c r="J1435" s="1">
        <f>144.1*100000000</f>
        <v>14410000000</v>
      </c>
      <c r="K1435" s="10">
        <f t="shared" si="699"/>
        <v>0.4352589641434263</v>
      </c>
      <c r="L1435" s="6" t="s">
        <v>14045</v>
      </c>
      <c r="M1435" s="6" t="str">
        <f t="shared" si="683"/>
        <v>=100.4*100000000</v>
      </c>
      <c r="N1435" s="1">
        <f>100.4*100000000</f>
        <v>10040000000</v>
      </c>
      <c r="O1435" s="8">
        <f t="shared" si="700"/>
        <v>1.3870660960532573</v>
      </c>
      <c r="P1435" s="6" t="s">
        <v>10759</v>
      </c>
      <c r="Q1435" s="6" t="str">
        <f t="shared" si="684"/>
        <v>=42.06*100000000</v>
      </c>
      <c r="R1435" s="11">
        <f>42.06*100000000</f>
        <v>4206000000</v>
      </c>
      <c r="S1435" s="8">
        <f t="shared" si="701"/>
        <v>-0.68844444444444441</v>
      </c>
      <c r="T1435" s="6" t="s">
        <v>13527</v>
      </c>
      <c r="U1435" s="6" t="str">
        <f t="shared" si="685"/>
        <v>=135.0*100000000</v>
      </c>
      <c r="V1435" s="1">
        <f>135*100000000</f>
        <v>13500000000</v>
      </c>
      <c r="W1435" s="8">
        <f t="shared" si="702"/>
        <v>0.17903930131004367</v>
      </c>
      <c r="X1435" s="6" t="s">
        <v>11832</v>
      </c>
      <c r="Y1435" s="6" t="str">
        <f t="shared" si="686"/>
        <v>=114.5*100000000</v>
      </c>
      <c r="Z1435" s="1">
        <f>114.5*100000000</f>
        <v>11450000000</v>
      </c>
      <c r="AA1435" s="8">
        <f t="shared" si="703"/>
        <v>0.37554060547813567</v>
      </c>
      <c r="AB1435" s="6" t="s">
        <v>14046</v>
      </c>
      <c r="AC1435" s="6" t="str">
        <f t="shared" si="687"/>
        <v>=83.24*100000000</v>
      </c>
      <c r="AD1435" s="1">
        <f>83.24*100000000</f>
        <v>8323999999.999999</v>
      </c>
      <c r="AE1435" s="8">
        <f t="shared" si="704"/>
        <v>1.1916798314902581</v>
      </c>
      <c r="AF1435" s="6" t="s">
        <v>14047</v>
      </c>
      <c r="AG1435" s="6" t="str">
        <f t="shared" si="688"/>
        <v>=37.98*100000000</v>
      </c>
      <c r="AH1435" s="1">
        <f>37.98*100000000</f>
        <v>3797999999.9999995</v>
      </c>
      <c r="AI1435" s="8">
        <f t="shared" si="705"/>
        <v>-0.67286821705426358</v>
      </c>
      <c r="AJ1435" s="6" t="s">
        <v>6434</v>
      </c>
      <c r="AK1435" s="6" t="str">
        <f t="shared" si="689"/>
        <v>=116.1*100000000</v>
      </c>
      <c r="AL1435" s="1">
        <f>116.1*100000000</f>
        <v>11610000000</v>
      </c>
      <c r="AM1435" s="8">
        <f t="shared" si="706"/>
        <v>0.37412711563498652</v>
      </c>
      <c r="AN1435" s="6" t="s">
        <v>13773</v>
      </c>
      <c r="AO1435" s="6" t="str">
        <f t="shared" si="690"/>
        <v>=84.49*100000000</v>
      </c>
      <c r="AP1435" s="1">
        <f>84.49*100000000</f>
        <v>8448999999.999999</v>
      </c>
      <c r="AQ1435" s="8">
        <f t="shared" si="707"/>
        <v>0.5602954755309324</v>
      </c>
      <c r="AR1435" s="6" t="s">
        <v>14048</v>
      </c>
      <c r="AS1435" s="6" t="str">
        <f t="shared" si="691"/>
        <v>=54.15*100000000</v>
      </c>
      <c r="AT1435" s="1">
        <f>54.15*100000000</f>
        <v>5415000000</v>
      </c>
      <c r="AU1435" s="8">
        <f t="shared" si="708"/>
        <v>0.48274917853231086</v>
      </c>
      <c r="AV1435" s="6" t="s">
        <v>9295</v>
      </c>
      <c r="AW1435" s="6" t="str">
        <f t="shared" si="692"/>
        <v>=36.52*100000000</v>
      </c>
      <c r="AX1435" s="1">
        <f>36.52*100000000</f>
        <v>3652000000.0000005</v>
      </c>
      <c r="AY1435" s="10">
        <f t="shared" si="709"/>
        <v>-0.43598455598455593</v>
      </c>
      <c r="AZ1435" s="6" t="s">
        <v>14049</v>
      </c>
      <c r="BA1435" s="6" t="str">
        <f t="shared" si="693"/>
        <v>=64.75*100000000</v>
      </c>
      <c r="BB1435" s="1">
        <f>64.75*100000000</f>
        <v>6475000000</v>
      </c>
      <c r="BC1435" s="8">
        <f t="shared" si="710"/>
        <v>0.11254295532646048</v>
      </c>
      <c r="BD1435" s="6" t="s">
        <v>12380</v>
      </c>
      <c r="BE1435" s="6" t="str">
        <f t="shared" si="694"/>
        <v>=58.20*100000000</v>
      </c>
      <c r="BF1435" s="1">
        <f>58.2*100000000</f>
        <v>5820000000</v>
      </c>
      <c r="BG1435" s="8">
        <f t="shared" si="711"/>
        <v>0.4477611940298506</v>
      </c>
      <c r="BH1435" s="6" t="s">
        <v>14050</v>
      </c>
      <c r="BI1435" s="6" t="str">
        <f t="shared" si="695"/>
        <v>=40.20*100000000</v>
      </c>
      <c r="BJ1435" s="1">
        <f>40.2*100000000</f>
        <v>4020000000.0000005</v>
      </c>
      <c r="BK1435" s="6" t="s">
        <v>5106</v>
      </c>
      <c r="BL1435" s="1" t="str">
        <f t="shared" si="697"/>
        <v>=24.02*100000000</v>
      </c>
      <c r="BM1435" s="16">
        <f t="shared" si="712"/>
        <v>0.67360532889258973</v>
      </c>
      <c r="BN1435" s="1">
        <f>24.02*100000000</f>
        <v>2402000000</v>
      </c>
    </row>
    <row r="1436" spans="1:66">
      <c r="A1436" s="18"/>
      <c r="B1436">
        <v>601688</v>
      </c>
      <c r="C1436" t="s">
        <v>58</v>
      </c>
      <c r="D1436" s="6" t="s">
        <v>14051</v>
      </c>
      <c r="E1436" s="7" t="str">
        <f t="shared" si="696"/>
        <v>=162.7*100000000</v>
      </c>
      <c r="F1436" s="1">
        <f>162.7*100000000</f>
        <v>16269999999.999998</v>
      </c>
      <c r="G1436" s="8">
        <f t="shared" si="698"/>
        <v>0.13143254520166869</v>
      </c>
      <c r="H1436" s="6" t="s">
        <v>14052</v>
      </c>
      <c r="I1436" s="6" t="str">
        <f t="shared" si="682"/>
        <v>=143.8*100000000</v>
      </c>
      <c r="J1436" s="1">
        <f>143.8*100000000</f>
        <v>14380000000.000002</v>
      </c>
      <c r="K1436" s="10">
        <f t="shared" si="699"/>
        <v>0.43227091633466153</v>
      </c>
      <c r="L1436" s="6" t="s">
        <v>14045</v>
      </c>
      <c r="M1436" s="6" t="str">
        <f t="shared" si="683"/>
        <v>=100.4*100000000</v>
      </c>
      <c r="N1436" s="1">
        <f>100.4*100000000</f>
        <v>10040000000</v>
      </c>
      <c r="O1436" s="8">
        <f t="shared" si="700"/>
        <v>1.3882017126546147</v>
      </c>
      <c r="P1436" s="6" t="s">
        <v>14053</v>
      </c>
      <c r="Q1436" s="6" t="str">
        <f t="shared" si="684"/>
        <v>=42.04*100000000</v>
      </c>
      <c r="R1436" s="11">
        <f>42.04*100000000</f>
        <v>4204000000</v>
      </c>
      <c r="S1436" s="8">
        <f t="shared" si="701"/>
        <v>-0.68859259259259264</v>
      </c>
      <c r="T1436" s="6" t="s">
        <v>13527</v>
      </c>
      <c r="U1436" s="6" t="str">
        <f t="shared" si="685"/>
        <v>=135.0*100000000</v>
      </c>
      <c r="V1436" s="1">
        <f>135*100000000</f>
        <v>13500000000</v>
      </c>
      <c r="W1436" s="8">
        <f t="shared" si="702"/>
        <v>0.18110236220472442</v>
      </c>
      <c r="X1436" s="6" t="s">
        <v>11037</v>
      </c>
      <c r="Y1436" s="6" t="str">
        <f t="shared" si="686"/>
        <v>=114.3*100000000</v>
      </c>
      <c r="Z1436" s="1">
        <f>114.3*100000000</f>
        <v>11430000000</v>
      </c>
      <c r="AA1436" s="8">
        <f t="shared" si="703"/>
        <v>0.37611365278112208</v>
      </c>
      <c r="AB1436" s="6" t="s">
        <v>14054</v>
      </c>
      <c r="AC1436" s="6" t="str">
        <f t="shared" si="687"/>
        <v>=83.06*100000000</v>
      </c>
      <c r="AD1436" s="1">
        <f>83.06*100000000</f>
        <v>8306000000</v>
      </c>
      <c r="AE1436" s="8">
        <f t="shared" si="704"/>
        <v>1.2014312218393852</v>
      </c>
      <c r="AF1436" s="6" t="s">
        <v>14055</v>
      </c>
      <c r="AG1436" s="6" t="str">
        <f t="shared" si="688"/>
        <v>=37.73*100000000</v>
      </c>
      <c r="AH1436" s="1">
        <f>37.73*100000000</f>
        <v>3772999999.9999995</v>
      </c>
      <c r="AI1436" s="8">
        <f t="shared" si="705"/>
        <v>-0.67446074201898187</v>
      </c>
      <c r="AJ1436" s="6" t="s">
        <v>10197</v>
      </c>
      <c r="AK1436" s="6" t="str">
        <f t="shared" si="689"/>
        <v>=115.9*100000000</v>
      </c>
      <c r="AL1436" s="1">
        <f>115.9*100000000</f>
        <v>11590000000</v>
      </c>
      <c r="AM1436" s="8">
        <f t="shared" si="706"/>
        <v>0.37192234848484851</v>
      </c>
      <c r="AN1436" s="6" t="s">
        <v>14056</v>
      </c>
      <c r="AO1436" s="6" t="str">
        <f t="shared" si="690"/>
        <v>=84.48*100000000</v>
      </c>
      <c r="AP1436" s="1">
        <f>84.48*100000000</f>
        <v>8448000000</v>
      </c>
      <c r="AQ1436" s="8">
        <f t="shared" si="707"/>
        <v>0.55924695459579177</v>
      </c>
      <c r="AR1436" s="6" t="s">
        <v>809</v>
      </c>
      <c r="AS1436" s="6" t="str">
        <f t="shared" si="691"/>
        <v>=54.18*100000000</v>
      </c>
      <c r="AT1436" s="1">
        <f>54.18*100000000</f>
        <v>5418000000</v>
      </c>
      <c r="AU1436" s="8">
        <f t="shared" si="708"/>
        <v>0.48357064622124846</v>
      </c>
      <c r="AV1436" s="6" t="s">
        <v>9295</v>
      </c>
      <c r="AW1436" s="6" t="str">
        <f t="shared" si="692"/>
        <v>=36.52*100000000</v>
      </c>
      <c r="AX1436" s="1">
        <f>36.52*100000000</f>
        <v>3652000000.0000005</v>
      </c>
      <c r="AY1436" s="10">
        <f t="shared" si="709"/>
        <v>-0.4337106528143897</v>
      </c>
      <c r="AZ1436" s="6" t="s">
        <v>14057</v>
      </c>
      <c r="BA1436" s="6" t="str">
        <f t="shared" si="693"/>
        <v>=64.49*100000000</v>
      </c>
      <c r="BB1436" s="1">
        <f>64.49*100000000</f>
        <v>6448999999.999999</v>
      </c>
      <c r="BC1436" s="8">
        <f t="shared" si="710"/>
        <v>0.11113025499655393</v>
      </c>
      <c r="BD1436" s="6" t="s">
        <v>14058</v>
      </c>
      <c r="BE1436" s="6" t="str">
        <f t="shared" si="694"/>
        <v>=58.04*100000000</v>
      </c>
      <c r="BF1436" s="1">
        <f>58.04*100000000</f>
        <v>5804000000</v>
      </c>
      <c r="BG1436" s="8">
        <f t="shared" si="711"/>
        <v>0.44378109452736303</v>
      </c>
      <c r="BH1436" s="6" t="s">
        <v>14050</v>
      </c>
      <c r="BI1436" s="6" t="str">
        <f t="shared" si="695"/>
        <v>=40.20*100000000</v>
      </c>
      <c r="BJ1436" s="1">
        <f>40.2*100000000</f>
        <v>4020000000.0000005</v>
      </c>
      <c r="BK1436" s="6" t="s">
        <v>14059</v>
      </c>
      <c r="BL1436" s="1" t="str">
        <f t="shared" si="697"/>
        <v>=24.04*100000000</v>
      </c>
      <c r="BM1436" s="16">
        <f t="shared" si="712"/>
        <v>0.67221297836938454</v>
      </c>
      <c r="BN1436" s="1">
        <f>24.04*100000000</f>
        <v>2404000000</v>
      </c>
    </row>
    <row r="1437" spans="1:66">
      <c r="A1437" s="19"/>
      <c r="B1437">
        <v>601688</v>
      </c>
      <c r="C1437" t="s">
        <v>68</v>
      </c>
      <c r="D1437" s="6" t="s">
        <v>14060</v>
      </c>
      <c r="E1437" s="7" t="str">
        <f t="shared" si="696"/>
        <v>=136.0*100000000</v>
      </c>
      <c r="F1437" s="1">
        <f>136*100000000</f>
        <v>13600000000</v>
      </c>
      <c r="G1437" s="8">
        <f t="shared" si="698"/>
        <v>0.2088888888888889</v>
      </c>
      <c r="H1437" s="6" t="s">
        <v>10722</v>
      </c>
      <c r="I1437" s="6" t="str">
        <f t="shared" si="682"/>
        <v>=112.5*100000000</v>
      </c>
      <c r="J1437" s="1">
        <f>112.5*100000000</f>
        <v>11250000000</v>
      </c>
      <c r="K1437" s="10">
        <f t="shared" si="699"/>
        <v>0.42639786991251427</v>
      </c>
      <c r="L1437" s="6" t="s">
        <v>14061</v>
      </c>
      <c r="M1437" s="6" t="str">
        <f t="shared" si="683"/>
        <v>=78.87*100000000</v>
      </c>
      <c r="N1437" s="1">
        <f>78.87*100000000</f>
        <v>7887000000</v>
      </c>
      <c r="O1437" s="8">
        <f t="shared" si="700"/>
        <v>1.3459250446163</v>
      </c>
      <c r="P1437" s="6" t="s">
        <v>9577</v>
      </c>
      <c r="Q1437" s="6" t="str">
        <f t="shared" si="684"/>
        <v>=33.62*100000000</v>
      </c>
      <c r="R1437" s="11">
        <f>33.62*100000000</f>
        <v>3361999999.9999995</v>
      </c>
      <c r="S1437" s="8">
        <f t="shared" si="701"/>
        <v>-0.69070837166513344</v>
      </c>
      <c r="T1437" s="6" t="s">
        <v>4111</v>
      </c>
      <c r="U1437" s="6" t="str">
        <f t="shared" si="685"/>
        <v>=108.7*100000000</v>
      </c>
      <c r="V1437" s="1">
        <f>108.7*100000000</f>
        <v>10870000000</v>
      </c>
      <c r="W1437" s="8">
        <f t="shared" si="702"/>
        <v>0.21561171997316037</v>
      </c>
      <c r="X1437" s="6" t="s">
        <v>14062</v>
      </c>
      <c r="Y1437" s="6" t="str">
        <f t="shared" si="686"/>
        <v>=89.42*100000000</v>
      </c>
      <c r="Z1437" s="1">
        <f>89.42*100000000</f>
        <v>8942000000</v>
      </c>
      <c r="AA1437" s="8">
        <f t="shared" si="703"/>
        <v>0.38786279683377289</v>
      </c>
      <c r="AB1437" s="6" t="s">
        <v>2509</v>
      </c>
      <c r="AC1437" s="6" t="str">
        <f t="shared" si="687"/>
        <v>=64.43*100000000</v>
      </c>
      <c r="AD1437" s="1">
        <f>64.43*100000000</f>
        <v>6443000000.000001</v>
      </c>
      <c r="AE1437" s="8">
        <f t="shared" si="704"/>
        <v>1.2140893470790382</v>
      </c>
      <c r="AF1437" s="6" t="s">
        <v>9745</v>
      </c>
      <c r="AG1437" s="6" t="str">
        <f t="shared" si="688"/>
        <v>=29.10*100000000</v>
      </c>
      <c r="AH1437" s="1">
        <f>29.1*100000000</f>
        <v>2910000000</v>
      </c>
      <c r="AI1437" s="8">
        <f t="shared" si="705"/>
        <v>-0.67870155680688971</v>
      </c>
      <c r="AJ1437" s="6" t="s">
        <v>14063</v>
      </c>
      <c r="AK1437" s="6" t="str">
        <f t="shared" si="689"/>
        <v>=90.57*100000000</v>
      </c>
      <c r="AL1437" s="1">
        <f>90.57*100000000</f>
        <v>9057000000</v>
      </c>
      <c r="AM1437" s="8">
        <f t="shared" si="706"/>
        <v>0.39596177558569667</v>
      </c>
      <c r="AN1437" s="6" t="s">
        <v>14064</v>
      </c>
      <c r="AO1437" s="6" t="str">
        <f t="shared" si="690"/>
        <v>=64.88*100000000</v>
      </c>
      <c r="AP1437" s="1">
        <f>64.88*100000000</f>
        <v>6488000000</v>
      </c>
      <c r="AQ1437" s="8">
        <f t="shared" si="707"/>
        <v>0.58243902439024386</v>
      </c>
      <c r="AR1437" s="6" t="s">
        <v>14065</v>
      </c>
      <c r="AS1437" s="6" t="str">
        <f t="shared" si="691"/>
        <v>=41.00*100000000</v>
      </c>
      <c r="AT1437" s="1">
        <f>41*100000000</f>
        <v>4100000000</v>
      </c>
      <c r="AU1437" s="8">
        <f t="shared" si="708"/>
        <v>0.46167557932263814</v>
      </c>
      <c r="AV1437" s="6" t="s">
        <v>14066</v>
      </c>
      <c r="AW1437" s="6" t="str">
        <f t="shared" si="692"/>
        <v>=28.05*100000000</v>
      </c>
      <c r="AX1437" s="1">
        <f>28.05*100000000</f>
        <v>2805000000</v>
      </c>
      <c r="AY1437" s="10">
        <f t="shared" si="709"/>
        <v>-0.45650067816314666</v>
      </c>
      <c r="AZ1437" s="6" t="s">
        <v>14067</v>
      </c>
      <c r="BA1437" s="6" t="str">
        <f t="shared" si="693"/>
        <v>=51.61*100000000</v>
      </c>
      <c r="BB1437" s="1">
        <f>51.61*100000000</f>
        <v>5161000000</v>
      </c>
      <c r="BC1437" s="8">
        <f t="shared" si="710"/>
        <v>0.12366644894404528</v>
      </c>
      <c r="BD1437" s="6" t="s">
        <v>14068</v>
      </c>
      <c r="BE1437" s="6" t="str">
        <f t="shared" si="694"/>
        <v>=45.93*100000000</v>
      </c>
      <c r="BF1437" s="1">
        <f>45.93*100000000</f>
        <v>4593000000</v>
      </c>
      <c r="BG1437" s="8">
        <f t="shared" si="711"/>
        <v>0.4326263256394261</v>
      </c>
      <c r="BH1437" s="6" t="s">
        <v>612</v>
      </c>
      <c r="BI1437" s="6" t="str">
        <f t="shared" si="695"/>
        <v>=32.06*100000000</v>
      </c>
      <c r="BJ1437" s="1">
        <f>32.06*100000000</f>
        <v>3206000000</v>
      </c>
      <c r="BK1437" s="6" t="s">
        <v>1895</v>
      </c>
      <c r="BL1437" s="1" t="str">
        <f t="shared" si="697"/>
        <v>=19.21*100000000</v>
      </c>
      <c r="BM1437" s="16">
        <f t="shared" si="712"/>
        <v>0.66892243623112957</v>
      </c>
      <c r="BN1437" s="1">
        <f>19.21*100000000</f>
        <v>1921000000</v>
      </c>
    </row>
    <row r="1438" spans="1:66">
      <c r="A1438" s="17">
        <v>361</v>
      </c>
      <c r="B1438">
        <v>601717</v>
      </c>
      <c r="C1438" t="s">
        <v>31</v>
      </c>
      <c r="D1438" s="6" t="s">
        <v>976</v>
      </c>
      <c r="E1438" s="7" t="str">
        <f t="shared" si="696"/>
        <v>=292.7*100000000</v>
      </c>
      <c r="F1438" s="1">
        <f>292.7*100000000</f>
        <v>29270000000</v>
      </c>
      <c r="G1438" s="8">
        <f t="shared" si="698"/>
        <v>0.33166515013648773</v>
      </c>
      <c r="H1438" s="6" t="s">
        <v>14069</v>
      </c>
      <c r="I1438" s="6" t="str">
        <f t="shared" si="682"/>
        <v>=219.8*100000000</v>
      </c>
      <c r="J1438" s="1">
        <f>219.8*100000000</f>
        <v>21980000000</v>
      </c>
      <c r="K1438" s="10">
        <f t="shared" si="699"/>
        <v>0.45852687458526892</v>
      </c>
      <c r="L1438" s="6" t="s">
        <v>14070</v>
      </c>
      <c r="M1438" s="6" t="str">
        <f t="shared" si="683"/>
        <v>=150.7*100000000</v>
      </c>
      <c r="N1438" s="1">
        <f>150.7*100000000</f>
        <v>15069999999.999998</v>
      </c>
      <c r="O1438" s="8">
        <f t="shared" si="700"/>
        <v>0.9630063827015759</v>
      </c>
      <c r="P1438" s="6" t="s">
        <v>1012</v>
      </c>
      <c r="Q1438" s="6" t="str">
        <f t="shared" si="684"/>
        <v>=76.77*100000000</v>
      </c>
      <c r="R1438" s="11">
        <f>76.77*100000000</f>
        <v>7677000000</v>
      </c>
      <c r="S1438" s="8">
        <f t="shared" si="701"/>
        <v>-0.71041116559788764</v>
      </c>
      <c r="T1438" s="6" t="s">
        <v>14071</v>
      </c>
      <c r="U1438" s="6" t="str">
        <f t="shared" si="685"/>
        <v>=265.1*100000000</v>
      </c>
      <c r="V1438" s="1">
        <f>265.1*100000000</f>
        <v>26510000000.000004</v>
      </c>
      <c r="W1438" s="8">
        <f t="shared" si="702"/>
        <v>0.37714285714285734</v>
      </c>
      <c r="X1438" s="6" t="s">
        <v>14072</v>
      </c>
      <c r="Y1438" s="6" t="str">
        <f t="shared" si="686"/>
        <v>=192.5*100000000</v>
      </c>
      <c r="Z1438" s="1">
        <f>192.5*100000000</f>
        <v>19250000000</v>
      </c>
      <c r="AA1438" s="8">
        <f t="shared" si="703"/>
        <v>0.56376929325751424</v>
      </c>
      <c r="AB1438" s="6" t="s">
        <v>4618</v>
      </c>
      <c r="AC1438" s="6" t="str">
        <f t="shared" si="687"/>
        <v>=123.1*100000000</v>
      </c>
      <c r="AD1438" s="1">
        <f>123.1*100000000</f>
        <v>12310000000</v>
      </c>
      <c r="AE1438" s="8">
        <f t="shared" si="704"/>
        <v>1.0720417438141727</v>
      </c>
      <c r="AF1438" s="6" t="s">
        <v>14073</v>
      </c>
      <c r="AG1438" s="6" t="str">
        <f t="shared" si="688"/>
        <v>=59.41*100000000</v>
      </c>
      <c r="AH1438" s="1">
        <f>59.41*100000000</f>
        <v>5941000000</v>
      </c>
      <c r="AI1438" s="8">
        <f t="shared" si="705"/>
        <v>-0.76901244167962679</v>
      </c>
      <c r="AJ1438" s="6" t="s">
        <v>14074</v>
      </c>
      <c r="AK1438" s="6" t="str">
        <f t="shared" si="689"/>
        <v>=257.2*100000000</v>
      </c>
      <c r="AL1438" s="1">
        <f>257.2*100000000</f>
        <v>25720000000</v>
      </c>
      <c r="AM1438" s="8">
        <f t="shared" si="706"/>
        <v>0.36012691697514543</v>
      </c>
      <c r="AN1438" s="6" t="s">
        <v>10196</v>
      </c>
      <c r="AO1438" s="6" t="str">
        <f t="shared" si="690"/>
        <v>=189.1*100000000</v>
      </c>
      <c r="AP1438" s="1">
        <f>189.1*100000000</f>
        <v>18910000000</v>
      </c>
      <c r="AQ1438" s="8">
        <f t="shared" si="707"/>
        <v>0.48663522012578614</v>
      </c>
      <c r="AR1438" s="6" t="s">
        <v>5368</v>
      </c>
      <c r="AS1438" s="6" t="str">
        <f t="shared" si="691"/>
        <v>=127.2*100000000</v>
      </c>
      <c r="AT1438" s="1">
        <f>127.2*100000000</f>
        <v>12720000000</v>
      </c>
      <c r="AU1438" s="8">
        <f t="shared" si="708"/>
        <v>1.0018885741265344</v>
      </c>
      <c r="AV1438" s="6" t="s">
        <v>14075</v>
      </c>
      <c r="AW1438" s="6" t="str">
        <f t="shared" si="692"/>
        <v>=63.54*100000000</v>
      </c>
      <c r="AX1438" s="1">
        <f>63.54*100000000</f>
        <v>6354000000</v>
      </c>
      <c r="AY1438" s="10">
        <f t="shared" si="709"/>
        <v>-0.75570934256055367</v>
      </c>
      <c r="AZ1438" s="6" t="s">
        <v>14076</v>
      </c>
      <c r="BA1438" s="6" t="str">
        <f t="shared" si="693"/>
        <v>=260.1*100000000</v>
      </c>
      <c r="BB1438" s="1">
        <f>260.1*100000000</f>
        <v>26010000000.000004</v>
      </c>
      <c r="BC1438" s="8">
        <f t="shared" si="710"/>
        <v>0.35893416927899707</v>
      </c>
      <c r="BD1438" s="6" t="s">
        <v>14077</v>
      </c>
      <c r="BE1438" s="6" t="str">
        <f t="shared" si="694"/>
        <v>=191.4*100000000</v>
      </c>
      <c r="BF1438" s="1">
        <f>191.4*100000000</f>
        <v>19140000000</v>
      </c>
      <c r="BG1438" s="8">
        <f t="shared" si="711"/>
        <v>0.50471698113207553</v>
      </c>
      <c r="BH1438" s="6" t="s">
        <v>5368</v>
      </c>
      <c r="BI1438" s="6" t="str">
        <f t="shared" si="695"/>
        <v>=127.2*100000000</v>
      </c>
      <c r="BJ1438" s="1">
        <f>127.2*100000000</f>
        <v>12720000000</v>
      </c>
      <c r="BK1438" s="6" t="s">
        <v>6807</v>
      </c>
      <c r="BL1438" s="1" t="str">
        <f t="shared" si="697"/>
        <v>=25.05*100000000</v>
      </c>
      <c r="BM1438" s="16">
        <f t="shared" si="712"/>
        <v>4.0778443113772456</v>
      </c>
      <c r="BN1438" s="1">
        <f>25.05*100000000</f>
        <v>2505000000</v>
      </c>
    </row>
    <row r="1439" spans="1:66">
      <c r="A1439" s="18"/>
      <c r="B1439">
        <v>601717</v>
      </c>
      <c r="C1439" t="s">
        <v>48</v>
      </c>
      <c r="D1439" s="6" t="s">
        <v>6205</v>
      </c>
      <c r="E1439" s="7" t="str">
        <f t="shared" si="696"/>
        <v>=26.20*100000000</v>
      </c>
      <c r="F1439" s="1">
        <f>26.2*100000000</f>
        <v>2620000000</v>
      </c>
      <c r="G1439" s="8">
        <f t="shared" si="698"/>
        <v>0.20404411764705882</v>
      </c>
      <c r="H1439" s="6" t="s">
        <v>1879</v>
      </c>
      <c r="I1439" s="6" t="str">
        <f t="shared" si="682"/>
        <v>=21.76*100000000</v>
      </c>
      <c r="J1439" s="1">
        <f>21.76*100000000</f>
        <v>2176000000</v>
      </c>
      <c r="K1439" s="10">
        <f t="shared" si="699"/>
        <v>0.29446757882212987</v>
      </c>
      <c r="L1439" s="6" t="s">
        <v>14078</v>
      </c>
      <c r="M1439" s="6" t="str">
        <f t="shared" si="683"/>
        <v>=16.81*100000000</v>
      </c>
      <c r="N1439" s="1">
        <f>16.81*100000000</f>
        <v>1680999999.9999998</v>
      </c>
      <c r="O1439" s="8">
        <f t="shared" si="700"/>
        <v>1.0221340069770233</v>
      </c>
      <c r="P1439" s="6" t="s">
        <v>14079</v>
      </c>
      <c r="Q1439" s="6" t="str">
        <f t="shared" si="684"/>
        <v>=8.313*100000000</v>
      </c>
      <c r="R1439" s="11">
        <f>8.313*100000000</f>
        <v>831300000.00000012</v>
      </c>
      <c r="S1439" s="8">
        <f t="shared" si="701"/>
        <v>-0.57412909836065573</v>
      </c>
      <c r="T1439" s="6" t="s">
        <v>1013</v>
      </c>
      <c r="U1439" s="6" t="str">
        <f t="shared" si="685"/>
        <v>=19.52*100000000</v>
      </c>
      <c r="V1439" s="1">
        <f>19.52*100000000</f>
        <v>1952000000</v>
      </c>
      <c r="W1439" s="8">
        <f t="shared" si="702"/>
        <v>9.5398428731762061E-2</v>
      </c>
      <c r="X1439" s="6" t="s">
        <v>12288</v>
      </c>
      <c r="Y1439" s="6" t="str">
        <f t="shared" si="686"/>
        <v>=17.82*100000000</v>
      </c>
      <c r="Z1439" s="1">
        <f>17.82*100000000</f>
        <v>1782000000</v>
      </c>
      <c r="AA1439" s="8">
        <f t="shared" si="703"/>
        <v>0.16852459016393442</v>
      </c>
      <c r="AB1439" s="6" t="s">
        <v>293</v>
      </c>
      <c r="AC1439" s="6" t="str">
        <f t="shared" si="687"/>
        <v>=15.25*100000000</v>
      </c>
      <c r="AD1439" s="1">
        <f>15.25*100000000</f>
        <v>1525000000</v>
      </c>
      <c r="AE1439" s="8">
        <f t="shared" si="704"/>
        <v>1.7000708215297451</v>
      </c>
      <c r="AF1439" s="6" t="s">
        <v>14080</v>
      </c>
      <c r="AG1439" s="6" t="str">
        <f t="shared" si="688"/>
        <v>=5.648*100000000</v>
      </c>
      <c r="AH1439" s="1">
        <f>5.648*100000000</f>
        <v>564800000</v>
      </c>
      <c r="AI1439" s="8">
        <f t="shared" si="705"/>
        <v>-0.63060824068018317</v>
      </c>
      <c r="AJ1439" s="6" t="s">
        <v>2847</v>
      </c>
      <c r="AK1439" s="6" t="str">
        <f t="shared" si="689"/>
        <v>=15.29*100000000</v>
      </c>
      <c r="AL1439" s="1">
        <f>15.29*100000000</f>
        <v>1529000000</v>
      </c>
      <c r="AM1439" s="8">
        <f t="shared" si="706"/>
        <v>9.763101220387653E-2</v>
      </c>
      <c r="AN1439" s="6" t="s">
        <v>1345</v>
      </c>
      <c r="AO1439" s="6" t="str">
        <f t="shared" si="690"/>
        <v>=13.93*100000000</v>
      </c>
      <c r="AP1439" s="1">
        <f>13.93*100000000</f>
        <v>1393000000</v>
      </c>
      <c r="AQ1439" s="8">
        <f t="shared" si="707"/>
        <v>0.41020449483701155</v>
      </c>
      <c r="AR1439" s="6" t="s">
        <v>11792</v>
      </c>
      <c r="AS1439" s="6" t="str">
        <f t="shared" si="691"/>
        <v>=9.878*100000000</v>
      </c>
      <c r="AT1439" s="1">
        <f>9.878*100000000</f>
        <v>987800000</v>
      </c>
      <c r="AU1439" s="8">
        <f t="shared" si="708"/>
        <v>0.97047676042290043</v>
      </c>
      <c r="AV1439" s="6" t="s">
        <v>11651</v>
      </c>
      <c r="AW1439" s="6" t="str">
        <f t="shared" si="692"/>
        <v>=5.013*100000000</v>
      </c>
      <c r="AX1439" s="1">
        <f>5.013*100000000</f>
        <v>501300000</v>
      </c>
      <c r="AY1439" s="10">
        <f t="shared" si="709"/>
        <v>-0.59441747572815529</v>
      </c>
      <c r="AZ1439" s="6" t="s">
        <v>1800</v>
      </c>
      <c r="BA1439" s="6" t="str">
        <f t="shared" si="693"/>
        <v>=12.36*100000000</v>
      </c>
      <c r="BB1439" s="1">
        <f>12.36*100000000</f>
        <v>1236000000</v>
      </c>
      <c r="BC1439" s="8">
        <f t="shared" si="710"/>
        <v>0.18846153846153846</v>
      </c>
      <c r="BD1439" s="6" t="s">
        <v>706</v>
      </c>
      <c r="BE1439" s="6" t="str">
        <f t="shared" si="694"/>
        <v>=10.40*100000000</v>
      </c>
      <c r="BF1439" s="1">
        <f>10.4*100000000</f>
        <v>1040000000</v>
      </c>
      <c r="BG1439" s="8">
        <f t="shared" si="711"/>
        <v>0.47559591373439275</v>
      </c>
      <c r="BH1439" s="6" t="s">
        <v>14081</v>
      </c>
      <c r="BI1439" s="6" t="str">
        <f t="shared" si="695"/>
        <v>=7.048*100000000</v>
      </c>
      <c r="BJ1439" s="1">
        <f>7.048*100000000</f>
        <v>704800000</v>
      </c>
      <c r="BK1439" s="6" t="s">
        <v>14082</v>
      </c>
      <c r="BL1439" s="1" t="str">
        <f t="shared" si="697"/>
        <v>=2.232*100000000</v>
      </c>
      <c r="BM1439" s="16">
        <f t="shared" si="712"/>
        <v>2.1577060931899639</v>
      </c>
      <c r="BN1439" s="1">
        <f>2.232*100000000</f>
        <v>223200000.00000003</v>
      </c>
    </row>
    <row r="1440" spans="1:66">
      <c r="A1440" s="18"/>
      <c r="B1440">
        <v>601717</v>
      </c>
      <c r="C1440" t="s">
        <v>58</v>
      </c>
      <c r="D1440" s="6" t="s">
        <v>668</v>
      </c>
      <c r="E1440" s="7" t="str">
        <f t="shared" si="696"/>
        <v>=26.23*100000000</v>
      </c>
      <c r="F1440" s="1">
        <f>26.23*100000000</f>
        <v>2623000000</v>
      </c>
      <c r="G1440" s="8">
        <f t="shared" si="698"/>
        <v>0.20987084870848707</v>
      </c>
      <c r="H1440" s="6" t="s">
        <v>247</v>
      </c>
      <c r="I1440" s="6" t="str">
        <f t="shared" si="682"/>
        <v>=21.68*100000000</v>
      </c>
      <c r="J1440" s="1">
        <f>21.68*100000000</f>
        <v>2168000000</v>
      </c>
      <c r="K1440" s="10">
        <f t="shared" si="699"/>
        <v>0.2974266906044285</v>
      </c>
      <c r="L1440" s="6" t="s">
        <v>3866</v>
      </c>
      <c r="M1440" s="6" t="str">
        <f t="shared" si="683"/>
        <v>=16.71*100000000</v>
      </c>
      <c r="N1440" s="1">
        <f>16.71*100000000</f>
        <v>1671000000</v>
      </c>
      <c r="O1440" s="8">
        <f t="shared" si="700"/>
        <v>1.0035971223021583</v>
      </c>
      <c r="P1440" s="6" t="s">
        <v>1040</v>
      </c>
      <c r="Q1440" s="6" t="str">
        <f t="shared" si="684"/>
        <v>=8.340*100000000</v>
      </c>
      <c r="R1440" s="11">
        <f>8.34*100000000</f>
        <v>834000000</v>
      </c>
      <c r="S1440" s="8">
        <f t="shared" si="701"/>
        <v>-0.57010309278350513</v>
      </c>
      <c r="T1440" s="6" t="s">
        <v>14083</v>
      </c>
      <c r="U1440" s="6" t="str">
        <f t="shared" si="685"/>
        <v>=19.40*100000000</v>
      </c>
      <c r="V1440" s="1">
        <f>19.4*100000000</f>
        <v>1939999999.9999998</v>
      </c>
      <c r="W1440" s="8">
        <f t="shared" si="702"/>
        <v>8.9887640449438075E-2</v>
      </c>
      <c r="X1440" s="6" t="s">
        <v>10707</v>
      </c>
      <c r="Y1440" s="6" t="str">
        <f t="shared" si="686"/>
        <v>=17.80*100000000</v>
      </c>
      <c r="Z1440" s="1">
        <f>17.8*100000000</f>
        <v>1780000000</v>
      </c>
      <c r="AA1440" s="8">
        <f t="shared" si="703"/>
        <v>0.1718235681369322</v>
      </c>
      <c r="AB1440" s="6" t="s">
        <v>8802</v>
      </c>
      <c r="AC1440" s="6" t="str">
        <f t="shared" si="687"/>
        <v>=15.19*100000000</v>
      </c>
      <c r="AD1440" s="1">
        <f>15.19*100000000</f>
        <v>1519000000</v>
      </c>
      <c r="AE1440" s="8">
        <f t="shared" si="704"/>
        <v>1.6799576570218773</v>
      </c>
      <c r="AF1440" s="6" t="s">
        <v>14084</v>
      </c>
      <c r="AG1440" s="6" t="str">
        <f t="shared" si="688"/>
        <v>=5.668*100000000</v>
      </c>
      <c r="AH1440" s="1">
        <f>5.668*100000000</f>
        <v>566800000</v>
      </c>
      <c r="AI1440" s="8">
        <f t="shared" si="705"/>
        <v>-0.62954248366013077</v>
      </c>
      <c r="AJ1440" s="6" t="s">
        <v>8599</v>
      </c>
      <c r="AK1440" s="6" t="str">
        <f t="shared" si="689"/>
        <v>=15.30*100000000</v>
      </c>
      <c r="AL1440" s="1">
        <f>15.3*100000000</f>
        <v>1530000000</v>
      </c>
      <c r="AM1440" s="8">
        <f t="shared" si="706"/>
        <v>8.6647727272727279E-2</v>
      </c>
      <c r="AN1440" s="6" t="s">
        <v>14085</v>
      </c>
      <c r="AO1440" s="6" t="str">
        <f t="shared" si="690"/>
        <v>=14.08*100000000</v>
      </c>
      <c r="AP1440" s="1">
        <f>14.08*100000000</f>
        <v>1408000000</v>
      </c>
      <c r="AQ1440" s="8">
        <f t="shared" si="707"/>
        <v>0.41450673096242702</v>
      </c>
      <c r="AR1440" s="6" t="s">
        <v>14086</v>
      </c>
      <c r="AS1440" s="6" t="str">
        <f t="shared" si="691"/>
        <v>=9.954*100000000</v>
      </c>
      <c r="AT1440" s="1">
        <f>9.954*100000000</f>
        <v>995400000.00000012</v>
      </c>
      <c r="AU1440" s="8">
        <f t="shared" si="708"/>
        <v>0.94642158779820129</v>
      </c>
      <c r="AV1440" s="6" t="s">
        <v>5169</v>
      </c>
      <c r="AW1440" s="6" t="str">
        <f t="shared" si="692"/>
        <v>=5.114*100000000</v>
      </c>
      <c r="AX1440" s="1">
        <f>5.114*100000000</f>
        <v>511400000</v>
      </c>
      <c r="AY1440" s="10">
        <f t="shared" si="709"/>
        <v>-0.60325833979829324</v>
      </c>
      <c r="AZ1440" s="6" t="s">
        <v>7765</v>
      </c>
      <c r="BA1440" s="6" t="str">
        <f t="shared" si="693"/>
        <v>=12.89*100000000</v>
      </c>
      <c r="BB1440" s="1">
        <f>12.89*100000000</f>
        <v>1289000000</v>
      </c>
      <c r="BC1440" s="8">
        <f t="shared" si="710"/>
        <v>0.20805998125585753</v>
      </c>
      <c r="BD1440" s="6" t="s">
        <v>3747</v>
      </c>
      <c r="BE1440" s="6" t="str">
        <f t="shared" si="694"/>
        <v>=10.67*100000000</v>
      </c>
      <c r="BF1440" s="1">
        <f>10.67*100000000</f>
        <v>1067000000</v>
      </c>
      <c r="BG1440" s="8">
        <f t="shared" si="711"/>
        <v>0.51519454700369216</v>
      </c>
      <c r="BH1440" s="6" t="s">
        <v>7809</v>
      </c>
      <c r="BI1440" s="6" t="str">
        <f t="shared" si="695"/>
        <v>=7.042*100000000</v>
      </c>
      <c r="BJ1440" s="1">
        <f>7.042*100000000</f>
        <v>704200000</v>
      </c>
      <c r="BK1440" s="6" t="s">
        <v>5826</v>
      </c>
      <c r="BL1440" s="1" t="str">
        <f t="shared" si="697"/>
        <v>=2.229*100000000</v>
      </c>
      <c r="BM1440" s="16">
        <f t="shared" si="712"/>
        <v>2.1592642440556302</v>
      </c>
      <c r="BN1440" s="1">
        <f>2.229*100000000</f>
        <v>222900000</v>
      </c>
    </row>
    <row r="1441" spans="1:66">
      <c r="A1441" s="19"/>
      <c r="B1441">
        <v>601717</v>
      </c>
      <c r="C1441" t="s">
        <v>68</v>
      </c>
      <c r="D1441" s="6" t="s">
        <v>8583</v>
      </c>
      <c r="E1441" s="7" t="str">
        <f t="shared" si="696"/>
        <v>=20.70*100000000</v>
      </c>
      <c r="F1441" s="1">
        <f>20.7*100000000</f>
        <v>2070000000</v>
      </c>
      <c r="G1441" s="8">
        <f t="shared" si="698"/>
        <v>0.22340425531914876</v>
      </c>
      <c r="H1441" s="6" t="s">
        <v>5083</v>
      </c>
      <c r="I1441" s="6" t="str">
        <f t="shared" si="682"/>
        <v>=16.92*100000000</v>
      </c>
      <c r="J1441" s="1">
        <f>16.92*100000000</f>
        <v>1692000000.0000002</v>
      </c>
      <c r="K1441" s="10">
        <f t="shared" si="699"/>
        <v>0.31570762052877155</v>
      </c>
      <c r="L1441" s="6" t="s">
        <v>1682</v>
      </c>
      <c r="M1441" s="6" t="str">
        <f t="shared" si="683"/>
        <v>=12.86*100000000</v>
      </c>
      <c r="N1441" s="1">
        <f>12.86*100000000</f>
        <v>1286000000</v>
      </c>
      <c r="O1441" s="8">
        <f t="shared" si="700"/>
        <v>1.1270261329804829</v>
      </c>
      <c r="P1441" s="6" t="s">
        <v>4954</v>
      </c>
      <c r="Q1441" s="6" t="str">
        <f t="shared" si="684"/>
        <v>=6.046*100000000</v>
      </c>
      <c r="R1441" s="11">
        <f>6.046*100000000</f>
        <v>604600000</v>
      </c>
      <c r="S1441" s="8">
        <f t="shared" si="701"/>
        <v>-0.56156635242929664</v>
      </c>
      <c r="T1441" s="6" t="s">
        <v>1864</v>
      </c>
      <c r="U1441" s="6" t="str">
        <f t="shared" si="685"/>
        <v>=13.79*100000000</v>
      </c>
      <c r="V1441" s="1">
        <f>13.79*100000000</f>
        <v>1379000000</v>
      </c>
      <c r="W1441" s="8">
        <f t="shared" si="702"/>
        <v>4.7076689445709946E-2</v>
      </c>
      <c r="X1441" s="6" t="s">
        <v>1823</v>
      </c>
      <c r="Y1441" s="6" t="str">
        <f t="shared" si="686"/>
        <v>=13.17*100000000</v>
      </c>
      <c r="Z1441" s="1">
        <f>13.17*100000000</f>
        <v>1317000000</v>
      </c>
      <c r="AA1441" s="8">
        <f t="shared" si="703"/>
        <v>9.2039800995024873E-2</v>
      </c>
      <c r="AB1441" s="6" t="s">
        <v>4984</v>
      </c>
      <c r="AC1441" s="6" t="str">
        <f t="shared" si="687"/>
        <v>=12.06*100000000</v>
      </c>
      <c r="AD1441" s="1">
        <f>12.06*100000000</f>
        <v>1206000000</v>
      </c>
      <c r="AE1441" s="8">
        <f t="shared" si="704"/>
        <v>1.8551136363636365</v>
      </c>
      <c r="AF1441" s="6" t="s">
        <v>12215</v>
      </c>
      <c r="AG1441" s="6" t="str">
        <f t="shared" si="688"/>
        <v>=4.224*100000000</v>
      </c>
      <c r="AH1441" s="1">
        <f>4.224*100000000</f>
        <v>422400000</v>
      </c>
      <c r="AI1441" s="8">
        <f t="shared" si="705"/>
        <v>-0.6294736842105263</v>
      </c>
      <c r="AJ1441" s="6" t="s">
        <v>6906</v>
      </c>
      <c r="AK1441" s="6" t="str">
        <f t="shared" si="689"/>
        <v>=11.40*100000000</v>
      </c>
      <c r="AL1441" s="1">
        <f>11.4*100000000</f>
        <v>1140000000</v>
      </c>
      <c r="AM1441" s="8">
        <f t="shared" si="706"/>
        <v>6.1782877316857903E-3</v>
      </c>
      <c r="AN1441" s="6" t="s">
        <v>6992</v>
      </c>
      <c r="AO1441" s="6" t="str">
        <f t="shared" si="690"/>
        <v>=11.33*100000000</v>
      </c>
      <c r="AP1441" s="1">
        <f>11.33*100000000</f>
        <v>1133000000</v>
      </c>
      <c r="AQ1441" s="8">
        <f t="shared" si="707"/>
        <v>0.43964421855146124</v>
      </c>
      <c r="AR1441" s="6" t="s">
        <v>14087</v>
      </c>
      <c r="AS1441" s="6" t="str">
        <f t="shared" si="691"/>
        <v>=7.870*100000000</v>
      </c>
      <c r="AT1441" s="1">
        <f>7.87*100000000</f>
        <v>787000000</v>
      </c>
      <c r="AU1441" s="8">
        <f t="shared" si="708"/>
        <v>0.92939445942633003</v>
      </c>
      <c r="AV1441" s="6" t="s">
        <v>14088</v>
      </c>
      <c r="AW1441" s="6" t="str">
        <f t="shared" si="692"/>
        <v>=4.079*100000000</v>
      </c>
      <c r="AX1441" s="1">
        <f>4.079*100000000</f>
        <v>407900000</v>
      </c>
      <c r="AY1441" s="10">
        <f t="shared" si="709"/>
        <v>-0.56555543721376078</v>
      </c>
      <c r="AZ1441" s="6" t="s">
        <v>14089</v>
      </c>
      <c r="BA1441" s="6" t="str">
        <f t="shared" si="693"/>
        <v>=9.389*100000000</v>
      </c>
      <c r="BB1441" s="1">
        <f>9.389*100000000</f>
        <v>938899999.99999988</v>
      </c>
      <c r="BC1441" s="8">
        <f t="shared" si="710"/>
        <v>0.19074191502853505</v>
      </c>
      <c r="BD1441" s="6" t="s">
        <v>14090</v>
      </c>
      <c r="BE1441" s="6" t="str">
        <f t="shared" si="694"/>
        <v>=7.885*100000000</v>
      </c>
      <c r="BF1441" s="1">
        <f>7.885*100000000</f>
        <v>788500000</v>
      </c>
      <c r="BG1441" s="8">
        <f t="shared" si="711"/>
        <v>0.51082582870281645</v>
      </c>
      <c r="BH1441" s="6" t="s">
        <v>14091</v>
      </c>
      <c r="BI1441" s="6" t="str">
        <f t="shared" si="695"/>
        <v>=5.219*100000000</v>
      </c>
      <c r="BJ1441" s="1">
        <f>5.219*100000000</f>
        <v>521900000.00000006</v>
      </c>
      <c r="BK1441" s="6" t="s">
        <v>14092</v>
      </c>
      <c r="BL1441" s="1" t="str">
        <f t="shared" si="697"/>
        <v>=1.788*100000000</v>
      </c>
      <c r="BM1441" s="16">
        <f t="shared" si="712"/>
        <v>1.9189038031319914</v>
      </c>
      <c r="BN1441" s="1">
        <f>1.788*100000000</f>
        <v>178800000</v>
      </c>
    </row>
    <row r="1442" spans="1:66">
      <c r="A1442" s="17">
        <v>362</v>
      </c>
      <c r="B1442">
        <v>601766</v>
      </c>
      <c r="C1442" t="s">
        <v>31</v>
      </c>
      <c r="D1442" s="6" t="s">
        <v>14093</v>
      </c>
      <c r="E1442" s="7" t="str">
        <f t="shared" si="696"/>
        <v>=2257*100000000</v>
      </c>
      <c r="F1442" s="1">
        <f>2257*100000000</f>
        <v>225700000000</v>
      </c>
      <c r="G1442" s="8">
        <f t="shared" si="698"/>
        <v>0.56193771626297573</v>
      </c>
      <c r="H1442" s="6" t="s">
        <v>14094</v>
      </c>
      <c r="I1442" s="6" t="str">
        <f t="shared" si="682"/>
        <v>=1445*100000000</v>
      </c>
      <c r="J1442" s="1">
        <f>1445*100000000</f>
        <v>144500000000</v>
      </c>
      <c r="K1442" s="10">
        <f t="shared" si="699"/>
        <v>0.51372302535093228</v>
      </c>
      <c r="L1442" s="6" t="s">
        <v>14095</v>
      </c>
      <c r="M1442" s="6" t="str">
        <f t="shared" si="683"/>
        <v>=954.6*100000000</v>
      </c>
      <c r="N1442" s="1">
        <f>954.6*100000000</f>
        <v>95460000000</v>
      </c>
      <c r="O1442" s="8">
        <f t="shared" si="700"/>
        <v>1.2974729241877256</v>
      </c>
      <c r="P1442" s="6" t="s">
        <v>14096</v>
      </c>
      <c r="Q1442" s="6" t="str">
        <f t="shared" si="684"/>
        <v>=415.5*100000000</v>
      </c>
      <c r="R1442" s="11">
        <f>415.5*100000000</f>
        <v>41550000000</v>
      </c>
      <c r="S1442" s="8">
        <f t="shared" si="701"/>
        <v>-0.81752305665349145</v>
      </c>
      <c r="T1442" s="6" t="s">
        <v>14097</v>
      </c>
      <c r="U1442" s="6" t="str">
        <f t="shared" si="685"/>
        <v>=2277*100000000</v>
      </c>
      <c r="V1442" s="1">
        <f>2277*100000000</f>
        <v>227700000000</v>
      </c>
      <c r="W1442" s="8">
        <f t="shared" si="702"/>
        <v>0.56172839506172845</v>
      </c>
      <c r="X1442" s="6" t="s">
        <v>13712</v>
      </c>
      <c r="Y1442" s="6" t="str">
        <f t="shared" si="686"/>
        <v>=1458*100000000</v>
      </c>
      <c r="Z1442" s="1">
        <f>1458*100000000</f>
        <v>145800000000</v>
      </c>
      <c r="AA1442" s="8">
        <f t="shared" si="703"/>
        <v>0.63087248322147649</v>
      </c>
      <c r="AB1442" s="6" t="s">
        <v>14098</v>
      </c>
      <c r="AC1442" s="6" t="str">
        <f t="shared" si="687"/>
        <v>=894.0*100000000</v>
      </c>
      <c r="AD1442" s="1">
        <f>894*100000000</f>
        <v>89400000000</v>
      </c>
      <c r="AE1442" s="8">
        <f t="shared" si="704"/>
        <v>1.6766467065868262</v>
      </c>
      <c r="AF1442" s="6" t="s">
        <v>7192</v>
      </c>
      <c r="AG1442" s="6" t="str">
        <f t="shared" si="688"/>
        <v>=334.0*100000000</v>
      </c>
      <c r="AH1442" s="1">
        <f>334*100000000</f>
        <v>33400000000</v>
      </c>
      <c r="AI1442" s="8">
        <f t="shared" si="705"/>
        <v>-0.85414847161572049</v>
      </c>
      <c r="AJ1442" s="6" t="s">
        <v>14099</v>
      </c>
      <c r="AK1442" s="6" t="str">
        <f t="shared" si="689"/>
        <v>=2290*100000000</v>
      </c>
      <c r="AL1442" s="1">
        <f>2290*100000000</f>
        <v>229000000000</v>
      </c>
      <c r="AM1442" s="8">
        <f t="shared" si="706"/>
        <v>0.48220064724919093</v>
      </c>
      <c r="AN1442" s="6" t="s">
        <v>14100</v>
      </c>
      <c r="AO1442" s="6" t="str">
        <f t="shared" si="690"/>
        <v>=1545*100000000</v>
      </c>
      <c r="AP1442" s="1">
        <f>1545*100000000</f>
        <v>154500000000</v>
      </c>
      <c r="AQ1442" s="8">
        <f t="shared" si="707"/>
        <v>0.6068642745709828</v>
      </c>
      <c r="AR1442" s="6" t="s">
        <v>14101</v>
      </c>
      <c r="AS1442" s="6" t="str">
        <f t="shared" si="691"/>
        <v>=961.5*100000000</v>
      </c>
      <c r="AT1442" s="1">
        <f>961.5*100000000</f>
        <v>96150000000</v>
      </c>
      <c r="AU1442" s="8">
        <f t="shared" si="708"/>
        <v>1.4237459037055709</v>
      </c>
      <c r="AV1442" s="6" t="s">
        <v>14102</v>
      </c>
      <c r="AW1442" s="6" t="str">
        <f t="shared" si="692"/>
        <v>=396.7*100000000</v>
      </c>
      <c r="AX1442" s="1">
        <f>396.7*100000000</f>
        <v>39670000000</v>
      </c>
      <c r="AY1442" s="10">
        <f t="shared" si="709"/>
        <v>-0.81894112277498854</v>
      </c>
      <c r="AZ1442" s="6" t="s">
        <v>14103</v>
      </c>
      <c r="BA1442" s="6" t="str">
        <f t="shared" si="693"/>
        <v>=2191*100000000</v>
      </c>
      <c r="BB1442" s="1">
        <f>2191*100000000</f>
        <v>219100000000</v>
      </c>
      <c r="BC1442" s="8">
        <f t="shared" si="710"/>
        <v>0.6181683899556869</v>
      </c>
      <c r="BD1442" s="6" t="s">
        <v>14104</v>
      </c>
      <c r="BE1442" s="6" t="str">
        <f t="shared" si="694"/>
        <v>=1354*100000000</v>
      </c>
      <c r="BF1442" s="1">
        <f>1354*100000000</f>
        <v>135400000000</v>
      </c>
      <c r="BG1442" s="8">
        <f t="shared" si="711"/>
        <v>0.56912736122378027</v>
      </c>
      <c r="BH1442" s="6" t="s">
        <v>14105</v>
      </c>
      <c r="BI1442" s="6" t="str">
        <f t="shared" si="695"/>
        <v>=862.9*100000000</v>
      </c>
      <c r="BJ1442" s="1">
        <f>862.9*100000000</f>
        <v>86290000000</v>
      </c>
      <c r="BK1442" s="6" t="s">
        <v>14106</v>
      </c>
      <c r="BL1442" s="1" t="str">
        <f t="shared" si="697"/>
        <v>=329.2*100000000</v>
      </c>
      <c r="BM1442" s="16">
        <f t="shared" si="712"/>
        <v>1.6212029161603889</v>
      </c>
      <c r="BN1442" s="1">
        <f>329.2*100000000</f>
        <v>32920000000</v>
      </c>
    </row>
    <row r="1443" spans="1:66">
      <c r="A1443" s="18"/>
      <c r="B1443">
        <v>601766</v>
      </c>
      <c r="C1443" t="s">
        <v>48</v>
      </c>
      <c r="D1443" s="6" t="s">
        <v>1626</v>
      </c>
      <c r="E1443" s="7" t="str">
        <f t="shared" si="696"/>
        <v>=128.3*100000000</v>
      </c>
      <c r="F1443" s="1">
        <f>128.3*100000000</f>
        <v>12830000000.000002</v>
      </c>
      <c r="G1443" s="8">
        <f t="shared" si="698"/>
        <v>0.48306554155588971</v>
      </c>
      <c r="H1443" s="6" t="s">
        <v>1168</v>
      </c>
      <c r="I1443" s="6" t="str">
        <f t="shared" si="682"/>
        <v>=86.51*100000000</v>
      </c>
      <c r="J1443" s="1">
        <f>86.51*100000000</f>
        <v>8651000000</v>
      </c>
      <c r="K1443" s="10">
        <f t="shared" si="699"/>
        <v>0.53196387462369399</v>
      </c>
      <c r="L1443" s="6" t="s">
        <v>14107</v>
      </c>
      <c r="M1443" s="6" t="str">
        <f t="shared" si="683"/>
        <v>=56.47*100000000</v>
      </c>
      <c r="N1443" s="1">
        <f>56.47*100000000</f>
        <v>5647000000</v>
      </c>
      <c r="O1443" s="8">
        <f t="shared" si="700"/>
        <v>1.9611955951756685</v>
      </c>
      <c r="P1443" s="6" t="s">
        <v>14108</v>
      </c>
      <c r="Q1443" s="6" t="str">
        <f t="shared" si="684"/>
        <v>=19.07*100000000</v>
      </c>
      <c r="R1443" s="11">
        <f>19.07*100000000</f>
        <v>1907000000</v>
      </c>
      <c r="S1443" s="8">
        <f t="shared" si="701"/>
        <v>-0.87552219321148828</v>
      </c>
      <c r="T1443" s="6" t="s">
        <v>14109</v>
      </c>
      <c r="U1443" s="6" t="str">
        <f t="shared" si="685"/>
        <v>=153.2*100000000</v>
      </c>
      <c r="V1443" s="1">
        <f>153.2*100000000</f>
        <v>15319999999.999998</v>
      </c>
      <c r="W1443" s="8">
        <f t="shared" si="702"/>
        <v>0.56071719641401774</v>
      </c>
      <c r="X1443" s="6" t="s">
        <v>14110</v>
      </c>
      <c r="Y1443" s="6" t="str">
        <f t="shared" si="686"/>
        <v>=98.16*100000000</v>
      </c>
      <c r="Z1443" s="1">
        <f>98.16*100000000</f>
        <v>9816000000</v>
      </c>
      <c r="AA1443" s="8">
        <f t="shared" si="703"/>
        <v>0.82250278499814333</v>
      </c>
      <c r="AB1443" s="6" t="s">
        <v>14111</v>
      </c>
      <c r="AC1443" s="6" t="str">
        <f t="shared" si="687"/>
        <v>=53.86*100000000</v>
      </c>
      <c r="AD1443" s="1">
        <f>53.86*100000000</f>
        <v>5386000000</v>
      </c>
      <c r="AE1443" s="8">
        <f t="shared" si="704"/>
        <v>3.329581993569132</v>
      </c>
      <c r="AF1443" s="6" t="s">
        <v>3919</v>
      </c>
      <c r="AG1443" s="6" t="str">
        <f t="shared" si="688"/>
        <v>=12.44*100000000</v>
      </c>
      <c r="AH1443" s="1">
        <f>12.44*100000000</f>
        <v>1244000000</v>
      </c>
      <c r="AI1443" s="8">
        <f t="shared" si="705"/>
        <v>-0.92136536030341343</v>
      </c>
      <c r="AJ1443" s="6" t="s">
        <v>14112</v>
      </c>
      <c r="AK1443" s="6" t="str">
        <f t="shared" si="689"/>
        <v>=158.2*100000000</v>
      </c>
      <c r="AL1443" s="1">
        <f>158.2*100000000</f>
        <v>15819999999.999998</v>
      </c>
      <c r="AM1443" s="8">
        <f t="shared" si="706"/>
        <v>0.39506172839506154</v>
      </c>
      <c r="AN1443" s="6" t="s">
        <v>9499</v>
      </c>
      <c r="AO1443" s="6" t="str">
        <f t="shared" si="690"/>
        <v>=113.4*100000000</v>
      </c>
      <c r="AP1443" s="1">
        <f>113.4*100000000</f>
        <v>11340000000</v>
      </c>
      <c r="AQ1443" s="8">
        <f t="shared" si="707"/>
        <v>0.70423805229936853</v>
      </c>
      <c r="AR1443" s="6" t="s">
        <v>14113</v>
      </c>
      <c r="AS1443" s="6" t="str">
        <f t="shared" si="691"/>
        <v>=66.54*100000000</v>
      </c>
      <c r="AT1443" s="1">
        <f>66.54*100000000</f>
        <v>6654000000.000001</v>
      </c>
      <c r="AU1443" s="8">
        <f t="shared" si="708"/>
        <v>1.760995850622407</v>
      </c>
      <c r="AV1443" s="6" t="s">
        <v>3045</v>
      </c>
      <c r="AW1443" s="6" t="str">
        <f t="shared" si="692"/>
        <v>=24.10*100000000</v>
      </c>
      <c r="AX1443" s="1">
        <f>24.1*100000000</f>
        <v>2410000000</v>
      </c>
      <c r="AY1443" s="10">
        <f t="shared" si="709"/>
        <v>-0.83638832315003397</v>
      </c>
      <c r="AZ1443" s="6" t="s">
        <v>14114</v>
      </c>
      <c r="BA1443" s="6" t="str">
        <f t="shared" si="693"/>
        <v>=147.3*100000000</v>
      </c>
      <c r="BB1443" s="1">
        <f>147.3*100000000</f>
        <v>14730000000.000002</v>
      </c>
      <c r="BC1443" s="8">
        <f t="shared" si="710"/>
        <v>0.46421471172962248</v>
      </c>
      <c r="BD1443" s="6" t="s">
        <v>9414</v>
      </c>
      <c r="BE1443" s="6" t="str">
        <f t="shared" si="694"/>
        <v>=100.6*100000000</v>
      </c>
      <c r="BF1443" s="1">
        <f>100.6*100000000</f>
        <v>10060000000</v>
      </c>
      <c r="BG1443" s="8">
        <f t="shared" si="711"/>
        <v>0.70739986422267487</v>
      </c>
      <c r="BH1443" s="6" t="s">
        <v>1185</v>
      </c>
      <c r="BI1443" s="6" t="str">
        <f t="shared" si="695"/>
        <v>=58.92*100000000</v>
      </c>
      <c r="BJ1443" s="1">
        <f>58.92*100000000</f>
        <v>5892000000</v>
      </c>
      <c r="BK1443" s="6" t="s">
        <v>6209</v>
      </c>
      <c r="BL1443" s="1" t="str">
        <f t="shared" si="697"/>
        <v>=16.32*100000000</v>
      </c>
      <c r="BM1443" s="16">
        <f t="shared" si="712"/>
        <v>2.6102941176470589</v>
      </c>
      <c r="BN1443" s="1">
        <f>16.32*100000000</f>
        <v>1632000000</v>
      </c>
    </row>
    <row r="1444" spans="1:66">
      <c r="A1444" s="18"/>
      <c r="B1444">
        <v>601766</v>
      </c>
      <c r="C1444" t="s">
        <v>58</v>
      </c>
      <c r="D1444" s="6" t="s">
        <v>11119</v>
      </c>
      <c r="E1444" s="7" t="str">
        <f t="shared" si="696"/>
        <v>=137.5*100000000</v>
      </c>
      <c r="F1444" s="1">
        <f>137.5*100000000</f>
        <v>13750000000</v>
      </c>
      <c r="G1444" s="8">
        <f t="shared" si="698"/>
        <v>0.50999341093784323</v>
      </c>
      <c r="H1444" s="6" t="s">
        <v>14115</v>
      </c>
      <c r="I1444" s="6" t="str">
        <f t="shared" si="682"/>
        <v>=91.06*100000000</v>
      </c>
      <c r="J1444" s="1">
        <f>91.06*100000000</f>
        <v>9106000000</v>
      </c>
      <c r="K1444" s="10">
        <f t="shared" si="699"/>
        <v>0.54156085999661419</v>
      </c>
      <c r="L1444" s="6" t="s">
        <v>14116</v>
      </c>
      <c r="M1444" s="6" t="str">
        <f t="shared" si="683"/>
        <v>=59.07*100000000</v>
      </c>
      <c r="N1444" s="1">
        <f>59.07*100000000</f>
        <v>5907000000</v>
      </c>
      <c r="O1444" s="8">
        <f t="shared" si="700"/>
        <v>1.8674757281553396</v>
      </c>
      <c r="P1444" s="6" t="s">
        <v>5082</v>
      </c>
      <c r="Q1444" s="6" t="str">
        <f t="shared" si="684"/>
        <v>=20.60*100000000</v>
      </c>
      <c r="R1444" s="11">
        <f>20.6*100000000</f>
        <v>2060000000.0000002</v>
      </c>
      <c r="S1444" s="8">
        <f t="shared" si="701"/>
        <v>-0.87116948092557844</v>
      </c>
      <c r="T1444" s="6" t="s">
        <v>4940</v>
      </c>
      <c r="U1444" s="6" t="str">
        <f t="shared" si="685"/>
        <v>=159.9*100000000</v>
      </c>
      <c r="V1444" s="1">
        <f>159.9*100000000</f>
        <v>15990000000</v>
      </c>
      <c r="W1444" s="8">
        <f t="shared" si="702"/>
        <v>0.59104477611940298</v>
      </c>
      <c r="X1444" s="6" t="s">
        <v>4623</v>
      </c>
      <c r="Y1444" s="6" t="str">
        <f t="shared" si="686"/>
        <v>=100.5*100000000</v>
      </c>
      <c r="Z1444" s="1">
        <f>100.5*100000000</f>
        <v>10050000000</v>
      </c>
      <c r="AA1444" s="8">
        <f t="shared" si="703"/>
        <v>0.81015850144092216</v>
      </c>
      <c r="AB1444" s="6" t="s">
        <v>14117</v>
      </c>
      <c r="AC1444" s="6" t="str">
        <f t="shared" si="687"/>
        <v>=55.52*100000000</v>
      </c>
      <c r="AD1444" s="1">
        <f>55.52*100000000</f>
        <v>5552000000</v>
      </c>
      <c r="AE1444" s="8">
        <f t="shared" si="704"/>
        <v>2.9971202303815696</v>
      </c>
      <c r="AF1444" s="6" t="s">
        <v>7284</v>
      </c>
      <c r="AG1444" s="6" t="str">
        <f t="shared" si="688"/>
        <v>=13.89*100000000</v>
      </c>
      <c r="AH1444" s="1">
        <f>13.89*100000000</f>
        <v>1389000000</v>
      </c>
      <c r="AI1444" s="8">
        <f t="shared" si="705"/>
        <v>-0.91637567730282965</v>
      </c>
      <c r="AJ1444" s="6" t="s">
        <v>14118</v>
      </c>
      <c r="AK1444" s="6" t="str">
        <f t="shared" si="689"/>
        <v>=166.1*100000000</v>
      </c>
      <c r="AL1444" s="1">
        <f>166.1*100000000</f>
        <v>16610000000</v>
      </c>
      <c r="AM1444" s="8">
        <f t="shared" si="706"/>
        <v>0.4306632213608958</v>
      </c>
      <c r="AN1444" s="6" t="s">
        <v>6434</v>
      </c>
      <c r="AO1444" s="6" t="str">
        <f t="shared" si="690"/>
        <v>=116.1*100000000</v>
      </c>
      <c r="AP1444" s="1">
        <f>116.1*100000000</f>
        <v>11610000000</v>
      </c>
      <c r="AQ1444" s="8">
        <f t="shared" si="707"/>
        <v>0.7028454092109121</v>
      </c>
      <c r="AR1444" s="6" t="s">
        <v>9567</v>
      </c>
      <c r="AS1444" s="6" t="str">
        <f t="shared" si="691"/>
        <v>=68.18*100000000</v>
      </c>
      <c r="AT1444" s="1">
        <f>68.18*100000000</f>
        <v>6818000000.000001</v>
      </c>
      <c r="AU1444" s="8">
        <f t="shared" si="708"/>
        <v>1.7055555555555559</v>
      </c>
      <c r="AV1444" s="6" t="s">
        <v>14119</v>
      </c>
      <c r="AW1444" s="6" t="str">
        <f t="shared" si="692"/>
        <v>=25.20*100000000</v>
      </c>
      <c r="AX1444" s="1">
        <f>25.2*100000000</f>
        <v>2520000000</v>
      </c>
      <c r="AY1444" s="10">
        <f t="shared" si="709"/>
        <v>-0.83572359843546284</v>
      </c>
      <c r="AZ1444" s="6" t="s">
        <v>4674</v>
      </c>
      <c r="BA1444" s="6" t="str">
        <f t="shared" si="693"/>
        <v>=153.4*100000000</v>
      </c>
      <c r="BB1444" s="1">
        <f>153.4*100000000</f>
        <v>15340000000</v>
      </c>
      <c r="BC1444" s="8">
        <f t="shared" si="710"/>
        <v>0.47216890595009597</v>
      </c>
      <c r="BD1444" s="6" t="s">
        <v>14120</v>
      </c>
      <c r="BE1444" s="6" t="str">
        <f t="shared" si="694"/>
        <v>=104.2*100000000</v>
      </c>
      <c r="BF1444" s="1">
        <f>104.2*100000000</f>
        <v>10420000000</v>
      </c>
      <c r="BG1444" s="8">
        <f t="shared" si="711"/>
        <v>0.68772270813087144</v>
      </c>
      <c r="BH1444" s="6" t="s">
        <v>10626</v>
      </c>
      <c r="BI1444" s="6" t="str">
        <f t="shared" si="695"/>
        <v>=61.74*100000000</v>
      </c>
      <c r="BJ1444" s="1">
        <f>61.74*100000000</f>
        <v>6174000000</v>
      </c>
      <c r="BK1444" s="6" t="s">
        <v>3542</v>
      </c>
      <c r="BL1444" s="1" t="str">
        <f t="shared" si="697"/>
        <v>=19.57*100000000</v>
      </c>
      <c r="BM1444" s="16">
        <f t="shared" si="712"/>
        <v>2.1548288196218701</v>
      </c>
      <c r="BN1444" s="1">
        <f>19.57*100000000</f>
        <v>1957000000</v>
      </c>
    </row>
    <row r="1445" spans="1:66">
      <c r="A1445" s="19"/>
      <c r="B1445">
        <v>601766</v>
      </c>
      <c r="C1445" t="s">
        <v>68</v>
      </c>
      <c r="D1445" s="6" t="s">
        <v>12833</v>
      </c>
      <c r="E1445" s="7" t="str">
        <f t="shared" si="696"/>
        <v>=124.2*100000000</v>
      </c>
      <c r="F1445" s="1">
        <f>124.2*100000000</f>
        <v>12420000000</v>
      </c>
      <c r="G1445" s="8">
        <f t="shared" si="698"/>
        <v>0.59599074787972262</v>
      </c>
      <c r="H1445" s="6" t="s">
        <v>14121</v>
      </c>
      <c r="I1445" s="6" t="str">
        <f t="shared" si="682"/>
        <v>=77.82*100000000</v>
      </c>
      <c r="J1445" s="1">
        <f>77.82*100000000</f>
        <v>7781999999.999999</v>
      </c>
      <c r="K1445" s="10">
        <f t="shared" si="699"/>
        <v>0.60189378344997924</v>
      </c>
      <c r="L1445" s="6" t="s">
        <v>14122</v>
      </c>
      <c r="M1445" s="6" t="str">
        <f t="shared" si="683"/>
        <v>=48.58*100000000</v>
      </c>
      <c r="N1445" s="1">
        <f>48.58*100000000</f>
        <v>4858000000</v>
      </c>
      <c r="O1445" s="8">
        <f t="shared" si="700"/>
        <v>1.9460278956943604</v>
      </c>
      <c r="P1445" s="6" t="s">
        <v>6068</v>
      </c>
      <c r="Q1445" s="6" t="str">
        <f t="shared" si="684"/>
        <v>=16.49*100000000</v>
      </c>
      <c r="R1445" s="11">
        <f>16.49*100000000</f>
        <v>1648999999.9999998</v>
      </c>
      <c r="S1445" s="8">
        <f t="shared" si="701"/>
        <v>-0.88068017366136031</v>
      </c>
      <c r="T1445" s="6" t="s">
        <v>2340</v>
      </c>
      <c r="U1445" s="6" t="str">
        <f t="shared" si="685"/>
        <v>=138.2*100000000</v>
      </c>
      <c r="V1445" s="1">
        <f>138.2*100000000</f>
        <v>13819999999.999998</v>
      </c>
      <c r="W1445" s="8">
        <f t="shared" si="702"/>
        <v>0.6636571566149031</v>
      </c>
      <c r="X1445" s="6" t="s">
        <v>14123</v>
      </c>
      <c r="Y1445" s="6" t="str">
        <f t="shared" si="686"/>
        <v>=83.07*100000000</v>
      </c>
      <c r="Z1445" s="1">
        <f>83.07*100000000</f>
        <v>8306999999.999999</v>
      </c>
      <c r="AA1445" s="8">
        <f t="shared" si="703"/>
        <v>0.84846461949265661</v>
      </c>
      <c r="AB1445" s="6" t="s">
        <v>3329</v>
      </c>
      <c r="AC1445" s="6" t="str">
        <f t="shared" si="687"/>
        <v>=44.94*100000000</v>
      </c>
      <c r="AD1445" s="1">
        <f>44.94*100000000</f>
        <v>4494000000</v>
      </c>
      <c r="AE1445" s="8">
        <f t="shared" si="704"/>
        <v>3.6234567901234565</v>
      </c>
      <c r="AF1445" s="6" t="s">
        <v>14124</v>
      </c>
      <c r="AG1445" s="6" t="str">
        <f t="shared" si="688"/>
        <v>=9.720*100000000</v>
      </c>
      <c r="AH1445" s="1">
        <f>9.72*100000000</f>
        <v>972000000.00000012</v>
      </c>
      <c r="AI1445" s="8">
        <f t="shared" si="705"/>
        <v>-0.92966714905933434</v>
      </c>
      <c r="AJ1445" s="6" t="s">
        <v>2340</v>
      </c>
      <c r="AK1445" s="6" t="str">
        <f t="shared" si="689"/>
        <v>=138.2*100000000</v>
      </c>
      <c r="AL1445" s="1">
        <f>138.2*100000000</f>
        <v>13819999999.999998</v>
      </c>
      <c r="AM1445" s="8">
        <f t="shared" si="706"/>
        <v>0.42975377612249099</v>
      </c>
      <c r="AN1445" s="6" t="s">
        <v>14125</v>
      </c>
      <c r="AO1445" s="6" t="str">
        <f t="shared" si="690"/>
        <v>=96.66*100000000</v>
      </c>
      <c r="AP1445" s="1">
        <f>96.66*100000000</f>
        <v>9666000000</v>
      </c>
      <c r="AQ1445" s="8">
        <f t="shared" si="707"/>
        <v>0.73692722371967656</v>
      </c>
      <c r="AR1445" s="6" t="s">
        <v>14126</v>
      </c>
      <c r="AS1445" s="6" t="str">
        <f t="shared" si="691"/>
        <v>=55.65*100000000</v>
      </c>
      <c r="AT1445" s="1">
        <f>55.65*100000000</f>
        <v>5565000000</v>
      </c>
      <c r="AU1445" s="8">
        <f t="shared" si="708"/>
        <v>1.737333989178554</v>
      </c>
      <c r="AV1445" s="6" t="s">
        <v>11994</v>
      </c>
      <c r="AW1445" s="6" t="str">
        <f t="shared" si="692"/>
        <v>=20.33*100000000</v>
      </c>
      <c r="AX1445" s="1">
        <f>20.33*100000000</f>
        <v>2032999999.9999998</v>
      </c>
      <c r="AY1445" s="10">
        <f t="shared" si="709"/>
        <v>-0.84361538461538466</v>
      </c>
      <c r="AZ1445" s="6" t="s">
        <v>5384</v>
      </c>
      <c r="BA1445" s="6" t="str">
        <f t="shared" si="693"/>
        <v>=130.0*100000000</v>
      </c>
      <c r="BB1445" s="1">
        <f>130*100000000</f>
        <v>13000000000</v>
      </c>
      <c r="BC1445" s="8">
        <f t="shared" si="710"/>
        <v>0.49752332680566758</v>
      </c>
      <c r="BD1445" s="6" t="s">
        <v>14127</v>
      </c>
      <c r="BE1445" s="6" t="str">
        <f t="shared" si="694"/>
        <v>=86.81*100000000</v>
      </c>
      <c r="BF1445" s="1">
        <f>86.81*100000000</f>
        <v>8681000000</v>
      </c>
      <c r="BG1445" s="8">
        <f t="shared" si="711"/>
        <v>0.75942440210782325</v>
      </c>
      <c r="BH1445" s="6" t="s">
        <v>1083</v>
      </c>
      <c r="BI1445" s="6" t="str">
        <f t="shared" si="695"/>
        <v>=49.34*100000000</v>
      </c>
      <c r="BJ1445" s="1">
        <f>49.34*100000000</f>
        <v>4934000000</v>
      </c>
      <c r="BK1445" s="6" t="s">
        <v>4231</v>
      </c>
      <c r="BL1445" s="1" t="str">
        <f t="shared" si="697"/>
        <v>=15.32*100000000</v>
      </c>
      <c r="BM1445" s="16">
        <f t="shared" si="712"/>
        <v>2.2206266318537859</v>
      </c>
      <c r="BN1445" s="1">
        <f>15.32*100000000</f>
        <v>1532000000</v>
      </c>
    </row>
    <row r="1446" spans="1:66">
      <c r="A1446" s="17">
        <v>363</v>
      </c>
      <c r="B1446">
        <v>601788</v>
      </c>
      <c r="C1446" t="s">
        <v>31</v>
      </c>
      <c r="D1446" s="6" t="s">
        <v>14128</v>
      </c>
      <c r="E1446" s="7" t="str">
        <f t="shared" si="696"/>
        <v>=167.1*100000000</v>
      </c>
      <c r="F1446" s="1">
        <f>167.1*100000000</f>
        <v>16710000000</v>
      </c>
      <c r="G1446" s="8">
        <f t="shared" si="698"/>
        <v>0.35743298131600326</v>
      </c>
      <c r="H1446" s="6" t="s">
        <v>4618</v>
      </c>
      <c r="I1446" s="6" t="str">
        <f t="shared" si="682"/>
        <v>=123.1*100000000</v>
      </c>
      <c r="J1446" s="1">
        <f>123.1*100000000</f>
        <v>12310000000</v>
      </c>
      <c r="K1446" s="10">
        <f t="shared" si="699"/>
        <v>0.53894236779597471</v>
      </c>
      <c r="L1446" s="6" t="s">
        <v>14129</v>
      </c>
      <c r="M1446" s="6" t="str">
        <f t="shared" si="683"/>
        <v>=79.99*100000000</v>
      </c>
      <c r="N1446" s="1">
        <f>79.99*100000000</f>
        <v>7998999999.999999</v>
      </c>
      <c r="O1446" s="8">
        <f t="shared" si="700"/>
        <v>1.4042681094078742</v>
      </c>
      <c r="P1446" s="6" t="s">
        <v>1946</v>
      </c>
      <c r="Q1446" s="6" t="str">
        <f t="shared" si="684"/>
        <v>=33.27*100000000</v>
      </c>
      <c r="R1446" s="11">
        <f>33.27*100000000</f>
        <v>3327000000.0000005</v>
      </c>
      <c r="S1446" s="8">
        <f t="shared" si="701"/>
        <v>-0.79035916824196595</v>
      </c>
      <c r="T1446" s="6" t="s">
        <v>14130</v>
      </c>
      <c r="U1446" s="6" t="str">
        <f t="shared" si="685"/>
        <v>=158.7*100000000</v>
      </c>
      <c r="V1446" s="1">
        <f>158.7*100000000</f>
        <v>15869999999.999998</v>
      </c>
      <c r="W1446" s="8">
        <f t="shared" si="702"/>
        <v>0.48734770384254905</v>
      </c>
      <c r="X1446" s="6" t="s">
        <v>10719</v>
      </c>
      <c r="Y1446" s="6" t="str">
        <f t="shared" si="686"/>
        <v>=106.7*100000000</v>
      </c>
      <c r="Z1446" s="1">
        <f>106.7*100000000</f>
        <v>10670000000</v>
      </c>
      <c r="AA1446" s="8">
        <f t="shared" si="703"/>
        <v>0.68962787015043547</v>
      </c>
      <c r="AB1446" s="6" t="s">
        <v>14131</v>
      </c>
      <c r="AC1446" s="6" t="str">
        <f t="shared" si="687"/>
        <v>=63.15*100000000</v>
      </c>
      <c r="AD1446" s="1">
        <f>63.15*100000000</f>
        <v>6315000000</v>
      </c>
      <c r="AE1446" s="8">
        <f t="shared" si="704"/>
        <v>1.2409510290986516</v>
      </c>
      <c r="AF1446" s="6" t="s">
        <v>314</v>
      </c>
      <c r="AG1446" s="6" t="str">
        <f t="shared" si="688"/>
        <v>=28.18*100000000</v>
      </c>
      <c r="AH1446" s="1">
        <f>28.18*100000000</f>
        <v>2818000000</v>
      </c>
      <c r="AI1446" s="8">
        <f t="shared" si="705"/>
        <v>-0.71988071570576539</v>
      </c>
      <c r="AJ1446" s="6" t="s">
        <v>9414</v>
      </c>
      <c r="AK1446" s="6" t="str">
        <f t="shared" si="689"/>
        <v>=100.6*100000000</v>
      </c>
      <c r="AL1446" s="1">
        <f>100.6*100000000</f>
        <v>10060000000</v>
      </c>
      <c r="AM1446" s="8">
        <f t="shared" si="706"/>
        <v>0.19011002011120312</v>
      </c>
      <c r="AN1446" s="6" t="s">
        <v>14132</v>
      </c>
      <c r="AO1446" s="6" t="str">
        <f t="shared" si="690"/>
        <v>=84.53*100000000</v>
      </c>
      <c r="AP1446" s="1">
        <f>84.53*100000000</f>
        <v>8453000000</v>
      </c>
      <c r="AQ1446" s="8">
        <f t="shared" si="707"/>
        <v>0.4422453506227606</v>
      </c>
      <c r="AR1446" s="6" t="s">
        <v>6704</v>
      </c>
      <c r="AS1446" s="6" t="str">
        <f t="shared" si="691"/>
        <v>=58.61*100000000</v>
      </c>
      <c r="AT1446" s="1">
        <f>58.61*100000000</f>
        <v>5861000000</v>
      </c>
      <c r="AU1446" s="8">
        <f t="shared" si="708"/>
        <v>0.71324174218064895</v>
      </c>
      <c r="AV1446" s="6" t="s">
        <v>8033</v>
      </c>
      <c r="AW1446" s="6" t="str">
        <f t="shared" si="692"/>
        <v>=34.21*100000000</v>
      </c>
      <c r="AX1446" s="1">
        <f>34.21*100000000</f>
        <v>3421000000</v>
      </c>
      <c r="AY1446" s="10">
        <f t="shared" si="709"/>
        <v>-0.55640560165975106</v>
      </c>
      <c r="AZ1446" s="6" t="s">
        <v>14133</v>
      </c>
      <c r="BA1446" s="6" t="str">
        <f t="shared" si="693"/>
        <v>=77.12*100000000</v>
      </c>
      <c r="BB1446" s="1">
        <f>77.12*100000000</f>
        <v>7712000000</v>
      </c>
      <c r="BC1446" s="8">
        <f t="shared" si="710"/>
        <v>0.3185159856385707</v>
      </c>
      <c r="BD1446" s="6" t="s">
        <v>14134</v>
      </c>
      <c r="BE1446" s="6" t="str">
        <f t="shared" si="694"/>
        <v>=58.49*100000000</v>
      </c>
      <c r="BF1446" s="1">
        <f>58.49*100000000</f>
        <v>5849000000</v>
      </c>
      <c r="BG1446" s="8">
        <f t="shared" si="711"/>
        <v>0.42173067574137091</v>
      </c>
      <c r="BH1446" s="6" t="s">
        <v>12429</v>
      </c>
      <c r="BI1446" s="6" t="str">
        <f t="shared" si="695"/>
        <v>=41.14*100000000</v>
      </c>
      <c r="BJ1446" s="1">
        <f>41.14*100000000</f>
        <v>4114000000</v>
      </c>
      <c r="BL1446" s="1" t="str">
        <f t="shared" si="697"/>
        <v>=</v>
      </c>
      <c r="BM1446" s="16" t="e">
        <f t="shared" si="712"/>
        <v>#VALUE!</v>
      </c>
      <c r="BN1446" s="1" t="s">
        <v>14135</v>
      </c>
    </row>
    <row r="1447" spans="1:66">
      <c r="A1447" s="18"/>
      <c r="B1447">
        <v>601788</v>
      </c>
      <c r="C1447" t="s">
        <v>48</v>
      </c>
      <c r="D1447" s="6" t="s">
        <v>14136</v>
      </c>
      <c r="E1447" s="7" t="str">
        <f t="shared" si="696"/>
        <v>=54.07*100000000</v>
      </c>
      <c r="F1447" s="1">
        <f>54.07*100000000</f>
        <v>5407000000</v>
      </c>
      <c r="G1447" s="8">
        <f t="shared" si="698"/>
        <v>0.27493515680264102</v>
      </c>
      <c r="H1447" s="6" t="s">
        <v>14137</v>
      </c>
      <c r="I1447" s="6" t="str">
        <f t="shared" si="682"/>
        <v>=42.41*100000000</v>
      </c>
      <c r="J1447" s="1">
        <f>42.41*100000000</f>
        <v>4240999999.9999995</v>
      </c>
      <c r="K1447" s="10">
        <f t="shared" si="699"/>
        <v>0.42315436241610721</v>
      </c>
      <c r="L1447" s="6" t="s">
        <v>9024</v>
      </c>
      <c r="M1447" s="6" t="str">
        <f t="shared" si="683"/>
        <v>=29.80*100000000</v>
      </c>
      <c r="N1447" s="1">
        <f>29.8*100000000</f>
        <v>2980000000</v>
      </c>
      <c r="O1447" s="8">
        <f t="shared" si="700"/>
        <v>2.1895536765492882</v>
      </c>
      <c r="P1447" s="6" t="s">
        <v>14138</v>
      </c>
      <c r="Q1447" s="6" t="str">
        <f t="shared" si="684"/>
        <v>=9.343*100000000</v>
      </c>
      <c r="R1447" s="11">
        <f>9.343*100000000</f>
        <v>934300000</v>
      </c>
      <c r="S1447" s="8">
        <f t="shared" si="701"/>
        <v>-0.83126241647101318</v>
      </c>
      <c r="T1447" s="6" t="s">
        <v>714</v>
      </c>
      <c r="U1447" s="6" t="str">
        <f t="shared" si="685"/>
        <v>=55.37*100000000</v>
      </c>
      <c r="V1447" s="1">
        <f>55.37*100000000</f>
        <v>5537000000</v>
      </c>
      <c r="W1447" s="8">
        <f t="shared" si="702"/>
        <v>0.20737025730484082</v>
      </c>
      <c r="X1447" s="6" t="s">
        <v>14139</v>
      </c>
      <c r="Y1447" s="6" t="str">
        <f t="shared" si="686"/>
        <v>=45.86*100000000</v>
      </c>
      <c r="Z1447" s="1">
        <f>45.86*100000000</f>
        <v>4586000000</v>
      </c>
      <c r="AA1447" s="8">
        <f t="shared" si="703"/>
        <v>0.52917639213071022</v>
      </c>
      <c r="AB1447" s="6" t="s">
        <v>14140</v>
      </c>
      <c r="AC1447" s="6" t="str">
        <f t="shared" si="687"/>
        <v>=29.99*100000000</v>
      </c>
      <c r="AD1447" s="1">
        <f>29.99*100000000</f>
        <v>2999000000</v>
      </c>
      <c r="AE1447" s="8">
        <f t="shared" si="704"/>
        <v>0.9993333333333333</v>
      </c>
      <c r="AF1447" s="6" t="s">
        <v>1517</v>
      </c>
      <c r="AG1447" s="6" t="str">
        <f t="shared" si="688"/>
        <v>=15.00*100000000</v>
      </c>
      <c r="AH1447" s="1">
        <f>15*100000000</f>
        <v>1500000000</v>
      </c>
      <c r="AI1447" s="8">
        <f t="shared" si="705"/>
        <v>-0.47294448348559381</v>
      </c>
      <c r="AJ1447" s="6" t="s">
        <v>14141</v>
      </c>
      <c r="AK1447" s="6" t="str">
        <f t="shared" si="689"/>
        <v>=28.46*100000000</v>
      </c>
      <c r="AL1447" s="1">
        <f>28.46*100000000</f>
        <v>2846000000</v>
      </c>
      <c r="AM1447" s="8">
        <f t="shared" si="706"/>
        <v>-0.16929363689433741</v>
      </c>
      <c r="AN1447" s="6" t="s">
        <v>3861</v>
      </c>
      <c r="AO1447" s="6" t="str">
        <f t="shared" si="690"/>
        <v>=34.26*100000000</v>
      </c>
      <c r="AP1447" s="1">
        <f>34.26*100000000</f>
        <v>3426000000</v>
      </c>
      <c r="AQ1447" s="8">
        <f t="shared" si="707"/>
        <v>0.34828807556080282</v>
      </c>
      <c r="AR1447" s="6" t="s">
        <v>542</v>
      </c>
      <c r="AS1447" s="6" t="str">
        <f t="shared" si="691"/>
        <v>=25.41*100000000</v>
      </c>
      <c r="AT1447" s="1">
        <f>25.41*100000000</f>
        <v>2541000000</v>
      </c>
      <c r="AU1447" s="8">
        <f t="shared" si="708"/>
        <v>0.40077177508269018</v>
      </c>
      <c r="AV1447" s="6" t="s">
        <v>593</v>
      </c>
      <c r="AW1447" s="6" t="str">
        <f t="shared" si="692"/>
        <v>=18.14*100000000</v>
      </c>
      <c r="AX1447" s="1">
        <f>18.14*100000000</f>
        <v>1814000000</v>
      </c>
      <c r="AY1447" s="10">
        <f t="shared" si="709"/>
        <v>5.2814857806152062E-2</v>
      </c>
      <c r="AZ1447" s="6" t="s">
        <v>149</v>
      </c>
      <c r="BA1447" s="6" t="str">
        <f t="shared" si="693"/>
        <v>=17.23*100000000</v>
      </c>
      <c r="BB1447" s="1">
        <f>17.23*100000000</f>
        <v>1723000000</v>
      </c>
      <c r="BC1447" s="8">
        <f t="shared" si="710"/>
        <v>3.5456730769230768E-2</v>
      </c>
      <c r="BD1447" s="6" t="s">
        <v>1196</v>
      </c>
      <c r="BE1447" s="6" t="str">
        <f t="shared" si="694"/>
        <v>=16.64*100000000</v>
      </c>
      <c r="BF1447" s="1">
        <f>16.64*100000000</f>
        <v>1664000000</v>
      </c>
      <c r="BG1447" s="8">
        <f t="shared" si="711"/>
        <v>0.21371261852662291</v>
      </c>
      <c r="BH1447" s="6" t="s">
        <v>4089</v>
      </c>
      <c r="BI1447" s="6" t="str">
        <f t="shared" si="695"/>
        <v>=13.71*100000000</v>
      </c>
      <c r="BJ1447" s="1">
        <f>13.71*100000000</f>
        <v>1371000000</v>
      </c>
      <c r="BL1447" s="1" t="str">
        <f t="shared" si="697"/>
        <v>=</v>
      </c>
      <c r="BM1447" s="16" t="e">
        <f t="shared" si="712"/>
        <v>#VALUE!</v>
      </c>
      <c r="BN1447" s="1" t="s">
        <v>14135</v>
      </c>
    </row>
    <row r="1448" spans="1:66">
      <c r="A1448" s="18"/>
      <c r="B1448">
        <v>601788</v>
      </c>
      <c r="C1448" t="s">
        <v>58</v>
      </c>
      <c r="D1448" s="6" t="s">
        <v>14142</v>
      </c>
      <c r="E1448" s="7" t="str">
        <f t="shared" si="696"/>
        <v>=46.68*100000000</v>
      </c>
      <c r="F1448" s="1">
        <f>46.68*100000000</f>
        <v>4668000000</v>
      </c>
      <c r="G1448" s="8">
        <f t="shared" si="698"/>
        <v>0.10198300283286119</v>
      </c>
      <c r="H1448" s="6" t="s">
        <v>202</v>
      </c>
      <c r="I1448" s="6" t="str">
        <f t="shared" si="682"/>
        <v>=42.36*100000000</v>
      </c>
      <c r="J1448" s="1">
        <f>42.36*100000000</f>
        <v>4236000000</v>
      </c>
      <c r="K1448" s="10">
        <f t="shared" si="699"/>
        <v>0.42099966454209997</v>
      </c>
      <c r="L1448" s="6" t="s">
        <v>14143</v>
      </c>
      <c r="M1448" s="6" t="str">
        <f t="shared" si="683"/>
        <v>=29.81*100000000</v>
      </c>
      <c r="N1448" s="1">
        <f>29.81*100000000</f>
        <v>2981000000</v>
      </c>
      <c r="O1448" s="8">
        <f t="shared" si="700"/>
        <v>2.1838086083520238</v>
      </c>
      <c r="P1448" s="6" t="s">
        <v>14144</v>
      </c>
      <c r="Q1448" s="6" t="str">
        <f t="shared" si="684"/>
        <v>=9.363*100000000</v>
      </c>
      <c r="R1448" s="11">
        <f>9.363*100000000</f>
        <v>936300000</v>
      </c>
      <c r="S1448" s="8">
        <f t="shared" si="701"/>
        <v>-0.76586646661665414</v>
      </c>
      <c r="T1448" s="6" t="s">
        <v>14145</v>
      </c>
      <c r="U1448" s="6" t="str">
        <f t="shared" si="685"/>
        <v>=39.99*100000000</v>
      </c>
      <c r="V1448" s="1">
        <f>39.99*100000000</f>
        <v>3999000000</v>
      </c>
      <c r="W1448" s="8">
        <f t="shared" si="702"/>
        <v>-0.12818835840418574</v>
      </c>
      <c r="X1448" s="6" t="s">
        <v>13107</v>
      </c>
      <c r="Y1448" s="6" t="str">
        <f t="shared" si="686"/>
        <v>=45.87*100000000</v>
      </c>
      <c r="Z1448" s="1">
        <f>45.87*100000000</f>
        <v>4587000000</v>
      </c>
      <c r="AA1448" s="8">
        <f t="shared" si="703"/>
        <v>0.53616878767582055</v>
      </c>
      <c r="AB1448" s="6" t="s">
        <v>5909</v>
      </c>
      <c r="AC1448" s="6" t="str">
        <f t="shared" si="687"/>
        <v>=29.86*100000000</v>
      </c>
      <c r="AD1448" s="1">
        <f>29.86*100000000</f>
        <v>2986000000</v>
      </c>
      <c r="AE1448" s="8">
        <f t="shared" si="704"/>
        <v>0.99866131191432395</v>
      </c>
      <c r="AF1448" s="6" t="s">
        <v>13661</v>
      </c>
      <c r="AG1448" s="6" t="str">
        <f t="shared" si="688"/>
        <v>=14.94*100000000</v>
      </c>
      <c r="AH1448" s="1">
        <f>14.94*100000000</f>
        <v>1494000000</v>
      </c>
      <c r="AI1448" s="8">
        <f t="shared" si="705"/>
        <v>0.22559474979491387</v>
      </c>
      <c r="AJ1448" s="6" t="s">
        <v>2432</v>
      </c>
      <c r="AK1448" s="6" t="str">
        <f t="shared" si="689"/>
        <v>=12.19*100000000</v>
      </c>
      <c r="AL1448" s="1">
        <f>12.19*100000000</f>
        <v>1219000000</v>
      </c>
      <c r="AM1448" s="8">
        <f t="shared" si="706"/>
        <v>-0.60715436674186274</v>
      </c>
      <c r="AN1448" s="6" t="s">
        <v>12570</v>
      </c>
      <c r="AO1448" s="6" t="str">
        <f t="shared" si="690"/>
        <v>=31.03*100000000</v>
      </c>
      <c r="AP1448" s="1">
        <f>31.03*100000000</f>
        <v>3103000000</v>
      </c>
      <c r="AQ1448" s="8">
        <f t="shared" si="707"/>
        <v>0.38898836168307965</v>
      </c>
      <c r="AR1448" s="6" t="s">
        <v>6173</v>
      </c>
      <c r="AS1448" s="6" t="str">
        <f t="shared" si="691"/>
        <v>=22.34*100000000</v>
      </c>
      <c r="AT1448" s="1">
        <f>22.34*100000000</f>
        <v>2234000000</v>
      </c>
      <c r="AU1448" s="8">
        <f t="shared" si="708"/>
        <v>0.23085399449035829</v>
      </c>
      <c r="AV1448" s="6" t="s">
        <v>14146</v>
      </c>
      <c r="AW1448" s="6" t="str">
        <f t="shared" si="692"/>
        <v>=18.15*100000000</v>
      </c>
      <c r="AX1448" s="1">
        <f>18.15*100000000</f>
        <v>1814999999.9999998</v>
      </c>
      <c r="AY1448" s="10">
        <f t="shared" si="709"/>
        <v>4.9430255402750483</v>
      </c>
      <c r="AZ1448" s="6" t="s">
        <v>10884</v>
      </c>
      <c r="BA1448" s="6" t="str">
        <f t="shared" si="693"/>
        <v>=3.054*100000000</v>
      </c>
      <c r="BB1448" s="1">
        <f>3.054*100000000</f>
        <v>305400000</v>
      </c>
      <c r="BC1448" s="8">
        <f t="shared" si="710"/>
        <v>-0.816686674669868</v>
      </c>
      <c r="BD1448" s="6" t="s">
        <v>14147</v>
      </c>
      <c r="BE1448" s="6" t="str">
        <f t="shared" si="694"/>
        <v>=16.66*100000000</v>
      </c>
      <c r="BF1448" s="1">
        <f>16.66*100000000</f>
        <v>1666000000</v>
      </c>
      <c r="BG1448" s="8">
        <f t="shared" si="711"/>
        <v>0.21340131099781501</v>
      </c>
      <c r="BH1448" s="6" t="s">
        <v>2647</v>
      </c>
      <c r="BI1448" s="6" t="str">
        <f t="shared" si="695"/>
        <v>=13.73*100000000</v>
      </c>
      <c r="BJ1448" s="1">
        <f>13.73*100000000</f>
        <v>1373000000</v>
      </c>
      <c r="BL1448" s="1" t="str">
        <f t="shared" si="697"/>
        <v>=</v>
      </c>
      <c r="BM1448" s="16" t="e">
        <f t="shared" si="712"/>
        <v>#VALUE!</v>
      </c>
      <c r="BN1448" s="1" t="s">
        <v>14135</v>
      </c>
    </row>
    <row r="1449" spans="1:66">
      <c r="A1449" s="19"/>
      <c r="B1449">
        <v>601788</v>
      </c>
      <c r="C1449" t="s">
        <v>68</v>
      </c>
      <c r="D1449" s="6" t="s">
        <v>14148</v>
      </c>
      <c r="E1449" s="7" t="str">
        <f t="shared" si="696"/>
        <v>=35.63*100000000</v>
      </c>
      <c r="F1449" s="1">
        <f>35.63*100000000</f>
        <v>3563000000.0000005</v>
      </c>
      <c r="G1449" s="8">
        <f t="shared" si="698"/>
        <v>7.4487334137515376E-2</v>
      </c>
      <c r="H1449" s="6" t="s">
        <v>215</v>
      </c>
      <c r="I1449" s="6" t="str">
        <f t="shared" si="682"/>
        <v>=33.16*100000000</v>
      </c>
      <c r="J1449" s="1">
        <f>33.16*100000000</f>
        <v>3315999999.9999995</v>
      </c>
      <c r="K1449" s="10">
        <f t="shared" si="699"/>
        <v>0.43923611111111088</v>
      </c>
      <c r="L1449" s="6" t="s">
        <v>11111</v>
      </c>
      <c r="M1449" s="6" t="str">
        <f t="shared" si="683"/>
        <v>=23.04*100000000</v>
      </c>
      <c r="N1449" s="1">
        <f>23.04*100000000</f>
        <v>2304000000</v>
      </c>
      <c r="O1449" s="8">
        <f t="shared" si="700"/>
        <v>2.2053422370617697</v>
      </c>
      <c r="P1449" s="6" t="s">
        <v>14149</v>
      </c>
      <c r="Q1449" s="6" t="str">
        <f t="shared" si="684"/>
        <v>=7.188*100000000</v>
      </c>
      <c r="R1449" s="11">
        <f>7.188*100000000</f>
        <v>718800000</v>
      </c>
      <c r="S1449" s="8">
        <f t="shared" si="701"/>
        <v>-0.70851581508515815</v>
      </c>
      <c r="T1449" s="6" t="s">
        <v>10512</v>
      </c>
      <c r="U1449" s="6" t="str">
        <f t="shared" si="685"/>
        <v>=24.66*100000000</v>
      </c>
      <c r="V1449" s="1">
        <f>24.66*100000000</f>
        <v>2466000000</v>
      </c>
      <c r="W1449" s="8">
        <f t="shared" si="702"/>
        <v>-0.27852545348156815</v>
      </c>
      <c r="X1449" s="6" t="s">
        <v>14150</v>
      </c>
      <c r="Y1449" s="6" t="str">
        <f t="shared" si="686"/>
        <v>=34.18*100000000</v>
      </c>
      <c r="Z1449" s="1">
        <f>34.18*100000000</f>
        <v>3418000000</v>
      </c>
      <c r="AA1449" s="8">
        <f t="shared" si="703"/>
        <v>0.5382538253825383</v>
      </c>
      <c r="AB1449" s="6" t="s">
        <v>14151</v>
      </c>
      <c r="AC1449" s="6" t="str">
        <f t="shared" si="687"/>
        <v>=22.22*100000000</v>
      </c>
      <c r="AD1449" s="1">
        <f>22.22*100000000</f>
        <v>2222000000</v>
      </c>
      <c r="AE1449" s="8">
        <f t="shared" si="704"/>
        <v>0.93722755013077597</v>
      </c>
      <c r="AF1449" s="6" t="s">
        <v>3749</v>
      </c>
      <c r="AG1449" s="6" t="str">
        <f t="shared" si="688"/>
        <v>=11.47*100000000</v>
      </c>
      <c r="AH1449" s="1">
        <f>11.47*100000000</f>
        <v>1147000000</v>
      </c>
      <c r="AI1449" s="8">
        <f t="shared" si="705"/>
        <v>0.6524996398213514</v>
      </c>
      <c r="AJ1449" s="6" t="s">
        <v>3436</v>
      </c>
      <c r="AK1449" s="6" t="str">
        <f t="shared" si="689"/>
        <v>=6.941*100000000</v>
      </c>
      <c r="AL1449" s="1">
        <f>6.941*100000000</f>
        <v>694100000</v>
      </c>
      <c r="AM1449" s="8">
        <f t="shared" si="706"/>
        <v>-0.70675961132234899</v>
      </c>
      <c r="AN1449" s="6" t="s">
        <v>3865</v>
      </c>
      <c r="AO1449" s="6" t="str">
        <f t="shared" si="690"/>
        <v>=23.67*100000000</v>
      </c>
      <c r="AP1449" s="1">
        <f>23.67*100000000</f>
        <v>2367000000</v>
      </c>
      <c r="AQ1449" s="8">
        <f t="shared" si="707"/>
        <v>0.40725326991676575</v>
      </c>
      <c r="AR1449" s="6" t="s">
        <v>14152</v>
      </c>
      <c r="AS1449" s="6" t="str">
        <f t="shared" si="691"/>
        <v>=16.82*100000000</v>
      </c>
      <c r="AT1449" s="1">
        <f>16.82*100000000</f>
        <v>1682000000</v>
      </c>
      <c r="AU1449" s="8">
        <f t="shared" si="708"/>
        <v>0.23949889462048637</v>
      </c>
      <c r="AV1449" s="6" t="s">
        <v>2283</v>
      </c>
      <c r="AW1449" s="6" t="str">
        <f t="shared" si="692"/>
        <v>=13.57*100000000</v>
      </c>
      <c r="AX1449" s="1">
        <f>13.57*100000000</f>
        <v>1357000000</v>
      </c>
      <c r="AY1449" s="10">
        <f t="shared" si="709"/>
        <v>4.566037735849056</v>
      </c>
      <c r="AZ1449" s="6" t="s">
        <v>11699</v>
      </c>
      <c r="BA1449" s="6" t="str">
        <f t="shared" si="693"/>
        <v>=2.438*100000000</v>
      </c>
      <c r="BB1449" s="1">
        <f>2.438*100000000</f>
        <v>243800000.00000003</v>
      </c>
      <c r="BC1449" s="8">
        <f t="shared" si="710"/>
        <v>-0.80967993754878997</v>
      </c>
      <c r="BD1449" s="6" t="s">
        <v>3969</v>
      </c>
      <c r="BE1449" s="6" t="str">
        <f t="shared" si="694"/>
        <v>=12.81*100000000</v>
      </c>
      <c r="BF1449" s="1">
        <f>12.81*100000000</f>
        <v>1281000000</v>
      </c>
      <c r="BG1449" s="8">
        <f t="shared" si="711"/>
        <v>0.23054755043227665</v>
      </c>
      <c r="BH1449" s="6" t="s">
        <v>6326</v>
      </c>
      <c r="BI1449" s="6" t="str">
        <f t="shared" si="695"/>
        <v>=10.41*100000000</v>
      </c>
      <c r="BJ1449" s="1">
        <f>10.41*100000000</f>
        <v>1041000000</v>
      </c>
      <c r="BL1449" s="1" t="str">
        <f t="shared" si="697"/>
        <v>=</v>
      </c>
      <c r="BM1449" s="16" t="e">
        <f t="shared" si="712"/>
        <v>#VALUE!</v>
      </c>
      <c r="BN1449" s="1" t="s">
        <v>14135</v>
      </c>
    </row>
    <row r="1450" spans="1:66">
      <c r="A1450" s="17">
        <v>364</v>
      </c>
      <c r="B1450">
        <v>601799</v>
      </c>
      <c r="C1450" t="s">
        <v>31</v>
      </c>
      <c r="D1450" s="6" t="s">
        <v>14153</v>
      </c>
      <c r="E1450" s="7" t="str">
        <f t="shared" si="696"/>
        <v>=79.09*100000000</v>
      </c>
      <c r="F1450" s="1">
        <f>79.09*100000000</f>
        <v>7909000000</v>
      </c>
      <c r="G1450" s="8">
        <f t="shared" si="698"/>
        <v>0.39784376104630609</v>
      </c>
      <c r="H1450" s="6" t="s">
        <v>14154</v>
      </c>
      <c r="I1450" s="6" t="str">
        <f t="shared" si="682"/>
        <v>=56.58*100000000</v>
      </c>
      <c r="J1450" s="1">
        <f>56.58*100000000</f>
        <v>5658000000</v>
      </c>
      <c r="K1450" s="10">
        <f t="shared" si="699"/>
        <v>0.43204252088078965</v>
      </c>
      <c r="L1450" s="6" t="s">
        <v>9146</v>
      </c>
      <c r="M1450" s="6" t="str">
        <f t="shared" si="683"/>
        <v>=39.51*100000000</v>
      </c>
      <c r="N1450" s="1">
        <f>39.51*100000000</f>
        <v>3951000000</v>
      </c>
      <c r="O1450" s="8">
        <f t="shared" si="700"/>
        <v>1.0675039246467819</v>
      </c>
      <c r="P1450" s="6" t="s">
        <v>11172</v>
      </c>
      <c r="Q1450" s="6" t="str">
        <f t="shared" si="684"/>
        <v>=19.11*100000000</v>
      </c>
      <c r="R1450" s="11">
        <f>19.11*100000000</f>
        <v>1911000000</v>
      </c>
      <c r="S1450" s="8">
        <f t="shared" si="701"/>
        <v>-0.73904137648504709</v>
      </c>
      <c r="T1450" s="6" t="s">
        <v>14155</v>
      </c>
      <c r="U1450" s="6" t="str">
        <f t="shared" si="685"/>
        <v>=73.23*100000000</v>
      </c>
      <c r="V1450" s="1">
        <f>73.23*100000000</f>
        <v>7323000000</v>
      </c>
      <c r="W1450" s="8">
        <f t="shared" si="702"/>
        <v>0.5423336141533277</v>
      </c>
      <c r="X1450" s="6" t="s">
        <v>8958</v>
      </c>
      <c r="Y1450" s="6" t="str">
        <f t="shared" si="686"/>
        <v>=47.48*100000000</v>
      </c>
      <c r="Z1450" s="1">
        <f>47.48*100000000</f>
        <v>4748000000</v>
      </c>
      <c r="AA1450" s="8">
        <f t="shared" si="703"/>
        <v>0.64918374435567905</v>
      </c>
      <c r="AB1450" s="6" t="s">
        <v>12329</v>
      </c>
      <c r="AC1450" s="6" t="str">
        <f t="shared" si="687"/>
        <v>=28.79*100000000</v>
      </c>
      <c r="AD1450" s="1">
        <f>28.79*100000000</f>
        <v>2879000000</v>
      </c>
      <c r="AE1450" s="8">
        <f t="shared" si="704"/>
        <v>1.2885532591414945</v>
      </c>
      <c r="AF1450" s="6" t="s">
        <v>11884</v>
      </c>
      <c r="AG1450" s="6" t="str">
        <f t="shared" si="688"/>
        <v>=12.58*100000000</v>
      </c>
      <c r="AH1450" s="1">
        <f>12.58*100000000</f>
        <v>1258000000</v>
      </c>
      <c r="AI1450" s="8">
        <f t="shared" si="705"/>
        <v>-0.79349967170059099</v>
      </c>
      <c r="AJ1450" s="6" t="s">
        <v>14156</v>
      </c>
      <c r="AK1450" s="6" t="str">
        <f t="shared" si="689"/>
        <v>=60.92*100000000</v>
      </c>
      <c r="AL1450" s="1">
        <f>60.92*100000000</f>
        <v>6092000000</v>
      </c>
      <c r="AM1450" s="8">
        <f t="shared" si="706"/>
        <v>0.48404384896467739</v>
      </c>
      <c r="AN1450" s="6" t="s">
        <v>9018</v>
      </c>
      <c r="AO1450" s="6" t="str">
        <f t="shared" si="690"/>
        <v>=41.05*100000000</v>
      </c>
      <c r="AP1450" s="1">
        <f>41.05*100000000</f>
        <v>4104999999.9999995</v>
      </c>
      <c r="AQ1450" s="8">
        <f t="shared" si="707"/>
        <v>0.51643886220908741</v>
      </c>
      <c r="AR1450" s="6" t="s">
        <v>9707</v>
      </c>
      <c r="AS1450" s="6" t="str">
        <f t="shared" si="691"/>
        <v>=27.07*100000000</v>
      </c>
      <c r="AT1450" s="1">
        <f>27.07*100000000</f>
        <v>2707000000</v>
      </c>
      <c r="AU1450" s="8">
        <f t="shared" si="708"/>
        <v>0.9009831460674157</v>
      </c>
      <c r="AV1450" s="6" t="s">
        <v>1103</v>
      </c>
      <c r="AW1450" s="6" t="str">
        <f t="shared" si="692"/>
        <v>=14.24*100000000</v>
      </c>
      <c r="AX1450" s="1">
        <f>14.24*100000000</f>
        <v>1424000000</v>
      </c>
      <c r="AY1450" s="10">
        <f t="shared" si="709"/>
        <v>-0.7193535672053607</v>
      </c>
      <c r="AZ1450" s="6" t="s">
        <v>14157</v>
      </c>
      <c r="BA1450" s="6" t="str">
        <f t="shared" si="693"/>
        <v>=50.74*100000000</v>
      </c>
      <c r="BB1450" s="1">
        <f>50.74*100000000</f>
        <v>5074000000</v>
      </c>
      <c r="BC1450" s="8">
        <f t="shared" si="710"/>
        <v>0.36251342642320084</v>
      </c>
      <c r="BD1450" s="6" t="s">
        <v>14158</v>
      </c>
      <c r="BE1450" s="6" t="str">
        <f t="shared" si="694"/>
        <v>=37.24*100000000</v>
      </c>
      <c r="BF1450" s="1">
        <f>37.24*100000000</f>
        <v>3724000000</v>
      </c>
      <c r="BG1450" s="8">
        <f t="shared" si="711"/>
        <v>0.52</v>
      </c>
      <c r="BH1450" s="6" t="s">
        <v>14159</v>
      </c>
      <c r="BI1450" s="6" t="str">
        <f t="shared" si="695"/>
        <v>=24.50*100000000</v>
      </c>
      <c r="BJ1450" s="1">
        <f>24.5*100000000</f>
        <v>2450000000</v>
      </c>
      <c r="BK1450" s="6" t="s">
        <v>9227</v>
      </c>
      <c r="BL1450" s="1" t="str">
        <f t="shared" si="697"/>
        <v>=11.75*100000000</v>
      </c>
      <c r="BM1450" s="16">
        <f t="shared" si="712"/>
        <v>1.0851063829787233</v>
      </c>
      <c r="BN1450" s="1">
        <f>11.75*100000000</f>
        <v>1175000000</v>
      </c>
    </row>
    <row r="1451" spans="1:66">
      <c r="A1451" s="18"/>
      <c r="B1451">
        <v>601799</v>
      </c>
      <c r="C1451" t="s">
        <v>48</v>
      </c>
      <c r="D1451" s="6" t="s">
        <v>2676</v>
      </c>
      <c r="E1451" s="7" t="str">
        <f t="shared" si="696"/>
        <v>=10.80*100000000</v>
      </c>
      <c r="F1451" s="1">
        <f>10.8*100000000</f>
        <v>1080000000</v>
      </c>
      <c r="G1451" s="8">
        <f t="shared" si="698"/>
        <v>0.27886323268206037</v>
      </c>
      <c r="H1451" s="6" t="s">
        <v>10115</v>
      </c>
      <c r="I1451" s="6" t="str">
        <f t="shared" si="682"/>
        <v>=8.445*100000000</v>
      </c>
      <c r="J1451" s="1">
        <f>8.445*100000000</f>
        <v>844500000</v>
      </c>
      <c r="K1451" s="10">
        <f t="shared" si="699"/>
        <v>0.30203515263644776</v>
      </c>
      <c r="L1451" s="6" t="s">
        <v>14160</v>
      </c>
      <c r="M1451" s="6" t="str">
        <f t="shared" si="683"/>
        <v>=6.486*100000000</v>
      </c>
      <c r="N1451" s="1">
        <f>6.486*100000000</f>
        <v>648600000</v>
      </c>
      <c r="O1451" s="8">
        <f t="shared" si="700"/>
        <v>0.97202797202797198</v>
      </c>
      <c r="P1451" s="6" t="s">
        <v>14161</v>
      </c>
      <c r="Q1451" s="6" t="str">
        <f t="shared" si="684"/>
        <v>=3.289*100000000</v>
      </c>
      <c r="R1451" s="11">
        <f>3.289*100000000</f>
        <v>328900000</v>
      </c>
      <c r="S1451" s="8">
        <f t="shared" si="701"/>
        <v>-0.75940014630577912</v>
      </c>
      <c r="T1451" s="6" t="s">
        <v>170</v>
      </c>
      <c r="U1451" s="6" t="str">
        <f t="shared" si="685"/>
        <v>=13.67*100000000</v>
      </c>
      <c r="V1451" s="1">
        <f>13.67*100000000</f>
        <v>1367000000</v>
      </c>
      <c r="W1451" s="8">
        <f t="shared" si="702"/>
        <v>0.60577939621754961</v>
      </c>
      <c r="X1451" s="6" t="s">
        <v>14162</v>
      </c>
      <c r="Y1451" s="6" t="str">
        <f t="shared" si="686"/>
        <v>=8.513*100000000</v>
      </c>
      <c r="Z1451" s="1">
        <f>8.513*100000000</f>
        <v>851300000</v>
      </c>
      <c r="AA1451" s="8">
        <f t="shared" si="703"/>
        <v>0.83035906256718983</v>
      </c>
      <c r="AB1451" s="6" t="s">
        <v>14163</v>
      </c>
      <c r="AC1451" s="6" t="str">
        <f t="shared" si="687"/>
        <v>=4.651*100000000</v>
      </c>
      <c r="AD1451" s="1">
        <f>4.651*100000000</f>
        <v>465100000</v>
      </c>
      <c r="AE1451" s="8">
        <f t="shared" si="704"/>
        <v>1.5045772751750135</v>
      </c>
      <c r="AF1451" s="6" t="s">
        <v>4398</v>
      </c>
      <c r="AG1451" s="6" t="str">
        <f t="shared" si="688"/>
        <v>=1.857*100000000</v>
      </c>
      <c r="AH1451" s="1">
        <f>1.857*100000000</f>
        <v>185700000</v>
      </c>
      <c r="AI1451" s="8">
        <f t="shared" si="705"/>
        <v>-0.80411392405063287</v>
      </c>
      <c r="AJ1451" s="6" t="s">
        <v>12534</v>
      </c>
      <c r="AK1451" s="6" t="str">
        <f t="shared" si="689"/>
        <v>=9.480*100000000</v>
      </c>
      <c r="AL1451" s="1">
        <f>9.48*100000000</f>
        <v>948000000</v>
      </c>
      <c r="AM1451" s="8">
        <f t="shared" si="706"/>
        <v>0.53796236210253079</v>
      </c>
      <c r="AN1451" s="6" t="s">
        <v>14164</v>
      </c>
      <c r="AO1451" s="6" t="str">
        <f t="shared" si="690"/>
        <v>=6.164*100000000</v>
      </c>
      <c r="AP1451" s="1">
        <f>6.164*100000000</f>
        <v>616400000</v>
      </c>
      <c r="AQ1451" s="8">
        <f t="shared" si="707"/>
        <v>0.55971659919028338</v>
      </c>
      <c r="AR1451" s="6" t="s">
        <v>5147</v>
      </c>
      <c r="AS1451" s="6" t="str">
        <f t="shared" si="691"/>
        <v>=3.952*100000000</v>
      </c>
      <c r="AT1451" s="1">
        <f>3.952*100000000</f>
        <v>395200000</v>
      </c>
      <c r="AU1451" s="8">
        <f t="shared" si="708"/>
        <v>0.95837462834489617</v>
      </c>
      <c r="AV1451" s="6" t="s">
        <v>198</v>
      </c>
      <c r="AW1451" s="6" t="str">
        <f t="shared" si="692"/>
        <v>=2.018*100000000</v>
      </c>
      <c r="AX1451" s="1">
        <f>2.018*100000000</f>
        <v>201799999.99999997</v>
      </c>
      <c r="AY1451" s="10">
        <f t="shared" si="709"/>
        <v>-0.71886319308999724</v>
      </c>
      <c r="AZ1451" s="6" t="s">
        <v>1097</v>
      </c>
      <c r="BA1451" s="6" t="str">
        <f t="shared" si="693"/>
        <v>=7.178*100000000</v>
      </c>
      <c r="BB1451" s="1">
        <f>7.178*100000000</f>
        <v>717800000</v>
      </c>
      <c r="BC1451" s="8">
        <f t="shared" si="710"/>
        <v>0.39189451231336048</v>
      </c>
      <c r="BD1451" s="6" t="s">
        <v>14165</v>
      </c>
      <c r="BE1451" s="6" t="str">
        <f t="shared" si="694"/>
        <v>=5.157*100000000</v>
      </c>
      <c r="BF1451" s="1">
        <f>5.157*100000000</f>
        <v>515700000</v>
      </c>
      <c r="BG1451" s="8">
        <f t="shared" si="711"/>
        <v>0.48917123881028013</v>
      </c>
      <c r="BH1451" s="6" t="s">
        <v>4815</v>
      </c>
      <c r="BI1451" s="6" t="str">
        <f t="shared" si="695"/>
        <v>=3.463*100000000</v>
      </c>
      <c r="BJ1451" s="1">
        <f>3.463*100000000</f>
        <v>346300000</v>
      </c>
      <c r="BK1451" s="6" t="s">
        <v>2069</v>
      </c>
      <c r="BL1451" s="1" t="str">
        <f t="shared" si="697"/>
        <v>=1.496*100000000</v>
      </c>
      <c r="BM1451" s="16">
        <f t="shared" si="712"/>
        <v>1.3148395721925135</v>
      </c>
      <c r="BN1451" s="1">
        <f>1.496*100000000</f>
        <v>149600000</v>
      </c>
    </row>
    <row r="1452" spans="1:66">
      <c r="A1452" s="18"/>
      <c r="B1452">
        <v>601799</v>
      </c>
      <c r="C1452" t="s">
        <v>58</v>
      </c>
      <c r="D1452" s="6" t="s">
        <v>9154</v>
      </c>
      <c r="E1452" s="7" t="str">
        <f t="shared" si="696"/>
        <v>=10.78*100000000</v>
      </c>
      <c r="F1452" s="1">
        <f>10.78*100000000</f>
        <v>1078000000</v>
      </c>
      <c r="G1452" s="8">
        <f t="shared" si="698"/>
        <v>0.27906976744186029</v>
      </c>
      <c r="H1452" s="6" t="s">
        <v>14166</v>
      </c>
      <c r="I1452" s="6" t="str">
        <f t="shared" si="682"/>
        <v>=8.428*100000000</v>
      </c>
      <c r="J1452" s="1">
        <f>8.428*100000000</f>
        <v>842800000.00000012</v>
      </c>
      <c r="K1452" s="10">
        <f t="shared" si="699"/>
        <v>0.30162162162162182</v>
      </c>
      <c r="L1452" s="6" t="s">
        <v>5430</v>
      </c>
      <c r="M1452" s="6" t="str">
        <f t="shared" si="683"/>
        <v>=6.475*100000000</v>
      </c>
      <c r="N1452" s="1">
        <f>6.475*100000000</f>
        <v>647500000</v>
      </c>
      <c r="O1452" s="8">
        <f t="shared" si="700"/>
        <v>0.96688942891859053</v>
      </c>
      <c r="P1452" s="6" t="s">
        <v>13694</v>
      </c>
      <c r="Q1452" s="6" t="str">
        <f t="shared" si="684"/>
        <v>=3.292*100000000</v>
      </c>
      <c r="R1452" s="11">
        <f>3.292*100000000</f>
        <v>329200000</v>
      </c>
      <c r="S1452" s="8">
        <f t="shared" si="701"/>
        <v>-0.75882783882783877</v>
      </c>
      <c r="T1452" s="6" t="s">
        <v>155</v>
      </c>
      <c r="U1452" s="6" t="str">
        <f t="shared" si="685"/>
        <v>=13.65*100000000</v>
      </c>
      <c r="V1452" s="1">
        <f>13.65*100000000</f>
        <v>1365000000</v>
      </c>
      <c r="W1452" s="8">
        <f t="shared" si="702"/>
        <v>0.60663841807909602</v>
      </c>
      <c r="X1452" s="6" t="s">
        <v>9880</v>
      </c>
      <c r="Y1452" s="6" t="str">
        <f t="shared" si="686"/>
        <v>=8.496*100000000</v>
      </c>
      <c r="Z1452" s="1">
        <f>8.496*100000000</f>
        <v>849600000</v>
      </c>
      <c r="AA1452" s="8">
        <f t="shared" si="703"/>
        <v>0.826311263972485</v>
      </c>
      <c r="AB1452" s="6" t="s">
        <v>14167</v>
      </c>
      <c r="AC1452" s="6" t="str">
        <f t="shared" si="687"/>
        <v>=4.652*100000000</v>
      </c>
      <c r="AD1452" s="1">
        <f>4.652*100000000</f>
        <v>465200000</v>
      </c>
      <c r="AE1452" s="8">
        <f t="shared" si="704"/>
        <v>1.5118790496760259</v>
      </c>
      <c r="AF1452" s="6" t="s">
        <v>1783</v>
      </c>
      <c r="AG1452" s="6" t="str">
        <f t="shared" si="688"/>
        <v>=1.852*100000000</v>
      </c>
      <c r="AH1452" s="1">
        <f>1.852*100000000</f>
        <v>185200000</v>
      </c>
      <c r="AI1452" s="8">
        <f t="shared" si="705"/>
        <v>-0.80470315301065065</v>
      </c>
      <c r="AJ1452" s="6" t="s">
        <v>14168</v>
      </c>
      <c r="AK1452" s="6" t="str">
        <f t="shared" si="689"/>
        <v>=9.483*100000000</v>
      </c>
      <c r="AL1452" s="1">
        <f>9.483*100000000</f>
        <v>948300000</v>
      </c>
      <c r="AM1452" s="8">
        <f t="shared" si="706"/>
        <v>0.5394480519480519</v>
      </c>
      <c r="AN1452" s="6" t="s">
        <v>14169</v>
      </c>
      <c r="AO1452" s="6" t="str">
        <f t="shared" si="690"/>
        <v>=6.160*100000000</v>
      </c>
      <c r="AP1452" s="1">
        <f>6.16*100000000</f>
        <v>616000000</v>
      </c>
      <c r="AQ1452" s="8">
        <f t="shared" si="707"/>
        <v>0.55634158665992928</v>
      </c>
      <c r="AR1452" s="6" t="s">
        <v>14170</v>
      </c>
      <c r="AS1452" s="6" t="str">
        <f t="shared" si="691"/>
        <v>=3.958*100000000</v>
      </c>
      <c r="AT1452" s="1">
        <f>3.958*100000000</f>
        <v>395800000</v>
      </c>
      <c r="AU1452" s="8">
        <f t="shared" si="708"/>
        <v>0.95940594059405937</v>
      </c>
      <c r="AV1452" s="6" t="s">
        <v>5930</v>
      </c>
      <c r="AW1452" s="6" t="str">
        <f t="shared" si="692"/>
        <v>=2.020*100000000</v>
      </c>
      <c r="AX1452" s="1">
        <f>2.02*100000000</f>
        <v>202000000</v>
      </c>
      <c r="AY1452" s="10">
        <f t="shared" si="709"/>
        <v>-0.71783768682776927</v>
      </c>
      <c r="AZ1452" s="6" t="s">
        <v>12501</v>
      </c>
      <c r="BA1452" s="6" t="str">
        <f t="shared" si="693"/>
        <v>=7.159*100000000</v>
      </c>
      <c r="BB1452" s="1">
        <f>7.159*100000000</f>
        <v>715900000</v>
      </c>
      <c r="BC1452" s="8">
        <f t="shared" si="710"/>
        <v>0.38955745341614906</v>
      </c>
      <c r="BD1452" s="6" t="s">
        <v>14171</v>
      </c>
      <c r="BE1452" s="6" t="str">
        <f t="shared" si="694"/>
        <v>=5.152*100000000</v>
      </c>
      <c r="BF1452" s="1">
        <f>5.152*100000000</f>
        <v>515200000</v>
      </c>
      <c r="BG1452" s="8">
        <f t="shared" si="711"/>
        <v>0.484298473062518</v>
      </c>
      <c r="BH1452" s="6" t="s">
        <v>14172</v>
      </c>
      <c r="BI1452" s="6" t="str">
        <f t="shared" si="695"/>
        <v>=3.471*100000000</v>
      </c>
      <c r="BJ1452" s="1">
        <f>3.471*100000000</f>
        <v>347100000</v>
      </c>
      <c r="BK1452" s="6" t="s">
        <v>11487</v>
      </c>
      <c r="BL1452" s="1" t="str">
        <f t="shared" si="697"/>
        <v>=1.487*100000000</v>
      </c>
      <c r="BM1452" s="16">
        <f t="shared" si="712"/>
        <v>1.3342299932750505</v>
      </c>
      <c r="BN1452" s="1">
        <f>1.487*100000000</f>
        <v>148700000</v>
      </c>
    </row>
    <row r="1453" spans="1:66">
      <c r="A1453" s="19"/>
      <c r="B1453">
        <v>601799</v>
      </c>
      <c r="C1453" t="s">
        <v>68</v>
      </c>
      <c r="D1453" s="6" t="s">
        <v>14173</v>
      </c>
      <c r="E1453" s="7" t="str">
        <f t="shared" si="696"/>
        <v>=9.494*100000000</v>
      </c>
      <c r="F1453" s="1">
        <f>9.494*100000000</f>
        <v>949400000</v>
      </c>
      <c r="G1453" s="8">
        <f t="shared" si="698"/>
        <v>0.28557887610020311</v>
      </c>
      <c r="H1453" s="6" t="s">
        <v>14174</v>
      </c>
      <c r="I1453" s="6" t="str">
        <f t="shared" si="682"/>
        <v>=7.385*100000000</v>
      </c>
      <c r="J1453" s="1">
        <f>7.385*100000000</f>
        <v>738500000</v>
      </c>
      <c r="K1453" s="10">
        <f t="shared" si="699"/>
        <v>0.2965238764044944</v>
      </c>
      <c r="L1453" s="6" t="s">
        <v>10261</v>
      </c>
      <c r="M1453" s="6" t="str">
        <f t="shared" si="683"/>
        <v>=5.696*100000000</v>
      </c>
      <c r="N1453" s="1">
        <f>5.696*100000000</f>
        <v>569600000</v>
      </c>
      <c r="O1453" s="8">
        <f t="shared" si="700"/>
        <v>0.99439775910364148</v>
      </c>
      <c r="P1453" s="6" t="s">
        <v>14175</v>
      </c>
      <c r="Q1453" s="6" t="str">
        <f t="shared" si="684"/>
        <v>=2.856*100000000</v>
      </c>
      <c r="R1453" s="11">
        <f>2.856*100000000</f>
        <v>285600000</v>
      </c>
      <c r="S1453" s="8">
        <f t="shared" si="701"/>
        <v>-0.75379310344827588</v>
      </c>
      <c r="T1453" s="6" t="s">
        <v>5356</v>
      </c>
      <c r="U1453" s="6" t="str">
        <f t="shared" si="685"/>
        <v>=11.60*100000000</v>
      </c>
      <c r="V1453" s="1">
        <f>11.6*100000000</f>
        <v>1160000000</v>
      </c>
      <c r="W1453" s="8">
        <f t="shared" si="702"/>
        <v>0.64073550212164077</v>
      </c>
      <c r="X1453" s="6" t="s">
        <v>9541</v>
      </c>
      <c r="Y1453" s="6" t="str">
        <f t="shared" si="686"/>
        <v>=7.070*100000000</v>
      </c>
      <c r="Z1453" s="1">
        <f>7.07*100000000</f>
        <v>707000000</v>
      </c>
      <c r="AA1453" s="8">
        <f t="shared" si="703"/>
        <v>0.80772181027870105</v>
      </c>
      <c r="AB1453" s="6" t="s">
        <v>14176</v>
      </c>
      <c r="AC1453" s="6" t="str">
        <f t="shared" si="687"/>
        <v>=3.911*100000000</v>
      </c>
      <c r="AD1453" s="1">
        <f>3.911*100000000</f>
        <v>391100000</v>
      </c>
      <c r="AE1453" s="8">
        <f t="shared" si="704"/>
        <v>1.4520376175548588</v>
      </c>
      <c r="AF1453" s="6" t="s">
        <v>6129</v>
      </c>
      <c r="AG1453" s="6" t="str">
        <f t="shared" si="688"/>
        <v>=1.595*100000000</v>
      </c>
      <c r="AH1453" s="1">
        <f>1.595*100000000</f>
        <v>159500000</v>
      </c>
      <c r="AI1453" s="8">
        <f t="shared" si="705"/>
        <v>-0.79797340088663715</v>
      </c>
      <c r="AJ1453" s="6" t="s">
        <v>8203</v>
      </c>
      <c r="AK1453" s="6" t="str">
        <f t="shared" si="689"/>
        <v>=7.895*100000000</v>
      </c>
      <c r="AL1453" s="1">
        <f>7.895*100000000</f>
        <v>789500000</v>
      </c>
      <c r="AM1453" s="8">
        <f t="shared" si="706"/>
        <v>0.48681732580037679</v>
      </c>
      <c r="AN1453" s="6" t="s">
        <v>14177</v>
      </c>
      <c r="AO1453" s="6" t="str">
        <f t="shared" si="690"/>
        <v>=5.310*100000000</v>
      </c>
      <c r="AP1453" s="1">
        <f>5.31*100000000</f>
        <v>530999999.99999994</v>
      </c>
      <c r="AQ1453" s="8">
        <f t="shared" si="707"/>
        <v>0.56590976113240909</v>
      </c>
      <c r="AR1453" s="6" t="s">
        <v>3427</v>
      </c>
      <c r="AS1453" s="6" t="str">
        <f t="shared" si="691"/>
        <v>=3.391*100000000</v>
      </c>
      <c r="AT1453" s="1">
        <f>3.391*100000000</f>
        <v>339100000</v>
      </c>
      <c r="AU1453" s="8">
        <f t="shared" si="708"/>
        <v>0.99470588235294122</v>
      </c>
      <c r="AV1453" s="6" t="s">
        <v>5185</v>
      </c>
      <c r="AW1453" s="6" t="str">
        <f t="shared" si="692"/>
        <v>=1.700*100000000</v>
      </c>
      <c r="AX1453" s="1">
        <f>1.7*100000000</f>
        <v>170000000</v>
      </c>
      <c r="AY1453" s="10">
        <f t="shared" si="709"/>
        <v>-0.72053263192503703</v>
      </c>
      <c r="AZ1453" s="6" t="s">
        <v>7009</v>
      </c>
      <c r="BA1453" s="6" t="str">
        <f t="shared" si="693"/>
        <v>=6.083*100000000</v>
      </c>
      <c r="BB1453" s="1">
        <f>6.083*100000000</f>
        <v>608300000</v>
      </c>
      <c r="BC1453" s="8">
        <f t="shared" si="710"/>
        <v>0.38501821493624755</v>
      </c>
      <c r="BD1453" s="6" t="s">
        <v>12149</v>
      </c>
      <c r="BE1453" s="6" t="str">
        <f t="shared" si="694"/>
        <v>=4.392*100000000</v>
      </c>
      <c r="BF1453" s="1">
        <f>4.392*100000000</f>
        <v>439200000.00000006</v>
      </c>
      <c r="BG1453" s="8">
        <f t="shared" si="711"/>
        <v>0.46448816272090715</v>
      </c>
      <c r="BH1453" s="6" t="s">
        <v>14178</v>
      </c>
      <c r="BI1453" s="6" t="str">
        <f t="shared" si="695"/>
        <v>=2.999*100000000</v>
      </c>
      <c r="BJ1453" s="1">
        <f>2.999*100000000</f>
        <v>299900000</v>
      </c>
      <c r="BK1453" s="6" t="s">
        <v>4877</v>
      </c>
      <c r="BL1453" s="1" t="str">
        <f t="shared" si="697"/>
        <v>=1.307*100000000</v>
      </c>
      <c r="BM1453" s="16">
        <f t="shared" si="712"/>
        <v>1.2945677123182862</v>
      </c>
      <c r="BN1453" s="1">
        <f>1.307*100000000</f>
        <v>130700000</v>
      </c>
    </row>
    <row r="1454" spans="1:66">
      <c r="A1454" s="17">
        <v>365</v>
      </c>
      <c r="B1454">
        <v>601800</v>
      </c>
      <c r="C1454" t="s">
        <v>31</v>
      </c>
      <c r="D1454" s="6" t="s">
        <v>14179</v>
      </c>
      <c r="E1454" s="7" t="str">
        <f t="shared" si="696"/>
        <v>=6856*100000000</v>
      </c>
      <c r="F1454" s="1">
        <f>6856*100000000</f>
        <v>685600000000</v>
      </c>
      <c r="G1454" s="8">
        <f t="shared" si="698"/>
        <v>0.32816737698566445</v>
      </c>
      <c r="H1454" s="6" t="s">
        <v>14180</v>
      </c>
      <c r="I1454" s="6" t="str">
        <f t="shared" si="682"/>
        <v>=5162*100000000</v>
      </c>
      <c r="J1454" s="1">
        <f>5162*100000000</f>
        <v>516200000000</v>
      </c>
      <c r="K1454" s="10">
        <f t="shared" si="699"/>
        <v>0.51556077510275988</v>
      </c>
      <c r="L1454" s="6" t="s">
        <v>14181</v>
      </c>
      <c r="M1454" s="6" t="str">
        <f t="shared" si="683"/>
        <v>=3406*100000000</v>
      </c>
      <c r="N1454" s="1">
        <f>3406*100000000</f>
        <v>340600000000</v>
      </c>
      <c r="O1454" s="8">
        <f t="shared" si="700"/>
        <v>1.2422646477946018</v>
      </c>
      <c r="P1454" s="6" t="s">
        <v>14182</v>
      </c>
      <c r="Q1454" s="6" t="str">
        <f t="shared" si="684"/>
        <v>=1519*100000000</v>
      </c>
      <c r="R1454" s="11">
        <f>1519*100000000</f>
        <v>151900000000</v>
      </c>
      <c r="S1454" s="8">
        <f t="shared" si="701"/>
        <v>-0.75796685787125562</v>
      </c>
      <c r="T1454" s="6" t="s">
        <v>14183</v>
      </c>
      <c r="U1454" s="6" t="str">
        <f t="shared" si="685"/>
        <v>=6276*100000000</v>
      </c>
      <c r="V1454" s="1">
        <f>6276*100000000</f>
        <v>627600000000</v>
      </c>
      <c r="W1454" s="8">
        <f t="shared" si="702"/>
        <v>0.53185257505491823</v>
      </c>
      <c r="X1454" s="6" t="s">
        <v>14184</v>
      </c>
      <c r="Y1454" s="6" t="str">
        <f t="shared" si="686"/>
        <v>=4097*100000000</v>
      </c>
      <c r="Z1454" s="1">
        <f>4097*100000000</f>
        <v>409700000000</v>
      </c>
      <c r="AA1454" s="8">
        <f t="shared" si="703"/>
        <v>0.66274350649350644</v>
      </c>
      <c r="AB1454" s="6" t="s">
        <v>14185</v>
      </c>
      <c r="AC1454" s="6" t="str">
        <f t="shared" si="687"/>
        <v>=2464*100000000</v>
      </c>
      <c r="AD1454" s="1">
        <f>2464*100000000</f>
        <v>246400000000</v>
      </c>
      <c r="AE1454" s="8">
        <f t="shared" si="704"/>
        <v>1.5787545787545787</v>
      </c>
      <c r="AF1454" s="6" t="s">
        <v>14186</v>
      </c>
      <c r="AG1454" s="6" t="str">
        <f t="shared" si="688"/>
        <v>=955.5*100000000</v>
      </c>
      <c r="AH1454" s="1">
        <f>955.5*100000000</f>
        <v>95550000000</v>
      </c>
      <c r="AI1454" s="8">
        <f t="shared" si="705"/>
        <v>-0.82796182931220741</v>
      </c>
      <c r="AJ1454" s="6" t="s">
        <v>14187</v>
      </c>
      <c r="AK1454" s="6" t="str">
        <f t="shared" si="689"/>
        <v>=5554*100000000</v>
      </c>
      <c r="AL1454" s="1">
        <f>5554*100000000</f>
        <v>555400000000</v>
      </c>
      <c r="AM1454" s="8">
        <f t="shared" si="706"/>
        <v>0.47909454061251666</v>
      </c>
      <c r="AN1454" s="6" t="s">
        <v>14188</v>
      </c>
      <c r="AO1454" s="6" t="str">
        <f t="shared" si="690"/>
        <v>=3755*100000000</v>
      </c>
      <c r="AP1454" s="1">
        <f>3755*100000000</f>
        <v>375500000000</v>
      </c>
      <c r="AQ1454" s="8">
        <f t="shared" si="707"/>
        <v>0.56003323639385127</v>
      </c>
      <c r="AR1454" s="6" t="s">
        <v>14189</v>
      </c>
      <c r="AS1454" s="6" t="str">
        <f t="shared" si="691"/>
        <v>=2407*100000000</v>
      </c>
      <c r="AT1454" s="1">
        <f>2407*100000000</f>
        <v>240700000000</v>
      </c>
      <c r="AU1454" s="8">
        <f t="shared" si="708"/>
        <v>1.3551859099804304</v>
      </c>
      <c r="AV1454" s="6" t="s">
        <v>14190</v>
      </c>
      <c r="AW1454" s="6" t="str">
        <f t="shared" si="692"/>
        <v>=1022*100000000</v>
      </c>
      <c r="AX1454" s="1">
        <f>1022*100000000</f>
        <v>102200000000</v>
      </c>
      <c r="AY1454" s="10">
        <f t="shared" si="709"/>
        <v>-0.79181095946221225</v>
      </c>
      <c r="AZ1454" s="6" t="s">
        <v>14191</v>
      </c>
      <c r="BA1454" s="6" t="str">
        <f t="shared" si="693"/>
        <v>=4909*100000000</v>
      </c>
      <c r="BB1454" s="1">
        <f>4909*100000000</f>
        <v>490900000000</v>
      </c>
      <c r="BC1454" s="8">
        <f t="shared" si="710"/>
        <v>0.49436834094368343</v>
      </c>
      <c r="BD1454" s="6" t="s">
        <v>14192</v>
      </c>
      <c r="BE1454" s="6" t="str">
        <f t="shared" si="694"/>
        <v>=3285*100000000</v>
      </c>
      <c r="BF1454" s="1">
        <f>3285*100000000</f>
        <v>328500000000</v>
      </c>
      <c r="BG1454" s="8">
        <f t="shared" si="711"/>
        <v>0.5762955854126679</v>
      </c>
      <c r="BH1454" s="6" t="s">
        <v>14193</v>
      </c>
      <c r="BI1454" s="6" t="str">
        <f t="shared" si="695"/>
        <v>=2084*100000000</v>
      </c>
      <c r="BJ1454" s="1">
        <f>2084*100000000</f>
        <v>208400000000</v>
      </c>
      <c r="BK1454" s="6" t="s">
        <v>14194</v>
      </c>
      <c r="BL1454" s="1" t="str">
        <f t="shared" si="697"/>
        <v>=932.5*100000000</v>
      </c>
      <c r="BM1454" s="16">
        <f t="shared" si="712"/>
        <v>1.2348525469168901</v>
      </c>
      <c r="BN1454" s="1">
        <f>932.5*100000000</f>
        <v>93250000000</v>
      </c>
    </row>
    <row r="1455" spans="1:66">
      <c r="A1455" s="18"/>
      <c r="B1455">
        <v>601800</v>
      </c>
      <c r="C1455" t="s">
        <v>48</v>
      </c>
      <c r="D1455" s="6" t="s">
        <v>14195</v>
      </c>
      <c r="E1455" s="7" t="str">
        <f t="shared" si="696"/>
        <v>=284.9*100000000</v>
      </c>
      <c r="F1455" s="1">
        <f>284.9*100000000</f>
        <v>28489999999.999996</v>
      </c>
      <c r="G1455" s="8">
        <f t="shared" si="698"/>
        <v>0.24737302977232908</v>
      </c>
      <c r="H1455" s="6" t="s">
        <v>11490</v>
      </c>
      <c r="I1455" s="6" t="str">
        <f t="shared" si="682"/>
        <v>=228.4*100000000</v>
      </c>
      <c r="J1455" s="1">
        <f>228.4*100000000</f>
        <v>22840000000</v>
      </c>
      <c r="K1455" s="10">
        <f t="shared" si="699"/>
        <v>0.52266666666666661</v>
      </c>
      <c r="L1455" s="6" t="s">
        <v>14196</v>
      </c>
      <c r="M1455" s="6" t="str">
        <f t="shared" si="683"/>
        <v>=150.0*100000000</v>
      </c>
      <c r="N1455" s="1">
        <f>150*100000000</f>
        <v>15000000000</v>
      </c>
      <c r="O1455" s="8">
        <f t="shared" si="700"/>
        <v>1.1805494984736151</v>
      </c>
      <c r="P1455" s="6" t="s">
        <v>3106</v>
      </c>
      <c r="Q1455" s="6" t="str">
        <f t="shared" si="684"/>
        <v>=68.79*100000000</v>
      </c>
      <c r="R1455" s="11">
        <f>68.79*100000000</f>
        <v>6879000000.000001</v>
      </c>
      <c r="S1455" s="8">
        <f t="shared" si="701"/>
        <v>-0.72895981087470452</v>
      </c>
      <c r="T1455" s="6" t="s">
        <v>13595</v>
      </c>
      <c r="U1455" s="6" t="str">
        <f t="shared" si="685"/>
        <v>=253.8*100000000</v>
      </c>
      <c r="V1455" s="1">
        <f>253.8*100000000</f>
        <v>25380000000</v>
      </c>
      <c r="W1455" s="8">
        <f t="shared" si="702"/>
        <v>0.65234375</v>
      </c>
      <c r="X1455" s="6" t="s">
        <v>14197</v>
      </c>
      <c r="Y1455" s="6" t="str">
        <f t="shared" si="686"/>
        <v>=153.6*100000000</v>
      </c>
      <c r="Z1455" s="1">
        <f>153.6*100000000</f>
        <v>15360000000</v>
      </c>
      <c r="AA1455" s="8">
        <f t="shared" si="703"/>
        <v>0.7693814076719272</v>
      </c>
      <c r="AB1455" s="6" t="s">
        <v>14127</v>
      </c>
      <c r="AC1455" s="6" t="str">
        <f t="shared" si="687"/>
        <v>=86.81*100000000</v>
      </c>
      <c r="AD1455" s="1">
        <f>86.81*100000000</f>
        <v>8681000000</v>
      </c>
      <c r="AE1455" s="8">
        <f t="shared" si="704"/>
        <v>1.8387835186396337</v>
      </c>
      <c r="AF1455" s="6" t="s">
        <v>14198</v>
      </c>
      <c r="AG1455" s="6" t="str">
        <f t="shared" si="688"/>
        <v>=30.58*100000000</v>
      </c>
      <c r="AH1455" s="1">
        <f>30.58*100000000</f>
        <v>3058000000</v>
      </c>
      <c r="AI1455" s="8">
        <f t="shared" si="705"/>
        <v>-0.88451661631419942</v>
      </c>
      <c r="AJ1455" s="6" t="s">
        <v>11834</v>
      </c>
      <c r="AK1455" s="6" t="str">
        <f t="shared" si="689"/>
        <v>=264.8*100000000</v>
      </c>
      <c r="AL1455" s="1">
        <f>264.8*100000000</f>
        <v>26480000000</v>
      </c>
      <c r="AM1455" s="8">
        <f t="shared" si="706"/>
        <v>0.5332947307469601</v>
      </c>
      <c r="AN1455" s="6" t="s">
        <v>14199</v>
      </c>
      <c r="AO1455" s="6" t="str">
        <f t="shared" si="690"/>
        <v>=172.7*100000000</v>
      </c>
      <c r="AP1455" s="1">
        <f>172.7*100000000</f>
        <v>17270000000</v>
      </c>
      <c r="AQ1455" s="8">
        <f t="shared" si="707"/>
        <v>0.48751076658053405</v>
      </c>
      <c r="AR1455" s="6" t="s">
        <v>6434</v>
      </c>
      <c r="AS1455" s="6" t="str">
        <f t="shared" si="691"/>
        <v>=116.1*100000000</v>
      </c>
      <c r="AT1455" s="1">
        <f>116.1*100000000</f>
        <v>11610000000</v>
      </c>
      <c r="AU1455" s="8">
        <f t="shared" si="708"/>
        <v>1.4876794514677523</v>
      </c>
      <c r="AV1455" s="6" t="s">
        <v>10620</v>
      </c>
      <c r="AW1455" s="6" t="str">
        <f t="shared" si="692"/>
        <v>=46.67*100000000</v>
      </c>
      <c r="AX1455" s="1">
        <f>46.67*100000000</f>
        <v>4667000000</v>
      </c>
      <c r="AY1455" s="10">
        <f t="shared" si="709"/>
        <v>-0.81465448768864179</v>
      </c>
      <c r="AZ1455" s="6" t="s">
        <v>14200</v>
      </c>
      <c r="BA1455" s="6" t="str">
        <f t="shared" si="693"/>
        <v>=251.8*100000000</v>
      </c>
      <c r="BB1455" s="1">
        <f>251.8*100000000</f>
        <v>25180000000</v>
      </c>
      <c r="BC1455" s="8">
        <f t="shared" si="710"/>
        <v>0.51595424443106563</v>
      </c>
      <c r="BD1455" s="6" t="s">
        <v>14118</v>
      </c>
      <c r="BE1455" s="6" t="str">
        <f t="shared" si="694"/>
        <v>=166.1*100000000</v>
      </c>
      <c r="BF1455" s="1">
        <f>166.1*100000000</f>
        <v>16610000000</v>
      </c>
      <c r="BG1455" s="8">
        <f t="shared" si="711"/>
        <v>0.53512014787430684</v>
      </c>
      <c r="BH1455" s="6" t="s">
        <v>13757</v>
      </c>
      <c r="BI1455" s="6" t="str">
        <f t="shared" si="695"/>
        <v>=108.2*100000000</v>
      </c>
      <c r="BJ1455" s="1">
        <f>108.2*100000000</f>
        <v>10820000000</v>
      </c>
      <c r="BK1455" s="6" t="s">
        <v>9395</v>
      </c>
      <c r="BL1455" s="1" t="str">
        <f t="shared" si="697"/>
        <v>=42.60*100000000</v>
      </c>
      <c r="BM1455" s="16">
        <f t="shared" si="712"/>
        <v>1.539906103286385</v>
      </c>
      <c r="BN1455" s="1">
        <f>42.6*100000000</f>
        <v>4260000000</v>
      </c>
    </row>
    <row r="1456" spans="1:66">
      <c r="A1456" s="18"/>
      <c r="B1456">
        <v>601800</v>
      </c>
      <c r="C1456" t="s">
        <v>58</v>
      </c>
      <c r="D1456" s="6" t="s">
        <v>14201</v>
      </c>
      <c r="E1456" s="7" t="str">
        <f t="shared" si="696"/>
        <v>=287.4*100000000</v>
      </c>
      <c r="F1456" s="1">
        <f>287.4*100000000</f>
        <v>28739999999.999996</v>
      </c>
      <c r="G1456" s="8">
        <f t="shared" si="698"/>
        <v>0.24577373211963571</v>
      </c>
      <c r="H1456" s="6" t="s">
        <v>14202</v>
      </c>
      <c r="I1456" s="6" t="str">
        <f t="shared" si="682"/>
        <v>=230.7*100000000</v>
      </c>
      <c r="J1456" s="1">
        <f>230.7*100000000</f>
        <v>23070000000</v>
      </c>
      <c r="K1456" s="10">
        <f t="shared" si="699"/>
        <v>0.52377807133421406</v>
      </c>
      <c r="L1456" s="6" t="s">
        <v>14203</v>
      </c>
      <c r="M1456" s="6" t="str">
        <f t="shared" si="683"/>
        <v>=151.4*100000000</v>
      </c>
      <c r="N1456" s="1">
        <f>151.4*100000000</f>
        <v>15140000000</v>
      </c>
      <c r="O1456" s="8">
        <f t="shared" si="700"/>
        <v>1.1777905638665132</v>
      </c>
      <c r="P1456" s="6" t="s">
        <v>14204</v>
      </c>
      <c r="Q1456" s="6" t="str">
        <f t="shared" si="684"/>
        <v>=69.52*100000000</v>
      </c>
      <c r="R1456" s="11">
        <f>69.52*100000000</f>
        <v>6952000000</v>
      </c>
      <c r="S1456" s="8">
        <f t="shared" si="701"/>
        <v>-0.7268369351669941</v>
      </c>
      <c r="T1456" s="6" t="s">
        <v>1849</v>
      </c>
      <c r="U1456" s="6" t="str">
        <f t="shared" si="685"/>
        <v>=254.5*100000000</v>
      </c>
      <c r="V1456" s="1">
        <f>254.5*100000000</f>
        <v>25450000000</v>
      </c>
      <c r="W1456" s="8">
        <f t="shared" si="702"/>
        <v>0.64618369987063384</v>
      </c>
      <c r="X1456" s="6" t="s">
        <v>14205</v>
      </c>
      <c r="Y1456" s="6" t="str">
        <f t="shared" si="686"/>
        <v>=154.6*100000000</v>
      </c>
      <c r="Z1456" s="1">
        <f>154.6*100000000</f>
        <v>15460000000</v>
      </c>
      <c r="AA1456" s="8">
        <f t="shared" si="703"/>
        <v>0.78151647845125605</v>
      </c>
      <c r="AB1456" s="6" t="s">
        <v>14206</v>
      </c>
      <c r="AC1456" s="6" t="str">
        <f t="shared" si="687"/>
        <v>=86.78*100000000</v>
      </c>
      <c r="AD1456" s="1">
        <f>86.78*100000000</f>
        <v>8678000000</v>
      </c>
      <c r="AE1456" s="8">
        <f t="shared" si="704"/>
        <v>1.8102331606217616</v>
      </c>
      <c r="AF1456" s="6" t="s">
        <v>14207</v>
      </c>
      <c r="AG1456" s="6" t="str">
        <f t="shared" si="688"/>
        <v>=30.88*100000000</v>
      </c>
      <c r="AH1456" s="1">
        <f>30.88*100000000</f>
        <v>3088000000</v>
      </c>
      <c r="AI1456" s="8">
        <f t="shared" si="705"/>
        <v>-0.8839097744360902</v>
      </c>
      <c r="AJ1456" s="6" t="s">
        <v>14208</v>
      </c>
      <c r="AK1456" s="6" t="str">
        <f t="shared" si="689"/>
        <v>=266.0*100000000</v>
      </c>
      <c r="AL1456" s="1">
        <f>266*100000000</f>
        <v>26600000000</v>
      </c>
      <c r="AM1456" s="8">
        <f t="shared" si="706"/>
        <v>0.52522935779816515</v>
      </c>
      <c r="AN1456" s="6" t="s">
        <v>12320</v>
      </c>
      <c r="AO1456" s="6" t="str">
        <f t="shared" si="690"/>
        <v>=174.4*100000000</v>
      </c>
      <c r="AP1456" s="1">
        <f>174.4*100000000</f>
        <v>17440000000</v>
      </c>
      <c r="AQ1456" s="8">
        <f t="shared" si="707"/>
        <v>0.49187339606501285</v>
      </c>
      <c r="AR1456" s="6" t="s">
        <v>14209</v>
      </c>
      <c r="AS1456" s="6" t="str">
        <f t="shared" si="691"/>
        <v>=116.9*100000000</v>
      </c>
      <c r="AT1456" s="1">
        <f>116.9*100000000</f>
        <v>11690000000</v>
      </c>
      <c r="AU1456" s="8">
        <f t="shared" si="708"/>
        <v>1.4584647739221872</v>
      </c>
      <c r="AV1456" s="6" t="s">
        <v>14210</v>
      </c>
      <c r="AW1456" s="6" t="str">
        <f t="shared" si="692"/>
        <v>=47.55*100000000</v>
      </c>
      <c r="AX1456" s="1">
        <f>47.55*100000000</f>
        <v>4755000000</v>
      </c>
      <c r="AY1456" s="10">
        <f t="shared" si="709"/>
        <v>-0.81316306483300593</v>
      </c>
      <c r="AZ1456" s="6" t="s">
        <v>1849</v>
      </c>
      <c r="BA1456" s="6" t="str">
        <f t="shared" si="693"/>
        <v>=254.5*100000000</v>
      </c>
      <c r="BB1456" s="1">
        <f>254.5*100000000</f>
        <v>25450000000</v>
      </c>
      <c r="BC1456" s="8">
        <f t="shared" si="710"/>
        <v>0.50948991696322654</v>
      </c>
      <c r="BD1456" s="6" t="s">
        <v>11101</v>
      </c>
      <c r="BE1456" s="6" t="str">
        <f t="shared" si="694"/>
        <v>=168.6*100000000</v>
      </c>
      <c r="BF1456" s="1">
        <f>168.6*100000000</f>
        <v>16860000000</v>
      </c>
      <c r="BG1456" s="8">
        <f t="shared" si="711"/>
        <v>0.53272727272727272</v>
      </c>
      <c r="BH1456" s="6" t="s">
        <v>8097</v>
      </c>
      <c r="BI1456" s="6" t="str">
        <f t="shared" si="695"/>
        <v>=110.0*100000000</v>
      </c>
      <c r="BJ1456" s="1">
        <f>110*100000000</f>
        <v>11000000000</v>
      </c>
      <c r="BK1456" s="6" t="s">
        <v>14211</v>
      </c>
      <c r="BL1456" s="1" t="str">
        <f t="shared" si="697"/>
        <v>=43.81*100000000</v>
      </c>
      <c r="BM1456" s="16">
        <f t="shared" si="712"/>
        <v>1.5108422734535494</v>
      </c>
      <c r="BN1456" s="1">
        <f>43.81*100000000</f>
        <v>4381000000</v>
      </c>
    </row>
    <row r="1457" spans="1:66">
      <c r="A1457" s="19"/>
      <c r="B1457">
        <v>601800</v>
      </c>
      <c r="C1457" t="s">
        <v>68</v>
      </c>
      <c r="D1457" s="6" t="s">
        <v>14212</v>
      </c>
      <c r="E1457" s="7" t="str">
        <f t="shared" si="696"/>
        <v>=235.0*100000000</v>
      </c>
      <c r="F1457" s="1">
        <f>235*100000000</f>
        <v>23500000000</v>
      </c>
      <c r="G1457" s="8">
        <f t="shared" si="698"/>
        <v>0.26140633387010198</v>
      </c>
      <c r="H1457" s="6" t="s">
        <v>14213</v>
      </c>
      <c r="I1457" s="6" t="str">
        <f t="shared" si="682"/>
        <v>=186.3*100000000</v>
      </c>
      <c r="J1457" s="1">
        <f>186.3*100000000</f>
        <v>18630000000</v>
      </c>
      <c r="K1457" s="10">
        <f t="shared" si="699"/>
        <v>0.51340373679935014</v>
      </c>
      <c r="L1457" s="6" t="s">
        <v>4618</v>
      </c>
      <c r="M1457" s="6" t="str">
        <f t="shared" si="683"/>
        <v>=123.1*100000000</v>
      </c>
      <c r="N1457" s="1">
        <f>123.1*100000000</f>
        <v>12310000000</v>
      </c>
      <c r="O1457" s="8">
        <f t="shared" si="700"/>
        <v>1.1695452943249911</v>
      </c>
      <c r="P1457" s="6" t="s">
        <v>14214</v>
      </c>
      <c r="Q1457" s="6" t="str">
        <f t="shared" si="684"/>
        <v>=56.74*100000000</v>
      </c>
      <c r="R1457" s="11">
        <f>56.74*100000000</f>
        <v>5674000000</v>
      </c>
      <c r="S1457" s="8">
        <f t="shared" si="701"/>
        <v>-0.70677002583979331</v>
      </c>
      <c r="T1457" s="6" t="s">
        <v>14215</v>
      </c>
      <c r="U1457" s="6" t="str">
        <f t="shared" si="685"/>
        <v>=193.5*100000000</v>
      </c>
      <c r="V1457" s="1">
        <f>193.5*100000000</f>
        <v>19350000000</v>
      </c>
      <c r="W1457" s="8">
        <f t="shared" si="702"/>
        <v>0.63844199830651993</v>
      </c>
      <c r="X1457" s="6" t="s">
        <v>13874</v>
      </c>
      <c r="Y1457" s="6" t="str">
        <f t="shared" si="686"/>
        <v>=118.1*100000000</v>
      </c>
      <c r="Z1457" s="1">
        <f>118.1*100000000</f>
        <v>11810000000</v>
      </c>
      <c r="AA1457" s="8">
        <f t="shared" si="703"/>
        <v>0.83242823894491857</v>
      </c>
      <c r="AB1457" s="6" t="s">
        <v>12796</v>
      </c>
      <c r="AC1457" s="6" t="str">
        <f t="shared" si="687"/>
        <v>=64.45*100000000</v>
      </c>
      <c r="AD1457" s="1">
        <f>64.45*100000000</f>
        <v>6445000000</v>
      </c>
      <c r="AE1457" s="8">
        <f t="shared" si="704"/>
        <v>1.5738817891373802</v>
      </c>
      <c r="AF1457" s="6" t="s">
        <v>14216</v>
      </c>
      <c r="AG1457" s="6" t="str">
        <f t="shared" si="688"/>
        <v>=25.04*100000000</v>
      </c>
      <c r="AH1457" s="1">
        <f>25.04*100000000</f>
        <v>2504000000</v>
      </c>
      <c r="AI1457" s="8">
        <f t="shared" si="705"/>
        <v>-0.88369716674407806</v>
      </c>
      <c r="AJ1457" s="6" t="s">
        <v>14217</v>
      </c>
      <c r="AK1457" s="6" t="str">
        <f t="shared" si="689"/>
        <v>=215.3*100000000</v>
      </c>
      <c r="AL1457" s="1">
        <f>215.3*100000000</f>
        <v>21530000000</v>
      </c>
      <c r="AM1457" s="8">
        <f t="shared" si="706"/>
        <v>0.50664800559832046</v>
      </c>
      <c r="AN1457" s="6" t="s">
        <v>12134</v>
      </c>
      <c r="AO1457" s="6" t="str">
        <f t="shared" si="690"/>
        <v>=142.9*100000000</v>
      </c>
      <c r="AP1457" s="1">
        <f>142.9*100000000</f>
        <v>14290000000</v>
      </c>
      <c r="AQ1457" s="8">
        <f t="shared" si="707"/>
        <v>0.48962785364328154</v>
      </c>
      <c r="AR1457" s="6" t="s">
        <v>12707</v>
      </c>
      <c r="AS1457" s="6" t="str">
        <f t="shared" si="691"/>
        <v>=95.93*100000000</v>
      </c>
      <c r="AT1457" s="1">
        <f>95.93*100000000</f>
        <v>9593000000</v>
      </c>
      <c r="AU1457" s="8">
        <f t="shared" si="708"/>
        <v>1.4781710152415397</v>
      </c>
      <c r="AV1457" s="6" t="s">
        <v>14218</v>
      </c>
      <c r="AW1457" s="6" t="str">
        <f t="shared" si="692"/>
        <v>=38.71*100000000</v>
      </c>
      <c r="AX1457" s="1">
        <f>38.71*100000000</f>
        <v>3871000000</v>
      </c>
      <c r="AY1457" s="10">
        <f t="shared" si="709"/>
        <v>-0.80921636274026609</v>
      </c>
      <c r="AZ1457" s="6" t="s">
        <v>14219</v>
      </c>
      <c r="BA1457" s="6" t="str">
        <f t="shared" si="693"/>
        <v>=202.9*100000000</v>
      </c>
      <c r="BB1457" s="1">
        <f>202.9*100000000</f>
        <v>20290000000</v>
      </c>
      <c r="BC1457" s="8">
        <f t="shared" si="710"/>
        <v>0.51757666417352299</v>
      </c>
      <c r="BD1457" s="6" t="s">
        <v>14220</v>
      </c>
      <c r="BE1457" s="6" t="str">
        <f t="shared" si="694"/>
        <v>=133.7*100000000</v>
      </c>
      <c r="BF1457" s="1">
        <f>133.7*100000000</f>
        <v>13369999999.999998</v>
      </c>
      <c r="BG1457" s="8">
        <f t="shared" si="711"/>
        <v>0.55068429598700974</v>
      </c>
      <c r="BH1457" s="6" t="s">
        <v>14221</v>
      </c>
      <c r="BI1457" s="6" t="str">
        <f t="shared" si="695"/>
        <v>=86.22*100000000</v>
      </c>
      <c r="BJ1457" s="1">
        <f>86.22*100000000</f>
        <v>8622000000</v>
      </c>
      <c r="BK1457" s="6" t="s">
        <v>10507</v>
      </c>
      <c r="BL1457" s="1" t="str">
        <f t="shared" si="697"/>
        <v>=34.06*100000000</v>
      </c>
      <c r="BM1457" s="16">
        <f t="shared" si="712"/>
        <v>1.5314151497357604</v>
      </c>
      <c r="BN1457" s="1">
        <f>34.06*100000000</f>
        <v>3406000000</v>
      </c>
    </row>
    <row r="1458" spans="1:66">
      <c r="A1458" s="17">
        <v>366</v>
      </c>
      <c r="B1458">
        <v>601808</v>
      </c>
      <c r="C1458" t="s">
        <v>31</v>
      </c>
      <c r="D1458" s="6" t="s">
        <v>14222</v>
      </c>
      <c r="E1458" s="7" t="str">
        <f t="shared" si="696"/>
        <v>=292.0*100000000</v>
      </c>
      <c r="F1458" s="1">
        <f>292*100000000</f>
        <v>29200000000</v>
      </c>
      <c r="G1458" s="8">
        <f t="shared" si="698"/>
        <v>0.46881287726358151</v>
      </c>
      <c r="H1458" s="6" t="s">
        <v>4708</v>
      </c>
      <c r="I1458" s="6" t="str">
        <f t="shared" si="682"/>
        <v>=198.8*100000000</v>
      </c>
      <c r="J1458" s="1">
        <f>198.8*100000000</f>
        <v>19880000000</v>
      </c>
      <c r="K1458" s="10">
        <f t="shared" si="699"/>
        <v>0.56043956043956045</v>
      </c>
      <c r="L1458" s="6" t="s">
        <v>14223</v>
      </c>
      <c r="M1458" s="6" t="str">
        <f t="shared" si="683"/>
        <v>=127.4*100000000</v>
      </c>
      <c r="N1458" s="1">
        <f>127.4*100000000</f>
        <v>12740000000</v>
      </c>
      <c r="O1458" s="8">
        <f t="shared" si="700"/>
        <v>1.1582246315432831</v>
      </c>
      <c r="P1458" s="6" t="s">
        <v>6113</v>
      </c>
      <c r="Q1458" s="6" t="str">
        <f t="shared" si="684"/>
        <v>=59.03*100000000</v>
      </c>
      <c r="R1458" s="11">
        <f>59.03*100000000</f>
        <v>5903000000</v>
      </c>
      <c r="S1458" s="8">
        <f t="shared" si="701"/>
        <v>-0.79616712707182324</v>
      </c>
      <c r="T1458" s="6" t="s">
        <v>7988</v>
      </c>
      <c r="U1458" s="6" t="str">
        <f t="shared" si="685"/>
        <v>=289.6*100000000</v>
      </c>
      <c r="V1458" s="1">
        <f>289.6*100000000</f>
        <v>28960000000.000004</v>
      </c>
      <c r="W1458" s="8">
        <f t="shared" si="702"/>
        <v>0.3501165501165503</v>
      </c>
      <c r="X1458" s="6" t="s">
        <v>13928</v>
      </c>
      <c r="Y1458" s="6" t="str">
        <f t="shared" si="686"/>
        <v>=214.5*100000000</v>
      </c>
      <c r="Z1458" s="1">
        <f>214.5*100000000</f>
        <v>21450000000</v>
      </c>
      <c r="AA1458" s="8">
        <f t="shared" si="703"/>
        <v>0.47829083390764987</v>
      </c>
      <c r="AB1458" s="6" t="s">
        <v>519</v>
      </c>
      <c r="AC1458" s="6" t="str">
        <f t="shared" si="687"/>
        <v>=145.1*100000000</v>
      </c>
      <c r="AD1458" s="1">
        <f>145.1*100000000</f>
        <v>14510000000</v>
      </c>
      <c r="AE1458" s="8">
        <f t="shared" si="704"/>
        <v>0.77644466209598417</v>
      </c>
      <c r="AF1458" s="6" t="s">
        <v>14224</v>
      </c>
      <c r="AG1458" s="6" t="str">
        <f t="shared" si="688"/>
        <v>=81.68*100000000</v>
      </c>
      <c r="AH1458" s="1">
        <f>81.68*100000000</f>
        <v>8168000000.000001</v>
      </c>
      <c r="AI1458" s="8">
        <f t="shared" si="705"/>
        <v>-0.73770070648683361</v>
      </c>
      <c r="AJ1458" s="6" t="s">
        <v>14225</v>
      </c>
      <c r="AK1458" s="6" t="str">
        <f t="shared" si="689"/>
        <v>=311.4*100000000</v>
      </c>
      <c r="AL1458" s="1">
        <f>311.4*100000000</f>
        <v>31139999999.999996</v>
      </c>
      <c r="AM1458" s="8">
        <f t="shared" si="706"/>
        <v>0.45991561181434581</v>
      </c>
      <c r="AN1458" s="6" t="s">
        <v>14226</v>
      </c>
      <c r="AO1458" s="6" t="str">
        <f t="shared" si="690"/>
        <v>=213.3*100000000</v>
      </c>
      <c r="AP1458" s="1">
        <f>213.3*100000000</f>
        <v>21330000000</v>
      </c>
      <c r="AQ1458" s="8">
        <f t="shared" si="707"/>
        <v>0.57300884955752207</v>
      </c>
      <c r="AR1458" s="6" t="s">
        <v>9405</v>
      </c>
      <c r="AS1458" s="6" t="str">
        <f t="shared" si="691"/>
        <v>=135.6*100000000</v>
      </c>
      <c r="AT1458" s="1">
        <f>135.6*100000000</f>
        <v>13560000000</v>
      </c>
      <c r="AU1458" s="8">
        <f t="shared" si="708"/>
        <v>1.2951929587000677</v>
      </c>
      <c r="AV1458" s="6" t="s">
        <v>14227</v>
      </c>
      <c r="AW1458" s="6" t="str">
        <f t="shared" si="692"/>
        <v>=59.08*100000000</v>
      </c>
      <c r="AX1458" s="1">
        <f>59.08*100000000</f>
        <v>5908000000</v>
      </c>
      <c r="AY1458" s="10">
        <f t="shared" si="709"/>
        <v>-0.73084282460136674</v>
      </c>
      <c r="AZ1458" s="6" t="s">
        <v>12432</v>
      </c>
      <c r="BA1458" s="6" t="str">
        <f t="shared" si="693"/>
        <v>=219.5*100000000</v>
      </c>
      <c r="BB1458" s="1">
        <f>219.5*100000000</f>
        <v>21950000000</v>
      </c>
      <c r="BC1458" s="8">
        <f t="shared" si="710"/>
        <v>0.59985422740524807</v>
      </c>
      <c r="BD1458" s="6" t="s">
        <v>14228</v>
      </c>
      <c r="BE1458" s="6" t="str">
        <f t="shared" si="694"/>
        <v>=137.2*100000000</v>
      </c>
      <c r="BF1458" s="1">
        <f>137.2*100000000</f>
        <v>13719999999.999998</v>
      </c>
      <c r="BG1458" s="8">
        <f t="shared" si="711"/>
        <v>0.68550368550368512</v>
      </c>
      <c r="BH1458" s="6" t="s">
        <v>14229</v>
      </c>
      <c r="BI1458" s="6" t="str">
        <f t="shared" si="695"/>
        <v>=81.40*100000000</v>
      </c>
      <c r="BJ1458" s="1">
        <f>81.4*100000000</f>
        <v>8140000000.000001</v>
      </c>
      <c r="BK1458" s="6" t="s">
        <v>14230</v>
      </c>
      <c r="BL1458" s="1" t="str">
        <f t="shared" si="697"/>
        <v>=34.28*100000000</v>
      </c>
      <c r="BM1458" s="16">
        <f t="shared" si="712"/>
        <v>1.3745624270711787</v>
      </c>
      <c r="BN1458" s="1">
        <f>34.28*100000000</f>
        <v>3428000000</v>
      </c>
    </row>
    <row r="1459" spans="1:66">
      <c r="A1459" s="18"/>
      <c r="B1459">
        <v>601808</v>
      </c>
      <c r="C1459" t="s">
        <v>48</v>
      </c>
      <c r="D1459" s="6" t="s">
        <v>14231</v>
      </c>
      <c r="E1459" s="7" t="str">
        <f t="shared" si="696"/>
        <v>=8.797*100000000</v>
      </c>
      <c r="F1459" s="1">
        <f>8.797*100000000</f>
        <v>879700000.00000012</v>
      </c>
      <c r="G1459" s="8">
        <f t="shared" si="698"/>
        <v>-0.56190239043824686</v>
      </c>
      <c r="H1459" s="6" t="s">
        <v>14232</v>
      </c>
      <c r="I1459" s="6" t="str">
        <f t="shared" si="682"/>
        <v>=20.08*100000000</v>
      </c>
      <c r="J1459" s="1">
        <f>20.08*100000000</f>
        <v>2007999999.9999998</v>
      </c>
      <c r="K1459" s="10">
        <f t="shared" si="699"/>
        <v>0.77541998231653386</v>
      </c>
      <c r="L1459" s="6" t="s">
        <v>69</v>
      </c>
      <c r="M1459" s="6" t="str">
        <f t="shared" si="683"/>
        <v>=11.31*100000000</v>
      </c>
      <c r="N1459" s="1">
        <f>11.31*100000000</f>
        <v>1131000000</v>
      </c>
      <c r="O1459" s="8">
        <f t="shared" si="700"/>
        <v>2.4778597785977858</v>
      </c>
      <c r="P1459" s="6" t="s">
        <v>8832</v>
      </c>
      <c r="Q1459" s="6" t="str">
        <f t="shared" si="684"/>
        <v>=3.252*100000000</v>
      </c>
      <c r="R1459" s="11">
        <f>3.252*100000000</f>
        <v>325200000</v>
      </c>
      <c r="S1459" s="8">
        <f t="shared" si="701"/>
        <v>-0.89751024267254964</v>
      </c>
      <c r="T1459" s="6" t="s">
        <v>12447</v>
      </c>
      <c r="U1459" s="6" t="str">
        <f t="shared" si="685"/>
        <v>=31.73*100000000</v>
      </c>
      <c r="V1459" s="1">
        <f>31.73*100000000</f>
        <v>3173000000</v>
      </c>
      <c r="W1459" s="8">
        <f t="shared" si="702"/>
        <v>0.2586275287584292</v>
      </c>
      <c r="X1459" s="6" t="s">
        <v>5101</v>
      </c>
      <c r="Y1459" s="6" t="str">
        <f t="shared" si="686"/>
        <v>=25.21*100000000</v>
      </c>
      <c r="Z1459" s="1">
        <f>25.21*100000000</f>
        <v>2521000000</v>
      </c>
      <c r="AA1459" s="8">
        <f t="shared" si="703"/>
        <v>0.26239359038557836</v>
      </c>
      <c r="AB1459" s="6" t="s">
        <v>14233</v>
      </c>
      <c r="AC1459" s="6" t="str">
        <f t="shared" si="687"/>
        <v>=19.97*100000000</v>
      </c>
      <c r="AD1459" s="1">
        <f>19.97*100000000</f>
        <v>1997000000</v>
      </c>
      <c r="AE1459" s="8">
        <f t="shared" si="704"/>
        <v>0.5037650602409639</v>
      </c>
      <c r="AF1459" s="6" t="s">
        <v>6407</v>
      </c>
      <c r="AG1459" s="6" t="str">
        <f t="shared" si="688"/>
        <v>=13.28*100000000</v>
      </c>
      <c r="AH1459" s="1">
        <f>13.28*100000000</f>
        <v>1328000000</v>
      </c>
      <c r="AI1459" s="8">
        <f t="shared" si="705"/>
        <v>-0.61473745285755732</v>
      </c>
      <c r="AJ1459" s="6" t="s">
        <v>14234</v>
      </c>
      <c r="AK1459" s="6" t="str">
        <f t="shared" si="689"/>
        <v>=34.47*100000000</v>
      </c>
      <c r="AL1459" s="1">
        <f>34.47*100000000</f>
        <v>3447000000</v>
      </c>
      <c r="AM1459" s="8">
        <f t="shared" si="706"/>
        <v>0.20820189274447951</v>
      </c>
      <c r="AN1459" s="6" t="s">
        <v>14235</v>
      </c>
      <c r="AO1459" s="6" t="str">
        <f t="shared" si="690"/>
        <v>=28.53*100000000</v>
      </c>
      <c r="AP1459" s="1">
        <f>28.53*100000000</f>
        <v>2853000000</v>
      </c>
      <c r="AQ1459" s="8">
        <f t="shared" si="707"/>
        <v>1.0320512820512822</v>
      </c>
      <c r="AR1459" s="6" t="s">
        <v>1826</v>
      </c>
      <c r="AS1459" s="6" t="str">
        <f t="shared" si="691"/>
        <v>=14.04*100000000</v>
      </c>
      <c r="AT1459" s="1">
        <f>14.04*100000000</f>
        <v>1404000000</v>
      </c>
      <c r="AU1459" s="8">
        <f t="shared" si="708"/>
        <v>7.709677419354839</v>
      </c>
      <c r="AV1459" s="6" t="s">
        <v>10152</v>
      </c>
      <c r="AW1459" s="6" t="str">
        <f t="shared" si="692"/>
        <v>=1.612*100000000</v>
      </c>
      <c r="AX1459" s="1">
        <f>1.612*100000000</f>
        <v>161200000</v>
      </c>
      <c r="AY1459" s="10">
        <f t="shared" si="709"/>
        <v>-0.75438061861953376</v>
      </c>
      <c r="AZ1459" s="6" t="s">
        <v>13510</v>
      </c>
      <c r="BA1459" s="6" t="str">
        <f t="shared" si="693"/>
        <v>=6.563*100000000</v>
      </c>
      <c r="BB1459" s="1">
        <f>6.563*100000000</f>
        <v>656300000</v>
      </c>
      <c r="BC1459" s="8">
        <f t="shared" si="710"/>
        <v>-14.692885457959525</v>
      </c>
      <c r="BD1459" s="7">
        <f>-4793*10000</f>
        <v>-47930000</v>
      </c>
      <c r="BE1459" s="6" t="str">
        <f t="shared" si="694"/>
        <v>=-47930000</v>
      </c>
      <c r="BF1459" s="1">
        <f>-47930000</f>
        <v>-47930000</v>
      </c>
      <c r="BG1459" s="8">
        <f t="shared" si="711"/>
        <v>-0.81211289690317523</v>
      </c>
      <c r="BH1459" s="6">
        <f>-2.551*100000000</f>
        <v>-255100000.00000003</v>
      </c>
      <c r="BI1459" s="6" t="str">
        <f t="shared" si="695"/>
        <v>=-255100000</v>
      </c>
      <c r="BJ1459" s="1">
        <f>-255100000</f>
        <v>-255100000</v>
      </c>
      <c r="BK1459" s="6">
        <f>-6.377*100000000</f>
        <v>-637700000</v>
      </c>
      <c r="BL1459" s="1" t="str">
        <f t="shared" si="697"/>
        <v>=-637700000</v>
      </c>
      <c r="BM1459" s="16">
        <f t="shared" si="712"/>
        <v>-0.59996863729026184</v>
      </c>
      <c r="BN1459" s="1">
        <f>-637700000</f>
        <v>-637700000</v>
      </c>
    </row>
    <row r="1460" spans="1:66">
      <c r="A1460" s="18"/>
      <c r="B1460">
        <v>601808</v>
      </c>
      <c r="C1460" t="s">
        <v>58</v>
      </c>
      <c r="D1460" s="6" t="s">
        <v>7435</v>
      </c>
      <c r="E1460" s="7" t="str">
        <f t="shared" si="696"/>
        <v>=10.90*100000000</v>
      </c>
      <c r="F1460" s="1">
        <f>10.9*100000000</f>
        <v>1090000000</v>
      </c>
      <c r="G1460" s="8">
        <f t="shared" si="698"/>
        <v>-0.45581627558662008</v>
      </c>
      <c r="H1460" s="6" t="s">
        <v>13723</v>
      </c>
      <c r="I1460" s="6" t="str">
        <f t="shared" si="682"/>
        <v>=20.03*100000000</v>
      </c>
      <c r="J1460" s="1">
        <f>20.03*100000000</f>
        <v>2003000000</v>
      </c>
      <c r="K1460" s="10">
        <f t="shared" si="699"/>
        <v>0.7804444444444445</v>
      </c>
      <c r="L1460" s="6" t="s">
        <v>9923</v>
      </c>
      <c r="M1460" s="6" t="str">
        <f t="shared" si="683"/>
        <v>=11.25*100000000</v>
      </c>
      <c r="N1460" s="1">
        <f>11.25*100000000</f>
        <v>1125000000</v>
      </c>
      <c r="O1460" s="8">
        <f t="shared" si="700"/>
        <v>2.6302032913843174</v>
      </c>
      <c r="P1460" s="6" t="s">
        <v>14236</v>
      </c>
      <c r="Q1460" s="6" t="str">
        <f t="shared" si="684"/>
        <v>=3.099*100000000</v>
      </c>
      <c r="R1460" s="11">
        <f>3.099*100000000</f>
        <v>309900000</v>
      </c>
      <c r="S1460" s="8">
        <f t="shared" si="701"/>
        <v>-0.90828647528854689</v>
      </c>
      <c r="T1460" s="6" t="s">
        <v>10048</v>
      </c>
      <c r="U1460" s="6" t="str">
        <f t="shared" si="685"/>
        <v>=33.79*100000000</v>
      </c>
      <c r="V1460" s="1">
        <f>33.79*100000000</f>
        <v>3379000000</v>
      </c>
      <c r="W1460" s="8">
        <f t="shared" si="702"/>
        <v>0.27750472589792058</v>
      </c>
      <c r="X1460" s="6" t="s">
        <v>14237</v>
      </c>
      <c r="Y1460" s="6" t="str">
        <f t="shared" si="686"/>
        <v>=26.45*100000000</v>
      </c>
      <c r="Z1460" s="1">
        <f>26.45*100000000</f>
        <v>2645000000</v>
      </c>
      <c r="AA1460" s="8">
        <f t="shared" si="703"/>
        <v>0.26494500239120039</v>
      </c>
      <c r="AB1460" s="6" t="s">
        <v>14238</v>
      </c>
      <c r="AC1460" s="6" t="str">
        <f t="shared" si="687"/>
        <v>=20.91*100000000</v>
      </c>
      <c r="AD1460" s="1">
        <f>20.91*100000000</f>
        <v>2091000000</v>
      </c>
      <c r="AE1460" s="8">
        <f t="shared" si="704"/>
        <v>0.58289174867524607</v>
      </c>
      <c r="AF1460" s="6" t="s">
        <v>4506</v>
      </c>
      <c r="AG1460" s="6" t="str">
        <f t="shared" si="688"/>
        <v>=13.21*100000000</v>
      </c>
      <c r="AH1460" s="1">
        <f>13.21*100000000</f>
        <v>1321000000</v>
      </c>
      <c r="AI1460" s="8">
        <f t="shared" si="705"/>
        <v>-0.6195276497695853</v>
      </c>
      <c r="AJ1460" s="6" t="s">
        <v>10223</v>
      </c>
      <c r="AK1460" s="6" t="str">
        <f t="shared" si="689"/>
        <v>=34.72*100000000</v>
      </c>
      <c r="AL1460" s="1">
        <f>34.72*100000000</f>
        <v>3472000000</v>
      </c>
      <c r="AM1460" s="8">
        <f t="shared" si="706"/>
        <v>0.23690773067331672</v>
      </c>
      <c r="AN1460" s="6" t="s">
        <v>4330</v>
      </c>
      <c r="AO1460" s="6" t="str">
        <f t="shared" si="690"/>
        <v>=28.07*100000000</v>
      </c>
      <c r="AP1460" s="1">
        <f>28.07*100000000</f>
        <v>2807000000</v>
      </c>
      <c r="AQ1460" s="8">
        <f t="shared" si="707"/>
        <v>1.0311143270622287</v>
      </c>
      <c r="AR1460" s="6" t="s">
        <v>8676</v>
      </c>
      <c r="AS1460" s="6" t="str">
        <f t="shared" si="691"/>
        <v>=13.82*100000000</v>
      </c>
      <c r="AT1460" s="1">
        <f>13.82*100000000</f>
        <v>1382000000</v>
      </c>
      <c r="AU1460" s="8">
        <f t="shared" si="708"/>
        <v>7.2017804154302674</v>
      </c>
      <c r="AV1460" s="6" t="s">
        <v>2893</v>
      </c>
      <c r="AW1460" s="6" t="str">
        <f t="shared" si="692"/>
        <v>=1.685*100000000</v>
      </c>
      <c r="AX1460" s="1">
        <f>1.685*100000000</f>
        <v>168500000</v>
      </c>
      <c r="AY1460" s="10">
        <f t="shared" si="709"/>
        <v>-0.76143281891547498</v>
      </c>
      <c r="AZ1460" s="6" t="s">
        <v>14239</v>
      </c>
      <c r="BA1460" s="6" t="str">
        <f t="shared" si="693"/>
        <v>=7.063*100000000</v>
      </c>
      <c r="BB1460" s="1">
        <f>7.063*100000000</f>
        <v>706300000</v>
      </c>
      <c r="BC1460" s="8">
        <f t="shared" si="710"/>
        <v>30.601789709172259</v>
      </c>
      <c r="BD1460" s="7" t="s">
        <v>14240</v>
      </c>
      <c r="BE1460" s="6" t="str">
        <f t="shared" si="694"/>
        <v>=2235*10000</v>
      </c>
      <c r="BF1460" s="1">
        <f>2235*10000</f>
        <v>22350000</v>
      </c>
      <c r="BG1460" s="8">
        <f t="shared" si="711"/>
        <v>-1.1081800580832526</v>
      </c>
      <c r="BH1460" s="6">
        <f>-2.066*100000000</f>
        <v>-206599999.99999997</v>
      </c>
      <c r="BI1460" s="6" t="str">
        <f t="shared" si="695"/>
        <v>=-206600000</v>
      </c>
      <c r="BJ1460" s="1">
        <f>-206600000</f>
        <v>-206600000</v>
      </c>
      <c r="BK1460" s="6">
        <f>-6.116*100000000</f>
        <v>-611600000</v>
      </c>
      <c r="BL1460" s="1" t="str">
        <f t="shared" si="697"/>
        <v>=-611600000</v>
      </c>
      <c r="BM1460" s="16">
        <f t="shared" si="712"/>
        <v>-0.66219751471550037</v>
      </c>
      <c r="BN1460" s="1">
        <f>-611600000</f>
        <v>-611600000</v>
      </c>
    </row>
    <row r="1461" spans="1:66">
      <c r="A1461" s="19"/>
      <c r="B1461">
        <v>601808</v>
      </c>
      <c r="C1461" t="s">
        <v>68</v>
      </c>
      <c r="D1461" s="6" t="s">
        <v>14241</v>
      </c>
      <c r="E1461" s="7" t="str">
        <f t="shared" si="696"/>
        <v>=3.220*100000000</v>
      </c>
      <c r="F1461" s="1">
        <f>3.22*100000000</f>
        <v>322000000</v>
      </c>
      <c r="G1461" s="8">
        <f t="shared" si="698"/>
        <v>-0.77990430622009566</v>
      </c>
      <c r="H1461" s="6" t="s">
        <v>3138</v>
      </c>
      <c r="I1461" s="6" t="str">
        <f t="shared" si="682"/>
        <v>=14.63*100000000</v>
      </c>
      <c r="J1461" s="1">
        <f>14.63*100000000</f>
        <v>1463000000</v>
      </c>
      <c r="K1461" s="10">
        <f t="shared" si="699"/>
        <v>0.80952380952380931</v>
      </c>
      <c r="L1461" s="6" t="s">
        <v>10761</v>
      </c>
      <c r="M1461" s="6" t="str">
        <f t="shared" si="683"/>
        <v>=8.085*100000000</v>
      </c>
      <c r="N1461" s="1">
        <f>8.085*100000000</f>
        <v>808500000.00000012</v>
      </c>
      <c r="O1461" s="8">
        <f t="shared" si="700"/>
        <v>3.3892508143322484</v>
      </c>
      <c r="P1461" s="6" t="s">
        <v>12535</v>
      </c>
      <c r="Q1461" s="6" t="str">
        <f t="shared" si="684"/>
        <v>=1.842*100000000</v>
      </c>
      <c r="R1461" s="11">
        <f>1.842*100000000</f>
        <v>184200000</v>
      </c>
      <c r="S1461" s="8">
        <f t="shared" si="701"/>
        <v>-0.93222958057395144</v>
      </c>
      <c r="T1461" s="6" t="s">
        <v>13543</v>
      </c>
      <c r="U1461" s="6" t="str">
        <f t="shared" si="685"/>
        <v>=27.18*100000000</v>
      </c>
      <c r="V1461" s="1">
        <f>27.18*100000000</f>
        <v>2718000000</v>
      </c>
      <c r="W1461" s="8">
        <f t="shared" si="702"/>
        <v>0.25426857406552839</v>
      </c>
      <c r="X1461" s="6" t="s">
        <v>5367</v>
      </c>
      <c r="Y1461" s="6" t="str">
        <f t="shared" si="686"/>
        <v>=21.67*100000000</v>
      </c>
      <c r="Z1461" s="1">
        <f>21.67*100000000</f>
        <v>2167000000</v>
      </c>
      <c r="AA1461" s="8">
        <f t="shared" si="703"/>
        <v>0.25769007544979688</v>
      </c>
      <c r="AB1461" s="6" t="s">
        <v>149</v>
      </c>
      <c r="AC1461" s="6" t="str">
        <f t="shared" si="687"/>
        <v>=17.23*100000000</v>
      </c>
      <c r="AD1461" s="1">
        <f>17.23*100000000</f>
        <v>1723000000</v>
      </c>
      <c r="AE1461" s="8">
        <f t="shared" si="704"/>
        <v>0.50875656742556918</v>
      </c>
      <c r="AF1461" s="6" t="s">
        <v>3970</v>
      </c>
      <c r="AG1461" s="6" t="str">
        <f t="shared" si="688"/>
        <v>=11.42*100000000</v>
      </c>
      <c r="AH1461" s="1">
        <f>11.42*100000000</f>
        <v>1142000000</v>
      </c>
      <c r="AI1461" s="8">
        <f t="shared" si="705"/>
        <v>-0.54825949367088611</v>
      </c>
      <c r="AJ1461" s="6" t="s">
        <v>10657</v>
      </c>
      <c r="AK1461" s="6" t="str">
        <f t="shared" si="689"/>
        <v>=25.28*100000000</v>
      </c>
      <c r="AL1461" s="1">
        <f>25.28*100000000</f>
        <v>2528000000</v>
      </c>
      <c r="AM1461" s="8">
        <f t="shared" si="706"/>
        <v>0.18241347053320861</v>
      </c>
      <c r="AN1461" s="6" t="s">
        <v>1377</v>
      </c>
      <c r="AO1461" s="6" t="str">
        <f t="shared" si="690"/>
        <v>=21.38*100000000</v>
      </c>
      <c r="AP1461" s="1">
        <f>21.38*100000000</f>
        <v>2138000000</v>
      </c>
      <c r="AQ1461" s="8">
        <f t="shared" si="707"/>
        <v>1.1674776966747769</v>
      </c>
      <c r="AR1461" s="6" t="s">
        <v>14242</v>
      </c>
      <c r="AS1461" s="6" t="str">
        <f t="shared" si="691"/>
        <v>=9.864*100000000</v>
      </c>
      <c r="AT1461" s="1">
        <f>9.864*100000000</f>
        <v>986400000.00000012</v>
      </c>
      <c r="AU1461" s="8">
        <f t="shared" si="708"/>
        <v>24.541170378042469</v>
      </c>
      <c r="AV1461" s="7" t="s">
        <v>8709</v>
      </c>
      <c r="AW1461" s="6" t="str">
        <f t="shared" si="692"/>
        <v>=3862*10000</v>
      </c>
      <c r="AX1461" s="1">
        <f>3862*10000</f>
        <v>38620000</v>
      </c>
      <c r="AY1461" s="10">
        <f t="shared" si="709"/>
        <v>-0.56445246419307549</v>
      </c>
      <c r="AZ1461" s="7" t="s">
        <v>14243</v>
      </c>
      <c r="BA1461" s="6" t="str">
        <f t="shared" si="693"/>
        <v>=8867*10000</v>
      </c>
      <c r="BB1461" s="1">
        <f>8867*10000</f>
        <v>88670000</v>
      </c>
      <c r="BC1461" s="8">
        <f t="shared" si="710"/>
        <v>-1.3370201444317751</v>
      </c>
      <c r="BD1461" s="6">
        <f>-2.631*100000000</f>
        <v>-263099999.99999997</v>
      </c>
      <c r="BE1461" s="6" t="str">
        <f t="shared" si="694"/>
        <v>=-263100000</v>
      </c>
      <c r="BF1461" s="1">
        <f>-263100000</f>
        <v>-263100000</v>
      </c>
      <c r="BG1461" s="8">
        <f t="shared" si="711"/>
        <v>-0.27580511973575556</v>
      </c>
      <c r="BH1461" s="6">
        <f>-3.633*100000000</f>
        <v>-363300000</v>
      </c>
      <c r="BI1461" s="6" t="str">
        <f t="shared" si="695"/>
        <v>=-363300000</v>
      </c>
      <c r="BJ1461" s="1">
        <f>-363300000</f>
        <v>-363300000</v>
      </c>
      <c r="BK1461" s="6">
        <f>-6.44*100000000</f>
        <v>-644000000</v>
      </c>
      <c r="BL1461" s="1" t="str">
        <f t="shared" si="697"/>
        <v>=-644000000</v>
      </c>
      <c r="BM1461" s="16">
        <f t="shared" si="712"/>
        <v>-0.43586956521739129</v>
      </c>
      <c r="BN1461" s="1">
        <f>-644000000</f>
        <v>-644000000</v>
      </c>
    </row>
    <row r="1462" spans="1:66">
      <c r="A1462" s="17">
        <v>367</v>
      </c>
      <c r="B1462">
        <v>601811</v>
      </c>
      <c r="C1462" t="s">
        <v>31</v>
      </c>
      <c r="D1462" s="6" t="s">
        <v>14244</v>
      </c>
      <c r="E1462" s="7" t="str">
        <f t="shared" si="696"/>
        <v>=104.6*100000000</v>
      </c>
      <c r="F1462" s="1">
        <f>104.6*100000000</f>
        <v>10460000000</v>
      </c>
      <c r="G1462" s="8">
        <f t="shared" si="698"/>
        <v>0.48200623406064041</v>
      </c>
      <c r="H1462" s="6" t="s">
        <v>10712</v>
      </c>
      <c r="I1462" s="6" t="str">
        <f t="shared" si="682"/>
        <v>=70.58*100000000</v>
      </c>
      <c r="J1462" s="1">
        <f>70.58*100000000</f>
        <v>7058000000</v>
      </c>
      <c r="K1462" s="10">
        <f t="shared" si="699"/>
        <v>0.51394251394251389</v>
      </c>
      <c r="L1462" s="6" t="s">
        <v>14245</v>
      </c>
      <c r="M1462" s="6" t="str">
        <f t="shared" si="683"/>
        <v>=46.62*100000000</v>
      </c>
      <c r="N1462" s="1">
        <f>46.62*100000000</f>
        <v>4662000000</v>
      </c>
      <c r="O1462" s="8">
        <f t="shared" si="700"/>
        <v>1.3870967741935485</v>
      </c>
      <c r="P1462" s="6" t="s">
        <v>14246</v>
      </c>
      <c r="Q1462" s="6" t="str">
        <f t="shared" si="684"/>
        <v>=19.53*100000000</v>
      </c>
      <c r="R1462" s="11">
        <f>19.53*100000000</f>
        <v>1953000000</v>
      </c>
      <c r="S1462" s="8">
        <f t="shared" si="701"/>
        <v>-0.78319271758436948</v>
      </c>
      <c r="T1462" s="6" t="s">
        <v>14247</v>
      </c>
      <c r="U1462" s="6" t="str">
        <f t="shared" si="685"/>
        <v>=90.08*100000000</v>
      </c>
      <c r="V1462" s="1">
        <f>90.08*100000000</f>
        <v>9008000000</v>
      </c>
      <c r="W1462" s="8">
        <f t="shared" si="702"/>
        <v>0.57235119567114678</v>
      </c>
      <c r="X1462" s="6" t="s">
        <v>14248</v>
      </c>
      <c r="Y1462" s="6" t="str">
        <f t="shared" si="686"/>
        <v>=57.29*100000000</v>
      </c>
      <c r="Z1462" s="1">
        <f>57.29*100000000</f>
        <v>5729000000</v>
      </c>
      <c r="AA1462" s="8">
        <f t="shared" si="703"/>
        <v>0.58874098724348312</v>
      </c>
      <c r="AB1462" s="6" t="s">
        <v>11586</v>
      </c>
      <c r="AC1462" s="6" t="str">
        <f t="shared" si="687"/>
        <v>=36.06*100000000</v>
      </c>
      <c r="AD1462" s="1">
        <f>36.06*100000000</f>
        <v>3606000000</v>
      </c>
      <c r="AE1462" s="8">
        <f t="shared" si="704"/>
        <v>1.4233870967741935</v>
      </c>
      <c r="AF1462" s="6" t="s">
        <v>9572</v>
      </c>
      <c r="AG1462" s="6" t="str">
        <f t="shared" si="688"/>
        <v>=14.88*100000000</v>
      </c>
      <c r="AH1462" s="1">
        <f>14.88*100000000</f>
        <v>1488000000</v>
      </c>
      <c r="AI1462" s="8">
        <f t="shared" si="705"/>
        <v>-0.8317122822890749</v>
      </c>
      <c r="AJ1462" s="6" t="s">
        <v>14249</v>
      </c>
      <c r="AK1462" s="6" t="str">
        <f t="shared" si="689"/>
        <v>=88.42*100000000</v>
      </c>
      <c r="AL1462" s="1">
        <f>88.42*100000000</f>
        <v>8842000000</v>
      </c>
      <c r="AM1462" s="8">
        <f t="shared" si="706"/>
        <v>0.51715854495538782</v>
      </c>
      <c r="AN1462" s="6" t="s">
        <v>9575</v>
      </c>
      <c r="AO1462" s="6" t="str">
        <f t="shared" si="690"/>
        <v>=58.28*100000000</v>
      </c>
      <c r="AP1462" s="1">
        <f>58.28*100000000</f>
        <v>5828000000</v>
      </c>
      <c r="AQ1462" s="8">
        <f t="shared" si="707"/>
        <v>0.50438822922044402</v>
      </c>
      <c r="AR1462" s="6" t="s">
        <v>1194</v>
      </c>
      <c r="AS1462" s="6" t="str">
        <f t="shared" si="691"/>
        <v>=38.74*100000000</v>
      </c>
      <c r="AT1462" s="1">
        <f>38.74*100000000</f>
        <v>3874000000</v>
      </c>
      <c r="AU1462" s="8">
        <f t="shared" si="708"/>
        <v>1.2668227033352837</v>
      </c>
      <c r="AV1462" s="6" t="s">
        <v>14250</v>
      </c>
      <c r="AW1462" s="6" t="str">
        <f t="shared" si="692"/>
        <v>=17.09*100000000</v>
      </c>
      <c r="AX1462" s="1">
        <f>17.09*100000000</f>
        <v>1709000000</v>
      </c>
      <c r="AY1462" s="10">
        <f t="shared" si="709"/>
        <v>-0.79125442775131305</v>
      </c>
      <c r="AZ1462" s="6" t="s">
        <v>14251</v>
      </c>
      <c r="BA1462" s="6" t="str">
        <f t="shared" si="693"/>
        <v>=81.87*100000000</v>
      </c>
      <c r="BB1462" s="1">
        <f>81.87*100000000</f>
        <v>8187000000</v>
      </c>
      <c r="BC1462" s="8">
        <f t="shared" si="710"/>
        <v>0.49425077568899434</v>
      </c>
      <c r="BD1462" s="6" t="s">
        <v>10665</v>
      </c>
      <c r="BE1462" s="6" t="str">
        <f t="shared" si="694"/>
        <v>=54.79*100000000</v>
      </c>
      <c r="BF1462" s="1">
        <f>54.79*100000000</f>
        <v>5479000000</v>
      </c>
      <c r="BG1462" s="8">
        <f t="shared" si="711"/>
        <v>0.53130240357741754</v>
      </c>
      <c r="BH1462" s="6" t="s">
        <v>14252</v>
      </c>
      <c r="BI1462" s="6" t="str">
        <f t="shared" si="695"/>
        <v>=35.78*100000000</v>
      </c>
      <c r="BJ1462" s="1">
        <f>35.78*100000000</f>
        <v>3578000000</v>
      </c>
      <c r="BK1462" s="6" t="s">
        <v>11219</v>
      </c>
      <c r="BL1462" s="1" t="str">
        <f t="shared" si="697"/>
        <v>=15.85*100000000</v>
      </c>
      <c r="BM1462" s="16">
        <f t="shared" si="712"/>
        <v>1.2574132492113566</v>
      </c>
      <c r="BN1462" s="1">
        <f>15.85*100000000</f>
        <v>1585000000</v>
      </c>
    </row>
    <row r="1463" spans="1:66">
      <c r="A1463" s="18"/>
      <c r="B1463">
        <v>601811</v>
      </c>
      <c r="C1463" t="s">
        <v>48</v>
      </c>
      <c r="D1463" s="6" t="s">
        <v>5912</v>
      </c>
      <c r="E1463" s="7" t="str">
        <f t="shared" si="696"/>
        <v>=13.56*100000000</v>
      </c>
      <c r="F1463" s="1">
        <f>13.56*100000000</f>
        <v>1356000000</v>
      </c>
      <c r="G1463" s="8">
        <f t="shared" si="698"/>
        <v>0.91417278373800115</v>
      </c>
      <c r="H1463" s="6" t="s">
        <v>14253</v>
      </c>
      <c r="I1463" s="6" t="str">
        <f t="shared" si="682"/>
        <v>=7.084*100000000</v>
      </c>
      <c r="J1463" s="1">
        <f>7.084*100000000</f>
        <v>708400000</v>
      </c>
      <c r="K1463" s="10">
        <f t="shared" si="699"/>
        <v>0.17381938690969345</v>
      </c>
      <c r="L1463" s="6" t="s">
        <v>6190</v>
      </c>
      <c r="M1463" s="6" t="str">
        <f t="shared" si="683"/>
        <v>=6.035*100000000</v>
      </c>
      <c r="N1463" s="1">
        <f>6.035*100000000</f>
        <v>603500000</v>
      </c>
      <c r="O1463" s="8">
        <f t="shared" si="700"/>
        <v>3.0394912985274432</v>
      </c>
      <c r="P1463" s="6" t="s">
        <v>14254</v>
      </c>
      <c r="Q1463" s="6" t="str">
        <f t="shared" si="684"/>
        <v>=1.494*100000000</v>
      </c>
      <c r="R1463" s="11">
        <f>1.494*100000000</f>
        <v>149400000</v>
      </c>
      <c r="S1463" s="8">
        <f t="shared" si="701"/>
        <v>-0.8858670741023682</v>
      </c>
      <c r="T1463" s="6" t="s">
        <v>6409</v>
      </c>
      <c r="U1463" s="6" t="str">
        <f t="shared" si="685"/>
        <v>=13.09*100000000</v>
      </c>
      <c r="V1463" s="1">
        <f>13.09*100000000</f>
        <v>1309000000</v>
      </c>
      <c r="W1463" s="8">
        <f t="shared" si="702"/>
        <v>0.67434126375031977</v>
      </c>
      <c r="X1463" s="6" t="s">
        <v>481</v>
      </c>
      <c r="Y1463" s="6" t="str">
        <f t="shared" si="686"/>
        <v>=7.818*100000000</v>
      </c>
      <c r="Z1463" s="1">
        <f>7.818*100000000</f>
        <v>781800000</v>
      </c>
      <c r="AA1463" s="8">
        <f t="shared" si="703"/>
        <v>0.29716276754604282</v>
      </c>
      <c r="AB1463" s="6" t="s">
        <v>3447</v>
      </c>
      <c r="AC1463" s="6" t="str">
        <f t="shared" si="687"/>
        <v>=6.027*100000000</v>
      </c>
      <c r="AD1463" s="1">
        <f>6.027*100000000</f>
        <v>602700000</v>
      </c>
      <c r="AE1463" s="8">
        <f t="shared" si="704"/>
        <v>2.8242385786802031</v>
      </c>
      <c r="AF1463" s="6" t="s">
        <v>11469</v>
      </c>
      <c r="AG1463" s="6" t="str">
        <f t="shared" si="688"/>
        <v>=1.576*100000000</v>
      </c>
      <c r="AH1463" s="1">
        <f>1.576*100000000</f>
        <v>157600000</v>
      </c>
      <c r="AI1463" s="8">
        <f t="shared" si="705"/>
        <v>-0.86632739609838849</v>
      </c>
      <c r="AJ1463" s="6" t="s">
        <v>346</v>
      </c>
      <c r="AK1463" s="6" t="str">
        <f t="shared" si="689"/>
        <v>=11.79*100000000</v>
      </c>
      <c r="AL1463" s="1">
        <f>11.79*100000000</f>
        <v>1179000000</v>
      </c>
      <c r="AM1463" s="8">
        <f t="shared" si="706"/>
        <v>0.51835157759175787</v>
      </c>
      <c r="AN1463" s="6" t="s">
        <v>14255</v>
      </c>
      <c r="AO1463" s="6" t="str">
        <f t="shared" si="690"/>
        <v>=7.765*100000000</v>
      </c>
      <c r="AP1463" s="1">
        <f>7.765*100000000</f>
        <v>776500000</v>
      </c>
      <c r="AQ1463" s="8">
        <f t="shared" si="707"/>
        <v>0.29072473404255317</v>
      </c>
      <c r="AR1463" s="6" t="s">
        <v>9867</v>
      </c>
      <c r="AS1463" s="6" t="str">
        <f t="shared" si="691"/>
        <v>=6.016*100000000</v>
      </c>
      <c r="AT1463" s="1">
        <f>6.016*100000000</f>
        <v>601600000</v>
      </c>
      <c r="AU1463" s="8">
        <f t="shared" si="708"/>
        <v>1.7929433611884866</v>
      </c>
      <c r="AV1463" s="6" t="s">
        <v>1283</v>
      </c>
      <c r="AW1463" s="6" t="str">
        <f t="shared" si="692"/>
        <v>=2.154*100000000</v>
      </c>
      <c r="AX1463" s="1">
        <f>2.154*100000000</f>
        <v>215400000</v>
      </c>
      <c r="AY1463" s="10">
        <f t="shared" si="709"/>
        <v>-0.76858616244091105</v>
      </c>
      <c r="AZ1463" s="6" t="s">
        <v>14256</v>
      </c>
      <c r="BA1463" s="6" t="str">
        <f t="shared" si="693"/>
        <v>=9.308*100000000</v>
      </c>
      <c r="BB1463" s="1">
        <f>9.308*100000000</f>
        <v>930800000</v>
      </c>
      <c r="BC1463" s="8">
        <f t="shared" si="710"/>
        <v>0.57097046413502106</v>
      </c>
      <c r="BD1463" s="6" t="s">
        <v>5325</v>
      </c>
      <c r="BE1463" s="6" t="str">
        <f t="shared" si="694"/>
        <v>=5.925*100000000</v>
      </c>
      <c r="BF1463" s="1">
        <f>5.925*100000000</f>
        <v>592500000</v>
      </c>
      <c r="BG1463" s="8">
        <f t="shared" si="711"/>
        <v>0.3580105432042171</v>
      </c>
      <c r="BH1463" s="6" t="s">
        <v>14257</v>
      </c>
      <c r="BI1463" s="6" t="str">
        <f t="shared" si="695"/>
        <v>=4.363*100000000</v>
      </c>
      <c r="BJ1463" s="1">
        <f>4.363*100000000</f>
        <v>436300000.00000006</v>
      </c>
      <c r="BK1463" s="6" t="s">
        <v>2382</v>
      </c>
      <c r="BL1463" s="1" t="str">
        <f t="shared" si="697"/>
        <v>=1.740*100000000</v>
      </c>
      <c r="BM1463" s="16">
        <f t="shared" si="712"/>
        <v>1.5074712643678165</v>
      </c>
      <c r="BN1463" s="1">
        <f>1.74*100000000</f>
        <v>174000000</v>
      </c>
    </row>
    <row r="1464" spans="1:66">
      <c r="A1464" s="18"/>
      <c r="B1464">
        <v>601811</v>
      </c>
      <c r="C1464" t="s">
        <v>58</v>
      </c>
      <c r="D1464" s="6" t="s">
        <v>6409</v>
      </c>
      <c r="E1464" s="7" t="str">
        <f t="shared" si="696"/>
        <v>=13.09*100000000</v>
      </c>
      <c r="F1464" s="1">
        <f>13.09*100000000</f>
        <v>1309000000</v>
      </c>
      <c r="G1464" s="8">
        <f t="shared" si="698"/>
        <v>0.90372309482257129</v>
      </c>
      <c r="H1464" s="6" t="s">
        <v>14258</v>
      </c>
      <c r="I1464" s="6" t="str">
        <f t="shared" si="682"/>
        <v>=6.876*100000000</v>
      </c>
      <c r="J1464" s="1">
        <f>6.876*100000000</f>
        <v>687600000</v>
      </c>
      <c r="K1464" s="10">
        <f t="shared" si="699"/>
        <v>0.16502880379532361</v>
      </c>
      <c r="L1464" s="6" t="s">
        <v>14259</v>
      </c>
      <c r="M1464" s="6" t="str">
        <f t="shared" si="683"/>
        <v>=5.902*100000000</v>
      </c>
      <c r="N1464" s="1">
        <f>5.902*100000000</f>
        <v>590200000</v>
      </c>
      <c r="O1464" s="8">
        <f t="shared" si="700"/>
        <v>3.0040705563093621</v>
      </c>
      <c r="P1464" s="6" t="s">
        <v>10387</v>
      </c>
      <c r="Q1464" s="6" t="str">
        <f t="shared" si="684"/>
        <v>=1.474*100000000</v>
      </c>
      <c r="R1464" s="11">
        <f>1.474*100000000</f>
        <v>147400000</v>
      </c>
      <c r="S1464" s="8">
        <f t="shared" si="701"/>
        <v>-0.88217426059152682</v>
      </c>
      <c r="T1464" s="6" t="s">
        <v>8131</v>
      </c>
      <c r="U1464" s="6" t="str">
        <f t="shared" si="685"/>
        <v>=12.51*100000000</v>
      </c>
      <c r="V1464" s="1">
        <f>12.51*100000000</f>
        <v>1251000000</v>
      </c>
      <c r="W1464" s="8">
        <f t="shared" si="702"/>
        <v>0.63915094339622647</v>
      </c>
      <c r="X1464" s="6" t="s">
        <v>12481</v>
      </c>
      <c r="Y1464" s="6" t="str">
        <f t="shared" si="686"/>
        <v>=7.632*100000000</v>
      </c>
      <c r="Z1464" s="1">
        <f>7.632*100000000</f>
        <v>763200000</v>
      </c>
      <c r="AA1464" s="8">
        <f t="shared" si="703"/>
        <v>0.29399796541200407</v>
      </c>
      <c r="AB1464" s="6" t="s">
        <v>14260</v>
      </c>
      <c r="AC1464" s="6" t="str">
        <f t="shared" si="687"/>
        <v>=5.898*100000000</v>
      </c>
      <c r="AD1464" s="1">
        <f>5.898*100000000</f>
        <v>589800000</v>
      </c>
      <c r="AE1464" s="8">
        <f t="shared" si="704"/>
        <v>2.7978106889890535</v>
      </c>
      <c r="AF1464" s="6" t="s">
        <v>1639</v>
      </c>
      <c r="AG1464" s="6" t="str">
        <f t="shared" si="688"/>
        <v>=1.553*100000000</v>
      </c>
      <c r="AH1464" s="1">
        <f>1.553*100000000</f>
        <v>155300000</v>
      </c>
      <c r="AI1464" s="8">
        <f t="shared" si="705"/>
        <v>-0.86483899042645784</v>
      </c>
      <c r="AJ1464" s="6" t="s">
        <v>5631</v>
      </c>
      <c r="AK1464" s="6" t="str">
        <f t="shared" si="689"/>
        <v>=11.49*100000000</v>
      </c>
      <c r="AL1464" s="1">
        <f>11.49*100000000</f>
        <v>1149000000</v>
      </c>
      <c r="AM1464" s="8">
        <f t="shared" si="706"/>
        <v>0.51683168316831685</v>
      </c>
      <c r="AN1464" s="6" t="s">
        <v>14261</v>
      </c>
      <c r="AO1464" s="6" t="str">
        <f t="shared" si="690"/>
        <v>=7.575*100000000</v>
      </c>
      <c r="AP1464" s="1">
        <f>7.575*100000000</f>
        <v>757500000</v>
      </c>
      <c r="AQ1464" s="8">
        <f t="shared" si="707"/>
        <v>0.28281117696867064</v>
      </c>
      <c r="AR1464" s="6" t="s">
        <v>10070</v>
      </c>
      <c r="AS1464" s="6" t="str">
        <f t="shared" si="691"/>
        <v>=5.905*100000000</v>
      </c>
      <c r="AT1464" s="1">
        <f>5.905*100000000</f>
        <v>590500000</v>
      </c>
      <c r="AU1464" s="8">
        <f t="shared" si="708"/>
        <v>1.7775164628410161</v>
      </c>
      <c r="AV1464" s="6" t="s">
        <v>4840</v>
      </c>
      <c r="AW1464" s="6" t="str">
        <f t="shared" si="692"/>
        <v>=2.126*100000000</v>
      </c>
      <c r="AX1464" s="1">
        <f>2.126*100000000</f>
        <v>212600000</v>
      </c>
      <c r="AY1464" s="10">
        <f t="shared" si="709"/>
        <v>-0.76787858936565134</v>
      </c>
      <c r="AZ1464" s="6" t="s">
        <v>6576</v>
      </c>
      <c r="BA1464" s="6" t="str">
        <f t="shared" si="693"/>
        <v>=9.159*100000000</v>
      </c>
      <c r="BB1464" s="1">
        <f>9.159*100000000</f>
        <v>915900000.00000012</v>
      </c>
      <c r="BC1464" s="8">
        <f t="shared" si="710"/>
        <v>0.56216953777929413</v>
      </c>
      <c r="BD1464" s="6" t="s">
        <v>10911</v>
      </c>
      <c r="BE1464" s="6" t="str">
        <f t="shared" si="694"/>
        <v>=5.863*100000000</v>
      </c>
      <c r="BF1464" s="1">
        <f>5.863*100000000</f>
        <v>586300000</v>
      </c>
      <c r="BG1464" s="8">
        <f t="shared" si="711"/>
        <v>0.35686183753760703</v>
      </c>
      <c r="BH1464" s="6" t="s">
        <v>5842</v>
      </c>
      <c r="BI1464" s="6" t="str">
        <f t="shared" si="695"/>
        <v>=4.321*100000000</v>
      </c>
      <c r="BJ1464" s="1">
        <f>4.321*100000000</f>
        <v>432100000</v>
      </c>
      <c r="BK1464" s="6" t="s">
        <v>1272</v>
      </c>
      <c r="BL1464" s="1" t="str">
        <f t="shared" si="697"/>
        <v>=1.731*100000000</v>
      </c>
      <c r="BM1464" s="16">
        <f t="shared" si="712"/>
        <v>1.4962449451184288</v>
      </c>
      <c r="BN1464" s="1">
        <f>1.731*100000000</f>
        <v>173100000</v>
      </c>
    </row>
    <row r="1465" spans="1:66">
      <c r="A1465" s="19"/>
      <c r="B1465">
        <v>601811</v>
      </c>
      <c r="C1465" t="s">
        <v>68</v>
      </c>
      <c r="D1465" s="6" t="s">
        <v>4253</v>
      </c>
      <c r="E1465" s="7" t="str">
        <f t="shared" si="696"/>
        <v>=13.03*100000000</v>
      </c>
      <c r="F1465" s="1">
        <f>13.03*100000000</f>
        <v>1303000000</v>
      </c>
      <c r="G1465" s="8">
        <f t="shared" si="698"/>
        <v>0.8500638932273179</v>
      </c>
      <c r="H1465" s="6" t="s">
        <v>13725</v>
      </c>
      <c r="I1465" s="6" t="str">
        <f t="shared" si="682"/>
        <v>=7.043*100000000</v>
      </c>
      <c r="J1465" s="1">
        <f>7.043*100000000</f>
        <v>704300000</v>
      </c>
      <c r="K1465" s="10">
        <f t="shared" si="699"/>
        <v>0.17422474158052684</v>
      </c>
      <c r="L1465" s="6" t="s">
        <v>8781</v>
      </c>
      <c r="M1465" s="6" t="str">
        <f t="shared" si="683"/>
        <v>=5.998*100000000</v>
      </c>
      <c r="N1465" s="1">
        <f>5.998*100000000</f>
        <v>599800000</v>
      </c>
      <c r="O1465" s="8">
        <f t="shared" si="700"/>
        <v>2.7938013915243518</v>
      </c>
      <c r="P1465" s="6" t="s">
        <v>8264</v>
      </c>
      <c r="Q1465" s="6" t="str">
        <f t="shared" si="684"/>
        <v>=1.581*100000000</v>
      </c>
      <c r="R1465" s="11">
        <f>1.581*100000000</f>
        <v>158100000</v>
      </c>
      <c r="S1465" s="8">
        <f t="shared" si="701"/>
        <v>-0.87280772325020117</v>
      </c>
      <c r="T1465" s="6" t="s">
        <v>1876</v>
      </c>
      <c r="U1465" s="6" t="str">
        <f t="shared" si="685"/>
        <v>=12.43*100000000</v>
      </c>
      <c r="V1465" s="1">
        <f>12.43*100000000</f>
        <v>1243000000</v>
      </c>
      <c r="W1465" s="8">
        <f t="shared" si="702"/>
        <v>0.66912850812407676</v>
      </c>
      <c r="X1465" s="6" t="s">
        <v>12485</v>
      </c>
      <c r="Y1465" s="6" t="str">
        <f t="shared" si="686"/>
        <v>=7.447*100000000</v>
      </c>
      <c r="Z1465" s="1">
        <f>7.447*100000000</f>
        <v>744700000</v>
      </c>
      <c r="AA1465" s="8">
        <f t="shared" si="703"/>
        <v>0.31201550387596899</v>
      </c>
      <c r="AB1465" s="6" t="s">
        <v>1865</v>
      </c>
      <c r="AC1465" s="6" t="str">
        <f t="shared" si="687"/>
        <v>=5.676*100000000</v>
      </c>
      <c r="AD1465" s="1">
        <f>5.676*100000000</f>
        <v>567600000</v>
      </c>
      <c r="AE1465" s="8">
        <f t="shared" si="704"/>
        <v>2.736668861092824</v>
      </c>
      <c r="AF1465" s="6" t="s">
        <v>7717</v>
      </c>
      <c r="AG1465" s="6" t="str">
        <f t="shared" si="688"/>
        <v>=1.519*100000000</v>
      </c>
      <c r="AH1465" s="1">
        <f>1.519*100000000</f>
        <v>151900000</v>
      </c>
      <c r="AI1465" s="8">
        <f t="shared" si="705"/>
        <v>-0.86497777777777773</v>
      </c>
      <c r="AJ1465" s="6" t="s">
        <v>9923</v>
      </c>
      <c r="AK1465" s="6" t="str">
        <f t="shared" si="689"/>
        <v>=11.25*100000000</v>
      </c>
      <c r="AL1465" s="1">
        <f>11.25*100000000</f>
        <v>1125000000</v>
      </c>
      <c r="AM1465" s="8">
        <f t="shared" si="706"/>
        <v>0.52212149912055206</v>
      </c>
      <c r="AN1465" s="6" t="s">
        <v>14262</v>
      </c>
      <c r="AO1465" s="6" t="str">
        <f t="shared" si="690"/>
        <v>=7.391*100000000</v>
      </c>
      <c r="AP1465" s="1">
        <f>7.391*100000000</f>
        <v>739100000</v>
      </c>
      <c r="AQ1465" s="8">
        <f t="shared" si="707"/>
        <v>0.28875326939843071</v>
      </c>
      <c r="AR1465" s="6" t="s">
        <v>4575</v>
      </c>
      <c r="AS1465" s="6" t="str">
        <f t="shared" si="691"/>
        <v>=5.735*100000000</v>
      </c>
      <c r="AT1465" s="1">
        <f>5.735*100000000</f>
        <v>573500000</v>
      </c>
      <c r="AU1465" s="8">
        <f t="shared" si="708"/>
        <v>1.5926763110307411</v>
      </c>
      <c r="AV1465" s="6" t="s">
        <v>13432</v>
      </c>
      <c r="AW1465" s="6" t="str">
        <f t="shared" si="692"/>
        <v>=2.212*100000000</v>
      </c>
      <c r="AX1465" s="1">
        <f>2.212*100000000</f>
        <v>221200000.00000003</v>
      </c>
      <c r="AY1465" s="10">
        <f t="shared" si="709"/>
        <v>-0.76130355023200602</v>
      </c>
      <c r="AZ1465" s="6" t="s">
        <v>14263</v>
      </c>
      <c r="BA1465" s="6" t="str">
        <f t="shared" si="693"/>
        <v>=9.267*100000000</v>
      </c>
      <c r="BB1465" s="1">
        <f>9.267*100000000</f>
        <v>926700000</v>
      </c>
      <c r="BC1465" s="8">
        <f t="shared" si="710"/>
        <v>0.56802030456852792</v>
      </c>
      <c r="BD1465" s="6" t="s">
        <v>1032</v>
      </c>
      <c r="BE1465" s="6" t="str">
        <f t="shared" si="694"/>
        <v>=5.910*100000000</v>
      </c>
      <c r="BF1465" s="1">
        <f>5.91*100000000</f>
        <v>591000000</v>
      </c>
      <c r="BG1465" s="8">
        <f t="shared" si="711"/>
        <v>0.35612666360715944</v>
      </c>
      <c r="BH1465" s="6" t="s">
        <v>14264</v>
      </c>
      <c r="BI1465" s="6" t="str">
        <f t="shared" si="695"/>
        <v>=4.358*100000000</v>
      </c>
      <c r="BJ1465" s="1">
        <f>4.358*100000000</f>
        <v>435799999.99999994</v>
      </c>
      <c r="BK1465" s="6" t="s">
        <v>5030</v>
      </c>
      <c r="BL1465" s="1" t="str">
        <f t="shared" si="697"/>
        <v>=1.724*100000000</v>
      </c>
      <c r="BM1465" s="16">
        <f t="shared" si="712"/>
        <v>1.52784222737819</v>
      </c>
      <c r="BN1465" s="1">
        <f>1.724*100000000</f>
        <v>172400000</v>
      </c>
    </row>
    <row r="1466" spans="1:66">
      <c r="A1466" s="17">
        <v>368</v>
      </c>
      <c r="B1466">
        <v>601818</v>
      </c>
      <c r="C1466" t="s">
        <v>31</v>
      </c>
      <c r="D1466" s="6" t="s">
        <v>14265</v>
      </c>
      <c r="E1466" s="7" t="str">
        <f t="shared" si="696"/>
        <v>=1528*100000000</v>
      </c>
      <c r="F1466" s="1">
        <f>1528*100000000</f>
        <v>152800000000</v>
      </c>
      <c r="G1466" s="8">
        <f t="shared" si="698"/>
        <v>0.30821917808219179</v>
      </c>
      <c r="H1466" s="6" t="s">
        <v>14266</v>
      </c>
      <c r="I1466" s="6" t="str">
        <f t="shared" si="682"/>
        <v>=1168*100000000</v>
      </c>
      <c r="J1466" s="1">
        <f>1168*100000000</f>
        <v>116800000000</v>
      </c>
      <c r="K1466" s="10">
        <f t="shared" si="699"/>
        <v>0.51609553478712356</v>
      </c>
      <c r="L1466" s="6" t="s">
        <v>14267</v>
      </c>
      <c r="M1466" s="6" t="str">
        <f t="shared" si="683"/>
        <v>=770.4*100000000</v>
      </c>
      <c r="N1466" s="1">
        <f>770.4*100000000</f>
        <v>77040000000</v>
      </c>
      <c r="O1466" s="8">
        <f t="shared" si="700"/>
        <v>0.99121219953476347</v>
      </c>
      <c r="P1466" s="6" t="s">
        <v>14268</v>
      </c>
      <c r="Q1466" s="6" t="str">
        <f t="shared" si="684"/>
        <v>=386.9*100000000</v>
      </c>
      <c r="R1466" s="11">
        <f>386.9*100000000</f>
        <v>38690000000</v>
      </c>
      <c r="S1466" s="8">
        <f t="shared" si="701"/>
        <v>-0.72868162692847127</v>
      </c>
      <c r="T1466" s="6" t="s">
        <v>14269</v>
      </c>
      <c r="U1466" s="6" t="str">
        <f t="shared" si="685"/>
        <v>=1426*100000000</v>
      </c>
      <c r="V1466" s="1">
        <f>1426*100000000</f>
        <v>142600000000</v>
      </c>
      <c r="W1466" s="8">
        <f t="shared" si="702"/>
        <v>0.33395696913002804</v>
      </c>
      <c r="X1466" s="6" t="s">
        <v>14270</v>
      </c>
      <c r="Y1466" s="6" t="str">
        <f t="shared" si="686"/>
        <v>=1069*100000000</v>
      </c>
      <c r="Z1466" s="1">
        <f>1069*100000000</f>
        <v>106900000000</v>
      </c>
      <c r="AA1466" s="8">
        <f t="shared" si="703"/>
        <v>0.48245735681597557</v>
      </c>
      <c r="AB1466" s="6" t="s">
        <v>14271</v>
      </c>
      <c r="AC1466" s="6" t="str">
        <f t="shared" si="687"/>
        <v>=721.1*100000000</v>
      </c>
      <c r="AD1466" s="1">
        <f>721.1*100000000</f>
        <v>72110000000</v>
      </c>
      <c r="AE1466" s="8">
        <f t="shared" si="704"/>
        <v>0.93272581077459127</v>
      </c>
      <c r="AF1466" s="6" t="s">
        <v>14272</v>
      </c>
      <c r="AG1466" s="6" t="str">
        <f t="shared" si="688"/>
        <v>=373.1*100000000</v>
      </c>
      <c r="AH1466" s="1">
        <f>373.1*100000000</f>
        <v>37310000000</v>
      </c>
      <c r="AI1466" s="8">
        <f t="shared" si="705"/>
        <v>-0.71905120481927709</v>
      </c>
      <c r="AJ1466" s="6" t="s">
        <v>13476</v>
      </c>
      <c r="AK1466" s="6" t="str">
        <f t="shared" si="689"/>
        <v>=1328*100000000</v>
      </c>
      <c r="AL1466" s="1">
        <f>1328*100000000</f>
        <v>132800000000</v>
      </c>
      <c r="AM1466" s="8">
        <f t="shared" si="706"/>
        <v>0.32534930139720558</v>
      </c>
      <c r="AN1466" s="6" t="s">
        <v>14273</v>
      </c>
      <c r="AO1466" s="6" t="str">
        <f t="shared" si="690"/>
        <v>=1002*100000000</v>
      </c>
      <c r="AP1466" s="1">
        <f>1002*100000000</f>
        <v>100200000000</v>
      </c>
      <c r="AQ1466" s="8">
        <f t="shared" si="707"/>
        <v>0.51496824916843065</v>
      </c>
      <c r="AR1466" s="6" t="s">
        <v>14274</v>
      </c>
      <c r="AS1466" s="6" t="str">
        <f t="shared" si="691"/>
        <v>=661.4*100000000</v>
      </c>
      <c r="AT1466" s="1">
        <f>661.4*100000000</f>
        <v>66140000000</v>
      </c>
      <c r="AU1466" s="8">
        <f t="shared" si="708"/>
        <v>0.95449172576832175</v>
      </c>
      <c r="AV1466" s="6" t="s">
        <v>12972</v>
      </c>
      <c r="AW1466" s="6" t="str">
        <f t="shared" si="692"/>
        <v>=338.4*100000000</v>
      </c>
      <c r="AX1466" s="1">
        <f>338.4*100000000</f>
        <v>33839999999.999996</v>
      </c>
      <c r="AY1466" s="10">
        <f t="shared" si="709"/>
        <v>-0.69292196007259532</v>
      </c>
      <c r="AZ1466" s="6" t="s">
        <v>14275</v>
      </c>
      <c r="BA1466" s="6" t="str">
        <f t="shared" si="693"/>
        <v>=1102*100000000</v>
      </c>
      <c r="BB1466" s="1">
        <f>1102*100000000</f>
        <v>110200000000</v>
      </c>
      <c r="BC1466" s="8">
        <f t="shared" si="710"/>
        <v>0.35447394296951817</v>
      </c>
      <c r="BD1466" s="6" t="s">
        <v>14276</v>
      </c>
      <c r="BE1466" s="6" t="str">
        <f t="shared" si="694"/>
        <v>=813.6*100000000</v>
      </c>
      <c r="BF1466" s="1">
        <f>813.6*100000000</f>
        <v>81360000000</v>
      </c>
      <c r="BG1466" s="8">
        <f t="shared" si="711"/>
        <v>0.55772544514646782</v>
      </c>
      <c r="BH1466" s="6" t="s">
        <v>14277</v>
      </c>
      <c r="BI1466" s="6" t="str">
        <f t="shared" si="695"/>
        <v>=522.3*100000000</v>
      </c>
      <c r="BJ1466" s="1">
        <f>522.3*100000000</f>
        <v>52229999999.999992</v>
      </c>
      <c r="BK1466" s="6" t="s">
        <v>14278</v>
      </c>
      <c r="BL1466" s="1" t="str">
        <f t="shared" si="697"/>
        <v>=253.4*100000000</v>
      </c>
      <c r="BM1466" s="16">
        <f t="shared" si="712"/>
        <v>1.0611681136543012</v>
      </c>
      <c r="BN1466" s="1">
        <f>253.4*100000000</f>
        <v>25340000000</v>
      </c>
    </row>
    <row r="1467" spans="1:66">
      <c r="A1467" s="18"/>
      <c r="B1467">
        <v>601818</v>
      </c>
      <c r="C1467" t="s">
        <v>48</v>
      </c>
      <c r="D1467" s="6" t="s">
        <v>14279</v>
      </c>
      <c r="E1467" s="7" t="str">
        <f t="shared" si="696"/>
        <v>=526.4*100000000</v>
      </c>
      <c r="F1467" s="1">
        <f>526.4*100000000</f>
        <v>52640000000</v>
      </c>
      <c r="G1467" s="8">
        <f t="shared" si="698"/>
        <v>0.23452157598499063</v>
      </c>
      <c r="H1467" s="6" t="s">
        <v>14280</v>
      </c>
      <c r="I1467" s="6" t="str">
        <f t="shared" si="682"/>
        <v>=426.4*100000000</v>
      </c>
      <c r="J1467" s="1">
        <f>426.4*100000000</f>
        <v>42640000000</v>
      </c>
      <c r="K1467" s="10">
        <f t="shared" si="699"/>
        <v>0.56995581737849754</v>
      </c>
      <c r="L1467" s="6" t="s">
        <v>7336</v>
      </c>
      <c r="M1467" s="6" t="str">
        <f t="shared" si="683"/>
        <v>=271.6*100000000</v>
      </c>
      <c r="N1467" s="1">
        <f>271.6*100000000</f>
        <v>27160000000.000004</v>
      </c>
      <c r="O1467" s="8">
        <f t="shared" si="700"/>
        <v>0.86666666666666692</v>
      </c>
      <c r="P1467" s="6" t="s">
        <v>11494</v>
      </c>
      <c r="Q1467" s="6" t="str">
        <f t="shared" si="684"/>
        <v>=145.5*100000000</v>
      </c>
      <c r="R1467" s="11">
        <f>145.5*100000000</f>
        <v>14550000000</v>
      </c>
      <c r="S1467" s="8">
        <f t="shared" si="701"/>
        <v>-0.68175853018372701</v>
      </c>
      <c r="T1467" s="6" t="s">
        <v>14281</v>
      </c>
      <c r="U1467" s="6" t="str">
        <f t="shared" si="685"/>
        <v>=457.2*100000000</v>
      </c>
      <c r="V1467" s="1">
        <f>457.2*100000000</f>
        <v>45720000000</v>
      </c>
      <c r="W1467" s="8">
        <f t="shared" si="702"/>
        <v>0.29189036450974853</v>
      </c>
      <c r="X1467" s="6" t="s">
        <v>14282</v>
      </c>
      <c r="Y1467" s="6" t="str">
        <f t="shared" si="686"/>
        <v>=353.9*100000000</v>
      </c>
      <c r="Z1467" s="1">
        <f>353.9*100000000</f>
        <v>35390000000</v>
      </c>
      <c r="AA1467" s="8">
        <f t="shared" si="703"/>
        <v>0.60280797101449279</v>
      </c>
      <c r="AB1467" s="6" t="s">
        <v>5763</v>
      </c>
      <c r="AC1467" s="6" t="str">
        <f t="shared" si="687"/>
        <v>=220.8*100000000</v>
      </c>
      <c r="AD1467" s="1">
        <f>220.8*100000000</f>
        <v>22080000000</v>
      </c>
      <c r="AE1467" s="8">
        <f t="shared" si="704"/>
        <v>0.68421052631578949</v>
      </c>
      <c r="AF1467" s="6" t="s">
        <v>877</v>
      </c>
      <c r="AG1467" s="6" t="str">
        <f t="shared" si="688"/>
        <v>=131.1*100000000</v>
      </c>
      <c r="AH1467" s="1">
        <f>131.1*100000000</f>
        <v>13110000000</v>
      </c>
      <c r="AI1467" s="8">
        <f t="shared" si="705"/>
        <v>-0.71059602649006626</v>
      </c>
      <c r="AJ1467" s="6" t="s">
        <v>14283</v>
      </c>
      <c r="AK1467" s="6" t="str">
        <f t="shared" si="689"/>
        <v>=453.0*100000000</v>
      </c>
      <c r="AL1467" s="1">
        <f>453*100000000</f>
        <v>45300000000</v>
      </c>
      <c r="AM1467" s="8">
        <f t="shared" si="706"/>
        <v>0.21447721179624665</v>
      </c>
      <c r="AN1467" s="6" t="s">
        <v>14284</v>
      </c>
      <c r="AO1467" s="6" t="str">
        <f t="shared" si="690"/>
        <v>=373.0*100000000</v>
      </c>
      <c r="AP1467" s="1">
        <f>373*100000000</f>
        <v>37300000000</v>
      </c>
      <c r="AQ1467" s="8">
        <f t="shared" si="707"/>
        <v>0.52618657937806879</v>
      </c>
      <c r="AR1467" s="6" t="s">
        <v>14285</v>
      </c>
      <c r="AS1467" s="6" t="str">
        <f t="shared" si="691"/>
        <v>=244.4*100000000</v>
      </c>
      <c r="AT1467" s="1">
        <f>244.4*100000000</f>
        <v>24440000000</v>
      </c>
      <c r="AU1467" s="8">
        <f t="shared" si="708"/>
        <v>1.0782312925170068</v>
      </c>
      <c r="AV1467" s="6" t="s">
        <v>11209</v>
      </c>
      <c r="AW1467" s="6" t="str">
        <f t="shared" si="692"/>
        <v>=117.6*100000000</v>
      </c>
      <c r="AX1467" s="1">
        <f>117.6*100000000</f>
        <v>11760000000</v>
      </c>
      <c r="AY1467" s="10">
        <f t="shared" si="709"/>
        <v>-0.71310075628201997</v>
      </c>
      <c r="AZ1467" s="6" t="s">
        <v>13417</v>
      </c>
      <c r="BA1467" s="6" t="str">
        <f t="shared" si="693"/>
        <v>=409.9*100000000</v>
      </c>
      <c r="BB1467" s="1">
        <f>409.9*100000000</f>
        <v>40990000000</v>
      </c>
      <c r="BC1467" s="8">
        <f t="shared" si="710"/>
        <v>0.24779299847792999</v>
      </c>
      <c r="BD1467" s="6" t="s">
        <v>14286</v>
      </c>
      <c r="BE1467" s="6" t="str">
        <f t="shared" si="694"/>
        <v>=328.5*100000000</v>
      </c>
      <c r="BF1467" s="1">
        <f>328.5*100000000</f>
        <v>32850000000</v>
      </c>
      <c r="BG1467" s="8">
        <f t="shared" si="711"/>
        <v>0.51942645698427381</v>
      </c>
      <c r="BH1467" s="6" t="s">
        <v>4326</v>
      </c>
      <c r="BI1467" s="6" t="str">
        <f t="shared" si="695"/>
        <v>=216.2*100000000</v>
      </c>
      <c r="BJ1467" s="1">
        <f>216.2*100000000</f>
        <v>21620000000</v>
      </c>
      <c r="BK1467" s="6" t="s">
        <v>9622</v>
      </c>
      <c r="BL1467" s="1" t="str">
        <f t="shared" si="697"/>
        <v>=110.8*100000000</v>
      </c>
      <c r="BM1467" s="16">
        <f t="shared" si="712"/>
        <v>0.95126353790613716</v>
      </c>
      <c r="BN1467" s="1">
        <f>110.8*100000000</f>
        <v>11080000000</v>
      </c>
    </row>
    <row r="1468" spans="1:66">
      <c r="A1468" s="18"/>
      <c r="B1468">
        <v>601818</v>
      </c>
      <c r="C1468" t="s">
        <v>58</v>
      </c>
      <c r="D1468" s="6" t="s">
        <v>14287</v>
      </c>
      <c r="E1468" s="7" t="str">
        <f t="shared" si="696"/>
        <v>=529.4*100000000</v>
      </c>
      <c r="F1468" s="1">
        <f>529.4*100000000</f>
        <v>52940000000</v>
      </c>
      <c r="G1468" s="8">
        <f t="shared" si="698"/>
        <v>0.23633815973843997</v>
      </c>
      <c r="H1468" s="6" t="s">
        <v>13077</v>
      </c>
      <c r="I1468" s="6" t="str">
        <f t="shared" si="682"/>
        <v>=428.2*100000000</v>
      </c>
      <c r="J1468" s="1">
        <f>428.2*100000000</f>
        <v>42820000000</v>
      </c>
      <c r="K1468" s="10">
        <f t="shared" si="699"/>
        <v>0.57484369253402012</v>
      </c>
      <c r="L1468" s="6" t="s">
        <v>14288</v>
      </c>
      <c r="M1468" s="6" t="str">
        <f t="shared" si="683"/>
        <v>=271.9*100000000</v>
      </c>
      <c r="N1468" s="1">
        <f>271.9*100000000</f>
        <v>27189999999.999996</v>
      </c>
      <c r="O1468" s="8">
        <f t="shared" si="700"/>
        <v>0.86744505494505464</v>
      </c>
      <c r="P1468" s="6" t="s">
        <v>13500</v>
      </c>
      <c r="Q1468" s="6" t="str">
        <f t="shared" si="684"/>
        <v>=145.6*100000000</v>
      </c>
      <c r="R1468" s="11">
        <f>145.6*100000000</f>
        <v>14560000000</v>
      </c>
      <c r="S1468" s="8">
        <f t="shared" si="701"/>
        <v>-0.68021084998901826</v>
      </c>
      <c r="T1468" s="6" t="s">
        <v>8890</v>
      </c>
      <c r="U1468" s="6" t="str">
        <f t="shared" si="685"/>
        <v>=455.3*100000000</v>
      </c>
      <c r="V1468" s="1">
        <f>455.3*100000000</f>
        <v>45530000000</v>
      </c>
      <c r="W1468" s="8">
        <f t="shared" si="702"/>
        <v>0.28688524590163933</v>
      </c>
      <c r="X1468" s="6" t="s">
        <v>14289</v>
      </c>
      <c r="Y1468" s="6" t="str">
        <f t="shared" si="686"/>
        <v>=353.8*100000000</v>
      </c>
      <c r="Z1468" s="1">
        <f>353.8*100000000</f>
        <v>35380000000</v>
      </c>
      <c r="AA1468" s="8">
        <f t="shared" si="703"/>
        <v>0.60526315789473684</v>
      </c>
      <c r="AB1468" s="6" t="s">
        <v>14290</v>
      </c>
      <c r="AC1468" s="6" t="str">
        <f t="shared" si="687"/>
        <v>=220.4*100000000</v>
      </c>
      <c r="AD1468" s="1">
        <f>220.4*100000000</f>
        <v>22040000000</v>
      </c>
      <c r="AE1468" s="8">
        <f t="shared" si="704"/>
        <v>0.6824427480916031</v>
      </c>
      <c r="AF1468" s="6" t="s">
        <v>11817</v>
      </c>
      <c r="AG1468" s="6" t="str">
        <f t="shared" si="688"/>
        <v>=131.0*100000000</v>
      </c>
      <c r="AH1468" s="1">
        <f>131*100000000</f>
        <v>13100000000</v>
      </c>
      <c r="AI1468" s="8">
        <f t="shared" si="705"/>
        <v>-0.70992028343666957</v>
      </c>
      <c r="AJ1468" s="6" t="s">
        <v>14291</v>
      </c>
      <c r="AK1468" s="6" t="str">
        <f t="shared" si="689"/>
        <v>=451.6*100000000</v>
      </c>
      <c r="AL1468" s="1">
        <f>451.6*100000000</f>
        <v>45160000000</v>
      </c>
      <c r="AM1468" s="8">
        <f t="shared" si="706"/>
        <v>0.20942688805570434</v>
      </c>
      <c r="AN1468" s="6" t="s">
        <v>14292</v>
      </c>
      <c r="AO1468" s="6" t="str">
        <f t="shared" si="690"/>
        <v>=373.4*100000000</v>
      </c>
      <c r="AP1468" s="1">
        <f>373.4*100000000</f>
        <v>37340000000</v>
      </c>
      <c r="AQ1468" s="8">
        <f t="shared" si="707"/>
        <v>0.52532679738562094</v>
      </c>
      <c r="AR1468" s="6" t="s">
        <v>12997</v>
      </c>
      <c r="AS1468" s="6" t="str">
        <f t="shared" si="691"/>
        <v>=244.8*100000000</v>
      </c>
      <c r="AT1468" s="1">
        <f>244.8*100000000</f>
        <v>24480000000</v>
      </c>
      <c r="AU1468" s="8">
        <f t="shared" si="708"/>
        <v>1.0780984719864177</v>
      </c>
      <c r="AV1468" s="6" t="s">
        <v>5015</v>
      </c>
      <c r="AW1468" s="6" t="str">
        <f t="shared" si="692"/>
        <v>=117.8*100000000</v>
      </c>
      <c r="AX1468" s="1">
        <f>117.8*100000000</f>
        <v>11780000000</v>
      </c>
      <c r="AY1468" s="10">
        <f t="shared" si="709"/>
        <v>-0.71162790697674416</v>
      </c>
      <c r="AZ1468" s="6" t="s">
        <v>14293</v>
      </c>
      <c r="BA1468" s="6" t="str">
        <f t="shared" si="693"/>
        <v>=408.5*100000000</v>
      </c>
      <c r="BB1468" s="1">
        <f>408.5*100000000</f>
        <v>40850000000</v>
      </c>
      <c r="BC1468" s="8">
        <f t="shared" si="710"/>
        <v>0.24239659367396593</v>
      </c>
      <c r="BD1468" s="6" t="s">
        <v>14294</v>
      </c>
      <c r="BE1468" s="6" t="str">
        <f t="shared" si="694"/>
        <v>=328.8*100000000</v>
      </c>
      <c r="BF1468" s="1">
        <f>328.8*100000000</f>
        <v>32880000000</v>
      </c>
      <c r="BG1468" s="8">
        <f t="shared" si="711"/>
        <v>0.51800554016620504</v>
      </c>
      <c r="BH1468" s="6" t="s">
        <v>14295</v>
      </c>
      <c r="BI1468" s="6" t="str">
        <f t="shared" si="695"/>
        <v>=216.6*100000000</v>
      </c>
      <c r="BJ1468" s="1">
        <f>216.6*100000000</f>
        <v>21660000000</v>
      </c>
      <c r="BK1468" s="6" t="s">
        <v>14296</v>
      </c>
      <c r="BL1468" s="1" t="str">
        <f t="shared" si="697"/>
        <v>=111.0*100000000</v>
      </c>
      <c r="BM1468" s="16">
        <f t="shared" si="712"/>
        <v>0.9513513513513514</v>
      </c>
      <c r="BN1468" s="1">
        <f>111*100000000</f>
        <v>11100000000</v>
      </c>
    </row>
    <row r="1469" spans="1:66">
      <c r="A1469" s="19"/>
      <c r="B1469">
        <v>601818</v>
      </c>
      <c r="C1469" t="s">
        <v>68</v>
      </c>
      <c r="D1469" s="6" t="s">
        <v>14297</v>
      </c>
      <c r="E1469" s="7" t="str">
        <f t="shared" si="696"/>
        <v>=436.4*100000000</v>
      </c>
      <c r="F1469" s="1">
        <f>436.4*100000000</f>
        <v>43640000000</v>
      </c>
      <c r="G1469" s="8">
        <f t="shared" si="698"/>
        <v>0.23801418439716313</v>
      </c>
      <c r="H1469" s="6" t="s">
        <v>13910</v>
      </c>
      <c r="I1469" s="6" t="str">
        <f t="shared" si="682"/>
        <v>=352.5*100000000</v>
      </c>
      <c r="J1469" s="1">
        <f>352.5*100000000</f>
        <v>35250000000</v>
      </c>
      <c r="K1469" s="10">
        <f t="shared" si="699"/>
        <v>0.56597067969791204</v>
      </c>
      <c r="L1469" s="6" t="s">
        <v>14298</v>
      </c>
      <c r="M1469" s="6" t="str">
        <f t="shared" si="683"/>
        <v>=225.1*100000000</v>
      </c>
      <c r="N1469" s="1">
        <f>225.1*100000000</f>
        <v>22510000000</v>
      </c>
      <c r="O1469" s="8">
        <f t="shared" si="700"/>
        <v>0.94723183391003463</v>
      </c>
      <c r="P1469" s="6" t="s">
        <v>14299</v>
      </c>
      <c r="Q1469" s="6" t="str">
        <f t="shared" si="684"/>
        <v>=115.6*100000000</v>
      </c>
      <c r="R1469" s="11">
        <f>115.6*100000000</f>
        <v>11560000000</v>
      </c>
      <c r="S1469" s="8">
        <f t="shared" si="701"/>
        <v>-0.69522805167413659</v>
      </c>
      <c r="T1469" s="6" t="s">
        <v>13939</v>
      </c>
      <c r="U1469" s="6" t="str">
        <f t="shared" si="685"/>
        <v>=379.3*100000000</v>
      </c>
      <c r="V1469" s="1">
        <f>379.3*100000000</f>
        <v>37930000000</v>
      </c>
      <c r="W1469" s="8">
        <f t="shared" si="702"/>
        <v>0.27624495289367429</v>
      </c>
      <c r="X1469" s="6" t="s">
        <v>8002</v>
      </c>
      <c r="Y1469" s="6" t="str">
        <f t="shared" si="686"/>
        <v>=297.2*100000000</v>
      </c>
      <c r="Z1469" s="1">
        <f>297.2*100000000</f>
        <v>29720000000</v>
      </c>
      <c r="AA1469" s="8">
        <f t="shared" si="703"/>
        <v>0.6134636264929425</v>
      </c>
      <c r="AB1469" s="6" t="s">
        <v>14300</v>
      </c>
      <c r="AC1469" s="6" t="str">
        <f t="shared" si="687"/>
        <v>=184.2*100000000</v>
      </c>
      <c r="AD1469" s="1">
        <f>184.2*100000000</f>
        <v>18420000000</v>
      </c>
      <c r="AE1469" s="8">
        <f t="shared" si="704"/>
        <v>0.69457221711131556</v>
      </c>
      <c r="AF1469" s="6" t="s">
        <v>4111</v>
      </c>
      <c r="AG1469" s="6" t="str">
        <f t="shared" si="688"/>
        <v>=108.7*100000000</v>
      </c>
      <c r="AH1469" s="1">
        <f>108.7*100000000</f>
        <v>10870000000</v>
      </c>
      <c r="AI1469" s="8">
        <f t="shared" si="705"/>
        <v>-0.70966880341880345</v>
      </c>
      <c r="AJ1469" s="6" t="s">
        <v>14301</v>
      </c>
      <c r="AK1469" s="6" t="str">
        <f t="shared" si="689"/>
        <v>=374.4*100000000</v>
      </c>
      <c r="AL1469" s="1">
        <f>374.4*100000000</f>
        <v>37440000000</v>
      </c>
      <c r="AM1469" s="8">
        <f t="shared" si="706"/>
        <v>0.18970448045757865</v>
      </c>
      <c r="AN1469" s="6" t="s">
        <v>14302</v>
      </c>
      <c r="AO1469" s="6" t="str">
        <f t="shared" si="690"/>
        <v>=314.7*100000000</v>
      </c>
      <c r="AP1469" s="1">
        <f>314.7*100000000</f>
        <v>31470000000</v>
      </c>
      <c r="AQ1469" s="8">
        <f t="shared" si="707"/>
        <v>0.53662109375</v>
      </c>
      <c r="AR1469" s="6" t="s">
        <v>14303</v>
      </c>
      <c r="AS1469" s="6" t="str">
        <f t="shared" si="691"/>
        <v>=204.8*100000000</v>
      </c>
      <c r="AT1469" s="1">
        <f>204.8*100000000</f>
        <v>20480000000</v>
      </c>
      <c r="AU1469" s="8">
        <f t="shared" si="708"/>
        <v>1.1002974053943186</v>
      </c>
      <c r="AV1469" s="6" t="s">
        <v>1150</v>
      </c>
      <c r="AW1469" s="6" t="str">
        <f t="shared" si="692"/>
        <v>=97.51*100000000</v>
      </c>
      <c r="AX1469" s="1">
        <f>97.51*100000000</f>
        <v>9751000000</v>
      </c>
      <c r="AY1469" s="10">
        <f t="shared" si="709"/>
        <v>-0.71082443653618033</v>
      </c>
      <c r="AZ1469" s="6" t="s">
        <v>14304</v>
      </c>
      <c r="BA1469" s="6" t="str">
        <f t="shared" si="693"/>
        <v>=337.2*100000000</v>
      </c>
      <c r="BB1469" s="1">
        <f>337.2*100000000</f>
        <v>33720000000</v>
      </c>
      <c r="BC1469" s="8">
        <f t="shared" si="710"/>
        <v>0.21294964028776978</v>
      </c>
      <c r="BD1469" s="6" t="s">
        <v>14305</v>
      </c>
      <c r="BE1469" s="6" t="str">
        <f t="shared" si="694"/>
        <v>=278.0*100000000</v>
      </c>
      <c r="BF1469" s="1">
        <f>278*100000000</f>
        <v>27800000000</v>
      </c>
      <c r="BG1469" s="8">
        <f t="shared" si="711"/>
        <v>0.53591160220994472</v>
      </c>
      <c r="BH1469" s="6" t="s">
        <v>14306</v>
      </c>
      <c r="BI1469" s="6" t="str">
        <f t="shared" si="695"/>
        <v>=181.0*100000000</v>
      </c>
      <c r="BJ1469" s="1">
        <f>181*100000000</f>
        <v>18100000000</v>
      </c>
      <c r="BK1469" s="6" t="s">
        <v>10224</v>
      </c>
      <c r="BL1469" s="1" t="str">
        <f t="shared" si="697"/>
        <v>=90.71*100000000</v>
      </c>
      <c r="BM1469" s="16">
        <f t="shared" si="712"/>
        <v>0.99536985999338556</v>
      </c>
      <c r="BN1469" s="1">
        <f>90.71*100000000</f>
        <v>9071000000</v>
      </c>
    </row>
    <row r="1470" spans="1:66">
      <c r="A1470" s="17">
        <v>369</v>
      </c>
      <c r="B1470">
        <v>601828</v>
      </c>
      <c r="C1470" t="s">
        <v>31</v>
      </c>
      <c r="D1470" s="6" t="s">
        <v>14307</v>
      </c>
      <c r="E1470" s="7" t="str">
        <f t="shared" si="696"/>
        <v>=155.1*100000000</v>
      </c>
      <c r="F1470" s="1">
        <f>155.1*100000000</f>
        <v>15510000000</v>
      </c>
      <c r="G1470" s="8">
        <f t="shared" si="698"/>
        <v>0.36651982378854625</v>
      </c>
      <c r="H1470" s="6" t="s">
        <v>3993</v>
      </c>
      <c r="I1470" s="6" t="str">
        <f t="shared" si="682"/>
        <v>=113.5*100000000</v>
      </c>
      <c r="J1470" s="1">
        <f>113.5*100000000</f>
        <v>11350000000</v>
      </c>
      <c r="K1470" s="10">
        <f t="shared" si="699"/>
        <v>0.51272824203651868</v>
      </c>
      <c r="L1470" s="6" t="s">
        <v>3259</v>
      </c>
      <c r="M1470" s="6" t="str">
        <f t="shared" si="683"/>
        <v>=75.03*100000000</v>
      </c>
      <c r="N1470" s="1">
        <f>75.03*100000000</f>
        <v>7503000000</v>
      </c>
      <c r="O1470" s="8">
        <f t="shared" si="700"/>
        <v>1.2457348099371448</v>
      </c>
      <c r="P1470" s="6" t="s">
        <v>2829</v>
      </c>
      <c r="Q1470" s="6" t="str">
        <f t="shared" si="684"/>
        <v>=33.41*100000000</v>
      </c>
      <c r="R1470" s="11">
        <f>33.41*100000000</f>
        <v>3340999999.9999995</v>
      </c>
      <c r="S1470" s="8">
        <f t="shared" si="701"/>
        <v>-0.76537921348314608</v>
      </c>
      <c r="T1470" s="6" t="s">
        <v>14308</v>
      </c>
      <c r="U1470" s="6" t="str">
        <f t="shared" si="685"/>
        <v>=142.4*100000000</v>
      </c>
      <c r="V1470" s="1">
        <f>142.4*100000000</f>
        <v>14240000000</v>
      </c>
      <c r="W1470" s="8">
        <f t="shared" si="702"/>
        <v>0.49469927574262623</v>
      </c>
      <c r="X1470" s="6" t="s">
        <v>14309</v>
      </c>
      <c r="Y1470" s="6" t="str">
        <f t="shared" si="686"/>
        <v>=95.27*100000000</v>
      </c>
      <c r="Z1470" s="1">
        <f>95.27*100000000</f>
        <v>9527000000</v>
      </c>
      <c r="AA1470" s="8">
        <f t="shared" si="703"/>
        <v>0.58150730411686591</v>
      </c>
      <c r="AB1470" s="6" t="s">
        <v>14310</v>
      </c>
      <c r="AC1470" s="6" t="str">
        <f t="shared" si="687"/>
        <v>=60.24*100000000</v>
      </c>
      <c r="AD1470" s="1">
        <f>60.24*100000000</f>
        <v>6024000000</v>
      </c>
      <c r="AE1470" s="8">
        <f t="shared" si="704"/>
        <v>1.3568075117370892</v>
      </c>
      <c r="AF1470" s="6" t="s">
        <v>8944</v>
      </c>
      <c r="AG1470" s="6" t="str">
        <f t="shared" si="688"/>
        <v>=25.56*100000000</v>
      </c>
      <c r="AH1470" s="1">
        <f>25.56*100000000</f>
        <v>2556000000</v>
      </c>
      <c r="AI1470" s="8">
        <f t="shared" si="705"/>
        <v>-0.84480874316939891</v>
      </c>
      <c r="AJ1470" s="6" t="s">
        <v>12433</v>
      </c>
      <c r="AK1470" s="6" t="str">
        <f t="shared" si="689"/>
        <v>=164.7*100000000</v>
      </c>
      <c r="AL1470" s="1">
        <f>164.7*100000000</f>
        <v>16469999999.999998</v>
      </c>
      <c r="AM1470" s="8">
        <f t="shared" si="706"/>
        <v>0.39340101522842624</v>
      </c>
      <c r="AN1470" s="6" t="s">
        <v>539</v>
      </c>
      <c r="AO1470" s="6" t="str">
        <f t="shared" si="690"/>
        <v>=118.2*100000000</v>
      </c>
      <c r="AP1470" s="1">
        <f>118.2*100000000</f>
        <v>11820000000</v>
      </c>
      <c r="AQ1470" s="8">
        <f t="shared" si="707"/>
        <v>0.52378496841562483</v>
      </c>
      <c r="AR1470" s="6" t="s">
        <v>9631</v>
      </c>
      <c r="AS1470" s="6" t="str">
        <f t="shared" si="691"/>
        <v>=77.57*100000000</v>
      </c>
      <c r="AT1470" s="1">
        <f>77.57*100000000</f>
        <v>7756999999.999999</v>
      </c>
      <c r="AU1470" s="8">
        <f t="shared" si="708"/>
        <v>1.1943422913719941</v>
      </c>
      <c r="AV1470" s="6" t="s">
        <v>13014</v>
      </c>
      <c r="AW1470" s="6" t="str">
        <f t="shared" si="692"/>
        <v>=35.35*100000000</v>
      </c>
      <c r="AX1470" s="1">
        <f>35.35*100000000</f>
        <v>3535000000</v>
      </c>
      <c r="AY1470" s="10">
        <f t="shared" si="709"/>
        <v>-0.7517556179775281</v>
      </c>
      <c r="AZ1470" s="6" t="s">
        <v>14308</v>
      </c>
      <c r="BA1470" s="6" t="str">
        <f t="shared" si="693"/>
        <v>=142.4*100000000</v>
      </c>
      <c r="BB1470" s="1">
        <f>142.4*100000000</f>
        <v>14240000000</v>
      </c>
      <c r="BC1470" s="8">
        <f t="shared" si="710"/>
        <v>0.42528275447903113</v>
      </c>
      <c r="BD1470" s="6" t="s">
        <v>14311</v>
      </c>
      <c r="BE1470" s="6" t="str">
        <f t="shared" si="694"/>
        <v>=99.91*100000000</v>
      </c>
      <c r="BF1470" s="1">
        <f>99.91*100000000</f>
        <v>9991000000</v>
      </c>
      <c r="BG1470" s="8">
        <f t="shared" si="711"/>
        <v>0.56746156259805458</v>
      </c>
      <c r="BH1470" s="6" t="s">
        <v>1367</v>
      </c>
      <c r="BI1470" s="6" t="str">
        <f t="shared" si="695"/>
        <v>=63.74*100000000</v>
      </c>
      <c r="BJ1470" s="1">
        <f>63.74*100000000</f>
        <v>6374000000</v>
      </c>
      <c r="BK1470" s="6" t="s">
        <v>14312</v>
      </c>
      <c r="BL1470" s="1" t="str">
        <f t="shared" si="697"/>
        <v>=28.89*100000000</v>
      </c>
      <c r="BM1470" s="16">
        <f t="shared" si="712"/>
        <v>1.2062997577016268</v>
      </c>
      <c r="BN1470" s="1">
        <f>28.89*100000000</f>
        <v>2889000000</v>
      </c>
    </row>
    <row r="1471" spans="1:66">
      <c r="A1471" s="18"/>
      <c r="B1471">
        <v>601828</v>
      </c>
      <c r="C1471" t="s">
        <v>48</v>
      </c>
      <c r="D1471" s="6" t="s">
        <v>831</v>
      </c>
      <c r="E1471" s="7" t="str">
        <f t="shared" si="696"/>
        <v>=28.62*100000000</v>
      </c>
      <c r="F1471" s="1">
        <f>28.62*100000000</f>
        <v>2862000000</v>
      </c>
      <c r="G1471" s="8">
        <f t="shared" si="698"/>
        <v>-9.630565203662772E-2</v>
      </c>
      <c r="H1471" s="6" t="s">
        <v>8865</v>
      </c>
      <c r="I1471" s="6" t="str">
        <f t="shared" ref="I1471:I1534" si="713">"="&amp;H1471</f>
        <v>=31.67*100000000</v>
      </c>
      <c r="J1471" s="1">
        <f>31.67*100000000</f>
        <v>3167000000</v>
      </c>
      <c r="K1471" s="10">
        <f t="shared" si="699"/>
        <v>0.25674603174603172</v>
      </c>
      <c r="L1471" s="6" t="s">
        <v>14119</v>
      </c>
      <c r="M1471" s="6" t="str">
        <f t="shared" ref="M1471:M1534" si="714">"="&amp;L1471</f>
        <v>=25.20*100000000</v>
      </c>
      <c r="N1471" s="1">
        <f>25.2*100000000</f>
        <v>2520000000</v>
      </c>
      <c r="O1471" s="8">
        <f t="shared" si="700"/>
        <v>1.5380199415852553</v>
      </c>
      <c r="P1471" s="6" t="s">
        <v>14313</v>
      </c>
      <c r="Q1471" s="6" t="str">
        <f t="shared" ref="Q1471:Q1534" si="715">"="&amp;P1471</f>
        <v>=9.929*100000000</v>
      </c>
      <c r="R1471" s="11">
        <f>9.929*100000000</f>
        <v>992900000</v>
      </c>
      <c r="S1471" s="8">
        <f t="shared" si="701"/>
        <v>-0.66296673455532928</v>
      </c>
      <c r="T1471" s="6" t="s">
        <v>331</v>
      </c>
      <c r="U1471" s="6" t="str">
        <f t="shared" ref="U1471:U1534" si="716">"="&amp;T1471</f>
        <v>=29.46*100000000</v>
      </c>
      <c r="V1471" s="1">
        <f>29.46*100000000</f>
        <v>2946000000</v>
      </c>
      <c r="W1471" s="8">
        <f t="shared" si="702"/>
        <v>0.16580925999208548</v>
      </c>
      <c r="X1471" s="6" t="s">
        <v>4567</v>
      </c>
      <c r="Y1471" s="6" t="str">
        <f t="shared" ref="Y1471:Y1534" si="717">"="&amp;X1471</f>
        <v>=25.27*100000000</v>
      </c>
      <c r="Z1471" s="1">
        <f>25.27*100000000</f>
        <v>2527000000</v>
      </c>
      <c r="AA1471" s="8">
        <f t="shared" si="703"/>
        <v>0.55699322242760319</v>
      </c>
      <c r="AB1471" s="6" t="s">
        <v>6483</v>
      </c>
      <c r="AC1471" s="6" t="str">
        <f t="shared" ref="AC1471:AC1534" si="718">"="&amp;AB1471</f>
        <v>=16.23*100000000</v>
      </c>
      <c r="AD1471" s="1">
        <f>16.23*100000000</f>
        <v>1623000000</v>
      </c>
      <c r="AE1471" s="8">
        <f t="shared" si="704"/>
        <v>1.8069872016603252</v>
      </c>
      <c r="AF1471" s="6" t="s">
        <v>14314</v>
      </c>
      <c r="AG1471" s="6" t="str">
        <f t="shared" ref="AG1471:AG1534" si="719">"="&amp;AF1471</f>
        <v>=5.782*100000000</v>
      </c>
      <c r="AH1471" s="1">
        <f>5.782*100000000</f>
        <v>578200000</v>
      </c>
      <c r="AI1471" s="8">
        <f t="shared" si="705"/>
        <v>-0.90669678876875903</v>
      </c>
      <c r="AJ1471" s="6" t="s">
        <v>14315</v>
      </c>
      <c r="AK1471" s="6" t="str">
        <f t="shared" ref="AK1471:AK1534" si="720">"="&amp;AJ1471</f>
        <v>=61.97*100000000</v>
      </c>
      <c r="AL1471" s="1">
        <f>61.97*100000000</f>
        <v>6197000000</v>
      </c>
      <c r="AM1471" s="8">
        <f t="shared" si="706"/>
        <v>0.22494564143111287</v>
      </c>
      <c r="AN1471" s="6" t="s">
        <v>14316</v>
      </c>
      <c r="AO1471" s="6" t="str">
        <f t="shared" ref="AO1471:AO1534" si="721">"="&amp;AN1471</f>
        <v>=50.59*100000000</v>
      </c>
      <c r="AP1471" s="1">
        <f>50.59*100000000</f>
        <v>5059000000</v>
      </c>
      <c r="AQ1471" s="8">
        <f t="shared" si="707"/>
        <v>0.41987089531293836</v>
      </c>
      <c r="AR1471" s="6" t="s">
        <v>14148</v>
      </c>
      <c r="AS1471" s="6" t="str">
        <f t="shared" ref="AS1471:AS1534" si="722">"="&amp;AR1471</f>
        <v>=35.63*100000000</v>
      </c>
      <c r="AT1471" s="1">
        <f>35.63*100000000</f>
        <v>3563000000.0000005</v>
      </c>
      <c r="AU1471" s="8">
        <f t="shared" si="708"/>
        <v>1.0061936936936937</v>
      </c>
      <c r="AV1471" s="6" t="s">
        <v>1822</v>
      </c>
      <c r="AW1471" s="6" t="str">
        <f t="shared" ref="AW1471:AW1534" si="723">"="&amp;AV1471</f>
        <v>=17.76*100000000</v>
      </c>
      <c r="AX1471" s="1">
        <f>17.76*100000000</f>
        <v>1776000000.0000002</v>
      </c>
      <c r="AY1471" s="10">
        <f t="shared" si="709"/>
        <v>-0.71032458000326215</v>
      </c>
      <c r="AZ1471" s="6" t="s">
        <v>14317</v>
      </c>
      <c r="BA1471" s="6" t="str">
        <f t="shared" ref="BA1471:BA1534" si="724">"="&amp;AZ1471</f>
        <v>=61.31*100000000</v>
      </c>
      <c r="BB1471" s="1">
        <f>61.31*100000000</f>
        <v>6131000000</v>
      </c>
      <c r="BC1471" s="8">
        <f t="shared" si="710"/>
        <v>0.15919833616940821</v>
      </c>
      <c r="BD1471" s="6" t="s">
        <v>13220</v>
      </c>
      <c r="BE1471" s="6" t="str">
        <f t="shared" ref="BE1471:BE1534" si="725">"="&amp;BD1471</f>
        <v>=52.89*100000000</v>
      </c>
      <c r="BF1471" s="1">
        <f>52.89*100000000</f>
        <v>5289000000</v>
      </c>
      <c r="BG1471" s="8">
        <f t="shared" si="711"/>
        <v>0.40403504114680117</v>
      </c>
      <c r="BH1471" s="6" t="s">
        <v>13834</v>
      </c>
      <c r="BI1471" s="6" t="str">
        <f t="shared" ref="BI1471:BI1534" si="726">"="&amp;BH1471</f>
        <v>=37.67*100000000</v>
      </c>
      <c r="BJ1471" s="1">
        <f>37.67*100000000</f>
        <v>3767000000</v>
      </c>
      <c r="BK1471" s="6" t="s">
        <v>3670</v>
      </c>
      <c r="BL1471" s="1" t="str">
        <f t="shared" si="697"/>
        <v>=16.43*100000000</v>
      </c>
      <c r="BM1471" s="16">
        <f t="shared" si="712"/>
        <v>1.2927571515520389</v>
      </c>
      <c r="BN1471" s="1">
        <f>16.43*100000000</f>
        <v>1643000000</v>
      </c>
    </row>
    <row r="1472" spans="1:66">
      <c r="A1472" s="18"/>
      <c r="B1472">
        <v>601828</v>
      </c>
      <c r="C1472" t="s">
        <v>58</v>
      </c>
      <c r="D1472" s="6" t="s">
        <v>14318</v>
      </c>
      <c r="E1472" s="7" t="str">
        <f t="shared" si="696"/>
        <v>=28.02*100000000</v>
      </c>
      <c r="F1472" s="1">
        <f>28.02*100000000</f>
        <v>2802000000</v>
      </c>
      <c r="G1472" s="8">
        <f t="shared" si="698"/>
        <v>-0.11329113924050632</v>
      </c>
      <c r="H1472" s="6" t="s">
        <v>13962</v>
      </c>
      <c r="I1472" s="6" t="str">
        <f t="shared" si="713"/>
        <v>=31.60*100000000</v>
      </c>
      <c r="J1472" s="1">
        <f>31.6*100000000</f>
        <v>3160000000</v>
      </c>
      <c r="K1472" s="10">
        <f t="shared" si="699"/>
        <v>0.25446605795950772</v>
      </c>
      <c r="L1472" s="6" t="s">
        <v>5916</v>
      </c>
      <c r="M1472" s="6" t="str">
        <f t="shared" si="714"/>
        <v>=25.19*100000000</v>
      </c>
      <c r="N1472" s="1">
        <f>25.19*100000000</f>
        <v>2519000000</v>
      </c>
      <c r="O1472" s="8">
        <f t="shared" si="700"/>
        <v>1.5164835164835164</v>
      </c>
      <c r="P1472" s="6" t="s">
        <v>2063</v>
      </c>
      <c r="Q1472" s="6" t="str">
        <f t="shared" si="715"/>
        <v>=10.01*100000000</v>
      </c>
      <c r="R1472" s="11">
        <f>10.01*100000000</f>
        <v>1001000000</v>
      </c>
      <c r="S1472" s="8">
        <f t="shared" si="701"/>
        <v>-0.64427860696517414</v>
      </c>
      <c r="T1472" s="6" t="s">
        <v>1488</v>
      </c>
      <c r="U1472" s="6" t="str">
        <f t="shared" si="716"/>
        <v>=28.14*100000000</v>
      </c>
      <c r="V1472" s="1">
        <f>28.14*100000000</f>
        <v>2814000000</v>
      </c>
      <c r="W1472" s="8">
        <f t="shared" si="702"/>
        <v>0.14669926650366749</v>
      </c>
      <c r="X1472" s="6" t="s">
        <v>5660</v>
      </c>
      <c r="Y1472" s="6" t="str">
        <f t="shared" si="717"/>
        <v>=24.54*100000000</v>
      </c>
      <c r="Z1472" s="1">
        <f>24.54*100000000</f>
        <v>2454000000</v>
      </c>
      <c r="AA1472" s="8">
        <f t="shared" si="703"/>
        <v>0.5761078998073218</v>
      </c>
      <c r="AB1472" s="6" t="s">
        <v>9139</v>
      </c>
      <c r="AC1472" s="6" t="str">
        <f t="shared" si="718"/>
        <v>=15.57*100000000</v>
      </c>
      <c r="AD1472" s="1">
        <f>15.57*100000000</f>
        <v>1557000000</v>
      </c>
      <c r="AE1472" s="8">
        <f t="shared" si="704"/>
        <v>1.8140249412615217</v>
      </c>
      <c r="AF1472" s="6" t="s">
        <v>14319</v>
      </c>
      <c r="AG1472" s="6" t="str">
        <f t="shared" si="719"/>
        <v>=5.533*100000000</v>
      </c>
      <c r="AH1472" s="1">
        <f>5.533*100000000</f>
        <v>553300000</v>
      </c>
      <c r="AI1472" s="8">
        <f t="shared" si="705"/>
        <v>-0.91080122521360629</v>
      </c>
      <c r="AJ1472" s="6" t="s">
        <v>14320</v>
      </c>
      <c r="AK1472" s="6" t="str">
        <f t="shared" si="720"/>
        <v>=62.03*100000000</v>
      </c>
      <c r="AL1472" s="1">
        <f>62.03*100000000</f>
        <v>6203000000</v>
      </c>
      <c r="AM1472" s="8">
        <f t="shared" si="706"/>
        <v>0.2246791707798618</v>
      </c>
      <c r="AN1472" s="6" t="s">
        <v>14321</v>
      </c>
      <c r="AO1472" s="6" t="str">
        <f t="shared" si="721"/>
        <v>=50.65*100000000</v>
      </c>
      <c r="AP1472" s="1">
        <f>50.65*100000000</f>
        <v>5065000000</v>
      </c>
      <c r="AQ1472" s="8">
        <f t="shared" si="707"/>
        <v>0.41678321678321678</v>
      </c>
      <c r="AR1472" s="6" t="s">
        <v>14322</v>
      </c>
      <c r="AS1472" s="6" t="str">
        <f t="shared" si="722"/>
        <v>=35.75*100000000</v>
      </c>
      <c r="AT1472" s="1">
        <f>35.75*100000000</f>
        <v>3575000000</v>
      </c>
      <c r="AU1472" s="8">
        <f t="shared" si="708"/>
        <v>1.0084269662921348</v>
      </c>
      <c r="AV1472" s="6" t="s">
        <v>10707</v>
      </c>
      <c r="AW1472" s="6" t="str">
        <f t="shared" si="723"/>
        <v>=17.80*100000000</v>
      </c>
      <c r="AX1472" s="1">
        <f>17.8*100000000</f>
        <v>1780000000</v>
      </c>
      <c r="AY1472" s="10">
        <f t="shared" si="709"/>
        <v>-0.70426981226117291</v>
      </c>
      <c r="AZ1472" s="6" t="s">
        <v>14323</v>
      </c>
      <c r="BA1472" s="6" t="str">
        <f t="shared" si="724"/>
        <v>=60.19*100000000</v>
      </c>
      <c r="BB1472" s="1">
        <f>60.19*100000000</f>
        <v>6019000000</v>
      </c>
      <c r="BC1472" s="8">
        <f t="shared" si="710"/>
        <v>0.13780718336483933</v>
      </c>
      <c r="BD1472" s="6" t="s">
        <v>14324</v>
      </c>
      <c r="BE1472" s="6" t="str">
        <f t="shared" si="725"/>
        <v>=52.90*100000000</v>
      </c>
      <c r="BF1472" s="1">
        <f>52.9*100000000</f>
        <v>5290000000</v>
      </c>
      <c r="BG1472" s="8">
        <f t="shared" si="711"/>
        <v>0.40430050438014337</v>
      </c>
      <c r="BH1472" s="6" t="s">
        <v>13834</v>
      </c>
      <c r="BI1472" s="6" t="str">
        <f t="shared" si="726"/>
        <v>=37.67*100000000</v>
      </c>
      <c r="BJ1472" s="1">
        <f>37.67*100000000</f>
        <v>3767000000</v>
      </c>
      <c r="BK1472" s="6" t="s">
        <v>10434</v>
      </c>
      <c r="BL1472" s="1" t="str">
        <f t="shared" si="697"/>
        <v>=16.41*100000000</v>
      </c>
      <c r="BM1472" s="16">
        <f t="shared" si="712"/>
        <v>1.2955514929920779</v>
      </c>
      <c r="BN1472" s="1">
        <f>16.41*100000000</f>
        <v>1641000000</v>
      </c>
    </row>
    <row r="1473" spans="1:66">
      <c r="A1473" s="19"/>
      <c r="B1473">
        <v>601828</v>
      </c>
      <c r="C1473" t="s">
        <v>68</v>
      </c>
      <c r="D1473" s="6" t="s">
        <v>3062</v>
      </c>
      <c r="E1473" s="7" t="str">
        <f t="shared" si="696"/>
        <v>=21.89*100000000</v>
      </c>
      <c r="F1473" s="1">
        <f>21.89*100000000</f>
        <v>2189000000</v>
      </c>
      <c r="G1473" s="8">
        <f t="shared" si="698"/>
        <v>-7.7538980193847445E-2</v>
      </c>
      <c r="H1473" s="6" t="s">
        <v>7080</v>
      </c>
      <c r="I1473" s="6" t="str">
        <f t="shared" si="713"/>
        <v>=23.73*100000000</v>
      </c>
      <c r="J1473" s="1">
        <f>23.73*100000000</f>
        <v>2373000000</v>
      </c>
      <c r="K1473" s="10">
        <f t="shared" si="699"/>
        <v>0.27102303160149954</v>
      </c>
      <c r="L1473" s="6" t="s">
        <v>3545</v>
      </c>
      <c r="M1473" s="6" t="str">
        <f t="shared" si="714"/>
        <v>=18.67*100000000</v>
      </c>
      <c r="N1473" s="1">
        <f>18.67*100000000</f>
        <v>1867000000.0000002</v>
      </c>
      <c r="O1473" s="8">
        <f t="shared" si="700"/>
        <v>1.5773053561568198</v>
      </c>
      <c r="P1473" s="6" t="s">
        <v>14325</v>
      </c>
      <c r="Q1473" s="6" t="str">
        <f t="shared" si="715"/>
        <v>=7.244*100000000</v>
      </c>
      <c r="R1473" s="11">
        <f>7.244*100000000</f>
        <v>724400000</v>
      </c>
      <c r="S1473" s="8">
        <f t="shared" si="701"/>
        <v>-0.649031007751938</v>
      </c>
      <c r="T1473" s="6" t="s">
        <v>8962</v>
      </c>
      <c r="U1473" s="6" t="str">
        <f t="shared" si="716"/>
        <v>=20.64*100000000</v>
      </c>
      <c r="V1473" s="1">
        <f>20.64*100000000</f>
        <v>2064000000</v>
      </c>
      <c r="W1473" s="8">
        <f t="shared" si="702"/>
        <v>0.11688311688311688</v>
      </c>
      <c r="X1473" s="6" t="s">
        <v>5995</v>
      </c>
      <c r="Y1473" s="6" t="str">
        <f t="shared" si="717"/>
        <v>=18.48*100000000</v>
      </c>
      <c r="Z1473" s="1">
        <f>18.48*100000000</f>
        <v>1848000000</v>
      </c>
      <c r="AA1473" s="8">
        <f t="shared" si="703"/>
        <v>0.60138648180242638</v>
      </c>
      <c r="AB1473" s="6" t="s">
        <v>2038</v>
      </c>
      <c r="AC1473" s="6" t="str">
        <f t="shared" si="718"/>
        <v>=11.54*100000000</v>
      </c>
      <c r="AD1473" s="1">
        <f>11.54*100000000</f>
        <v>1154000000</v>
      </c>
      <c r="AE1473" s="8">
        <f t="shared" si="704"/>
        <v>1.8799600698777144</v>
      </c>
      <c r="AF1473" s="6" t="s">
        <v>9085</v>
      </c>
      <c r="AG1473" s="6" t="str">
        <f t="shared" si="719"/>
        <v>=4.007*100000000</v>
      </c>
      <c r="AH1473" s="1">
        <f>4.007*100000000</f>
        <v>400699999.99999994</v>
      </c>
      <c r="AI1473" s="8">
        <f t="shared" si="705"/>
        <v>-0.91448997012377298</v>
      </c>
      <c r="AJ1473" s="6" t="s">
        <v>14326</v>
      </c>
      <c r="AK1473" s="6" t="str">
        <f t="shared" si="720"/>
        <v>=46.86*100000000</v>
      </c>
      <c r="AL1473" s="1">
        <f>46.86*100000000</f>
        <v>4686000000</v>
      </c>
      <c r="AM1473" s="8">
        <f t="shared" si="706"/>
        <v>0.15675141940261664</v>
      </c>
      <c r="AN1473" s="6" t="s">
        <v>5251</v>
      </c>
      <c r="AO1473" s="6" t="str">
        <f t="shared" si="721"/>
        <v>=40.51*100000000</v>
      </c>
      <c r="AP1473" s="1">
        <f>40.51*100000000</f>
        <v>4051000000</v>
      </c>
      <c r="AQ1473" s="8">
        <f t="shared" si="707"/>
        <v>0.41593848304788533</v>
      </c>
      <c r="AR1473" s="6" t="s">
        <v>2143</v>
      </c>
      <c r="AS1473" s="6" t="str">
        <f t="shared" si="722"/>
        <v>=28.61*100000000</v>
      </c>
      <c r="AT1473" s="1">
        <f>28.61*100000000</f>
        <v>2861000000</v>
      </c>
      <c r="AU1473" s="8">
        <f t="shared" si="708"/>
        <v>1.053840631730079</v>
      </c>
      <c r="AV1473" s="6" t="s">
        <v>1345</v>
      </c>
      <c r="AW1473" s="6" t="str">
        <f t="shared" si="723"/>
        <v>=13.93*100000000</v>
      </c>
      <c r="AX1473" s="1">
        <f>13.93*100000000</f>
        <v>1393000000</v>
      </c>
      <c r="AY1473" s="10">
        <f t="shared" si="709"/>
        <v>-0.70393198724760897</v>
      </c>
      <c r="AZ1473" s="6" t="s">
        <v>14327</v>
      </c>
      <c r="BA1473" s="6" t="str">
        <f t="shared" si="724"/>
        <v>=47.05*100000000</v>
      </c>
      <c r="BB1473" s="1">
        <f>47.05*100000000</f>
        <v>4705000000</v>
      </c>
      <c r="BC1473" s="8">
        <f t="shared" si="710"/>
        <v>7.1265938069216758E-2</v>
      </c>
      <c r="BD1473" s="6" t="s">
        <v>14328</v>
      </c>
      <c r="BE1473" s="6" t="str">
        <f t="shared" si="725"/>
        <v>=43.92*100000000</v>
      </c>
      <c r="BF1473" s="1">
        <f>43.92*100000000</f>
        <v>4392000000</v>
      </c>
      <c r="BG1473" s="8">
        <f t="shared" si="711"/>
        <v>0.36652146857498447</v>
      </c>
      <c r="BH1473" s="6" t="s">
        <v>14329</v>
      </c>
      <c r="BI1473" s="6" t="str">
        <f t="shared" si="726"/>
        <v>=32.14*100000000</v>
      </c>
      <c r="BJ1473" s="1">
        <f>32.14*100000000</f>
        <v>3214000000</v>
      </c>
      <c r="BK1473" s="6" t="s">
        <v>5658</v>
      </c>
      <c r="BL1473" s="1" t="str">
        <f t="shared" si="697"/>
        <v>=12.64*100000000</v>
      </c>
      <c r="BM1473" s="16">
        <f t="shared" si="712"/>
        <v>1.5427215189873418</v>
      </c>
      <c r="BN1473" s="1">
        <f>12.64*100000000</f>
        <v>1264000000</v>
      </c>
    </row>
    <row r="1474" spans="1:66">
      <c r="A1474" s="17">
        <v>370</v>
      </c>
      <c r="B1474">
        <v>601857</v>
      </c>
      <c r="C1474" t="s">
        <v>31</v>
      </c>
      <c r="D1474" s="9" t="s">
        <v>14330</v>
      </c>
      <c r="E1474" s="7" t="str">
        <f t="shared" ref="E1474:E1537" si="727">"="&amp;D1474</f>
        <v>=2.614*1000000000000</v>
      </c>
      <c r="F1474" s="1">
        <f>2.614*1000000000000</f>
        <v>2614000000000</v>
      </c>
      <c r="G1474" s="8">
        <f t="shared" si="698"/>
        <v>0.3904255319148936</v>
      </c>
      <c r="H1474" s="9" t="s">
        <v>14331</v>
      </c>
      <c r="I1474" s="6" t="str">
        <f t="shared" si="713"/>
        <v>=1.880*1000000000000</v>
      </c>
      <c r="J1474" s="1">
        <f>1.88*1000000000000</f>
        <v>1880000000000</v>
      </c>
      <c r="K1474" s="10">
        <f t="shared" si="699"/>
        <v>0.57059314954051799</v>
      </c>
      <c r="L1474" s="9" t="s">
        <v>14332</v>
      </c>
      <c r="M1474" s="6" t="str">
        <f t="shared" si="714"/>
        <v>=1.197*1000000000000</v>
      </c>
      <c r="N1474" s="1">
        <f>1.197*1000000000000</f>
        <v>1197000000000</v>
      </c>
      <c r="O1474" s="8">
        <f t="shared" si="700"/>
        <v>1.168871172313825</v>
      </c>
      <c r="P1474" s="6" t="s">
        <v>14333</v>
      </c>
      <c r="Q1474" s="6" t="str">
        <f t="shared" si="715"/>
        <v>=5519*100000000</v>
      </c>
      <c r="R1474" s="11">
        <f>5519*100000000</f>
        <v>551900000000</v>
      </c>
      <c r="S1474" s="8">
        <f t="shared" si="701"/>
        <v>-0.71463288521199586</v>
      </c>
      <c r="T1474" s="9" t="s">
        <v>14334</v>
      </c>
      <c r="U1474" s="6" t="str">
        <f t="shared" si="716"/>
        <v>=1.934*1000000000000</v>
      </c>
      <c r="V1474" s="1">
        <f>1.934*1000000000000</f>
        <v>1934000000000</v>
      </c>
      <c r="W1474" s="8">
        <f t="shared" si="702"/>
        <v>0.35624123422159887</v>
      </c>
      <c r="X1474" s="9" t="s">
        <v>14335</v>
      </c>
      <c r="Y1474" s="6" t="str">
        <f t="shared" si="717"/>
        <v>=1.426*1000000000000</v>
      </c>
      <c r="Z1474" s="1">
        <f>1.426*1000000000000</f>
        <v>1426000000000</v>
      </c>
      <c r="AA1474" s="8">
        <f t="shared" si="703"/>
        <v>0.53498385360602796</v>
      </c>
      <c r="AB1474" s="6" t="s">
        <v>14336</v>
      </c>
      <c r="AC1474" s="6" t="str">
        <f t="shared" si="718"/>
        <v>=9290*100000000</v>
      </c>
      <c r="AD1474" s="1">
        <f>9290*100000000</f>
        <v>929000000000</v>
      </c>
      <c r="AE1474" s="8">
        <f t="shared" si="704"/>
        <v>0.82478884305637401</v>
      </c>
      <c r="AF1474" s="6" t="s">
        <v>14337</v>
      </c>
      <c r="AG1474" s="6" t="str">
        <f t="shared" si="719"/>
        <v>=5091*100000000</v>
      </c>
      <c r="AH1474" s="1">
        <f>5091*100000000</f>
        <v>509100000000</v>
      </c>
      <c r="AI1474" s="8">
        <f t="shared" si="705"/>
        <v>-0.79773539928486292</v>
      </c>
      <c r="AJ1474" s="9" t="s">
        <v>14338</v>
      </c>
      <c r="AK1474" s="6" t="str">
        <f t="shared" si="720"/>
        <v>=2.517*1000000000000</v>
      </c>
      <c r="AL1474" s="1">
        <f>2.517*1000000000000</f>
        <v>2517000000000</v>
      </c>
      <c r="AM1474" s="8">
        <f t="shared" si="706"/>
        <v>0.38754134509371557</v>
      </c>
      <c r="AN1474" s="9" t="s">
        <v>14339</v>
      </c>
      <c r="AO1474" s="6" t="str">
        <f t="shared" si="721"/>
        <v>=1.814*1000000000000</v>
      </c>
      <c r="AP1474" s="1">
        <f>1.814*1000000000000</f>
        <v>1814000000000</v>
      </c>
      <c r="AQ1474" s="8">
        <f t="shared" si="707"/>
        <v>0.51672240802675584</v>
      </c>
      <c r="AR1474" s="9" t="s">
        <v>14340</v>
      </c>
      <c r="AS1474" s="6" t="str">
        <f t="shared" si="722"/>
        <v>=1.196*1000000000000</v>
      </c>
      <c r="AT1474" s="1">
        <f>1.196*1000000000000</f>
        <v>1196000000000</v>
      </c>
      <c r="AU1474" s="8">
        <f t="shared" si="708"/>
        <v>1.0107599193006052</v>
      </c>
      <c r="AV1474" s="6" t="s">
        <v>14341</v>
      </c>
      <c r="AW1474" s="6" t="str">
        <f t="shared" si="723"/>
        <v>=5948*100000000</v>
      </c>
      <c r="AX1474" s="1">
        <f>5948*100000000</f>
        <v>594800000000</v>
      </c>
      <c r="AY1474" s="10">
        <f t="shared" si="709"/>
        <v>-0.74955789473684209</v>
      </c>
      <c r="AZ1474" s="9" t="s">
        <v>14342</v>
      </c>
      <c r="BA1474" s="6" t="str">
        <f t="shared" si="724"/>
        <v>=2.375*1000000000000</v>
      </c>
      <c r="BB1474" s="1">
        <f>2.375*1000000000000</f>
        <v>2375000000000</v>
      </c>
      <c r="BC1474" s="8">
        <f t="shared" si="710"/>
        <v>0.37521713954834973</v>
      </c>
      <c r="BD1474" s="9" t="s">
        <v>14343</v>
      </c>
      <c r="BE1474" s="6" t="str">
        <f t="shared" si="725"/>
        <v>=1.727*1000000000000</v>
      </c>
      <c r="BF1474" s="1">
        <f>1.727*1000000000000</f>
        <v>1727000000000</v>
      </c>
      <c r="BG1474" s="8">
        <f t="shared" si="711"/>
        <v>0.54196428571428568</v>
      </c>
      <c r="BH1474" s="9" t="s">
        <v>14344</v>
      </c>
      <c r="BI1474" s="6" t="str">
        <f t="shared" si="726"/>
        <v>=1.120*1000000000000</v>
      </c>
      <c r="BJ1474" s="1">
        <f>1.12*1000000000000</f>
        <v>1120000000000</v>
      </c>
      <c r="BK1474" s="6" t="s">
        <v>14345</v>
      </c>
      <c r="BL1474" s="1" t="str">
        <f t="shared" ref="BL1474:BL1537" si="728">"="&amp;BK1474</f>
        <v>=5427*100000000</v>
      </c>
      <c r="BM1474" s="16">
        <f t="shared" si="712"/>
        <v>1.0637552975861433</v>
      </c>
      <c r="BN1474" s="1">
        <f>5427*100000000</f>
        <v>542700000000</v>
      </c>
    </row>
    <row r="1475" spans="1:66">
      <c r="A1475" s="18"/>
      <c r="B1475">
        <v>601857</v>
      </c>
      <c r="C1475" t="s">
        <v>48</v>
      </c>
      <c r="D1475" s="6" t="s">
        <v>14346</v>
      </c>
      <c r="E1475" s="7" t="str">
        <f t="shared" si="727"/>
        <v>=1822*100000000</v>
      </c>
      <c r="F1475" s="1">
        <f>1822*100000000</f>
        <v>182200000000</v>
      </c>
      <c r="G1475" s="8">
        <f t="shared" ref="G1475:G1538" si="729">(F1475-J1475)/J1475</f>
        <v>0.43690851735015773</v>
      </c>
      <c r="H1475" s="6" t="s">
        <v>13370</v>
      </c>
      <c r="I1475" s="6" t="str">
        <f t="shared" si="713"/>
        <v>=1268*100000000</v>
      </c>
      <c r="J1475" s="1">
        <f>1268*100000000</f>
        <v>126800000000</v>
      </c>
      <c r="K1475" s="10">
        <f t="shared" ref="K1475:K1538" si="730">(J1475-N1475)/N1475</f>
        <v>0.42503933468195099</v>
      </c>
      <c r="L1475" s="6" t="s">
        <v>14347</v>
      </c>
      <c r="M1475" s="6" t="str">
        <f t="shared" si="714"/>
        <v>=889.8*100000000</v>
      </c>
      <c r="N1475" s="1">
        <f>889.8*100000000</f>
        <v>88980000000</v>
      </c>
      <c r="O1475" s="8">
        <f t="shared" ref="O1475:O1538" si="731">(N1475-R1475)/R1475</f>
        <v>1.0154020385050964</v>
      </c>
      <c r="P1475" s="6" t="s">
        <v>14348</v>
      </c>
      <c r="Q1475" s="6" t="str">
        <f t="shared" si="715"/>
        <v>=441.5*100000000</v>
      </c>
      <c r="R1475" s="11">
        <f>441.5*100000000</f>
        <v>44150000000</v>
      </c>
      <c r="S1475" s="8">
        <f t="shared" ref="S1475:S1538" si="732">(R1475-V1475)/V1475</f>
        <v>-0.31846248842235247</v>
      </c>
      <c r="T1475" s="6" t="s">
        <v>14349</v>
      </c>
      <c r="U1475" s="6" t="str">
        <f t="shared" si="716"/>
        <v>=647.8*100000000</v>
      </c>
      <c r="V1475" s="1">
        <f>647.8*100000000</f>
        <v>64779999999.999992</v>
      </c>
      <c r="W1475" s="8">
        <f t="shared" ref="W1475:W1538" si="733">(V1475-Z1475)/Z1475</f>
        <v>0.52891196601368873</v>
      </c>
      <c r="X1475" s="6" t="s">
        <v>14350</v>
      </c>
      <c r="Y1475" s="6" t="str">
        <f t="shared" si="717"/>
        <v>=423.7*100000000</v>
      </c>
      <c r="Z1475" s="1">
        <f>423.7*100000000</f>
        <v>42370000000</v>
      </c>
      <c r="AA1475" s="8">
        <f t="shared" ref="AA1475:AA1538" si="734">(Z1475-AD1475)/AD1475</f>
        <v>-3.1453164556962023</v>
      </c>
      <c r="AB1475" s="6">
        <f>-197.5*100000000</f>
        <v>-19750000000</v>
      </c>
      <c r="AC1475" s="6" t="str">
        <f t="shared" si="718"/>
        <v>=-19750000000</v>
      </c>
      <c r="AD1475" s="1">
        <f>-19750000000</f>
        <v>-19750000000</v>
      </c>
      <c r="AE1475" s="8">
        <f t="shared" ref="AE1475:AE1538" si="735">(AD1475-AH1475)/AH1475</f>
        <v>1.1346735840899265</v>
      </c>
      <c r="AF1475" s="6">
        <f>-92.52*100000000</f>
        <v>-9252000000</v>
      </c>
      <c r="AG1475" s="6" t="str">
        <f t="shared" si="719"/>
        <v>=-9252000000</v>
      </c>
      <c r="AH1475" s="1">
        <f>-9252000000</f>
        <v>-9252000000</v>
      </c>
      <c r="AI1475" s="8">
        <f t="shared" ref="AI1475:AI1538" si="736">(AH1475-AL1475)/AL1475</f>
        <v>-1.080103896103896</v>
      </c>
      <c r="AJ1475" s="6" t="s">
        <v>3211</v>
      </c>
      <c r="AK1475" s="6" t="str">
        <f t="shared" si="720"/>
        <v>=1155*100000000</v>
      </c>
      <c r="AL1475" s="1">
        <f>1155*100000000</f>
        <v>115500000000</v>
      </c>
      <c r="AM1475" s="8">
        <f t="shared" ref="AM1475:AM1538" si="737">(AL1475-AP1475)/AP1475</f>
        <v>0.30685675492192804</v>
      </c>
      <c r="AN1475" s="6" t="s">
        <v>14351</v>
      </c>
      <c r="AO1475" s="6" t="str">
        <f t="shared" si="721"/>
        <v>=883.8*100000000</v>
      </c>
      <c r="AP1475" s="1">
        <f>883.8*100000000</f>
        <v>88380000000</v>
      </c>
      <c r="AQ1475" s="8">
        <f t="shared" ref="AQ1475:AQ1538" si="738">(AP1475-AT1475)/AT1475</f>
        <v>0.35781225994776461</v>
      </c>
      <c r="AR1475" s="6" t="s">
        <v>14352</v>
      </c>
      <c r="AS1475" s="6" t="str">
        <f t="shared" si="722"/>
        <v>=650.9*100000000</v>
      </c>
      <c r="AT1475" s="1">
        <f>650.9*100000000</f>
        <v>65090000000</v>
      </c>
      <c r="AU1475" s="8">
        <f t="shared" ref="AU1475:AU1538" si="739">(AT1475-AX1475)/AX1475</f>
        <v>1.2237786129142467</v>
      </c>
      <c r="AV1475" s="6" t="s">
        <v>976</v>
      </c>
      <c r="AW1475" s="6" t="str">
        <f t="shared" si="723"/>
        <v>=292.7*100000000</v>
      </c>
      <c r="AX1475" s="1">
        <f>292.7*100000000</f>
        <v>29270000000</v>
      </c>
      <c r="AY1475" s="10">
        <f t="shared" ref="AY1475:AY1538" si="740">(AX1475-BB1475)/BB1475</f>
        <v>-0.78541055718475072</v>
      </c>
      <c r="AZ1475" s="6" t="s">
        <v>13943</v>
      </c>
      <c r="BA1475" s="6" t="str">
        <f t="shared" si="724"/>
        <v>=1364*100000000</v>
      </c>
      <c r="BB1475" s="1">
        <f>1364*100000000</f>
        <v>136400000000</v>
      </c>
      <c r="BC1475" s="8">
        <f t="shared" ref="BC1475:BC1538" si="741">(BB1475-BF1475)/BF1475</f>
        <v>0.16981132075471697</v>
      </c>
      <c r="BD1475" s="6" t="s">
        <v>962</v>
      </c>
      <c r="BE1475" s="6" t="str">
        <f t="shared" si="725"/>
        <v>=1166*100000000</v>
      </c>
      <c r="BF1475" s="1">
        <f>1166*100000000</f>
        <v>116600000000</v>
      </c>
      <c r="BG1475" s="8">
        <f t="shared" ref="BG1475:BG1538" si="742">(BF1475-BJ1475)/BJ1475</f>
        <v>0.77069096431283224</v>
      </c>
      <c r="BH1475" s="6" t="s">
        <v>14353</v>
      </c>
      <c r="BI1475" s="6" t="str">
        <f t="shared" si="726"/>
        <v>=658.5*100000000</v>
      </c>
      <c r="BJ1475" s="1">
        <f>658.5*100000000</f>
        <v>65850000000</v>
      </c>
      <c r="BK1475" s="6" t="s">
        <v>14354</v>
      </c>
      <c r="BL1475" s="1" t="str">
        <f t="shared" si="728"/>
        <v>=272.3*100000000</v>
      </c>
      <c r="BM1475" s="16">
        <f t="shared" ref="BM1475:BM1538" si="743">(BJ1475-BN1475)/BN1475</f>
        <v>1.4182886522218141</v>
      </c>
      <c r="BN1475" s="1">
        <f>272.3*100000000</f>
        <v>27230000000</v>
      </c>
    </row>
    <row r="1476" spans="1:66">
      <c r="A1476" s="18"/>
      <c r="B1476">
        <v>601857</v>
      </c>
      <c r="C1476" t="s">
        <v>58</v>
      </c>
      <c r="D1476" s="6" t="s">
        <v>14355</v>
      </c>
      <c r="E1476" s="7" t="str">
        <f t="shared" si="727"/>
        <v>=1582*100000000</v>
      </c>
      <c r="F1476" s="1">
        <f>1582*100000000</f>
        <v>158200000000</v>
      </c>
      <c r="G1476" s="8">
        <f t="shared" si="729"/>
        <v>0.28409090909090912</v>
      </c>
      <c r="H1476" s="6" t="s">
        <v>14356</v>
      </c>
      <c r="I1476" s="6" t="str">
        <f t="shared" si="713"/>
        <v>=1232*100000000</v>
      </c>
      <c r="J1476" s="1">
        <f>1232*100000000</f>
        <v>123200000000</v>
      </c>
      <c r="K1476" s="10">
        <f t="shared" si="730"/>
        <v>0.41576649046196279</v>
      </c>
      <c r="L1476" s="6" t="s">
        <v>14357</v>
      </c>
      <c r="M1476" s="6" t="str">
        <f t="shared" si="714"/>
        <v>=870.2*100000000</v>
      </c>
      <c r="N1476" s="1">
        <f>870.2*100000000</f>
        <v>87020000000</v>
      </c>
      <c r="O1476" s="8">
        <f t="shared" si="731"/>
        <v>1.0023009664058904</v>
      </c>
      <c r="P1476" s="6" t="s">
        <v>14358</v>
      </c>
      <c r="Q1476" s="6" t="str">
        <f t="shared" si="715"/>
        <v>=434.6*100000000</v>
      </c>
      <c r="R1476" s="11">
        <f>434.6*100000000</f>
        <v>43460000000</v>
      </c>
      <c r="S1476" s="8">
        <f t="shared" si="732"/>
        <v>-0.22489744961655084</v>
      </c>
      <c r="T1476" s="6" t="s">
        <v>14359</v>
      </c>
      <c r="U1476" s="6" t="str">
        <f t="shared" si="716"/>
        <v>=560.7*100000000</v>
      </c>
      <c r="V1476" s="1">
        <f>560.7*100000000</f>
        <v>56070000000.000008</v>
      </c>
      <c r="W1476" s="8">
        <f t="shared" si="733"/>
        <v>0.30547147846332962</v>
      </c>
      <c r="X1476" s="6" t="s">
        <v>14360</v>
      </c>
      <c r="Y1476" s="6" t="str">
        <f t="shared" si="717"/>
        <v>=429.5*100000000</v>
      </c>
      <c r="Z1476" s="1">
        <f>429.5*100000000</f>
        <v>42950000000</v>
      </c>
      <c r="AA1476" s="8">
        <f t="shared" si="734"/>
        <v>-3.3191144708423326</v>
      </c>
      <c r="AB1476" s="6">
        <f>-185.2*100000000</f>
        <v>-18520000000</v>
      </c>
      <c r="AC1476" s="6" t="str">
        <f t="shared" si="718"/>
        <v>=-18520000000</v>
      </c>
      <c r="AD1476" s="1">
        <f>-18520000000</f>
        <v>-18520000000</v>
      </c>
      <c r="AE1476" s="8">
        <f t="shared" si="735"/>
        <v>0.73408239700374533</v>
      </c>
      <c r="AF1476" s="6">
        <f>-106.8*100000000</f>
        <v>-10680000000</v>
      </c>
      <c r="AG1476" s="6" t="str">
        <f t="shared" si="719"/>
        <v>=-10680000000</v>
      </c>
      <c r="AH1476" s="1">
        <f>-10680000000</f>
        <v>-10680000000</v>
      </c>
      <c r="AI1476" s="8">
        <f t="shared" si="736"/>
        <v>-1.1034883720930233</v>
      </c>
      <c r="AJ1476" s="6" t="s">
        <v>14361</v>
      </c>
      <c r="AK1476" s="6" t="str">
        <f t="shared" si="720"/>
        <v>=1032*100000000</v>
      </c>
      <c r="AL1476" s="1">
        <f>1032*100000000</f>
        <v>103200000000</v>
      </c>
      <c r="AM1476" s="8">
        <f t="shared" si="737"/>
        <v>0.24697921701304978</v>
      </c>
      <c r="AN1476" s="6" t="s">
        <v>14362</v>
      </c>
      <c r="AO1476" s="6" t="str">
        <f t="shared" si="721"/>
        <v>=827.6*100000000</v>
      </c>
      <c r="AP1476" s="1">
        <f>827.6*100000000</f>
        <v>82760000000</v>
      </c>
      <c r="AQ1476" s="8">
        <f t="shared" si="738"/>
        <v>0.33980896875505895</v>
      </c>
      <c r="AR1476" s="6" t="s">
        <v>14363</v>
      </c>
      <c r="AS1476" s="6" t="str">
        <f t="shared" si="722"/>
        <v>=617.7*100000000</v>
      </c>
      <c r="AT1476" s="1">
        <f>617.7*100000000</f>
        <v>61770000000.000008</v>
      </c>
      <c r="AU1476" s="8">
        <f t="shared" si="739"/>
        <v>1.5140415140415144</v>
      </c>
      <c r="AV1476" s="6" t="s">
        <v>14364</v>
      </c>
      <c r="AW1476" s="6" t="str">
        <f t="shared" si="723"/>
        <v>=245.7*100000000</v>
      </c>
      <c r="AX1476" s="1">
        <f>245.7*100000000</f>
        <v>24570000000</v>
      </c>
      <c r="AY1476" s="10">
        <f t="shared" si="740"/>
        <v>-0.78964041095890414</v>
      </c>
      <c r="AZ1476" s="6" t="s">
        <v>14266</v>
      </c>
      <c r="BA1476" s="6" t="str">
        <f t="shared" si="724"/>
        <v>=1168*100000000</v>
      </c>
      <c r="BB1476" s="1">
        <f>1168*100000000</f>
        <v>116800000000</v>
      </c>
      <c r="BC1476" s="8">
        <f t="shared" si="741"/>
        <v>0.1285024154589372</v>
      </c>
      <c r="BD1476" s="6" t="s">
        <v>14365</v>
      </c>
      <c r="BE1476" s="6" t="str">
        <f t="shared" si="725"/>
        <v>=1035*100000000</v>
      </c>
      <c r="BF1476" s="1">
        <f>1035*100000000</f>
        <v>103500000000</v>
      </c>
      <c r="BG1476" s="8">
        <f t="shared" si="742"/>
        <v>0.67801556420233489</v>
      </c>
      <c r="BH1476" s="6" t="s">
        <v>14366</v>
      </c>
      <c r="BI1476" s="6" t="str">
        <f t="shared" si="726"/>
        <v>=616.8*100000000</v>
      </c>
      <c r="BJ1476" s="1">
        <f>616.8*100000000</f>
        <v>61679999999.999992</v>
      </c>
      <c r="BK1476" s="6" t="s">
        <v>7339</v>
      </c>
      <c r="BL1476" s="1" t="str">
        <f t="shared" si="728"/>
        <v>=242.9*100000000</v>
      </c>
      <c r="BM1476" s="16">
        <f t="shared" si="743"/>
        <v>1.5393165911897897</v>
      </c>
      <c r="BN1476" s="1">
        <f>242.9*100000000</f>
        <v>24290000000</v>
      </c>
    </row>
    <row r="1477" spans="1:66">
      <c r="A1477" s="19"/>
      <c r="B1477">
        <v>601857</v>
      </c>
      <c r="C1477" t="s">
        <v>68</v>
      </c>
      <c r="D1477" s="6" t="s">
        <v>14367</v>
      </c>
      <c r="E1477" s="7" t="str">
        <f t="shared" si="727"/>
        <v>=1147*100000000</v>
      </c>
      <c r="F1477" s="1">
        <f>1147*100000000</f>
        <v>114700000000</v>
      </c>
      <c r="G1477" s="8">
        <f t="shared" si="729"/>
        <v>0.23253814743176446</v>
      </c>
      <c r="H1477" s="6" t="s">
        <v>14368</v>
      </c>
      <c r="I1477" s="6" t="str">
        <f t="shared" si="713"/>
        <v>=930.6*100000000</v>
      </c>
      <c r="J1477" s="1">
        <f>930.6*100000000</f>
        <v>93060000000</v>
      </c>
      <c r="K1477" s="10">
        <f t="shared" si="730"/>
        <v>0.37216160424653477</v>
      </c>
      <c r="L1477" s="6" t="s">
        <v>14369</v>
      </c>
      <c r="M1477" s="6" t="str">
        <f t="shared" si="714"/>
        <v>=678.2*100000000</v>
      </c>
      <c r="N1477" s="1">
        <f>678.2*100000000</f>
        <v>67820000000.000008</v>
      </c>
      <c r="O1477" s="8">
        <f t="shared" si="731"/>
        <v>1.1434892541087238</v>
      </c>
      <c r="P1477" s="6" t="s">
        <v>14370</v>
      </c>
      <c r="Q1477" s="6" t="str">
        <f t="shared" si="715"/>
        <v>=316.4*100000000</v>
      </c>
      <c r="R1477" s="11">
        <f>316.4*100000000</f>
        <v>31639999999.999996</v>
      </c>
      <c r="S1477" s="8">
        <f t="shared" si="732"/>
        <v>-5.4958183990442167E-2</v>
      </c>
      <c r="T1477" s="6" t="s">
        <v>14371</v>
      </c>
      <c r="U1477" s="6" t="str">
        <f t="shared" si="716"/>
        <v>=334.8*100000000</v>
      </c>
      <c r="V1477" s="1">
        <f>334.8*100000000</f>
        <v>33480000000</v>
      </c>
      <c r="W1477" s="8">
        <f t="shared" si="733"/>
        <v>0.61895551257253389</v>
      </c>
      <c r="X1477" s="6" t="s">
        <v>14372</v>
      </c>
      <c r="Y1477" s="6" t="str">
        <f t="shared" si="717"/>
        <v>=206.8*100000000</v>
      </c>
      <c r="Z1477" s="1">
        <f>206.8*100000000</f>
        <v>20680000000</v>
      </c>
      <c r="AA1477" s="8">
        <f t="shared" si="734"/>
        <v>-1.88641234462066</v>
      </c>
      <c r="AB1477" s="6">
        <f>-233.3*100000000</f>
        <v>-23330000000</v>
      </c>
      <c r="AC1477" s="6" t="str">
        <f t="shared" si="718"/>
        <v>=-23330000000</v>
      </c>
      <c r="AD1477" s="1">
        <f>-23330000000</f>
        <v>-23330000000</v>
      </c>
      <c r="AE1477" s="8">
        <f t="shared" si="735"/>
        <v>0.74756554307116108</v>
      </c>
      <c r="AF1477" s="6">
        <f>-133.5*100000000</f>
        <v>-13350000000</v>
      </c>
      <c r="AG1477" s="6" t="str">
        <f t="shared" si="719"/>
        <v>=-13350000000</v>
      </c>
      <c r="AH1477" s="1">
        <f>-13350000000</f>
        <v>-13350000000</v>
      </c>
      <c r="AI1477" s="8">
        <f t="shared" si="736"/>
        <v>-1.199223996418445</v>
      </c>
      <c r="AJ1477" s="6" t="s">
        <v>14373</v>
      </c>
      <c r="AK1477" s="6" t="str">
        <f t="shared" si="720"/>
        <v>=670.1*100000000</v>
      </c>
      <c r="AL1477" s="1">
        <f>670.1*100000000</f>
        <v>67010000000</v>
      </c>
      <c r="AM1477" s="8">
        <f t="shared" si="737"/>
        <v>0.25158759805752706</v>
      </c>
      <c r="AN1477" s="6" t="s">
        <v>5217</v>
      </c>
      <c r="AO1477" s="6" t="str">
        <f t="shared" si="721"/>
        <v>=535.4*100000000</v>
      </c>
      <c r="AP1477" s="1">
        <f>535.4*100000000</f>
        <v>53540000000</v>
      </c>
      <c r="AQ1477" s="8">
        <f t="shared" si="738"/>
        <v>0.36791006642820645</v>
      </c>
      <c r="AR1477" s="6" t="s">
        <v>14374</v>
      </c>
      <c r="AS1477" s="6" t="str">
        <f t="shared" si="722"/>
        <v>=391.4*100000000</v>
      </c>
      <c r="AT1477" s="1">
        <f>391.4*100000000</f>
        <v>39140000000</v>
      </c>
      <c r="AU1477" s="8">
        <f t="shared" si="739"/>
        <v>1.441671865252651</v>
      </c>
      <c r="AV1477" s="6" t="s">
        <v>14375</v>
      </c>
      <c r="AW1477" s="6" t="str">
        <f t="shared" si="723"/>
        <v>=160.3*100000000</v>
      </c>
      <c r="AX1477" s="1">
        <f>160.3*100000000</f>
        <v>16030000000.000002</v>
      </c>
      <c r="AY1477" s="10">
        <f t="shared" si="740"/>
        <v>-0.78329052318507508</v>
      </c>
      <c r="AZ1477" s="6" t="s">
        <v>14376</v>
      </c>
      <c r="BA1477" s="6" t="str">
        <f t="shared" si="724"/>
        <v>=739.7*100000000</v>
      </c>
      <c r="BB1477" s="1">
        <f>739.7*100000000</f>
        <v>73970000000</v>
      </c>
      <c r="BC1477" s="8">
        <f t="shared" si="741"/>
        <v>0.13346613545816732</v>
      </c>
      <c r="BD1477" s="6" t="s">
        <v>14377</v>
      </c>
      <c r="BE1477" s="6" t="str">
        <f t="shared" si="725"/>
        <v>=652.6*100000000</v>
      </c>
      <c r="BF1477" s="1">
        <f>652.6*100000000</f>
        <v>65260000000</v>
      </c>
      <c r="BG1477" s="8">
        <f t="shared" si="742"/>
        <v>0.68979803210771617</v>
      </c>
      <c r="BH1477" s="6" t="s">
        <v>14378</v>
      </c>
      <c r="BI1477" s="6" t="str">
        <f t="shared" si="726"/>
        <v>=386.2*100000000</v>
      </c>
      <c r="BJ1477" s="1">
        <f>386.2*100000000</f>
        <v>38620000000</v>
      </c>
      <c r="BK1477" s="6" t="s">
        <v>14379</v>
      </c>
      <c r="BL1477" s="1" t="str">
        <f t="shared" si="728"/>
        <v>=152.1*100000000</v>
      </c>
      <c r="BM1477" s="16">
        <f t="shared" si="743"/>
        <v>1.5391190006574622</v>
      </c>
      <c r="BN1477" s="1">
        <f>152.1*100000000</f>
        <v>15210000000</v>
      </c>
    </row>
    <row r="1478" spans="1:66">
      <c r="A1478" s="17">
        <v>371</v>
      </c>
      <c r="B1478">
        <v>601866</v>
      </c>
      <c r="C1478" t="s">
        <v>31</v>
      </c>
      <c r="D1478" s="6" t="s">
        <v>14380</v>
      </c>
      <c r="E1478" s="7" t="str">
        <f t="shared" si="727"/>
        <v>=371.2*100000000</v>
      </c>
      <c r="F1478" s="1">
        <f>371.2*100000000</f>
        <v>37120000000</v>
      </c>
      <c r="G1478" s="8">
        <f t="shared" si="729"/>
        <v>0.48598879103282627</v>
      </c>
      <c r="H1478" s="6" t="s">
        <v>14381</v>
      </c>
      <c r="I1478" s="6" t="str">
        <f t="shared" si="713"/>
        <v>=249.8*100000000</v>
      </c>
      <c r="J1478" s="1">
        <f>249.8*100000000</f>
        <v>24980000000</v>
      </c>
      <c r="K1478" s="10">
        <f t="shared" si="730"/>
        <v>0.73955431754874656</v>
      </c>
      <c r="L1478" s="6" t="s">
        <v>6440</v>
      </c>
      <c r="M1478" s="6" t="str">
        <f t="shared" si="714"/>
        <v>=143.6*100000000</v>
      </c>
      <c r="N1478" s="1">
        <f>143.6*100000000</f>
        <v>14360000000</v>
      </c>
      <c r="O1478" s="8">
        <f t="shared" si="731"/>
        <v>1.7264097209037403</v>
      </c>
      <c r="P1478" s="6" t="s">
        <v>9061</v>
      </c>
      <c r="Q1478" s="6" t="str">
        <f t="shared" si="715"/>
        <v>=52.67*100000000</v>
      </c>
      <c r="R1478" s="11">
        <f>52.67*100000000</f>
        <v>5267000000</v>
      </c>
      <c r="S1478" s="8">
        <f t="shared" si="732"/>
        <v>-0.73899900891972248</v>
      </c>
      <c r="T1478" s="6" t="s">
        <v>13765</v>
      </c>
      <c r="U1478" s="6" t="str">
        <f t="shared" si="716"/>
        <v>=201.8*100000000</v>
      </c>
      <c r="V1478" s="1">
        <f>201.8*100000000</f>
        <v>20180000000</v>
      </c>
      <c r="W1478" s="8">
        <f t="shared" si="733"/>
        <v>0.58772619984264363</v>
      </c>
      <c r="X1478" s="6" t="s">
        <v>14382</v>
      </c>
      <c r="Y1478" s="6" t="str">
        <f t="shared" si="717"/>
        <v>=127.1*100000000</v>
      </c>
      <c r="Z1478" s="1">
        <f>127.1*100000000</f>
        <v>12710000000</v>
      </c>
      <c r="AA1478" s="8">
        <f t="shared" si="734"/>
        <v>0.62594345656901629</v>
      </c>
      <c r="AB1478" s="6" t="s">
        <v>14383</v>
      </c>
      <c r="AC1478" s="6" t="str">
        <f t="shared" si="718"/>
        <v>=78.17*100000000</v>
      </c>
      <c r="AD1478" s="1">
        <f>78.17*100000000</f>
        <v>7817000000</v>
      </c>
      <c r="AE1478" s="8">
        <f t="shared" si="735"/>
        <v>1.2697444831591174</v>
      </c>
      <c r="AF1478" s="6" t="s">
        <v>14384</v>
      </c>
      <c r="AG1478" s="6" t="str">
        <f t="shared" si="719"/>
        <v>=34.44*100000000</v>
      </c>
      <c r="AH1478" s="1">
        <f>34.44*100000000</f>
        <v>3444000000</v>
      </c>
      <c r="AI1478" s="8">
        <f t="shared" si="736"/>
        <v>-0.75729386892177586</v>
      </c>
      <c r="AJ1478" s="6" t="s">
        <v>1007</v>
      </c>
      <c r="AK1478" s="6" t="str">
        <f t="shared" si="720"/>
        <v>=141.9*100000000</v>
      </c>
      <c r="AL1478" s="1">
        <f>141.9*100000000</f>
        <v>14190000000</v>
      </c>
      <c r="AM1478" s="8">
        <f t="shared" si="737"/>
        <v>0.39390962671905699</v>
      </c>
      <c r="AN1478" s="6" t="s">
        <v>12847</v>
      </c>
      <c r="AO1478" s="6" t="str">
        <f t="shared" si="721"/>
        <v>=101.8*100000000</v>
      </c>
      <c r="AP1478" s="1">
        <f>101.8*100000000</f>
        <v>10180000000</v>
      </c>
      <c r="AQ1478" s="8">
        <f t="shared" si="738"/>
        <v>0.48656542056074764</v>
      </c>
      <c r="AR1478" s="6" t="s">
        <v>1100</v>
      </c>
      <c r="AS1478" s="6" t="str">
        <f t="shared" si="722"/>
        <v>=68.48*100000000</v>
      </c>
      <c r="AT1478" s="1">
        <f>68.48*100000000</f>
        <v>6848000000</v>
      </c>
      <c r="AU1478" s="8">
        <f t="shared" si="739"/>
        <v>1.1393314589190877</v>
      </c>
      <c r="AV1478" s="6" t="s">
        <v>14385</v>
      </c>
      <c r="AW1478" s="6" t="str">
        <f t="shared" si="723"/>
        <v>=32.01*100000000</v>
      </c>
      <c r="AX1478" s="1">
        <f>32.01*100000000</f>
        <v>3201000000</v>
      </c>
      <c r="AY1478" s="10">
        <f t="shared" si="740"/>
        <v>-0.80410036719706246</v>
      </c>
      <c r="AZ1478" s="6" t="s">
        <v>849</v>
      </c>
      <c r="BA1478" s="6" t="str">
        <f t="shared" si="724"/>
        <v>=163.4*100000000</v>
      </c>
      <c r="BB1478" s="1">
        <f>163.4*100000000</f>
        <v>16340000000</v>
      </c>
      <c r="BC1478" s="8">
        <f t="shared" si="741"/>
        <v>0.24542682926829287</v>
      </c>
      <c r="BD1478" s="6" t="s">
        <v>2612</v>
      </c>
      <c r="BE1478" s="6" t="str">
        <f t="shared" si="725"/>
        <v>=131.2*100000000</v>
      </c>
      <c r="BF1478" s="1">
        <f>131.2*100000000</f>
        <v>13119999999.999998</v>
      </c>
      <c r="BG1478" s="8">
        <f t="shared" si="742"/>
        <v>0.59223300970873749</v>
      </c>
      <c r="BH1478" s="6" t="s">
        <v>14386</v>
      </c>
      <c r="BI1478" s="6" t="str">
        <f t="shared" si="726"/>
        <v>=82.40*100000000</v>
      </c>
      <c r="BJ1478" s="1">
        <f>82.4*100000000</f>
        <v>8240000000.000001</v>
      </c>
      <c r="BK1478" s="6" t="s">
        <v>14387</v>
      </c>
      <c r="BL1478" s="1" t="str">
        <f t="shared" si="728"/>
        <v>=36.41*100000000</v>
      </c>
      <c r="BM1478" s="16">
        <f t="shared" si="743"/>
        <v>1.2631145289755568</v>
      </c>
      <c r="BN1478" s="1">
        <f>36.41*100000000</f>
        <v>3640999999.9999995</v>
      </c>
    </row>
    <row r="1479" spans="1:66">
      <c r="A1479" s="18"/>
      <c r="B1479">
        <v>601866</v>
      </c>
      <c r="C1479" t="s">
        <v>48</v>
      </c>
      <c r="D1479" s="6" t="s">
        <v>14388</v>
      </c>
      <c r="E1479" s="7" t="str">
        <f t="shared" si="727"/>
        <v>=80.30*100000000</v>
      </c>
      <c r="F1479" s="1">
        <f>80.3*100000000</f>
        <v>8030000000</v>
      </c>
      <c r="G1479" s="8">
        <f t="shared" si="729"/>
        <v>0.64954806902218565</v>
      </c>
      <c r="H1479" s="6" t="s">
        <v>14389</v>
      </c>
      <c r="I1479" s="6" t="str">
        <f t="shared" si="713"/>
        <v>=48.68*100000000</v>
      </c>
      <c r="J1479" s="1">
        <f>48.68*100000000</f>
        <v>4868000000</v>
      </c>
      <c r="K1479" s="10">
        <f t="shared" si="730"/>
        <v>0.61459369817578768</v>
      </c>
      <c r="L1479" s="6" t="s">
        <v>8860</v>
      </c>
      <c r="M1479" s="6" t="str">
        <f t="shared" si="714"/>
        <v>=30.15*100000000</v>
      </c>
      <c r="N1479" s="1">
        <f>30.15*100000000</f>
        <v>3015000000</v>
      </c>
      <c r="O1479" s="8">
        <f t="shared" si="731"/>
        <v>2.1353993344425959</v>
      </c>
      <c r="P1479" s="6" t="s">
        <v>14390</v>
      </c>
      <c r="Q1479" s="6" t="str">
        <f t="shared" si="715"/>
        <v>=9.616*100000000</v>
      </c>
      <c r="R1479" s="11">
        <f>9.616*100000000</f>
        <v>961600000</v>
      </c>
      <c r="S1479" s="8">
        <f t="shared" si="732"/>
        <v>-0.60476777640772705</v>
      </c>
      <c r="T1479" s="6" t="s">
        <v>14391</v>
      </c>
      <c r="U1479" s="6" t="str">
        <f t="shared" si="716"/>
        <v>=24.33*100000000</v>
      </c>
      <c r="V1479" s="1">
        <f>24.33*100000000</f>
        <v>2433000000</v>
      </c>
      <c r="W1479" s="8">
        <f t="shared" si="733"/>
        <v>0.27985270910047327</v>
      </c>
      <c r="X1479" s="6" t="s">
        <v>12133</v>
      </c>
      <c r="Y1479" s="6" t="str">
        <f t="shared" si="717"/>
        <v>=19.01*100000000</v>
      </c>
      <c r="Z1479" s="1">
        <f>19.01*100000000</f>
        <v>1901000000.0000002</v>
      </c>
      <c r="AA1479" s="8">
        <f t="shared" si="734"/>
        <v>0.9777361631294218</v>
      </c>
      <c r="AB1479" s="6" t="s">
        <v>14392</v>
      </c>
      <c r="AC1479" s="6" t="str">
        <f t="shared" si="718"/>
        <v>=9.612*100000000</v>
      </c>
      <c r="AD1479" s="1">
        <f>9.612*100000000</f>
        <v>961200000</v>
      </c>
      <c r="AE1479" s="8">
        <f t="shared" si="735"/>
        <v>1.5482502651113468</v>
      </c>
      <c r="AF1479" s="6" t="s">
        <v>11767</v>
      </c>
      <c r="AG1479" s="6" t="str">
        <f t="shared" si="719"/>
        <v>=3.772*100000000</v>
      </c>
      <c r="AH1479" s="1">
        <f>3.772*100000000</f>
        <v>377200000</v>
      </c>
      <c r="AI1479" s="8">
        <f t="shared" si="736"/>
        <v>-0.80823589222165737</v>
      </c>
      <c r="AJ1479" s="6" t="s">
        <v>1818</v>
      </c>
      <c r="AK1479" s="6" t="str">
        <f t="shared" si="720"/>
        <v>=19.67*100000000</v>
      </c>
      <c r="AL1479" s="1">
        <f>19.67*100000000</f>
        <v>1967000000.0000002</v>
      </c>
      <c r="AM1479" s="8">
        <f t="shared" si="737"/>
        <v>0.40000000000000019</v>
      </c>
      <c r="AN1479" s="6" t="s">
        <v>1803</v>
      </c>
      <c r="AO1479" s="6" t="str">
        <f t="shared" si="721"/>
        <v>=14.05*100000000</v>
      </c>
      <c r="AP1479" s="1">
        <f>14.05*100000000</f>
        <v>1405000000</v>
      </c>
      <c r="AQ1479" s="8">
        <f t="shared" si="738"/>
        <v>0.41890527166229063</v>
      </c>
      <c r="AR1479" s="6" t="s">
        <v>1827</v>
      </c>
      <c r="AS1479" s="6" t="str">
        <f t="shared" si="722"/>
        <v>=9.902*100000000</v>
      </c>
      <c r="AT1479" s="1">
        <f>9.902*100000000</f>
        <v>990199999.99999988</v>
      </c>
      <c r="AU1479" s="8">
        <f t="shared" si="739"/>
        <v>0.49735369726296669</v>
      </c>
      <c r="AV1479" s="6" t="s">
        <v>14393</v>
      </c>
      <c r="AW1479" s="6" t="str">
        <f t="shared" si="723"/>
        <v>=6.613*100000000</v>
      </c>
      <c r="AX1479" s="1">
        <f>6.613*100000000</f>
        <v>661300000</v>
      </c>
      <c r="AY1479" s="10">
        <f t="shared" si="740"/>
        <v>-0.62146536920435036</v>
      </c>
      <c r="AZ1479" s="6" t="s">
        <v>3604</v>
      </c>
      <c r="BA1479" s="6" t="str">
        <f t="shared" si="724"/>
        <v>=17.47*100000000</v>
      </c>
      <c r="BB1479" s="1">
        <f>17.47*100000000</f>
        <v>1747000000</v>
      </c>
      <c r="BC1479" s="8">
        <f t="shared" si="741"/>
        <v>0.48428207306711979</v>
      </c>
      <c r="BD1479" s="6" t="s">
        <v>7426</v>
      </c>
      <c r="BE1479" s="6" t="str">
        <f t="shared" si="725"/>
        <v>=11.77*100000000</v>
      </c>
      <c r="BF1479" s="1">
        <f>11.77*100000000</f>
        <v>1177000000</v>
      </c>
      <c r="BG1479" s="8">
        <f t="shared" si="742"/>
        <v>0.73726937269372694</v>
      </c>
      <c r="BH1479" s="6" t="s">
        <v>10133</v>
      </c>
      <c r="BI1479" s="6" t="str">
        <f t="shared" si="726"/>
        <v>=6.775*100000000</v>
      </c>
      <c r="BJ1479" s="1">
        <f>6.775*100000000</f>
        <v>677500000</v>
      </c>
      <c r="BK1479" s="6" t="s">
        <v>9201</v>
      </c>
      <c r="BL1479" s="1" t="str">
        <f t="shared" si="728"/>
        <v>=4.008*100000000</v>
      </c>
      <c r="BM1479" s="16">
        <f t="shared" si="743"/>
        <v>0.69036926147704591</v>
      </c>
      <c r="BN1479" s="1">
        <f>4.008*100000000</f>
        <v>400800000</v>
      </c>
    </row>
    <row r="1480" spans="1:66">
      <c r="A1480" s="18"/>
      <c r="B1480">
        <v>601866</v>
      </c>
      <c r="C1480" t="s">
        <v>58</v>
      </c>
      <c r="D1480" s="6" t="s">
        <v>11557</v>
      </c>
      <c r="E1480" s="7" t="str">
        <f t="shared" si="727"/>
        <v>=79.16*100000000</v>
      </c>
      <c r="F1480" s="1">
        <f>79.16*100000000</f>
        <v>7916000000</v>
      </c>
      <c r="G1480" s="8">
        <f t="shared" si="729"/>
        <v>0.63587518082248395</v>
      </c>
      <c r="H1480" s="6" t="s">
        <v>1492</v>
      </c>
      <c r="I1480" s="6" t="str">
        <f t="shared" si="713"/>
        <v>=48.39*100000000</v>
      </c>
      <c r="J1480" s="1">
        <f>48.39*100000000</f>
        <v>4839000000</v>
      </c>
      <c r="K1480" s="10">
        <f t="shared" si="730"/>
        <v>0.62110552763819094</v>
      </c>
      <c r="L1480" s="6" t="s">
        <v>1186</v>
      </c>
      <c r="M1480" s="6" t="str">
        <f t="shared" si="714"/>
        <v>=29.85*100000000</v>
      </c>
      <c r="N1480" s="1">
        <f>29.85*100000000</f>
        <v>2985000000</v>
      </c>
      <c r="O1480" s="8">
        <f t="shared" si="731"/>
        <v>2.2034771410173857</v>
      </c>
      <c r="P1480" s="6" t="s">
        <v>14394</v>
      </c>
      <c r="Q1480" s="6" t="str">
        <f t="shared" si="715"/>
        <v>=9.318*100000000</v>
      </c>
      <c r="R1480" s="11">
        <f>9.318*100000000</f>
        <v>931800000</v>
      </c>
      <c r="S1480" s="8">
        <f t="shared" si="732"/>
        <v>-0.62381913605167538</v>
      </c>
      <c r="T1480" s="6" t="s">
        <v>4427</v>
      </c>
      <c r="U1480" s="6" t="str">
        <f t="shared" si="716"/>
        <v>=24.77*100000000</v>
      </c>
      <c r="V1480" s="1">
        <f>24.77*100000000</f>
        <v>2477000000</v>
      </c>
      <c r="W1480" s="8">
        <f t="shared" si="733"/>
        <v>0.30850501848917061</v>
      </c>
      <c r="X1480" s="6" t="s">
        <v>12398</v>
      </c>
      <c r="Y1480" s="6" t="str">
        <f t="shared" si="717"/>
        <v>=18.93*100000000</v>
      </c>
      <c r="Z1480" s="1">
        <f>18.93*100000000</f>
        <v>1893000000</v>
      </c>
      <c r="AA1480" s="8">
        <f t="shared" si="734"/>
        <v>0.98781896461199203</v>
      </c>
      <c r="AB1480" s="6" t="s">
        <v>14395</v>
      </c>
      <c r="AC1480" s="6" t="str">
        <f t="shared" si="718"/>
        <v>=9.523*100000000</v>
      </c>
      <c r="AD1480" s="1">
        <f>9.523*100000000</f>
        <v>952300000</v>
      </c>
      <c r="AE1480" s="8">
        <f t="shared" si="735"/>
        <v>1.5565100671140939</v>
      </c>
      <c r="AF1480" s="6" t="s">
        <v>8187</v>
      </c>
      <c r="AG1480" s="6" t="str">
        <f t="shared" si="719"/>
        <v>=3.725*100000000</v>
      </c>
      <c r="AH1480" s="1">
        <f>3.725*100000000</f>
        <v>372500000</v>
      </c>
      <c r="AI1480" s="8">
        <f t="shared" si="736"/>
        <v>-0.8082861554297478</v>
      </c>
      <c r="AJ1480" s="6" t="s">
        <v>14396</v>
      </c>
      <c r="AK1480" s="6" t="str">
        <f t="shared" si="720"/>
        <v>=19.43*100000000</v>
      </c>
      <c r="AL1480" s="1">
        <f>19.43*100000000</f>
        <v>1943000000</v>
      </c>
      <c r="AM1480" s="8">
        <f t="shared" si="737"/>
        <v>0.38587731811697573</v>
      </c>
      <c r="AN1480" s="6" t="s">
        <v>9003</v>
      </c>
      <c r="AO1480" s="6" t="str">
        <f t="shared" si="721"/>
        <v>=14.02*100000000</v>
      </c>
      <c r="AP1480" s="1">
        <f>14.02*100000000</f>
        <v>1402000000</v>
      </c>
      <c r="AQ1480" s="8">
        <f t="shared" si="738"/>
        <v>0.42147419649193957</v>
      </c>
      <c r="AR1480" s="6" t="s">
        <v>14397</v>
      </c>
      <c r="AS1480" s="6" t="str">
        <f t="shared" si="722"/>
        <v>=9.863*100000000</v>
      </c>
      <c r="AT1480" s="1">
        <f>9.863*100000000</f>
        <v>986300000</v>
      </c>
      <c r="AU1480" s="8">
        <f t="shared" si="739"/>
        <v>0.50030422878004255</v>
      </c>
      <c r="AV1480" s="6" t="s">
        <v>14398</v>
      </c>
      <c r="AW1480" s="6" t="str">
        <f t="shared" si="723"/>
        <v>=6.574*100000000</v>
      </c>
      <c r="AX1480" s="1">
        <f>6.574*100000000</f>
        <v>657400000</v>
      </c>
      <c r="AY1480" s="10">
        <f t="shared" si="740"/>
        <v>-0.64252311038607934</v>
      </c>
      <c r="AZ1480" s="6" t="s">
        <v>217</v>
      </c>
      <c r="BA1480" s="6" t="str">
        <f t="shared" si="724"/>
        <v>=18.39*100000000</v>
      </c>
      <c r="BB1480" s="1">
        <f>18.39*100000000</f>
        <v>1839000000</v>
      </c>
      <c r="BC1480" s="8">
        <f t="shared" si="741"/>
        <v>0.55715495342929722</v>
      </c>
      <c r="BD1480" s="6" t="s">
        <v>5171</v>
      </c>
      <c r="BE1480" s="6" t="str">
        <f t="shared" si="725"/>
        <v>=11.81*100000000</v>
      </c>
      <c r="BF1480" s="1">
        <f>11.81*100000000</f>
        <v>1181000000</v>
      </c>
      <c r="BG1480" s="8">
        <f t="shared" si="742"/>
        <v>0.73855439422935376</v>
      </c>
      <c r="BH1480" s="6" t="s">
        <v>10768</v>
      </c>
      <c r="BI1480" s="6" t="str">
        <f t="shared" si="726"/>
        <v>=6.793*100000000</v>
      </c>
      <c r="BJ1480" s="1">
        <f>6.793*100000000</f>
        <v>679300000</v>
      </c>
      <c r="BK1480" s="6" t="s">
        <v>14399</v>
      </c>
      <c r="BL1480" s="1" t="str">
        <f t="shared" si="728"/>
        <v>=4.094*100000000</v>
      </c>
      <c r="BM1480" s="16">
        <f t="shared" si="743"/>
        <v>0.65925744992672175</v>
      </c>
      <c r="BN1480" s="1">
        <f>4.094*100000000</f>
        <v>409400000.00000006</v>
      </c>
    </row>
    <row r="1481" spans="1:66">
      <c r="A1481" s="19"/>
      <c r="B1481">
        <v>601866</v>
      </c>
      <c r="C1481" t="s">
        <v>68</v>
      </c>
      <c r="D1481" s="6" t="s">
        <v>14400</v>
      </c>
      <c r="E1481" s="7" t="str">
        <f t="shared" si="727"/>
        <v>=60.91*100000000</v>
      </c>
      <c r="F1481" s="1">
        <f>60.91*100000000</f>
        <v>6091000000</v>
      </c>
      <c r="G1481" s="8">
        <f t="shared" si="729"/>
        <v>0.52733199598796376</v>
      </c>
      <c r="H1481" s="6" t="s">
        <v>14401</v>
      </c>
      <c r="I1481" s="6" t="str">
        <f t="shared" si="713"/>
        <v>=39.88*100000000</v>
      </c>
      <c r="J1481" s="1">
        <f>39.88*100000000</f>
        <v>3988000000.0000005</v>
      </c>
      <c r="K1481" s="10">
        <f t="shared" si="730"/>
        <v>0.64725320115654705</v>
      </c>
      <c r="L1481" s="6" t="s">
        <v>14402</v>
      </c>
      <c r="M1481" s="6" t="str">
        <f t="shared" si="714"/>
        <v>=24.21*100000000</v>
      </c>
      <c r="N1481" s="1">
        <f>24.21*100000000</f>
        <v>2421000000</v>
      </c>
      <c r="O1481" s="8">
        <f t="shared" si="731"/>
        <v>1.9256797583081571</v>
      </c>
      <c r="P1481" s="6" t="s">
        <v>14403</v>
      </c>
      <c r="Q1481" s="6" t="str">
        <f t="shared" si="715"/>
        <v>=8.275*100000000</v>
      </c>
      <c r="R1481" s="11">
        <f>8.275*100000000</f>
        <v>827500000</v>
      </c>
      <c r="S1481" s="8">
        <f t="shared" si="732"/>
        <v>-0.61349836524988322</v>
      </c>
      <c r="T1481" s="6" t="s">
        <v>1020</v>
      </c>
      <c r="U1481" s="6" t="str">
        <f t="shared" si="716"/>
        <v>=21.41*100000000</v>
      </c>
      <c r="V1481" s="1">
        <f>21.41*100000000</f>
        <v>2141000000</v>
      </c>
      <c r="W1481" s="8">
        <f t="shared" si="733"/>
        <v>0.28050239234449759</v>
      </c>
      <c r="X1481" s="6" t="s">
        <v>3869</v>
      </c>
      <c r="Y1481" s="6" t="str">
        <f t="shared" si="717"/>
        <v>=16.72*100000000</v>
      </c>
      <c r="Z1481" s="1">
        <f>16.72*100000000</f>
        <v>1672000000</v>
      </c>
      <c r="AA1481" s="8">
        <f t="shared" si="734"/>
        <v>0.95945154107582331</v>
      </c>
      <c r="AB1481" s="6" t="s">
        <v>4254</v>
      </c>
      <c r="AC1481" s="6" t="str">
        <f t="shared" si="718"/>
        <v>=8.533*100000000</v>
      </c>
      <c r="AD1481" s="1">
        <f>8.533*100000000</f>
        <v>853300000</v>
      </c>
      <c r="AE1481" s="8">
        <f t="shared" si="735"/>
        <v>1.4950292397660818</v>
      </c>
      <c r="AF1481" s="6" t="s">
        <v>8607</v>
      </c>
      <c r="AG1481" s="6" t="str">
        <f t="shared" si="719"/>
        <v>=3.420*100000000</v>
      </c>
      <c r="AH1481" s="1">
        <f>3.42*100000000</f>
        <v>342000000</v>
      </c>
      <c r="AI1481" s="8">
        <f t="shared" si="736"/>
        <v>-0.80378657487091221</v>
      </c>
      <c r="AJ1481" s="6" t="s">
        <v>11853</v>
      </c>
      <c r="AK1481" s="6" t="str">
        <f t="shared" si="720"/>
        <v>=17.43*100000000</v>
      </c>
      <c r="AL1481" s="1">
        <f>17.43*100000000</f>
        <v>1743000000</v>
      </c>
      <c r="AM1481" s="8">
        <f t="shared" si="737"/>
        <v>0.35011618900077457</v>
      </c>
      <c r="AN1481" s="6" t="s">
        <v>6466</v>
      </c>
      <c r="AO1481" s="6" t="str">
        <f t="shared" si="721"/>
        <v>=12.91*100000000</v>
      </c>
      <c r="AP1481" s="1">
        <f>12.91*100000000</f>
        <v>1291000000</v>
      </c>
      <c r="AQ1481" s="8">
        <f t="shared" si="738"/>
        <v>0.42888765910348642</v>
      </c>
      <c r="AR1481" s="6" t="s">
        <v>14404</v>
      </c>
      <c r="AS1481" s="6" t="str">
        <f t="shared" si="722"/>
        <v>=9.035*100000000</v>
      </c>
      <c r="AT1481" s="1">
        <f>9.035*100000000</f>
        <v>903500000</v>
      </c>
      <c r="AU1481" s="8">
        <f t="shared" si="739"/>
        <v>0.51492287055667341</v>
      </c>
      <c r="AV1481" s="6" t="s">
        <v>67</v>
      </c>
      <c r="AW1481" s="6" t="str">
        <f t="shared" si="723"/>
        <v>=5.964*100000000</v>
      </c>
      <c r="AX1481" s="1">
        <f>5.964*100000000</f>
        <v>596400000</v>
      </c>
      <c r="AY1481" s="10">
        <f t="shared" si="740"/>
        <v>-0.58525730180806679</v>
      </c>
      <c r="AZ1481" s="6" t="s">
        <v>1431</v>
      </c>
      <c r="BA1481" s="6" t="str">
        <f t="shared" si="724"/>
        <v>=14.38*100000000</v>
      </c>
      <c r="BB1481" s="1">
        <f>14.38*100000000</f>
        <v>1438000000</v>
      </c>
      <c r="BC1481" s="8">
        <f t="shared" si="741"/>
        <v>0.67677238805970152</v>
      </c>
      <c r="BD1481" s="6" t="s">
        <v>14405</v>
      </c>
      <c r="BE1481" s="6" t="str">
        <f t="shared" si="725"/>
        <v>=8.576*100000000</v>
      </c>
      <c r="BF1481" s="1">
        <f>8.576*100000000</f>
        <v>857600000</v>
      </c>
      <c r="BG1481" s="8">
        <f t="shared" si="742"/>
        <v>1.262796833773087</v>
      </c>
      <c r="BH1481" s="6" t="s">
        <v>14406</v>
      </c>
      <c r="BI1481" s="6" t="str">
        <f t="shared" si="726"/>
        <v>=3.790*100000000</v>
      </c>
      <c r="BJ1481" s="1">
        <f>3.79*100000000</f>
        <v>379000000</v>
      </c>
      <c r="BK1481" s="6" t="s">
        <v>13428</v>
      </c>
      <c r="BL1481" s="1" t="str">
        <f t="shared" si="728"/>
        <v>=3.037*100000000</v>
      </c>
      <c r="BM1481" s="16">
        <f t="shared" si="743"/>
        <v>0.247942048073757</v>
      </c>
      <c r="BN1481" s="1">
        <f>3.037*100000000</f>
        <v>303700000</v>
      </c>
    </row>
    <row r="1482" spans="1:66">
      <c r="A1482" s="17">
        <v>372</v>
      </c>
      <c r="B1482">
        <v>601869</v>
      </c>
      <c r="C1482" t="s">
        <v>31</v>
      </c>
      <c r="D1482" s="6" t="s">
        <v>14407</v>
      </c>
      <c r="E1482" s="7" t="str">
        <f t="shared" si="727"/>
        <v>=95.36*100000000</v>
      </c>
      <c r="F1482" s="1">
        <f>95.36*100000000</f>
        <v>9536000000</v>
      </c>
      <c r="G1482" s="8">
        <f t="shared" si="729"/>
        <v>0.40462512888496099</v>
      </c>
      <c r="H1482" s="6" t="s">
        <v>1887</v>
      </c>
      <c r="I1482" s="6" t="str">
        <f t="shared" si="713"/>
        <v>=67.89*100000000</v>
      </c>
      <c r="J1482" s="1">
        <f>67.89*100000000</f>
        <v>6789000000</v>
      </c>
      <c r="K1482" s="10">
        <f t="shared" si="730"/>
        <v>0.5599724264705882</v>
      </c>
      <c r="L1482" s="6" t="s">
        <v>14408</v>
      </c>
      <c r="M1482" s="6" t="str">
        <f t="shared" si="714"/>
        <v>=43.52*100000000</v>
      </c>
      <c r="N1482" s="1">
        <f>43.52*100000000</f>
        <v>4352000000</v>
      </c>
      <c r="O1482" s="8">
        <f t="shared" si="731"/>
        <v>1.2761506276150627</v>
      </c>
      <c r="P1482" s="6" t="s">
        <v>4146</v>
      </c>
      <c r="Q1482" s="6" t="str">
        <f t="shared" si="715"/>
        <v>=19.12*100000000</v>
      </c>
      <c r="R1482" s="11">
        <f>19.12*100000000</f>
        <v>1912000000</v>
      </c>
      <c r="S1482" s="8">
        <f t="shared" si="732"/>
        <v>-0.76745317441011918</v>
      </c>
      <c r="T1482" s="6" t="s">
        <v>14409</v>
      </c>
      <c r="U1482" s="6" t="str">
        <f t="shared" si="716"/>
        <v>=82.22*100000000</v>
      </c>
      <c r="V1482" s="1">
        <f>82.22*100000000</f>
        <v>8222000000</v>
      </c>
      <c r="W1482" s="8">
        <f t="shared" si="733"/>
        <v>0.51084160235207643</v>
      </c>
      <c r="X1482" s="6" t="s">
        <v>14410</v>
      </c>
      <c r="Y1482" s="6" t="str">
        <f t="shared" si="717"/>
        <v>=54.42*100000000</v>
      </c>
      <c r="Z1482" s="1">
        <f>54.42*100000000</f>
        <v>5442000000</v>
      </c>
      <c r="AA1482" s="8">
        <f t="shared" si="734"/>
        <v>0.59729967713530963</v>
      </c>
      <c r="AB1482" s="6" t="s">
        <v>9007</v>
      </c>
      <c r="AC1482" s="6" t="str">
        <f t="shared" si="718"/>
        <v>=34.07*100000000</v>
      </c>
      <c r="AD1482" s="1">
        <f>34.07*100000000</f>
        <v>3407000000</v>
      </c>
      <c r="AE1482" s="8">
        <f t="shared" si="735"/>
        <v>1.7834967320261439</v>
      </c>
      <c r="AF1482" s="6" t="s">
        <v>582</v>
      </c>
      <c r="AG1482" s="6" t="str">
        <f t="shared" si="719"/>
        <v>=12.24*100000000</v>
      </c>
      <c r="AH1482" s="1">
        <f>12.24*100000000</f>
        <v>1224000000</v>
      </c>
      <c r="AI1482" s="8">
        <f t="shared" si="736"/>
        <v>-0.84245076586433265</v>
      </c>
      <c r="AJ1482" s="6" t="s">
        <v>14411</v>
      </c>
      <c r="AK1482" s="6" t="str">
        <f t="shared" si="720"/>
        <v>=77.69*100000000</v>
      </c>
      <c r="AL1482" s="1">
        <f>77.69*100000000</f>
        <v>7769000000</v>
      </c>
      <c r="AM1482" s="8">
        <f t="shared" si="737"/>
        <v>0.48945552147239263</v>
      </c>
      <c r="AN1482" s="6" t="s">
        <v>14412</v>
      </c>
      <c r="AO1482" s="6" t="str">
        <f t="shared" si="721"/>
        <v>=52.16*100000000</v>
      </c>
      <c r="AP1482" s="1">
        <f>52.16*100000000</f>
        <v>5216000000</v>
      </c>
      <c r="AQ1482" s="8">
        <f t="shared" si="738"/>
        <v>0.57155769810183787</v>
      </c>
      <c r="AR1482" s="6" t="s">
        <v>5629</v>
      </c>
      <c r="AS1482" s="6" t="str">
        <f t="shared" si="722"/>
        <v>=33.19*100000000</v>
      </c>
      <c r="AT1482" s="1">
        <f>33.19*100000000</f>
        <v>3319000000</v>
      </c>
      <c r="AU1482" s="8">
        <f t="shared" si="739"/>
        <v>1.0756722951844904</v>
      </c>
      <c r="AV1482" s="6" t="s">
        <v>239</v>
      </c>
      <c r="AW1482" s="6" t="str">
        <f t="shared" si="723"/>
        <v>=15.99*100000000</v>
      </c>
      <c r="AX1482" s="1">
        <f>15.99*100000000</f>
        <v>1599000000</v>
      </c>
      <c r="AY1482" s="10">
        <f t="shared" si="740"/>
        <v>-0.85924295774647885</v>
      </c>
      <c r="AZ1482" s="6" t="s">
        <v>14413</v>
      </c>
      <c r="BA1482" s="6" t="str">
        <f t="shared" si="724"/>
        <v>=113.6*100000000</v>
      </c>
      <c r="BB1482" s="1">
        <f>113.6*100000000</f>
        <v>11360000000</v>
      </c>
      <c r="BC1482" s="8">
        <f t="shared" si="741"/>
        <v>0.33270764899108413</v>
      </c>
      <c r="BD1482" s="6" t="s">
        <v>14414</v>
      </c>
      <c r="BE1482" s="6" t="str">
        <f t="shared" si="725"/>
        <v>=85.24*100000000</v>
      </c>
      <c r="BF1482" s="1">
        <f>85.24*100000000</f>
        <v>8523999999.999999</v>
      </c>
      <c r="BG1482" s="8">
        <f t="shared" si="742"/>
        <v>0.51349431818181801</v>
      </c>
      <c r="BH1482" s="6" t="s">
        <v>14415</v>
      </c>
      <c r="BI1482" s="6" t="str">
        <f t="shared" si="726"/>
        <v>=56.32*100000000</v>
      </c>
      <c r="BJ1482" s="1">
        <f>56.32*100000000</f>
        <v>5632000000</v>
      </c>
      <c r="BL1482" s="1" t="str">
        <f t="shared" si="728"/>
        <v>=</v>
      </c>
      <c r="BM1482" s="16" t="e">
        <f t="shared" si="743"/>
        <v>#VALUE!</v>
      </c>
      <c r="BN1482" s="1" t="s">
        <v>14135</v>
      </c>
    </row>
    <row r="1483" spans="1:66">
      <c r="A1483" s="18"/>
      <c r="B1483">
        <v>601869</v>
      </c>
      <c r="C1483" t="s">
        <v>48</v>
      </c>
      <c r="D1483" s="6" t="s">
        <v>14416</v>
      </c>
      <c r="E1483" s="7" t="str">
        <f t="shared" si="727"/>
        <v>=7.183*100000000</v>
      </c>
      <c r="F1483" s="1">
        <f>7.183*100000000</f>
        <v>718300000</v>
      </c>
      <c r="G1483" s="8">
        <f t="shared" si="729"/>
        <v>0.22139091991157966</v>
      </c>
      <c r="H1483" s="6" t="s">
        <v>4636</v>
      </c>
      <c r="I1483" s="6" t="str">
        <f t="shared" si="713"/>
        <v>=5.881*100000000</v>
      </c>
      <c r="J1483" s="1">
        <f>5.881*100000000</f>
        <v>588100000</v>
      </c>
      <c r="K1483" s="10">
        <f t="shared" si="730"/>
        <v>0.20265848670756662</v>
      </c>
      <c r="L1483" s="6" t="s">
        <v>14417</v>
      </c>
      <c r="M1483" s="6" t="str">
        <f t="shared" si="714"/>
        <v>=4.890*100000000</v>
      </c>
      <c r="N1483" s="1">
        <f>4.89*100000000</f>
        <v>488999999.99999994</v>
      </c>
      <c r="O1483" s="8">
        <f t="shared" si="731"/>
        <v>4.3636064494899633</v>
      </c>
      <c r="P1483" s="7" t="s">
        <v>14418</v>
      </c>
      <c r="Q1483" s="6" t="str">
        <f t="shared" si="715"/>
        <v>=9117*10000</v>
      </c>
      <c r="R1483" s="11">
        <f>9117*10000</f>
        <v>91170000</v>
      </c>
      <c r="S1483" s="8">
        <f t="shared" si="732"/>
        <v>-0.8429998277940417</v>
      </c>
      <c r="T1483" s="6" t="s">
        <v>14419</v>
      </c>
      <c r="U1483" s="6" t="str">
        <f t="shared" si="716"/>
        <v>=5.807*100000000</v>
      </c>
      <c r="V1483" s="1">
        <f>5.807*100000000</f>
        <v>580700000</v>
      </c>
      <c r="W1483" s="8">
        <f t="shared" si="733"/>
        <v>0.33586381412468352</v>
      </c>
      <c r="X1483" s="6" t="s">
        <v>14420</v>
      </c>
      <c r="Y1483" s="6" t="str">
        <f t="shared" si="717"/>
        <v>=4.347*100000000</v>
      </c>
      <c r="Z1483" s="1">
        <f>4.347*100000000</f>
        <v>434700000.00000006</v>
      </c>
      <c r="AA1483" s="8">
        <f t="shared" si="734"/>
        <v>0.58360655737704936</v>
      </c>
      <c r="AB1483" s="6" t="s">
        <v>14421</v>
      </c>
      <c r="AC1483" s="6" t="str">
        <f t="shared" si="718"/>
        <v>=2.745*100000000</v>
      </c>
      <c r="AD1483" s="1">
        <f>2.745*100000000</f>
        <v>274500000</v>
      </c>
      <c r="AE1483" s="8">
        <f t="shared" si="735"/>
        <v>-29.834033613445378</v>
      </c>
      <c r="AF1483" s="7">
        <f>-952*10000</f>
        <v>-9520000</v>
      </c>
      <c r="AG1483" s="6" t="str">
        <f t="shared" si="719"/>
        <v>=-9520000</v>
      </c>
      <c r="AH1483" s="1">
        <f>-9520000</f>
        <v>-9520000</v>
      </c>
      <c r="AI1483" s="8">
        <f t="shared" si="736"/>
        <v>-1.0108452950558213</v>
      </c>
      <c r="AJ1483" s="6" t="s">
        <v>14422</v>
      </c>
      <c r="AK1483" s="6" t="str">
        <f t="shared" si="720"/>
        <v>=8.778*100000000</v>
      </c>
      <c r="AL1483" s="1">
        <f>8.778*100000000</f>
        <v>877800000</v>
      </c>
      <c r="AM1483" s="8">
        <f t="shared" si="737"/>
        <v>0.20494166094715169</v>
      </c>
      <c r="AN1483" s="6" t="s">
        <v>3026</v>
      </c>
      <c r="AO1483" s="6" t="str">
        <f t="shared" si="721"/>
        <v>=7.285*100000000</v>
      </c>
      <c r="AP1483" s="1">
        <f>7.285*100000000</f>
        <v>728500000</v>
      </c>
      <c r="AQ1483" s="8">
        <f t="shared" si="738"/>
        <v>0.51298026998961554</v>
      </c>
      <c r="AR1483" s="6" t="s">
        <v>12872</v>
      </c>
      <c r="AS1483" s="6" t="str">
        <f t="shared" si="722"/>
        <v>=4.815*100000000</v>
      </c>
      <c r="AT1483" s="1">
        <f>4.815*100000000</f>
        <v>481500000.00000006</v>
      </c>
      <c r="AU1483" s="8">
        <f t="shared" si="739"/>
        <v>0.6966173361522201</v>
      </c>
      <c r="AV1483" s="6" t="s">
        <v>475</v>
      </c>
      <c r="AW1483" s="6" t="str">
        <f t="shared" si="723"/>
        <v>=2.838*100000000</v>
      </c>
      <c r="AX1483" s="1">
        <f>2.838*100000000</f>
        <v>283800000</v>
      </c>
      <c r="AY1483" s="10">
        <f t="shared" si="740"/>
        <v>-0.82975404919016205</v>
      </c>
      <c r="AZ1483" s="6" t="s">
        <v>4535</v>
      </c>
      <c r="BA1483" s="6" t="str">
        <f t="shared" si="724"/>
        <v>=16.67*100000000</v>
      </c>
      <c r="BB1483" s="1">
        <f>16.67*100000000</f>
        <v>1667000000.0000002</v>
      </c>
      <c r="BC1483" s="8">
        <f t="shared" si="741"/>
        <v>0.18563300142247527</v>
      </c>
      <c r="BD1483" s="6" t="s">
        <v>3141</v>
      </c>
      <c r="BE1483" s="6" t="str">
        <f t="shared" si="725"/>
        <v>=14.06*100000000</v>
      </c>
      <c r="BF1483" s="1">
        <f>14.06*100000000</f>
        <v>1406000000</v>
      </c>
      <c r="BG1483" s="8">
        <f t="shared" si="742"/>
        <v>0.51524948809138915</v>
      </c>
      <c r="BH1483" s="6" t="s">
        <v>14423</v>
      </c>
      <c r="BI1483" s="6" t="str">
        <f t="shared" si="726"/>
        <v>=9.279*100000000</v>
      </c>
      <c r="BJ1483" s="1">
        <f>9.279*100000000</f>
        <v>927900000</v>
      </c>
      <c r="BL1483" s="1" t="str">
        <f t="shared" si="728"/>
        <v>=</v>
      </c>
      <c r="BM1483" s="16" t="e">
        <f t="shared" si="743"/>
        <v>#VALUE!</v>
      </c>
      <c r="BN1483" s="1" t="s">
        <v>14135</v>
      </c>
    </row>
    <row r="1484" spans="1:66">
      <c r="A1484" s="18"/>
      <c r="B1484">
        <v>601869</v>
      </c>
      <c r="C1484" t="s">
        <v>58</v>
      </c>
      <c r="D1484" s="6" t="s">
        <v>13461</v>
      </c>
      <c r="E1484" s="7" t="str">
        <f t="shared" si="727"/>
        <v>=7.480*100000000</v>
      </c>
      <c r="F1484" s="1">
        <f>7.48*100000000</f>
        <v>748000000</v>
      </c>
      <c r="G1484" s="8">
        <f t="shared" si="729"/>
        <v>0.2125141838223375</v>
      </c>
      <c r="H1484" s="6" t="s">
        <v>8968</v>
      </c>
      <c r="I1484" s="6" t="str">
        <f t="shared" si="713"/>
        <v>=6.169*100000000</v>
      </c>
      <c r="J1484" s="1">
        <f>6.169*100000000</f>
        <v>616900000</v>
      </c>
      <c r="K1484" s="10">
        <f t="shared" si="730"/>
        <v>0.19438528557599224</v>
      </c>
      <c r="L1484" s="6" t="s">
        <v>7668</v>
      </c>
      <c r="M1484" s="6" t="str">
        <f t="shared" si="714"/>
        <v>=5.165*100000000</v>
      </c>
      <c r="N1484" s="1">
        <f>5.165*100000000</f>
        <v>516500000</v>
      </c>
      <c r="O1484" s="8">
        <f t="shared" si="731"/>
        <v>4.7452725250278087</v>
      </c>
      <c r="P1484" s="7" t="s">
        <v>14424</v>
      </c>
      <c r="Q1484" s="6" t="str">
        <f t="shared" si="715"/>
        <v>=8990*10000</v>
      </c>
      <c r="R1484" s="11">
        <f>8990*10000</f>
        <v>89900000</v>
      </c>
      <c r="S1484" s="8">
        <f t="shared" si="732"/>
        <v>-0.84478591160220995</v>
      </c>
      <c r="T1484" s="6" t="s">
        <v>7552</v>
      </c>
      <c r="U1484" s="6" t="str">
        <f t="shared" si="716"/>
        <v>=5.792*100000000</v>
      </c>
      <c r="V1484" s="1">
        <f>5.792*100000000</f>
        <v>579200000</v>
      </c>
      <c r="W1484" s="8">
        <f t="shared" si="733"/>
        <v>0.32813574868149509</v>
      </c>
      <c r="X1484" s="6" t="s">
        <v>14425</v>
      </c>
      <c r="Y1484" s="6" t="str">
        <f t="shared" si="717"/>
        <v>=4.361*100000000</v>
      </c>
      <c r="Z1484" s="1">
        <f>4.361*100000000</f>
        <v>436100000</v>
      </c>
      <c r="AA1484" s="8">
        <f t="shared" si="734"/>
        <v>0.5892857142857143</v>
      </c>
      <c r="AB1484" s="6" t="s">
        <v>14426</v>
      </c>
      <c r="AC1484" s="6" t="str">
        <f t="shared" si="718"/>
        <v>=2.744*100000000</v>
      </c>
      <c r="AD1484" s="1">
        <f>2.744*100000000</f>
        <v>274400000</v>
      </c>
      <c r="AE1484" s="8">
        <f t="shared" si="735"/>
        <v>-29.89942074776198</v>
      </c>
      <c r="AF1484" s="7">
        <f>-949.5*10000</f>
        <v>-9495000</v>
      </c>
      <c r="AG1484" s="6" t="str">
        <f t="shared" si="719"/>
        <v>=-9495000</v>
      </c>
      <c r="AH1484" s="1">
        <f>-9495000</f>
        <v>-9495000</v>
      </c>
      <c r="AI1484" s="8">
        <f t="shared" si="736"/>
        <v>-1.0107470288624787</v>
      </c>
      <c r="AJ1484" s="6" t="s">
        <v>10178</v>
      </c>
      <c r="AK1484" s="6" t="str">
        <f t="shared" si="720"/>
        <v>=8.835*100000000</v>
      </c>
      <c r="AL1484" s="1">
        <f>8.835*100000000</f>
        <v>883500000.00000012</v>
      </c>
      <c r="AM1484" s="8">
        <f t="shared" si="737"/>
        <v>0.21126953660542927</v>
      </c>
      <c r="AN1484" s="6" t="s">
        <v>5051</v>
      </c>
      <c r="AO1484" s="6" t="str">
        <f t="shared" si="721"/>
        <v>=7.294*100000000</v>
      </c>
      <c r="AP1484" s="1">
        <f>7.294*100000000</f>
        <v>729400000</v>
      </c>
      <c r="AQ1484" s="8">
        <f t="shared" si="738"/>
        <v>0.51202321724709787</v>
      </c>
      <c r="AR1484" s="6" t="s">
        <v>10908</v>
      </c>
      <c r="AS1484" s="6" t="str">
        <f t="shared" si="722"/>
        <v>=4.824*100000000</v>
      </c>
      <c r="AT1484" s="1">
        <f>4.824*100000000</f>
        <v>482400000</v>
      </c>
      <c r="AU1484" s="8">
        <f t="shared" si="739"/>
        <v>0.69978858350951378</v>
      </c>
      <c r="AV1484" s="6" t="s">
        <v>475</v>
      </c>
      <c r="AW1484" s="6" t="str">
        <f t="shared" si="723"/>
        <v>=2.838*100000000</v>
      </c>
      <c r="AX1484" s="1">
        <f>2.838*100000000</f>
        <v>283800000</v>
      </c>
      <c r="AY1484" s="10">
        <f t="shared" si="740"/>
        <v>-0.83005988023952093</v>
      </c>
      <c r="AZ1484" s="6" t="s">
        <v>2644</v>
      </c>
      <c r="BA1484" s="6" t="str">
        <f t="shared" si="724"/>
        <v>=16.70*100000000</v>
      </c>
      <c r="BB1484" s="1">
        <f>16.7*100000000</f>
        <v>1670000000</v>
      </c>
      <c r="BC1484" s="8">
        <f t="shared" si="741"/>
        <v>0.18776671408250356</v>
      </c>
      <c r="BD1484" s="6" t="s">
        <v>3141</v>
      </c>
      <c r="BE1484" s="6" t="str">
        <f t="shared" si="725"/>
        <v>=14.06*100000000</v>
      </c>
      <c r="BF1484" s="1">
        <f>14.06*100000000</f>
        <v>1406000000</v>
      </c>
      <c r="BG1484" s="8">
        <f t="shared" si="742"/>
        <v>0.51410725823820802</v>
      </c>
      <c r="BH1484" s="6" t="s">
        <v>14427</v>
      </c>
      <c r="BI1484" s="6" t="str">
        <f t="shared" si="726"/>
        <v>=9.286*100000000</v>
      </c>
      <c r="BJ1484" s="1">
        <f>9.286*100000000</f>
        <v>928600000</v>
      </c>
      <c r="BL1484" s="1" t="str">
        <f t="shared" si="728"/>
        <v>=</v>
      </c>
      <c r="BM1484" s="16" t="e">
        <f t="shared" si="743"/>
        <v>#VALUE!</v>
      </c>
      <c r="BN1484" s="1" t="s">
        <v>14135</v>
      </c>
    </row>
    <row r="1485" spans="1:66">
      <c r="A1485" s="19"/>
      <c r="B1485">
        <v>601869</v>
      </c>
      <c r="C1485" t="s">
        <v>68</v>
      </c>
      <c r="D1485" s="6" t="s">
        <v>1467</v>
      </c>
      <c r="E1485" s="7" t="str">
        <f t="shared" si="727"/>
        <v>=7.207*100000000</v>
      </c>
      <c r="F1485" s="1">
        <f>7.207*100000000</f>
        <v>720700000</v>
      </c>
      <c r="G1485" s="8">
        <f t="shared" si="729"/>
        <v>0.25056394239111573</v>
      </c>
      <c r="H1485" s="6" t="s">
        <v>4504</v>
      </c>
      <c r="I1485" s="6" t="str">
        <f t="shared" si="713"/>
        <v>=5.763*100000000</v>
      </c>
      <c r="J1485" s="1">
        <f>5.763*100000000</f>
        <v>576300000</v>
      </c>
      <c r="K1485" s="10">
        <f t="shared" si="730"/>
        <v>0.18629065459036656</v>
      </c>
      <c r="L1485" s="6" t="s">
        <v>2954</v>
      </c>
      <c r="M1485" s="6" t="str">
        <f t="shared" si="714"/>
        <v>=4.858*100000000</v>
      </c>
      <c r="N1485" s="1">
        <f>4.858*100000000</f>
        <v>485799999.99999994</v>
      </c>
      <c r="O1485" s="8">
        <f t="shared" si="731"/>
        <v>4.5781375588471693</v>
      </c>
      <c r="P1485" s="7" t="s">
        <v>14428</v>
      </c>
      <c r="Q1485" s="6" t="str">
        <f t="shared" si="715"/>
        <v>=8709*10000</v>
      </c>
      <c r="R1485" s="11">
        <f>8709*10000</f>
        <v>87090000</v>
      </c>
      <c r="S1485" s="8">
        <f t="shared" si="732"/>
        <v>-0.83996692392502759</v>
      </c>
      <c r="T1485" s="6" t="s">
        <v>5729</v>
      </c>
      <c r="U1485" s="6" t="str">
        <f t="shared" si="716"/>
        <v>=5.442*100000000</v>
      </c>
      <c r="V1485" s="1">
        <f>5.442*100000000</f>
        <v>544200000</v>
      </c>
      <c r="W1485" s="8">
        <f t="shared" si="733"/>
        <v>0.34072431633407241</v>
      </c>
      <c r="X1485" s="6" t="s">
        <v>9431</v>
      </c>
      <c r="Y1485" s="6" t="str">
        <f t="shared" si="717"/>
        <v>=4.059*100000000</v>
      </c>
      <c r="Z1485" s="1">
        <f>4.059*100000000</f>
        <v>405900000</v>
      </c>
      <c r="AA1485" s="8">
        <f t="shared" si="734"/>
        <v>0.54510848877046081</v>
      </c>
      <c r="AB1485" s="6" t="s">
        <v>11604</v>
      </c>
      <c r="AC1485" s="6" t="str">
        <f t="shared" si="718"/>
        <v>=2.627*100000000</v>
      </c>
      <c r="AD1485" s="1">
        <f>2.627*100000000</f>
        <v>262699999.99999997</v>
      </c>
      <c r="AE1485" s="8">
        <f t="shared" si="735"/>
        <v>-28.955730552303926</v>
      </c>
      <c r="AF1485" s="7">
        <f>-939.7*10000</f>
        <v>-9397000</v>
      </c>
      <c r="AG1485" s="6" t="str">
        <f t="shared" si="719"/>
        <v>=-9397000</v>
      </c>
      <c r="AH1485" s="1">
        <f>-9397000</f>
        <v>-9397000</v>
      </c>
      <c r="AI1485" s="8">
        <f t="shared" si="736"/>
        <v>-1.0119813846742318</v>
      </c>
      <c r="AJ1485" s="6" t="s">
        <v>942</v>
      </c>
      <c r="AK1485" s="6" t="str">
        <f t="shared" si="720"/>
        <v>=7.843*100000000</v>
      </c>
      <c r="AL1485" s="1">
        <f>7.843*100000000</f>
        <v>784300000</v>
      </c>
      <c r="AM1485" s="8">
        <f t="shared" si="737"/>
        <v>0.23027450980392156</v>
      </c>
      <c r="AN1485" s="6" t="s">
        <v>14429</v>
      </c>
      <c r="AO1485" s="6" t="str">
        <f t="shared" si="721"/>
        <v>=6.375*100000000</v>
      </c>
      <c r="AP1485" s="1">
        <f>6.375*100000000</f>
        <v>637500000</v>
      </c>
      <c r="AQ1485" s="8">
        <f t="shared" si="738"/>
        <v>0.49964714184897652</v>
      </c>
      <c r="AR1485" s="6" t="s">
        <v>14430</v>
      </c>
      <c r="AS1485" s="6" t="str">
        <f t="shared" si="722"/>
        <v>=4.251*100000000</v>
      </c>
      <c r="AT1485" s="1">
        <f>4.251*100000000</f>
        <v>425100000.00000006</v>
      </c>
      <c r="AU1485" s="8">
        <f t="shared" si="739"/>
        <v>0.72594397076735717</v>
      </c>
      <c r="AV1485" s="6" t="s">
        <v>4846</v>
      </c>
      <c r="AW1485" s="6" t="str">
        <f t="shared" si="723"/>
        <v>=2.463*100000000</v>
      </c>
      <c r="AX1485" s="1">
        <f>2.463*100000000</f>
        <v>246300000</v>
      </c>
      <c r="AY1485" s="10">
        <f t="shared" si="740"/>
        <v>-0.8344758064516129</v>
      </c>
      <c r="AZ1485" s="6" t="s">
        <v>9572</v>
      </c>
      <c r="BA1485" s="6" t="str">
        <f t="shared" si="724"/>
        <v>=14.88*100000000</v>
      </c>
      <c r="BB1485" s="1">
        <f>14.88*100000000</f>
        <v>1488000000</v>
      </c>
      <c r="BC1485" s="8">
        <f t="shared" si="741"/>
        <v>0.2</v>
      </c>
      <c r="BD1485" s="6" t="s">
        <v>3689</v>
      </c>
      <c r="BE1485" s="6" t="str">
        <f t="shared" si="725"/>
        <v>=12.40*100000000</v>
      </c>
      <c r="BF1485" s="1">
        <f>12.4*100000000</f>
        <v>1240000000</v>
      </c>
      <c r="BG1485" s="8">
        <f t="shared" si="742"/>
        <v>0.52296732989437489</v>
      </c>
      <c r="BH1485" s="6" t="s">
        <v>14431</v>
      </c>
      <c r="BI1485" s="6" t="str">
        <f t="shared" si="726"/>
        <v>=8.142*100000000</v>
      </c>
      <c r="BJ1485" s="1">
        <f>8.142*100000000</f>
        <v>814200000</v>
      </c>
      <c r="BL1485" s="1" t="str">
        <f t="shared" si="728"/>
        <v>=</v>
      </c>
      <c r="BM1485" s="16" t="e">
        <f t="shared" si="743"/>
        <v>#VALUE!</v>
      </c>
      <c r="BN1485" s="1" t="s">
        <v>14135</v>
      </c>
    </row>
    <row r="1486" spans="1:66">
      <c r="A1486" s="17">
        <v>373</v>
      </c>
      <c r="B1486">
        <v>601872</v>
      </c>
      <c r="C1486" t="s">
        <v>31</v>
      </c>
      <c r="D1486" s="6" t="s">
        <v>7185</v>
      </c>
      <c r="E1486" s="7" t="str">
        <f t="shared" si="727"/>
        <v>=244.1*100000000</v>
      </c>
      <c r="F1486" s="1">
        <f>244.1*100000000</f>
        <v>24410000000</v>
      </c>
      <c r="G1486" s="8">
        <f t="shared" si="729"/>
        <v>0.86906584992343028</v>
      </c>
      <c r="H1486" s="6" t="s">
        <v>9710</v>
      </c>
      <c r="I1486" s="6" t="str">
        <f t="shared" si="713"/>
        <v>=130.6*100000000</v>
      </c>
      <c r="J1486" s="1">
        <f>130.6*100000000</f>
        <v>13060000000</v>
      </c>
      <c r="K1486" s="10">
        <f t="shared" si="730"/>
        <v>0.61613661675535203</v>
      </c>
      <c r="L1486" s="6" t="s">
        <v>14432</v>
      </c>
      <c r="M1486" s="6" t="str">
        <f t="shared" si="714"/>
        <v>=80.81*100000000</v>
      </c>
      <c r="N1486" s="1">
        <f>80.81*100000000</f>
        <v>8081000000</v>
      </c>
      <c r="O1486" s="8">
        <f t="shared" si="731"/>
        <v>1.2472191323692992</v>
      </c>
      <c r="P1486" s="6" t="s">
        <v>14433</v>
      </c>
      <c r="Q1486" s="6" t="str">
        <f t="shared" si="715"/>
        <v>=35.96*100000000</v>
      </c>
      <c r="R1486" s="11">
        <f>35.96*100000000</f>
        <v>3596000000</v>
      </c>
      <c r="S1486" s="8">
        <f t="shared" si="732"/>
        <v>-0.8335955576122166</v>
      </c>
      <c r="T1486" s="6" t="s">
        <v>13915</v>
      </c>
      <c r="U1486" s="6" t="str">
        <f t="shared" si="716"/>
        <v>=216.1*100000000</v>
      </c>
      <c r="V1486" s="1">
        <f>216.1*100000000</f>
        <v>21610000000</v>
      </c>
      <c r="W1486" s="8">
        <f t="shared" si="733"/>
        <v>0.52076002814919076</v>
      </c>
      <c r="X1486" s="6" t="s">
        <v>1796</v>
      </c>
      <c r="Y1486" s="6" t="str">
        <f t="shared" si="717"/>
        <v>=142.1*100000000</v>
      </c>
      <c r="Z1486" s="1">
        <f>142.1*100000000</f>
        <v>14210000000</v>
      </c>
      <c r="AA1486" s="8">
        <f t="shared" si="734"/>
        <v>0.37294685990338167</v>
      </c>
      <c r="AB1486" s="6" t="s">
        <v>7150</v>
      </c>
      <c r="AC1486" s="6" t="str">
        <f t="shared" si="718"/>
        <v>=103.5*100000000</v>
      </c>
      <c r="AD1486" s="1">
        <f>103.5*100000000</f>
        <v>10350000000</v>
      </c>
      <c r="AE1486" s="8">
        <f t="shared" si="735"/>
        <v>1.1639138615931424</v>
      </c>
      <c r="AF1486" s="6" t="s">
        <v>8591</v>
      </c>
      <c r="AG1486" s="6" t="str">
        <f t="shared" si="719"/>
        <v>=47.83*100000000</v>
      </c>
      <c r="AH1486" s="1">
        <f>47.83*100000000</f>
        <v>4783000000</v>
      </c>
      <c r="AI1486" s="8">
        <f t="shared" si="736"/>
        <v>-0.74298764105319726</v>
      </c>
      <c r="AJ1486" s="6" t="s">
        <v>1853</v>
      </c>
      <c r="AK1486" s="6" t="str">
        <f t="shared" si="720"/>
        <v>=186.1*100000000</v>
      </c>
      <c r="AL1486" s="1">
        <f>186.1*100000000</f>
        <v>18610000000</v>
      </c>
      <c r="AM1486" s="8">
        <f t="shared" si="737"/>
        <v>0.42278287461773678</v>
      </c>
      <c r="AN1486" s="6" t="s">
        <v>9408</v>
      </c>
      <c r="AO1486" s="6" t="str">
        <f t="shared" si="721"/>
        <v>=130.8*100000000</v>
      </c>
      <c r="AP1486" s="1">
        <f>130.8*100000000</f>
        <v>13080000000.000002</v>
      </c>
      <c r="AQ1486" s="8">
        <f t="shared" si="738"/>
        <v>0.72992990345192466</v>
      </c>
      <c r="AR1486" s="6" t="s">
        <v>14434</v>
      </c>
      <c r="AS1486" s="6" t="str">
        <f t="shared" si="722"/>
        <v>=75.61*100000000</v>
      </c>
      <c r="AT1486" s="1">
        <f>75.61*100000000</f>
        <v>7561000000</v>
      </c>
      <c r="AU1486" s="8">
        <f t="shared" si="739"/>
        <v>1.0546195652173915</v>
      </c>
      <c r="AV1486" s="6" t="s">
        <v>12792</v>
      </c>
      <c r="AW1486" s="6" t="str">
        <f t="shared" si="723"/>
        <v>=36.80*100000000</v>
      </c>
      <c r="AX1486" s="1">
        <f>36.8*100000000</f>
        <v>3679999999.9999995</v>
      </c>
      <c r="AY1486" s="10">
        <f t="shared" si="740"/>
        <v>-0.66331198536139069</v>
      </c>
      <c r="AZ1486" s="6" t="s">
        <v>12314</v>
      </c>
      <c r="BA1486" s="6" t="str">
        <f t="shared" si="724"/>
        <v>=109.3*100000000</v>
      </c>
      <c r="BB1486" s="1">
        <f>109.3*100000000</f>
        <v>10930000000</v>
      </c>
      <c r="BC1486" s="8">
        <f t="shared" si="741"/>
        <v>0.49337341166826071</v>
      </c>
      <c r="BD1486" s="6" t="s">
        <v>14435</v>
      </c>
      <c r="BE1486" s="6" t="str">
        <f t="shared" si="725"/>
        <v>=73.19*100000000</v>
      </c>
      <c r="BF1486" s="1">
        <f>73.19*100000000</f>
        <v>7319000000</v>
      </c>
      <c r="BG1486" s="8">
        <f t="shared" si="742"/>
        <v>0.58522850335715837</v>
      </c>
      <c r="BH1486" s="6" t="s">
        <v>14436</v>
      </c>
      <c r="BI1486" s="6" t="str">
        <f t="shared" si="726"/>
        <v>=46.17*100000000</v>
      </c>
      <c r="BJ1486" s="1">
        <f>46.17*100000000</f>
        <v>4617000000</v>
      </c>
      <c r="BK1486" s="6" t="s">
        <v>1531</v>
      </c>
      <c r="BL1486" s="1" t="str">
        <f t="shared" si="728"/>
        <v>=23.28*100000000</v>
      </c>
      <c r="BM1486" s="16">
        <f t="shared" si="743"/>
        <v>0.98324742268041232</v>
      </c>
      <c r="BN1486" s="1">
        <f>23.28*100000000</f>
        <v>2328000000</v>
      </c>
    </row>
    <row r="1487" spans="1:66">
      <c r="A1487" s="18"/>
      <c r="B1487">
        <v>601872</v>
      </c>
      <c r="C1487" t="s">
        <v>48</v>
      </c>
      <c r="D1487" s="6" t="s">
        <v>14437</v>
      </c>
      <c r="E1487" s="7" t="str">
        <f t="shared" si="727"/>
        <v>=43.90*100000000</v>
      </c>
      <c r="F1487" s="1">
        <f>43.9*100000000</f>
        <v>4390000000</v>
      </c>
      <c r="G1487" s="8">
        <f t="shared" si="729"/>
        <v>1.5702576112412181</v>
      </c>
      <c r="H1487" s="6" t="s">
        <v>8596</v>
      </c>
      <c r="I1487" s="6" t="str">
        <f t="shared" si="713"/>
        <v>=17.08*100000000</v>
      </c>
      <c r="J1487" s="1">
        <f>17.08*100000000</f>
        <v>1707999999.9999998</v>
      </c>
      <c r="K1487" s="10">
        <f t="shared" si="730"/>
        <v>0.65664403491755552</v>
      </c>
      <c r="L1487" s="6" t="s">
        <v>472</v>
      </c>
      <c r="M1487" s="6" t="str">
        <f t="shared" si="714"/>
        <v>=10.31*100000000</v>
      </c>
      <c r="N1487" s="1">
        <f>10.31*100000000</f>
        <v>1031000000</v>
      </c>
      <c r="O1487" s="8">
        <f t="shared" si="731"/>
        <v>1.46414913957935</v>
      </c>
      <c r="P1487" s="6" t="s">
        <v>4031</v>
      </c>
      <c r="Q1487" s="6" t="str">
        <f t="shared" si="715"/>
        <v>=4.184*100000000</v>
      </c>
      <c r="R1487" s="11">
        <f>4.184*100000000</f>
        <v>418400000</v>
      </c>
      <c r="S1487" s="8">
        <f t="shared" si="732"/>
        <v>-0.87263318112633181</v>
      </c>
      <c r="T1487" s="6" t="s">
        <v>14438</v>
      </c>
      <c r="U1487" s="6" t="str">
        <f t="shared" si="716"/>
        <v>=32.85*100000000</v>
      </c>
      <c r="V1487" s="1">
        <f>32.85*100000000</f>
        <v>3285000000</v>
      </c>
      <c r="W1487" s="8">
        <f t="shared" si="733"/>
        <v>-0.18222554144884243</v>
      </c>
      <c r="X1487" s="6" t="s">
        <v>12708</v>
      </c>
      <c r="Y1487" s="6" t="str">
        <f t="shared" si="717"/>
        <v>=40.17*100000000</v>
      </c>
      <c r="Z1487" s="1">
        <f>40.17*100000000</f>
        <v>4017000000</v>
      </c>
      <c r="AA1487" s="8">
        <f t="shared" si="734"/>
        <v>0.31317423994769533</v>
      </c>
      <c r="AB1487" s="6" t="s">
        <v>1102</v>
      </c>
      <c r="AC1487" s="6" t="str">
        <f t="shared" si="718"/>
        <v>=30.59*100000000</v>
      </c>
      <c r="AD1487" s="1">
        <f>30.59*100000000</f>
        <v>3059000000</v>
      </c>
      <c r="AE1487" s="8">
        <f t="shared" si="735"/>
        <v>1.431637519872814</v>
      </c>
      <c r="AF1487" s="6" t="s">
        <v>11884</v>
      </c>
      <c r="AG1487" s="6" t="str">
        <f t="shared" si="719"/>
        <v>=12.58*100000000</v>
      </c>
      <c r="AH1487" s="1">
        <f>12.58*100000000</f>
        <v>1258000000</v>
      </c>
      <c r="AI1487" s="8">
        <f t="shared" si="736"/>
        <v>-0.37288135593220334</v>
      </c>
      <c r="AJ1487" s="6" t="s">
        <v>8443</v>
      </c>
      <c r="AK1487" s="6" t="str">
        <f t="shared" si="720"/>
        <v>=20.06*100000000</v>
      </c>
      <c r="AL1487" s="1">
        <f>20.06*100000000</f>
        <v>2005999999.9999998</v>
      </c>
      <c r="AM1487" s="8">
        <f t="shared" si="737"/>
        <v>0.81538461538461515</v>
      </c>
      <c r="AN1487" s="6" t="s">
        <v>173</v>
      </c>
      <c r="AO1487" s="6" t="str">
        <f t="shared" si="721"/>
        <v>=11.05*100000000</v>
      </c>
      <c r="AP1487" s="1">
        <f>11.05*100000000</f>
        <v>1105000000</v>
      </c>
      <c r="AQ1487" s="8">
        <f t="shared" si="738"/>
        <v>0.66140430010524731</v>
      </c>
      <c r="AR1487" s="6" t="s">
        <v>14439</v>
      </c>
      <c r="AS1487" s="6" t="str">
        <f t="shared" si="722"/>
        <v>=6.651*100000000</v>
      </c>
      <c r="AT1487" s="1">
        <f>6.651*100000000</f>
        <v>665100000</v>
      </c>
      <c r="AU1487" s="8">
        <f t="shared" si="739"/>
        <v>0.8937927107061503</v>
      </c>
      <c r="AV1487" s="6" t="s">
        <v>3477</v>
      </c>
      <c r="AW1487" s="6" t="str">
        <f t="shared" si="723"/>
        <v>=3.512*100000000</v>
      </c>
      <c r="AX1487" s="1">
        <f>3.512*100000000</f>
        <v>351200000</v>
      </c>
      <c r="AY1487" s="10">
        <f t="shared" si="740"/>
        <v>-0.67541589648798517</v>
      </c>
      <c r="AZ1487" s="6" t="s">
        <v>6016</v>
      </c>
      <c r="BA1487" s="6" t="str">
        <f t="shared" si="724"/>
        <v>=10.82*100000000</v>
      </c>
      <c r="BB1487" s="1">
        <f>10.82*100000000</f>
        <v>1082000000</v>
      </c>
      <c r="BC1487" s="8">
        <f t="shared" si="741"/>
        <v>1.6416015625</v>
      </c>
      <c r="BD1487" s="6" t="s">
        <v>14440</v>
      </c>
      <c r="BE1487" s="6" t="str">
        <f t="shared" si="725"/>
        <v>=4.096*100000000</v>
      </c>
      <c r="BF1487" s="1">
        <f>4.096*100000000</f>
        <v>409600000</v>
      </c>
      <c r="BG1487" s="8">
        <f t="shared" si="742"/>
        <v>0.56395570828560504</v>
      </c>
      <c r="BH1487" s="6" t="s">
        <v>6620</v>
      </c>
      <c r="BI1487" s="6" t="str">
        <f t="shared" si="726"/>
        <v>=2.619*100000000</v>
      </c>
      <c r="BJ1487" s="1">
        <f>2.619*100000000</f>
        <v>261900000.00000003</v>
      </c>
      <c r="BK1487" s="6" t="s">
        <v>8257</v>
      </c>
      <c r="BL1487" s="1" t="str">
        <f t="shared" si="728"/>
        <v>=1.268*100000000</v>
      </c>
      <c r="BM1487" s="16">
        <f t="shared" si="743"/>
        <v>1.0654574132492116</v>
      </c>
      <c r="BN1487" s="1">
        <f>1.268*100000000</f>
        <v>126800000</v>
      </c>
    </row>
    <row r="1488" spans="1:66">
      <c r="A1488" s="18"/>
      <c r="B1488">
        <v>601872</v>
      </c>
      <c r="C1488" t="s">
        <v>58</v>
      </c>
      <c r="D1488" s="6" t="s">
        <v>14441</v>
      </c>
      <c r="E1488" s="7" t="str">
        <f t="shared" si="727"/>
        <v>=43.43*100000000</v>
      </c>
      <c r="F1488" s="1">
        <f>43.43*100000000</f>
        <v>4343000000</v>
      </c>
      <c r="G1488" s="8">
        <f t="shared" si="729"/>
        <v>1.5427400468384078</v>
      </c>
      <c r="H1488" s="6" t="s">
        <v>8596</v>
      </c>
      <c r="I1488" s="6" t="str">
        <f t="shared" si="713"/>
        <v>=17.08*100000000</v>
      </c>
      <c r="J1488" s="1">
        <f>17.08*100000000</f>
        <v>1707999999.9999998</v>
      </c>
      <c r="K1488" s="10">
        <f t="shared" si="730"/>
        <v>0.65664403491755552</v>
      </c>
      <c r="L1488" s="6" t="s">
        <v>472</v>
      </c>
      <c r="M1488" s="6" t="str">
        <f t="shared" si="714"/>
        <v>=10.31*100000000</v>
      </c>
      <c r="N1488" s="1">
        <f>10.31*100000000</f>
        <v>1031000000</v>
      </c>
      <c r="O1488" s="8">
        <f t="shared" si="731"/>
        <v>1.4670973917205072</v>
      </c>
      <c r="P1488" s="6" t="s">
        <v>2195</v>
      </c>
      <c r="Q1488" s="6" t="str">
        <f t="shared" si="715"/>
        <v>=4.179*100000000</v>
      </c>
      <c r="R1488" s="11">
        <f>4.179*100000000</f>
        <v>417900000</v>
      </c>
      <c r="S1488" s="8">
        <f t="shared" si="732"/>
        <v>-0.87177048174286598</v>
      </c>
      <c r="T1488" s="6" t="s">
        <v>14442</v>
      </c>
      <c r="U1488" s="6" t="str">
        <f t="shared" si="716"/>
        <v>=32.59*100000000</v>
      </c>
      <c r="V1488" s="1">
        <f>32.59*100000000</f>
        <v>3259000000.0000005</v>
      </c>
      <c r="W1488" s="8">
        <f t="shared" si="733"/>
        <v>-0.189101766608609</v>
      </c>
      <c r="X1488" s="6" t="s">
        <v>5254</v>
      </c>
      <c r="Y1488" s="6" t="str">
        <f t="shared" si="717"/>
        <v>=40.19*100000000</v>
      </c>
      <c r="Z1488" s="1">
        <f>40.19*100000000</f>
        <v>4019000000</v>
      </c>
      <c r="AA1488" s="8">
        <f t="shared" si="734"/>
        <v>0.31296961777196997</v>
      </c>
      <c r="AB1488" s="6" t="s">
        <v>8590</v>
      </c>
      <c r="AC1488" s="6" t="str">
        <f t="shared" si="718"/>
        <v>=30.61*100000000</v>
      </c>
      <c r="AD1488" s="1">
        <f>30.61*100000000</f>
        <v>3061000000</v>
      </c>
      <c r="AE1488" s="8">
        <f t="shared" si="735"/>
        <v>1.433227344992051</v>
      </c>
      <c r="AF1488" s="6" t="s">
        <v>11884</v>
      </c>
      <c r="AG1488" s="6" t="str">
        <f t="shared" si="719"/>
        <v>=12.58*100000000</v>
      </c>
      <c r="AH1488" s="1">
        <f>12.58*100000000</f>
        <v>1258000000</v>
      </c>
      <c r="AI1488" s="8">
        <f t="shared" si="736"/>
        <v>-0.37037037037037035</v>
      </c>
      <c r="AJ1488" s="6" t="s">
        <v>4540</v>
      </c>
      <c r="AK1488" s="6" t="str">
        <f t="shared" si="720"/>
        <v>=19.98*100000000</v>
      </c>
      <c r="AL1488" s="1">
        <f>19.98*100000000</f>
        <v>1998000000</v>
      </c>
      <c r="AM1488" s="8">
        <f t="shared" si="737"/>
        <v>0.80162308385933279</v>
      </c>
      <c r="AN1488" s="6" t="s">
        <v>4498</v>
      </c>
      <c r="AO1488" s="6" t="str">
        <f t="shared" si="721"/>
        <v>=11.09*100000000</v>
      </c>
      <c r="AP1488" s="1">
        <f>11.09*100000000</f>
        <v>1109000000</v>
      </c>
      <c r="AQ1488" s="8">
        <f t="shared" si="738"/>
        <v>0.65497686912401132</v>
      </c>
      <c r="AR1488" s="6" t="s">
        <v>14443</v>
      </c>
      <c r="AS1488" s="6" t="str">
        <f t="shared" si="722"/>
        <v>=6.701*100000000</v>
      </c>
      <c r="AT1488" s="1">
        <f>6.701*100000000</f>
        <v>670100000</v>
      </c>
      <c r="AU1488" s="8">
        <f t="shared" si="739"/>
        <v>0.90585893060295786</v>
      </c>
      <c r="AV1488" s="6" t="s">
        <v>2373</v>
      </c>
      <c r="AW1488" s="6" t="str">
        <f t="shared" si="723"/>
        <v>=3.516*100000000</v>
      </c>
      <c r="AX1488" s="1">
        <f>3.516*100000000</f>
        <v>351600000</v>
      </c>
      <c r="AY1488" s="10">
        <f t="shared" si="740"/>
        <v>-0.69767841788478069</v>
      </c>
      <c r="AZ1488" s="6" t="s">
        <v>12678</v>
      </c>
      <c r="BA1488" s="6" t="str">
        <f t="shared" si="724"/>
        <v>=11.63*100000000</v>
      </c>
      <c r="BB1488" s="1">
        <f>11.63*100000000</f>
        <v>1163000000</v>
      </c>
      <c r="BC1488" s="8">
        <f t="shared" si="741"/>
        <v>1.838662435928728</v>
      </c>
      <c r="BD1488" s="6" t="s">
        <v>10662</v>
      </c>
      <c r="BE1488" s="6" t="str">
        <f t="shared" si="725"/>
        <v>=4.097*100000000</v>
      </c>
      <c r="BF1488" s="1">
        <f>4.097*100000000</f>
        <v>409700000.00000006</v>
      </c>
      <c r="BG1488" s="8">
        <f t="shared" si="742"/>
        <v>0.5637404580152674</v>
      </c>
      <c r="BH1488" s="6" t="s">
        <v>2879</v>
      </c>
      <c r="BI1488" s="6" t="str">
        <f t="shared" si="726"/>
        <v>=2.620*100000000</v>
      </c>
      <c r="BJ1488" s="1">
        <f>2.62*100000000</f>
        <v>262000000</v>
      </c>
      <c r="BK1488" s="6" t="s">
        <v>4973</v>
      </c>
      <c r="BL1488" s="1" t="str">
        <f t="shared" si="728"/>
        <v>=1.259*100000000</v>
      </c>
      <c r="BM1488" s="16">
        <f t="shared" si="743"/>
        <v>1.0810166799046863</v>
      </c>
      <c r="BN1488" s="1">
        <f>1.259*100000000</f>
        <v>125899999.99999999</v>
      </c>
    </row>
    <row r="1489" spans="1:66">
      <c r="A1489" s="19"/>
      <c r="B1489">
        <v>601872</v>
      </c>
      <c r="C1489" t="s">
        <v>68</v>
      </c>
      <c r="D1489" s="6" t="s">
        <v>13838</v>
      </c>
      <c r="E1489" s="7" t="str">
        <f t="shared" si="727"/>
        <v>=36.59*100000000</v>
      </c>
      <c r="F1489" s="1">
        <f>36.59*100000000</f>
        <v>3659000000.0000005</v>
      </c>
      <c r="G1489" s="8">
        <f t="shared" si="729"/>
        <v>1.2656346749226013</v>
      </c>
      <c r="H1489" s="6" t="s">
        <v>4541</v>
      </c>
      <c r="I1489" s="6" t="str">
        <f t="shared" si="713"/>
        <v>=16.15*100000000</v>
      </c>
      <c r="J1489" s="1">
        <f>16.15*100000000</f>
        <v>1614999999.9999998</v>
      </c>
      <c r="K1489" s="10">
        <f t="shared" si="730"/>
        <v>0.65234295068549208</v>
      </c>
      <c r="L1489" s="6" t="s">
        <v>14444</v>
      </c>
      <c r="M1489" s="6" t="str">
        <f t="shared" si="714"/>
        <v>=9.774*100000000</v>
      </c>
      <c r="N1489" s="1">
        <f>9.774*100000000</f>
        <v>977399999.99999988</v>
      </c>
      <c r="O1489" s="8">
        <f t="shared" si="731"/>
        <v>1.4539291990961585</v>
      </c>
      <c r="P1489" s="6" t="s">
        <v>5128</v>
      </c>
      <c r="Q1489" s="6" t="str">
        <f t="shared" si="715"/>
        <v>=3.983*100000000</v>
      </c>
      <c r="R1489" s="11">
        <f>3.983*100000000</f>
        <v>398300000</v>
      </c>
      <c r="S1489" s="8">
        <f t="shared" si="732"/>
        <v>-0.86958087753765556</v>
      </c>
      <c r="T1489" s="6" t="s">
        <v>14445</v>
      </c>
      <c r="U1489" s="6" t="str">
        <f t="shared" si="716"/>
        <v>=30.54*100000000</v>
      </c>
      <c r="V1489" s="1">
        <f>30.54*100000000</f>
        <v>3054000000</v>
      </c>
      <c r="W1489" s="8">
        <f t="shared" si="733"/>
        <v>-0.23516153268219384</v>
      </c>
      <c r="X1489" s="6" t="s">
        <v>11681</v>
      </c>
      <c r="Y1489" s="6" t="str">
        <f t="shared" si="717"/>
        <v>=39.93*100000000</v>
      </c>
      <c r="Z1489" s="1">
        <f>39.93*100000000</f>
        <v>3993000000</v>
      </c>
      <c r="AA1489" s="8">
        <f t="shared" si="734"/>
        <v>0.31133004926108376</v>
      </c>
      <c r="AB1489" s="6" t="s">
        <v>14446</v>
      </c>
      <c r="AC1489" s="6" t="str">
        <f t="shared" si="718"/>
        <v>=30.45*100000000</v>
      </c>
      <c r="AD1489" s="1">
        <f>30.45*100000000</f>
        <v>3045000000</v>
      </c>
      <c r="AE1489" s="8">
        <f t="shared" si="735"/>
        <v>1.4262948207171315</v>
      </c>
      <c r="AF1489" s="6" t="s">
        <v>4766</v>
      </c>
      <c r="AG1489" s="6" t="str">
        <f t="shared" si="719"/>
        <v>=12.55*100000000</v>
      </c>
      <c r="AH1489" s="1">
        <f>12.55*100000000</f>
        <v>1255000000</v>
      </c>
      <c r="AI1489" s="8">
        <f t="shared" si="736"/>
        <v>-0.35508735868448099</v>
      </c>
      <c r="AJ1489" s="6" t="s">
        <v>2140</v>
      </c>
      <c r="AK1489" s="6" t="str">
        <f t="shared" si="720"/>
        <v>=19.46*100000000</v>
      </c>
      <c r="AL1489" s="1">
        <f>19.46*100000000</f>
        <v>1946000000</v>
      </c>
      <c r="AM1489" s="8">
        <f t="shared" si="737"/>
        <v>0.82209737827715357</v>
      </c>
      <c r="AN1489" s="6" t="s">
        <v>8251</v>
      </c>
      <c r="AO1489" s="6" t="str">
        <f t="shared" si="721"/>
        <v>=10.68*100000000</v>
      </c>
      <c r="AP1489" s="1">
        <f>10.68*100000000</f>
        <v>1068000000</v>
      </c>
      <c r="AQ1489" s="8">
        <f t="shared" si="738"/>
        <v>0.6589002795899348</v>
      </c>
      <c r="AR1489" s="6" t="s">
        <v>1313</v>
      </c>
      <c r="AS1489" s="6" t="str">
        <f t="shared" si="722"/>
        <v>=6.438*100000000</v>
      </c>
      <c r="AT1489" s="1">
        <f>6.438*100000000</f>
        <v>643800000</v>
      </c>
      <c r="AU1489" s="8">
        <f t="shared" si="739"/>
        <v>0.85</v>
      </c>
      <c r="AV1489" s="6" t="s">
        <v>14447</v>
      </c>
      <c r="AW1489" s="6" t="str">
        <f t="shared" si="723"/>
        <v>=3.480*100000000</v>
      </c>
      <c r="AX1489" s="1">
        <f>3.48*100000000</f>
        <v>348000000</v>
      </c>
      <c r="AY1489" s="10">
        <f t="shared" si="740"/>
        <v>-0.68073394495412842</v>
      </c>
      <c r="AZ1489" s="6" t="s">
        <v>7435</v>
      </c>
      <c r="BA1489" s="6" t="str">
        <f t="shared" si="724"/>
        <v>=10.90*100000000</v>
      </c>
      <c r="BB1489" s="1">
        <f>10.9*100000000</f>
        <v>1090000000</v>
      </c>
      <c r="BC1489" s="8">
        <f t="shared" si="741"/>
        <v>2.0362116991643453</v>
      </c>
      <c r="BD1489" s="6" t="s">
        <v>14448</v>
      </c>
      <c r="BE1489" s="6" t="str">
        <f t="shared" si="725"/>
        <v>=3.590*100000000</v>
      </c>
      <c r="BF1489" s="1">
        <f>3.59*100000000</f>
        <v>359000000</v>
      </c>
      <c r="BG1489" s="8">
        <f t="shared" si="742"/>
        <v>0.53945111492281328</v>
      </c>
      <c r="BH1489" s="6" t="s">
        <v>4018</v>
      </c>
      <c r="BI1489" s="6" t="str">
        <f t="shared" si="726"/>
        <v>=2.332*100000000</v>
      </c>
      <c r="BJ1489" s="1">
        <f>2.332*100000000</f>
        <v>233199999.99999997</v>
      </c>
      <c r="BK1489" s="6" t="s">
        <v>10000</v>
      </c>
      <c r="BL1489" s="1" t="str">
        <f t="shared" si="728"/>
        <v>=1.134*100000000</v>
      </c>
      <c r="BM1489" s="16">
        <f t="shared" si="743"/>
        <v>1.0564373897707231</v>
      </c>
      <c r="BN1489" s="1">
        <f>1.134*100000000</f>
        <v>113399999.99999999</v>
      </c>
    </row>
    <row r="1490" spans="1:66">
      <c r="A1490" s="17">
        <v>374</v>
      </c>
      <c r="B1490">
        <v>601878</v>
      </c>
      <c r="C1490" t="s">
        <v>31</v>
      </c>
      <c r="D1490" s="6" t="s">
        <v>14449</v>
      </c>
      <c r="E1490" s="7" t="str">
        <f t="shared" si="727"/>
        <v>=164.2*100000000</v>
      </c>
      <c r="F1490" s="1">
        <f>164.2*100000000</f>
        <v>16419999999.999998</v>
      </c>
      <c r="G1490" s="8">
        <f t="shared" si="729"/>
        <v>0.35927152317880778</v>
      </c>
      <c r="H1490" s="6" t="s">
        <v>1170</v>
      </c>
      <c r="I1490" s="6" t="str">
        <f t="shared" si="713"/>
        <v>=120.8*100000000</v>
      </c>
      <c r="J1490" s="1">
        <f>120.8*100000000</f>
        <v>12080000000</v>
      </c>
      <c r="K1490" s="10">
        <f t="shared" si="730"/>
        <v>0.69448730537242231</v>
      </c>
      <c r="L1490" s="6" t="s">
        <v>14450</v>
      </c>
      <c r="M1490" s="6" t="str">
        <f t="shared" si="714"/>
        <v>=71.29*100000000</v>
      </c>
      <c r="N1490" s="1">
        <f>71.29*100000000</f>
        <v>7129000000.000001</v>
      </c>
      <c r="O1490" s="8">
        <f t="shared" si="731"/>
        <v>1.186139221097823</v>
      </c>
      <c r="P1490" s="6" t="s">
        <v>14451</v>
      </c>
      <c r="Q1490" s="6" t="str">
        <f t="shared" si="715"/>
        <v>=32.61*100000000</v>
      </c>
      <c r="R1490" s="11">
        <f>32.61*100000000</f>
        <v>3261000000</v>
      </c>
      <c r="S1490" s="8">
        <f t="shared" si="732"/>
        <v>-0.69351503759398492</v>
      </c>
      <c r="T1490" s="6" t="s">
        <v>536</v>
      </c>
      <c r="U1490" s="6" t="str">
        <f t="shared" si="716"/>
        <v>=106.4*100000000</v>
      </c>
      <c r="V1490" s="1">
        <f>106.4*100000000</f>
        <v>10640000000</v>
      </c>
      <c r="W1490" s="8">
        <f t="shared" si="733"/>
        <v>0.50049358341559724</v>
      </c>
      <c r="X1490" s="6" t="s">
        <v>12856</v>
      </c>
      <c r="Y1490" s="6" t="str">
        <f t="shared" si="717"/>
        <v>=70.91*100000000</v>
      </c>
      <c r="Z1490" s="1">
        <f>70.91*100000000</f>
        <v>7091000000</v>
      </c>
      <c r="AA1490" s="8">
        <f t="shared" si="734"/>
        <v>0.57999108734402849</v>
      </c>
      <c r="AB1490" s="6" t="s">
        <v>5399</v>
      </c>
      <c r="AC1490" s="6" t="str">
        <f t="shared" si="718"/>
        <v>=44.88*100000000</v>
      </c>
      <c r="AD1490" s="1">
        <f>44.88*100000000</f>
        <v>4488000000</v>
      </c>
      <c r="AE1490" s="8">
        <f t="shared" si="735"/>
        <v>1.3821656050955413</v>
      </c>
      <c r="AF1490" s="6" t="s">
        <v>12297</v>
      </c>
      <c r="AG1490" s="6" t="str">
        <f t="shared" si="719"/>
        <v>=18.84*100000000</v>
      </c>
      <c r="AH1490" s="1">
        <f>18.84*100000000</f>
        <v>1884000000</v>
      </c>
      <c r="AI1490" s="8">
        <f t="shared" si="736"/>
        <v>-0.66707898922071041</v>
      </c>
      <c r="AJ1490" s="6" t="s">
        <v>14452</v>
      </c>
      <c r="AK1490" s="6" t="str">
        <f t="shared" si="720"/>
        <v>=56.59*100000000</v>
      </c>
      <c r="AL1490" s="1">
        <f>56.59*100000000</f>
        <v>5659000000</v>
      </c>
      <c r="AM1490" s="8">
        <f t="shared" si="737"/>
        <v>0.37755598831548198</v>
      </c>
      <c r="AN1490" s="6" t="s">
        <v>2463</v>
      </c>
      <c r="AO1490" s="6" t="str">
        <f t="shared" si="721"/>
        <v>=41.08*100000000</v>
      </c>
      <c r="AP1490" s="1">
        <f>41.08*100000000</f>
        <v>4108000000</v>
      </c>
      <c r="AQ1490" s="8">
        <f t="shared" si="738"/>
        <v>0.53512705530642746</v>
      </c>
      <c r="AR1490" s="6" t="s">
        <v>11635</v>
      </c>
      <c r="AS1490" s="6" t="str">
        <f t="shared" si="722"/>
        <v>=26.76*100000000</v>
      </c>
      <c r="AT1490" s="1">
        <f>26.76*100000000</f>
        <v>2676000000</v>
      </c>
      <c r="AU1490" s="8">
        <f t="shared" si="739"/>
        <v>1.1476725521669342</v>
      </c>
      <c r="AV1490" s="6" t="s">
        <v>5722</v>
      </c>
      <c r="AW1490" s="6" t="str">
        <f t="shared" si="723"/>
        <v>=12.46*100000000</v>
      </c>
      <c r="AX1490" s="1">
        <f>12.46*100000000</f>
        <v>1246000000</v>
      </c>
      <c r="AY1490" s="10">
        <f t="shared" si="740"/>
        <v>-0.662787550744249</v>
      </c>
      <c r="AZ1490" s="6" t="s">
        <v>14453</v>
      </c>
      <c r="BA1490" s="6" t="str">
        <f t="shared" si="724"/>
        <v>=36.95*100000000</v>
      </c>
      <c r="BB1490" s="1">
        <f>36.95*100000000</f>
        <v>3695000000.0000005</v>
      </c>
      <c r="BC1490" s="8">
        <f t="shared" si="741"/>
        <v>0.41408342900880235</v>
      </c>
      <c r="BD1490" s="6" t="s">
        <v>6010</v>
      </c>
      <c r="BE1490" s="6" t="str">
        <f t="shared" si="725"/>
        <v>=26.13*100000000</v>
      </c>
      <c r="BF1490" s="1">
        <f>26.13*100000000</f>
        <v>2613000000</v>
      </c>
      <c r="BG1490" s="8">
        <f t="shared" si="742"/>
        <v>0.4812925170068027</v>
      </c>
      <c r="BH1490" s="6" t="s">
        <v>2626</v>
      </c>
      <c r="BI1490" s="6" t="str">
        <f t="shared" si="726"/>
        <v>=17.64*100000000</v>
      </c>
      <c r="BJ1490" s="1">
        <f>17.64*100000000</f>
        <v>1764000000</v>
      </c>
      <c r="BK1490" s="6" t="s">
        <v>14454</v>
      </c>
      <c r="BL1490" s="1" t="str">
        <f t="shared" si="728"/>
        <v>=8.108*100000000</v>
      </c>
      <c r="BM1490" s="16">
        <f t="shared" si="743"/>
        <v>1.1756290083867784</v>
      </c>
      <c r="BN1490" s="1">
        <f>8.108*100000000</f>
        <v>810800000</v>
      </c>
    </row>
    <row r="1491" spans="1:66">
      <c r="A1491" s="18"/>
      <c r="B1491">
        <v>601878</v>
      </c>
      <c r="C1491" t="s">
        <v>48</v>
      </c>
      <c r="D1491" s="6" t="s">
        <v>7847</v>
      </c>
      <c r="E1491" s="7" t="str">
        <f t="shared" si="727"/>
        <v>=28.91*100000000</v>
      </c>
      <c r="F1491" s="1">
        <f>28.91*100000000</f>
        <v>2891000000</v>
      </c>
      <c r="G1491" s="8">
        <f t="shared" si="729"/>
        <v>0.38723608445297503</v>
      </c>
      <c r="H1491" s="6" t="s">
        <v>9230</v>
      </c>
      <c r="I1491" s="6" t="str">
        <f t="shared" si="713"/>
        <v>=20.84*100000000</v>
      </c>
      <c r="J1491" s="1">
        <f>20.84*100000000</f>
        <v>2084000000</v>
      </c>
      <c r="K1491" s="10">
        <f t="shared" si="730"/>
        <v>0.82167832167832167</v>
      </c>
      <c r="L1491" s="6" t="s">
        <v>9336</v>
      </c>
      <c r="M1491" s="6" t="str">
        <f t="shared" si="714"/>
        <v>=11.44*100000000</v>
      </c>
      <c r="N1491" s="1">
        <f>11.44*100000000</f>
        <v>1144000000</v>
      </c>
      <c r="O1491" s="8">
        <f t="shared" si="731"/>
        <v>1.0334162815499466</v>
      </c>
      <c r="P1491" s="6" t="s">
        <v>2759</v>
      </c>
      <c r="Q1491" s="6" t="str">
        <f t="shared" si="715"/>
        <v>=5.626*100000000</v>
      </c>
      <c r="R1491" s="11">
        <f>5.626*100000000</f>
        <v>562600000</v>
      </c>
      <c r="S1491" s="8">
        <f t="shared" si="732"/>
        <v>-0.74109526000920389</v>
      </c>
      <c r="T1491" s="6" t="s">
        <v>14022</v>
      </c>
      <c r="U1491" s="6" t="str">
        <f t="shared" si="716"/>
        <v>=21.73*100000000</v>
      </c>
      <c r="V1491" s="1">
        <f>21.73*100000000</f>
        <v>2173000000</v>
      </c>
      <c r="W1491" s="8">
        <f t="shared" si="733"/>
        <v>0.57349746560463433</v>
      </c>
      <c r="X1491" s="6" t="s">
        <v>2634</v>
      </c>
      <c r="Y1491" s="6" t="str">
        <f t="shared" si="717"/>
        <v>=13.81*100000000</v>
      </c>
      <c r="Z1491" s="1">
        <f>13.81*100000000</f>
        <v>1381000000</v>
      </c>
      <c r="AA1491" s="8">
        <f t="shared" si="734"/>
        <v>0.56985335909969281</v>
      </c>
      <c r="AB1491" s="6" t="s">
        <v>14231</v>
      </c>
      <c r="AC1491" s="6" t="str">
        <f t="shared" si="718"/>
        <v>=8.797*100000000</v>
      </c>
      <c r="AD1491" s="1">
        <f>8.797*100000000</f>
        <v>879700000.00000012</v>
      </c>
      <c r="AE1491" s="8">
        <f t="shared" si="735"/>
        <v>1.0227638537594852</v>
      </c>
      <c r="AF1491" s="6" t="s">
        <v>5675</v>
      </c>
      <c r="AG1491" s="6" t="str">
        <f t="shared" si="719"/>
        <v>=4.349*100000000</v>
      </c>
      <c r="AH1491" s="1">
        <f>4.349*100000000</f>
        <v>434900000</v>
      </c>
      <c r="AI1491" s="8">
        <f t="shared" si="736"/>
        <v>-0.66416988416988421</v>
      </c>
      <c r="AJ1491" s="6" t="s">
        <v>451</v>
      </c>
      <c r="AK1491" s="6" t="str">
        <f t="shared" si="720"/>
        <v>=12.95*100000000</v>
      </c>
      <c r="AL1491" s="1">
        <f>12.95*100000000</f>
        <v>1295000000</v>
      </c>
      <c r="AM1491" s="8">
        <f t="shared" si="737"/>
        <v>0.3630144195347858</v>
      </c>
      <c r="AN1491" s="6" t="s">
        <v>14455</v>
      </c>
      <c r="AO1491" s="6" t="str">
        <f t="shared" si="721"/>
        <v>=9.501*100000000</v>
      </c>
      <c r="AP1491" s="1">
        <f>9.501*100000000</f>
        <v>950100000</v>
      </c>
      <c r="AQ1491" s="8">
        <f t="shared" si="738"/>
        <v>0.49199120603015073</v>
      </c>
      <c r="AR1491" s="6" t="s">
        <v>14456</v>
      </c>
      <c r="AS1491" s="6" t="str">
        <f t="shared" si="722"/>
        <v>=6.368*100000000</v>
      </c>
      <c r="AT1491" s="1">
        <f>6.368*100000000</f>
        <v>636800000</v>
      </c>
      <c r="AU1491" s="8">
        <f t="shared" si="739"/>
        <v>0.7508935936211163</v>
      </c>
      <c r="AV1491" s="6" t="s">
        <v>1471</v>
      </c>
      <c r="AW1491" s="6" t="str">
        <f t="shared" si="723"/>
        <v>=3.637*100000000</v>
      </c>
      <c r="AX1491" s="1">
        <f>3.637*100000000</f>
        <v>363700000</v>
      </c>
      <c r="AY1491" s="10">
        <f t="shared" si="740"/>
        <v>-0.62921806504230804</v>
      </c>
      <c r="AZ1491" s="6" t="s">
        <v>3913</v>
      </c>
      <c r="BA1491" s="6" t="str">
        <f t="shared" si="724"/>
        <v>=9.809*100000000</v>
      </c>
      <c r="BB1491" s="1">
        <f>9.809*100000000</f>
        <v>980899999.99999988</v>
      </c>
      <c r="BC1491" s="8">
        <f t="shared" si="741"/>
        <v>0.32125538793103431</v>
      </c>
      <c r="BD1491" s="6" t="s">
        <v>14457</v>
      </c>
      <c r="BE1491" s="6" t="str">
        <f t="shared" si="725"/>
        <v>=7.424*100000000</v>
      </c>
      <c r="BF1491" s="1">
        <f>7.424*100000000</f>
        <v>742400000</v>
      </c>
      <c r="BG1491" s="8">
        <f t="shared" si="742"/>
        <v>0.38429983218347924</v>
      </c>
      <c r="BH1491" s="6" t="s">
        <v>14458</v>
      </c>
      <c r="BI1491" s="6" t="str">
        <f t="shared" si="726"/>
        <v>=5.363*100000000</v>
      </c>
      <c r="BJ1491" s="1">
        <f>5.363*100000000</f>
        <v>536300000.00000006</v>
      </c>
      <c r="BK1491" s="6" t="s">
        <v>12024</v>
      </c>
      <c r="BL1491" s="1" t="str">
        <f t="shared" si="728"/>
        <v>=2.645*100000000</v>
      </c>
      <c r="BM1491" s="16">
        <f t="shared" si="743"/>
        <v>1.0275992438563328</v>
      </c>
      <c r="BN1491" s="1">
        <f>2.645*100000000</f>
        <v>264500000</v>
      </c>
    </row>
    <row r="1492" spans="1:66">
      <c r="A1492" s="18"/>
      <c r="B1492">
        <v>601878</v>
      </c>
      <c r="C1492" t="s">
        <v>58</v>
      </c>
      <c r="D1492" s="6" t="s">
        <v>14459</v>
      </c>
      <c r="E1492" s="7" t="str">
        <f t="shared" si="727"/>
        <v>=29.16*100000000</v>
      </c>
      <c r="F1492" s="1">
        <f>29.16*100000000</f>
        <v>2916000000</v>
      </c>
      <c r="G1492" s="8">
        <f t="shared" si="729"/>
        <v>0.3780718336483932</v>
      </c>
      <c r="H1492" s="6" t="s">
        <v>14460</v>
      </c>
      <c r="I1492" s="6" t="str">
        <f t="shared" si="713"/>
        <v>=21.16*100000000</v>
      </c>
      <c r="J1492" s="1">
        <f>21.16*100000000</f>
        <v>2116000000</v>
      </c>
      <c r="K1492" s="10">
        <f t="shared" si="730"/>
        <v>0.80546075085324231</v>
      </c>
      <c r="L1492" s="6" t="s">
        <v>13730</v>
      </c>
      <c r="M1492" s="6" t="str">
        <f t="shared" si="714"/>
        <v>=11.72*100000000</v>
      </c>
      <c r="N1492" s="1">
        <f>11.72*100000000</f>
        <v>1172000000</v>
      </c>
      <c r="O1492" s="8">
        <f t="shared" si="731"/>
        <v>1.0842966388049085</v>
      </c>
      <c r="P1492" s="6" t="s">
        <v>14461</v>
      </c>
      <c r="Q1492" s="6" t="str">
        <f t="shared" si="715"/>
        <v>=5.623*100000000</v>
      </c>
      <c r="R1492" s="11">
        <f>5.623*100000000</f>
        <v>562300000</v>
      </c>
      <c r="S1492" s="8">
        <f t="shared" si="732"/>
        <v>-0.74039704524469063</v>
      </c>
      <c r="T1492" s="6" t="s">
        <v>5374</v>
      </c>
      <c r="U1492" s="6" t="str">
        <f t="shared" si="716"/>
        <v>=21.66*100000000</v>
      </c>
      <c r="V1492" s="1">
        <f>21.66*100000000</f>
        <v>2166000000</v>
      </c>
      <c r="W1492" s="8">
        <f t="shared" si="733"/>
        <v>0.57184325108853407</v>
      </c>
      <c r="X1492" s="6" t="s">
        <v>6211</v>
      </c>
      <c r="Y1492" s="6" t="str">
        <f t="shared" si="717"/>
        <v>=13.78*100000000</v>
      </c>
      <c r="Z1492" s="1">
        <f>13.78*100000000</f>
        <v>1378000000</v>
      </c>
      <c r="AA1492" s="8">
        <f t="shared" si="734"/>
        <v>0.5725208262010727</v>
      </c>
      <c r="AB1492" s="6" t="s">
        <v>14462</v>
      </c>
      <c r="AC1492" s="6" t="str">
        <f t="shared" si="718"/>
        <v>=8.763*100000000</v>
      </c>
      <c r="AD1492" s="1">
        <f>8.763*100000000</f>
        <v>876300000</v>
      </c>
      <c r="AE1492" s="8">
        <f t="shared" si="735"/>
        <v>1.0517443221727933</v>
      </c>
      <c r="AF1492" s="6" t="s">
        <v>13674</v>
      </c>
      <c r="AG1492" s="6" t="str">
        <f t="shared" si="719"/>
        <v>=4.271*100000000</v>
      </c>
      <c r="AH1492" s="1">
        <f>4.271*100000000</f>
        <v>427100000</v>
      </c>
      <c r="AI1492" s="8">
        <f t="shared" si="736"/>
        <v>-0.66865787432117918</v>
      </c>
      <c r="AJ1492" s="6" t="s">
        <v>7765</v>
      </c>
      <c r="AK1492" s="6" t="str">
        <f t="shared" si="720"/>
        <v>=12.89*100000000</v>
      </c>
      <c r="AL1492" s="1">
        <f>12.89*100000000</f>
        <v>1289000000</v>
      </c>
      <c r="AM1492" s="8">
        <f t="shared" si="737"/>
        <v>0.35784262087854207</v>
      </c>
      <c r="AN1492" s="6" t="s">
        <v>14463</v>
      </c>
      <c r="AO1492" s="6" t="str">
        <f t="shared" si="721"/>
        <v>=9.493*100000000</v>
      </c>
      <c r="AP1492" s="1">
        <f>9.493*100000000</f>
        <v>949300000</v>
      </c>
      <c r="AQ1492" s="8">
        <f t="shared" si="738"/>
        <v>0.48816428907352249</v>
      </c>
      <c r="AR1492" s="6" t="s">
        <v>5036</v>
      </c>
      <c r="AS1492" s="6" t="str">
        <f t="shared" si="722"/>
        <v>=6.379*100000000</v>
      </c>
      <c r="AT1492" s="1">
        <f>6.379*100000000</f>
        <v>637900000</v>
      </c>
      <c r="AU1492" s="8">
        <f t="shared" si="739"/>
        <v>0.74384909786768727</v>
      </c>
      <c r="AV1492" s="6" t="s">
        <v>8845</v>
      </c>
      <c r="AW1492" s="6" t="str">
        <f t="shared" si="723"/>
        <v>=3.658*100000000</v>
      </c>
      <c r="AX1492" s="1">
        <f>3.658*100000000</f>
        <v>365800000</v>
      </c>
      <c r="AY1492" s="10">
        <f t="shared" si="740"/>
        <v>-0.63091514478861865</v>
      </c>
      <c r="AZ1492" s="6" t="s">
        <v>9297</v>
      </c>
      <c r="BA1492" s="6" t="str">
        <f t="shared" si="724"/>
        <v>=9.911*100000000</v>
      </c>
      <c r="BB1492" s="1">
        <f>9.911*100000000</f>
        <v>991100000</v>
      </c>
      <c r="BC1492" s="8">
        <f t="shared" si="741"/>
        <v>0.32624113475177308</v>
      </c>
      <c r="BD1492" s="6" t="s">
        <v>8397</v>
      </c>
      <c r="BE1492" s="6" t="str">
        <f t="shared" si="725"/>
        <v>=7.473*100000000</v>
      </c>
      <c r="BF1492" s="1">
        <f>7.473*100000000</f>
        <v>747300000</v>
      </c>
      <c r="BG1492" s="8">
        <f t="shared" si="742"/>
        <v>0.3813308687615527</v>
      </c>
      <c r="BH1492" s="6" t="s">
        <v>6336</v>
      </c>
      <c r="BI1492" s="6" t="str">
        <f t="shared" si="726"/>
        <v>=5.410*100000000</v>
      </c>
      <c r="BJ1492" s="1">
        <f>5.41*100000000</f>
        <v>541000000</v>
      </c>
      <c r="BK1492" s="6" t="s">
        <v>10952</v>
      </c>
      <c r="BL1492" s="1" t="str">
        <f t="shared" si="728"/>
        <v>=2.673*100000000</v>
      </c>
      <c r="BM1492" s="16">
        <f t="shared" si="743"/>
        <v>1.0239431350542461</v>
      </c>
      <c r="BN1492" s="1">
        <f>2.673*100000000</f>
        <v>267300000</v>
      </c>
    </row>
    <row r="1493" spans="1:66">
      <c r="A1493" s="19"/>
      <c r="B1493">
        <v>601878</v>
      </c>
      <c r="C1493" t="s">
        <v>68</v>
      </c>
      <c r="D1493" s="6" t="s">
        <v>3344</v>
      </c>
      <c r="E1493" s="7" t="str">
        <f t="shared" si="727"/>
        <v>=21.96*100000000</v>
      </c>
      <c r="F1493" s="1">
        <f>21.96*100000000</f>
        <v>2196000000</v>
      </c>
      <c r="G1493" s="8">
        <f t="shared" si="729"/>
        <v>0.38287153652392947</v>
      </c>
      <c r="H1493" s="6" t="s">
        <v>13999</v>
      </c>
      <c r="I1493" s="6" t="str">
        <f t="shared" si="713"/>
        <v>=15.88*100000000</v>
      </c>
      <c r="J1493" s="1">
        <f>15.88*100000000</f>
        <v>1588000000</v>
      </c>
      <c r="K1493" s="10">
        <f t="shared" si="730"/>
        <v>0.80824413573217946</v>
      </c>
      <c r="L1493" s="6" t="s">
        <v>14464</v>
      </c>
      <c r="M1493" s="6" t="str">
        <f t="shared" si="714"/>
        <v>=8.782*100000000</v>
      </c>
      <c r="N1493" s="1">
        <f>8.782*100000000</f>
        <v>878200000</v>
      </c>
      <c r="O1493" s="8">
        <f t="shared" si="731"/>
        <v>1.0859857482185273</v>
      </c>
      <c r="P1493" s="6" t="s">
        <v>8577</v>
      </c>
      <c r="Q1493" s="6" t="str">
        <f t="shared" si="715"/>
        <v>=4.210*100000000</v>
      </c>
      <c r="R1493" s="11">
        <f>4.21*100000000</f>
        <v>421000000</v>
      </c>
      <c r="S1493" s="8">
        <f t="shared" si="732"/>
        <v>-0.74124154886293792</v>
      </c>
      <c r="T1493" s="6" t="s">
        <v>2636</v>
      </c>
      <c r="U1493" s="6" t="str">
        <f t="shared" si="716"/>
        <v>=16.27*100000000</v>
      </c>
      <c r="V1493" s="1">
        <f>16.27*100000000</f>
        <v>1627000000</v>
      </c>
      <c r="W1493" s="8">
        <f t="shared" si="733"/>
        <v>0.58422590068159685</v>
      </c>
      <c r="X1493" s="6" t="s">
        <v>11069</v>
      </c>
      <c r="Y1493" s="6" t="str">
        <f t="shared" si="717"/>
        <v>=10.27*100000000</v>
      </c>
      <c r="Z1493" s="1">
        <f>10.27*100000000</f>
        <v>1027000000</v>
      </c>
      <c r="AA1493" s="8">
        <f t="shared" si="734"/>
        <v>0.56889703635808131</v>
      </c>
      <c r="AB1493" s="6" t="s">
        <v>14465</v>
      </c>
      <c r="AC1493" s="6" t="str">
        <f t="shared" si="718"/>
        <v>=6.546*100000000</v>
      </c>
      <c r="AD1493" s="1">
        <f>6.546*100000000</f>
        <v>654600000</v>
      </c>
      <c r="AE1493" s="8">
        <f t="shared" si="735"/>
        <v>1.0507518796992481</v>
      </c>
      <c r="AF1493" s="6" t="s">
        <v>11314</v>
      </c>
      <c r="AG1493" s="6" t="str">
        <f t="shared" si="719"/>
        <v>=3.192*100000000</v>
      </c>
      <c r="AH1493" s="1">
        <f>3.192*100000000</f>
        <v>319200000</v>
      </c>
      <c r="AI1493" s="8">
        <f t="shared" si="736"/>
        <v>-0.67011161637040095</v>
      </c>
      <c r="AJ1493" s="6" t="s">
        <v>9727</v>
      </c>
      <c r="AK1493" s="6" t="str">
        <f t="shared" si="720"/>
        <v>=9.676*100000000</v>
      </c>
      <c r="AL1493" s="1">
        <f>9.676*100000000</f>
        <v>967600000</v>
      </c>
      <c r="AM1493" s="8">
        <f t="shared" si="737"/>
        <v>0.36493158414444915</v>
      </c>
      <c r="AN1493" s="6" t="s">
        <v>14466</v>
      </c>
      <c r="AO1493" s="6" t="str">
        <f t="shared" si="721"/>
        <v>=7.089*100000000</v>
      </c>
      <c r="AP1493" s="1">
        <f>7.089*100000000</f>
        <v>708900000</v>
      </c>
      <c r="AQ1493" s="8">
        <f t="shared" si="738"/>
        <v>0.47288593392894246</v>
      </c>
      <c r="AR1493" s="6" t="s">
        <v>9934</v>
      </c>
      <c r="AS1493" s="6" t="str">
        <f t="shared" si="722"/>
        <v>=4.813*100000000</v>
      </c>
      <c r="AT1493" s="1">
        <f>4.813*100000000</f>
        <v>481300000</v>
      </c>
      <c r="AU1493" s="8">
        <f t="shared" si="739"/>
        <v>0.76171303074670571</v>
      </c>
      <c r="AV1493" s="6" t="s">
        <v>13359</v>
      </c>
      <c r="AW1493" s="6" t="str">
        <f t="shared" si="723"/>
        <v>=2.732*100000000</v>
      </c>
      <c r="AX1493" s="1">
        <f>2.732*100000000</f>
        <v>273200000</v>
      </c>
      <c r="AY1493" s="10">
        <f t="shared" si="740"/>
        <v>-0.62930800542740839</v>
      </c>
      <c r="AZ1493" s="6" t="s">
        <v>14467</v>
      </c>
      <c r="BA1493" s="6" t="str">
        <f t="shared" si="724"/>
        <v>=7.370*100000000</v>
      </c>
      <c r="BB1493" s="1">
        <f>7.37*100000000</f>
        <v>737000000</v>
      </c>
      <c r="BC1493" s="8">
        <f t="shared" si="741"/>
        <v>0.31162128492614344</v>
      </c>
      <c r="BD1493" s="6" t="s">
        <v>9927</v>
      </c>
      <c r="BE1493" s="6" t="str">
        <f t="shared" si="725"/>
        <v>=5.619*100000000</v>
      </c>
      <c r="BF1493" s="1">
        <f>5.619*100000000</f>
        <v>561900000</v>
      </c>
      <c r="BG1493" s="8">
        <f t="shared" si="742"/>
        <v>0.40089753178758414</v>
      </c>
      <c r="BH1493" s="6" t="s">
        <v>14468</v>
      </c>
      <c r="BI1493" s="6" t="str">
        <f t="shared" si="726"/>
        <v>=4.011*100000000</v>
      </c>
      <c r="BJ1493" s="1">
        <f>4.011*100000000</f>
        <v>401100000</v>
      </c>
      <c r="BK1493" s="6" t="s">
        <v>14469</v>
      </c>
      <c r="BL1493" s="1" t="str">
        <f t="shared" si="728"/>
        <v>=2.000*100000000</v>
      </c>
      <c r="BM1493" s="16">
        <f t="shared" si="743"/>
        <v>1.0055000000000001</v>
      </c>
      <c r="BN1493" s="1">
        <f>2*100000000</f>
        <v>200000000</v>
      </c>
    </row>
    <row r="1494" spans="1:66">
      <c r="A1494" s="17">
        <v>375</v>
      </c>
      <c r="B1494">
        <v>601880</v>
      </c>
      <c r="C1494" t="s">
        <v>31</v>
      </c>
      <c r="D1494" s="6" t="s">
        <v>13487</v>
      </c>
      <c r="E1494" s="7" t="str">
        <f t="shared" si="727"/>
        <v>=123.5*100000000</v>
      </c>
      <c r="F1494" s="1">
        <f>123.5*100000000</f>
        <v>12350000000</v>
      </c>
      <c r="G1494" s="8">
        <f t="shared" si="729"/>
        <v>0.4215009208103131</v>
      </c>
      <c r="H1494" s="6" t="s">
        <v>14470</v>
      </c>
      <c r="I1494" s="6" t="str">
        <f t="shared" si="713"/>
        <v>=86.88*100000000</v>
      </c>
      <c r="J1494" s="1">
        <f>86.88*100000000</f>
        <v>8688000000</v>
      </c>
      <c r="K1494" s="10">
        <f t="shared" si="730"/>
        <v>0.49047864127637675</v>
      </c>
      <c r="L1494" s="6" t="s">
        <v>13534</v>
      </c>
      <c r="M1494" s="6" t="str">
        <f t="shared" si="714"/>
        <v>=58.29*100000000</v>
      </c>
      <c r="N1494" s="1">
        <f>58.29*100000000</f>
        <v>5829000000</v>
      </c>
      <c r="O1494" s="8">
        <f t="shared" si="731"/>
        <v>1.0997838616714697</v>
      </c>
      <c r="P1494" s="6" t="s">
        <v>8994</v>
      </c>
      <c r="Q1494" s="6" t="str">
        <f t="shared" si="715"/>
        <v>=27.76*100000000</v>
      </c>
      <c r="R1494" s="11">
        <f>27.76*100000000</f>
        <v>2776000000</v>
      </c>
      <c r="S1494" s="8">
        <f t="shared" si="732"/>
        <v>-0.77095709570957094</v>
      </c>
      <c r="T1494" s="6" t="s">
        <v>14471</v>
      </c>
      <c r="U1494" s="6" t="str">
        <f t="shared" si="716"/>
        <v>=121.2*100000000</v>
      </c>
      <c r="V1494" s="1">
        <f>121.2*100000000</f>
        <v>12120000000</v>
      </c>
      <c r="W1494" s="8">
        <f t="shared" si="733"/>
        <v>0.42621793363144267</v>
      </c>
      <c r="X1494" s="6" t="s">
        <v>14472</v>
      </c>
      <c r="Y1494" s="6" t="str">
        <f t="shared" si="717"/>
        <v>=84.98*100000000</v>
      </c>
      <c r="Z1494" s="1">
        <f>84.98*100000000</f>
        <v>8498000000</v>
      </c>
      <c r="AA1494" s="8">
        <f t="shared" si="734"/>
        <v>0.51885612153708671</v>
      </c>
      <c r="AB1494" s="6" t="s">
        <v>14473</v>
      </c>
      <c r="AC1494" s="6" t="str">
        <f t="shared" si="718"/>
        <v>=55.95*100000000</v>
      </c>
      <c r="AD1494" s="1">
        <f>55.95*100000000</f>
        <v>5595000000</v>
      </c>
      <c r="AE1494" s="8">
        <f t="shared" si="735"/>
        <v>1.1097285067873304</v>
      </c>
      <c r="AF1494" s="6" t="s">
        <v>14474</v>
      </c>
      <c r="AG1494" s="6" t="str">
        <f t="shared" si="719"/>
        <v>=26.52*100000000</v>
      </c>
      <c r="AH1494" s="1">
        <f>26.52*100000000</f>
        <v>2652000000</v>
      </c>
      <c r="AI1494" s="8">
        <f t="shared" si="736"/>
        <v>-0.60096298525428826</v>
      </c>
      <c r="AJ1494" s="6" t="s">
        <v>14475</v>
      </c>
      <c r="AK1494" s="6" t="str">
        <f t="shared" si="720"/>
        <v>=66.46*100000000</v>
      </c>
      <c r="AL1494" s="1">
        <f>66.46*100000000</f>
        <v>6645999999.999999</v>
      </c>
      <c r="AM1494" s="8">
        <f t="shared" si="737"/>
        <v>0.35522022838499168</v>
      </c>
      <c r="AN1494" s="6" t="s">
        <v>14476</v>
      </c>
      <c r="AO1494" s="6" t="str">
        <f t="shared" si="721"/>
        <v>=49.04*100000000</v>
      </c>
      <c r="AP1494" s="1">
        <f>49.04*100000000</f>
        <v>4904000000</v>
      </c>
      <c r="AQ1494" s="8">
        <f t="shared" si="738"/>
        <v>0.52203600248292981</v>
      </c>
      <c r="AR1494" s="6" t="s">
        <v>12113</v>
      </c>
      <c r="AS1494" s="6" t="str">
        <f t="shared" si="722"/>
        <v>=32.22*100000000</v>
      </c>
      <c r="AT1494" s="1">
        <f>32.22*100000000</f>
        <v>3222000000</v>
      </c>
      <c r="AU1494" s="8">
        <f t="shared" si="739"/>
        <v>1.016270337922403</v>
      </c>
      <c r="AV1494" s="6" t="s">
        <v>3366</v>
      </c>
      <c r="AW1494" s="6" t="str">
        <f t="shared" si="723"/>
        <v>=15.98*100000000</v>
      </c>
      <c r="AX1494" s="1">
        <f>15.98*100000000</f>
        <v>1598000000</v>
      </c>
      <c r="AY1494" s="10">
        <f t="shared" si="740"/>
        <v>-0.76339946698252892</v>
      </c>
      <c r="AZ1494" s="6" t="s">
        <v>14477</v>
      </c>
      <c r="BA1494" s="6" t="str">
        <f t="shared" si="724"/>
        <v>=67.54*100000000</v>
      </c>
      <c r="BB1494" s="1">
        <f>67.54*100000000</f>
        <v>6754000000.000001</v>
      </c>
      <c r="BC1494" s="8">
        <f t="shared" si="741"/>
        <v>0.25913497390007473</v>
      </c>
      <c r="BD1494" s="6" t="s">
        <v>13826</v>
      </c>
      <c r="BE1494" s="6" t="str">
        <f t="shared" si="725"/>
        <v>=53.64*100000000</v>
      </c>
      <c r="BF1494" s="1">
        <f>53.64*100000000</f>
        <v>5364000000</v>
      </c>
      <c r="BG1494" s="8">
        <f t="shared" si="742"/>
        <v>0.46918652423993429</v>
      </c>
      <c r="BH1494" s="6" t="s">
        <v>14478</v>
      </c>
      <c r="BI1494" s="6" t="str">
        <f t="shared" si="726"/>
        <v>=36.51*100000000</v>
      </c>
      <c r="BJ1494" s="1">
        <f>36.51*100000000</f>
        <v>3651000000</v>
      </c>
      <c r="BK1494" s="6" t="s">
        <v>11994</v>
      </c>
      <c r="BL1494" s="1" t="str">
        <f t="shared" si="728"/>
        <v>=20.33*100000000</v>
      </c>
      <c r="BM1494" s="16">
        <f t="shared" si="743"/>
        <v>0.79586817511067409</v>
      </c>
      <c r="BN1494" s="1">
        <f>20.33*100000000</f>
        <v>2032999999.9999998</v>
      </c>
    </row>
    <row r="1495" spans="1:66">
      <c r="A1495" s="18"/>
      <c r="B1495">
        <v>601880</v>
      </c>
      <c r="C1495" t="s">
        <v>48</v>
      </c>
      <c r="D1495" s="6" t="s">
        <v>14479</v>
      </c>
      <c r="E1495" s="7" t="str">
        <f t="shared" si="727"/>
        <v>=28.65*100000000</v>
      </c>
      <c r="F1495" s="1">
        <f>28.65*100000000</f>
        <v>2865000000</v>
      </c>
      <c r="G1495" s="8">
        <f t="shared" si="729"/>
        <v>0.37872954764196343</v>
      </c>
      <c r="H1495" s="6" t="s">
        <v>4151</v>
      </c>
      <c r="I1495" s="6" t="str">
        <f t="shared" si="713"/>
        <v>=20.78*100000000</v>
      </c>
      <c r="J1495" s="1">
        <f>20.78*100000000</f>
        <v>2078000000</v>
      </c>
      <c r="K1495" s="10">
        <f t="shared" si="730"/>
        <v>0.5079825834542816</v>
      </c>
      <c r="L1495" s="6" t="s">
        <v>6211</v>
      </c>
      <c r="M1495" s="6" t="str">
        <f t="shared" si="714"/>
        <v>=13.78*100000000</v>
      </c>
      <c r="N1495" s="1">
        <f>13.78*100000000</f>
        <v>1378000000</v>
      </c>
      <c r="O1495" s="8">
        <f t="shared" si="731"/>
        <v>0.83831376734258267</v>
      </c>
      <c r="P1495" s="6" t="s">
        <v>14480</v>
      </c>
      <c r="Q1495" s="6" t="str">
        <f t="shared" si="715"/>
        <v>=7.496*100000000</v>
      </c>
      <c r="R1495" s="11">
        <f>7.496*100000000</f>
        <v>749600000</v>
      </c>
      <c r="S1495" s="8">
        <f t="shared" si="732"/>
        <v>-0.73762688134406718</v>
      </c>
      <c r="T1495" s="6" t="s">
        <v>14481</v>
      </c>
      <c r="U1495" s="6" t="str">
        <f t="shared" si="716"/>
        <v>=28.57*100000000</v>
      </c>
      <c r="V1495" s="1">
        <f>28.57*100000000</f>
        <v>2857000000</v>
      </c>
      <c r="W1495" s="8">
        <f t="shared" si="733"/>
        <v>0.29451744449478928</v>
      </c>
      <c r="X1495" s="6" t="s">
        <v>9556</v>
      </c>
      <c r="Y1495" s="6" t="str">
        <f t="shared" si="717"/>
        <v>=22.07*100000000</v>
      </c>
      <c r="Z1495" s="1">
        <f>22.07*100000000</f>
        <v>2207000000</v>
      </c>
      <c r="AA1495" s="8">
        <f t="shared" si="734"/>
        <v>0.58662832494608197</v>
      </c>
      <c r="AB1495" s="6" t="s">
        <v>10510</v>
      </c>
      <c r="AC1495" s="6" t="str">
        <f t="shared" si="718"/>
        <v>=13.91*100000000</v>
      </c>
      <c r="AD1495" s="1">
        <f>13.91*100000000</f>
        <v>1391000000</v>
      </c>
      <c r="AE1495" s="8">
        <f t="shared" si="735"/>
        <v>1.1877949040578799</v>
      </c>
      <c r="AF1495" s="6" t="s">
        <v>4537</v>
      </c>
      <c r="AG1495" s="6" t="str">
        <f t="shared" si="719"/>
        <v>=6.358*100000000</v>
      </c>
      <c r="AH1495" s="1">
        <f>6.358*100000000</f>
        <v>635800000</v>
      </c>
      <c r="AI1495" s="8">
        <f t="shared" si="736"/>
        <v>-0.4403169014084507</v>
      </c>
      <c r="AJ1495" s="6" t="s">
        <v>5038</v>
      </c>
      <c r="AK1495" s="6" t="str">
        <f t="shared" si="720"/>
        <v>=11.36*100000000</v>
      </c>
      <c r="AL1495" s="1">
        <f>11.36*100000000</f>
        <v>1136000000</v>
      </c>
      <c r="AM1495" s="8">
        <f t="shared" si="737"/>
        <v>0.36390923280105636</v>
      </c>
      <c r="AN1495" s="6" t="s">
        <v>9507</v>
      </c>
      <c r="AO1495" s="6" t="str">
        <f t="shared" si="721"/>
        <v>=8.329*100000000</v>
      </c>
      <c r="AP1495" s="1">
        <f>8.329*100000000</f>
        <v>832900000.00000012</v>
      </c>
      <c r="AQ1495" s="8">
        <f t="shared" si="738"/>
        <v>0.8398497901480011</v>
      </c>
      <c r="AR1495" s="6" t="s">
        <v>11898</v>
      </c>
      <c r="AS1495" s="6" t="str">
        <f t="shared" si="722"/>
        <v>=4.527*100000000</v>
      </c>
      <c r="AT1495" s="1">
        <f>4.527*100000000</f>
        <v>452700000</v>
      </c>
      <c r="AU1495" s="8">
        <f t="shared" si="739"/>
        <v>2.2899709302325579</v>
      </c>
      <c r="AV1495" s="6" t="s">
        <v>11291</v>
      </c>
      <c r="AW1495" s="6" t="str">
        <f t="shared" si="723"/>
        <v>=1.376*100000000</v>
      </c>
      <c r="AX1495" s="1">
        <f>1.376*100000000</f>
        <v>137600000</v>
      </c>
      <c r="AY1495" s="10">
        <f t="shared" si="740"/>
        <v>-0.83988829415871535</v>
      </c>
      <c r="AZ1495" s="6" t="s">
        <v>11591</v>
      </c>
      <c r="BA1495" s="6" t="str">
        <f t="shared" si="724"/>
        <v>=8.594*100000000</v>
      </c>
      <c r="BB1495" s="1">
        <f>8.594*100000000</f>
        <v>859400000</v>
      </c>
      <c r="BC1495" s="8">
        <f t="shared" si="741"/>
        <v>0.18685264466233945</v>
      </c>
      <c r="BD1495" s="6" t="s">
        <v>14482</v>
      </c>
      <c r="BE1495" s="6" t="str">
        <f t="shared" si="725"/>
        <v>=7.241*100000000</v>
      </c>
      <c r="BF1495" s="1">
        <f>7.241*100000000</f>
        <v>724100000</v>
      </c>
      <c r="BG1495" s="8">
        <f t="shared" si="742"/>
        <v>1.186292270531401</v>
      </c>
      <c r="BH1495" s="6" t="s">
        <v>6977</v>
      </c>
      <c r="BI1495" s="6" t="str">
        <f t="shared" si="726"/>
        <v>=3.312*100000000</v>
      </c>
      <c r="BJ1495" s="1">
        <f>3.312*100000000</f>
        <v>331200000</v>
      </c>
      <c r="BK1495" s="7">
        <f>-5149*10000</f>
        <v>-51490000</v>
      </c>
      <c r="BL1495" s="1" t="str">
        <f t="shared" si="728"/>
        <v>=-51490000</v>
      </c>
      <c r="BM1495" s="16">
        <f t="shared" si="743"/>
        <v>-7.4323169547484946</v>
      </c>
      <c r="BN1495" s="1">
        <f>-51490000</f>
        <v>-51490000</v>
      </c>
    </row>
    <row r="1496" spans="1:66">
      <c r="A1496" s="18"/>
      <c r="B1496">
        <v>601880</v>
      </c>
      <c r="C1496" t="s">
        <v>58</v>
      </c>
      <c r="D1496" s="6" t="s">
        <v>9330</v>
      </c>
      <c r="E1496" s="7" t="str">
        <f t="shared" si="727"/>
        <v>=26.54*100000000</v>
      </c>
      <c r="F1496" s="1">
        <f>26.54*100000000</f>
        <v>2654000000</v>
      </c>
      <c r="G1496" s="8">
        <f t="shared" si="729"/>
        <v>0.2927423283000487</v>
      </c>
      <c r="H1496" s="6" t="s">
        <v>9140</v>
      </c>
      <c r="I1496" s="6" t="str">
        <f t="shared" si="713"/>
        <v>=20.53*100000000</v>
      </c>
      <c r="J1496" s="1">
        <f>20.53*100000000</f>
        <v>2053000000</v>
      </c>
      <c r="K1496" s="10">
        <f t="shared" si="730"/>
        <v>0.5140117994100295</v>
      </c>
      <c r="L1496" s="6" t="s">
        <v>5912</v>
      </c>
      <c r="M1496" s="6" t="str">
        <f t="shared" si="714"/>
        <v>=13.56*100000000</v>
      </c>
      <c r="N1496" s="1">
        <f>13.56*100000000</f>
        <v>1356000000</v>
      </c>
      <c r="O1496" s="8">
        <f t="shared" si="731"/>
        <v>0.80824109881317507</v>
      </c>
      <c r="P1496" s="6" t="s">
        <v>334</v>
      </c>
      <c r="Q1496" s="6" t="str">
        <f t="shared" si="715"/>
        <v>=7.499*100000000</v>
      </c>
      <c r="R1496" s="11">
        <f>7.499*100000000</f>
        <v>749900000</v>
      </c>
      <c r="S1496" s="8">
        <f t="shared" si="732"/>
        <v>-0.7355782792665726</v>
      </c>
      <c r="T1496" s="6" t="s">
        <v>14483</v>
      </c>
      <c r="U1496" s="6" t="str">
        <f t="shared" si="716"/>
        <v>=28.36*100000000</v>
      </c>
      <c r="V1496" s="1">
        <f>28.36*100000000</f>
        <v>2836000000</v>
      </c>
      <c r="W1496" s="8">
        <f t="shared" si="733"/>
        <v>0.28967712596634831</v>
      </c>
      <c r="X1496" s="6" t="s">
        <v>14484</v>
      </c>
      <c r="Y1496" s="6" t="str">
        <f t="shared" si="717"/>
        <v>=21.99*100000000</v>
      </c>
      <c r="Z1496" s="1">
        <f>21.99*100000000</f>
        <v>2199000000</v>
      </c>
      <c r="AA1496" s="8">
        <f t="shared" si="734"/>
        <v>0.57408732999284184</v>
      </c>
      <c r="AB1496" s="6" t="s">
        <v>1329</v>
      </c>
      <c r="AC1496" s="6" t="str">
        <f t="shared" si="718"/>
        <v>=13.97*100000000</v>
      </c>
      <c r="AD1496" s="1">
        <f>13.97*100000000</f>
        <v>1397000000</v>
      </c>
      <c r="AE1496" s="8">
        <f t="shared" si="735"/>
        <v>1.188626037913207</v>
      </c>
      <c r="AF1496" s="6" t="s">
        <v>8800</v>
      </c>
      <c r="AG1496" s="6" t="str">
        <f t="shared" si="719"/>
        <v>=6.383*100000000</v>
      </c>
      <c r="AH1496" s="1">
        <f>6.383*100000000</f>
        <v>638300000</v>
      </c>
      <c r="AI1496" s="8">
        <f t="shared" si="736"/>
        <v>-0.45068846815834768</v>
      </c>
      <c r="AJ1496" s="6" t="s">
        <v>73</v>
      </c>
      <c r="AK1496" s="6" t="str">
        <f t="shared" si="720"/>
        <v>=11.62*100000000</v>
      </c>
      <c r="AL1496" s="1">
        <f>11.62*100000000</f>
        <v>1162000000</v>
      </c>
      <c r="AM1496" s="8">
        <f t="shared" si="737"/>
        <v>0.34211134211134209</v>
      </c>
      <c r="AN1496" s="6" t="s">
        <v>12684</v>
      </c>
      <c r="AO1496" s="6" t="str">
        <f t="shared" si="721"/>
        <v>=8.658*100000000</v>
      </c>
      <c r="AP1496" s="1">
        <f>8.658*100000000</f>
        <v>865800000</v>
      </c>
      <c r="AQ1496" s="8">
        <f t="shared" si="738"/>
        <v>0.9028571428571428</v>
      </c>
      <c r="AR1496" s="6" t="s">
        <v>6191</v>
      </c>
      <c r="AS1496" s="6" t="str">
        <f t="shared" si="722"/>
        <v>=4.550*100000000</v>
      </c>
      <c r="AT1496" s="1">
        <f>4.55*100000000</f>
        <v>455000000</v>
      </c>
      <c r="AU1496" s="8">
        <f t="shared" si="739"/>
        <v>2.2899493853940709</v>
      </c>
      <c r="AV1496" s="6" t="s">
        <v>14485</v>
      </c>
      <c r="AW1496" s="6" t="str">
        <f t="shared" si="723"/>
        <v>=1.383*100000000</v>
      </c>
      <c r="AX1496" s="1">
        <f>1.383*100000000</f>
        <v>138300000</v>
      </c>
      <c r="AY1496" s="10">
        <f t="shared" si="740"/>
        <v>-0.84203312392918339</v>
      </c>
      <c r="AZ1496" s="6" t="s">
        <v>14486</v>
      </c>
      <c r="BA1496" s="6" t="str">
        <f t="shared" si="724"/>
        <v>=8.755*100000000</v>
      </c>
      <c r="BB1496" s="1">
        <f>8.755*100000000</f>
        <v>875500000.00000012</v>
      </c>
      <c r="BC1496" s="8">
        <f t="shared" si="741"/>
        <v>0.19734682713347937</v>
      </c>
      <c r="BD1496" s="6" t="s">
        <v>10485</v>
      </c>
      <c r="BE1496" s="6" t="str">
        <f t="shared" si="725"/>
        <v>=7.312*100000000</v>
      </c>
      <c r="BF1496" s="1">
        <f>7.312*100000000</f>
        <v>731200000</v>
      </c>
      <c r="BG1496" s="8">
        <f t="shared" si="742"/>
        <v>1.1652354160497482</v>
      </c>
      <c r="BH1496" s="6" t="s">
        <v>2648</v>
      </c>
      <c r="BI1496" s="6" t="str">
        <f t="shared" si="726"/>
        <v>=3.377*100000000</v>
      </c>
      <c r="BJ1496" s="1">
        <f>3.377*100000000</f>
        <v>337700000</v>
      </c>
      <c r="BK1496" s="7">
        <f>-4339*10000</f>
        <v>-43390000</v>
      </c>
      <c r="BL1496" s="1" t="str">
        <f t="shared" si="728"/>
        <v>=-43390000</v>
      </c>
      <c r="BM1496" s="16">
        <f t="shared" si="743"/>
        <v>-8.7828992855496661</v>
      </c>
      <c r="BN1496" s="1">
        <f>-43390000</f>
        <v>-43390000</v>
      </c>
    </row>
    <row r="1497" spans="1:66">
      <c r="A1497" s="19"/>
      <c r="B1497">
        <v>601880</v>
      </c>
      <c r="C1497" t="s">
        <v>68</v>
      </c>
      <c r="D1497" s="6" t="s">
        <v>4151</v>
      </c>
      <c r="E1497" s="7" t="str">
        <f t="shared" si="727"/>
        <v>=20.78*100000000</v>
      </c>
      <c r="F1497" s="1">
        <f>20.78*100000000</f>
        <v>2078000000</v>
      </c>
      <c r="G1497" s="8">
        <f t="shared" si="729"/>
        <v>0.35022742040285898</v>
      </c>
      <c r="H1497" s="6" t="s">
        <v>9149</v>
      </c>
      <c r="I1497" s="6" t="str">
        <f t="shared" si="713"/>
        <v>=15.39*100000000</v>
      </c>
      <c r="J1497" s="1">
        <f>15.39*100000000</f>
        <v>1539000000</v>
      </c>
      <c r="K1497" s="10">
        <f t="shared" si="730"/>
        <v>0.55329027048849411</v>
      </c>
      <c r="L1497" s="6" t="s">
        <v>3331</v>
      </c>
      <c r="M1497" s="6" t="str">
        <f t="shared" si="714"/>
        <v>=9.908*100000000</v>
      </c>
      <c r="N1497" s="1">
        <f>9.908*100000000</f>
        <v>990800000</v>
      </c>
      <c r="O1497" s="8">
        <f t="shared" si="731"/>
        <v>0.69512403763900765</v>
      </c>
      <c r="P1497" s="6" t="s">
        <v>11796</v>
      </c>
      <c r="Q1497" s="6" t="str">
        <f t="shared" si="715"/>
        <v>=5.845*100000000</v>
      </c>
      <c r="R1497" s="11">
        <f>5.845*100000000</f>
        <v>584500000</v>
      </c>
      <c r="S1497" s="8">
        <f t="shared" si="732"/>
        <v>-0.73789237668161434</v>
      </c>
      <c r="T1497" s="6" t="s">
        <v>332</v>
      </c>
      <c r="U1497" s="6" t="str">
        <f t="shared" si="716"/>
        <v>=22.30*100000000</v>
      </c>
      <c r="V1497" s="1">
        <f>22.3*100000000</f>
        <v>2230000000</v>
      </c>
      <c r="W1497" s="8">
        <f t="shared" si="733"/>
        <v>0.29802095459837019</v>
      </c>
      <c r="X1497" s="6" t="s">
        <v>3671</v>
      </c>
      <c r="Y1497" s="6" t="str">
        <f t="shared" si="717"/>
        <v>=17.18*100000000</v>
      </c>
      <c r="Z1497" s="1">
        <f>17.18*100000000</f>
        <v>1718000000</v>
      </c>
      <c r="AA1497" s="8">
        <f t="shared" si="734"/>
        <v>0.58195211786372003</v>
      </c>
      <c r="AB1497" s="6" t="s">
        <v>7503</v>
      </c>
      <c r="AC1497" s="6" t="str">
        <f t="shared" si="718"/>
        <v>=10.86*100000000</v>
      </c>
      <c r="AD1497" s="1">
        <f>10.86*100000000</f>
        <v>1086000000</v>
      </c>
      <c r="AE1497" s="8">
        <f t="shared" si="735"/>
        <v>1.1551895217305022</v>
      </c>
      <c r="AF1497" s="6" t="s">
        <v>14487</v>
      </c>
      <c r="AG1497" s="6" t="str">
        <f t="shared" si="719"/>
        <v>=5.039*100000000</v>
      </c>
      <c r="AH1497" s="1">
        <f>5.039*100000000</f>
        <v>503899999.99999994</v>
      </c>
      <c r="AI1497" s="8">
        <f t="shared" si="736"/>
        <v>-0.43692032629344069</v>
      </c>
      <c r="AJ1497" s="6" t="s">
        <v>14488</v>
      </c>
      <c r="AK1497" s="6" t="str">
        <f t="shared" si="720"/>
        <v>=8.949*100000000</v>
      </c>
      <c r="AL1497" s="1">
        <f>8.949*100000000</f>
        <v>894900000</v>
      </c>
      <c r="AM1497" s="8">
        <f t="shared" si="737"/>
        <v>0.36981478646869737</v>
      </c>
      <c r="AN1497" s="6" t="s">
        <v>13544</v>
      </c>
      <c r="AO1497" s="6" t="str">
        <f t="shared" si="721"/>
        <v>=6.533*100000000</v>
      </c>
      <c r="AP1497" s="1">
        <f>6.533*100000000</f>
        <v>653300000</v>
      </c>
      <c r="AQ1497" s="8">
        <f t="shared" si="738"/>
        <v>0.84652345958168462</v>
      </c>
      <c r="AR1497" s="6" t="s">
        <v>14489</v>
      </c>
      <c r="AS1497" s="6" t="str">
        <f t="shared" si="722"/>
        <v>=3.538*100000000</v>
      </c>
      <c r="AT1497" s="1">
        <f>3.538*100000000</f>
        <v>353800000</v>
      </c>
      <c r="AU1497" s="8">
        <f t="shared" si="739"/>
        <v>2.3953934740882916</v>
      </c>
      <c r="AV1497" s="6" t="s">
        <v>1464</v>
      </c>
      <c r="AW1497" s="6" t="str">
        <f t="shared" si="723"/>
        <v>=1.042*100000000</v>
      </c>
      <c r="AX1497" s="1">
        <f>1.042*100000000</f>
        <v>104200000</v>
      </c>
      <c r="AY1497" s="10">
        <f t="shared" si="740"/>
        <v>-0.84721407624633427</v>
      </c>
      <c r="AZ1497" s="6" t="s">
        <v>14490</v>
      </c>
      <c r="BA1497" s="6" t="str">
        <f t="shared" si="724"/>
        <v>=6.820*100000000</v>
      </c>
      <c r="BB1497" s="1">
        <f>6.82*100000000</f>
        <v>682000000</v>
      </c>
      <c r="BC1497" s="8">
        <f t="shared" si="741"/>
        <v>0.21850991602644274</v>
      </c>
      <c r="BD1497" s="6" t="s">
        <v>9213</v>
      </c>
      <c r="BE1497" s="6" t="str">
        <f t="shared" si="725"/>
        <v>=5.597*100000000</v>
      </c>
      <c r="BF1497" s="1">
        <f>5.597*100000000</f>
        <v>559700000</v>
      </c>
      <c r="BG1497" s="8">
        <f t="shared" si="742"/>
        <v>1.2532206119162641</v>
      </c>
      <c r="BH1497" s="6" t="s">
        <v>14491</v>
      </c>
      <c r="BI1497" s="6" t="str">
        <f t="shared" si="726"/>
        <v>=2.484*100000000</v>
      </c>
      <c r="BJ1497" s="1">
        <f>2.484*100000000</f>
        <v>248400000</v>
      </c>
      <c r="BK1497" s="7">
        <f>-3869*10000</f>
        <v>-38690000</v>
      </c>
      <c r="BL1497" s="1" t="str">
        <f t="shared" si="728"/>
        <v>=-38690000</v>
      </c>
      <c r="BM1497" s="16">
        <f t="shared" si="743"/>
        <v>-7.4202636340139572</v>
      </c>
      <c r="BN1497" s="1">
        <f>-38690000</f>
        <v>-38690000</v>
      </c>
    </row>
    <row r="1498" spans="1:66">
      <c r="A1498" s="17">
        <v>376</v>
      </c>
      <c r="B1498">
        <v>601881</v>
      </c>
      <c r="C1498" t="s">
        <v>31</v>
      </c>
      <c r="D1498" s="6" t="s">
        <v>14492</v>
      </c>
      <c r="E1498" s="7" t="str">
        <f t="shared" si="727"/>
        <v>=359.8*100000000</v>
      </c>
      <c r="F1498" s="1">
        <f>359.8*100000000</f>
        <v>35980000000</v>
      </c>
      <c r="G1498" s="8">
        <f t="shared" si="729"/>
        <v>0.37854406130268198</v>
      </c>
      <c r="H1498" s="6" t="s">
        <v>14493</v>
      </c>
      <c r="I1498" s="6" t="str">
        <f t="shared" si="713"/>
        <v>=261.0*100000000</v>
      </c>
      <c r="J1498" s="1">
        <f>261*100000000</f>
        <v>26100000000</v>
      </c>
      <c r="K1498" s="10">
        <f t="shared" si="730"/>
        <v>0.7239101717305152</v>
      </c>
      <c r="L1498" s="6" t="s">
        <v>14203</v>
      </c>
      <c r="M1498" s="6" t="str">
        <f t="shared" si="714"/>
        <v>=151.4*100000000</v>
      </c>
      <c r="N1498" s="1">
        <f>151.4*100000000</f>
        <v>15140000000</v>
      </c>
      <c r="O1498" s="8">
        <f t="shared" si="731"/>
        <v>0.99736147757255933</v>
      </c>
      <c r="P1498" s="6" t="s">
        <v>14494</v>
      </c>
      <c r="Q1498" s="6" t="str">
        <f t="shared" si="715"/>
        <v>=75.80*100000000</v>
      </c>
      <c r="R1498" s="11">
        <f>75.8*100000000</f>
        <v>7580000000</v>
      </c>
      <c r="S1498" s="8">
        <f t="shared" si="732"/>
        <v>-0.68084210526315792</v>
      </c>
      <c r="T1498" s="6" t="s">
        <v>14495</v>
      </c>
      <c r="U1498" s="6" t="str">
        <f t="shared" si="716"/>
        <v>=237.5*100000000</v>
      </c>
      <c r="V1498" s="1">
        <f>237.5*100000000</f>
        <v>23750000000</v>
      </c>
      <c r="W1498" s="8">
        <f t="shared" si="733"/>
        <v>0.31360619469026546</v>
      </c>
      <c r="X1498" s="6" t="s">
        <v>423</v>
      </c>
      <c r="Y1498" s="6" t="str">
        <f t="shared" si="717"/>
        <v>=180.8*100000000</v>
      </c>
      <c r="Z1498" s="1">
        <f>180.8*100000000</f>
        <v>18080000000</v>
      </c>
      <c r="AA1498" s="8">
        <f t="shared" si="734"/>
        <v>0.61284567350579844</v>
      </c>
      <c r="AB1498" s="6" t="s">
        <v>312</v>
      </c>
      <c r="AC1498" s="6" t="str">
        <f t="shared" si="718"/>
        <v>=112.1*100000000</v>
      </c>
      <c r="AD1498" s="1">
        <f>112.1*100000000</f>
        <v>11210000000</v>
      </c>
      <c r="AE1498" s="8">
        <f t="shared" si="735"/>
        <v>1.006084466714388</v>
      </c>
      <c r="AF1498" s="6" t="s">
        <v>14496</v>
      </c>
      <c r="AG1498" s="6" t="str">
        <f t="shared" si="719"/>
        <v>=55.88*100000000</v>
      </c>
      <c r="AH1498" s="1">
        <f>55.88*100000000</f>
        <v>5588000000</v>
      </c>
      <c r="AI1498" s="8">
        <f t="shared" si="736"/>
        <v>-0.67206572769953055</v>
      </c>
      <c r="AJ1498" s="6" t="s">
        <v>14497</v>
      </c>
      <c r="AK1498" s="6" t="str">
        <f t="shared" si="720"/>
        <v>=170.4*100000000</v>
      </c>
      <c r="AL1498" s="1">
        <f>170.4*100000000</f>
        <v>17040000000</v>
      </c>
      <c r="AM1498" s="8">
        <f t="shared" si="737"/>
        <v>0.41528239202657807</v>
      </c>
      <c r="AN1498" s="6" t="s">
        <v>509</v>
      </c>
      <c r="AO1498" s="6" t="str">
        <f t="shared" si="721"/>
        <v>=120.4*100000000</v>
      </c>
      <c r="AP1498" s="1">
        <f>120.4*100000000</f>
        <v>12040000000</v>
      </c>
      <c r="AQ1498" s="8">
        <f t="shared" si="738"/>
        <v>0.63409337676438637</v>
      </c>
      <c r="AR1498" s="6" t="s">
        <v>10688</v>
      </c>
      <c r="AS1498" s="6" t="str">
        <f t="shared" si="722"/>
        <v>=73.68*100000000</v>
      </c>
      <c r="AT1498" s="1">
        <f>73.68*100000000</f>
        <v>7368000000.000001</v>
      </c>
      <c r="AU1498" s="8">
        <f t="shared" si="739"/>
        <v>0.99081329370440452</v>
      </c>
      <c r="AV1498" s="6" t="s">
        <v>14498</v>
      </c>
      <c r="AW1498" s="6" t="str">
        <f t="shared" si="723"/>
        <v>=37.01*100000000</v>
      </c>
      <c r="AX1498" s="1">
        <f>37.01*100000000</f>
        <v>3701000000</v>
      </c>
      <c r="AY1498" s="10">
        <f t="shared" si="740"/>
        <v>-0.6271032745591939</v>
      </c>
      <c r="AZ1498" s="6" t="s">
        <v>14499</v>
      </c>
      <c r="BA1498" s="6" t="str">
        <f t="shared" si="724"/>
        <v>=99.25*100000000</v>
      </c>
      <c r="BB1498" s="1">
        <f>99.25*100000000</f>
        <v>9925000000</v>
      </c>
      <c r="BC1498" s="8">
        <f t="shared" si="741"/>
        <v>0.56842604298356514</v>
      </c>
      <c r="BD1498" s="6" t="s">
        <v>14500</v>
      </c>
      <c r="BE1498" s="6" t="str">
        <f t="shared" si="725"/>
        <v>=63.28*100000000</v>
      </c>
      <c r="BF1498" s="1">
        <f>63.28*100000000</f>
        <v>6328000000</v>
      </c>
      <c r="BG1498" s="8">
        <f t="shared" si="742"/>
        <v>0.46923612723473418</v>
      </c>
      <c r="BH1498" s="6" t="s">
        <v>10617</v>
      </c>
      <c r="BI1498" s="6" t="str">
        <f t="shared" si="726"/>
        <v>=43.07*100000000</v>
      </c>
      <c r="BJ1498" s="1">
        <f>43.07*100000000</f>
        <v>4307000000</v>
      </c>
      <c r="BK1498" s="6" t="s">
        <v>3626</v>
      </c>
      <c r="BL1498" s="1" t="str">
        <f t="shared" si="728"/>
        <v>=26.18*100000000</v>
      </c>
      <c r="BM1498" s="16">
        <f t="shared" si="743"/>
        <v>0.64514896867838045</v>
      </c>
      <c r="BN1498" s="1">
        <f>26.18*100000000</f>
        <v>2618000000</v>
      </c>
    </row>
    <row r="1499" spans="1:66">
      <c r="A1499" s="18"/>
      <c r="B1499">
        <v>601881</v>
      </c>
      <c r="C1499" t="s">
        <v>48</v>
      </c>
      <c r="D1499" s="6" t="s">
        <v>7842</v>
      </c>
      <c r="E1499" s="7" t="str">
        <f t="shared" si="727"/>
        <v>=129.2*100000000</v>
      </c>
      <c r="F1499" s="1">
        <f>129.2*100000000</f>
        <v>12919999999.999998</v>
      </c>
      <c r="G1499" s="8">
        <f t="shared" si="729"/>
        <v>0.38418684379687146</v>
      </c>
      <c r="H1499" s="6" t="s">
        <v>14501</v>
      </c>
      <c r="I1499" s="6" t="str">
        <f t="shared" si="713"/>
        <v>=93.34*100000000</v>
      </c>
      <c r="J1499" s="1">
        <f>93.34*100000000</f>
        <v>9334000000</v>
      </c>
      <c r="K1499" s="10">
        <f t="shared" si="730"/>
        <v>0.72055299539170503</v>
      </c>
      <c r="L1499" s="6" t="s">
        <v>14502</v>
      </c>
      <c r="M1499" s="6" t="str">
        <f t="shared" si="714"/>
        <v>=54.25*100000000</v>
      </c>
      <c r="N1499" s="1">
        <f>54.25*100000000</f>
        <v>5425000000</v>
      </c>
      <c r="O1499" s="8">
        <f t="shared" si="731"/>
        <v>1.1442687747035574</v>
      </c>
      <c r="P1499" s="6" t="s">
        <v>8573</v>
      </c>
      <c r="Q1499" s="6" t="str">
        <f t="shared" si="715"/>
        <v>=25.30*100000000</v>
      </c>
      <c r="R1499" s="11">
        <f>25.3*100000000</f>
        <v>2530000000</v>
      </c>
      <c r="S1499" s="8">
        <f t="shared" si="732"/>
        <v>-0.72434081499237302</v>
      </c>
      <c r="T1499" s="6" t="s">
        <v>12703</v>
      </c>
      <c r="U1499" s="6" t="str">
        <f t="shared" si="716"/>
        <v>=91.78*100000000</v>
      </c>
      <c r="V1499" s="1">
        <f>91.78*100000000</f>
        <v>9178000000</v>
      </c>
      <c r="W1499" s="8">
        <f t="shared" si="733"/>
        <v>0.25933040614709113</v>
      </c>
      <c r="X1499" s="6" t="s">
        <v>14503</v>
      </c>
      <c r="Y1499" s="6" t="str">
        <f t="shared" si="717"/>
        <v>=72.88*100000000</v>
      </c>
      <c r="Z1499" s="1">
        <f>72.88*100000000</f>
        <v>7288000000</v>
      </c>
      <c r="AA1499" s="8">
        <f t="shared" si="734"/>
        <v>0.571705844295881</v>
      </c>
      <c r="AB1499" s="6" t="s">
        <v>14504</v>
      </c>
      <c r="AC1499" s="6" t="str">
        <f t="shared" si="718"/>
        <v>=46.37*100000000</v>
      </c>
      <c r="AD1499" s="1">
        <f>46.37*100000000</f>
        <v>4637000000</v>
      </c>
      <c r="AE1499" s="8">
        <f t="shared" si="735"/>
        <v>1.0257754477937964</v>
      </c>
      <c r="AF1499" s="6" t="s">
        <v>5027</v>
      </c>
      <c r="AG1499" s="6" t="str">
        <f t="shared" si="719"/>
        <v>=22.89*100000000</v>
      </c>
      <c r="AH1499" s="1">
        <f>22.89*100000000</f>
        <v>2289000000</v>
      </c>
      <c r="AI1499" s="8">
        <f t="shared" si="736"/>
        <v>-0.66579062636881292</v>
      </c>
      <c r="AJ1499" s="6" t="s">
        <v>7111</v>
      </c>
      <c r="AK1499" s="6" t="str">
        <f t="shared" si="720"/>
        <v>=68.49*100000000</v>
      </c>
      <c r="AL1499" s="1">
        <f>68.49*100000000</f>
        <v>6848999999.999999</v>
      </c>
      <c r="AM1499" s="8">
        <f t="shared" si="737"/>
        <v>0.3317130079720006</v>
      </c>
      <c r="AN1499" s="6" t="s">
        <v>14505</v>
      </c>
      <c r="AO1499" s="6" t="str">
        <f t="shared" si="721"/>
        <v>=51.43*100000000</v>
      </c>
      <c r="AP1499" s="1">
        <f>51.43*100000000</f>
        <v>5143000000</v>
      </c>
      <c r="AQ1499" s="8">
        <f t="shared" si="738"/>
        <v>0.51398292611127461</v>
      </c>
      <c r="AR1499" s="6" t="s">
        <v>14506</v>
      </c>
      <c r="AS1499" s="6" t="str">
        <f t="shared" si="722"/>
        <v>=33.97*100000000</v>
      </c>
      <c r="AT1499" s="1">
        <f>33.97*100000000</f>
        <v>3397000000</v>
      </c>
      <c r="AU1499" s="8">
        <f t="shared" si="739"/>
        <v>0.69765117441279345</v>
      </c>
      <c r="AV1499" s="6" t="s">
        <v>2960</v>
      </c>
      <c r="AW1499" s="6" t="str">
        <f t="shared" si="723"/>
        <v>=20.01*100000000</v>
      </c>
      <c r="AX1499" s="1">
        <f>20.01*100000000</f>
        <v>2001000000.0000002</v>
      </c>
      <c r="AY1499" s="10">
        <f t="shared" si="740"/>
        <v>-0.45506535947712412</v>
      </c>
      <c r="AZ1499" s="6" t="s">
        <v>306</v>
      </c>
      <c r="BA1499" s="6" t="str">
        <f t="shared" si="724"/>
        <v>=36.72*100000000</v>
      </c>
      <c r="BB1499" s="1">
        <f>36.72*100000000</f>
        <v>3672000000</v>
      </c>
      <c r="BC1499" s="8">
        <f t="shared" si="741"/>
        <v>0.529362765514369</v>
      </c>
      <c r="BD1499" s="6" t="s">
        <v>9876</v>
      </c>
      <c r="BE1499" s="6" t="str">
        <f t="shared" si="725"/>
        <v>=24.01*100000000</v>
      </c>
      <c r="BF1499" s="1">
        <f>24.01*100000000</f>
        <v>2401000000</v>
      </c>
      <c r="BG1499" s="8">
        <f t="shared" si="742"/>
        <v>0.40491515506143944</v>
      </c>
      <c r="BH1499" s="6" t="s">
        <v>14250</v>
      </c>
      <c r="BI1499" s="6" t="str">
        <f t="shared" si="726"/>
        <v>=17.09*100000000</v>
      </c>
      <c r="BJ1499" s="1">
        <f>17.09*100000000</f>
        <v>1709000000</v>
      </c>
      <c r="BK1499" s="6" t="s">
        <v>4256</v>
      </c>
      <c r="BL1499" s="1" t="str">
        <f t="shared" si="728"/>
        <v>=12.31*100000000</v>
      </c>
      <c r="BM1499" s="16">
        <f t="shared" si="743"/>
        <v>0.38830219333874899</v>
      </c>
      <c r="BN1499" s="1">
        <f>12.31*100000000</f>
        <v>1231000000</v>
      </c>
    </row>
    <row r="1500" spans="1:66">
      <c r="A1500" s="18"/>
      <c r="B1500">
        <v>601881</v>
      </c>
      <c r="C1500" t="s">
        <v>58</v>
      </c>
      <c r="D1500" s="6" t="s">
        <v>9396</v>
      </c>
      <c r="E1500" s="7" t="str">
        <f t="shared" si="727"/>
        <v>=127.9*100000000</v>
      </c>
      <c r="F1500" s="1">
        <f>127.9*100000000</f>
        <v>12790000000</v>
      </c>
      <c r="G1500" s="8">
        <f t="shared" si="729"/>
        <v>0.382105035660255</v>
      </c>
      <c r="H1500" s="6" t="s">
        <v>3238</v>
      </c>
      <c r="I1500" s="6" t="str">
        <f t="shared" si="713"/>
        <v>=92.54*100000000</v>
      </c>
      <c r="J1500" s="1">
        <f>92.54*100000000</f>
        <v>9254000000</v>
      </c>
      <c r="K1500" s="10">
        <f t="shared" si="730"/>
        <v>0.73004299869134415</v>
      </c>
      <c r="L1500" s="6" t="s">
        <v>14507</v>
      </c>
      <c r="M1500" s="6" t="str">
        <f t="shared" si="714"/>
        <v>=53.49*100000000</v>
      </c>
      <c r="N1500" s="1">
        <f>53.49*100000000</f>
        <v>5349000000</v>
      </c>
      <c r="O1500" s="8">
        <f t="shared" si="731"/>
        <v>1.1456077015643802</v>
      </c>
      <c r="P1500" s="6" t="s">
        <v>14508</v>
      </c>
      <c r="Q1500" s="6" t="str">
        <f t="shared" si="715"/>
        <v>=24.93*100000000</v>
      </c>
      <c r="R1500" s="11">
        <f>24.93*100000000</f>
        <v>2493000000</v>
      </c>
      <c r="S1500" s="8">
        <f t="shared" si="732"/>
        <v>-0.72774926285901498</v>
      </c>
      <c r="T1500" s="6" t="s">
        <v>14509</v>
      </c>
      <c r="U1500" s="6" t="str">
        <f t="shared" si="716"/>
        <v>=91.57*100000000</v>
      </c>
      <c r="V1500" s="1">
        <f>91.57*100000000</f>
        <v>9157000000</v>
      </c>
      <c r="W1500" s="8">
        <f t="shared" si="733"/>
        <v>0.27004160887656048</v>
      </c>
      <c r="X1500" s="6" t="s">
        <v>14510</v>
      </c>
      <c r="Y1500" s="6" t="str">
        <f t="shared" si="717"/>
        <v>=72.10*100000000</v>
      </c>
      <c r="Z1500" s="1">
        <f>72.1*100000000</f>
        <v>7209999999.999999</v>
      </c>
      <c r="AA1500" s="8">
        <f t="shared" si="734"/>
        <v>0.57389216328312576</v>
      </c>
      <c r="AB1500" s="6" t="s">
        <v>14511</v>
      </c>
      <c r="AC1500" s="6" t="str">
        <f t="shared" si="718"/>
        <v>=45.81*100000000</v>
      </c>
      <c r="AD1500" s="1">
        <f>45.81*100000000</f>
        <v>4581000000</v>
      </c>
      <c r="AE1500" s="8">
        <f t="shared" si="735"/>
        <v>1.00569176882662</v>
      </c>
      <c r="AF1500" s="6" t="s">
        <v>4773</v>
      </c>
      <c r="AG1500" s="6" t="str">
        <f t="shared" si="719"/>
        <v>=22.84*100000000</v>
      </c>
      <c r="AH1500" s="1">
        <f>22.84*100000000</f>
        <v>2284000000</v>
      </c>
      <c r="AI1500" s="8">
        <f t="shared" si="736"/>
        <v>-0.665592972181552</v>
      </c>
      <c r="AJ1500" s="6" t="s">
        <v>14512</v>
      </c>
      <c r="AK1500" s="6" t="str">
        <f t="shared" si="720"/>
        <v>=68.30*100000000</v>
      </c>
      <c r="AL1500" s="1">
        <f>68.3*100000000</f>
        <v>6830000000</v>
      </c>
      <c r="AM1500" s="8">
        <f t="shared" si="737"/>
        <v>0.333984375</v>
      </c>
      <c r="AN1500" s="6" t="s">
        <v>14513</v>
      </c>
      <c r="AO1500" s="6" t="str">
        <f t="shared" si="721"/>
        <v>=51.20*100000000</v>
      </c>
      <c r="AP1500" s="1">
        <f>51.2*100000000</f>
        <v>5120000000</v>
      </c>
      <c r="AQ1500" s="8">
        <f t="shared" si="738"/>
        <v>0.50765606595995294</v>
      </c>
      <c r="AR1500" s="6" t="s">
        <v>5575</v>
      </c>
      <c r="AS1500" s="6" t="str">
        <f t="shared" si="722"/>
        <v>=33.96*100000000</v>
      </c>
      <c r="AT1500" s="1">
        <f>33.96*100000000</f>
        <v>3396000000</v>
      </c>
      <c r="AU1500" s="8">
        <f t="shared" si="739"/>
        <v>0.69715142428785581</v>
      </c>
      <c r="AV1500" s="6" t="s">
        <v>2960</v>
      </c>
      <c r="AW1500" s="6" t="str">
        <f t="shared" si="723"/>
        <v>=20.01*100000000</v>
      </c>
      <c r="AX1500" s="1">
        <f>20.01*100000000</f>
        <v>2001000000.0000002</v>
      </c>
      <c r="AY1500" s="10">
        <f t="shared" si="740"/>
        <v>-0.45654535578489946</v>
      </c>
      <c r="AZ1500" s="6" t="s">
        <v>284</v>
      </c>
      <c r="BA1500" s="6" t="str">
        <f t="shared" si="724"/>
        <v>=36.82*100000000</v>
      </c>
      <c r="BB1500" s="1">
        <f>36.82*100000000</f>
        <v>3682000000</v>
      </c>
      <c r="BC1500" s="8">
        <f t="shared" si="741"/>
        <v>0.52843503528435032</v>
      </c>
      <c r="BD1500" s="6" t="s">
        <v>11991</v>
      </c>
      <c r="BE1500" s="6" t="str">
        <f t="shared" si="725"/>
        <v>=24.09*100000000</v>
      </c>
      <c r="BF1500" s="1">
        <f>24.09*100000000</f>
        <v>2409000000</v>
      </c>
      <c r="BG1500" s="8">
        <f t="shared" si="742"/>
        <v>0.40058139534883719</v>
      </c>
      <c r="BH1500" s="6" t="s">
        <v>14514</v>
      </c>
      <c r="BI1500" s="6" t="str">
        <f t="shared" si="726"/>
        <v>=17.20*100000000</v>
      </c>
      <c r="BJ1500" s="1">
        <f>17.2*100000000</f>
        <v>1720000000</v>
      </c>
      <c r="BK1500" s="6" t="s">
        <v>11460</v>
      </c>
      <c r="BL1500" s="1" t="str">
        <f t="shared" si="728"/>
        <v>=12.35*100000000</v>
      </c>
      <c r="BM1500" s="16">
        <f t="shared" si="743"/>
        <v>0.39271255060728744</v>
      </c>
      <c r="BN1500" s="1">
        <f>12.35*100000000</f>
        <v>1235000000</v>
      </c>
    </row>
    <row r="1501" spans="1:66">
      <c r="A1501" s="19"/>
      <c r="B1501">
        <v>601881</v>
      </c>
      <c r="C1501" t="s">
        <v>68</v>
      </c>
      <c r="D1501" s="6" t="s">
        <v>842</v>
      </c>
      <c r="E1501" s="7" t="str">
        <f t="shared" si="727"/>
        <v>=105.2*100000000</v>
      </c>
      <c r="F1501" s="1">
        <f>105.2*100000000</f>
        <v>10520000000</v>
      </c>
      <c r="G1501" s="8">
        <f t="shared" si="729"/>
        <v>0.40848841879769715</v>
      </c>
      <c r="H1501" s="6" t="s">
        <v>14515</v>
      </c>
      <c r="I1501" s="6" t="str">
        <f t="shared" si="713"/>
        <v>=74.69*100000000</v>
      </c>
      <c r="J1501" s="1">
        <f>74.69*100000000</f>
        <v>7469000000</v>
      </c>
      <c r="K1501" s="10">
        <f t="shared" si="730"/>
        <v>0.74265048996733551</v>
      </c>
      <c r="L1501" s="6" t="s">
        <v>9877</v>
      </c>
      <c r="M1501" s="6" t="str">
        <f t="shared" si="714"/>
        <v>=42.86*100000000</v>
      </c>
      <c r="N1501" s="1">
        <f>42.86*100000000</f>
        <v>4286000000</v>
      </c>
      <c r="O1501" s="8">
        <f t="shared" si="731"/>
        <v>1.1408591408591409</v>
      </c>
      <c r="P1501" s="6" t="s">
        <v>3617</v>
      </c>
      <c r="Q1501" s="6" t="str">
        <f t="shared" si="715"/>
        <v>=20.02*100000000</v>
      </c>
      <c r="R1501" s="11">
        <f>20.02*100000000</f>
        <v>2002000000</v>
      </c>
      <c r="S1501" s="8">
        <f t="shared" si="732"/>
        <v>-0.72620350109409193</v>
      </c>
      <c r="T1501" s="6" t="s">
        <v>10649</v>
      </c>
      <c r="U1501" s="6" t="str">
        <f t="shared" si="716"/>
        <v>=73.12*100000000</v>
      </c>
      <c r="V1501" s="1">
        <f>73.12*100000000</f>
        <v>7312000000</v>
      </c>
      <c r="W1501" s="8">
        <f t="shared" si="733"/>
        <v>0.28100911002102313</v>
      </c>
      <c r="X1501" s="6" t="s">
        <v>7946</v>
      </c>
      <c r="Y1501" s="6" t="str">
        <f t="shared" si="717"/>
        <v>=57.08*100000000</v>
      </c>
      <c r="Z1501" s="1">
        <f>57.08*100000000</f>
        <v>5708000000</v>
      </c>
      <c r="AA1501" s="8">
        <f t="shared" si="734"/>
        <v>0.58731924360400445</v>
      </c>
      <c r="AB1501" s="6" t="s">
        <v>14433</v>
      </c>
      <c r="AC1501" s="6" t="str">
        <f t="shared" si="718"/>
        <v>=35.96*100000000</v>
      </c>
      <c r="AD1501" s="1">
        <f>35.96*100000000</f>
        <v>3596000000</v>
      </c>
      <c r="AE1501" s="8">
        <f t="shared" si="735"/>
        <v>1.0202247191011236</v>
      </c>
      <c r="AF1501" s="6" t="s">
        <v>10707</v>
      </c>
      <c r="AG1501" s="6" t="str">
        <f t="shared" si="719"/>
        <v>=17.80*100000000</v>
      </c>
      <c r="AH1501" s="1">
        <f>17.8*100000000</f>
        <v>1780000000</v>
      </c>
      <c r="AI1501" s="8">
        <f t="shared" si="736"/>
        <v>-0.66095238095238096</v>
      </c>
      <c r="AJ1501" s="6" t="s">
        <v>14516</v>
      </c>
      <c r="AK1501" s="6" t="str">
        <f t="shared" si="720"/>
        <v>=52.50*100000000</v>
      </c>
      <c r="AL1501" s="1">
        <f>52.5*100000000</f>
        <v>5250000000</v>
      </c>
      <c r="AM1501" s="8">
        <f t="shared" si="737"/>
        <v>0.35344160866202629</v>
      </c>
      <c r="AN1501" s="6" t="s">
        <v>4344</v>
      </c>
      <c r="AO1501" s="6" t="str">
        <f t="shared" si="721"/>
        <v>=38.79*100000000</v>
      </c>
      <c r="AP1501" s="1">
        <f>38.79*100000000</f>
        <v>3879000000</v>
      </c>
      <c r="AQ1501" s="8">
        <f t="shared" si="738"/>
        <v>0.48905950095969292</v>
      </c>
      <c r="AR1501" s="6" t="s">
        <v>14517</v>
      </c>
      <c r="AS1501" s="6" t="str">
        <f t="shared" si="722"/>
        <v>=26.05*100000000</v>
      </c>
      <c r="AT1501" s="1">
        <f>26.05*100000000</f>
        <v>2605000000</v>
      </c>
      <c r="AU1501" s="8">
        <f t="shared" si="739"/>
        <v>0.68936446173800259</v>
      </c>
      <c r="AV1501" s="6" t="s">
        <v>6448</v>
      </c>
      <c r="AW1501" s="6" t="str">
        <f t="shared" si="723"/>
        <v>=15.42*100000000</v>
      </c>
      <c r="AX1501" s="1">
        <f>15.42*100000000</f>
        <v>1542000000</v>
      </c>
      <c r="AY1501" s="10">
        <f t="shared" si="740"/>
        <v>-0.47407912687585269</v>
      </c>
      <c r="AZ1501" s="6" t="s">
        <v>7097</v>
      </c>
      <c r="BA1501" s="6" t="str">
        <f t="shared" si="724"/>
        <v>=29.32*100000000</v>
      </c>
      <c r="BB1501" s="1">
        <f>29.32*100000000</f>
        <v>2932000000</v>
      </c>
      <c r="BC1501" s="8">
        <f t="shared" si="741"/>
        <v>0.53991596638655459</v>
      </c>
      <c r="BD1501" s="6" t="s">
        <v>3955</v>
      </c>
      <c r="BE1501" s="6" t="str">
        <f t="shared" si="725"/>
        <v>=19.04*100000000</v>
      </c>
      <c r="BF1501" s="1">
        <f>19.04*100000000</f>
        <v>1904000000</v>
      </c>
      <c r="BG1501" s="8">
        <f t="shared" si="742"/>
        <v>0.42728635682158922</v>
      </c>
      <c r="BH1501" s="6" t="s">
        <v>6572</v>
      </c>
      <c r="BI1501" s="6" t="str">
        <f t="shared" si="726"/>
        <v>=13.34*100000000</v>
      </c>
      <c r="BJ1501" s="1">
        <f>13.34*100000000</f>
        <v>1334000000</v>
      </c>
      <c r="BK1501" s="6" t="s">
        <v>3466</v>
      </c>
      <c r="BL1501" s="1" t="str">
        <f t="shared" si="728"/>
        <v>=10.28*100000000</v>
      </c>
      <c r="BM1501" s="16">
        <f t="shared" si="743"/>
        <v>0.29766536964980561</v>
      </c>
      <c r="BN1501" s="1">
        <f>10.28*100000000</f>
        <v>1027999999.9999999</v>
      </c>
    </row>
    <row r="1502" spans="1:66">
      <c r="A1502" s="17">
        <v>377</v>
      </c>
      <c r="B1502">
        <v>601882</v>
      </c>
      <c r="C1502" t="s">
        <v>31</v>
      </c>
      <c r="D1502" s="6" t="s">
        <v>14518</v>
      </c>
      <c r="E1502" s="7" t="str">
        <f t="shared" si="727"/>
        <v>=27.30*100000000</v>
      </c>
      <c r="F1502" s="1">
        <f>27.3*100000000</f>
        <v>2730000000</v>
      </c>
      <c r="G1502" s="8">
        <f t="shared" si="729"/>
        <v>0.35888501742160278</v>
      </c>
      <c r="H1502" s="6" t="s">
        <v>43</v>
      </c>
      <c r="I1502" s="6" t="str">
        <f t="shared" si="713"/>
        <v>=20.09*100000000</v>
      </c>
      <c r="J1502" s="1">
        <f>20.09*100000000</f>
        <v>2009000000</v>
      </c>
      <c r="K1502" s="10">
        <f t="shared" si="730"/>
        <v>0.58438485804416407</v>
      </c>
      <c r="L1502" s="6" t="s">
        <v>3065</v>
      </c>
      <c r="M1502" s="6" t="str">
        <f t="shared" si="714"/>
        <v>=12.68*100000000</v>
      </c>
      <c r="N1502" s="1">
        <f>12.68*100000000</f>
        <v>1268000000</v>
      </c>
      <c r="O1502" s="8">
        <f t="shared" si="731"/>
        <v>1.3520682619180115</v>
      </c>
      <c r="P1502" s="6" t="s">
        <v>14519</v>
      </c>
      <c r="Q1502" s="6" t="str">
        <f t="shared" si="715"/>
        <v>=5.391*100000000</v>
      </c>
      <c r="R1502" s="11">
        <f>5.391*100000000</f>
        <v>539100000</v>
      </c>
      <c r="S1502" s="8">
        <f t="shared" si="732"/>
        <v>-0.66966911764705883</v>
      </c>
      <c r="T1502" s="6" t="s">
        <v>6209</v>
      </c>
      <c r="U1502" s="6" t="str">
        <f t="shared" si="716"/>
        <v>=16.32*100000000</v>
      </c>
      <c r="V1502" s="1">
        <f>16.32*100000000</f>
        <v>1632000000</v>
      </c>
      <c r="W1502" s="8">
        <f t="shared" si="733"/>
        <v>0.4742547425474255</v>
      </c>
      <c r="X1502" s="6" t="s">
        <v>14520</v>
      </c>
      <c r="Y1502" s="6" t="str">
        <f t="shared" si="717"/>
        <v>=11.07*100000000</v>
      </c>
      <c r="Z1502" s="1">
        <f>11.07*100000000</f>
        <v>1107000000</v>
      </c>
      <c r="AA1502" s="8">
        <f t="shared" si="734"/>
        <v>0.63830102116323817</v>
      </c>
      <c r="AB1502" s="6" t="s">
        <v>14521</v>
      </c>
      <c r="AC1502" s="6" t="str">
        <f t="shared" si="718"/>
        <v>=6.757*100000000</v>
      </c>
      <c r="AD1502" s="1">
        <f>6.757*100000000</f>
        <v>675700000</v>
      </c>
      <c r="AE1502" s="8">
        <f t="shared" si="735"/>
        <v>1.4998150203477618</v>
      </c>
      <c r="AF1502" s="6" t="s">
        <v>14522</v>
      </c>
      <c r="AG1502" s="6" t="str">
        <f t="shared" si="719"/>
        <v>=2.703*100000000</v>
      </c>
      <c r="AH1502" s="1">
        <f>2.703*100000000</f>
        <v>270300000</v>
      </c>
      <c r="AI1502" s="8">
        <f t="shared" si="736"/>
        <v>-0.7679828326180258</v>
      </c>
      <c r="AJ1502" s="6" t="s">
        <v>6233</v>
      </c>
      <c r="AK1502" s="6" t="str">
        <f t="shared" si="720"/>
        <v>=11.65*100000000</v>
      </c>
      <c r="AL1502" s="1">
        <f>11.65*100000000</f>
        <v>1165000000</v>
      </c>
      <c r="AM1502" s="8">
        <f t="shared" si="737"/>
        <v>0.41641337386018235</v>
      </c>
      <c r="AN1502" s="6" t="s">
        <v>14523</v>
      </c>
      <c r="AO1502" s="6" t="str">
        <f t="shared" si="721"/>
        <v>=8.225*100000000</v>
      </c>
      <c r="AP1502" s="1">
        <f>8.225*100000000</f>
        <v>822500000</v>
      </c>
      <c r="AQ1502" s="8">
        <f t="shared" si="738"/>
        <v>0.58967916505604934</v>
      </c>
      <c r="AR1502" s="6" t="s">
        <v>1656</v>
      </c>
      <c r="AS1502" s="6" t="str">
        <f t="shared" si="722"/>
        <v>=5.174*100000000</v>
      </c>
      <c r="AT1502" s="1">
        <f>5.174*100000000</f>
        <v>517400000.00000006</v>
      </c>
      <c r="AU1502" s="8">
        <f t="shared" si="739"/>
        <v>1.0696000000000003</v>
      </c>
      <c r="AV1502" s="6" t="s">
        <v>14524</v>
      </c>
      <c r="AW1502" s="6" t="str">
        <f t="shared" si="723"/>
        <v>=2.500*100000000</v>
      </c>
      <c r="AX1502" s="1">
        <f>2.5*100000000</f>
        <v>250000000</v>
      </c>
      <c r="AY1502" s="10">
        <f t="shared" si="740"/>
        <v>-0.80345911949685533</v>
      </c>
      <c r="AZ1502" s="6" t="s">
        <v>3054</v>
      </c>
      <c r="BA1502" s="6" t="str">
        <f t="shared" si="724"/>
        <v>=12.72*100000000</v>
      </c>
      <c r="BB1502" s="1">
        <f>12.72*100000000</f>
        <v>1272000000</v>
      </c>
      <c r="BC1502" s="8">
        <f t="shared" si="741"/>
        <v>0.26065411298315161</v>
      </c>
      <c r="BD1502" s="6" t="s">
        <v>340</v>
      </c>
      <c r="BE1502" s="6" t="str">
        <f t="shared" si="725"/>
        <v>=10.09*100000000</v>
      </c>
      <c r="BF1502" s="1">
        <f>10.09*100000000</f>
        <v>1009000000</v>
      </c>
      <c r="BG1502" s="8">
        <f t="shared" si="742"/>
        <v>0.5057454111326668</v>
      </c>
      <c r="BH1502" s="6" t="s">
        <v>14443</v>
      </c>
      <c r="BI1502" s="6" t="str">
        <f t="shared" si="726"/>
        <v>=6.701*100000000</v>
      </c>
      <c r="BJ1502" s="1">
        <f>6.701*100000000</f>
        <v>670100000</v>
      </c>
      <c r="BK1502" s="6" t="s">
        <v>4233</v>
      </c>
      <c r="BL1502" s="1" t="str">
        <f t="shared" si="728"/>
        <v>=2.942*100000000</v>
      </c>
      <c r="BM1502" s="16">
        <f t="shared" si="743"/>
        <v>1.2777022433718559</v>
      </c>
      <c r="BN1502" s="1">
        <f>2.942*100000000</f>
        <v>294200000</v>
      </c>
    </row>
    <row r="1503" spans="1:66">
      <c r="A1503" s="18"/>
      <c r="B1503">
        <v>601882</v>
      </c>
      <c r="C1503" t="s">
        <v>48</v>
      </c>
      <c r="D1503" s="6" t="s">
        <v>10735</v>
      </c>
      <c r="E1503" s="7" t="str">
        <f t="shared" si="727"/>
        <v>=4.004*100000000</v>
      </c>
      <c r="F1503" s="1">
        <f>4.004*100000000</f>
        <v>400399999.99999994</v>
      </c>
      <c r="G1503" s="8">
        <f t="shared" si="729"/>
        <v>0.40392706872370243</v>
      </c>
      <c r="H1503" s="6" t="s">
        <v>5434</v>
      </c>
      <c r="I1503" s="6" t="str">
        <f t="shared" si="713"/>
        <v>=2.852*100000000</v>
      </c>
      <c r="J1503" s="1">
        <f>2.852*100000000</f>
        <v>285200000</v>
      </c>
      <c r="K1503" s="10">
        <f t="shared" si="730"/>
        <v>0.68657599053814311</v>
      </c>
      <c r="L1503" s="6" t="s">
        <v>4590</v>
      </c>
      <c r="M1503" s="6" t="str">
        <f t="shared" si="714"/>
        <v>=1.691*100000000</v>
      </c>
      <c r="N1503" s="1">
        <f>1.691*100000000</f>
        <v>169100000</v>
      </c>
      <c r="O1503" s="8">
        <f t="shared" si="731"/>
        <v>1.5193682955899881</v>
      </c>
      <c r="P1503" s="7" t="s">
        <v>14525</v>
      </c>
      <c r="Q1503" s="6" t="str">
        <f t="shared" si="715"/>
        <v>=6712*10000</v>
      </c>
      <c r="R1503" s="11">
        <f>6712*10000</f>
        <v>67120000</v>
      </c>
      <c r="S1503" s="8">
        <f t="shared" si="732"/>
        <v>-0.53226480836236933</v>
      </c>
      <c r="T1503" s="6" t="s">
        <v>7857</v>
      </c>
      <c r="U1503" s="6" t="str">
        <f t="shared" si="716"/>
        <v>=1.435*100000000</v>
      </c>
      <c r="V1503" s="1">
        <f>1.435*100000000</f>
        <v>143500000</v>
      </c>
      <c r="W1503" s="8">
        <f t="shared" si="733"/>
        <v>0.57744311311421348</v>
      </c>
      <c r="X1503" s="7" t="s">
        <v>10260</v>
      </c>
      <c r="Y1503" s="6" t="str">
        <f t="shared" si="717"/>
        <v>=9097*10000</v>
      </c>
      <c r="Z1503" s="1">
        <f>9097*10000</f>
        <v>90970000</v>
      </c>
      <c r="AA1503" s="8">
        <f t="shared" si="734"/>
        <v>0.72881033827442032</v>
      </c>
      <c r="AB1503" s="7" t="s">
        <v>10527</v>
      </c>
      <c r="AC1503" s="6" t="str">
        <f t="shared" si="718"/>
        <v>=5262*10000</v>
      </c>
      <c r="AD1503" s="1">
        <f>5262*10000</f>
        <v>52620000</v>
      </c>
      <c r="AE1503" s="8">
        <f t="shared" si="735"/>
        <v>2.8920118343195265</v>
      </c>
      <c r="AF1503" s="7" t="s">
        <v>7333</v>
      </c>
      <c r="AG1503" s="6" t="str">
        <f t="shared" si="719"/>
        <v>=1352*10000</v>
      </c>
      <c r="AH1503" s="1">
        <f>1352*10000</f>
        <v>13520000</v>
      </c>
      <c r="AI1503" s="8">
        <f t="shared" si="736"/>
        <v>-0.81029886347691871</v>
      </c>
      <c r="AJ1503" s="7" t="s">
        <v>14526</v>
      </c>
      <c r="AK1503" s="6" t="str">
        <f t="shared" si="720"/>
        <v>=7127*10000</v>
      </c>
      <c r="AL1503" s="1">
        <f>7127*10000</f>
        <v>71270000</v>
      </c>
      <c r="AM1503" s="8">
        <f t="shared" si="737"/>
        <v>0.6528293135435993</v>
      </c>
      <c r="AN1503" s="7" t="s">
        <v>6612</v>
      </c>
      <c r="AO1503" s="6" t="str">
        <f t="shared" si="721"/>
        <v>=4312*10000</v>
      </c>
      <c r="AP1503" s="1">
        <f>4312*10000</f>
        <v>43120000</v>
      </c>
      <c r="AQ1503" s="8">
        <f t="shared" si="738"/>
        <v>0.73590982286634465</v>
      </c>
      <c r="AR1503" s="7" t="s">
        <v>5551</v>
      </c>
      <c r="AS1503" s="6" t="str">
        <f t="shared" si="722"/>
        <v>=2484*10000</v>
      </c>
      <c r="AT1503" s="1">
        <f>2484*10000</f>
        <v>24840000</v>
      </c>
      <c r="AU1503" s="8">
        <f t="shared" si="739"/>
        <v>0.90930053804765565</v>
      </c>
      <c r="AV1503" s="7" t="s">
        <v>14527</v>
      </c>
      <c r="AW1503" s="6" t="str">
        <f t="shared" si="723"/>
        <v>=1301*10000</v>
      </c>
      <c r="AX1503" s="1">
        <f>1301*10000</f>
        <v>13010000</v>
      </c>
      <c r="AY1503" s="10">
        <f t="shared" si="740"/>
        <v>-0.86509746992948988</v>
      </c>
      <c r="AZ1503" s="7" t="s">
        <v>14528</v>
      </c>
      <c r="BA1503" s="6" t="str">
        <f t="shared" si="724"/>
        <v>=9644*10000</v>
      </c>
      <c r="BB1503" s="1">
        <f>9644*10000</f>
        <v>96440000</v>
      </c>
      <c r="BC1503" s="8">
        <f t="shared" si="741"/>
        <v>0.13033286451007969</v>
      </c>
      <c r="BD1503" s="7" t="s">
        <v>5777</v>
      </c>
      <c r="BE1503" s="6" t="str">
        <f t="shared" si="725"/>
        <v>=8532*10000</v>
      </c>
      <c r="BF1503" s="1">
        <f>8532*10000</f>
        <v>85320000</v>
      </c>
      <c r="BG1503" s="8">
        <f t="shared" si="742"/>
        <v>0.63636363636363635</v>
      </c>
      <c r="BH1503" s="7" t="s">
        <v>14529</v>
      </c>
      <c r="BI1503" s="6" t="str">
        <f t="shared" si="726"/>
        <v>=5214*10000</v>
      </c>
      <c r="BJ1503" s="1">
        <f>5214*10000</f>
        <v>52140000</v>
      </c>
      <c r="BK1503" s="7" t="s">
        <v>14530</v>
      </c>
      <c r="BL1503" s="1" t="str">
        <f t="shared" si="728"/>
        <v>=1917*10000</v>
      </c>
      <c r="BM1503" s="16">
        <f t="shared" si="743"/>
        <v>1.7198748043818466</v>
      </c>
      <c r="BN1503" s="1">
        <f>1917*10000</f>
        <v>19170000</v>
      </c>
    </row>
    <row r="1504" spans="1:66">
      <c r="A1504" s="18"/>
      <c r="B1504">
        <v>601882</v>
      </c>
      <c r="C1504" t="s">
        <v>58</v>
      </c>
      <c r="D1504" s="6" t="s">
        <v>14531</v>
      </c>
      <c r="E1504" s="7" t="str">
        <f t="shared" si="727"/>
        <v>=4.121*100000000</v>
      </c>
      <c r="F1504" s="1">
        <f>4.121*100000000</f>
        <v>412100000.00000006</v>
      </c>
      <c r="G1504" s="8">
        <f t="shared" si="729"/>
        <v>0.39411366711772688</v>
      </c>
      <c r="H1504" s="6" t="s">
        <v>14532</v>
      </c>
      <c r="I1504" s="6" t="str">
        <f t="shared" si="713"/>
        <v>=2.956*100000000</v>
      </c>
      <c r="J1504" s="1">
        <f>2.956*100000000</f>
        <v>295600000</v>
      </c>
      <c r="K1504" s="10">
        <f t="shared" si="730"/>
        <v>0.65231973169368362</v>
      </c>
      <c r="L1504" s="6" t="s">
        <v>10945</v>
      </c>
      <c r="M1504" s="6" t="str">
        <f t="shared" si="714"/>
        <v>=1.789*100000000</v>
      </c>
      <c r="N1504" s="1">
        <f>1.789*100000000</f>
        <v>178900000</v>
      </c>
      <c r="O1504" s="8">
        <f t="shared" si="731"/>
        <v>1.6239366383103548</v>
      </c>
      <c r="P1504" s="7" t="s">
        <v>14533</v>
      </c>
      <c r="Q1504" s="6" t="str">
        <f t="shared" si="715"/>
        <v>=6818*10000</v>
      </c>
      <c r="R1504" s="11">
        <f>6818*10000</f>
        <v>68180000</v>
      </c>
      <c r="S1504" s="8">
        <f t="shared" si="732"/>
        <v>-0.55233092580433352</v>
      </c>
      <c r="T1504" s="6" t="s">
        <v>4605</v>
      </c>
      <c r="U1504" s="6" t="str">
        <f t="shared" si="716"/>
        <v>=1.523*100000000</v>
      </c>
      <c r="V1504" s="1">
        <f>1.523*100000000</f>
        <v>152300000</v>
      </c>
      <c r="W1504" s="8">
        <f t="shared" si="733"/>
        <v>0.5278892455858748</v>
      </c>
      <c r="X1504" s="7" t="s">
        <v>14534</v>
      </c>
      <c r="Y1504" s="6" t="str">
        <f t="shared" si="717"/>
        <v>=9968*10000</v>
      </c>
      <c r="Z1504" s="1">
        <f>9968*10000</f>
        <v>99680000</v>
      </c>
      <c r="AA1504" s="8">
        <f t="shared" si="734"/>
        <v>0.6351706036745407</v>
      </c>
      <c r="AB1504" s="7" t="s">
        <v>14535</v>
      </c>
      <c r="AC1504" s="6" t="str">
        <f t="shared" si="718"/>
        <v>=6096*10000</v>
      </c>
      <c r="AD1504" s="1">
        <f>6096*10000</f>
        <v>60960000</v>
      </c>
      <c r="AE1504" s="8">
        <f t="shared" si="735"/>
        <v>3.4856512141280351</v>
      </c>
      <c r="AF1504" s="7" t="s">
        <v>14536</v>
      </c>
      <c r="AG1504" s="6" t="str">
        <f t="shared" si="719"/>
        <v>=1359*10000</v>
      </c>
      <c r="AH1504" s="1">
        <f>1359*10000</f>
        <v>13590000</v>
      </c>
      <c r="AI1504" s="8">
        <f t="shared" si="736"/>
        <v>-0.84966814159292037</v>
      </c>
      <c r="AJ1504" s="7" t="s">
        <v>11278</v>
      </c>
      <c r="AK1504" s="6" t="str">
        <f t="shared" si="720"/>
        <v>=9040*10000</v>
      </c>
      <c r="AL1504" s="1">
        <f>9040*10000</f>
        <v>90400000</v>
      </c>
      <c r="AM1504" s="8">
        <f t="shared" si="737"/>
        <v>0.46515397082658022</v>
      </c>
      <c r="AN1504" s="7" t="s">
        <v>14537</v>
      </c>
      <c r="AO1504" s="6" t="str">
        <f t="shared" si="721"/>
        <v>=6170*10000</v>
      </c>
      <c r="AP1504" s="1">
        <f>6170*10000</f>
        <v>61700000</v>
      </c>
      <c r="AQ1504" s="8">
        <f t="shared" si="738"/>
        <v>0.43355018587360594</v>
      </c>
      <c r="AR1504" s="7" t="s">
        <v>14538</v>
      </c>
      <c r="AS1504" s="6" t="str">
        <f t="shared" si="722"/>
        <v>=4304*10000</v>
      </c>
      <c r="AT1504" s="1">
        <f>4304*10000</f>
        <v>43040000</v>
      </c>
      <c r="AU1504" s="8">
        <f t="shared" si="739"/>
        <v>2.0309859154929577</v>
      </c>
      <c r="AV1504" s="7" t="s">
        <v>7280</v>
      </c>
      <c r="AW1504" s="6" t="str">
        <f t="shared" si="723"/>
        <v>=1420*10000</v>
      </c>
      <c r="AX1504" s="1">
        <f>1420*10000</f>
        <v>14200000</v>
      </c>
      <c r="AY1504" s="10">
        <f t="shared" si="740"/>
        <v>-0.88087248322147649</v>
      </c>
      <c r="AZ1504" s="6" t="s">
        <v>2162</v>
      </c>
      <c r="BA1504" s="6" t="str">
        <f t="shared" si="724"/>
        <v>=1.192*100000000</v>
      </c>
      <c r="BB1504" s="1">
        <f>1.192*100000000</f>
        <v>119200000</v>
      </c>
      <c r="BC1504" s="8">
        <f t="shared" si="741"/>
        <v>0.22988031366075112</v>
      </c>
      <c r="BD1504" s="7" t="s">
        <v>14539</v>
      </c>
      <c r="BE1504" s="6" t="str">
        <f t="shared" si="725"/>
        <v>=9692*10000</v>
      </c>
      <c r="BF1504" s="1">
        <f>9692*10000</f>
        <v>96920000</v>
      </c>
      <c r="BG1504" s="8">
        <f t="shared" si="742"/>
        <v>0.55945293644408689</v>
      </c>
      <c r="BH1504" s="7" t="s">
        <v>14540</v>
      </c>
      <c r="BI1504" s="6" t="str">
        <f t="shared" si="726"/>
        <v>=6215*10000</v>
      </c>
      <c r="BJ1504" s="1">
        <f>6215*10000</f>
        <v>62150000</v>
      </c>
      <c r="BK1504" s="7" t="s">
        <v>14541</v>
      </c>
      <c r="BL1504" s="1" t="str">
        <f t="shared" si="728"/>
        <v>=1801*10000</v>
      </c>
      <c r="BM1504" s="16">
        <f t="shared" si="743"/>
        <v>2.4508606329816769</v>
      </c>
      <c r="BN1504" s="1">
        <f>1801*10000</f>
        <v>18010000</v>
      </c>
    </row>
    <row r="1505" spans="1:66">
      <c r="A1505" s="19"/>
      <c r="B1505">
        <v>601882</v>
      </c>
      <c r="C1505" t="s">
        <v>68</v>
      </c>
      <c r="D1505" s="6" t="s">
        <v>14542</v>
      </c>
      <c r="E1505" s="7" t="str">
        <f t="shared" si="727"/>
        <v>=3.711*100000000</v>
      </c>
      <c r="F1505" s="1">
        <f>3.711*100000000</f>
        <v>371100000</v>
      </c>
      <c r="G1505" s="8">
        <f t="shared" si="729"/>
        <v>0.41210045662100458</v>
      </c>
      <c r="H1505" s="6" t="s">
        <v>10543</v>
      </c>
      <c r="I1505" s="6" t="str">
        <f t="shared" si="713"/>
        <v>=2.628*100000000</v>
      </c>
      <c r="J1505" s="1">
        <f>2.628*100000000</f>
        <v>262800000</v>
      </c>
      <c r="K1505" s="10">
        <f t="shared" si="730"/>
        <v>0.65491183879093195</v>
      </c>
      <c r="L1505" s="6" t="s">
        <v>2207</v>
      </c>
      <c r="M1505" s="6" t="str">
        <f t="shared" si="714"/>
        <v>=1.588*100000000</v>
      </c>
      <c r="N1505" s="1">
        <f>1.588*100000000</f>
        <v>158800000</v>
      </c>
      <c r="O1505" s="8">
        <f t="shared" si="731"/>
        <v>1.5563425627817129</v>
      </c>
      <c r="P1505" s="7" t="s">
        <v>14543</v>
      </c>
      <c r="Q1505" s="6" t="str">
        <f t="shared" si="715"/>
        <v>=6212*10000</v>
      </c>
      <c r="R1505" s="11">
        <f>6212*10000</f>
        <v>62120000</v>
      </c>
      <c r="S1505" s="8">
        <f t="shared" si="732"/>
        <v>-0.550506512301013</v>
      </c>
      <c r="T1505" s="6" t="s">
        <v>12531</v>
      </c>
      <c r="U1505" s="6" t="str">
        <f t="shared" si="716"/>
        <v>=1.382*100000000</v>
      </c>
      <c r="V1505" s="1">
        <f>1.382*100000000</f>
        <v>138200000</v>
      </c>
      <c r="W1505" s="8">
        <f t="shared" si="733"/>
        <v>0.54292731941498273</v>
      </c>
      <c r="X1505" s="7" t="s">
        <v>14544</v>
      </c>
      <c r="Y1505" s="6" t="str">
        <f t="shared" si="717"/>
        <v>=8957*10000</v>
      </c>
      <c r="Z1505" s="1">
        <f>8957*10000</f>
        <v>89570000</v>
      </c>
      <c r="AA1505" s="8">
        <f t="shared" si="734"/>
        <v>0.67233009708737868</v>
      </c>
      <c r="AB1505" s="7" t="s">
        <v>14545</v>
      </c>
      <c r="AC1505" s="6" t="str">
        <f t="shared" si="718"/>
        <v>=5356*10000</v>
      </c>
      <c r="AD1505" s="1">
        <f>5356*10000</f>
        <v>53560000</v>
      </c>
      <c r="AE1505" s="8">
        <f t="shared" si="735"/>
        <v>3.6493055555555554</v>
      </c>
      <c r="AF1505" s="7" t="s">
        <v>2497</v>
      </c>
      <c r="AG1505" s="6" t="str">
        <f t="shared" si="719"/>
        <v>=1152*10000</v>
      </c>
      <c r="AH1505" s="1">
        <f>1152*10000</f>
        <v>11520000</v>
      </c>
      <c r="AI1505" s="8">
        <f t="shared" si="736"/>
        <v>-0.8498435870698644</v>
      </c>
      <c r="AJ1505" s="7" t="s">
        <v>14546</v>
      </c>
      <c r="AK1505" s="6" t="str">
        <f t="shared" si="720"/>
        <v>=7672*10000</v>
      </c>
      <c r="AL1505" s="1">
        <f>7672*10000</f>
        <v>76720000</v>
      </c>
      <c r="AM1505" s="8">
        <f t="shared" si="737"/>
        <v>0.48768663951910024</v>
      </c>
      <c r="AN1505" s="7" t="s">
        <v>14547</v>
      </c>
      <c r="AO1505" s="6" t="str">
        <f t="shared" si="721"/>
        <v>=5157*10000</v>
      </c>
      <c r="AP1505" s="1">
        <f>5157*10000</f>
        <v>51570000</v>
      </c>
      <c r="AQ1505" s="8">
        <f t="shared" si="738"/>
        <v>0.46422487223168657</v>
      </c>
      <c r="AR1505" s="7" t="s">
        <v>14548</v>
      </c>
      <c r="AS1505" s="6" t="str">
        <f t="shared" si="722"/>
        <v>=3522*10000</v>
      </c>
      <c r="AT1505" s="1">
        <f>3522*10000</f>
        <v>35220000</v>
      </c>
      <c r="AU1505" s="8">
        <f t="shared" si="739"/>
        <v>2.2611111111111111</v>
      </c>
      <c r="AV1505" s="7" t="s">
        <v>14549</v>
      </c>
      <c r="AW1505" s="6" t="str">
        <f t="shared" si="723"/>
        <v>=1080*10000</v>
      </c>
      <c r="AX1505" s="1">
        <f>1080*10000</f>
        <v>10800000</v>
      </c>
      <c r="AY1505" s="10">
        <f t="shared" si="740"/>
        <v>-0.89432485322896282</v>
      </c>
      <c r="AZ1505" s="6" t="s">
        <v>2931</v>
      </c>
      <c r="BA1505" s="6" t="str">
        <f t="shared" si="724"/>
        <v>=1.022*100000000</v>
      </c>
      <c r="BB1505" s="1">
        <f>1.022*100000000</f>
        <v>102200000</v>
      </c>
      <c r="BC1505" s="8">
        <f t="shared" si="741"/>
        <v>0.23713836097324778</v>
      </c>
      <c r="BD1505" s="7" t="s">
        <v>14550</v>
      </c>
      <c r="BE1505" s="6" t="str">
        <f t="shared" si="725"/>
        <v>=8261*10000</v>
      </c>
      <c r="BF1505" s="1">
        <f>8261*10000</f>
        <v>82610000</v>
      </c>
      <c r="BG1505" s="8">
        <f t="shared" si="742"/>
        <v>0.5522360015031943</v>
      </c>
      <c r="BH1505" s="7" t="s">
        <v>14551</v>
      </c>
      <c r="BI1505" s="6" t="str">
        <f t="shared" si="726"/>
        <v>=5322*10000</v>
      </c>
      <c r="BJ1505" s="1">
        <f>5322*10000</f>
        <v>53220000</v>
      </c>
      <c r="BK1505" s="7" t="s">
        <v>7046</v>
      </c>
      <c r="BL1505" s="1" t="str">
        <f t="shared" si="728"/>
        <v>=1442*10000</v>
      </c>
      <c r="BM1505" s="16">
        <f t="shared" si="743"/>
        <v>2.6907073509015258</v>
      </c>
      <c r="BN1505" s="1">
        <f>1442*10000</f>
        <v>14420000</v>
      </c>
    </row>
    <row r="1506" spans="1:66">
      <c r="A1506" s="17">
        <v>378</v>
      </c>
      <c r="B1506">
        <v>601886</v>
      </c>
      <c r="C1506" t="s">
        <v>31</v>
      </c>
      <c r="D1506" s="6" t="s">
        <v>14552</v>
      </c>
      <c r="E1506" s="7" t="str">
        <f t="shared" si="727"/>
        <v>=207.9*100000000</v>
      </c>
      <c r="F1506" s="1">
        <f>207.9*100000000</f>
        <v>20790000000</v>
      </c>
      <c r="G1506" s="8">
        <f t="shared" si="729"/>
        <v>0.46408450704225351</v>
      </c>
      <c r="H1506" s="6" t="s">
        <v>14553</v>
      </c>
      <c r="I1506" s="6" t="str">
        <f t="shared" si="713"/>
        <v>=142.0*100000000</v>
      </c>
      <c r="J1506" s="1">
        <f>142*100000000</f>
        <v>14200000000</v>
      </c>
      <c r="K1506" s="10">
        <f t="shared" si="730"/>
        <v>0.63293468261269548</v>
      </c>
      <c r="L1506" s="6" t="s">
        <v>9162</v>
      </c>
      <c r="M1506" s="6" t="str">
        <f t="shared" si="714"/>
        <v>=86.96*100000000</v>
      </c>
      <c r="N1506" s="1">
        <f>86.96*100000000</f>
        <v>8696000000</v>
      </c>
      <c r="O1506" s="8">
        <f t="shared" si="731"/>
        <v>1.8051612903225807</v>
      </c>
      <c r="P1506" s="6" t="s">
        <v>7078</v>
      </c>
      <c r="Q1506" s="6" t="str">
        <f t="shared" si="715"/>
        <v>=31.00*100000000</v>
      </c>
      <c r="R1506" s="11">
        <f>31*100000000</f>
        <v>3100000000</v>
      </c>
      <c r="S1506" s="8">
        <f t="shared" si="732"/>
        <v>-0.82825484764542934</v>
      </c>
      <c r="T1506" s="6" t="s">
        <v>5346</v>
      </c>
      <c r="U1506" s="6" t="str">
        <f t="shared" si="716"/>
        <v>=180.5*100000000</v>
      </c>
      <c r="V1506" s="1">
        <f>180.5*100000000</f>
        <v>18050000000</v>
      </c>
      <c r="W1506" s="8">
        <f t="shared" si="733"/>
        <v>0.5104602510460251</v>
      </c>
      <c r="X1506" s="6" t="s">
        <v>7920</v>
      </c>
      <c r="Y1506" s="6" t="str">
        <f t="shared" si="717"/>
        <v>=119.5*100000000</v>
      </c>
      <c r="Z1506" s="1">
        <f>119.5*100000000</f>
        <v>11950000000</v>
      </c>
      <c r="AA1506" s="8">
        <f t="shared" si="734"/>
        <v>0.77457677457677454</v>
      </c>
      <c r="AB1506" s="6" t="s">
        <v>14554</v>
      </c>
      <c r="AC1506" s="6" t="str">
        <f t="shared" si="718"/>
        <v>=67.34*100000000</v>
      </c>
      <c r="AD1506" s="1">
        <f>67.34*100000000</f>
        <v>6734000000</v>
      </c>
      <c r="AE1506" s="8">
        <f t="shared" si="735"/>
        <v>1.9025862068965518</v>
      </c>
      <c r="AF1506" s="6" t="s">
        <v>14555</v>
      </c>
      <c r="AG1506" s="6" t="str">
        <f t="shared" si="719"/>
        <v>=23.20*100000000</v>
      </c>
      <c r="AH1506" s="1">
        <f>23.2*100000000</f>
        <v>2320000000</v>
      </c>
      <c r="AI1506" s="8">
        <f t="shared" si="736"/>
        <v>-0.87666135034556092</v>
      </c>
      <c r="AJ1506" s="6" t="s">
        <v>14556</v>
      </c>
      <c r="AK1506" s="6" t="str">
        <f t="shared" si="720"/>
        <v>=188.1*100000000</v>
      </c>
      <c r="AL1506" s="1">
        <f>188.1*100000000</f>
        <v>18810000000</v>
      </c>
      <c r="AM1506" s="8">
        <f t="shared" si="737"/>
        <v>0.51693548387096777</v>
      </c>
      <c r="AN1506" s="6" t="s">
        <v>13594</v>
      </c>
      <c r="AO1506" s="6" t="str">
        <f t="shared" si="721"/>
        <v>=124.0*100000000</v>
      </c>
      <c r="AP1506" s="1">
        <f>124*100000000</f>
        <v>12400000000</v>
      </c>
      <c r="AQ1506" s="8">
        <f t="shared" si="738"/>
        <v>0.62922086453816839</v>
      </c>
      <c r="AR1506" s="6" t="s">
        <v>1487</v>
      </c>
      <c r="AS1506" s="6" t="str">
        <f t="shared" si="722"/>
        <v>=76.11*100000000</v>
      </c>
      <c r="AT1506" s="1">
        <f>76.11*100000000</f>
        <v>7611000000</v>
      </c>
      <c r="AU1506" s="8">
        <f t="shared" si="739"/>
        <v>1.4929577464788732</v>
      </c>
      <c r="AV1506" s="6" t="s">
        <v>14557</v>
      </c>
      <c r="AW1506" s="6" t="str">
        <f t="shared" si="723"/>
        <v>=30.53*100000000</v>
      </c>
      <c r="AX1506" s="1">
        <f>30.53*100000000</f>
        <v>3053000000</v>
      </c>
      <c r="AY1506" s="10">
        <f t="shared" si="740"/>
        <v>-0.80966334164588527</v>
      </c>
      <c r="AZ1506" s="6" t="s">
        <v>14558</v>
      </c>
      <c r="BA1506" s="6" t="str">
        <f t="shared" si="724"/>
        <v>=160.4*100000000</v>
      </c>
      <c r="BB1506" s="1">
        <f>160.4*100000000</f>
        <v>16040000000</v>
      </c>
      <c r="BC1506" s="8">
        <f t="shared" si="741"/>
        <v>0.44896115627822947</v>
      </c>
      <c r="BD1506" s="6" t="s">
        <v>3996</v>
      </c>
      <c r="BE1506" s="6" t="str">
        <f t="shared" si="725"/>
        <v>=110.7*100000000</v>
      </c>
      <c r="BF1506" s="1">
        <f>110.7*100000000</f>
        <v>11070000000</v>
      </c>
      <c r="BG1506" s="8">
        <f t="shared" si="742"/>
        <v>0.53430353430353406</v>
      </c>
      <c r="BH1506" s="6" t="s">
        <v>14559</v>
      </c>
      <c r="BI1506" s="6" t="str">
        <f t="shared" si="726"/>
        <v>=72.15*100000000</v>
      </c>
      <c r="BJ1506" s="1">
        <f>72.15*100000000</f>
        <v>7215000000.000001</v>
      </c>
      <c r="BK1506" s="6" t="s">
        <v>14560</v>
      </c>
      <c r="BL1506" s="1" t="str">
        <f t="shared" si="728"/>
        <v>=30.28*100000000</v>
      </c>
      <c r="BM1506" s="16">
        <f t="shared" si="743"/>
        <v>1.3827608982826951</v>
      </c>
      <c r="BN1506" s="1">
        <f>30.28*100000000</f>
        <v>3028000000</v>
      </c>
    </row>
    <row r="1507" spans="1:66">
      <c r="A1507" s="18"/>
      <c r="B1507">
        <v>601886</v>
      </c>
      <c r="C1507" t="s">
        <v>48</v>
      </c>
      <c r="D1507" s="6">
        <f>-10.01*100000000</f>
        <v>-1001000000</v>
      </c>
      <c r="E1507" s="7" t="str">
        <f t="shared" si="727"/>
        <v>=-1001000000</v>
      </c>
      <c r="F1507" s="1">
        <f>-1001000000</f>
        <v>-1001000000</v>
      </c>
      <c r="G1507" s="8">
        <f t="shared" si="729"/>
        <v>-2.5113996678242487</v>
      </c>
      <c r="H1507" s="6" t="s">
        <v>2032</v>
      </c>
      <c r="I1507" s="6" t="str">
        <f t="shared" si="713"/>
        <v>=6.623*100000000</v>
      </c>
      <c r="J1507" s="1">
        <f>6.623*100000000</f>
        <v>662300000</v>
      </c>
      <c r="K1507" s="10">
        <f t="shared" si="730"/>
        <v>0.40854955338153975</v>
      </c>
      <c r="L1507" s="6" t="s">
        <v>6751</v>
      </c>
      <c r="M1507" s="6" t="str">
        <f t="shared" si="714"/>
        <v>=4.702*100000000</v>
      </c>
      <c r="N1507" s="1">
        <f>4.702*100000000</f>
        <v>470200000</v>
      </c>
      <c r="O1507" s="8">
        <f t="shared" si="731"/>
        <v>0.90518638573743926</v>
      </c>
      <c r="P1507" s="6" t="s">
        <v>14561</v>
      </c>
      <c r="Q1507" s="6" t="str">
        <f t="shared" si="715"/>
        <v>=2.468*100000000</v>
      </c>
      <c r="R1507" s="11">
        <f>2.468*100000000</f>
        <v>246800000</v>
      </c>
      <c r="S1507" s="8">
        <f t="shared" si="732"/>
        <v>-0.80927357032457492</v>
      </c>
      <c r="T1507" s="6" t="s">
        <v>913</v>
      </c>
      <c r="U1507" s="6" t="str">
        <f t="shared" si="716"/>
        <v>=12.94*100000000</v>
      </c>
      <c r="V1507" s="1">
        <f>12.94*100000000</f>
        <v>1294000000</v>
      </c>
      <c r="W1507" s="8">
        <f t="shared" si="733"/>
        <v>1.1711409395973154</v>
      </c>
      <c r="X1507" s="6" t="s">
        <v>497</v>
      </c>
      <c r="Y1507" s="6" t="str">
        <f t="shared" si="717"/>
        <v>=5.960*100000000</v>
      </c>
      <c r="Z1507" s="1">
        <f>5.96*100000000</f>
        <v>596000000</v>
      </c>
      <c r="AA1507" s="8">
        <f t="shared" si="734"/>
        <v>0.9496238141969251</v>
      </c>
      <c r="AB1507" s="6" t="s">
        <v>6790</v>
      </c>
      <c r="AC1507" s="6" t="str">
        <f t="shared" si="718"/>
        <v>=3.057*100000000</v>
      </c>
      <c r="AD1507" s="1">
        <f>3.057*100000000</f>
        <v>305700000</v>
      </c>
      <c r="AE1507" s="8">
        <f t="shared" si="735"/>
        <v>7.1737967914438503</v>
      </c>
      <c r="AF1507" s="7" t="s">
        <v>14562</v>
      </c>
      <c r="AG1507" s="6" t="str">
        <f t="shared" si="719"/>
        <v>=3740*10000</v>
      </c>
      <c r="AH1507" s="1">
        <f>3740*10000</f>
        <v>37400000</v>
      </c>
      <c r="AI1507" s="8">
        <f t="shared" si="736"/>
        <v>-0.94320425208807901</v>
      </c>
      <c r="AJ1507" s="6" t="s">
        <v>14563</v>
      </c>
      <c r="AK1507" s="6" t="str">
        <f t="shared" si="720"/>
        <v>=6.585*100000000</v>
      </c>
      <c r="AL1507" s="1">
        <f>6.585*100000000</f>
        <v>658500000</v>
      </c>
      <c r="AM1507" s="8">
        <f t="shared" si="737"/>
        <v>-7.798935872304677E-2</v>
      </c>
      <c r="AN1507" s="6" t="s">
        <v>14564</v>
      </c>
      <c r="AO1507" s="6" t="str">
        <f t="shared" si="721"/>
        <v>=7.142*100000000</v>
      </c>
      <c r="AP1507" s="1">
        <f>7.142*100000000</f>
        <v>714200000</v>
      </c>
      <c r="AQ1507" s="8">
        <f t="shared" si="738"/>
        <v>0.62465878070973613</v>
      </c>
      <c r="AR1507" s="6" t="s">
        <v>7958</v>
      </c>
      <c r="AS1507" s="6" t="str">
        <f t="shared" si="722"/>
        <v>=4.396*100000000</v>
      </c>
      <c r="AT1507" s="1">
        <f>4.396*100000000</f>
        <v>439600000</v>
      </c>
      <c r="AU1507" s="8">
        <f t="shared" si="739"/>
        <v>2.2928838951310859</v>
      </c>
      <c r="AV1507" s="6" t="s">
        <v>14565</v>
      </c>
      <c r="AW1507" s="6" t="str">
        <f t="shared" si="723"/>
        <v>=1.335*100000000</v>
      </c>
      <c r="AX1507" s="1">
        <f>1.335*100000000</f>
        <v>133500000</v>
      </c>
      <c r="AY1507" s="10">
        <f t="shared" si="740"/>
        <v>-0.84582515301997918</v>
      </c>
      <c r="AZ1507" s="6" t="s">
        <v>6452</v>
      </c>
      <c r="BA1507" s="6" t="str">
        <f t="shared" si="724"/>
        <v>=8.659*100000000</v>
      </c>
      <c r="BB1507" s="1">
        <f>8.659*100000000</f>
        <v>865900000.00000012</v>
      </c>
      <c r="BC1507" s="8">
        <f t="shared" si="741"/>
        <v>0.35170152981579789</v>
      </c>
      <c r="BD1507" s="6" t="s">
        <v>5148</v>
      </c>
      <c r="BE1507" s="6" t="str">
        <f t="shared" si="725"/>
        <v>=6.406*100000000</v>
      </c>
      <c r="BF1507" s="1">
        <f>6.406*100000000</f>
        <v>640600000</v>
      </c>
      <c r="BG1507" s="8">
        <f t="shared" si="742"/>
        <v>0.42482206405693929</v>
      </c>
      <c r="BH1507" s="6" t="s">
        <v>9198</v>
      </c>
      <c r="BI1507" s="6" t="str">
        <f t="shared" si="726"/>
        <v>=4.496*100000000</v>
      </c>
      <c r="BJ1507" s="1">
        <f>4.496*100000000</f>
        <v>449600000.00000006</v>
      </c>
      <c r="BK1507" s="6" t="s">
        <v>7827</v>
      </c>
      <c r="BL1507" s="1" t="str">
        <f t="shared" si="728"/>
        <v>=1.436*100000000</v>
      </c>
      <c r="BM1507" s="16">
        <f t="shared" si="743"/>
        <v>2.1309192200557106</v>
      </c>
      <c r="BN1507" s="1">
        <f>1.436*100000000</f>
        <v>143600000</v>
      </c>
    </row>
    <row r="1508" spans="1:66">
      <c r="A1508" s="18"/>
      <c r="B1508">
        <v>601886</v>
      </c>
      <c r="C1508" t="s">
        <v>58</v>
      </c>
      <c r="D1508" s="6">
        <f>-10.03*100000000</f>
        <v>-1002999999.9999999</v>
      </c>
      <c r="E1508" s="7" t="str">
        <f t="shared" si="727"/>
        <v>=-1003000000</v>
      </c>
      <c r="F1508" s="1">
        <f>-1003000000</f>
        <v>-1003000000</v>
      </c>
      <c r="G1508" s="8">
        <f t="shared" si="729"/>
        <v>-2.5148769068116597</v>
      </c>
      <c r="H1508" s="6" t="s">
        <v>11901</v>
      </c>
      <c r="I1508" s="6" t="str">
        <f t="shared" si="713"/>
        <v>=6.621*100000000</v>
      </c>
      <c r="J1508" s="1">
        <f>6.621*100000000</f>
        <v>662100000</v>
      </c>
      <c r="K1508" s="10">
        <f t="shared" si="730"/>
        <v>0.40932311621966777</v>
      </c>
      <c r="L1508" s="6" t="s">
        <v>14566</v>
      </c>
      <c r="M1508" s="6" t="str">
        <f t="shared" si="714"/>
        <v>=4.698*100000000</v>
      </c>
      <c r="N1508" s="1">
        <f>4.698*100000000</f>
        <v>469800000.00000006</v>
      </c>
      <c r="O1508" s="8">
        <f t="shared" si="731"/>
        <v>0.90665584415584444</v>
      </c>
      <c r="P1508" s="6" t="s">
        <v>9231</v>
      </c>
      <c r="Q1508" s="6" t="str">
        <f t="shared" si="715"/>
        <v>=2.464*100000000</v>
      </c>
      <c r="R1508" s="11">
        <f>2.464*100000000</f>
        <v>246400000</v>
      </c>
      <c r="S1508" s="8">
        <f t="shared" si="732"/>
        <v>-0.80958268933539412</v>
      </c>
      <c r="T1508" s="6" t="s">
        <v>913</v>
      </c>
      <c r="U1508" s="6" t="str">
        <f t="shared" si="716"/>
        <v>=12.94*100000000</v>
      </c>
      <c r="V1508" s="1">
        <f>12.94*100000000</f>
        <v>1294000000</v>
      </c>
      <c r="W1508" s="8">
        <f t="shared" si="733"/>
        <v>1.1784511784511784</v>
      </c>
      <c r="X1508" s="6" t="s">
        <v>14567</v>
      </c>
      <c r="Y1508" s="6" t="str">
        <f t="shared" si="717"/>
        <v>=5.940*100000000</v>
      </c>
      <c r="Z1508" s="1">
        <f>5.94*100000000</f>
        <v>594000000</v>
      </c>
      <c r="AA1508" s="8">
        <f t="shared" si="734"/>
        <v>0.95394736842105265</v>
      </c>
      <c r="AB1508" s="6" t="s">
        <v>1500</v>
      </c>
      <c r="AC1508" s="6" t="str">
        <f t="shared" si="718"/>
        <v>=3.040*100000000</v>
      </c>
      <c r="AD1508" s="1">
        <f>3.04*100000000</f>
        <v>304000000</v>
      </c>
      <c r="AE1508" s="8">
        <f t="shared" si="735"/>
        <v>7.0423280423280428</v>
      </c>
      <c r="AF1508" s="7" t="s">
        <v>3806</v>
      </c>
      <c r="AG1508" s="6" t="str">
        <f t="shared" si="719"/>
        <v>=3780*10000</v>
      </c>
      <c r="AH1508" s="1">
        <f>3780*10000</f>
        <v>37800000</v>
      </c>
      <c r="AI1508" s="8">
        <f t="shared" si="736"/>
        <v>-0.94244823386114496</v>
      </c>
      <c r="AJ1508" s="6" t="s">
        <v>14568</v>
      </c>
      <c r="AK1508" s="6" t="str">
        <f t="shared" si="720"/>
        <v>=6.568*100000000</v>
      </c>
      <c r="AL1508" s="1">
        <f>6.568*100000000</f>
        <v>656800000</v>
      </c>
      <c r="AM1508" s="8">
        <f t="shared" si="737"/>
        <v>-1.6766467065868262E-2</v>
      </c>
      <c r="AN1508" s="6" t="s">
        <v>1554</v>
      </c>
      <c r="AO1508" s="6" t="str">
        <f t="shared" si="721"/>
        <v>=6.680*100000000</v>
      </c>
      <c r="AP1508" s="1">
        <f>6.68*100000000</f>
        <v>668000000</v>
      </c>
      <c r="AQ1508" s="8">
        <f t="shared" si="738"/>
        <v>0.53105661242264479</v>
      </c>
      <c r="AR1508" s="6" t="s">
        <v>14257</v>
      </c>
      <c r="AS1508" s="6" t="str">
        <f t="shared" si="722"/>
        <v>=4.363*100000000</v>
      </c>
      <c r="AT1508" s="1">
        <f>4.363*100000000</f>
        <v>436300000.00000006</v>
      </c>
      <c r="AU1508" s="8">
        <f t="shared" si="739"/>
        <v>2.2903469079939671</v>
      </c>
      <c r="AV1508" s="6" t="s">
        <v>1655</v>
      </c>
      <c r="AW1508" s="6" t="str">
        <f t="shared" si="723"/>
        <v>=1.326*100000000</v>
      </c>
      <c r="AX1508" s="1">
        <f>1.326*100000000</f>
        <v>132600000</v>
      </c>
      <c r="AY1508" s="10">
        <f t="shared" si="740"/>
        <v>-0.84734054800828917</v>
      </c>
      <c r="AZ1508" s="6" t="s">
        <v>1300</v>
      </c>
      <c r="BA1508" s="6" t="str">
        <f t="shared" si="724"/>
        <v>=8.686*100000000</v>
      </c>
      <c r="BB1508" s="1">
        <f>8.686*100000000</f>
        <v>868600000</v>
      </c>
      <c r="BC1508" s="8">
        <f t="shared" si="741"/>
        <v>0.34437393592323168</v>
      </c>
      <c r="BD1508" s="6" t="s">
        <v>8517</v>
      </c>
      <c r="BE1508" s="6" t="str">
        <f t="shared" si="725"/>
        <v>=6.461*100000000</v>
      </c>
      <c r="BF1508" s="1">
        <f>6.461*100000000</f>
        <v>646100000</v>
      </c>
      <c r="BG1508" s="8">
        <f t="shared" si="742"/>
        <v>0.4338659565024412</v>
      </c>
      <c r="BH1508" s="6" t="s">
        <v>14569</v>
      </c>
      <c r="BI1508" s="6" t="str">
        <f t="shared" si="726"/>
        <v>=4.506*100000000</v>
      </c>
      <c r="BJ1508" s="1">
        <f>4.506*100000000</f>
        <v>450600000</v>
      </c>
      <c r="BK1508" s="6" t="s">
        <v>6274</v>
      </c>
      <c r="BL1508" s="1" t="str">
        <f t="shared" si="728"/>
        <v>=1.477*100000000</v>
      </c>
      <c r="BM1508" s="16">
        <f t="shared" si="743"/>
        <v>2.0507786052809749</v>
      </c>
      <c r="BN1508" s="1">
        <f>1.477*100000000</f>
        <v>147700000</v>
      </c>
    </row>
    <row r="1509" spans="1:66">
      <c r="A1509" s="19"/>
      <c r="B1509">
        <v>601886</v>
      </c>
      <c r="C1509" t="s">
        <v>68</v>
      </c>
      <c r="D1509" s="6">
        <f>-9.774*100000000</f>
        <v>-977399999.99999988</v>
      </c>
      <c r="E1509" s="7" t="str">
        <f t="shared" si="727"/>
        <v>=-977400000</v>
      </c>
      <c r="F1509" s="1">
        <f>-977400000</f>
        <v>-977400000</v>
      </c>
      <c r="G1509" s="8">
        <f t="shared" si="729"/>
        <v>-2.650177275029546</v>
      </c>
      <c r="H1509" s="6" t="s">
        <v>11641</v>
      </c>
      <c r="I1509" s="6" t="str">
        <f t="shared" si="713"/>
        <v>=5.923*100000000</v>
      </c>
      <c r="J1509" s="1">
        <f>5.923*100000000</f>
        <v>592300000</v>
      </c>
      <c r="K1509" s="10">
        <f t="shared" si="730"/>
        <v>0.43553078041686843</v>
      </c>
      <c r="L1509" s="6" t="s">
        <v>7542</v>
      </c>
      <c r="M1509" s="6" t="str">
        <f t="shared" si="714"/>
        <v>=4.126*100000000</v>
      </c>
      <c r="N1509" s="1">
        <f>4.126*100000000</f>
        <v>412600000.00000006</v>
      </c>
      <c r="O1509" s="8">
        <f t="shared" si="731"/>
        <v>0.80727113447218601</v>
      </c>
      <c r="P1509" s="6" t="s">
        <v>10165</v>
      </c>
      <c r="Q1509" s="6" t="str">
        <f t="shared" si="715"/>
        <v>=2.283*100000000</v>
      </c>
      <c r="R1509" s="11">
        <f>2.283*100000000</f>
        <v>228300000</v>
      </c>
      <c r="S1509" s="8">
        <f t="shared" si="732"/>
        <v>-0.79760638297872344</v>
      </c>
      <c r="T1509" s="6" t="s">
        <v>1594</v>
      </c>
      <c r="U1509" s="6" t="str">
        <f t="shared" si="716"/>
        <v>=11.28*100000000</v>
      </c>
      <c r="V1509" s="1">
        <f>11.28*100000000</f>
        <v>1128000000</v>
      </c>
      <c r="W1509" s="8">
        <f t="shared" si="733"/>
        <v>1.1155288822205551</v>
      </c>
      <c r="X1509" s="6" t="s">
        <v>10479</v>
      </c>
      <c r="Y1509" s="6" t="str">
        <f t="shared" si="717"/>
        <v>=5.332*100000000</v>
      </c>
      <c r="Z1509" s="1">
        <f>5.332*100000000</f>
        <v>533200000</v>
      </c>
      <c r="AA1509" s="8">
        <f t="shared" si="734"/>
        <v>0.98510796723752792</v>
      </c>
      <c r="AB1509" s="6" t="s">
        <v>2941</v>
      </c>
      <c r="AC1509" s="6" t="str">
        <f t="shared" si="718"/>
        <v>=2.686*100000000</v>
      </c>
      <c r="AD1509" s="1">
        <f>2.686*100000000</f>
        <v>268600000</v>
      </c>
      <c r="AE1509" s="8">
        <f t="shared" si="735"/>
        <v>6.5027932960893855</v>
      </c>
      <c r="AF1509" s="7" t="s">
        <v>14570</v>
      </c>
      <c r="AG1509" s="6" t="str">
        <f t="shared" si="719"/>
        <v>=3580*10000</v>
      </c>
      <c r="AH1509" s="1">
        <f>3580*10000</f>
        <v>35800000</v>
      </c>
      <c r="AI1509" s="8">
        <f t="shared" si="736"/>
        <v>-0.93367914042237865</v>
      </c>
      <c r="AJ1509" s="6" t="s">
        <v>6369</v>
      </c>
      <c r="AK1509" s="6" t="str">
        <f t="shared" si="720"/>
        <v>=5.398*100000000</v>
      </c>
      <c r="AL1509" s="1">
        <f>5.398*100000000</f>
        <v>539800000</v>
      </c>
      <c r="AM1509" s="8">
        <f t="shared" si="737"/>
        <v>-4.7299682315566534E-2</v>
      </c>
      <c r="AN1509" s="6" t="s">
        <v>14571</v>
      </c>
      <c r="AO1509" s="6" t="str">
        <f t="shared" si="721"/>
        <v>=5.666*100000000</v>
      </c>
      <c r="AP1509" s="1">
        <f>5.666*100000000</f>
        <v>566600000</v>
      </c>
      <c r="AQ1509" s="8">
        <f t="shared" si="738"/>
        <v>0.52640086206896552</v>
      </c>
      <c r="AR1509" s="6" t="s">
        <v>14572</v>
      </c>
      <c r="AS1509" s="6" t="str">
        <f t="shared" si="722"/>
        <v>=3.712*100000000</v>
      </c>
      <c r="AT1509" s="1">
        <f>3.712*100000000</f>
        <v>371200000</v>
      </c>
      <c r="AU1509" s="8">
        <f t="shared" si="739"/>
        <v>2.2250217202432667</v>
      </c>
      <c r="AV1509" s="6" t="s">
        <v>7907</v>
      </c>
      <c r="AW1509" s="6" t="str">
        <f t="shared" si="723"/>
        <v>=1.151*100000000</v>
      </c>
      <c r="AX1509" s="1">
        <f>1.151*100000000</f>
        <v>115100000</v>
      </c>
      <c r="AY1509" s="10">
        <f t="shared" si="740"/>
        <v>-0.8441646357974546</v>
      </c>
      <c r="AZ1509" s="6" t="s">
        <v>14573</v>
      </c>
      <c r="BA1509" s="6" t="str">
        <f t="shared" si="724"/>
        <v>=7.386*100000000</v>
      </c>
      <c r="BB1509" s="1">
        <f>7.386*100000000</f>
        <v>738600000</v>
      </c>
      <c r="BC1509" s="8">
        <f t="shared" si="741"/>
        <v>0.44342388118037912</v>
      </c>
      <c r="BD1509" s="6" t="s">
        <v>14004</v>
      </c>
      <c r="BE1509" s="6" t="str">
        <f t="shared" si="725"/>
        <v>=5.117*100000000</v>
      </c>
      <c r="BF1509" s="1">
        <f>5.117*100000000</f>
        <v>511700000</v>
      </c>
      <c r="BG1509" s="8">
        <f t="shared" si="742"/>
        <v>0.39694239694239697</v>
      </c>
      <c r="BH1509" s="6" t="s">
        <v>14574</v>
      </c>
      <c r="BI1509" s="6" t="str">
        <f t="shared" si="726"/>
        <v>=3.663*100000000</v>
      </c>
      <c r="BJ1509" s="1">
        <f>3.663*100000000</f>
        <v>366300000</v>
      </c>
      <c r="BK1509" s="6" t="s">
        <v>8716</v>
      </c>
      <c r="BL1509" s="1" t="str">
        <f t="shared" si="728"/>
        <v>=1.119*100000000</v>
      </c>
      <c r="BM1509" s="16">
        <f t="shared" si="743"/>
        <v>2.2734584450402147</v>
      </c>
      <c r="BN1509" s="1">
        <f>1.119*100000000</f>
        <v>111900000</v>
      </c>
    </row>
    <row r="1510" spans="1:66">
      <c r="A1510" s="17">
        <v>379</v>
      </c>
      <c r="B1510">
        <v>601898</v>
      </c>
      <c r="C1510" t="s">
        <v>31</v>
      </c>
      <c r="D1510" s="6" t="s">
        <v>14575</v>
      </c>
      <c r="E1510" s="7" t="str">
        <f t="shared" si="727"/>
        <v>=2311*100000000</v>
      </c>
      <c r="F1510" s="1">
        <f>2311*100000000</f>
        <v>231100000000</v>
      </c>
      <c r="G1510" s="8">
        <f t="shared" si="729"/>
        <v>0.42918985776128632</v>
      </c>
      <c r="H1510" s="6" t="s">
        <v>14576</v>
      </c>
      <c r="I1510" s="6" t="str">
        <f t="shared" si="713"/>
        <v>=1617*100000000</v>
      </c>
      <c r="J1510" s="1">
        <f>1617*100000000</f>
        <v>161700000000</v>
      </c>
      <c r="K1510" s="10">
        <f t="shared" si="730"/>
        <v>0.63796596434359809</v>
      </c>
      <c r="L1510" s="6" t="s">
        <v>14577</v>
      </c>
      <c r="M1510" s="6" t="str">
        <f t="shared" si="714"/>
        <v>=987.2*100000000</v>
      </c>
      <c r="N1510" s="1">
        <f>987.2*100000000</f>
        <v>98720000000</v>
      </c>
      <c r="O1510" s="8">
        <f t="shared" si="731"/>
        <v>1.2214221422142215</v>
      </c>
      <c r="P1510" s="6" t="s">
        <v>14578</v>
      </c>
      <c r="Q1510" s="6" t="str">
        <f t="shared" si="715"/>
        <v>=444.4*100000000</v>
      </c>
      <c r="R1510" s="11">
        <f>444.4*100000000</f>
        <v>44440000000</v>
      </c>
      <c r="S1510" s="8">
        <f t="shared" si="732"/>
        <v>-0.684822695035461</v>
      </c>
      <c r="T1510" s="6" t="s">
        <v>14579</v>
      </c>
      <c r="U1510" s="6" t="str">
        <f t="shared" si="716"/>
        <v>=1410*100000000</v>
      </c>
      <c r="V1510" s="1">
        <f>1410*100000000</f>
        <v>141000000000</v>
      </c>
      <c r="W1510" s="8">
        <f t="shared" si="733"/>
        <v>0.40718562874251496</v>
      </c>
      <c r="X1510" s="6" t="s">
        <v>14273</v>
      </c>
      <c r="Y1510" s="6" t="str">
        <f t="shared" si="717"/>
        <v>=1002*100000000</v>
      </c>
      <c r="Z1510" s="1">
        <f>1002*100000000</f>
        <v>100200000000</v>
      </c>
      <c r="AA1510" s="8">
        <f t="shared" si="734"/>
        <v>0.63218765271216815</v>
      </c>
      <c r="AB1510" s="6" t="s">
        <v>14580</v>
      </c>
      <c r="AC1510" s="6" t="str">
        <f t="shared" si="718"/>
        <v>=613.9*100000000</v>
      </c>
      <c r="AD1510" s="1">
        <f>613.9*100000000</f>
        <v>61390000000</v>
      </c>
      <c r="AE1510" s="8">
        <f t="shared" si="735"/>
        <v>1.2307412790697674</v>
      </c>
      <c r="AF1510" s="6" t="s">
        <v>14581</v>
      </c>
      <c r="AG1510" s="6" t="str">
        <f t="shared" si="719"/>
        <v>=275.2*100000000</v>
      </c>
      <c r="AH1510" s="1">
        <f>275.2*100000000</f>
        <v>27520000000</v>
      </c>
      <c r="AI1510" s="8">
        <f t="shared" si="736"/>
        <v>-0.78716163959783447</v>
      </c>
      <c r="AJ1510" s="6" t="s">
        <v>14582</v>
      </c>
      <c r="AK1510" s="6" t="str">
        <f t="shared" si="720"/>
        <v>=1293*100000000</v>
      </c>
      <c r="AL1510" s="1">
        <f>1293*100000000</f>
        <v>129300000000</v>
      </c>
      <c r="AM1510" s="8">
        <f t="shared" si="737"/>
        <v>0.37173774665817949</v>
      </c>
      <c r="AN1510" s="6" t="s">
        <v>14583</v>
      </c>
      <c r="AO1510" s="6" t="str">
        <f t="shared" si="721"/>
        <v>=942.6*100000000</v>
      </c>
      <c r="AP1510" s="1">
        <f>942.6*100000000</f>
        <v>94260000000</v>
      </c>
      <c r="AQ1510" s="8">
        <f t="shared" si="738"/>
        <v>0.54423328964613371</v>
      </c>
      <c r="AR1510" s="6" t="s">
        <v>14584</v>
      </c>
      <c r="AS1510" s="6" t="str">
        <f t="shared" si="722"/>
        <v>=610.4*100000000</v>
      </c>
      <c r="AT1510" s="1">
        <f>610.4*100000000</f>
        <v>61040000000</v>
      </c>
      <c r="AU1510" s="8">
        <f t="shared" si="739"/>
        <v>1.0656514382402706</v>
      </c>
      <c r="AV1510" s="6" t="s">
        <v>14585</v>
      </c>
      <c r="AW1510" s="6" t="str">
        <f t="shared" si="723"/>
        <v>=295.5*100000000</v>
      </c>
      <c r="AX1510" s="1">
        <f>295.5*100000000</f>
        <v>29550000000</v>
      </c>
      <c r="AY1510" s="10">
        <f t="shared" si="740"/>
        <v>-0.71613832853025938</v>
      </c>
      <c r="AZ1510" s="6" t="s">
        <v>14586</v>
      </c>
      <c r="BA1510" s="6" t="str">
        <f t="shared" si="724"/>
        <v>=1041*100000000</v>
      </c>
      <c r="BB1510" s="1">
        <f>1041*100000000</f>
        <v>104100000000</v>
      </c>
      <c r="BC1510" s="8">
        <f t="shared" si="741"/>
        <v>0.34949442571947109</v>
      </c>
      <c r="BD1510" s="6" t="s">
        <v>14587</v>
      </c>
      <c r="BE1510" s="6" t="str">
        <f t="shared" si="725"/>
        <v>=771.4*100000000</v>
      </c>
      <c r="BF1510" s="1">
        <f>771.4*100000000</f>
        <v>77140000000</v>
      </c>
      <c r="BG1510" s="8">
        <f t="shared" si="742"/>
        <v>0.53298887122416538</v>
      </c>
      <c r="BH1510" s="6" t="s">
        <v>14588</v>
      </c>
      <c r="BI1510" s="6" t="str">
        <f t="shared" si="726"/>
        <v>=503.2*100000000</v>
      </c>
      <c r="BJ1510" s="1">
        <f>503.2*100000000</f>
        <v>50320000000</v>
      </c>
      <c r="BK1510" s="6" t="s">
        <v>14589</v>
      </c>
      <c r="BL1510" s="1" t="str">
        <f t="shared" si="728"/>
        <v>=259.6*100000000</v>
      </c>
      <c r="BM1510" s="16">
        <f t="shared" si="743"/>
        <v>0.93836671802773475</v>
      </c>
      <c r="BN1510" s="1">
        <f>259.6*100000000</f>
        <v>25960000000.000004</v>
      </c>
    </row>
    <row r="1511" spans="1:66">
      <c r="A1511" s="18"/>
      <c r="B1511">
        <v>601898</v>
      </c>
      <c r="C1511" t="s">
        <v>48</v>
      </c>
      <c r="D1511" s="6" t="s">
        <v>14590</v>
      </c>
      <c r="E1511" s="7" t="str">
        <f t="shared" si="727"/>
        <v>=255.1*100000000</v>
      </c>
      <c r="F1511" s="1">
        <f>255.1*100000000</f>
        <v>25510000000</v>
      </c>
      <c r="G1511" s="8">
        <f t="shared" si="729"/>
        <v>0.2217432950191571</v>
      </c>
      <c r="H1511" s="6" t="s">
        <v>14591</v>
      </c>
      <c r="I1511" s="6" t="str">
        <f t="shared" si="713"/>
        <v>=208.8*100000000</v>
      </c>
      <c r="J1511" s="1">
        <f>208.8*100000000</f>
        <v>20880000000</v>
      </c>
      <c r="K1511" s="10">
        <f t="shared" si="730"/>
        <v>0.57942511346444803</v>
      </c>
      <c r="L1511" s="6" t="s">
        <v>5349</v>
      </c>
      <c r="M1511" s="6" t="str">
        <f t="shared" si="714"/>
        <v>=132.2*100000000</v>
      </c>
      <c r="N1511" s="1">
        <f>132.2*100000000</f>
        <v>13219999999.999998</v>
      </c>
      <c r="O1511" s="8">
        <f t="shared" si="731"/>
        <v>1.1786420566908369</v>
      </c>
      <c r="P1511" s="6" t="s">
        <v>11125</v>
      </c>
      <c r="Q1511" s="6" t="str">
        <f t="shared" si="715"/>
        <v>=60.68*100000000</v>
      </c>
      <c r="R1511" s="11">
        <f>60.68*100000000</f>
        <v>6068000000</v>
      </c>
      <c r="S1511" s="8">
        <f t="shared" si="732"/>
        <v>-0.50786699107866995</v>
      </c>
      <c r="T1511" s="6" t="s">
        <v>9420</v>
      </c>
      <c r="U1511" s="6" t="str">
        <f t="shared" si="716"/>
        <v>=123.3*100000000</v>
      </c>
      <c r="V1511" s="1">
        <f>123.3*100000000</f>
        <v>12330000000</v>
      </c>
      <c r="W1511" s="8">
        <f t="shared" si="733"/>
        <v>0.38352782764811488</v>
      </c>
      <c r="X1511" s="6" t="s">
        <v>10717</v>
      </c>
      <c r="Y1511" s="6" t="str">
        <f t="shared" si="717"/>
        <v>=89.12*100000000</v>
      </c>
      <c r="Z1511" s="1">
        <f>89.12*100000000</f>
        <v>8912000000</v>
      </c>
      <c r="AA1511" s="8">
        <f t="shared" si="734"/>
        <v>0.63103953147877012</v>
      </c>
      <c r="AB1511" s="6" t="s">
        <v>14592</v>
      </c>
      <c r="AC1511" s="6" t="str">
        <f t="shared" si="718"/>
        <v>=54.64*100000000</v>
      </c>
      <c r="AD1511" s="1">
        <f>54.64*100000000</f>
        <v>5464000000</v>
      </c>
      <c r="AE1511" s="8">
        <f t="shared" si="735"/>
        <v>1.5354988399071925</v>
      </c>
      <c r="AF1511" s="6" t="s">
        <v>12440</v>
      </c>
      <c r="AG1511" s="6" t="str">
        <f t="shared" si="719"/>
        <v>=21.55*100000000</v>
      </c>
      <c r="AH1511" s="1">
        <f>21.55*100000000</f>
        <v>2155000000</v>
      </c>
      <c r="AI1511" s="8">
        <f t="shared" si="736"/>
        <v>-0.82011686143572626</v>
      </c>
      <c r="AJ1511" s="6" t="s">
        <v>3111</v>
      </c>
      <c r="AK1511" s="6" t="str">
        <f t="shared" si="720"/>
        <v>=119.8*100000000</v>
      </c>
      <c r="AL1511" s="1">
        <f>119.8*100000000</f>
        <v>11980000000</v>
      </c>
      <c r="AM1511" s="8">
        <f t="shared" si="737"/>
        <v>4.4463818657367045E-2</v>
      </c>
      <c r="AN1511" s="6" t="s">
        <v>559</v>
      </c>
      <c r="AO1511" s="6" t="str">
        <f t="shared" si="721"/>
        <v>=114.7*100000000</v>
      </c>
      <c r="AP1511" s="1">
        <f>114.7*100000000</f>
        <v>11470000000</v>
      </c>
      <c r="AQ1511" s="8">
        <f t="shared" si="738"/>
        <v>0.43716326274902895</v>
      </c>
      <c r="AR1511" s="6" t="s">
        <v>5387</v>
      </c>
      <c r="AS1511" s="6" t="str">
        <f t="shared" si="722"/>
        <v>=79.81*100000000</v>
      </c>
      <c r="AT1511" s="1">
        <f>79.81*100000000</f>
        <v>7981000000</v>
      </c>
      <c r="AU1511" s="8">
        <f t="shared" si="739"/>
        <v>1.3281796966161026</v>
      </c>
      <c r="AV1511" s="6" t="s">
        <v>14230</v>
      </c>
      <c r="AW1511" s="6" t="str">
        <f t="shared" si="723"/>
        <v>=34.28*100000000</v>
      </c>
      <c r="AX1511" s="1">
        <f>34.28*100000000</f>
        <v>3428000000</v>
      </c>
      <c r="AY1511" s="10">
        <f t="shared" si="740"/>
        <v>-0.61142598050328723</v>
      </c>
      <c r="AZ1511" s="6" t="s">
        <v>14593</v>
      </c>
      <c r="BA1511" s="6" t="str">
        <f t="shared" si="724"/>
        <v>=88.22*100000000</v>
      </c>
      <c r="BB1511" s="1">
        <f>88.22*100000000</f>
        <v>8822000000</v>
      </c>
      <c r="BC1511" s="8">
        <f t="shared" si="741"/>
        <v>1.3906447534766119E-2</v>
      </c>
      <c r="BD1511" s="6" t="s">
        <v>6839</v>
      </c>
      <c r="BE1511" s="6" t="str">
        <f t="shared" si="725"/>
        <v>=87.01*100000000</v>
      </c>
      <c r="BF1511" s="1">
        <f>87.01*100000000</f>
        <v>8701000000</v>
      </c>
      <c r="BG1511" s="8">
        <f t="shared" si="742"/>
        <v>0.45647807164378973</v>
      </c>
      <c r="BH1511" s="6" t="s">
        <v>8556</v>
      </c>
      <c r="BI1511" s="6" t="str">
        <f t="shared" si="726"/>
        <v>=59.74*100000000</v>
      </c>
      <c r="BJ1511" s="1">
        <f>59.74*100000000</f>
        <v>5974000000</v>
      </c>
      <c r="BK1511" s="6" t="s">
        <v>5348</v>
      </c>
      <c r="BL1511" s="1" t="str">
        <f t="shared" si="728"/>
        <v>=29.05*100000000</v>
      </c>
      <c r="BM1511" s="16">
        <f t="shared" si="743"/>
        <v>1.0564543889845095</v>
      </c>
      <c r="BN1511" s="1">
        <f>29.05*100000000</f>
        <v>2905000000</v>
      </c>
    </row>
    <row r="1512" spans="1:66">
      <c r="A1512" s="18"/>
      <c r="B1512">
        <v>601898</v>
      </c>
      <c r="C1512" t="s">
        <v>58</v>
      </c>
      <c r="D1512" s="6" t="s">
        <v>1262</v>
      </c>
      <c r="E1512" s="7" t="str">
        <f t="shared" si="727"/>
        <v>=255.8*100000000</v>
      </c>
      <c r="F1512" s="1">
        <f>255.8*100000000</f>
        <v>25580000000</v>
      </c>
      <c r="G1512" s="8">
        <f t="shared" si="729"/>
        <v>0.22921672272945698</v>
      </c>
      <c r="H1512" s="6" t="s">
        <v>14594</v>
      </c>
      <c r="I1512" s="6" t="str">
        <f t="shared" si="713"/>
        <v>=208.1*100000000</v>
      </c>
      <c r="J1512" s="1">
        <f>208.1*100000000</f>
        <v>20810000000</v>
      </c>
      <c r="K1512" s="10">
        <f t="shared" si="730"/>
        <v>0.57532172596517794</v>
      </c>
      <c r="L1512" s="6" t="s">
        <v>1905</v>
      </c>
      <c r="M1512" s="6" t="str">
        <f t="shared" si="714"/>
        <v>=132.1*100000000</v>
      </c>
      <c r="N1512" s="1">
        <f>132.1*100000000</f>
        <v>13210000000</v>
      </c>
      <c r="O1512" s="8">
        <f t="shared" si="731"/>
        <v>1.1759183001153022</v>
      </c>
      <c r="P1512" s="6" t="s">
        <v>6950</v>
      </c>
      <c r="Q1512" s="6" t="str">
        <f t="shared" si="715"/>
        <v>=60.71*100000000</v>
      </c>
      <c r="R1512" s="11">
        <f>60.71*100000000</f>
        <v>6071000000</v>
      </c>
      <c r="S1512" s="8">
        <f t="shared" si="732"/>
        <v>-0.50762368207623687</v>
      </c>
      <c r="T1512" s="6" t="s">
        <v>9420</v>
      </c>
      <c r="U1512" s="6" t="str">
        <f t="shared" si="716"/>
        <v>=123.3*100000000</v>
      </c>
      <c r="V1512" s="1">
        <f>123.3*100000000</f>
        <v>12330000000</v>
      </c>
      <c r="W1512" s="8">
        <f t="shared" si="733"/>
        <v>0.38554893808293067</v>
      </c>
      <c r="X1512" s="6" t="s">
        <v>14595</v>
      </c>
      <c r="Y1512" s="6" t="str">
        <f t="shared" si="717"/>
        <v>=88.99*100000000</v>
      </c>
      <c r="Z1512" s="1">
        <f>88.99*100000000</f>
        <v>8899000000</v>
      </c>
      <c r="AA1512" s="8">
        <f t="shared" si="734"/>
        <v>0.63374334496052875</v>
      </c>
      <c r="AB1512" s="6" t="s">
        <v>12273</v>
      </c>
      <c r="AC1512" s="6" t="str">
        <f t="shared" si="718"/>
        <v>=54.47*100000000</v>
      </c>
      <c r="AD1512" s="1">
        <f>54.47*100000000</f>
        <v>5447000000</v>
      </c>
      <c r="AE1512" s="8">
        <f t="shared" si="735"/>
        <v>1.5334883720930232</v>
      </c>
      <c r="AF1512" s="6" t="s">
        <v>12118</v>
      </c>
      <c r="AG1512" s="6" t="str">
        <f t="shared" si="719"/>
        <v>=21.50*100000000</v>
      </c>
      <c r="AH1512" s="1">
        <f>21.5*100000000</f>
        <v>2150000000</v>
      </c>
      <c r="AI1512" s="8">
        <f t="shared" si="736"/>
        <v>-0.82304526748971196</v>
      </c>
      <c r="AJ1512" s="6" t="s">
        <v>2507</v>
      </c>
      <c r="AK1512" s="6" t="str">
        <f t="shared" si="720"/>
        <v>=121.5*100000000</v>
      </c>
      <c r="AL1512" s="1">
        <f>121.5*100000000</f>
        <v>12150000000</v>
      </c>
      <c r="AM1512" s="8">
        <f t="shared" si="737"/>
        <v>4.2024013722126927E-2</v>
      </c>
      <c r="AN1512" s="6" t="s">
        <v>11113</v>
      </c>
      <c r="AO1512" s="6" t="str">
        <f t="shared" si="721"/>
        <v>=116.6*100000000</v>
      </c>
      <c r="AP1512" s="1">
        <f>116.6*100000000</f>
        <v>11660000000</v>
      </c>
      <c r="AQ1512" s="8">
        <f t="shared" si="738"/>
        <v>0.46703573225968797</v>
      </c>
      <c r="AR1512" s="6" t="s">
        <v>14596</v>
      </c>
      <c r="AS1512" s="6" t="str">
        <f t="shared" si="722"/>
        <v>=79.48*100000000</v>
      </c>
      <c r="AT1512" s="1">
        <f>79.48*100000000</f>
        <v>7948000000</v>
      </c>
      <c r="AU1512" s="8">
        <f t="shared" si="739"/>
        <v>1.3205839416058394</v>
      </c>
      <c r="AV1512" s="6" t="s">
        <v>1337</v>
      </c>
      <c r="AW1512" s="6" t="str">
        <f t="shared" si="723"/>
        <v>=34.25*100000000</v>
      </c>
      <c r="AX1512" s="1">
        <f>34.25*100000000</f>
        <v>3425000000</v>
      </c>
      <c r="AY1512" s="10">
        <f t="shared" si="740"/>
        <v>-0.60677382319173367</v>
      </c>
      <c r="AZ1512" s="6" t="s">
        <v>14597</v>
      </c>
      <c r="BA1512" s="6" t="str">
        <f t="shared" si="724"/>
        <v>=87.10*100000000</v>
      </c>
      <c r="BB1512" s="1">
        <f>87.1*100000000</f>
        <v>8710000000</v>
      </c>
      <c r="BC1512" s="8">
        <f t="shared" si="741"/>
        <v>9.738001391143055E-3</v>
      </c>
      <c r="BD1512" s="6" t="s">
        <v>201</v>
      </c>
      <c r="BE1512" s="6" t="str">
        <f t="shared" si="725"/>
        <v>=86.26*100000000</v>
      </c>
      <c r="BF1512" s="1">
        <f>86.26*100000000</f>
        <v>8626000000</v>
      </c>
      <c r="BG1512" s="8">
        <f t="shared" si="742"/>
        <v>0.44853064651553315</v>
      </c>
      <c r="BH1512" s="6" t="s">
        <v>4370</v>
      </c>
      <c r="BI1512" s="6" t="str">
        <f t="shared" si="726"/>
        <v>=59.55*100000000</v>
      </c>
      <c r="BJ1512" s="1">
        <f>59.55*100000000</f>
        <v>5955000000</v>
      </c>
      <c r="BK1512" s="6" t="s">
        <v>14598</v>
      </c>
      <c r="BL1512" s="1" t="str">
        <f t="shared" si="728"/>
        <v>=28.97*100000000</v>
      </c>
      <c r="BM1512" s="16">
        <f t="shared" si="743"/>
        <v>1.0555747324818778</v>
      </c>
      <c r="BN1512" s="1">
        <f>28.97*100000000</f>
        <v>2897000000</v>
      </c>
    </row>
    <row r="1513" spans="1:66">
      <c r="A1513" s="19"/>
      <c r="B1513">
        <v>601898</v>
      </c>
      <c r="C1513" t="s">
        <v>68</v>
      </c>
      <c r="D1513" s="6" t="s">
        <v>6986</v>
      </c>
      <c r="E1513" s="7" t="str">
        <f t="shared" si="727"/>
        <v>=190.0*100000000</v>
      </c>
      <c r="F1513" s="1">
        <f>190*100000000</f>
        <v>19000000000</v>
      </c>
      <c r="G1513" s="8">
        <f t="shared" si="729"/>
        <v>0.16564417177914109</v>
      </c>
      <c r="H1513" s="6" t="s">
        <v>5761</v>
      </c>
      <c r="I1513" s="6" t="str">
        <f t="shared" si="713"/>
        <v>=163.0*100000000</v>
      </c>
      <c r="J1513" s="1">
        <f>163*100000000</f>
        <v>16300000000</v>
      </c>
      <c r="K1513" s="10">
        <f t="shared" si="730"/>
        <v>0.58714703018500491</v>
      </c>
      <c r="L1513" s="6" t="s">
        <v>10092</v>
      </c>
      <c r="M1513" s="6" t="str">
        <f t="shared" si="714"/>
        <v>=102.7*100000000</v>
      </c>
      <c r="N1513" s="1">
        <f>102.7*100000000</f>
        <v>10270000000</v>
      </c>
      <c r="O1513" s="8">
        <f t="shared" si="731"/>
        <v>1.1846415656243352</v>
      </c>
      <c r="P1513" s="6" t="s">
        <v>9571</v>
      </c>
      <c r="Q1513" s="6" t="str">
        <f t="shared" si="715"/>
        <v>=47.01*100000000</v>
      </c>
      <c r="R1513" s="11">
        <f>47.01*100000000</f>
        <v>4701000000</v>
      </c>
      <c r="S1513" s="8">
        <f t="shared" si="732"/>
        <v>-0.47351327136297455</v>
      </c>
      <c r="T1513" s="6" t="s">
        <v>2737</v>
      </c>
      <c r="U1513" s="6" t="str">
        <f t="shared" si="716"/>
        <v>=89.29*100000000</v>
      </c>
      <c r="V1513" s="1">
        <f>89.29*100000000</f>
        <v>8929000000</v>
      </c>
      <c r="W1513" s="8">
        <f t="shared" si="733"/>
        <v>0.36780024509803921</v>
      </c>
      <c r="X1513" s="6" t="s">
        <v>14599</v>
      </c>
      <c r="Y1513" s="6" t="str">
        <f t="shared" si="717"/>
        <v>=65.28*100000000</v>
      </c>
      <c r="Z1513" s="1">
        <f>65.28*100000000</f>
        <v>6528000000</v>
      </c>
      <c r="AA1513" s="8">
        <f t="shared" si="734"/>
        <v>0.70044282365199273</v>
      </c>
      <c r="AB1513" s="6" t="s">
        <v>1176</v>
      </c>
      <c r="AC1513" s="6" t="str">
        <f t="shared" si="718"/>
        <v>=38.39*100000000</v>
      </c>
      <c r="AD1513" s="1">
        <f>38.39*100000000</f>
        <v>3839000000</v>
      </c>
      <c r="AE1513" s="8">
        <f t="shared" si="735"/>
        <v>1.7265625</v>
      </c>
      <c r="AF1513" s="6" t="s">
        <v>14085</v>
      </c>
      <c r="AG1513" s="6" t="str">
        <f t="shared" si="719"/>
        <v>=14.08*100000000</v>
      </c>
      <c r="AH1513" s="1">
        <f>14.08*100000000</f>
        <v>1408000000</v>
      </c>
      <c r="AI1513" s="8">
        <f t="shared" si="736"/>
        <v>-0.83622193788530885</v>
      </c>
      <c r="AJ1513" s="6" t="s">
        <v>14600</v>
      </c>
      <c r="AK1513" s="6" t="str">
        <f t="shared" si="720"/>
        <v>=85.97*100000000</v>
      </c>
      <c r="AL1513" s="1">
        <f>85.97*100000000</f>
        <v>8597000000</v>
      </c>
      <c r="AM1513" s="8">
        <f t="shared" si="737"/>
        <v>-1.905522592423551E-2</v>
      </c>
      <c r="AN1513" s="6" t="s">
        <v>14601</v>
      </c>
      <c r="AO1513" s="6" t="str">
        <f t="shared" si="721"/>
        <v>=87.64*100000000</v>
      </c>
      <c r="AP1513" s="1">
        <f>87.64*100000000</f>
        <v>8764000000</v>
      </c>
      <c r="AQ1513" s="8">
        <f t="shared" si="738"/>
        <v>0.47170445004198153</v>
      </c>
      <c r="AR1513" s="6" t="s">
        <v>4370</v>
      </c>
      <c r="AS1513" s="6" t="str">
        <f t="shared" si="722"/>
        <v>=59.55*100000000</v>
      </c>
      <c r="AT1513" s="1">
        <f>59.55*100000000</f>
        <v>5955000000</v>
      </c>
      <c r="AU1513" s="8">
        <f t="shared" si="739"/>
        <v>1.2992277992277992</v>
      </c>
      <c r="AV1513" s="6" t="s">
        <v>14602</v>
      </c>
      <c r="AW1513" s="6" t="str">
        <f t="shared" si="723"/>
        <v>=25.90*100000000</v>
      </c>
      <c r="AX1513" s="1">
        <f>25.9*100000000</f>
        <v>2590000000</v>
      </c>
      <c r="AY1513" s="10">
        <f t="shared" si="740"/>
        <v>-0.57851912123677784</v>
      </c>
      <c r="AZ1513" s="6" t="s">
        <v>13081</v>
      </c>
      <c r="BA1513" s="6" t="str">
        <f t="shared" si="724"/>
        <v>=61.45*100000000</v>
      </c>
      <c r="BB1513" s="1">
        <f>61.45*100000000</f>
        <v>6145000000</v>
      </c>
      <c r="BC1513" s="8">
        <f t="shared" si="741"/>
        <v>-2.7382082937638493E-2</v>
      </c>
      <c r="BD1513" s="6" t="s">
        <v>13835</v>
      </c>
      <c r="BE1513" s="6" t="str">
        <f t="shared" si="725"/>
        <v>=63.18*100000000</v>
      </c>
      <c r="BF1513" s="1">
        <f>63.18*100000000</f>
        <v>6318000000</v>
      </c>
      <c r="BG1513" s="8">
        <f t="shared" si="742"/>
        <v>0.47272727272727272</v>
      </c>
      <c r="BH1513" s="6" t="s">
        <v>12120</v>
      </c>
      <c r="BI1513" s="6" t="str">
        <f t="shared" si="726"/>
        <v>=42.90*100000000</v>
      </c>
      <c r="BJ1513" s="1">
        <f>42.9*100000000</f>
        <v>4290000000</v>
      </c>
      <c r="BK1513" s="6" t="s">
        <v>14603</v>
      </c>
      <c r="BL1513" s="1" t="str">
        <f t="shared" si="728"/>
        <v>=21.91*100000000</v>
      </c>
      <c r="BM1513" s="16">
        <f t="shared" si="743"/>
        <v>0.95801004107713372</v>
      </c>
      <c r="BN1513" s="1">
        <f>21.91*100000000</f>
        <v>2191000000</v>
      </c>
    </row>
    <row r="1514" spans="1:66">
      <c r="A1514" s="17">
        <v>380</v>
      </c>
      <c r="B1514">
        <v>601899</v>
      </c>
      <c r="C1514" t="s">
        <v>31</v>
      </c>
      <c r="D1514" s="6" t="s">
        <v>14604</v>
      </c>
      <c r="E1514" s="7" t="str">
        <f t="shared" si="727"/>
        <v>=2251*100000000</v>
      </c>
      <c r="F1514" s="1">
        <f>2251*100000000</f>
        <v>225100000000</v>
      </c>
      <c r="G1514" s="8">
        <f t="shared" si="729"/>
        <v>0.3319526627218935</v>
      </c>
      <c r="H1514" s="6" t="s">
        <v>14605</v>
      </c>
      <c r="I1514" s="6" t="str">
        <f t="shared" si="713"/>
        <v>=1690*100000000</v>
      </c>
      <c r="J1514" s="1">
        <f>1690*100000000</f>
        <v>169000000000</v>
      </c>
      <c r="K1514" s="10">
        <f t="shared" si="730"/>
        <v>0.53776160145586893</v>
      </c>
      <c r="L1514" s="6" t="s">
        <v>14606</v>
      </c>
      <c r="M1514" s="6" t="str">
        <f t="shared" si="714"/>
        <v>=1099*100000000</v>
      </c>
      <c r="N1514" s="1">
        <f>1099*100000000</f>
        <v>109900000000</v>
      </c>
      <c r="O1514" s="8">
        <f t="shared" si="731"/>
        <v>1.3136842105263158</v>
      </c>
      <c r="P1514" s="6" t="s">
        <v>14607</v>
      </c>
      <c r="Q1514" s="6" t="str">
        <f t="shared" si="715"/>
        <v>=475.0*100000000</v>
      </c>
      <c r="R1514" s="11">
        <f>475*100000000</f>
        <v>47500000000</v>
      </c>
      <c r="S1514" s="8">
        <f t="shared" si="732"/>
        <v>-0.72303206997084546</v>
      </c>
      <c r="T1514" s="6" t="s">
        <v>14608</v>
      </c>
      <c r="U1514" s="6" t="str">
        <f t="shared" si="716"/>
        <v>=1715*100000000</v>
      </c>
      <c r="V1514" s="1">
        <f>1715*100000000</f>
        <v>171500000000</v>
      </c>
      <c r="W1514" s="8">
        <f t="shared" si="733"/>
        <v>0.31518404907975461</v>
      </c>
      <c r="X1514" s="6" t="s">
        <v>14609</v>
      </c>
      <c r="Y1514" s="6" t="str">
        <f t="shared" si="717"/>
        <v>=1304*100000000</v>
      </c>
      <c r="Z1514" s="1">
        <f>1304*100000000</f>
        <v>130400000000</v>
      </c>
      <c r="AA1514" s="8">
        <f t="shared" si="734"/>
        <v>0.56843877796487852</v>
      </c>
      <c r="AB1514" s="6" t="s">
        <v>14610</v>
      </c>
      <c r="AC1514" s="6" t="str">
        <f t="shared" si="718"/>
        <v>=831.4*100000000</v>
      </c>
      <c r="AD1514" s="1">
        <f>831.4*100000000</f>
        <v>83140000000</v>
      </c>
      <c r="AE1514" s="8">
        <f t="shared" si="735"/>
        <v>1.2992256637168142</v>
      </c>
      <c r="AF1514" s="6" t="s">
        <v>14611</v>
      </c>
      <c r="AG1514" s="6" t="str">
        <f t="shared" si="719"/>
        <v>=361.6*100000000</v>
      </c>
      <c r="AH1514" s="1">
        <f>361.6*100000000</f>
        <v>36160000000</v>
      </c>
      <c r="AI1514" s="8">
        <f t="shared" si="736"/>
        <v>-0.73431300514327702</v>
      </c>
      <c r="AJ1514" s="6" t="s">
        <v>14612</v>
      </c>
      <c r="AK1514" s="6" t="str">
        <f t="shared" si="720"/>
        <v>=1361*100000000</v>
      </c>
      <c r="AL1514" s="1">
        <f>1361*100000000</f>
        <v>136100000000</v>
      </c>
      <c r="AM1514" s="8">
        <f t="shared" si="737"/>
        <v>0.33956692913385828</v>
      </c>
      <c r="AN1514" s="6" t="s">
        <v>793</v>
      </c>
      <c r="AO1514" s="6" t="str">
        <f t="shared" si="721"/>
        <v>=1016*100000000</v>
      </c>
      <c r="AP1514" s="1">
        <f>1016*100000000</f>
        <v>101600000000</v>
      </c>
      <c r="AQ1514" s="8">
        <f t="shared" si="738"/>
        <v>0.51190476190476186</v>
      </c>
      <c r="AR1514" s="6" t="s">
        <v>14613</v>
      </c>
      <c r="AS1514" s="6" t="str">
        <f t="shared" si="722"/>
        <v>=672.0*100000000</v>
      </c>
      <c r="AT1514" s="1">
        <f>672*100000000</f>
        <v>67200000000</v>
      </c>
      <c r="AU1514" s="8">
        <f t="shared" si="739"/>
        <v>1.3140495867768596</v>
      </c>
      <c r="AV1514" s="6" t="s">
        <v>14614</v>
      </c>
      <c r="AW1514" s="6" t="str">
        <f t="shared" si="723"/>
        <v>=290.4*100000000</v>
      </c>
      <c r="AX1514" s="1">
        <f>290.4*100000000</f>
        <v>29039999999.999996</v>
      </c>
      <c r="AY1514" s="10">
        <f t="shared" si="740"/>
        <v>-0.72603773584905662</v>
      </c>
      <c r="AZ1514" s="6" t="s">
        <v>3215</v>
      </c>
      <c r="BA1514" s="6" t="str">
        <f t="shared" si="724"/>
        <v>=1060*100000000</v>
      </c>
      <c r="BB1514" s="1">
        <f>1060*100000000</f>
        <v>106000000000</v>
      </c>
      <c r="BC1514" s="8">
        <f t="shared" si="741"/>
        <v>0.39162399894971772</v>
      </c>
      <c r="BD1514" s="6" t="s">
        <v>14615</v>
      </c>
      <c r="BE1514" s="6" t="str">
        <f t="shared" si="725"/>
        <v>=761.7*100000000</v>
      </c>
      <c r="BF1514" s="1">
        <f>761.7*100000000</f>
        <v>76170000000</v>
      </c>
      <c r="BG1514" s="8">
        <f t="shared" si="742"/>
        <v>0.52921100180686609</v>
      </c>
      <c r="BH1514" s="6" t="s">
        <v>14616</v>
      </c>
      <c r="BI1514" s="6" t="str">
        <f t="shared" si="726"/>
        <v>=498.1*100000000</v>
      </c>
      <c r="BJ1514" s="1">
        <f>498.1*100000000</f>
        <v>49810000000</v>
      </c>
      <c r="BK1514" s="6" t="s">
        <v>14617</v>
      </c>
      <c r="BL1514" s="1" t="str">
        <f t="shared" si="728"/>
        <v>=228.6*100000000</v>
      </c>
      <c r="BM1514" s="16">
        <f t="shared" si="743"/>
        <v>1.1789151356080489</v>
      </c>
      <c r="BN1514" s="1">
        <f>228.6*100000000</f>
        <v>22860000000</v>
      </c>
    </row>
    <row r="1515" spans="1:66">
      <c r="A1515" s="18"/>
      <c r="B1515">
        <v>601899</v>
      </c>
      <c r="C1515" t="s">
        <v>48</v>
      </c>
      <c r="D1515" s="6" t="s">
        <v>13927</v>
      </c>
      <c r="E1515" s="7" t="str">
        <f t="shared" si="727"/>
        <v>=250.9*100000000</v>
      </c>
      <c r="F1515" s="1">
        <f>250.9*100000000</f>
        <v>25090000000</v>
      </c>
      <c r="G1515" s="8">
        <f t="shared" si="729"/>
        <v>0.34603004291845496</v>
      </c>
      <c r="H1515" s="6" t="s">
        <v>14618</v>
      </c>
      <c r="I1515" s="6" t="str">
        <f t="shared" si="713"/>
        <v>=186.4*100000000</v>
      </c>
      <c r="J1515" s="1">
        <f>186.4*100000000</f>
        <v>18640000000</v>
      </c>
      <c r="K1515" s="10">
        <f t="shared" si="730"/>
        <v>0.60275150472914873</v>
      </c>
      <c r="L1515" s="6" t="s">
        <v>5281</v>
      </c>
      <c r="M1515" s="6" t="str">
        <f t="shared" si="714"/>
        <v>=116.3*100000000</v>
      </c>
      <c r="N1515" s="1">
        <f>116.3*100000000</f>
        <v>11630000000</v>
      </c>
      <c r="O1515" s="8">
        <f t="shared" si="731"/>
        <v>1.6105499438832773</v>
      </c>
      <c r="P1515" s="6" t="s">
        <v>5366</v>
      </c>
      <c r="Q1515" s="6" t="str">
        <f t="shared" si="715"/>
        <v>=44.55*100000000</v>
      </c>
      <c r="R1515" s="11">
        <f>44.55*100000000</f>
        <v>4455000000</v>
      </c>
      <c r="S1515" s="8">
        <f t="shared" si="732"/>
        <v>-0.60364768683274017</v>
      </c>
      <c r="T1515" s="6" t="s">
        <v>1161</v>
      </c>
      <c r="U1515" s="6" t="str">
        <f t="shared" si="716"/>
        <v>=112.4*100000000</v>
      </c>
      <c r="V1515" s="1">
        <f>112.4*100000000</f>
        <v>11240000000</v>
      </c>
      <c r="W1515" s="8">
        <f t="shared" si="733"/>
        <v>0.4356878273087238</v>
      </c>
      <c r="X1515" s="6" t="s">
        <v>14619</v>
      </c>
      <c r="Y1515" s="6" t="str">
        <f t="shared" si="717"/>
        <v>=78.29*100000000</v>
      </c>
      <c r="Z1515" s="1">
        <f>78.29*100000000</f>
        <v>7829000000.000001</v>
      </c>
      <c r="AA1515" s="8">
        <f t="shared" si="734"/>
        <v>0.79564220183486256</v>
      </c>
      <c r="AB1515" s="6" t="s">
        <v>14620</v>
      </c>
      <c r="AC1515" s="6" t="str">
        <f t="shared" si="718"/>
        <v>=43.60*100000000</v>
      </c>
      <c r="AD1515" s="1">
        <f>43.6*100000000</f>
        <v>4360000000</v>
      </c>
      <c r="AE1515" s="8">
        <f t="shared" si="735"/>
        <v>1.3203831825439063</v>
      </c>
      <c r="AF1515" s="6" t="s">
        <v>14621</v>
      </c>
      <c r="AG1515" s="6" t="str">
        <f t="shared" si="719"/>
        <v>=18.79*100000000</v>
      </c>
      <c r="AH1515" s="1">
        <f>18.79*100000000</f>
        <v>1879000000</v>
      </c>
      <c r="AI1515" s="8">
        <f t="shared" si="736"/>
        <v>-0.74054128693731014</v>
      </c>
      <c r="AJ1515" s="6" t="s">
        <v>14622</v>
      </c>
      <c r="AK1515" s="6" t="str">
        <f t="shared" si="720"/>
        <v>=72.42*100000000</v>
      </c>
      <c r="AL1515" s="1">
        <f>72.42*100000000</f>
        <v>7242000000</v>
      </c>
      <c r="AM1515" s="8">
        <f t="shared" si="737"/>
        <v>0.42840236686390532</v>
      </c>
      <c r="AN1515" s="6" t="s">
        <v>14623</v>
      </c>
      <c r="AO1515" s="6" t="str">
        <f t="shared" si="721"/>
        <v>=50.70*100000000</v>
      </c>
      <c r="AP1515" s="1">
        <f>50.7*100000000</f>
        <v>5070000000</v>
      </c>
      <c r="AQ1515" s="8">
        <f t="shared" si="738"/>
        <v>0.57698289269051317</v>
      </c>
      <c r="AR1515" s="6" t="s">
        <v>5089</v>
      </c>
      <c r="AS1515" s="6" t="str">
        <f t="shared" si="722"/>
        <v>=32.15*100000000</v>
      </c>
      <c r="AT1515" s="1">
        <f>32.15*100000000</f>
        <v>3215000000</v>
      </c>
      <c r="AU1515" s="8">
        <f t="shared" si="739"/>
        <v>1.1476285905143622</v>
      </c>
      <c r="AV1515" s="6" t="s">
        <v>1738</v>
      </c>
      <c r="AW1515" s="6" t="str">
        <f t="shared" si="723"/>
        <v>=14.97*100000000</v>
      </c>
      <c r="AX1515" s="1">
        <f>14.97*100000000</f>
        <v>1497000000</v>
      </c>
      <c r="AY1515" s="10">
        <f t="shared" si="740"/>
        <v>-0.75780618022973634</v>
      </c>
      <c r="AZ1515" s="6" t="s">
        <v>14624</v>
      </c>
      <c r="BA1515" s="6" t="str">
        <f t="shared" si="724"/>
        <v>=61.81*100000000</v>
      </c>
      <c r="BB1515" s="1">
        <f>61.81*100000000</f>
        <v>6181000000</v>
      </c>
      <c r="BC1515" s="8">
        <f t="shared" si="741"/>
        <v>0.2484346596647142</v>
      </c>
      <c r="BD1515" s="6" t="s">
        <v>14625</v>
      </c>
      <c r="BE1515" s="6" t="str">
        <f t="shared" si="725"/>
        <v>=49.51*100000000</v>
      </c>
      <c r="BF1515" s="1">
        <f>49.51*100000000</f>
        <v>4951000000</v>
      </c>
      <c r="BG1515" s="8">
        <f t="shared" si="742"/>
        <v>0.31082870002647589</v>
      </c>
      <c r="BH1515" s="6" t="s">
        <v>14626</v>
      </c>
      <c r="BI1515" s="6" t="str">
        <f t="shared" si="726"/>
        <v>=37.77*100000000</v>
      </c>
      <c r="BJ1515" s="1">
        <f>37.77*100000000</f>
        <v>3777000000.0000005</v>
      </c>
      <c r="BK1515" s="6" t="s">
        <v>9524</v>
      </c>
      <c r="BL1515" s="1" t="str">
        <f t="shared" si="728"/>
        <v>=17.63*100000000</v>
      </c>
      <c r="BM1515" s="16">
        <f t="shared" si="743"/>
        <v>1.1423709585933071</v>
      </c>
      <c r="BN1515" s="1">
        <f>17.63*100000000</f>
        <v>1763000000</v>
      </c>
    </row>
    <row r="1516" spans="1:66">
      <c r="A1516" s="18"/>
      <c r="B1516">
        <v>601899</v>
      </c>
      <c r="C1516" t="s">
        <v>58</v>
      </c>
      <c r="D1516" s="6" t="s">
        <v>12862</v>
      </c>
      <c r="E1516" s="7" t="str">
        <f t="shared" si="727"/>
        <v>=247.9*100000000</v>
      </c>
      <c r="F1516" s="1">
        <f>247.9*100000000</f>
        <v>24790000000</v>
      </c>
      <c r="G1516" s="8">
        <f t="shared" si="729"/>
        <v>0.34436008676789587</v>
      </c>
      <c r="H1516" s="6" t="s">
        <v>14627</v>
      </c>
      <c r="I1516" s="6" t="str">
        <f t="shared" si="713"/>
        <v>=184.4*100000000</v>
      </c>
      <c r="J1516" s="1">
        <f>184.4*100000000</f>
        <v>18440000000</v>
      </c>
      <c r="K1516" s="10">
        <f t="shared" si="730"/>
        <v>0.60767218831734959</v>
      </c>
      <c r="L1516" s="6" t="s">
        <v>559</v>
      </c>
      <c r="M1516" s="6" t="str">
        <f t="shared" si="714"/>
        <v>=114.7*100000000</v>
      </c>
      <c r="N1516" s="1">
        <f>114.7*100000000</f>
        <v>11470000000</v>
      </c>
      <c r="O1516" s="8">
        <f t="shared" si="731"/>
        <v>1.6361755918179728</v>
      </c>
      <c r="P1516" s="6" t="s">
        <v>1101</v>
      </c>
      <c r="Q1516" s="6" t="str">
        <f t="shared" si="715"/>
        <v>=43.51*100000000</v>
      </c>
      <c r="R1516" s="11">
        <f>43.51*100000000</f>
        <v>4351000000</v>
      </c>
      <c r="S1516" s="8">
        <f t="shared" si="732"/>
        <v>-0.59898617511520735</v>
      </c>
      <c r="T1516" s="6" t="s">
        <v>881</v>
      </c>
      <c r="U1516" s="6" t="str">
        <f t="shared" si="716"/>
        <v>=108.5*100000000</v>
      </c>
      <c r="V1516" s="1">
        <f>108.5*100000000</f>
        <v>10850000000</v>
      </c>
      <c r="W1516" s="8">
        <f t="shared" si="733"/>
        <v>0.46700919415900505</v>
      </c>
      <c r="X1516" s="6" t="s">
        <v>14628</v>
      </c>
      <c r="Y1516" s="6" t="str">
        <f t="shared" si="717"/>
        <v>=73.96*100000000</v>
      </c>
      <c r="Z1516" s="1">
        <f>73.96*100000000</f>
        <v>7395999999.999999</v>
      </c>
      <c r="AA1516" s="8">
        <f t="shared" si="734"/>
        <v>0.80610500610500568</v>
      </c>
      <c r="AB1516" s="6" t="s">
        <v>4353</v>
      </c>
      <c r="AC1516" s="6" t="str">
        <f t="shared" si="718"/>
        <v>=40.95*100000000</v>
      </c>
      <c r="AD1516" s="1">
        <f>40.95*100000000</f>
        <v>4095000000.0000005</v>
      </c>
      <c r="AE1516" s="8">
        <f t="shared" si="735"/>
        <v>1.2624309392265192</v>
      </c>
      <c r="AF1516" s="6" t="s">
        <v>14629</v>
      </c>
      <c r="AG1516" s="6" t="str">
        <f t="shared" si="719"/>
        <v>=18.10*100000000</v>
      </c>
      <c r="AH1516" s="1">
        <f>18.1*100000000</f>
        <v>1810000000.0000002</v>
      </c>
      <c r="AI1516" s="8">
        <f t="shared" si="736"/>
        <v>-0.74046458273587612</v>
      </c>
      <c r="AJ1516" s="6" t="s">
        <v>14630</v>
      </c>
      <c r="AK1516" s="6" t="str">
        <f t="shared" si="720"/>
        <v>=69.74*100000000</v>
      </c>
      <c r="AL1516" s="1">
        <f>69.74*100000000</f>
        <v>6973999999.999999</v>
      </c>
      <c r="AM1516" s="8">
        <f t="shared" si="737"/>
        <v>0.434389140271493</v>
      </c>
      <c r="AN1516" s="6" t="s">
        <v>14631</v>
      </c>
      <c r="AO1516" s="6" t="str">
        <f t="shared" si="721"/>
        <v>=48.62*100000000</v>
      </c>
      <c r="AP1516" s="1">
        <f>48.62*100000000</f>
        <v>4862000000</v>
      </c>
      <c r="AQ1516" s="8">
        <f t="shared" si="738"/>
        <v>0.5993421052631579</v>
      </c>
      <c r="AR1516" s="6" t="s">
        <v>8654</v>
      </c>
      <c r="AS1516" s="6" t="str">
        <f t="shared" si="722"/>
        <v>=30.40*100000000</v>
      </c>
      <c r="AT1516" s="1">
        <f>30.4*100000000</f>
        <v>3040000000</v>
      </c>
      <c r="AU1516" s="8">
        <f t="shared" si="739"/>
        <v>1.1258741258741258</v>
      </c>
      <c r="AV1516" s="6" t="s">
        <v>2791</v>
      </c>
      <c r="AW1516" s="6" t="str">
        <f t="shared" si="723"/>
        <v>=14.30*100000000</v>
      </c>
      <c r="AX1516" s="1">
        <f>14.3*100000000</f>
        <v>1430000000</v>
      </c>
      <c r="AY1516" s="10">
        <f t="shared" si="740"/>
        <v>-0.76672104404567698</v>
      </c>
      <c r="AZ1516" s="6" t="s">
        <v>14632</v>
      </c>
      <c r="BA1516" s="6" t="str">
        <f t="shared" si="724"/>
        <v>=61.30*100000000</v>
      </c>
      <c r="BB1516" s="1">
        <f>61.3*100000000</f>
        <v>6130000000</v>
      </c>
      <c r="BC1516" s="8">
        <f t="shared" si="741"/>
        <v>0.23613631780600927</v>
      </c>
      <c r="BD1516" s="6" t="s">
        <v>13207</v>
      </c>
      <c r="BE1516" s="6" t="str">
        <f t="shared" si="725"/>
        <v>=49.59*100000000</v>
      </c>
      <c r="BF1516" s="1">
        <f>49.59*100000000</f>
        <v>4959000000</v>
      </c>
      <c r="BG1516" s="8">
        <f t="shared" si="742"/>
        <v>0.31155778894472363</v>
      </c>
      <c r="BH1516" s="6" t="s">
        <v>14633</v>
      </c>
      <c r="BI1516" s="6" t="str">
        <f t="shared" si="726"/>
        <v>=37.81*100000000</v>
      </c>
      <c r="BJ1516" s="1">
        <f>37.81*100000000</f>
        <v>3781000000</v>
      </c>
      <c r="BK1516" s="6" t="s">
        <v>4689</v>
      </c>
      <c r="BL1516" s="1" t="str">
        <f t="shared" si="728"/>
        <v>=16.89*100000000</v>
      </c>
      <c r="BM1516" s="16">
        <f t="shared" si="743"/>
        <v>1.2386027235050325</v>
      </c>
      <c r="BN1516" s="1">
        <f>16.89*100000000</f>
        <v>1689000000</v>
      </c>
    </row>
    <row r="1517" spans="1:66">
      <c r="A1517" s="19"/>
      <c r="B1517">
        <v>601899</v>
      </c>
      <c r="C1517" t="s">
        <v>68</v>
      </c>
      <c r="D1517" s="6" t="s">
        <v>4693</v>
      </c>
      <c r="E1517" s="7" t="str">
        <f t="shared" si="727"/>
        <v>=196.0*100000000</v>
      </c>
      <c r="F1517" s="1">
        <f>196*100000000</f>
        <v>19600000000</v>
      </c>
      <c r="G1517" s="8">
        <f t="shared" si="729"/>
        <v>0.34893324156916705</v>
      </c>
      <c r="H1517" s="6" t="s">
        <v>14634</v>
      </c>
      <c r="I1517" s="6" t="str">
        <f t="shared" si="713"/>
        <v>=145.3*100000000</v>
      </c>
      <c r="J1517" s="1">
        <f>145.3*100000000</f>
        <v>14530000000.000002</v>
      </c>
      <c r="K1517" s="10">
        <f t="shared" si="730"/>
        <v>0.63056895971271487</v>
      </c>
      <c r="L1517" s="6" t="s">
        <v>14635</v>
      </c>
      <c r="M1517" s="6" t="str">
        <f t="shared" si="714"/>
        <v>=89.11*100000000</v>
      </c>
      <c r="N1517" s="1">
        <f>89.11*100000000</f>
        <v>8911000000</v>
      </c>
      <c r="O1517" s="8">
        <f t="shared" si="731"/>
        <v>1.607843137254902</v>
      </c>
      <c r="P1517" s="6" t="s">
        <v>12794</v>
      </c>
      <c r="Q1517" s="6" t="str">
        <f t="shared" si="715"/>
        <v>=34.17*100000000</v>
      </c>
      <c r="R1517" s="11">
        <f>34.17*100000000</f>
        <v>3417000000</v>
      </c>
      <c r="S1517" s="8">
        <f t="shared" si="732"/>
        <v>-0.596003783400331</v>
      </c>
      <c r="T1517" s="6" t="s">
        <v>14636</v>
      </c>
      <c r="U1517" s="6" t="str">
        <f t="shared" si="716"/>
        <v>=84.58*100000000</v>
      </c>
      <c r="V1517" s="1">
        <f>84.58*100000000</f>
        <v>8458000000</v>
      </c>
      <c r="W1517" s="8">
        <f t="shared" si="733"/>
        <v>0.45903053303432811</v>
      </c>
      <c r="X1517" s="6" t="s">
        <v>14637</v>
      </c>
      <c r="Y1517" s="6" t="str">
        <f t="shared" si="717"/>
        <v>=57.97*100000000</v>
      </c>
      <c r="Z1517" s="1">
        <f>57.97*100000000</f>
        <v>5797000000</v>
      </c>
      <c r="AA1517" s="8">
        <f t="shared" si="734"/>
        <v>0.8754448398576512</v>
      </c>
      <c r="AB1517" s="6" t="s">
        <v>7922</v>
      </c>
      <c r="AC1517" s="6" t="str">
        <f t="shared" si="718"/>
        <v>=30.91*100000000</v>
      </c>
      <c r="AD1517" s="1">
        <f>30.91*100000000</f>
        <v>3091000000</v>
      </c>
      <c r="AE1517" s="8">
        <f t="shared" si="735"/>
        <v>1.3310708898944192</v>
      </c>
      <c r="AF1517" s="6" t="s">
        <v>12345</v>
      </c>
      <c r="AG1517" s="6" t="str">
        <f t="shared" si="719"/>
        <v>=13.26*100000000</v>
      </c>
      <c r="AH1517" s="1">
        <f>13.26*100000000</f>
        <v>1326000000</v>
      </c>
      <c r="AI1517" s="8">
        <f t="shared" si="736"/>
        <v>-0.7379964433906343</v>
      </c>
      <c r="AJ1517" s="6" t="s">
        <v>14638</v>
      </c>
      <c r="AK1517" s="6" t="str">
        <f t="shared" si="720"/>
        <v>=50.61*100000000</v>
      </c>
      <c r="AL1517" s="1">
        <f>50.61*100000000</f>
        <v>5061000000</v>
      </c>
      <c r="AM1517" s="8">
        <f t="shared" si="737"/>
        <v>0.41566433566433564</v>
      </c>
      <c r="AN1517" s="6" t="s">
        <v>14322</v>
      </c>
      <c r="AO1517" s="6" t="str">
        <f t="shared" si="721"/>
        <v>=35.75*100000000</v>
      </c>
      <c r="AP1517" s="1">
        <f>35.75*100000000</f>
        <v>3575000000</v>
      </c>
      <c r="AQ1517" s="8">
        <f t="shared" si="738"/>
        <v>0.59669495310406429</v>
      </c>
      <c r="AR1517" s="6" t="s">
        <v>12033</v>
      </c>
      <c r="AS1517" s="6" t="str">
        <f t="shared" si="722"/>
        <v>=22.39*100000000</v>
      </c>
      <c r="AT1517" s="1">
        <f>22.39*100000000</f>
        <v>2239000000</v>
      </c>
      <c r="AU1517" s="8">
        <f t="shared" si="739"/>
        <v>1.1323809523809525</v>
      </c>
      <c r="AV1517" s="6" t="s">
        <v>2851</v>
      </c>
      <c r="AW1517" s="6" t="str">
        <f t="shared" si="723"/>
        <v>=10.50*100000000</v>
      </c>
      <c r="AX1517" s="1">
        <f>10.5*100000000</f>
        <v>1050000000</v>
      </c>
      <c r="AY1517" s="10">
        <f t="shared" si="740"/>
        <v>-0.77578475336322872</v>
      </c>
      <c r="AZ1517" s="6" t="s">
        <v>13541</v>
      </c>
      <c r="BA1517" s="6" t="str">
        <f t="shared" si="724"/>
        <v>=46.83*100000000</v>
      </c>
      <c r="BB1517" s="1">
        <f>46.83*100000000</f>
        <v>4683000000</v>
      </c>
      <c r="BC1517" s="8">
        <f t="shared" si="741"/>
        <v>0.19831115660184237</v>
      </c>
      <c r="BD1517" s="6" t="s">
        <v>14639</v>
      </c>
      <c r="BE1517" s="6" t="str">
        <f t="shared" si="725"/>
        <v>=39.08*100000000</v>
      </c>
      <c r="BF1517" s="1">
        <f>39.08*100000000</f>
        <v>3908000000</v>
      </c>
      <c r="BG1517" s="8">
        <f t="shared" si="742"/>
        <v>0.27337895079830565</v>
      </c>
      <c r="BH1517" s="6" t="s">
        <v>12284</v>
      </c>
      <c r="BI1517" s="6" t="str">
        <f t="shared" si="726"/>
        <v>=30.69*100000000</v>
      </c>
      <c r="BJ1517" s="1">
        <f>30.69*100000000</f>
        <v>3069000000</v>
      </c>
      <c r="BK1517" s="6" t="s">
        <v>10693</v>
      </c>
      <c r="BL1517" s="1" t="str">
        <f t="shared" si="728"/>
        <v>=13.85*100000000</v>
      </c>
      <c r="BM1517" s="16">
        <f t="shared" si="743"/>
        <v>1.215884476534296</v>
      </c>
      <c r="BN1517" s="1">
        <f>13.85*100000000</f>
        <v>1385000000</v>
      </c>
    </row>
    <row r="1518" spans="1:66">
      <c r="A1518" s="17">
        <v>381</v>
      </c>
      <c r="B1518">
        <v>601901</v>
      </c>
      <c r="C1518" t="s">
        <v>31</v>
      </c>
      <c r="D1518" s="6" t="s">
        <v>14640</v>
      </c>
      <c r="E1518" s="7" t="str">
        <f t="shared" si="727"/>
        <v>=86.21*100000000</v>
      </c>
      <c r="F1518" s="1">
        <f>86.21*100000000</f>
        <v>8621000000</v>
      </c>
      <c r="G1518" s="8">
        <f t="shared" si="729"/>
        <v>0.33472673788512153</v>
      </c>
      <c r="H1518" s="6" t="s">
        <v>14641</v>
      </c>
      <c r="I1518" s="6" t="str">
        <f t="shared" si="713"/>
        <v>=64.59*100000000</v>
      </c>
      <c r="J1518" s="1">
        <f>64.59*100000000</f>
        <v>6459000000</v>
      </c>
      <c r="K1518" s="10">
        <f t="shared" si="730"/>
        <v>0.5830882352941178</v>
      </c>
      <c r="L1518" s="6" t="s">
        <v>2461</v>
      </c>
      <c r="M1518" s="6" t="str">
        <f t="shared" si="714"/>
        <v>=40.80*100000000</v>
      </c>
      <c r="N1518" s="1">
        <f>40.8*100000000</f>
        <v>4079999999.9999995</v>
      </c>
      <c r="O1518" s="8">
        <f t="shared" si="731"/>
        <v>0.99121522693997066</v>
      </c>
      <c r="P1518" s="6" t="s">
        <v>1192</v>
      </c>
      <c r="Q1518" s="6" t="str">
        <f t="shared" si="715"/>
        <v>=20.49*100000000</v>
      </c>
      <c r="R1518" s="11">
        <f>20.49*100000000</f>
        <v>2048999999.9999998</v>
      </c>
      <c r="S1518" s="8">
        <f t="shared" si="732"/>
        <v>-0.72832140015910896</v>
      </c>
      <c r="T1518" s="6" t="s">
        <v>14642</v>
      </c>
      <c r="U1518" s="6" t="str">
        <f t="shared" si="716"/>
        <v>=75.42*100000000</v>
      </c>
      <c r="V1518" s="1">
        <f>75.42*100000000</f>
        <v>7542000000</v>
      </c>
      <c r="W1518" s="8">
        <f t="shared" si="733"/>
        <v>0.31737991266375548</v>
      </c>
      <c r="X1518" s="6" t="s">
        <v>14643</v>
      </c>
      <c r="Y1518" s="6" t="str">
        <f t="shared" si="717"/>
        <v>=57.25*100000000</v>
      </c>
      <c r="Z1518" s="1">
        <f>57.25*100000000</f>
        <v>5725000000</v>
      </c>
      <c r="AA1518" s="8">
        <f t="shared" si="734"/>
        <v>0.68729737695254933</v>
      </c>
      <c r="AB1518" s="6" t="s">
        <v>10898</v>
      </c>
      <c r="AC1518" s="6" t="str">
        <f t="shared" si="718"/>
        <v>=33.93*100000000</v>
      </c>
      <c r="AD1518" s="1">
        <f>33.93*100000000</f>
        <v>3393000000</v>
      </c>
      <c r="AE1518" s="8">
        <f t="shared" si="735"/>
        <v>0.75258264462809921</v>
      </c>
      <c r="AF1518" s="6" t="s">
        <v>1356</v>
      </c>
      <c r="AG1518" s="6" t="str">
        <f t="shared" si="719"/>
        <v>=19.36*100000000</v>
      </c>
      <c r="AH1518" s="1">
        <f>19.36*100000000</f>
        <v>1936000000</v>
      </c>
      <c r="AI1518" s="8">
        <f t="shared" si="736"/>
        <v>-0.70644427596664139</v>
      </c>
      <c r="AJ1518" s="6" t="s">
        <v>13345</v>
      </c>
      <c r="AK1518" s="6" t="str">
        <f t="shared" si="720"/>
        <v>=65.95*100000000</v>
      </c>
      <c r="AL1518" s="1">
        <f>65.95*100000000</f>
        <v>6595000000</v>
      </c>
      <c r="AM1518" s="8">
        <f t="shared" si="737"/>
        <v>0.32776323736661966</v>
      </c>
      <c r="AN1518" s="6" t="s">
        <v>14644</v>
      </c>
      <c r="AO1518" s="6" t="str">
        <f t="shared" si="721"/>
        <v>=49.67*100000000</v>
      </c>
      <c r="AP1518" s="1">
        <f>49.67*100000000</f>
        <v>4967000000</v>
      </c>
      <c r="AQ1518" s="8">
        <f t="shared" si="738"/>
        <v>0.38433667781493852</v>
      </c>
      <c r="AR1518" s="6" t="s">
        <v>1874</v>
      </c>
      <c r="AS1518" s="6" t="str">
        <f t="shared" si="722"/>
        <v>=35.88*100000000</v>
      </c>
      <c r="AT1518" s="1">
        <f>35.88*100000000</f>
        <v>3588000000.0000005</v>
      </c>
      <c r="AU1518" s="8">
        <f t="shared" si="739"/>
        <v>0.94471544715447175</v>
      </c>
      <c r="AV1518" s="6" t="s">
        <v>12465</v>
      </c>
      <c r="AW1518" s="6" t="str">
        <f t="shared" si="723"/>
        <v>=18.45*100000000</v>
      </c>
      <c r="AX1518" s="1">
        <f>18.45*100000000</f>
        <v>1845000000</v>
      </c>
      <c r="AY1518" s="10">
        <f t="shared" si="740"/>
        <v>-0.67761663463218591</v>
      </c>
      <c r="AZ1518" s="6" t="s">
        <v>14645</v>
      </c>
      <c r="BA1518" s="6" t="str">
        <f t="shared" si="724"/>
        <v>=57.23*100000000</v>
      </c>
      <c r="BB1518" s="1">
        <f>57.23*100000000</f>
        <v>5723000000</v>
      </c>
      <c r="BC1518" s="8">
        <f t="shared" si="741"/>
        <v>0.5434196332254585</v>
      </c>
      <c r="BD1518" s="6" t="s">
        <v>6835</v>
      </c>
      <c r="BE1518" s="6" t="str">
        <f t="shared" si="725"/>
        <v>=37.08*100000000</v>
      </c>
      <c r="BF1518" s="1">
        <f>37.08*100000000</f>
        <v>3708000000</v>
      </c>
      <c r="BG1518" s="8">
        <f t="shared" si="742"/>
        <v>0.60380622837370246</v>
      </c>
      <c r="BH1518" s="6" t="s">
        <v>14646</v>
      </c>
      <c r="BI1518" s="6" t="str">
        <f t="shared" si="726"/>
        <v>=23.12*100000000</v>
      </c>
      <c r="BJ1518" s="1">
        <f>23.12*100000000</f>
        <v>2312000000</v>
      </c>
      <c r="BK1518" s="6" t="s">
        <v>6019</v>
      </c>
      <c r="BL1518" s="1" t="str">
        <f t="shared" si="728"/>
        <v>=12.96*100000000</v>
      </c>
      <c r="BM1518" s="16">
        <f t="shared" si="743"/>
        <v>0.78395061728395066</v>
      </c>
      <c r="BN1518" s="1">
        <f>12.96*100000000</f>
        <v>1296000000</v>
      </c>
    </row>
    <row r="1519" spans="1:66">
      <c r="A1519" s="18"/>
      <c r="B1519">
        <v>601901</v>
      </c>
      <c r="C1519" t="s">
        <v>48</v>
      </c>
      <c r="D1519" s="6" t="s">
        <v>4337</v>
      </c>
      <c r="E1519" s="7" t="str">
        <f t="shared" si="727"/>
        <v>=26.90*100000000</v>
      </c>
      <c r="F1519" s="1">
        <f>26.9*100000000</f>
        <v>2690000000</v>
      </c>
      <c r="G1519" s="8">
        <f t="shared" si="729"/>
        <v>2.9468044393417527E-2</v>
      </c>
      <c r="H1519" s="6" t="s">
        <v>6010</v>
      </c>
      <c r="I1519" s="6" t="str">
        <f t="shared" si="713"/>
        <v>=26.13*100000000</v>
      </c>
      <c r="J1519" s="1">
        <f>26.13*100000000</f>
        <v>2613000000</v>
      </c>
      <c r="K1519" s="10">
        <f t="shared" si="730"/>
        <v>0.53886925795053009</v>
      </c>
      <c r="L1519" s="6" t="s">
        <v>1123</v>
      </c>
      <c r="M1519" s="6" t="str">
        <f t="shared" si="714"/>
        <v>=16.98*100000000</v>
      </c>
      <c r="N1519" s="1">
        <f>16.98*100000000</f>
        <v>1698000000</v>
      </c>
      <c r="O1519" s="8">
        <f t="shared" si="731"/>
        <v>0.51742627345844505</v>
      </c>
      <c r="P1519" s="6" t="s">
        <v>10751</v>
      </c>
      <c r="Q1519" s="6" t="str">
        <f t="shared" si="715"/>
        <v>=11.19*100000000</v>
      </c>
      <c r="R1519" s="11">
        <f>11.19*100000000</f>
        <v>1119000000</v>
      </c>
      <c r="S1519" s="8">
        <f t="shared" si="732"/>
        <v>-0.30018761726078802</v>
      </c>
      <c r="T1519" s="6" t="s">
        <v>239</v>
      </c>
      <c r="U1519" s="6" t="str">
        <f t="shared" si="716"/>
        <v>=15.99*100000000</v>
      </c>
      <c r="V1519" s="1">
        <f>15.99*100000000</f>
        <v>1599000000</v>
      </c>
      <c r="W1519" s="8">
        <f t="shared" si="733"/>
        <v>-0.18873668188736681</v>
      </c>
      <c r="X1519" s="6" t="s">
        <v>599</v>
      </c>
      <c r="Y1519" s="6" t="str">
        <f t="shared" si="717"/>
        <v>=19.71*100000000</v>
      </c>
      <c r="Z1519" s="1">
        <f>19.71*100000000</f>
        <v>1971000000</v>
      </c>
      <c r="AA1519" s="8">
        <f t="shared" si="734"/>
        <v>1.1132196847861049</v>
      </c>
      <c r="AB1519" s="6" t="s">
        <v>14647</v>
      </c>
      <c r="AC1519" s="6" t="str">
        <f t="shared" si="718"/>
        <v>=9.327*100000000</v>
      </c>
      <c r="AD1519" s="1">
        <f>9.327*100000000</f>
        <v>932700000</v>
      </c>
      <c r="AE1519" s="8">
        <f t="shared" si="735"/>
        <v>0.9504391468005019</v>
      </c>
      <c r="AF1519" s="6" t="s">
        <v>11443</v>
      </c>
      <c r="AG1519" s="6" t="str">
        <f t="shared" si="719"/>
        <v>=4.782*100000000</v>
      </c>
      <c r="AH1519" s="1">
        <f>4.782*100000000</f>
        <v>478200000</v>
      </c>
      <c r="AI1519" s="8">
        <f t="shared" si="736"/>
        <v>-0.567631103074141</v>
      </c>
      <c r="AJ1519" s="6" t="s">
        <v>3155</v>
      </c>
      <c r="AK1519" s="6" t="str">
        <f t="shared" si="720"/>
        <v>=11.06*100000000</v>
      </c>
      <c r="AL1519" s="1">
        <f>11.06*100000000</f>
        <v>1106000000</v>
      </c>
      <c r="AM1519" s="8">
        <f t="shared" si="737"/>
        <v>-7.6023391812865493E-2</v>
      </c>
      <c r="AN1519" s="6" t="s">
        <v>1118</v>
      </c>
      <c r="AO1519" s="6" t="str">
        <f t="shared" si="721"/>
        <v>=11.97*100000000</v>
      </c>
      <c r="AP1519" s="1">
        <f>11.97*100000000</f>
        <v>1197000000</v>
      </c>
      <c r="AQ1519" s="8">
        <f t="shared" si="738"/>
        <v>0.284748309541698</v>
      </c>
      <c r="AR1519" s="6" t="s">
        <v>14648</v>
      </c>
      <c r="AS1519" s="6" t="str">
        <f t="shared" si="722"/>
        <v>=9.317*100000000</v>
      </c>
      <c r="AT1519" s="1">
        <f>9.317*100000000</f>
        <v>931700000</v>
      </c>
      <c r="AU1519" s="8">
        <f t="shared" si="739"/>
        <v>0.23273352738819794</v>
      </c>
      <c r="AV1519" s="6" t="s">
        <v>6449</v>
      </c>
      <c r="AW1519" s="6" t="str">
        <f t="shared" si="723"/>
        <v>=7.558*100000000</v>
      </c>
      <c r="AX1519" s="1">
        <f>7.558*100000000</f>
        <v>755800000</v>
      </c>
      <c r="AY1519" s="10">
        <f t="shared" si="740"/>
        <v>-0.1368204659661946</v>
      </c>
      <c r="AZ1519" s="6" t="s">
        <v>14649</v>
      </c>
      <c r="BA1519" s="6" t="str">
        <f t="shared" si="724"/>
        <v>=8.756*100000000</v>
      </c>
      <c r="BB1519" s="1">
        <f>8.756*100000000</f>
        <v>875600000</v>
      </c>
      <c r="BC1519" s="8">
        <f t="shared" si="741"/>
        <v>0.35962732919254659</v>
      </c>
      <c r="BD1519" s="6" t="s">
        <v>14650</v>
      </c>
      <c r="BE1519" s="6" t="str">
        <f t="shared" si="725"/>
        <v>=6.440*100000000</v>
      </c>
      <c r="BF1519" s="1">
        <f>6.44*100000000</f>
        <v>644000000</v>
      </c>
      <c r="BG1519" s="8">
        <f t="shared" si="742"/>
        <v>1.1538461538461537</v>
      </c>
      <c r="BH1519" s="6" t="s">
        <v>7873</v>
      </c>
      <c r="BI1519" s="6" t="str">
        <f t="shared" si="726"/>
        <v>=2.990*100000000</v>
      </c>
      <c r="BJ1519" s="1">
        <f>2.99*100000000</f>
        <v>299000000</v>
      </c>
      <c r="BK1519" s="6" t="s">
        <v>14651</v>
      </c>
      <c r="BL1519" s="1" t="str">
        <f t="shared" si="728"/>
        <v>=4.190*100000000</v>
      </c>
      <c r="BM1519" s="16">
        <f t="shared" si="743"/>
        <v>-0.28639618138424833</v>
      </c>
      <c r="BN1519" s="1">
        <f>4.19*100000000</f>
        <v>419000000.00000006</v>
      </c>
    </row>
    <row r="1520" spans="1:66">
      <c r="A1520" s="18"/>
      <c r="B1520">
        <v>601901</v>
      </c>
      <c r="C1520" t="s">
        <v>58</v>
      </c>
      <c r="D1520" s="6" t="s">
        <v>6875</v>
      </c>
      <c r="E1520" s="7" t="str">
        <f t="shared" si="727"/>
        <v>=26.88*100000000</v>
      </c>
      <c r="F1520" s="1">
        <f>26.88*100000000</f>
        <v>2688000000</v>
      </c>
      <c r="G1520" s="8">
        <f t="shared" si="729"/>
        <v>2.5954198473282442E-2</v>
      </c>
      <c r="H1520" s="6" t="s">
        <v>6205</v>
      </c>
      <c r="I1520" s="6" t="str">
        <f t="shared" si="713"/>
        <v>=26.20*100000000</v>
      </c>
      <c r="J1520" s="1">
        <f>26.2*100000000</f>
        <v>2620000000</v>
      </c>
      <c r="K1520" s="10">
        <f t="shared" si="730"/>
        <v>0.55766944114149819</v>
      </c>
      <c r="L1520" s="6" t="s">
        <v>14152</v>
      </c>
      <c r="M1520" s="6" t="str">
        <f t="shared" si="714"/>
        <v>=16.82*100000000</v>
      </c>
      <c r="N1520" s="1">
        <f>16.82*100000000</f>
        <v>1682000000</v>
      </c>
      <c r="O1520" s="8">
        <f t="shared" si="731"/>
        <v>0.50312779267202856</v>
      </c>
      <c r="P1520" s="6" t="s">
        <v>10751</v>
      </c>
      <c r="Q1520" s="6" t="str">
        <f t="shared" si="715"/>
        <v>=11.19*100000000</v>
      </c>
      <c r="R1520" s="11">
        <f>11.19*100000000</f>
        <v>1119000000</v>
      </c>
      <c r="S1520" s="8">
        <f t="shared" si="732"/>
        <v>-0.27713178294573643</v>
      </c>
      <c r="T1520" s="6" t="s">
        <v>360</v>
      </c>
      <c r="U1520" s="6" t="str">
        <f t="shared" si="716"/>
        <v>=15.48*100000000</v>
      </c>
      <c r="V1520" s="1">
        <f>15.48*100000000</f>
        <v>1548000000</v>
      </c>
      <c r="W1520" s="8">
        <f t="shared" si="733"/>
        <v>-0.19122257053291536</v>
      </c>
      <c r="X1520" s="6" t="s">
        <v>14652</v>
      </c>
      <c r="Y1520" s="6" t="str">
        <f t="shared" si="717"/>
        <v>=19.14*100000000</v>
      </c>
      <c r="Z1520" s="1">
        <f>19.14*100000000</f>
        <v>1914000000</v>
      </c>
      <c r="AA1520" s="8">
        <f t="shared" si="734"/>
        <v>1.158565467463629</v>
      </c>
      <c r="AB1520" s="6" t="s">
        <v>14653</v>
      </c>
      <c r="AC1520" s="6" t="str">
        <f t="shared" si="718"/>
        <v>=8.867*100000000</v>
      </c>
      <c r="AD1520" s="1">
        <f>8.867*100000000</f>
        <v>886700000.00000012</v>
      </c>
      <c r="AE1520" s="8">
        <f t="shared" si="735"/>
        <v>0.85813076278290046</v>
      </c>
      <c r="AF1520" s="6" t="s">
        <v>14654</v>
      </c>
      <c r="AG1520" s="6" t="str">
        <f t="shared" si="719"/>
        <v>=4.772*100000000</v>
      </c>
      <c r="AH1520" s="1">
        <f>4.772*100000000</f>
        <v>477200000</v>
      </c>
      <c r="AI1520" s="8">
        <f t="shared" si="736"/>
        <v>-0.57732506643046944</v>
      </c>
      <c r="AJ1520" s="6" t="s">
        <v>1830</v>
      </c>
      <c r="AK1520" s="6" t="str">
        <f t="shared" si="720"/>
        <v>=11.29*100000000</v>
      </c>
      <c r="AL1520" s="1">
        <f>11.29*100000000</f>
        <v>1129000000</v>
      </c>
      <c r="AM1520" s="8">
        <f t="shared" si="737"/>
        <v>-4.9663299663299666E-2</v>
      </c>
      <c r="AN1520" s="6" t="s">
        <v>342</v>
      </c>
      <c r="AO1520" s="6" t="str">
        <f t="shared" si="721"/>
        <v>=11.88*100000000</v>
      </c>
      <c r="AP1520" s="1">
        <f>11.88*100000000</f>
        <v>1188000000</v>
      </c>
      <c r="AQ1520" s="8">
        <f t="shared" si="738"/>
        <v>0.29850256858673097</v>
      </c>
      <c r="AR1520" s="6" t="s">
        <v>1734</v>
      </c>
      <c r="AS1520" s="6" t="str">
        <f t="shared" si="722"/>
        <v>=9.149*100000000</v>
      </c>
      <c r="AT1520" s="1">
        <f>9.149*100000000</f>
        <v>914899999.99999988</v>
      </c>
      <c r="AU1520" s="8">
        <f t="shared" si="739"/>
        <v>0.21130676552363284</v>
      </c>
      <c r="AV1520" s="6" t="s">
        <v>14655</v>
      </c>
      <c r="AW1520" s="6" t="str">
        <f t="shared" si="723"/>
        <v>=7.553*100000000</v>
      </c>
      <c r="AX1520" s="1">
        <f>7.553*100000000</f>
        <v>755300000</v>
      </c>
      <c r="AY1520" s="10">
        <f t="shared" si="740"/>
        <v>2.1228605545973197E-3</v>
      </c>
      <c r="AZ1520" s="6" t="s">
        <v>14656</v>
      </c>
      <c r="BA1520" s="6" t="str">
        <f t="shared" si="724"/>
        <v>=7.537*100000000</v>
      </c>
      <c r="BB1520" s="1">
        <f>7.537*100000000</f>
        <v>753700000</v>
      </c>
      <c r="BC1520" s="8">
        <f t="shared" si="741"/>
        <v>0.2722822417285618</v>
      </c>
      <c r="BD1520" s="6" t="s">
        <v>4632</v>
      </c>
      <c r="BE1520" s="6" t="str">
        <f t="shared" si="725"/>
        <v>=5.924*100000000</v>
      </c>
      <c r="BF1520" s="1">
        <f>5.924*100000000</f>
        <v>592400000</v>
      </c>
      <c r="BG1520" s="8">
        <f t="shared" si="742"/>
        <v>1.351726875744343</v>
      </c>
      <c r="BH1520" s="6" t="s">
        <v>7390</v>
      </c>
      <c r="BI1520" s="6" t="str">
        <f t="shared" si="726"/>
        <v>=2.519*100000000</v>
      </c>
      <c r="BJ1520" s="1">
        <f>2.519*100000000</f>
        <v>251900000</v>
      </c>
      <c r="BK1520" s="6" t="s">
        <v>14657</v>
      </c>
      <c r="BL1520" s="1" t="str">
        <f t="shared" si="728"/>
        <v>=4.148*100000000</v>
      </c>
      <c r="BM1520" s="16">
        <f t="shared" si="743"/>
        <v>-0.39271938283510116</v>
      </c>
      <c r="BN1520" s="1">
        <f>4.148*100000000</f>
        <v>414799999.99999994</v>
      </c>
    </row>
    <row r="1521" spans="1:66">
      <c r="A1521" s="19"/>
      <c r="B1521">
        <v>601901</v>
      </c>
      <c r="C1521" t="s">
        <v>68</v>
      </c>
      <c r="D1521" s="6" t="s">
        <v>8112</v>
      </c>
      <c r="E1521" s="7" t="str">
        <f t="shared" si="727"/>
        <v>=18.72*100000000</v>
      </c>
      <c r="F1521" s="1">
        <f>18.72*100000000</f>
        <v>1872000000</v>
      </c>
      <c r="G1521" s="8">
        <f t="shared" si="729"/>
        <v>-5.0709939148073022E-2</v>
      </c>
      <c r="H1521" s="6" t="s">
        <v>8824</v>
      </c>
      <c r="I1521" s="6" t="str">
        <f t="shared" si="713"/>
        <v>=19.72*100000000</v>
      </c>
      <c r="J1521" s="1">
        <f>19.72*100000000</f>
        <v>1972000000</v>
      </c>
      <c r="K1521" s="10">
        <f t="shared" si="730"/>
        <v>0.4716417910447761</v>
      </c>
      <c r="L1521" s="6" t="s">
        <v>12264</v>
      </c>
      <c r="M1521" s="6" t="str">
        <f t="shared" si="714"/>
        <v>=13.40*100000000</v>
      </c>
      <c r="N1521" s="1">
        <f>13.4*100000000</f>
        <v>1340000000</v>
      </c>
      <c r="O1521" s="8">
        <f t="shared" si="731"/>
        <v>0.49821109123434687</v>
      </c>
      <c r="P1521" s="6" t="s">
        <v>14658</v>
      </c>
      <c r="Q1521" s="6" t="str">
        <f t="shared" si="715"/>
        <v>=8.944*100000000</v>
      </c>
      <c r="R1521" s="11">
        <f>8.944*100000000</f>
        <v>894400000.00000012</v>
      </c>
      <c r="S1521" s="8">
        <f t="shared" si="732"/>
        <v>-0.25342237061769607</v>
      </c>
      <c r="T1521" s="6" t="s">
        <v>9617</v>
      </c>
      <c r="U1521" s="6" t="str">
        <f t="shared" si="716"/>
        <v>=11.98*100000000</v>
      </c>
      <c r="V1521" s="1">
        <f>11.98*100000000</f>
        <v>1198000000</v>
      </c>
      <c r="W1521" s="8">
        <f t="shared" si="733"/>
        <v>-0.20026702269692923</v>
      </c>
      <c r="X1521" s="6" t="s">
        <v>9569</v>
      </c>
      <c r="Y1521" s="6" t="str">
        <f t="shared" si="717"/>
        <v>=14.98*100000000</v>
      </c>
      <c r="Z1521" s="1">
        <f>14.98*100000000</f>
        <v>1498000000</v>
      </c>
      <c r="AA1521" s="8">
        <f t="shared" si="734"/>
        <v>1.2933251684017146</v>
      </c>
      <c r="AB1521" s="6" t="s">
        <v>14659</v>
      </c>
      <c r="AC1521" s="6" t="str">
        <f t="shared" si="718"/>
        <v>=6.532*100000000</v>
      </c>
      <c r="AD1521" s="1">
        <f>6.532*100000000</f>
        <v>653200000</v>
      </c>
      <c r="AE1521" s="8">
        <f t="shared" si="735"/>
        <v>0.72575957727873186</v>
      </c>
      <c r="AF1521" s="6" t="s">
        <v>9170</v>
      </c>
      <c r="AG1521" s="6" t="str">
        <f t="shared" si="719"/>
        <v>=3.785*100000000</v>
      </c>
      <c r="AH1521" s="1">
        <f>3.785*100000000</f>
        <v>378500000</v>
      </c>
      <c r="AI1521" s="8">
        <f t="shared" si="736"/>
        <v>-0.61491504730898372</v>
      </c>
      <c r="AJ1521" s="6" t="s">
        <v>14660</v>
      </c>
      <c r="AK1521" s="6" t="str">
        <f t="shared" si="720"/>
        <v>=9.829*100000000</v>
      </c>
      <c r="AL1521" s="1">
        <f>9.829*100000000</f>
        <v>982900000.00000012</v>
      </c>
      <c r="AM1521" s="8">
        <f t="shared" si="737"/>
        <v>-7.1860245514636337E-2</v>
      </c>
      <c r="AN1521" s="6" t="s">
        <v>369</v>
      </c>
      <c r="AO1521" s="6" t="str">
        <f t="shared" si="721"/>
        <v>=10.59*100000000</v>
      </c>
      <c r="AP1521" s="1">
        <f>10.59*100000000</f>
        <v>1059000000</v>
      </c>
      <c r="AQ1521" s="8">
        <f t="shared" si="738"/>
        <v>0.41843021698365923</v>
      </c>
      <c r="AR1521" s="6" t="s">
        <v>5753</v>
      </c>
      <c r="AS1521" s="6" t="str">
        <f t="shared" si="722"/>
        <v>=7.466*100000000</v>
      </c>
      <c r="AT1521" s="1">
        <f>7.466*100000000</f>
        <v>746600000</v>
      </c>
      <c r="AU1521" s="8">
        <f t="shared" si="739"/>
        <v>0.28237718996908279</v>
      </c>
      <c r="AV1521" s="6" t="s">
        <v>14661</v>
      </c>
      <c r="AW1521" s="6" t="str">
        <f t="shared" si="723"/>
        <v>=5.822*100000000</v>
      </c>
      <c r="AX1521" s="1">
        <f>5.822*100000000</f>
        <v>582200000</v>
      </c>
      <c r="AY1521" s="10">
        <f t="shared" si="740"/>
        <v>-0.14420108775540202</v>
      </c>
      <c r="AZ1521" s="6" t="s">
        <v>14662</v>
      </c>
      <c r="BA1521" s="6" t="str">
        <f t="shared" si="724"/>
        <v>=6.803*100000000</v>
      </c>
      <c r="BB1521" s="1">
        <f>6.803*100000000</f>
        <v>680300000</v>
      </c>
      <c r="BC1521" s="8">
        <f t="shared" si="741"/>
        <v>0.43371970495258166</v>
      </c>
      <c r="BD1521" s="6" t="s">
        <v>14663</v>
      </c>
      <c r="BE1521" s="6" t="str">
        <f t="shared" si="725"/>
        <v>=4.745*100000000</v>
      </c>
      <c r="BF1521" s="1">
        <f>4.745*100000000</f>
        <v>474500000</v>
      </c>
      <c r="BG1521" s="8">
        <f t="shared" si="742"/>
        <v>1.4013157894736843</v>
      </c>
      <c r="BH1521" s="6" t="s">
        <v>8158</v>
      </c>
      <c r="BI1521" s="6" t="str">
        <f t="shared" si="726"/>
        <v>=1.976*100000000</v>
      </c>
      <c r="BJ1521" s="1">
        <f>1.976*100000000</f>
        <v>197600000</v>
      </c>
      <c r="BK1521" s="6" t="s">
        <v>14236</v>
      </c>
      <c r="BL1521" s="1" t="str">
        <f t="shared" si="728"/>
        <v>=3.099*100000000</v>
      </c>
      <c r="BM1521" s="16">
        <f t="shared" si="743"/>
        <v>-0.36237495966440786</v>
      </c>
      <c r="BN1521" s="1">
        <f>3.099*100000000</f>
        <v>309900000</v>
      </c>
    </row>
    <row r="1522" spans="1:66">
      <c r="A1522" s="17">
        <v>382</v>
      </c>
      <c r="B1522">
        <v>601908</v>
      </c>
      <c r="C1522" t="s">
        <v>31</v>
      </c>
      <c r="D1522" s="6" t="s">
        <v>14664</v>
      </c>
      <c r="E1522" s="7" t="str">
        <f t="shared" si="727"/>
        <v>=55.26*100000000</v>
      </c>
      <c r="F1522" s="1">
        <f>55.26*100000000</f>
        <v>5526000000</v>
      </c>
      <c r="G1522" s="8">
        <f t="shared" si="729"/>
        <v>0.46113167636171337</v>
      </c>
      <c r="H1522" s="6" t="s">
        <v>14665</v>
      </c>
      <c r="I1522" s="6" t="str">
        <f t="shared" si="713"/>
        <v>=37.82*100000000</v>
      </c>
      <c r="J1522" s="1">
        <f>37.82*100000000</f>
        <v>3782000000</v>
      </c>
      <c r="K1522" s="10">
        <f t="shared" si="730"/>
        <v>0.60867715865589112</v>
      </c>
      <c r="L1522" s="6" t="s">
        <v>14666</v>
      </c>
      <c r="M1522" s="6" t="str">
        <f t="shared" si="714"/>
        <v>=23.51*100000000</v>
      </c>
      <c r="N1522" s="1">
        <f>23.51*100000000</f>
        <v>2351000000</v>
      </c>
      <c r="O1522" s="8">
        <f t="shared" si="731"/>
        <v>1.1450729927007299</v>
      </c>
      <c r="P1522" s="6" t="s">
        <v>1387</v>
      </c>
      <c r="Q1522" s="6" t="str">
        <f t="shared" si="715"/>
        <v>=10.96*100000000</v>
      </c>
      <c r="R1522" s="11">
        <f>10.96*100000000</f>
        <v>1096000000</v>
      </c>
      <c r="S1522" s="8">
        <f t="shared" si="732"/>
        <v>-0.72978303747534512</v>
      </c>
      <c r="T1522" s="6" t="s">
        <v>4335</v>
      </c>
      <c r="U1522" s="6" t="str">
        <f t="shared" si="716"/>
        <v>=40.56*100000000</v>
      </c>
      <c r="V1522" s="1">
        <f>40.56*100000000</f>
        <v>4056000000</v>
      </c>
      <c r="W1522" s="8">
        <f t="shared" si="733"/>
        <v>0.35245081693897967</v>
      </c>
      <c r="X1522" s="6" t="s">
        <v>14140</v>
      </c>
      <c r="Y1522" s="6" t="str">
        <f t="shared" si="717"/>
        <v>=29.99*100000000</v>
      </c>
      <c r="Z1522" s="1">
        <f>29.99*100000000</f>
        <v>2999000000</v>
      </c>
      <c r="AA1522" s="8">
        <f t="shared" si="734"/>
        <v>0.74360465116279073</v>
      </c>
      <c r="AB1522" s="6" t="s">
        <v>14514</v>
      </c>
      <c r="AC1522" s="6" t="str">
        <f t="shared" si="718"/>
        <v>=17.20*100000000</v>
      </c>
      <c r="AD1522" s="1">
        <f>17.2*100000000</f>
        <v>1720000000</v>
      </c>
      <c r="AE1522" s="8">
        <f t="shared" si="735"/>
        <v>1.3642611683848798</v>
      </c>
      <c r="AF1522" s="6" t="s">
        <v>12522</v>
      </c>
      <c r="AG1522" s="6" t="str">
        <f t="shared" si="719"/>
        <v>=7.275*100000000</v>
      </c>
      <c r="AH1522" s="1">
        <f>7.275*100000000</f>
        <v>727500000</v>
      </c>
      <c r="AI1522" s="8">
        <f t="shared" si="736"/>
        <v>-0.64632960622265434</v>
      </c>
      <c r="AJ1522" s="6" t="s">
        <v>7348</v>
      </c>
      <c r="AK1522" s="6" t="str">
        <f t="shared" si="720"/>
        <v>=20.57*100000000</v>
      </c>
      <c r="AL1522" s="1">
        <f>20.57*100000000</f>
        <v>2057000000</v>
      </c>
      <c r="AM1522" s="8">
        <f t="shared" si="737"/>
        <v>0.3796109993293092</v>
      </c>
      <c r="AN1522" s="6" t="s">
        <v>5898</v>
      </c>
      <c r="AO1522" s="6" t="str">
        <f t="shared" si="721"/>
        <v>=14.91*100000000</v>
      </c>
      <c r="AP1522" s="1">
        <f>14.91*100000000</f>
        <v>1491000000</v>
      </c>
      <c r="AQ1522" s="8">
        <f t="shared" si="738"/>
        <v>0.81652046783625731</v>
      </c>
      <c r="AR1522" s="6" t="s">
        <v>14667</v>
      </c>
      <c r="AS1522" s="6" t="str">
        <f t="shared" si="722"/>
        <v>=8.208*100000000</v>
      </c>
      <c r="AT1522" s="1">
        <f>8.208*100000000</f>
        <v>820800000</v>
      </c>
      <c r="AU1522" s="8">
        <f t="shared" si="739"/>
        <v>1.6048873373532213</v>
      </c>
      <c r="AV1522" s="6" t="s">
        <v>9247</v>
      </c>
      <c r="AW1522" s="6" t="str">
        <f t="shared" si="723"/>
        <v>=3.151*100000000</v>
      </c>
      <c r="AX1522" s="1">
        <f>3.151*100000000</f>
        <v>315100000</v>
      </c>
      <c r="AY1522" s="10">
        <f t="shared" si="740"/>
        <v>-0.8450835791543756</v>
      </c>
      <c r="AZ1522" s="6" t="s">
        <v>14668</v>
      </c>
      <c r="BA1522" s="6" t="str">
        <f t="shared" si="724"/>
        <v>=20.34*100000000</v>
      </c>
      <c r="BB1522" s="1">
        <f>20.34*100000000</f>
        <v>2034000000</v>
      </c>
      <c r="BC1522" s="8">
        <f t="shared" si="741"/>
        <v>0.20855614973262049</v>
      </c>
      <c r="BD1522" s="6" t="s">
        <v>8898</v>
      </c>
      <c r="BE1522" s="6" t="str">
        <f t="shared" si="725"/>
        <v>=16.83*100000000</v>
      </c>
      <c r="BF1522" s="1">
        <f>16.83*100000000</f>
        <v>1682999999.9999998</v>
      </c>
      <c r="BG1522" s="8">
        <f t="shared" si="742"/>
        <v>0.40016638935108134</v>
      </c>
      <c r="BH1522" s="6" t="s">
        <v>8664</v>
      </c>
      <c r="BI1522" s="6" t="str">
        <f t="shared" si="726"/>
        <v>=12.02*100000000</v>
      </c>
      <c r="BJ1522" s="1">
        <f>12.02*100000000</f>
        <v>1202000000</v>
      </c>
      <c r="BK1522" s="6" t="s">
        <v>1025</v>
      </c>
      <c r="BL1522" s="1" t="str">
        <f t="shared" si="728"/>
        <v>=5.483*100000000</v>
      </c>
      <c r="BM1522" s="16">
        <f t="shared" si="743"/>
        <v>1.1922305307313514</v>
      </c>
      <c r="BN1522" s="1">
        <f>5.483*100000000</f>
        <v>548300000</v>
      </c>
    </row>
    <row r="1523" spans="1:66">
      <c r="A1523" s="18"/>
      <c r="B1523">
        <v>601908</v>
      </c>
      <c r="C1523" t="s">
        <v>48</v>
      </c>
      <c r="D1523" s="6" t="s">
        <v>3044</v>
      </c>
      <c r="E1523" s="7" t="str">
        <f t="shared" si="727"/>
        <v>=10.69*100000000</v>
      </c>
      <c r="F1523" s="1">
        <f>10.69*100000000</f>
        <v>1069000000</v>
      </c>
      <c r="G1523" s="8">
        <f t="shared" si="729"/>
        <v>0.19494746255309636</v>
      </c>
      <c r="H1523" s="6" t="s">
        <v>3835</v>
      </c>
      <c r="I1523" s="6" t="str">
        <f t="shared" si="713"/>
        <v>=8.946*100000000</v>
      </c>
      <c r="J1523" s="1">
        <f>8.946*100000000</f>
        <v>894600000</v>
      </c>
      <c r="K1523" s="10">
        <f t="shared" si="730"/>
        <v>0.55204718945176956</v>
      </c>
      <c r="L1523" s="6" t="s">
        <v>939</v>
      </c>
      <c r="M1523" s="6" t="str">
        <f t="shared" si="714"/>
        <v>=5.764*100000000</v>
      </c>
      <c r="N1523" s="1">
        <f>5.764*100000000</f>
        <v>576400000</v>
      </c>
      <c r="O1523" s="8">
        <f t="shared" si="731"/>
        <v>1.6093254866455409</v>
      </c>
      <c r="P1523" s="6" t="s">
        <v>11259</v>
      </c>
      <c r="Q1523" s="6" t="str">
        <f t="shared" si="715"/>
        <v>=2.209*100000000</v>
      </c>
      <c r="R1523" s="11">
        <f>2.209*100000000</f>
        <v>220900000</v>
      </c>
      <c r="S1523" s="8">
        <f t="shared" si="732"/>
        <v>-0.55740332598677611</v>
      </c>
      <c r="T1523" s="6" t="s">
        <v>14669</v>
      </c>
      <c r="U1523" s="6" t="str">
        <f t="shared" si="716"/>
        <v>=4.991*100000000</v>
      </c>
      <c r="V1523" s="1">
        <f>4.991*100000000</f>
        <v>499099999.99999994</v>
      </c>
      <c r="W1523" s="8">
        <f t="shared" si="733"/>
        <v>9.1883614088820703E-2</v>
      </c>
      <c r="X1523" s="6" t="s">
        <v>494</v>
      </c>
      <c r="Y1523" s="6" t="str">
        <f t="shared" si="717"/>
        <v>=4.571*100000000</v>
      </c>
      <c r="Z1523" s="1">
        <f>4.571*100000000</f>
        <v>457100000</v>
      </c>
      <c r="AA1523" s="8">
        <f t="shared" si="734"/>
        <v>0.78834115805946792</v>
      </c>
      <c r="AB1523" s="6" t="s">
        <v>4169</v>
      </c>
      <c r="AC1523" s="6" t="str">
        <f t="shared" si="718"/>
        <v>=2.556*100000000</v>
      </c>
      <c r="AD1523" s="1">
        <f>2.556*100000000</f>
        <v>255600000</v>
      </c>
      <c r="AE1523" s="8">
        <f t="shared" si="735"/>
        <v>1.515748031496063</v>
      </c>
      <c r="AF1523" s="6" t="s">
        <v>7392</v>
      </c>
      <c r="AG1523" s="6" t="str">
        <f t="shared" si="719"/>
        <v>=1.016*100000000</v>
      </c>
      <c r="AH1523" s="1">
        <f>1.016*100000000</f>
        <v>101600000</v>
      </c>
      <c r="AI1523" s="8">
        <f t="shared" si="736"/>
        <v>-0.60405300077942314</v>
      </c>
      <c r="AJ1523" s="6" t="s">
        <v>9762</v>
      </c>
      <c r="AK1523" s="6" t="str">
        <f t="shared" si="720"/>
        <v>=2.566*100000000</v>
      </c>
      <c r="AL1523" s="1">
        <f>2.566*100000000</f>
        <v>256599999.99999997</v>
      </c>
      <c r="AM1523" s="8">
        <f t="shared" si="737"/>
        <v>0.3085160632330442</v>
      </c>
      <c r="AN1523" s="6" t="s">
        <v>2169</v>
      </c>
      <c r="AO1523" s="6" t="str">
        <f t="shared" si="721"/>
        <v>=1.961*100000000</v>
      </c>
      <c r="AP1523" s="1">
        <f>1.961*100000000</f>
        <v>196100000</v>
      </c>
      <c r="AQ1523" s="8">
        <f t="shared" si="738"/>
        <v>1.3223590715300806</v>
      </c>
      <c r="AR1523" s="7" t="s">
        <v>14670</v>
      </c>
      <c r="AS1523" s="6" t="str">
        <f t="shared" si="722"/>
        <v>=8444*10000</v>
      </c>
      <c r="AT1523" s="1">
        <f>8444*10000</f>
        <v>84440000</v>
      </c>
      <c r="AU1523" s="8">
        <f t="shared" si="739"/>
        <v>-8.8768656716417915</v>
      </c>
      <c r="AV1523" s="7">
        <f>-1072*10000</f>
        <v>-10720000</v>
      </c>
      <c r="AW1523" s="6" t="str">
        <f t="shared" si="723"/>
        <v>=-10720000</v>
      </c>
      <c r="AX1523" s="1">
        <f>-10720000</f>
        <v>-10720000</v>
      </c>
      <c r="AY1523" s="10">
        <f t="shared" si="740"/>
        <v>-1.0239178937974118</v>
      </c>
      <c r="AZ1523" s="6" t="s">
        <v>14671</v>
      </c>
      <c r="BA1523" s="6" t="str">
        <f t="shared" si="724"/>
        <v>=4.482*100000000</v>
      </c>
      <c r="BB1523" s="1">
        <f>4.482*100000000</f>
        <v>448200000</v>
      </c>
      <c r="BC1523" s="8">
        <f t="shared" si="741"/>
        <v>-7.3200992555831373E-2</v>
      </c>
      <c r="BD1523" s="6" t="s">
        <v>14672</v>
      </c>
      <c r="BE1523" s="6" t="str">
        <f t="shared" si="725"/>
        <v>=4.836*100000000</v>
      </c>
      <c r="BF1523" s="1">
        <f>4.836*100000000</f>
        <v>483600000.00000006</v>
      </c>
      <c r="BG1523" s="8">
        <f t="shared" si="742"/>
        <v>0.45050989802039609</v>
      </c>
      <c r="BH1523" s="6" t="s">
        <v>1766</v>
      </c>
      <c r="BI1523" s="6" t="str">
        <f t="shared" si="726"/>
        <v>=3.334*100000000</v>
      </c>
      <c r="BJ1523" s="1">
        <f>3.334*100000000</f>
        <v>333400000</v>
      </c>
      <c r="BK1523" s="6" t="s">
        <v>3879</v>
      </c>
      <c r="BL1523" s="1" t="str">
        <f t="shared" si="728"/>
        <v>=1.456*100000000</v>
      </c>
      <c r="BM1523" s="16">
        <f t="shared" si="743"/>
        <v>1.2898351648351649</v>
      </c>
      <c r="BN1523" s="1">
        <f>1.456*100000000</f>
        <v>145600000</v>
      </c>
    </row>
    <row r="1524" spans="1:66">
      <c r="A1524" s="18"/>
      <c r="B1524">
        <v>601908</v>
      </c>
      <c r="C1524" t="s">
        <v>58</v>
      </c>
      <c r="D1524" s="6" t="s">
        <v>3146</v>
      </c>
      <c r="E1524" s="7" t="str">
        <f t="shared" si="727"/>
        <v>=10.65*100000000</v>
      </c>
      <c r="F1524" s="1">
        <f>10.65*100000000</f>
        <v>1065000000</v>
      </c>
      <c r="G1524" s="8">
        <f t="shared" si="729"/>
        <v>0.19154173193108062</v>
      </c>
      <c r="H1524" s="6" t="s">
        <v>5031</v>
      </c>
      <c r="I1524" s="6" t="str">
        <f t="shared" si="713"/>
        <v>=8.938*100000000</v>
      </c>
      <c r="J1524" s="1">
        <f>8.938*100000000</f>
        <v>893800000.00000012</v>
      </c>
      <c r="K1524" s="10">
        <f t="shared" si="730"/>
        <v>0.55389429763560516</v>
      </c>
      <c r="L1524" s="6" t="s">
        <v>8656</v>
      </c>
      <c r="M1524" s="6" t="str">
        <f t="shared" si="714"/>
        <v>=5.752*100000000</v>
      </c>
      <c r="N1524" s="1">
        <f>5.752*100000000</f>
        <v>575200000</v>
      </c>
      <c r="O1524" s="8">
        <f t="shared" si="731"/>
        <v>1.6027149321266969</v>
      </c>
      <c r="P1524" s="6" t="s">
        <v>1778</v>
      </c>
      <c r="Q1524" s="6" t="str">
        <f t="shared" si="715"/>
        <v>=2.210*100000000</v>
      </c>
      <c r="R1524" s="11">
        <f>2.21*100000000</f>
        <v>221000000</v>
      </c>
      <c r="S1524" s="8">
        <f t="shared" si="732"/>
        <v>-0.55755755755755754</v>
      </c>
      <c r="T1524" s="6" t="s">
        <v>14673</v>
      </c>
      <c r="U1524" s="6" t="str">
        <f t="shared" si="716"/>
        <v>=4.995*100000000</v>
      </c>
      <c r="V1524" s="1">
        <f>4.995*100000000</f>
        <v>499500000</v>
      </c>
      <c r="W1524" s="8">
        <f t="shared" si="733"/>
        <v>6.6396242527754057E-2</v>
      </c>
      <c r="X1524" s="6" t="s">
        <v>14674</v>
      </c>
      <c r="Y1524" s="6" t="str">
        <f t="shared" si="717"/>
        <v>=4.684*100000000</v>
      </c>
      <c r="Z1524" s="1">
        <f>4.684*100000000</f>
        <v>468400000</v>
      </c>
      <c r="AA1524" s="8">
        <f t="shared" si="734"/>
        <v>0.83111806098514485</v>
      </c>
      <c r="AB1524" s="6" t="s">
        <v>14675</v>
      </c>
      <c r="AC1524" s="6" t="str">
        <f t="shared" si="718"/>
        <v>=2.558*100000000</v>
      </c>
      <c r="AD1524" s="1">
        <f>2.558*100000000</f>
        <v>255799999.99999997</v>
      </c>
      <c r="AE1524" s="8">
        <f t="shared" si="735"/>
        <v>1.5177165354330706</v>
      </c>
      <c r="AF1524" s="6" t="s">
        <v>7392</v>
      </c>
      <c r="AG1524" s="6" t="str">
        <f t="shared" si="719"/>
        <v>=1.016*100000000</v>
      </c>
      <c r="AH1524" s="1">
        <f>1.016*100000000</f>
        <v>101600000</v>
      </c>
      <c r="AI1524" s="8">
        <f t="shared" si="736"/>
        <v>-0.59602385685884696</v>
      </c>
      <c r="AJ1524" s="6" t="s">
        <v>1957</v>
      </c>
      <c r="AK1524" s="6" t="str">
        <f t="shared" si="720"/>
        <v>=2.515*100000000</v>
      </c>
      <c r="AL1524" s="1">
        <f>2.515*100000000</f>
        <v>251500000</v>
      </c>
      <c r="AM1524" s="8">
        <f t="shared" si="737"/>
        <v>0.25186660029865604</v>
      </c>
      <c r="AN1524" s="6" t="s">
        <v>9516</v>
      </c>
      <c r="AO1524" s="6" t="str">
        <f t="shared" si="721"/>
        <v>=2.009*100000000</v>
      </c>
      <c r="AP1524" s="1">
        <f>2.009*100000000</f>
        <v>200900000</v>
      </c>
      <c r="AQ1524" s="8">
        <f t="shared" si="738"/>
        <v>1.2654488046910239</v>
      </c>
      <c r="AR1524" s="7" t="s">
        <v>14676</v>
      </c>
      <c r="AS1524" s="6" t="str">
        <f t="shared" si="722"/>
        <v>=8868*10000</v>
      </c>
      <c r="AT1524" s="1">
        <f>8868*10000</f>
        <v>88680000</v>
      </c>
      <c r="AU1524" s="8">
        <f t="shared" si="739"/>
        <v>-7.4260869565217389</v>
      </c>
      <c r="AV1524" s="7">
        <f>-1380*10000</f>
        <v>-13800000</v>
      </c>
      <c r="AW1524" s="6" t="str">
        <f t="shared" si="723"/>
        <v>=-13800000</v>
      </c>
      <c r="AX1524" s="1">
        <f>-13800000</f>
        <v>-13800000</v>
      </c>
      <c r="AY1524" s="10">
        <f t="shared" si="740"/>
        <v>-1.0305647840531562</v>
      </c>
      <c r="AZ1524" s="6" t="s">
        <v>14677</v>
      </c>
      <c r="BA1524" s="6" t="str">
        <f t="shared" si="724"/>
        <v>=4.515*100000000</v>
      </c>
      <c r="BB1524" s="1">
        <f>4.515*100000000</f>
        <v>451499999.99999994</v>
      </c>
      <c r="BC1524" s="8">
        <f t="shared" si="741"/>
        <v>-0.11816406250000011</v>
      </c>
      <c r="BD1524" s="6" t="s">
        <v>14678</v>
      </c>
      <c r="BE1524" s="6" t="str">
        <f t="shared" si="725"/>
        <v>=5.120*100000000</v>
      </c>
      <c r="BF1524" s="1">
        <f>5.12*100000000</f>
        <v>512000000</v>
      </c>
      <c r="BG1524" s="8">
        <f t="shared" si="742"/>
        <v>0.41710489897592029</v>
      </c>
      <c r="BH1524" s="6" t="s">
        <v>10946</v>
      </c>
      <c r="BI1524" s="6" t="str">
        <f t="shared" si="726"/>
        <v>=3.613*100000000</v>
      </c>
      <c r="BJ1524" s="1">
        <f>3.613*100000000</f>
        <v>361300000</v>
      </c>
      <c r="BK1524" s="6" t="s">
        <v>49</v>
      </c>
      <c r="BL1524" s="1" t="str">
        <f t="shared" si="728"/>
        <v>=1.748*100000000</v>
      </c>
      <c r="BM1524" s="16">
        <f t="shared" si="743"/>
        <v>1.0669336384439359</v>
      </c>
      <c r="BN1524" s="1">
        <f>1.748*100000000</f>
        <v>174800000</v>
      </c>
    </row>
    <row r="1525" spans="1:66">
      <c r="A1525" s="19"/>
      <c r="B1525">
        <v>601908</v>
      </c>
      <c r="C1525" t="s">
        <v>68</v>
      </c>
      <c r="D1525" s="6" t="s">
        <v>13024</v>
      </c>
      <c r="E1525" s="7" t="str">
        <f t="shared" si="727"/>
        <v>=8.791*100000000</v>
      </c>
      <c r="F1525" s="1">
        <f>8.791*100000000</f>
        <v>879100000</v>
      </c>
      <c r="G1525" s="8">
        <f t="shared" si="729"/>
        <v>0.18063389739457428</v>
      </c>
      <c r="H1525" s="6" t="s">
        <v>3040</v>
      </c>
      <c r="I1525" s="6" t="str">
        <f t="shared" si="713"/>
        <v>=7.446*100000000</v>
      </c>
      <c r="J1525" s="1">
        <f>7.446*100000000</f>
        <v>744600000</v>
      </c>
      <c r="K1525" s="10">
        <f t="shared" si="730"/>
        <v>0.54225352112676062</v>
      </c>
      <c r="L1525" s="6" t="s">
        <v>14679</v>
      </c>
      <c r="M1525" s="6" t="str">
        <f t="shared" si="714"/>
        <v>=4.828*100000000</v>
      </c>
      <c r="N1525" s="1">
        <f>4.828*100000000</f>
        <v>482800000</v>
      </c>
      <c r="O1525" s="8">
        <f t="shared" si="731"/>
        <v>1.2914095870906501</v>
      </c>
      <c r="P1525" s="6" t="s">
        <v>14680</v>
      </c>
      <c r="Q1525" s="6" t="str">
        <f t="shared" si="715"/>
        <v>=2.107*100000000</v>
      </c>
      <c r="R1525" s="11">
        <f>2.107*100000000</f>
        <v>210700000.00000003</v>
      </c>
      <c r="S1525" s="8">
        <f t="shared" si="732"/>
        <v>-0.52916201117318418</v>
      </c>
      <c r="T1525" s="6" t="s">
        <v>14681</v>
      </c>
      <c r="U1525" s="6" t="str">
        <f t="shared" si="716"/>
        <v>=4.475*100000000</v>
      </c>
      <c r="V1525" s="1">
        <f>4.475*100000000</f>
        <v>447499999.99999994</v>
      </c>
      <c r="W1525" s="8">
        <f t="shared" si="733"/>
        <v>8.0135167752835967E-2</v>
      </c>
      <c r="X1525" s="6" t="s">
        <v>11970</v>
      </c>
      <c r="Y1525" s="6" t="str">
        <f t="shared" si="717"/>
        <v>=4.143*100000000</v>
      </c>
      <c r="Z1525" s="1">
        <f>4.143*100000000</f>
        <v>414300000</v>
      </c>
      <c r="AA1525" s="8">
        <f t="shared" si="734"/>
        <v>0.8536912751677852</v>
      </c>
      <c r="AB1525" s="6" t="s">
        <v>14682</v>
      </c>
      <c r="AC1525" s="6" t="str">
        <f t="shared" si="718"/>
        <v>=2.235*100000000</v>
      </c>
      <c r="AD1525" s="1">
        <f>2.235*100000000</f>
        <v>223500000</v>
      </c>
      <c r="AE1525" s="8">
        <f t="shared" si="735"/>
        <v>1.5231429216527432</v>
      </c>
      <c r="AF1525" s="7" t="s">
        <v>14683</v>
      </c>
      <c r="AG1525" s="6" t="str">
        <f t="shared" si="719"/>
        <v>=8858*10000</v>
      </c>
      <c r="AH1525" s="1">
        <f>8858*10000</f>
        <v>88580000</v>
      </c>
      <c r="AI1525" s="8">
        <f t="shared" si="736"/>
        <v>-0.67940644227289182</v>
      </c>
      <c r="AJ1525" s="6" t="s">
        <v>9281</v>
      </c>
      <c r="AK1525" s="6" t="str">
        <f t="shared" si="720"/>
        <v>=2.763*100000000</v>
      </c>
      <c r="AL1525" s="1">
        <f>2.763*100000000</f>
        <v>276300000</v>
      </c>
      <c r="AM1525" s="8">
        <f t="shared" si="737"/>
        <v>0.61578947368421055</v>
      </c>
      <c r="AN1525" s="6" t="s">
        <v>9990</v>
      </c>
      <c r="AO1525" s="6" t="str">
        <f t="shared" si="721"/>
        <v>=1.710*100000000</v>
      </c>
      <c r="AP1525" s="1">
        <f>1.71*100000000</f>
        <v>171000000</v>
      </c>
      <c r="AQ1525" s="8">
        <f t="shared" si="738"/>
        <v>1.4010109519797809</v>
      </c>
      <c r="AR1525" s="7" t="s">
        <v>8495</v>
      </c>
      <c r="AS1525" s="6" t="str">
        <f t="shared" si="722"/>
        <v>=7122*10000</v>
      </c>
      <c r="AT1525" s="1">
        <f>7122*10000</f>
        <v>71220000</v>
      </c>
      <c r="AU1525" s="8">
        <f t="shared" si="739"/>
        <v>-4.8126338329764451</v>
      </c>
      <c r="AV1525" s="7">
        <f>-1868*10000</f>
        <v>-18680000</v>
      </c>
      <c r="AW1525" s="6" t="str">
        <f t="shared" si="723"/>
        <v>=-18680000</v>
      </c>
      <c r="AX1525" s="1">
        <f>-18680000</f>
        <v>-18680000</v>
      </c>
      <c r="AY1525" s="10">
        <f t="shared" si="740"/>
        <v>-1.0428932261768082</v>
      </c>
      <c r="AZ1525" s="6" t="s">
        <v>14684</v>
      </c>
      <c r="BA1525" s="6" t="str">
        <f t="shared" si="724"/>
        <v>=4.355*100000000</v>
      </c>
      <c r="BB1525" s="1">
        <f>4.355*100000000</f>
        <v>435500000.00000006</v>
      </c>
      <c r="BC1525" s="8">
        <f t="shared" si="741"/>
        <v>-7.7721304531977967E-2</v>
      </c>
      <c r="BD1525" s="6" t="s">
        <v>10123</v>
      </c>
      <c r="BE1525" s="6" t="str">
        <f t="shared" si="725"/>
        <v>=4.722*100000000</v>
      </c>
      <c r="BF1525" s="1">
        <f>4.722*100000000</f>
        <v>472200000.00000006</v>
      </c>
      <c r="BG1525" s="8">
        <f t="shared" si="742"/>
        <v>0.43656829936111974</v>
      </c>
      <c r="BH1525" s="6" t="s">
        <v>14685</v>
      </c>
      <c r="BI1525" s="6" t="str">
        <f t="shared" si="726"/>
        <v>=3.287*100000000</v>
      </c>
      <c r="BJ1525" s="1">
        <f>3.287*100000000</f>
        <v>328700000</v>
      </c>
      <c r="BK1525" s="6" t="s">
        <v>14686</v>
      </c>
      <c r="BL1525" s="1" t="str">
        <f t="shared" si="728"/>
        <v>=1.535*100000000</v>
      </c>
      <c r="BM1525" s="16">
        <f t="shared" si="743"/>
        <v>1.1413680781758957</v>
      </c>
      <c r="BN1525" s="1">
        <f>1.535*100000000</f>
        <v>153500000</v>
      </c>
    </row>
    <row r="1526" spans="1:66">
      <c r="A1526" s="17">
        <v>383</v>
      </c>
      <c r="B1526">
        <v>601919</v>
      </c>
      <c r="C1526" t="s">
        <v>31</v>
      </c>
      <c r="D1526" s="6" t="s">
        <v>14687</v>
      </c>
      <c r="E1526" s="7" t="str">
        <f t="shared" si="727"/>
        <v>=3337*100000000</v>
      </c>
      <c r="F1526" s="1">
        <f>3337*100000000</f>
        <v>333700000000</v>
      </c>
      <c r="G1526" s="8">
        <f t="shared" si="729"/>
        <v>0.44146868250539956</v>
      </c>
      <c r="H1526" s="6" t="s">
        <v>14688</v>
      </c>
      <c r="I1526" s="6" t="str">
        <f t="shared" si="713"/>
        <v>=2315*100000000</v>
      </c>
      <c r="J1526" s="1">
        <f>2315*100000000</f>
        <v>231500000000</v>
      </c>
      <c r="K1526" s="10">
        <f t="shared" si="730"/>
        <v>0.66188083273510412</v>
      </c>
      <c r="L1526" s="6" t="s">
        <v>14689</v>
      </c>
      <c r="M1526" s="6" t="str">
        <f t="shared" si="714"/>
        <v>=1393*100000000</v>
      </c>
      <c r="N1526" s="1">
        <f>1393*100000000</f>
        <v>139300000000</v>
      </c>
      <c r="O1526" s="8">
        <f t="shared" si="731"/>
        <v>1.148365206662554</v>
      </c>
      <c r="P1526" s="6" t="s">
        <v>971</v>
      </c>
      <c r="Q1526" s="6" t="str">
        <f t="shared" si="715"/>
        <v>=648.4*100000000</v>
      </c>
      <c r="R1526" s="11">
        <f>648.4*100000000</f>
        <v>64840000000</v>
      </c>
      <c r="S1526" s="8">
        <f t="shared" si="732"/>
        <v>-0.62148277875072966</v>
      </c>
      <c r="T1526" s="6" t="s">
        <v>14690</v>
      </c>
      <c r="U1526" s="6" t="str">
        <f t="shared" si="716"/>
        <v>=1713*100000000</v>
      </c>
      <c r="V1526" s="1">
        <f>1713*100000000</f>
        <v>171300000000</v>
      </c>
      <c r="W1526" s="8">
        <f t="shared" si="733"/>
        <v>0.45539507221750214</v>
      </c>
      <c r="X1526" s="6" t="s">
        <v>14691</v>
      </c>
      <c r="Y1526" s="6" t="str">
        <f t="shared" si="717"/>
        <v>=1177*100000000</v>
      </c>
      <c r="Z1526" s="1">
        <f>1177*100000000</f>
        <v>117700000000</v>
      </c>
      <c r="AA1526" s="8">
        <f t="shared" si="734"/>
        <v>0.5894665766374072</v>
      </c>
      <c r="AB1526" s="6" t="s">
        <v>14692</v>
      </c>
      <c r="AC1526" s="6" t="str">
        <f t="shared" si="718"/>
        <v>=740.5*100000000</v>
      </c>
      <c r="AD1526" s="1">
        <f>740.5*100000000</f>
        <v>74050000000</v>
      </c>
      <c r="AE1526" s="8">
        <f t="shared" si="735"/>
        <v>1.0506784824148436</v>
      </c>
      <c r="AF1526" s="6" t="s">
        <v>407</v>
      </c>
      <c r="AG1526" s="6" t="str">
        <f t="shared" si="719"/>
        <v>=361.1*100000000</v>
      </c>
      <c r="AH1526" s="1">
        <f>361.1*100000000</f>
        <v>36110000000</v>
      </c>
      <c r="AI1526" s="8">
        <f t="shared" si="736"/>
        <v>-0.76101919258769024</v>
      </c>
      <c r="AJ1526" s="6" t="s">
        <v>14693</v>
      </c>
      <c r="AK1526" s="6" t="str">
        <f t="shared" si="720"/>
        <v>=1511*100000000</v>
      </c>
      <c r="AL1526" s="1">
        <f>1511*100000000</f>
        <v>151100000000</v>
      </c>
      <c r="AM1526" s="8">
        <f t="shared" si="737"/>
        <v>0.35394265232974909</v>
      </c>
      <c r="AN1526" s="6" t="s">
        <v>9379</v>
      </c>
      <c r="AO1526" s="6" t="str">
        <f t="shared" si="721"/>
        <v>=1116*100000000</v>
      </c>
      <c r="AP1526" s="1">
        <f>1116*100000000</f>
        <v>111600000000</v>
      </c>
      <c r="AQ1526" s="8">
        <f t="shared" si="738"/>
        <v>0.54785020804438278</v>
      </c>
      <c r="AR1526" s="6" t="s">
        <v>14694</v>
      </c>
      <c r="AS1526" s="6" t="str">
        <f t="shared" si="722"/>
        <v>=721.0*100000000</v>
      </c>
      <c r="AT1526" s="1">
        <f>721*100000000</f>
        <v>72100000000</v>
      </c>
      <c r="AU1526" s="8">
        <f t="shared" si="739"/>
        <v>1.0553021664766249</v>
      </c>
      <c r="AV1526" s="6" t="s">
        <v>14695</v>
      </c>
      <c r="AW1526" s="6" t="str">
        <f t="shared" si="723"/>
        <v>=350.8*100000000</v>
      </c>
      <c r="AX1526" s="1">
        <f>350.8*100000000</f>
        <v>35080000000</v>
      </c>
      <c r="AY1526" s="10">
        <f t="shared" si="740"/>
        <v>-0.70960264900662251</v>
      </c>
      <c r="AZ1526" s="6" t="s">
        <v>992</v>
      </c>
      <c r="BA1526" s="6" t="str">
        <f t="shared" si="724"/>
        <v>=1208*100000000</v>
      </c>
      <c r="BB1526" s="1">
        <f>1208*100000000</f>
        <v>120800000000</v>
      </c>
      <c r="BC1526" s="8">
        <f t="shared" si="741"/>
        <v>0.47083891391696092</v>
      </c>
      <c r="BD1526" s="6" t="s">
        <v>14696</v>
      </c>
      <c r="BE1526" s="6" t="str">
        <f t="shared" si="725"/>
        <v>=821.3*100000000</v>
      </c>
      <c r="BF1526" s="1">
        <f>821.3*100000000</f>
        <v>82130000000</v>
      </c>
      <c r="BG1526" s="8">
        <f t="shared" si="742"/>
        <v>0.82187222715173025</v>
      </c>
      <c r="BH1526" s="6" t="s">
        <v>14697</v>
      </c>
      <c r="BI1526" s="6" t="str">
        <f t="shared" si="726"/>
        <v>=450.8*100000000</v>
      </c>
      <c r="BJ1526" s="1">
        <f>450.8*100000000</f>
        <v>45080000000</v>
      </c>
      <c r="BK1526" s="6" t="s">
        <v>7943</v>
      </c>
      <c r="BL1526" s="1" t="str">
        <f t="shared" si="728"/>
        <v>=219.2*100000000</v>
      </c>
      <c r="BM1526" s="16">
        <f t="shared" si="743"/>
        <v>1.0565693430656935</v>
      </c>
      <c r="BN1526" s="1">
        <f>219.2*100000000</f>
        <v>21920000000</v>
      </c>
    </row>
    <row r="1527" spans="1:66">
      <c r="A1527" s="18"/>
      <c r="B1527">
        <v>601919</v>
      </c>
      <c r="C1527" t="s">
        <v>48</v>
      </c>
      <c r="D1527" s="6" t="s">
        <v>14698</v>
      </c>
      <c r="E1527" s="7" t="str">
        <f t="shared" si="727"/>
        <v>=1282*100000000</v>
      </c>
      <c r="F1527" s="1">
        <f>1282*100000000</f>
        <v>128200000000</v>
      </c>
      <c r="G1527" s="8">
        <f t="shared" si="729"/>
        <v>0.37790197764402406</v>
      </c>
      <c r="H1527" s="6" t="s">
        <v>14699</v>
      </c>
      <c r="I1527" s="6" t="str">
        <f t="shared" si="713"/>
        <v>=930.4*100000000</v>
      </c>
      <c r="J1527" s="1">
        <f>930.4*100000000</f>
        <v>93040000000</v>
      </c>
      <c r="K1527" s="10">
        <f t="shared" si="730"/>
        <v>0.9464435146443515</v>
      </c>
      <c r="L1527" s="6" t="s">
        <v>14700</v>
      </c>
      <c r="M1527" s="6" t="str">
        <f t="shared" si="714"/>
        <v>=478.0*100000000</v>
      </c>
      <c r="N1527" s="1">
        <f>478*100000000</f>
        <v>47800000000</v>
      </c>
      <c r="O1527" s="8">
        <f t="shared" si="731"/>
        <v>1.527763088313062</v>
      </c>
      <c r="P1527" s="6" t="s">
        <v>10196</v>
      </c>
      <c r="Q1527" s="6" t="str">
        <f t="shared" si="715"/>
        <v>=189.1*100000000</v>
      </c>
      <c r="R1527" s="11">
        <f>189.1*100000000</f>
        <v>18910000000</v>
      </c>
      <c r="S1527" s="8">
        <f t="shared" si="732"/>
        <v>0.35750179468772414</v>
      </c>
      <c r="T1527" s="6" t="s">
        <v>14701</v>
      </c>
      <c r="U1527" s="6" t="str">
        <f t="shared" si="716"/>
        <v>=139.3*100000000</v>
      </c>
      <c r="V1527" s="1">
        <f>139.3*100000000</f>
        <v>13930000000.000002</v>
      </c>
      <c r="W1527" s="8">
        <f t="shared" si="733"/>
        <v>1.315107196277215</v>
      </c>
      <c r="X1527" s="6" t="s">
        <v>9741</v>
      </c>
      <c r="Y1527" s="6" t="str">
        <f t="shared" si="717"/>
        <v>=60.17*100000000</v>
      </c>
      <c r="Z1527" s="1">
        <f>60.17*100000000</f>
        <v>6017000000</v>
      </c>
      <c r="AA1527" s="8">
        <f t="shared" si="734"/>
        <v>1.6413520632133451</v>
      </c>
      <c r="AB1527" s="6" t="s">
        <v>13419</v>
      </c>
      <c r="AC1527" s="6" t="str">
        <f t="shared" si="718"/>
        <v>=22.78*100000000</v>
      </c>
      <c r="AD1527" s="1">
        <f>22.78*100000000</f>
        <v>2278000000</v>
      </c>
      <c r="AE1527" s="8">
        <f t="shared" si="735"/>
        <v>1.7112592239942874</v>
      </c>
      <c r="AF1527" s="6" t="s">
        <v>4084</v>
      </c>
      <c r="AG1527" s="6" t="str">
        <f t="shared" si="719"/>
        <v>=8.402*100000000</v>
      </c>
      <c r="AH1527" s="1">
        <f>8.402*100000000</f>
        <v>840199999.99999988</v>
      </c>
      <c r="AI1527" s="8">
        <f t="shared" si="736"/>
        <v>-0.93033167495854063</v>
      </c>
      <c r="AJ1527" s="6" t="s">
        <v>9289</v>
      </c>
      <c r="AK1527" s="6" t="str">
        <f t="shared" si="720"/>
        <v>=120.6*100000000</v>
      </c>
      <c r="AL1527" s="1">
        <f>120.6*100000000</f>
        <v>12060000000</v>
      </c>
      <c r="AM1527" s="8">
        <f t="shared" si="737"/>
        <v>1.9236363636363636</v>
      </c>
      <c r="AN1527" s="6" t="s">
        <v>14702</v>
      </c>
      <c r="AO1527" s="6" t="str">
        <f t="shared" si="721"/>
        <v>=41.25*100000000</v>
      </c>
      <c r="AP1527" s="1">
        <f>41.25*100000000</f>
        <v>4125000000</v>
      </c>
      <c r="AQ1527" s="8">
        <f t="shared" si="738"/>
        <v>0.61195779601406797</v>
      </c>
      <c r="AR1527" s="6" t="s">
        <v>14703</v>
      </c>
      <c r="AS1527" s="6" t="str">
        <f t="shared" si="722"/>
        <v>=25.59*100000000</v>
      </c>
      <c r="AT1527" s="1">
        <f>25.59*100000000</f>
        <v>2559000000</v>
      </c>
      <c r="AU1527" s="8">
        <f t="shared" si="739"/>
        <v>1.0039154267815191</v>
      </c>
      <c r="AV1527" s="6" t="s">
        <v>3682</v>
      </c>
      <c r="AW1527" s="6" t="str">
        <f t="shared" si="723"/>
        <v>=12.77*100000000</v>
      </c>
      <c r="AX1527" s="1">
        <f>12.77*100000000</f>
        <v>1277000000</v>
      </c>
      <c r="AY1527" s="10">
        <f t="shared" si="740"/>
        <v>-0.58062397372742203</v>
      </c>
      <c r="AZ1527" s="6" t="s">
        <v>14446</v>
      </c>
      <c r="BA1527" s="6" t="str">
        <f t="shared" si="724"/>
        <v>=30.45*100000000</v>
      </c>
      <c r="BB1527" s="1">
        <f>30.45*100000000</f>
        <v>3045000000</v>
      </c>
      <c r="BC1527" s="8">
        <f t="shared" si="741"/>
        <v>0.94568690095846641</v>
      </c>
      <c r="BD1527" s="6" t="s">
        <v>6112</v>
      </c>
      <c r="BE1527" s="6" t="str">
        <f t="shared" si="725"/>
        <v>=15.65*100000000</v>
      </c>
      <c r="BF1527" s="1">
        <f>15.65*100000000</f>
        <v>1565000000</v>
      </c>
      <c r="BG1527" s="8">
        <f t="shared" si="742"/>
        <v>0.62108970374974104</v>
      </c>
      <c r="BH1527" s="6" t="s">
        <v>13155</v>
      </c>
      <c r="BI1527" s="6" t="str">
        <f t="shared" si="726"/>
        <v>=9.654*100000000</v>
      </c>
      <c r="BJ1527" s="1">
        <f>9.654*100000000</f>
        <v>965400000</v>
      </c>
      <c r="BK1527" s="6" t="s">
        <v>14164</v>
      </c>
      <c r="BL1527" s="1" t="str">
        <f t="shared" si="728"/>
        <v>=6.164*100000000</v>
      </c>
      <c r="BM1527" s="16">
        <f t="shared" si="743"/>
        <v>0.56619078520441268</v>
      </c>
      <c r="BN1527" s="1">
        <f>6.164*100000000</f>
        <v>616400000</v>
      </c>
    </row>
    <row r="1528" spans="1:66">
      <c r="A1528" s="18"/>
      <c r="B1528">
        <v>601919</v>
      </c>
      <c r="C1528" t="s">
        <v>58</v>
      </c>
      <c r="D1528" s="6" t="s">
        <v>14704</v>
      </c>
      <c r="E1528" s="7" t="str">
        <f t="shared" si="727"/>
        <v>=1279*100000000</v>
      </c>
      <c r="F1528" s="1">
        <f>1279*100000000</f>
        <v>127900000000</v>
      </c>
      <c r="G1528" s="8">
        <f t="shared" si="729"/>
        <v>0.37482532516392564</v>
      </c>
      <c r="H1528" s="6" t="s">
        <v>14705</v>
      </c>
      <c r="I1528" s="6" t="str">
        <f t="shared" si="713"/>
        <v>=930.3*100000000</v>
      </c>
      <c r="J1528" s="1">
        <f>930.3*100000000</f>
        <v>93030000000</v>
      </c>
      <c r="K1528" s="10">
        <f t="shared" si="730"/>
        <v>0.94745656269625289</v>
      </c>
      <c r="L1528" s="6" t="s">
        <v>14706</v>
      </c>
      <c r="M1528" s="6" t="str">
        <f t="shared" si="714"/>
        <v>=477.7*100000000</v>
      </c>
      <c r="N1528" s="1">
        <f>477.7*100000000</f>
        <v>47770000000</v>
      </c>
      <c r="O1528" s="8">
        <f t="shared" si="731"/>
        <v>1.5248414376321353</v>
      </c>
      <c r="P1528" s="6" t="s">
        <v>14707</v>
      </c>
      <c r="Q1528" s="6" t="str">
        <f t="shared" si="715"/>
        <v>=189.2*100000000</v>
      </c>
      <c r="R1528" s="11">
        <f>189.2*100000000</f>
        <v>18920000000</v>
      </c>
      <c r="S1528" s="8">
        <f t="shared" si="732"/>
        <v>0.35627240143369177</v>
      </c>
      <c r="T1528" s="6" t="s">
        <v>14708</v>
      </c>
      <c r="U1528" s="6" t="str">
        <f t="shared" si="716"/>
        <v>=139.5*100000000</v>
      </c>
      <c r="V1528" s="1">
        <f>139.5*100000000</f>
        <v>13950000000</v>
      </c>
      <c r="W1528" s="8">
        <f t="shared" si="733"/>
        <v>1.3035006605019814</v>
      </c>
      <c r="X1528" s="6" t="s">
        <v>9093</v>
      </c>
      <c r="Y1528" s="6" t="str">
        <f t="shared" si="717"/>
        <v>=60.56*100000000</v>
      </c>
      <c r="Z1528" s="1">
        <f>60.56*100000000</f>
        <v>6056000000</v>
      </c>
      <c r="AA1528" s="8">
        <f t="shared" si="734"/>
        <v>1.6526500219010074</v>
      </c>
      <c r="AB1528" s="6" t="s">
        <v>12681</v>
      </c>
      <c r="AC1528" s="6" t="str">
        <f t="shared" si="718"/>
        <v>=22.83*100000000</v>
      </c>
      <c r="AD1528" s="1">
        <f>22.83*100000000</f>
        <v>2283000000</v>
      </c>
      <c r="AE1528" s="8">
        <f t="shared" si="735"/>
        <v>1.7390521895620874</v>
      </c>
      <c r="AF1528" s="6" t="s">
        <v>14709</v>
      </c>
      <c r="AG1528" s="6" t="str">
        <f t="shared" si="719"/>
        <v>=8.335*100000000</v>
      </c>
      <c r="AH1528" s="1">
        <f>8.335*100000000</f>
        <v>833500000.00000012</v>
      </c>
      <c r="AI1528" s="8">
        <f t="shared" si="736"/>
        <v>-0.93013411567476945</v>
      </c>
      <c r="AJ1528" s="6" t="s">
        <v>4732</v>
      </c>
      <c r="AK1528" s="6" t="str">
        <f t="shared" si="720"/>
        <v>=119.3*100000000</v>
      </c>
      <c r="AL1528" s="1">
        <f>119.3*100000000</f>
        <v>11930000000</v>
      </c>
      <c r="AM1528" s="8">
        <f t="shared" si="737"/>
        <v>1.9168704156479217</v>
      </c>
      <c r="AN1528" s="6" t="s">
        <v>10170</v>
      </c>
      <c r="AO1528" s="6" t="str">
        <f t="shared" si="721"/>
        <v>=40.90*100000000</v>
      </c>
      <c r="AP1528" s="1">
        <f>40.9*100000000</f>
        <v>4090000000</v>
      </c>
      <c r="AQ1528" s="8">
        <f t="shared" si="738"/>
        <v>0.617879746835443</v>
      </c>
      <c r="AR1528" s="6" t="s">
        <v>10657</v>
      </c>
      <c r="AS1528" s="6" t="str">
        <f t="shared" si="722"/>
        <v>=25.28*100000000</v>
      </c>
      <c r="AT1528" s="1">
        <f>25.28*100000000</f>
        <v>2528000000</v>
      </c>
      <c r="AU1528" s="8">
        <f t="shared" si="739"/>
        <v>0.97654417513682568</v>
      </c>
      <c r="AV1528" s="6" t="s">
        <v>243</v>
      </c>
      <c r="AW1528" s="6" t="str">
        <f t="shared" si="723"/>
        <v>=12.79*100000000</v>
      </c>
      <c r="AX1528" s="1">
        <f>12.79*100000000</f>
        <v>1279000000</v>
      </c>
      <c r="AY1528" s="10">
        <f t="shared" si="740"/>
        <v>-0.6673602080624188</v>
      </c>
      <c r="AZ1528" s="6" t="s">
        <v>7091</v>
      </c>
      <c r="BA1528" s="6" t="str">
        <f t="shared" si="724"/>
        <v>=38.45*100000000</v>
      </c>
      <c r="BB1528" s="1">
        <f>38.45*100000000</f>
        <v>3845000000.0000005</v>
      </c>
      <c r="BC1528" s="8">
        <f t="shared" si="741"/>
        <v>0.45975702353834491</v>
      </c>
      <c r="BD1528" s="6" t="s">
        <v>14710</v>
      </c>
      <c r="BE1528" s="6" t="str">
        <f t="shared" si="725"/>
        <v>=26.34*100000000</v>
      </c>
      <c r="BF1528" s="1">
        <f>26.34*100000000</f>
        <v>2634000000</v>
      </c>
      <c r="BG1528" s="8">
        <f t="shared" si="742"/>
        <v>1.4456824512534818</v>
      </c>
      <c r="BH1528" s="6" t="s">
        <v>7530</v>
      </c>
      <c r="BI1528" s="6" t="str">
        <f t="shared" si="726"/>
        <v>=10.77*100000000</v>
      </c>
      <c r="BJ1528" s="1">
        <f>10.77*100000000</f>
        <v>1077000000</v>
      </c>
      <c r="BK1528" s="6" t="s">
        <v>5307</v>
      </c>
      <c r="BL1528" s="1" t="str">
        <f t="shared" si="728"/>
        <v>=6.530*100000000</v>
      </c>
      <c r="BM1528" s="16">
        <f t="shared" si="743"/>
        <v>0.64931087289433387</v>
      </c>
      <c r="BN1528" s="1">
        <f>6.53*100000000</f>
        <v>653000000</v>
      </c>
    </row>
    <row r="1529" spans="1:66">
      <c r="A1529" s="19"/>
      <c r="B1529">
        <v>601919</v>
      </c>
      <c r="C1529" t="s">
        <v>68</v>
      </c>
      <c r="D1529" s="6" t="s">
        <v>14711</v>
      </c>
      <c r="E1529" s="7" t="str">
        <f t="shared" si="727"/>
        <v>=1039*100000000</v>
      </c>
      <c r="F1529" s="1">
        <f>1039*100000000</f>
        <v>103900000000</v>
      </c>
      <c r="G1529" s="8">
        <f t="shared" si="729"/>
        <v>0.33170981799538579</v>
      </c>
      <c r="H1529" s="6" t="s">
        <v>14712</v>
      </c>
      <c r="I1529" s="6" t="str">
        <f t="shared" si="713"/>
        <v>=780.2*100000000</v>
      </c>
      <c r="J1529" s="1">
        <f>780.2*100000000</f>
        <v>78020000000</v>
      </c>
      <c r="K1529" s="10">
        <f t="shared" si="730"/>
        <v>0.81992069045952876</v>
      </c>
      <c r="L1529" s="6" t="s">
        <v>13407</v>
      </c>
      <c r="M1529" s="6" t="str">
        <f t="shared" si="714"/>
        <v>=428.7*100000000</v>
      </c>
      <c r="N1529" s="1">
        <f>428.7*100000000</f>
        <v>42870000000</v>
      </c>
      <c r="O1529" s="8">
        <f t="shared" si="731"/>
        <v>1.4084269662921349</v>
      </c>
      <c r="P1529" s="6" t="s">
        <v>13763</v>
      </c>
      <c r="Q1529" s="6" t="str">
        <f t="shared" si="715"/>
        <v>=178.0*100000000</v>
      </c>
      <c r="R1529" s="11">
        <f>178*100000000</f>
        <v>17800000000</v>
      </c>
      <c r="S1529" s="8">
        <f t="shared" si="732"/>
        <v>0.34950720242608035</v>
      </c>
      <c r="T1529" s="6" t="s">
        <v>12754</v>
      </c>
      <c r="U1529" s="6" t="str">
        <f t="shared" si="716"/>
        <v>=131.9*100000000</v>
      </c>
      <c r="V1529" s="1">
        <f>131.9*100000000</f>
        <v>13190000000</v>
      </c>
      <c r="W1529" s="8">
        <f t="shared" si="733"/>
        <v>1.3847405532453445</v>
      </c>
      <c r="X1529" s="6" t="s">
        <v>4271</v>
      </c>
      <c r="Y1529" s="6" t="str">
        <f t="shared" si="717"/>
        <v>=55.31*100000000</v>
      </c>
      <c r="Z1529" s="1">
        <f>55.31*100000000</f>
        <v>5531000000</v>
      </c>
      <c r="AA1529" s="8">
        <f t="shared" si="734"/>
        <v>1.8539731682146543</v>
      </c>
      <c r="AB1529" s="6" t="s">
        <v>7529</v>
      </c>
      <c r="AC1529" s="6" t="str">
        <f t="shared" si="718"/>
        <v>=19.38*100000000</v>
      </c>
      <c r="AD1529" s="1">
        <f>19.38*100000000</f>
        <v>1938000000</v>
      </c>
      <c r="AE1529" s="8">
        <f t="shared" si="735"/>
        <v>1.8745179471966775</v>
      </c>
      <c r="AF1529" s="6" t="s">
        <v>9245</v>
      </c>
      <c r="AG1529" s="6" t="str">
        <f t="shared" si="719"/>
        <v>=6.742*100000000</v>
      </c>
      <c r="AH1529" s="1">
        <f>6.742*100000000</f>
        <v>674200000</v>
      </c>
      <c r="AI1529" s="8">
        <f t="shared" si="736"/>
        <v>-0.93485990338164249</v>
      </c>
      <c r="AJ1529" s="6" t="s">
        <v>7150</v>
      </c>
      <c r="AK1529" s="6" t="str">
        <f t="shared" si="720"/>
        <v>=103.5*100000000</v>
      </c>
      <c r="AL1529" s="1">
        <f>103.5*100000000</f>
        <v>10350000000</v>
      </c>
      <c r="AM1529" s="8">
        <f t="shared" si="737"/>
        <v>1.9370034052213394</v>
      </c>
      <c r="AN1529" s="6" t="s">
        <v>14713</v>
      </c>
      <c r="AO1529" s="6" t="str">
        <f t="shared" si="721"/>
        <v>=35.24*100000000</v>
      </c>
      <c r="AP1529" s="1">
        <f>35.24*100000000</f>
        <v>3524000000</v>
      </c>
      <c r="AQ1529" s="8">
        <f t="shared" si="738"/>
        <v>0.62546125461254609</v>
      </c>
      <c r="AR1529" s="6" t="s">
        <v>247</v>
      </c>
      <c r="AS1529" s="6" t="str">
        <f t="shared" si="722"/>
        <v>=21.68*100000000</v>
      </c>
      <c r="AT1529" s="1">
        <f>21.68*100000000</f>
        <v>2168000000</v>
      </c>
      <c r="AU1529" s="8">
        <f t="shared" si="739"/>
        <v>0.9853479853479854</v>
      </c>
      <c r="AV1529" s="6" t="s">
        <v>254</v>
      </c>
      <c r="AW1529" s="6" t="str">
        <f t="shared" si="723"/>
        <v>=10.92*100000000</v>
      </c>
      <c r="AX1529" s="1">
        <f>10.92*100000000</f>
        <v>1092000000</v>
      </c>
      <c r="AY1529" s="10">
        <f t="shared" si="740"/>
        <v>-0.63912756113681424</v>
      </c>
      <c r="AZ1529" s="6" t="s">
        <v>6747</v>
      </c>
      <c r="BA1529" s="6" t="str">
        <f t="shared" si="724"/>
        <v>=30.26*100000000</v>
      </c>
      <c r="BB1529" s="1">
        <f>30.26*100000000</f>
        <v>3026000000</v>
      </c>
      <c r="BC1529" s="8">
        <f t="shared" si="741"/>
        <v>0.42065727699530514</v>
      </c>
      <c r="BD1529" s="6" t="s">
        <v>1875</v>
      </c>
      <c r="BE1529" s="6" t="str">
        <f t="shared" si="725"/>
        <v>=21.30*100000000</v>
      </c>
      <c r="BF1529" s="1">
        <f>21.3*100000000</f>
        <v>2130000000</v>
      </c>
      <c r="BG1529" s="8">
        <f t="shared" si="742"/>
        <v>1.7694708100377063</v>
      </c>
      <c r="BH1529" s="6" t="s">
        <v>14714</v>
      </c>
      <c r="BI1529" s="6" t="str">
        <f t="shared" si="726"/>
        <v>=7.691*100000000</v>
      </c>
      <c r="BJ1529" s="1">
        <f>7.691*100000000</f>
        <v>769100000</v>
      </c>
      <c r="BK1529" s="6" t="s">
        <v>14715</v>
      </c>
      <c r="BL1529" s="1" t="str">
        <f t="shared" si="728"/>
        <v>=4.957*100000000</v>
      </c>
      <c r="BM1529" s="16">
        <f t="shared" si="743"/>
        <v>0.55154327214040755</v>
      </c>
      <c r="BN1529" s="1">
        <f>4.957*100000000</f>
        <v>495700000</v>
      </c>
    </row>
    <row r="1530" spans="1:66">
      <c r="A1530" s="17">
        <v>384</v>
      </c>
      <c r="B1530">
        <v>601939</v>
      </c>
      <c r="C1530" t="s">
        <v>31</v>
      </c>
      <c r="D1530" s="6" t="s">
        <v>14716</v>
      </c>
      <c r="E1530" s="7" t="str">
        <f t="shared" si="727"/>
        <v>=8242*100000000</v>
      </c>
      <c r="F1530" s="1">
        <f>8242*100000000</f>
        <v>824200000000</v>
      </c>
      <c r="G1530" s="8">
        <f t="shared" si="729"/>
        <v>0.31998718770019219</v>
      </c>
      <c r="H1530" s="6" t="s">
        <v>14717</v>
      </c>
      <c r="I1530" s="6" t="str">
        <f t="shared" si="713"/>
        <v>=6244*100000000</v>
      </c>
      <c r="J1530" s="1">
        <f>6244*100000000</f>
        <v>624400000000</v>
      </c>
      <c r="K1530" s="10">
        <f t="shared" si="730"/>
        <v>0.49987989430699015</v>
      </c>
      <c r="L1530" s="6" t="s">
        <v>14718</v>
      </c>
      <c r="M1530" s="6" t="str">
        <f t="shared" si="714"/>
        <v>=4163*100000000</v>
      </c>
      <c r="N1530" s="1">
        <f>4163*100000000</f>
        <v>416300000000</v>
      </c>
      <c r="O1530" s="8">
        <f t="shared" si="731"/>
        <v>0.92286374133949189</v>
      </c>
      <c r="P1530" s="6" t="s">
        <v>14719</v>
      </c>
      <c r="Q1530" s="6" t="str">
        <f t="shared" si="715"/>
        <v>=2165*100000000</v>
      </c>
      <c r="R1530" s="11">
        <f>2165*100000000</f>
        <v>216500000000</v>
      </c>
      <c r="S1530" s="8">
        <f t="shared" si="732"/>
        <v>-0.71358645323455483</v>
      </c>
      <c r="T1530" s="6" t="s">
        <v>14720</v>
      </c>
      <c r="U1530" s="6" t="str">
        <f t="shared" si="716"/>
        <v>=7559*100000000</v>
      </c>
      <c r="V1530" s="1">
        <f>7559*100000000</f>
        <v>755900000000</v>
      </c>
      <c r="W1530" s="8">
        <f t="shared" si="733"/>
        <v>0.32289114455722784</v>
      </c>
      <c r="X1530" s="6" t="s">
        <v>14721</v>
      </c>
      <c r="Y1530" s="6" t="str">
        <f t="shared" si="717"/>
        <v>=5714*100000000</v>
      </c>
      <c r="Z1530" s="1">
        <f>5714*100000000</f>
        <v>571400000000</v>
      </c>
      <c r="AA1530" s="8">
        <f t="shared" si="734"/>
        <v>0.4685170907221794</v>
      </c>
      <c r="AB1530" s="6" t="s">
        <v>14722</v>
      </c>
      <c r="AC1530" s="6" t="str">
        <f t="shared" si="718"/>
        <v>=3891*100000000</v>
      </c>
      <c r="AD1530" s="1">
        <f>3891*100000000</f>
        <v>389100000000</v>
      </c>
      <c r="AE1530" s="8">
        <f t="shared" si="735"/>
        <v>0.8581661891117478</v>
      </c>
      <c r="AF1530" s="6" t="s">
        <v>14723</v>
      </c>
      <c r="AG1530" s="6" t="str">
        <f t="shared" si="719"/>
        <v>=2094*100000000</v>
      </c>
      <c r="AH1530" s="1">
        <f>2094*100000000</f>
        <v>209400000000</v>
      </c>
      <c r="AI1530" s="8">
        <f t="shared" si="736"/>
        <v>-0.70323129251700678</v>
      </c>
      <c r="AJ1530" s="6" t="s">
        <v>14724</v>
      </c>
      <c r="AK1530" s="6" t="str">
        <f t="shared" si="720"/>
        <v>=7056*100000000</v>
      </c>
      <c r="AL1530" s="1">
        <f>7056*100000000</f>
        <v>705600000000</v>
      </c>
      <c r="AM1530" s="8">
        <f t="shared" si="737"/>
        <v>0.30763528539659007</v>
      </c>
      <c r="AN1530" s="6" t="s">
        <v>14725</v>
      </c>
      <c r="AO1530" s="6" t="str">
        <f t="shared" si="721"/>
        <v>=5396*100000000</v>
      </c>
      <c r="AP1530" s="1">
        <f>5396*100000000</f>
        <v>539600000000</v>
      </c>
      <c r="AQ1530" s="8">
        <f t="shared" si="738"/>
        <v>0.4926694329183956</v>
      </c>
      <c r="AR1530" s="6" t="s">
        <v>14726</v>
      </c>
      <c r="AS1530" s="6" t="str">
        <f t="shared" si="722"/>
        <v>=3615*100000000</v>
      </c>
      <c r="AT1530" s="1">
        <f>3615*100000000</f>
        <v>361500000000</v>
      </c>
      <c r="AU1530" s="8">
        <f t="shared" si="739"/>
        <v>0.93212185996793162</v>
      </c>
      <c r="AV1530" s="6" t="s">
        <v>14727</v>
      </c>
      <c r="AW1530" s="6" t="str">
        <f t="shared" si="723"/>
        <v>=1871*100000000</v>
      </c>
      <c r="AX1530" s="1">
        <f>1871*100000000</f>
        <v>187100000000</v>
      </c>
      <c r="AY1530" s="10">
        <f t="shared" si="740"/>
        <v>-0.71604188799514346</v>
      </c>
      <c r="AZ1530" s="6" t="s">
        <v>14728</v>
      </c>
      <c r="BA1530" s="6" t="str">
        <f t="shared" si="724"/>
        <v>=6589*100000000</v>
      </c>
      <c r="BB1530" s="1">
        <f>6589*100000000</f>
        <v>658900000000</v>
      </c>
      <c r="BC1530" s="8">
        <f t="shared" si="741"/>
        <v>0.31464485235434958</v>
      </c>
      <c r="BD1530" s="6" t="s">
        <v>14729</v>
      </c>
      <c r="BE1530" s="6" t="str">
        <f t="shared" si="725"/>
        <v>=5012*100000000</v>
      </c>
      <c r="BF1530" s="1">
        <f>5012*100000000</f>
        <v>501200000000</v>
      </c>
      <c r="BG1530" s="8">
        <f t="shared" si="742"/>
        <v>0.47065727699530518</v>
      </c>
      <c r="BH1530" s="6" t="s">
        <v>14730</v>
      </c>
      <c r="BI1530" s="6" t="str">
        <f t="shared" si="726"/>
        <v>=3408*100000000</v>
      </c>
      <c r="BJ1530" s="1">
        <f>3408*100000000</f>
        <v>340800000000</v>
      </c>
      <c r="BK1530" s="6" t="s">
        <v>14731</v>
      </c>
      <c r="BL1530" s="1" t="str">
        <f t="shared" si="728"/>
        <v>=1811*100000000</v>
      </c>
      <c r="BM1530" s="16">
        <f t="shared" si="743"/>
        <v>0.88183324130314744</v>
      </c>
      <c r="BN1530" s="1">
        <f>1811*100000000</f>
        <v>181100000000</v>
      </c>
    </row>
    <row r="1531" spans="1:66">
      <c r="A1531" s="18"/>
      <c r="B1531">
        <v>601939</v>
      </c>
      <c r="C1531" t="s">
        <v>48</v>
      </c>
      <c r="D1531" s="6" t="s">
        <v>14732</v>
      </c>
      <c r="E1531" s="7" t="str">
        <f t="shared" si="727"/>
        <v>=3788*100000000</v>
      </c>
      <c r="F1531" s="1">
        <f>3788*100000000</f>
        <v>378800000000</v>
      </c>
      <c r="G1531" s="8">
        <f t="shared" si="729"/>
        <v>0.29371584699453551</v>
      </c>
      <c r="H1531" s="6" t="s">
        <v>14733</v>
      </c>
      <c r="I1531" s="6" t="str">
        <f t="shared" si="713"/>
        <v>=2928*100000000</v>
      </c>
      <c r="J1531" s="1">
        <f>2928*100000000</f>
        <v>292800000000</v>
      </c>
      <c r="K1531" s="10">
        <f t="shared" si="730"/>
        <v>0.58871405317417258</v>
      </c>
      <c r="L1531" s="6" t="s">
        <v>14734</v>
      </c>
      <c r="M1531" s="6" t="str">
        <f t="shared" si="714"/>
        <v>=1843*100000000</v>
      </c>
      <c r="N1531" s="1">
        <f>1843*100000000</f>
        <v>184300000000</v>
      </c>
      <c r="O1531" s="8">
        <f t="shared" si="731"/>
        <v>0.83932135728542911</v>
      </c>
      <c r="P1531" s="6" t="s">
        <v>14273</v>
      </c>
      <c r="Q1531" s="6" t="str">
        <f t="shared" si="715"/>
        <v>=1002*100000000</v>
      </c>
      <c r="R1531" s="11">
        <f>1002*100000000</f>
        <v>100200000000</v>
      </c>
      <c r="S1531" s="8">
        <f t="shared" si="732"/>
        <v>-0.70284697508896798</v>
      </c>
      <c r="T1531" s="6" t="s">
        <v>14735</v>
      </c>
      <c r="U1531" s="6" t="str">
        <f t="shared" si="716"/>
        <v>=3372*100000000</v>
      </c>
      <c r="V1531" s="1">
        <f>3372*100000000</f>
        <v>337200000000</v>
      </c>
      <c r="W1531" s="8">
        <f t="shared" si="733"/>
        <v>0.34933973589435774</v>
      </c>
      <c r="X1531" s="6" t="s">
        <v>14736</v>
      </c>
      <c r="Y1531" s="6" t="str">
        <f t="shared" si="717"/>
        <v>=2499*100000000</v>
      </c>
      <c r="Z1531" s="1">
        <f>2499*100000000</f>
        <v>249900000000</v>
      </c>
      <c r="AA1531" s="8">
        <f t="shared" si="734"/>
        <v>0.48045023696682465</v>
      </c>
      <c r="AB1531" s="6" t="s">
        <v>377</v>
      </c>
      <c r="AC1531" s="6" t="str">
        <f t="shared" si="718"/>
        <v>=1688*100000000</v>
      </c>
      <c r="AD1531" s="1">
        <f>1688*100000000</f>
        <v>168800000000</v>
      </c>
      <c r="AE1531" s="8">
        <f t="shared" si="735"/>
        <v>0.71649379703070981</v>
      </c>
      <c r="AF1531" s="6" t="s">
        <v>14737</v>
      </c>
      <c r="AG1531" s="6" t="str">
        <f t="shared" si="719"/>
        <v>=983.4*100000000</v>
      </c>
      <c r="AH1531" s="1">
        <f>983.4*100000000</f>
        <v>98340000000</v>
      </c>
      <c r="AI1531" s="8">
        <f t="shared" si="736"/>
        <v>-0.69926605504587158</v>
      </c>
      <c r="AJ1531" s="6" t="s">
        <v>14738</v>
      </c>
      <c r="AK1531" s="6" t="str">
        <f t="shared" si="720"/>
        <v>=3270*100000000</v>
      </c>
      <c r="AL1531" s="1">
        <f>3270*100000000</f>
        <v>327000000000</v>
      </c>
      <c r="AM1531" s="8">
        <f t="shared" si="737"/>
        <v>0.17583603020496225</v>
      </c>
      <c r="AN1531" s="6" t="s">
        <v>14739</v>
      </c>
      <c r="AO1531" s="6" t="str">
        <f t="shared" si="721"/>
        <v>=2781*100000000</v>
      </c>
      <c r="AP1531" s="1">
        <f>2781*100000000</f>
        <v>278100000000</v>
      </c>
      <c r="AQ1531" s="8">
        <f t="shared" si="738"/>
        <v>0.4552590266875981</v>
      </c>
      <c r="AR1531" s="6" t="s">
        <v>14740</v>
      </c>
      <c r="AS1531" s="6" t="str">
        <f t="shared" si="722"/>
        <v>=1911*100000000</v>
      </c>
      <c r="AT1531" s="1">
        <f>1911*100000000</f>
        <v>191100000000</v>
      </c>
      <c r="AU1531" s="8">
        <f t="shared" si="739"/>
        <v>0.99540565939229408</v>
      </c>
      <c r="AV1531" s="6" t="s">
        <v>14741</v>
      </c>
      <c r="AW1531" s="6" t="str">
        <f t="shared" si="723"/>
        <v>=957.7*100000000</v>
      </c>
      <c r="AX1531" s="1">
        <f>957.7*100000000</f>
        <v>95770000000</v>
      </c>
      <c r="AY1531" s="10">
        <f t="shared" si="740"/>
        <v>-0.68956239870340352</v>
      </c>
      <c r="AZ1531" s="6" t="s">
        <v>14742</v>
      </c>
      <c r="BA1531" s="6" t="str">
        <f t="shared" si="724"/>
        <v>=3085*100000000</v>
      </c>
      <c r="BB1531" s="1">
        <f>3085*100000000</f>
        <v>308500000000</v>
      </c>
      <c r="BC1531" s="8">
        <f t="shared" si="741"/>
        <v>0.16900341038272074</v>
      </c>
      <c r="BD1531" s="6" t="s">
        <v>14743</v>
      </c>
      <c r="BE1531" s="6" t="str">
        <f t="shared" si="725"/>
        <v>=2639*100000000</v>
      </c>
      <c r="BF1531" s="1">
        <f>2639*100000000</f>
        <v>263900000000</v>
      </c>
      <c r="BG1531" s="8">
        <f t="shared" si="742"/>
        <v>0.45559845559845558</v>
      </c>
      <c r="BH1531" s="6" t="s">
        <v>12923</v>
      </c>
      <c r="BI1531" s="6" t="str">
        <f t="shared" si="726"/>
        <v>=1813*100000000</v>
      </c>
      <c r="BJ1531" s="1">
        <f>1813*100000000</f>
        <v>181300000000</v>
      </c>
      <c r="BK1531" s="6" t="s">
        <v>14744</v>
      </c>
      <c r="BL1531" s="1" t="str">
        <f t="shared" si="728"/>
        <v>=904.6*100000000</v>
      </c>
      <c r="BM1531" s="16">
        <f t="shared" si="743"/>
        <v>1.0042007517134646</v>
      </c>
      <c r="BN1531" s="1">
        <f>904.6*100000000</f>
        <v>90460000000</v>
      </c>
    </row>
    <row r="1532" spans="1:66">
      <c r="A1532" s="18"/>
      <c r="B1532">
        <v>601939</v>
      </c>
      <c r="C1532" t="s">
        <v>58</v>
      </c>
      <c r="D1532" s="6" t="s">
        <v>14745</v>
      </c>
      <c r="E1532" s="7" t="str">
        <f t="shared" si="727"/>
        <v>=3784*100000000</v>
      </c>
      <c r="F1532" s="1">
        <f>3784*100000000</f>
        <v>378400000000</v>
      </c>
      <c r="G1532" s="8">
        <f t="shared" si="729"/>
        <v>0.29234972677595628</v>
      </c>
      <c r="H1532" s="6" t="s">
        <v>14733</v>
      </c>
      <c r="I1532" s="6" t="str">
        <f t="shared" si="713"/>
        <v>=2928*100000000</v>
      </c>
      <c r="J1532" s="1">
        <f>2928*100000000</f>
        <v>292800000000</v>
      </c>
      <c r="K1532" s="10">
        <f t="shared" si="730"/>
        <v>0.58699186991869923</v>
      </c>
      <c r="L1532" s="6" t="s">
        <v>14746</v>
      </c>
      <c r="M1532" s="6" t="str">
        <f t="shared" si="714"/>
        <v>=1845*100000000</v>
      </c>
      <c r="N1532" s="1">
        <f>1845*100000000</f>
        <v>184500000000</v>
      </c>
      <c r="O1532" s="8">
        <f t="shared" si="731"/>
        <v>0.83948155533399804</v>
      </c>
      <c r="P1532" s="6" t="s">
        <v>9311</v>
      </c>
      <c r="Q1532" s="6" t="str">
        <f t="shared" si="715"/>
        <v>=1003*100000000</v>
      </c>
      <c r="R1532" s="11">
        <f>1003*100000000</f>
        <v>100300000000</v>
      </c>
      <c r="S1532" s="8">
        <f t="shared" si="732"/>
        <v>-0.70202020202020199</v>
      </c>
      <c r="T1532" s="6" t="s">
        <v>14747</v>
      </c>
      <c r="U1532" s="6" t="str">
        <f t="shared" si="716"/>
        <v>=3366*100000000</v>
      </c>
      <c r="V1532" s="1">
        <f>3366*100000000</f>
        <v>336600000000</v>
      </c>
      <c r="W1532" s="8">
        <f t="shared" si="733"/>
        <v>0.34693877551020408</v>
      </c>
      <c r="X1532" s="6" t="s">
        <v>14736</v>
      </c>
      <c r="Y1532" s="6" t="str">
        <f t="shared" si="717"/>
        <v>=2499*100000000</v>
      </c>
      <c r="Z1532" s="1">
        <f>2499*100000000</f>
        <v>249900000000</v>
      </c>
      <c r="AA1532" s="8">
        <f t="shared" si="734"/>
        <v>0.48045023696682465</v>
      </c>
      <c r="AB1532" s="6" t="s">
        <v>377</v>
      </c>
      <c r="AC1532" s="6" t="str">
        <f t="shared" si="718"/>
        <v>=1688*100000000</v>
      </c>
      <c r="AD1532" s="1">
        <f>1688*100000000</f>
        <v>168800000000</v>
      </c>
      <c r="AE1532" s="8">
        <f t="shared" si="735"/>
        <v>0.71597031615329876</v>
      </c>
      <c r="AF1532" s="6" t="s">
        <v>14748</v>
      </c>
      <c r="AG1532" s="6" t="str">
        <f t="shared" si="719"/>
        <v>=983.7*100000000</v>
      </c>
      <c r="AH1532" s="1">
        <f>983.7*100000000</f>
        <v>98370000000</v>
      </c>
      <c r="AI1532" s="8">
        <f t="shared" si="736"/>
        <v>-0.6988058787507655</v>
      </c>
      <c r="AJ1532" s="6" t="s">
        <v>14749</v>
      </c>
      <c r="AK1532" s="6" t="str">
        <f t="shared" si="720"/>
        <v>=3266*100000000</v>
      </c>
      <c r="AL1532" s="1">
        <f>3266*100000000</f>
        <v>326600000000</v>
      </c>
      <c r="AM1532" s="8">
        <f t="shared" si="737"/>
        <v>0.17439769866954333</v>
      </c>
      <c r="AN1532" s="6" t="s">
        <v>14739</v>
      </c>
      <c r="AO1532" s="6" t="str">
        <f t="shared" si="721"/>
        <v>=2781*100000000</v>
      </c>
      <c r="AP1532" s="1">
        <f>2781*100000000</f>
        <v>278100000000</v>
      </c>
      <c r="AQ1532" s="8">
        <f t="shared" si="738"/>
        <v>0.45449790794979078</v>
      </c>
      <c r="AR1532" s="6" t="s">
        <v>14750</v>
      </c>
      <c r="AS1532" s="6" t="str">
        <f t="shared" si="722"/>
        <v>=1912*100000000</v>
      </c>
      <c r="AT1532" s="1">
        <f>1912*100000000</f>
        <v>191200000000</v>
      </c>
      <c r="AU1532" s="8">
        <f t="shared" si="739"/>
        <v>0.994991652754591</v>
      </c>
      <c r="AV1532" s="6" t="s">
        <v>14751</v>
      </c>
      <c r="AW1532" s="6" t="str">
        <f t="shared" si="723"/>
        <v>=958.4*100000000</v>
      </c>
      <c r="AX1532" s="1">
        <f>958.4*100000000</f>
        <v>95840000000</v>
      </c>
      <c r="AY1532" s="10">
        <f t="shared" si="740"/>
        <v>-0.68903309539260216</v>
      </c>
      <c r="AZ1532" s="6" t="s">
        <v>14752</v>
      </c>
      <c r="BA1532" s="6" t="str">
        <f t="shared" si="724"/>
        <v>=3082*100000000</v>
      </c>
      <c r="BB1532" s="1">
        <f>3082*100000000</f>
        <v>308200000000</v>
      </c>
      <c r="BC1532" s="8">
        <f t="shared" si="741"/>
        <v>0.1683093252463988</v>
      </c>
      <c r="BD1532" s="6" t="s">
        <v>14753</v>
      </c>
      <c r="BE1532" s="6" t="str">
        <f t="shared" si="725"/>
        <v>=2638*100000000</v>
      </c>
      <c r="BF1532" s="1">
        <f>2638*100000000</f>
        <v>263800000000</v>
      </c>
      <c r="BG1532" s="8">
        <f t="shared" si="742"/>
        <v>0.45424476295479604</v>
      </c>
      <c r="BH1532" s="6" t="s">
        <v>14754</v>
      </c>
      <c r="BI1532" s="6" t="str">
        <f t="shared" si="726"/>
        <v>=1814*100000000</v>
      </c>
      <c r="BJ1532" s="1">
        <f>1814*100000000</f>
        <v>181400000000</v>
      </c>
      <c r="BK1532" s="6" t="s">
        <v>9390</v>
      </c>
      <c r="BL1532" s="1" t="str">
        <f t="shared" si="728"/>
        <v>=904.9*100000000</v>
      </c>
      <c r="BM1532" s="16">
        <f t="shared" si="743"/>
        <v>1.0046413968394299</v>
      </c>
      <c r="BN1532" s="1">
        <f>904.9*100000000</f>
        <v>90490000000</v>
      </c>
    </row>
    <row r="1533" spans="1:66">
      <c r="A1533" s="19"/>
      <c r="B1533">
        <v>601939</v>
      </c>
      <c r="C1533" t="s">
        <v>68</v>
      </c>
      <c r="D1533" s="6" t="s">
        <v>14755</v>
      </c>
      <c r="E1533" s="7" t="str">
        <f t="shared" si="727"/>
        <v>=3039*100000000</v>
      </c>
      <c r="F1533" s="1">
        <f>3039*100000000</f>
        <v>303900000000</v>
      </c>
      <c r="G1533" s="8">
        <f t="shared" si="729"/>
        <v>0.30317324185248712</v>
      </c>
      <c r="H1533" s="6" t="s">
        <v>14756</v>
      </c>
      <c r="I1533" s="6" t="str">
        <f t="shared" si="713"/>
        <v>=2332*100000000</v>
      </c>
      <c r="J1533" s="1">
        <f>2332*100000000</f>
        <v>233200000000</v>
      </c>
      <c r="K1533" s="10">
        <f t="shared" si="730"/>
        <v>0.51330304996755349</v>
      </c>
      <c r="L1533" s="6" t="s">
        <v>14757</v>
      </c>
      <c r="M1533" s="6" t="str">
        <f t="shared" si="714"/>
        <v>=1541*100000000</v>
      </c>
      <c r="N1533" s="1">
        <f>1541*100000000</f>
        <v>154100000000</v>
      </c>
      <c r="O1533" s="8">
        <f t="shared" si="731"/>
        <v>0.85617923391953743</v>
      </c>
      <c r="P1533" s="6" t="s">
        <v>14758</v>
      </c>
      <c r="Q1533" s="6" t="str">
        <f t="shared" si="715"/>
        <v>=830.2*100000000</v>
      </c>
      <c r="R1533" s="11">
        <f>830.2*100000000</f>
        <v>83020000000</v>
      </c>
      <c r="S1533" s="8">
        <f t="shared" si="732"/>
        <v>-0.69656432748538011</v>
      </c>
      <c r="T1533" s="6" t="s">
        <v>14759</v>
      </c>
      <c r="U1533" s="6" t="str">
        <f t="shared" si="716"/>
        <v>=2736*100000000</v>
      </c>
      <c r="V1533" s="1">
        <f>2736*100000000</f>
        <v>273600000000</v>
      </c>
      <c r="W1533" s="8">
        <f t="shared" si="733"/>
        <v>0.31791907514450868</v>
      </c>
      <c r="X1533" s="6" t="s">
        <v>13618</v>
      </c>
      <c r="Y1533" s="6" t="str">
        <f t="shared" si="717"/>
        <v>=2076*100000000</v>
      </c>
      <c r="Z1533" s="1">
        <f>2076*100000000</f>
        <v>207600000000</v>
      </c>
      <c r="AA1533" s="8">
        <f t="shared" si="734"/>
        <v>0.49460043196544279</v>
      </c>
      <c r="AB1533" s="6" t="s">
        <v>14760</v>
      </c>
      <c r="AC1533" s="6" t="str">
        <f t="shared" si="718"/>
        <v>=1389*100000000</v>
      </c>
      <c r="AD1533" s="1">
        <f>1389*100000000</f>
        <v>138900000000</v>
      </c>
      <c r="AE1533" s="8">
        <f t="shared" si="735"/>
        <v>0.7152383304519635</v>
      </c>
      <c r="AF1533" s="6" t="s">
        <v>14761</v>
      </c>
      <c r="AG1533" s="6" t="str">
        <f t="shared" si="719"/>
        <v>=809.8*100000000</v>
      </c>
      <c r="AH1533" s="1">
        <f>809.8*100000000</f>
        <v>80980000000</v>
      </c>
      <c r="AI1533" s="8">
        <f t="shared" si="736"/>
        <v>-0.69918276374442789</v>
      </c>
      <c r="AJ1533" s="6" t="s">
        <v>14762</v>
      </c>
      <c r="AK1533" s="6" t="str">
        <f t="shared" si="720"/>
        <v>=2692*100000000</v>
      </c>
      <c r="AL1533" s="1">
        <f>2692*100000000</f>
        <v>269200000000</v>
      </c>
      <c r="AM1533" s="8">
        <f t="shared" si="737"/>
        <v>0.18381706244503079</v>
      </c>
      <c r="AN1533" s="6" t="s">
        <v>14763</v>
      </c>
      <c r="AO1533" s="6" t="str">
        <f t="shared" si="721"/>
        <v>=2274*100000000</v>
      </c>
      <c r="AP1533" s="1">
        <f>2274*100000000</f>
        <v>227400000000</v>
      </c>
      <c r="AQ1533" s="8">
        <f t="shared" si="738"/>
        <v>0.46050096339113678</v>
      </c>
      <c r="AR1533" s="6" t="s">
        <v>14764</v>
      </c>
      <c r="AS1533" s="6" t="str">
        <f t="shared" si="722"/>
        <v>=1557*100000000</v>
      </c>
      <c r="AT1533" s="1">
        <f>1557*100000000</f>
        <v>155700000000</v>
      </c>
      <c r="AU1533" s="8">
        <f t="shared" si="739"/>
        <v>0.99794687540100091</v>
      </c>
      <c r="AV1533" s="6" t="s">
        <v>14765</v>
      </c>
      <c r="AW1533" s="6" t="str">
        <f t="shared" si="723"/>
        <v>=779.3*100000000</v>
      </c>
      <c r="AX1533" s="1">
        <f>779.3*100000000</f>
        <v>77930000000</v>
      </c>
      <c r="AY1533" s="10">
        <f t="shared" si="740"/>
        <v>-0.69510954616588416</v>
      </c>
      <c r="AZ1533" s="6" t="s">
        <v>14766</v>
      </c>
      <c r="BA1533" s="6" t="str">
        <f t="shared" si="724"/>
        <v>=2556*100000000</v>
      </c>
      <c r="BB1533" s="1">
        <f>2556*100000000</f>
        <v>255600000000</v>
      </c>
      <c r="BC1533" s="8">
        <f t="shared" si="741"/>
        <v>0.18939041414611446</v>
      </c>
      <c r="BD1533" s="6" t="s">
        <v>14767</v>
      </c>
      <c r="BE1533" s="6" t="str">
        <f t="shared" si="725"/>
        <v>=2149*100000000</v>
      </c>
      <c r="BF1533" s="1">
        <f>2149*100000000</f>
        <v>214900000000</v>
      </c>
      <c r="BG1533" s="8">
        <f t="shared" si="742"/>
        <v>0.45694915254237289</v>
      </c>
      <c r="BH1533" s="6" t="s">
        <v>14768</v>
      </c>
      <c r="BI1533" s="6" t="str">
        <f t="shared" si="726"/>
        <v>=1475*100000000</v>
      </c>
      <c r="BJ1533" s="1">
        <f>1475*100000000</f>
        <v>147500000000</v>
      </c>
      <c r="BK1533" s="6" t="s">
        <v>14769</v>
      </c>
      <c r="BL1533" s="1" t="str">
        <f t="shared" si="728"/>
        <v>=740.8*100000000</v>
      </c>
      <c r="BM1533" s="16">
        <f t="shared" si="743"/>
        <v>0.99109071274298055</v>
      </c>
      <c r="BN1533" s="1">
        <f>740.8*100000000</f>
        <v>74080000000</v>
      </c>
    </row>
    <row r="1534" spans="1:66">
      <c r="A1534" s="17">
        <v>385</v>
      </c>
      <c r="B1534">
        <v>601969</v>
      </c>
      <c r="C1534" t="s">
        <v>31</v>
      </c>
      <c r="D1534" s="6" t="s">
        <v>5353</v>
      </c>
      <c r="E1534" s="7" t="str">
        <f t="shared" si="727"/>
        <v>=41.19*100000000</v>
      </c>
      <c r="F1534" s="1">
        <f>41.19*100000000</f>
        <v>4119000000</v>
      </c>
      <c r="G1534" s="8">
        <f t="shared" si="729"/>
        <v>0.29324960753532181</v>
      </c>
      <c r="H1534" s="6" t="s">
        <v>9013</v>
      </c>
      <c r="I1534" s="6" t="str">
        <f t="shared" si="713"/>
        <v>=31.85*100000000</v>
      </c>
      <c r="J1534" s="1">
        <f>31.85*100000000</f>
        <v>3185000000</v>
      </c>
      <c r="K1534" s="10">
        <f t="shared" si="730"/>
        <v>0.55745721271393645</v>
      </c>
      <c r="L1534" s="6" t="s">
        <v>732</v>
      </c>
      <c r="M1534" s="6" t="str">
        <f t="shared" si="714"/>
        <v>=20.45*100000000</v>
      </c>
      <c r="N1534" s="1">
        <f>20.45*100000000</f>
        <v>2045000000</v>
      </c>
      <c r="O1534" s="8">
        <f t="shared" si="731"/>
        <v>1.6370083816892327</v>
      </c>
      <c r="P1534" s="6" t="s">
        <v>195</v>
      </c>
      <c r="Q1534" s="6" t="str">
        <f t="shared" si="715"/>
        <v>=7.755*100000000</v>
      </c>
      <c r="R1534" s="11">
        <f>7.755*100000000</f>
        <v>775500000</v>
      </c>
      <c r="S1534" s="8">
        <f t="shared" si="732"/>
        <v>-0.71942836468885674</v>
      </c>
      <c r="T1534" s="6" t="s">
        <v>4365</v>
      </c>
      <c r="U1534" s="6" t="str">
        <f t="shared" si="716"/>
        <v>=27.64*100000000</v>
      </c>
      <c r="V1534" s="1">
        <f>27.64*100000000</f>
        <v>2764000000</v>
      </c>
      <c r="W1534" s="8">
        <f t="shared" si="733"/>
        <v>0.38476953907815631</v>
      </c>
      <c r="X1534" s="6" t="s">
        <v>10692</v>
      </c>
      <c r="Y1534" s="6" t="str">
        <f t="shared" si="717"/>
        <v>=19.96*100000000</v>
      </c>
      <c r="Z1534" s="1">
        <f>19.96*100000000</f>
        <v>1996000000</v>
      </c>
      <c r="AA1534" s="8">
        <f t="shared" si="734"/>
        <v>0.57165354330708662</v>
      </c>
      <c r="AB1534" s="6" t="s">
        <v>1090</v>
      </c>
      <c r="AC1534" s="6" t="str">
        <f t="shared" si="718"/>
        <v>=12.70*100000000</v>
      </c>
      <c r="AD1534" s="1">
        <f>12.7*100000000</f>
        <v>1270000000</v>
      </c>
      <c r="AE1534" s="8">
        <f t="shared" si="735"/>
        <v>0.61845291194086915</v>
      </c>
      <c r="AF1534" s="6" t="s">
        <v>14770</v>
      </c>
      <c r="AG1534" s="6" t="str">
        <f t="shared" si="719"/>
        <v>=7.847*100000000</v>
      </c>
      <c r="AH1534" s="1">
        <f>7.847*100000000</f>
        <v>784700000</v>
      </c>
      <c r="AI1534" s="8">
        <f t="shared" si="736"/>
        <v>-0.78894566971490043</v>
      </c>
      <c r="AJ1534" s="6" t="s">
        <v>5379</v>
      </c>
      <c r="AK1534" s="6" t="str">
        <f t="shared" si="720"/>
        <v>=37.18*100000000</v>
      </c>
      <c r="AL1534" s="1">
        <f>37.18*100000000</f>
        <v>3718000000</v>
      </c>
      <c r="AM1534" s="8">
        <f t="shared" si="737"/>
        <v>0.21821756225425951</v>
      </c>
      <c r="AN1534" s="6" t="s">
        <v>14771</v>
      </c>
      <c r="AO1534" s="6" t="str">
        <f t="shared" si="721"/>
        <v>=30.52*100000000</v>
      </c>
      <c r="AP1534" s="1">
        <f>30.52*100000000</f>
        <v>3052000000</v>
      </c>
      <c r="AQ1534" s="8">
        <f t="shared" si="738"/>
        <v>0.3534368070953437</v>
      </c>
      <c r="AR1534" s="6" t="s">
        <v>1821</v>
      </c>
      <c r="AS1534" s="6" t="str">
        <f t="shared" si="722"/>
        <v>=22.55*100000000</v>
      </c>
      <c r="AT1534" s="1">
        <f>22.55*100000000</f>
        <v>2255000000</v>
      </c>
      <c r="AU1534" s="8">
        <f t="shared" si="739"/>
        <v>1.4569623011549355</v>
      </c>
      <c r="AV1534" s="6" t="s">
        <v>2760</v>
      </c>
      <c r="AW1534" s="6" t="str">
        <f t="shared" si="723"/>
        <v>=9.178*100000000</v>
      </c>
      <c r="AX1534" s="1">
        <f>9.178*100000000</f>
        <v>917800000.00000012</v>
      </c>
      <c r="AY1534" s="10">
        <f t="shared" si="740"/>
        <v>-0.63506958250497014</v>
      </c>
      <c r="AZ1534" s="6" t="s">
        <v>14772</v>
      </c>
      <c r="BA1534" s="6" t="str">
        <f t="shared" si="724"/>
        <v>=25.15*100000000</v>
      </c>
      <c r="BB1534" s="1">
        <f>25.15*100000000</f>
        <v>2515000000</v>
      </c>
      <c r="BC1534" s="8">
        <f t="shared" si="741"/>
        <v>0.29907024793388431</v>
      </c>
      <c r="BD1534" s="6" t="s">
        <v>1356</v>
      </c>
      <c r="BE1534" s="6" t="str">
        <f t="shared" si="725"/>
        <v>=19.36*100000000</v>
      </c>
      <c r="BF1534" s="1">
        <f>19.36*100000000</f>
        <v>1936000000</v>
      </c>
      <c r="BG1534" s="8">
        <f t="shared" si="742"/>
        <v>0.43089430894308944</v>
      </c>
      <c r="BH1534" s="6" t="s">
        <v>3273</v>
      </c>
      <c r="BI1534" s="6" t="str">
        <f t="shared" si="726"/>
        <v>=13.53*100000000</v>
      </c>
      <c r="BJ1534" s="1">
        <f>13.53*100000000</f>
        <v>1353000000</v>
      </c>
      <c r="BK1534" s="6" t="s">
        <v>14773</v>
      </c>
      <c r="BL1534" s="1" t="str">
        <f t="shared" si="728"/>
        <v>=5.029*100000000</v>
      </c>
      <c r="BM1534" s="16">
        <f t="shared" si="743"/>
        <v>1.6903957049115133</v>
      </c>
      <c r="BN1534" s="1">
        <f>5.029*100000000</f>
        <v>502900000</v>
      </c>
    </row>
    <row r="1535" spans="1:66">
      <c r="A1535" s="18"/>
      <c r="B1535">
        <v>601969</v>
      </c>
      <c r="C1535" t="s">
        <v>48</v>
      </c>
      <c r="D1535" s="6" t="s">
        <v>8803</v>
      </c>
      <c r="E1535" s="7" t="str">
        <f t="shared" si="727"/>
        <v>=12.32*100000000</v>
      </c>
      <c r="F1535" s="1">
        <f>12.32*100000000</f>
        <v>1232000000</v>
      </c>
      <c r="G1535" s="8">
        <f t="shared" si="729"/>
        <v>-8.8757396449704137E-2</v>
      </c>
      <c r="H1535" s="6" t="s">
        <v>897</v>
      </c>
      <c r="I1535" s="6" t="str">
        <f t="shared" ref="I1535:I1598" si="744">"="&amp;H1535</f>
        <v>=13.52*100000000</v>
      </c>
      <c r="J1535" s="1">
        <f>13.52*100000000</f>
        <v>1352000000</v>
      </c>
      <c r="K1535" s="10">
        <f t="shared" si="730"/>
        <v>0.75789884280327657</v>
      </c>
      <c r="L1535" s="6" t="s">
        <v>14714</v>
      </c>
      <c r="M1535" s="6" t="str">
        <f t="shared" ref="M1535:M1598" si="745">"="&amp;L1535</f>
        <v>=7.691*100000000</v>
      </c>
      <c r="N1535" s="1">
        <f>7.691*100000000</f>
        <v>769100000</v>
      </c>
      <c r="O1535" s="8">
        <f t="shared" si="731"/>
        <v>1.8286134608311879</v>
      </c>
      <c r="P1535" s="6" t="s">
        <v>3692</v>
      </c>
      <c r="Q1535" s="6" t="str">
        <f t="shared" ref="Q1535:Q1598" si="746">"="&amp;P1535</f>
        <v>=2.719*100000000</v>
      </c>
      <c r="R1535" s="11">
        <f>2.719*100000000</f>
        <v>271900000</v>
      </c>
      <c r="S1535" s="8">
        <f t="shared" si="732"/>
        <v>1.0382308845577211</v>
      </c>
      <c r="T1535" s="6" t="s">
        <v>14774</v>
      </c>
      <c r="U1535" s="6" t="str">
        <f t="shared" ref="U1535:U1598" si="747">"="&amp;T1535</f>
        <v>=1.334*100000000</v>
      </c>
      <c r="V1535" s="1">
        <f>1.334*100000000</f>
        <v>133400000.00000001</v>
      </c>
      <c r="W1535" s="8">
        <f t="shared" si="733"/>
        <v>0.5604164229734474</v>
      </c>
      <c r="X1535" s="7" t="s">
        <v>8504</v>
      </c>
      <c r="Y1535" s="6" t="str">
        <f t="shared" ref="Y1535:Y1598" si="748">"="&amp;X1535</f>
        <v>=8549*10000</v>
      </c>
      <c r="Z1535" s="1">
        <f>8549*10000</f>
        <v>85490000</v>
      </c>
      <c r="AA1535" s="8">
        <f t="shared" si="734"/>
        <v>1.4321479374110953</v>
      </c>
      <c r="AB1535" s="7" t="s">
        <v>14775</v>
      </c>
      <c r="AC1535" s="6" t="str">
        <f t="shared" ref="AC1535:AC1598" si="749">"="&amp;AB1535</f>
        <v>=3515*10000</v>
      </c>
      <c r="AD1535" s="1">
        <f>3515*10000</f>
        <v>35150000</v>
      </c>
      <c r="AE1535" s="8">
        <f t="shared" si="735"/>
        <v>6.5474386177629587E-2</v>
      </c>
      <c r="AF1535" s="7" t="s">
        <v>14776</v>
      </c>
      <c r="AG1535" s="6" t="str">
        <f t="shared" ref="AG1535:AG1598" si="750">"="&amp;AF1535</f>
        <v>=3299*10000</v>
      </c>
      <c r="AH1535" s="1">
        <f>3299*10000</f>
        <v>32990000</v>
      </c>
      <c r="AI1535" s="8">
        <f t="shared" si="736"/>
        <v>-0.86225469728601256</v>
      </c>
      <c r="AJ1535" s="6" t="s">
        <v>11269</v>
      </c>
      <c r="AK1535" s="6" t="str">
        <f t="shared" ref="AK1535:AK1598" si="751">"="&amp;AJ1535</f>
        <v>=2.395*100000000</v>
      </c>
      <c r="AL1535" s="1">
        <f>2.395*100000000</f>
        <v>239500000</v>
      </c>
      <c r="AM1535" s="8">
        <f t="shared" si="737"/>
        <v>0.34626194491287238</v>
      </c>
      <c r="AN1535" s="6" t="s">
        <v>4847</v>
      </c>
      <c r="AO1535" s="6" t="str">
        <f t="shared" ref="AO1535:AO1598" si="752">"="&amp;AN1535</f>
        <v>=1.779*100000000</v>
      </c>
      <c r="AP1535" s="1">
        <f>1.779*100000000</f>
        <v>177900000</v>
      </c>
      <c r="AQ1535" s="8">
        <f t="shared" si="738"/>
        <v>1.3469656992084433</v>
      </c>
      <c r="AR1535" s="7" t="s">
        <v>14777</v>
      </c>
      <c r="AS1535" s="6" t="str">
        <f t="shared" ref="AS1535:AS1598" si="753">"="&amp;AR1535</f>
        <v>=7580*10000</v>
      </c>
      <c r="AT1535" s="1">
        <f>7580*10000</f>
        <v>75800000</v>
      </c>
      <c r="AU1535" s="8">
        <f t="shared" si="739"/>
        <v>-3.6848792884371026E-2</v>
      </c>
      <c r="AV1535" s="7" t="s">
        <v>14778</v>
      </c>
      <c r="AW1535" s="6" t="str">
        <f t="shared" ref="AW1535:AW1598" si="754">"="&amp;AV1535</f>
        <v>=7870*10000</v>
      </c>
      <c r="AX1535" s="1">
        <f>7870*10000</f>
        <v>78700000</v>
      </c>
      <c r="AY1535" s="10">
        <f t="shared" si="740"/>
        <v>-1.1795164233576643</v>
      </c>
      <c r="AZ1535" s="6">
        <f>-4.384*100000000</f>
        <v>-438400000.00000006</v>
      </c>
      <c r="BA1535" s="6" t="str">
        <f t="shared" ref="BA1535:BA1598" si="755">"="&amp;AZ1535</f>
        <v>=-438400000</v>
      </c>
      <c r="BB1535" s="1">
        <f>-438400000</f>
        <v>-438400000</v>
      </c>
      <c r="BC1535" s="8">
        <f t="shared" si="741"/>
        <v>0.60644924880908757</v>
      </c>
      <c r="BD1535" s="6">
        <f>-2.729*100000000</f>
        <v>-272900000</v>
      </c>
      <c r="BE1535" s="6" t="str">
        <f t="shared" ref="BE1535:BE1598" si="756">"="&amp;BD1535</f>
        <v>=-272900000</v>
      </c>
      <c r="BF1535" s="1">
        <f>-272900000</f>
        <v>-272900000</v>
      </c>
      <c r="BG1535" s="8">
        <f t="shared" si="742"/>
        <v>-11.062684365781712</v>
      </c>
      <c r="BH1535" s="7" t="s">
        <v>14779</v>
      </c>
      <c r="BI1535" s="6" t="str">
        <f t="shared" ref="BI1535:BI1598" si="757">"="&amp;BH1535</f>
        <v>=2712*10000</v>
      </c>
      <c r="BJ1535" s="1">
        <f>2712*10000</f>
        <v>27120000</v>
      </c>
      <c r="BK1535" s="6">
        <f>-1.389*100000000</f>
        <v>-138900000</v>
      </c>
      <c r="BL1535" s="1" t="str">
        <f t="shared" si="728"/>
        <v>=-138900000</v>
      </c>
      <c r="BM1535" s="16">
        <f t="shared" si="743"/>
        <v>-1.1952483801295897</v>
      </c>
      <c r="BN1535" s="1">
        <f>-138900000</f>
        <v>-138900000</v>
      </c>
    </row>
    <row r="1536" spans="1:66">
      <c r="A1536" s="18"/>
      <c r="B1536">
        <v>601969</v>
      </c>
      <c r="C1536" t="s">
        <v>58</v>
      </c>
      <c r="D1536" s="6" t="s">
        <v>1382</v>
      </c>
      <c r="E1536" s="7" t="str">
        <f t="shared" si="727"/>
        <v>=12.29*100000000</v>
      </c>
      <c r="F1536" s="1">
        <f>12.29*100000000</f>
        <v>1229000000</v>
      </c>
      <c r="G1536" s="8">
        <f t="shared" si="729"/>
        <v>-8.8954781319495926E-2</v>
      </c>
      <c r="H1536" s="6" t="s">
        <v>1357</v>
      </c>
      <c r="I1536" s="6" t="str">
        <f t="shared" si="744"/>
        <v>=13.49*100000000</v>
      </c>
      <c r="J1536" s="1">
        <f>13.49*100000000</f>
        <v>1349000000</v>
      </c>
      <c r="K1536" s="10">
        <f t="shared" si="730"/>
        <v>0.75902986047724608</v>
      </c>
      <c r="L1536" s="6" t="s">
        <v>11509</v>
      </c>
      <c r="M1536" s="6" t="str">
        <f t="shared" si="745"/>
        <v>=7.669*100000000</v>
      </c>
      <c r="N1536" s="1">
        <f>7.669*100000000</f>
        <v>766900000</v>
      </c>
      <c r="O1536" s="8">
        <f t="shared" si="731"/>
        <v>1.841422749166358</v>
      </c>
      <c r="P1536" s="6" t="s">
        <v>8666</v>
      </c>
      <c r="Q1536" s="6" t="str">
        <f t="shared" si="746"/>
        <v>=2.699*100000000</v>
      </c>
      <c r="R1536" s="11">
        <f>2.699*100000000</f>
        <v>269900000</v>
      </c>
      <c r="S1536" s="8">
        <f t="shared" si="732"/>
        <v>1.0096798212956068</v>
      </c>
      <c r="T1536" s="6" t="s">
        <v>10146</v>
      </c>
      <c r="U1536" s="6" t="str">
        <f t="shared" si="747"/>
        <v>=1.343*100000000</v>
      </c>
      <c r="V1536" s="1">
        <f>1.343*100000000</f>
        <v>134300000</v>
      </c>
      <c r="W1536" s="8">
        <f t="shared" si="733"/>
        <v>0.57981413951299843</v>
      </c>
      <c r="X1536" s="7" t="s">
        <v>1746</v>
      </c>
      <c r="Y1536" s="6" t="str">
        <f t="shared" si="748"/>
        <v>=8501*10000</v>
      </c>
      <c r="Z1536" s="1">
        <f>8501*10000</f>
        <v>85010000</v>
      </c>
      <c r="AA1536" s="8">
        <f t="shared" si="734"/>
        <v>1.4512687427912341</v>
      </c>
      <c r="AB1536" s="7" t="s">
        <v>14780</v>
      </c>
      <c r="AC1536" s="6" t="str">
        <f t="shared" si="749"/>
        <v>=3468*10000</v>
      </c>
      <c r="AD1536" s="1">
        <f>3468*10000</f>
        <v>34680000</v>
      </c>
      <c r="AE1536" s="8">
        <f t="shared" si="735"/>
        <v>7.5015499070055794E-2</v>
      </c>
      <c r="AF1536" s="7" t="s">
        <v>2596</v>
      </c>
      <c r="AG1536" s="6" t="str">
        <f t="shared" si="750"/>
        <v>=3226*10000</v>
      </c>
      <c r="AH1536" s="1">
        <f>3226*10000</f>
        <v>32260000</v>
      </c>
      <c r="AI1536" s="8">
        <f t="shared" si="736"/>
        <v>-0.86619659892160927</v>
      </c>
      <c r="AJ1536" s="6" t="s">
        <v>6398</v>
      </c>
      <c r="AK1536" s="6" t="str">
        <f t="shared" si="751"/>
        <v>=2.411*100000000</v>
      </c>
      <c r="AL1536" s="1">
        <f>2.411*100000000</f>
        <v>241100000</v>
      </c>
      <c r="AM1536" s="8">
        <f t="shared" si="737"/>
        <v>0.35754504504504503</v>
      </c>
      <c r="AN1536" s="6" t="s">
        <v>1953</v>
      </c>
      <c r="AO1536" s="6" t="str">
        <f t="shared" si="752"/>
        <v>=1.776*100000000</v>
      </c>
      <c r="AP1536" s="1">
        <f>1.776*100000000</f>
        <v>177600000</v>
      </c>
      <c r="AQ1536" s="8">
        <f t="shared" si="738"/>
        <v>1.350138944025407</v>
      </c>
      <c r="AR1536" s="7" t="s">
        <v>14781</v>
      </c>
      <c r="AS1536" s="6" t="str">
        <f t="shared" si="753"/>
        <v>=7557*10000</v>
      </c>
      <c r="AT1536" s="1">
        <f>7557*10000</f>
        <v>75570000</v>
      </c>
      <c r="AU1536" s="8">
        <f t="shared" si="739"/>
        <v>-3.9527198779867816E-2</v>
      </c>
      <c r="AV1536" s="7" t="s">
        <v>14782</v>
      </c>
      <c r="AW1536" s="6" t="str">
        <f t="shared" si="754"/>
        <v>=7868*10000</v>
      </c>
      <c r="AX1536" s="1">
        <f>7868*10000</f>
        <v>78680000</v>
      </c>
      <c r="AY1536" s="10">
        <f t="shared" si="740"/>
        <v>-1.1792255125284739</v>
      </c>
      <c r="AZ1536" s="6">
        <f>-4.39*100000000</f>
        <v>-438999999.99999994</v>
      </c>
      <c r="BA1536" s="6" t="str">
        <f t="shared" si="755"/>
        <v>=-439000000</v>
      </c>
      <c r="BB1536" s="1">
        <f>-439000000</f>
        <v>-439000000</v>
      </c>
      <c r="BC1536" s="8">
        <f t="shared" si="741"/>
        <v>0.60688140556368964</v>
      </c>
      <c r="BD1536" s="6">
        <f>-2.732*100000000</f>
        <v>-273200000</v>
      </c>
      <c r="BE1536" s="6" t="str">
        <f t="shared" si="756"/>
        <v>=-273200000</v>
      </c>
      <c r="BF1536" s="1">
        <f>-273200000</f>
        <v>-273200000</v>
      </c>
      <c r="BG1536" s="8">
        <f t="shared" si="742"/>
        <v>-11.209267563527654</v>
      </c>
      <c r="BH1536" s="7" t="s">
        <v>14783</v>
      </c>
      <c r="BI1536" s="6" t="str">
        <f t="shared" si="757"/>
        <v>=2676*10000</v>
      </c>
      <c r="BJ1536" s="1">
        <f>2676*10000</f>
        <v>26760000</v>
      </c>
      <c r="BK1536" s="6">
        <f>-1.387*100000000</f>
        <v>-138700000</v>
      </c>
      <c r="BL1536" s="1" t="str">
        <f t="shared" si="728"/>
        <v>=-138700000</v>
      </c>
      <c r="BM1536" s="16">
        <f t="shared" si="743"/>
        <v>-1.1929343907714491</v>
      </c>
      <c r="BN1536" s="1">
        <f>-138700000</f>
        <v>-138700000</v>
      </c>
    </row>
    <row r="1537" spans="1:66">
      <c r="A1537" s="19"/>
      <c r="B1537">
        <v>601969</v>
      </c>
      <c r="C1537" t="s">
        <v>68</v>
      </c>
      <c r="D1537" s="6" t="s">
        <v>2066</v>
      </c>
      <c r="E1537" s="7" t="str">
        <f t="shared" si="727"/>
        <v>=9.615*100000000</v>
      </c>
      <c r="F1537" s="1">
        <f>9.615*100000000</f>
        <v>961500000</v>
      </c>
      <c r="G1537" s="8">
        <f t="shared" si="729"/>
        <v>-0.10474860335195531</v>
      </c>
      <c r="H1537" s="6" t="s">
        <v>4564</v>
      </c>
      <c r="I1537" s="6" t="str">
        <f t="shared" si="744"/>
        <v>=10.74*100000000</v>
      </c>
      <c r="J1537" s="1">
        <f>10.74*100000000</f>
        <v>1074000000</v>
      </c>
      <c r="K1537" s="10">
        <f t="shared" si="730"/>
        <v>0.71019108280254772</v>
      </c>
      <c r="L1537" s="6" t="s">
        <v>14784</v>
      </c>
      <c r="M1537" s="6" t="str">
        <f t="shared" si="745"/>
        <v>=6.280*100000000</v>
      </c>
      <c r="N1537" s="1">
        <f>6.28*100000000</f>
        <v>628000000</v>
      </c>
      <c r="O1537" s="8">
        <f t="shared" si="731"/>
        <v>2.0724070450097849</v>
      </c>
      <c r="P1537" s="6" t="s">
        <v>222</v>
      </c>
      <c r="Q1537" s="6" t="str">
        <f t="shared" si="746"/>
        <v>=2.044*100000000</v>
      </c>
      <c r="R1537" s="11">
        <f>2.044*100000000</f>
        <v>204400000</v>
      </c>
      <c r="S1537" s="8">
        <f t="shared" si="732"/>
        <v>0.8008810572687225</v>
      </c>
      <c r="T1537" s="6" t="s">
        <v>7002</v>
      </c>
      <c r="U1537" s="6" t="str">
        <f t="shared" si="747"/>
        <v>=1.135*100000000</v>
      </c>
      <c r="V1537" s="1">
        <f>1.135*100000000</f>
        <v>113500000</v>
      </c>
      <c r="W1537" s="8">
        <f t="shared" si="733"/>
        <v>1.0542986425339367</v>
      </c>
      <c r="X1537" s="7" t="s">
        <v>10495</v>
      </c>
      <c r="Y1537" s="6" t="str">
        <f t="shared" si="748"/>
        <v>=5525*10000</v>
      </c>
      <c r="Z1537" s="1">
        <f>5525*10000</f>
        <v>55250000</v>
      </c>
      <c r="AA1537" s="8">
        <f t="shared" si="734"/>
        <v>2.5553410553410552</v>
      </c>
      <c r="AB1537" s="7" t="s">
        <v>3297</v>
      </c>
      <c r="AC1537" s="6" t="str">
        <f t="shared" si="749"/>
        <v>=1554*10000</v>
      </c>
      <c r="AD1537" s="1">
        <f>1554*10000</f>
        <v>15540000</v>
      </c>
      <c r="AE1537" s="8">
        <f t="shared" si="735"/>
        <v>0.7347622237106497</v>
      </c>
      <c r="AF1537" s="7" t="s">
        <v>14785</v>
      </c>
      <c r="AG1537" s="6" t="str">
        <f t="shared" si="750"/>
        <v>=895.8*10000</v>
      </c>
      <c r="AH1537" s="1">
        <f>895.8*10000</f>
        <v>8958000</v>
      </c>
      <c r="AI1537" s="8">
        <f t="shared" si="736"/>
        <v>-0.95075316107751506</v>
      </c>
      <c r="AJ1537" s="6" t="s">
        <v>2041</v>
      </c>
      <c r="AK1537" s="6" t="str">
        <f t="shared" si="751"/>
        <v>=1.819*100000000</v>
      </c>
      <c r="AL1537" s="1">
        <f>1.819*100000000</f>
        <v>181900000</v>
      </c>
      <c r="AM1537" s="8">
        <f t="shared" si="737"/>
        <v>0.2846045197740113</v>
      </c>
      <c r="AN1537" s="6" t="s">
        <v>7608</v>
      </c>
      <c r="AO1537" s="6" t="str">
        <f t="shared" si="752"/>
        <v>=1.416*100000000</v>
      </c>
      <c r="AP1537" s="1">
        <f>1.416*100000000</f>
        <v>141600000</v>
      </c>
      <c r="AQ1537" s="8">
        <f t="shared" si="738"/>
        <v>1.5026511134676563</v>
      </c>
      <c r="AR1537" s="7" t="s">
        <v>14786</v>
      </c>
      <c r="AS1537" s="6" t="str">
        <f t="shared" si="753"/>
        <v>=5658*10000</v>
      </c>
      <c r="AT1537" s="1">
        <f>5658*10000</f>
        <v>56580000</v>
      </c>
      <c r="AU1537" s="8">
        <f t="shared" si="739"/>
        <v>-6.1479009309678553E-3</v>
      </c>
      <c r="AV1537" s="7" t="s">
        <v>9665</v>
      </c>
      <c r="AW1537" s="6" t="str">
        <f t="shared" si="754"/>
        <v>=5693*10000</v>
      </c>
      <c r="AX1537" s="1">
        <f>5693*10000</f>
        <v>56930000</v>
      </c>
      <c r="AY1537" s="10">
        <f t="shared" si="740"/>
        <v>-1.1120889938964362</v>
      </c>
      <c r="AZ1537" s="6">
        <f>-5.079*100000000</f>
        <v>-507900000</v>
      </c>
      <c r="BA1537" s="6" t="str">
        <f t="shared" si="755"/>
        <v>=-507900000</v>
      </c>
      <c r="BB1537" s="1">
        <f>-507900000</f>
        <v>-507900000</v>
      </c>
      <c r="BC1537" s="8">
        <f t="shared" si="741"/>
        <v>0.84355716878402909</v>
      </c>
      <c r="BD1537" s="6">
        <f>-2.755*100000000</f>
        <v>-275500000</v>
      </c>
      <c r="BE1537" s="6" t="str">
        <f t="shared" si="756"/>
        <v>=-275500000</v>
      </c>
      <c r="BF1537" s="1">
        <f>-275500000</f>
        <v>-275500000</v>
      </c>
      <c r="BG1537" s="8">
        <f t="shared" si="742"/>
        <v>10.978260869565217</v>
      </c>
      <c r="BH1537" s="7">
        <f>-2300*10000</f>
        <v>-23000000</v>
      </c>
      <c r="BI1537" s="6" t="str">
        <f t="shared" si="757"/>
        <v>=-23000000</v>
      </c>
      <c r="BJ1537" s="1">
        <f>-23000000</f>
        <v>-23000000</v>
      </c>
      <c r="BK1537" s="6">
        <f>-1.099*100000000</f>
        <v>-109900000</v>
      </c>
      <c r="BL1537" s="1" t="str">
        <f t="shared" si="728"/>
        <v>=-109900000</v>
      </c>
      <c r="BM1537" s="16">
        <f t="shared" si="743"/>
        <v>-0.79071883530482256</v>
      </c>
      <c r="BN1537" s="1">
        <f>-109900000</f>
        <v>-109900000</v>
      </c>
    </row>
    <row r="1538" spans="1:66">
      <c r="A1538" s="17">
        <v>386</v>
      </c>
      <c r="B1538">
        <v>601988</v>
      </c>
      <c r="C1538" t="s">
        <v>31</v>
      </c>
      <c r="D1538" s="6" t="s">
        <v>14787</v>
      </c>
      <c r="E1538" s="7" t="str">
        <f t="shared" ref="E1538:E1601" si="758">"="&amp;D1538</f>
        <v>=6056*100000000</v>
      </c>
      <c r="F1538" s="1">
        <f>6056*100000000</f>
        <v>605600000000</v>
      </c>
      <c r="G1538" s="8">
        <f t="shared" si="729"/>
        <v>0.32777899583424686</v>
      </c>
      <c r="H1538" s="6" t="s">
        <v>14788</v>
      </c>
      <c r="I1538" s="6" t="str">
        <f t="shared" si="744"/>
        <v>=4561*100000000</v>
      </c>
      <c r="J1538" s="1">
        <f>4561*100000000</f>
        <v>456100000000</v>
      </c>
      <c r="K1538" s="10">
        <f t="shared" si="730"/>
        <v>0.50528052805280532</v>
      </c>
      <c r="L1538" s="6" t="s">
        <v>14789</v>
      </c>
      <c r="M1538" s="6" t="str">
        <f t="shared" si="745"/>
        <v>=3030*100000000</v>
      </c>
      <c r="N1538" s="1">
        <f>3030*100000000</f>
        <v>303000000000</v>
      </c>
      <c r="O1538" s="8">
        <f t="shared" si="731"/>
        <v>0.91893603546548452</v>
      </c>
      <c r="P1538" s="6" t="s">
        <v>14790</v>
      </c>
      <c r="Q1538" s="6" t="str">
        <f t="shared" si="746"/>
        <v>=1579*100000000</v>
      </c>
      <c r="R1538" s="11">
        <f>1579*100000000</f>
        <v>157900000000</v>
      </c>
      <c r="S1538" s="8">
        <f t="shared" si="732"/>
        <v>-0.72077807250221049</v>
      </c>
      <c r="T1538" s="6" t="s">
        <v>14791</v>
      </c>
      <c r="U1538" s="6" t="str">
        <f t="shared" si="747"/>
        <v>=5655*100000000</v>
      </c>
      <c r="V1538" s="1">
        <f>5655*100000000</f>
        <v>565500000000</v>
      </c>
      <c r="W1538" s="8">
        <f t="shared" si="733"/>
        <v>0.31818181818181818</v>
      </c>
      <c r="X1538" s="6" t="s">
        <v>14792</v>
      </c>
      <c r="Y1538" s="6" t="str">
        <f t="shared" si="748"/>
        <v>=4290*100000000</v>
      </c>
      <c r="Z1538" s="1">
        <f>4290*100000000</f>
        <v>429000000000</v>
      </c>
      <c r="AA1538" s="8">
        <f t="shared" si="734"/>
        <v>0.5015750787539377</v>
      </c>
      <c r="AB1538" s="6" t="s">
        <v>14793</v>
      </c>
      <c r="AC1538" s="6" t="str">
        <f t="shared" si="749"/>
        <v>=2857*100000000</v>
      </c>
      <c r="AD1538" s="1">
        <f>2857*100000000</f>
        <v>285700000000</v>
      </c>
      <c r="AE1538" s="8">
        <f t="shared" si="735"/>
        <v>0.92910195813639429</v>
      </c>
      <c r="AF1538" s="6" t="s">
        <v>14794</v>
      </c>
      <c r="AG1538" s="6" t="str">
        <f t="shared" si="750"/>
        <v>=1481*100000000</v>
      </c>
      <c r="AH1538" s="1">
        <f>1481*100000000</f>
        <v>148100000000</v>
      </c>
      <c r="AI1538" s="8">
        <f t="shared" si="736"/>
        <v>-0.73033503277494538</v>
      </c>
      <c r="AJ1538" s="6" t="s">
        <v>14795</v>
      </c>
      <c r="AK1538" s="6" t="str">
        <f t="shared" si="751"/>
        <v>=5492*100000000</v>
      </c>
      <c r="AL1538" s="1">
        <f>5492*100000000</f>
        <v>549200000000</v>
      </c>
      <c r="AM1538" s="8">
        <f t="shared" si="737"/>
        <v>0.31924093202017778</v>
      </c>
      <c r="AN1538" s="6" t="s">
        <v>14718</v>
      </c>
      <c r="AO1538" s="6" t="str">
        <f t="shared" si="752"/>
        <v>=4163*100000000</v>
      </c>
      <c r="AP1538" s="1">
        <f>4163*100000000</f>
        <v>416300000000</v>
      </c>
      <c r="AQ1538" s="8">
        <f t="shared" si="738"/>
        <v>0.50451752800867367</v>
      </c>
      <c r="AR1538" s="6" t="s">
        <v>14796</v>
      </c>
      <c r="AS1538" s="6" t="str">
        <f t="shared" si="753"/>
        <v>=2767*100000000</v>
      </c>
      <c r="AT1538" s="1">
        <f>2767*100000000</f>
        <v>276700000000</v>
      </c>
      <c r="AU1538" s="8">
        <f t="shared" si="739"/>
        <v>0.9624113475177305</v>
      </c>
      <c r="AV1538" s="6" t="s">
        <v>14579</v>
      </c>
      <c r="AW1538" s="6" t="str">
        <f t="shared" si="754"/>
        <v>=1410*100000000</v>
      </c>
      <c r="AX1538" s="1">
        <f>1410*100000000</f>
        <v>141000000000</v>
      </c>
      <c r="AY1538" s="10">
        <f t="shared" si="740"/>
        <v>-0.72029359254116243</v>
      </c>
      <c r="AZ1538" s="6" t="s">
        <v>14797</v>
      </c>
      <c r="BA1538" s="6" t="str">
        <f t="shared" si="755"/>
        <v>=5041*100000000</v>
      </c>
      <c r="BB1538" s="1">
        <f>5041*100000000</f>
        <v>504100000000</v>
      </c>
      <c r="BC1538" s="8">
        <f t="shared" si="741"/>
        <v>0.3403350172826376</v>
      </c>
      <c r="BD1538" s="6" t="s">
        <v>14798</v>
      </c>
      <c r="BE1538" s="6" t="str">
        <f t="shared" si="756"/>
        <v>=3761*100000000</v>
      </c>
      <c r="BF1538" s="1">
        <f>3761*100000000</f>
        <v>376100000000</v>
      </c>
      <c r="BG1538" s="8">
        <f t="shared" si="742"/>
        <v>0.49602227525855208</v>
      </c>
      <c r="BH1538" s="6" t="s">
        <v>946</v>
      </c>
      <c r="BI1538" s="6" t="str">
        <f t="shared" si="757"/>
        <v>=2514*100000000</v>
      </c>
      <c r="BJ1538" s="1">
        <f>2514*100000000</f>
        <v>251400000000</v>
      </c>
      <c r="BK1538" s="6" t="s">
        <v>275</v>
      </c>
      <c r="BL1538" s="1" t="str">
        <f t="shared" ref="BL1538:BL1601" si="759">"="&amp;BK1538</f>
        <v>=1260*100000000</v>
      </c>
      <c r="BM1538" s="16">
        <f t="shared" si="743"/>
        <v>0.99523809523809526</v>
      </c>
      <c r="BN1538" s="1">
        <f>1260*100000000</f>
        <v>126000000000</v>
      </c>
    </row>
    <row r="1539" spans="1:66">
      <c r="A1539" s="18"/>
      <c r="B1539">
        <v>601988</v>
      </c>
      <c r="C1539" t="s">
        <v>48</v>
      </c>
      <c r="D1539" s="6" t="s">
        <v>14799</v>
      </c>
      <c r="E1539" s="7" t="str">
        <f t="shared" si="758"/>
        <v>=2761*100000000</v>
      </c>
      <c r="F1539" s="1">
        <f>2761*100000000</f>
        <v>276100000000</v>
      </c>
      <c r="G1539" s="8">
        <f t="shared" ref="G1539:G1602" si="760">(F1539-J1539)/J1539</f>
        <v>0.30482041587901704</v>
      </c>
      <c r="H1539" s="6" t="s">
        <v>14800</v>
      </c>
      <c r="I1539" s="6" t="str">
        <f t="shared" si="744"/>
        <v>=2116*100000000</v>
      </c>
      <c r="J1539" s="1">
        <f>2116*100000000</f>
        <v>211600000000</v>
      </c>
      <c r="K1539" s="10">
        <f t="shared" ref="K1539:K1602" si="761">(J1539-N1539)/N1539</f>
        <v>0.43069641649763352</v>
      </c>
      <c r="L1539" s="6" t="s">
        <v>14801</v>
      </c>
      <c r="M1539" s="6" t="str">
        <f t="shared" si="745"/>
        <v>=1479*100000000</v>
      </c>
      <c r="N1539" s="1">
        <f>1479*100000000</f>
        <v>147900000000</v>
      </c>
      <c r="O1539" s="8">
        <f t="shared" ref="O1539:O1602" si="762">(N1539-R1539)/R1539</f>
        <v>1.0590282611722122</v>
      </c>
      <c r="P1539" s="6" t="s">
        <v>14802</v>
      </c>
      <c r="Q1539" s="6" t="str">
        <f t="shared" si="746"/>
        <v>=718.3*100000000</v>
      </c>
      <c r="R1539" s="11">
        <f>718.3*100000000</f>
        <v>71830000000</v>
      </c>
      <c r="S1539" s="8">
        <f t="shared" ref="S1539:S1602" si="763">(R1539-V1539)/V1539</f>
        <v>-0.7069359445124439</v>
      </c>
      <c r="T1539" s="6" t="s">
        <v>14803</v>
      </c>
      <c r="U1539" s="6" t="str">
        <f t="shared" si="747"/>
        <v>=2451*100000000</v>
      </c>
      <c r="V1539" s="1">
        <f>2451*100000000</f>
        <v>245100000000</v>
      </c>
      <c r="W1539" s="8">
        <f t="shared" ref="W1539:W1602" si="764">(V1539-Z1539)/Z1539</f>
        <v>0.30719999999999997</v>
      </c>
      <c r="X1539" s="6" t="s">
        <v>14804</v>
      </c>
      <c r="Y1539" s="6" t="str">
        <f t="shared" si="748"/>
        <v>=1875*100000000</v>
      </c>
      <c r="Z1539" s="1">
        <f>1875*100000000</f>
        <v>187500000000</v>
      </c>
      <c r="AA1539" s="8">
        <f t="shared" ref="AA1539:AA1602" si="765">(Z1539-AD1539)/AD1539</f>
        <v>0.45800933125972004</v>
      </c>
      <c r="AB1539" s="6" t="s">
        <v>14805</v>
      </c>
      <c r="AC1539" s="6" t="str">
        <f t="shared" si="749"/>
        <v>=1286*100000000</v>
      </c>
      <c r="AD1539" s="1">
        <f>1286*100000000</f>
        <v>128600000000</v>
      </c>
      <c r="AE1539" s="8">
        <f t="shared" ref="AE1539:AE1602" si="766">(AD1539-AH1539)/AH1539</f>
        <v>0.87874360847333821</v>
      </c>
      <c r="AF1539" s="6" t="s">
        <v>14806</v>
      </c>
      <c r="AG1539" s="6" t="str">
        <f t="shared" si="750"/>
        <v>=684.5*100000000</v>
      </c>
      <c r="AH1539" s="1">
        <f>684.5*100000000</f>
        <v>68450000000</v>
      </c>
      <c r="AI1539" s="8">
        <f t="shared" ref="AI1539:AI1602" si="767">(AH1539-AL1539)/AL1539</f>
        <v>-0.72565130260521038</v>
      </c>
      <c r="AJ1539" s="6" t="s">
        <v>14807</v>
      </c>
      <c r="AK1539" s="6" t="str">
        <f t="shared" si="751"/>
        <v>=2495*100000000</v>
      </c>
      <c r="AL1539" s="1">
        <f>2495*100000000</f>
        <v>249500000000</v>
      </c>
      <c r="AM1539" s="8">
        <f t="shared" ref="AM1539:AM1602" si="768">(AL1539-AP1539)/AP1539</f>
        <v>0.16971401781528364</v>
      </c>
      <c r="AN1539" s="6" t="s">
        <v>14808</v>
      </c>
      <c r="AO1539" s="6" t="str">
        <f t="shared" si="752"/>
        <v>=2133*100000000</v>
      </c>
      <c r="AP1539" s="1">
        <f>2133*100000000</f>
        <v>213300000000</v>
      </c>
      <c r="AQ1539" s="8">
        <f t="shared" ref="AQ1539:AQ1602" si="769">(AP1539-AT1539)/AT1539</f>
        <v>0.40236686390532544</v>
      </c>
      <c r="AR1539" s="6" t="s">
        <v>14809</v>
      </c>
      <c r="AS1539" s="6" t="str">
        <f t="shared" si="753"/>
        <v>=1521*100000000</v>
      </c>
      <c r="AT1539" s="1">
        <f>1521*100000000</f>
        <v>152100000000</v>
      </c>
      <c r="AU1539" s="8">
        <f t="shared" ref="AU1539:AU1602" si="770">(AT1539-AX1539)/AX1539</f>
        <v>1.3000151217299261</v>
      </c>
      <c r="AV1539" s="6" t="s">
        <v>14810</v>
      </c>
      <c r="AW1539" s="6" t="str">
        <f t="shared" si="754"/>
        <v>=661.3*100000000</v>
      </c>
      <c r="AX1539" s="1">
        <f>661.3*100000000</f>
        <v>66129999999.999992</v>
      </c>
      <c r="AY1539" s="10">
        <f t="shared" ref="AY1539:AY1602" si="771">(AX1539-BB1539)/BB1539</f>
        <v>-0.7105908096280088</v>
      </c>
      <c r="AZ1539" s="6" t="s">
        <v>14811</v>
      </c>
      <c r="BA1539" s="6" t="str">
        <f t="shared" si="755"/>
        <v>=2285*100000000</v>
      </c>
      <c r="BB1539" s="1">
        <f>2285*100000000</f>
        <v>228500000000</v>
      </c>
      <c r="BC1539" s="8">
        <f t="shared" ref="BC1539:BC1602" si="772">(BB1539-BF1539)/BF1539</f>
        <v>0.17360041088854647</v>
      </c>
      <c r="BD1539" s="6" t="s">
        <v>14812</v>
      </c>
      <c r="BE1539" s="6" t="str">
        <f t="shared" si="756"/>
        <v>=1947*100000000</v>
      </c>
      <c r="BF1539" s="1">
        <f>1947*100000000</f>
        <v>194700000000</v>
      </c>
      <c r="BG1539" s="8">
        <f t="shared" ref="BG1539:BG1602" si="773">(BF1539-BJ1539)/BJ1539</f>
        <v>0.37791932059447986</v>
      </c>
      <c r="BH1539" s="6" t="s">
        <v>14813</v>
      </c>
      <c r="BI1539" s="6" t="str">
        <f t="shared" si="757"/>
        <v>=1413*100000000</v>
      </c>
      <c r="BJ1539" s="1">
        <f>1413*100000000</f>
        <v>141300000000</v>
      </c>
      <c r="BK1539" s="6" t="s">
        <v>14814</v>
      </c>
      <c r="BL1539" s="1" t="str">
        <f t="shared" si="759"/>
        <v>=671.9*100000000</v>
      </c>
      <c r="BM1539" s="16">
        <f t="shared" ref="BM1539:BM1602" si="774">(BJ1539-BN1539)/BN1539</f>
        <v>1.1029915165947313</v>
      </c>
      <c r="BN1539" s="1">
        <f>671.9*100000000</f>
        <v>67190000000</v>
      </c>
    </row>
    <row r="1540" spans="1:66">
      <c r="A1540" s="18"/>
      <c r="B1540">
        <v>601988</v>
      </c>
      <c r="C1540" t="s">
        <v>58</v>
      </c>
      <c r="D1540" s="6" t="s">
        <v>14815</v>
      </c>
      <c r="E1540" s="7" t="str">
        <f t="shared" si="758"/>
        <v>=2766*100000000</v>
      </c>
      <c r="F1540" s="1">
        <f>2766*100000000</f>
        <v>276600000000</v>
      </c>
      <c r="G1540" s="8">
        <f t="shared" si="760"/>
        <v>0.30471698113207546</v>
      </c>
      <c r="H1540" s="6" t="s">
        <v>14816</v>
      </c>
      <c r="I1540" s="6" t="str">
        <f t="shared" si="744"/>
        <v>=2120*100000000</v>
      </c>
      <c r="J1540" s="1">
        <f>2120*100000000</f>
        <v>212000000000</v>
      </c>
      <c r="K1540" s="10">
        <f t="shared" si="761"/>
        <v>0.42953472690492245</v>
      </c>
      <c r="L1540" s="6" t="s">
        <v>14817</v>
      </c>
      <c r="M1540" s="6" t="str">
        <f t="shared" si="745"/>
        <v>=1483*100000000</v>
      </c>
      <c r="N1540" s="1">
        <f>1483*100000000</f>
        <v>148300000000</v>
      </c>
      <c r="O1540" s="8">
        <f t="shared" si="762"/>
        <v>1.0580072162087149</v>
      </c>
      <c r="P1540" s="6" t="s">
        <v>14818</v>
      </c>
      <c r="Q1540" s="6" t="str">
        <f t="shared" si="746"/>
        <v>=720.6*100000000</v>
      </c>
      <c r="R1540" s="11">
        <f>720.6*100000000</f>
        <v>72060000000</v>
      </c>
      <c r="S1540" s="8">
        <f t="shared" si="763"/>
        <v>-0.70754870129870129</v>
      </c>
      <c r="T1540" s="6" t="s">
        <v>14185</v>
      </c>
      <c r="U1540" s="6" t="str">
        <f t="shared" si="747"/>
        <v>=2464*100000000</v>
      </c>
      <c r="V1540" s="1">
        <f>2464*100000000</f>
        <v>246400000000</v>
      </c>
      <c r="W1540" s="8">
        <f t="shared" si="764"/>
        <v>0.30508474576271188</v>
      </c>
      <c r="X1540" s="6" t="s">
        <v>14819</v>
      </c>
      <c r="Y1540" s="6" t="str">
        <f t="shared" si="748"/>
        <v>=1888*100000000</v>
      </c>
      <c r="Z1540" s="1">
        <f>1888*100000000</f>
        <v>188800000000</v>
      </c>
      <c r="AA1540" s="8">
        <f t="shared" si="765"/>
        <v>0.4567901234567901</v>
      </c>
      <c r="AB1540" s="6" t="s">
        <v>14820</v>
      </c>
      <c r="AC1540" s="6" t="str">
        <f t="shared" si="749"/>
        <v>=1296*100000000</v>
      </c>
      <c r="AD1540" s="1">
        <f>1296*100000000</f>
        <v>129600000000</v>
      </c>
      <c r="AE1540" s="8">
        <f t="shared" si="766"/>
        <v>0.88921282798833823</v>
      </c>
      <c r="AF1540" s="6" t="s">
        <v>14821</v>
      </c>
      <c r="AG1540" s="6" t="str">
        <f t="shared" si="750"/>
        <v>=686.0*100000000</v>
      </c>
      <c r="AH1540" s="1">
        <f>686*100000000</f>
        <v>68600000000</v>
      </c>
      <c r="AI1540" s="8">
        <f t="shared" si="767"/>
        <v>-0.72625698324022347</v>
      </c>
      <c r="AJ1540" s="6" t="s">
        <v>14822</v>
      </c>
      <c r="AK1540" s="6" t="str">
        <f t="shared" si="751"/>
        <v>=2506*100000000</v>
      </c>
      <c r="AL1540" s="1">
        <f>2506*100000000</f>
        <v>250600000000</v>
      </c>
      <c r="AM1540" s="8">
        <f t="shared" si="768"/>
        <v>0.16884328358208955</v>
      </c>
      <c r="AN1540" s="6" t="s">
        <v>14823</v>
      </c>
      <c r="AO1540" s="6" t="str">
        <f t="shared" si="752"/>
        <v>=2144*100000000</v>
      </c>
      <c r="AP1540" s="1">
        <f>2144*100000000</f>
        <v>214400000000</v>
      </c>
      <c r="AQ1540" s="8">
        <f t="shared" si="769"/>
        <v>0.40498034076015726</v>
      </c>
      <c r="AR1540" s="6" t="s">
        <v>14824</v>
      </c>
      <c r="AS1540" s="6" t="str">
        <f t="shared" si="753"/>
        <v>=1526*100000000</v>
      </c>
      <c r="AT1540" s="1">
        <f>1526*100000000</f>
        <v>152600000000</v>
      </c>
      <c r="AU1540" s="8">
        <f t="shared" si="770"/>
        <v>1.2999246420497363</v>
      </c>
      <c r="AV1540" s="6" t="s">
        <v>14825</v>
      </c>
      <c r="AW1540" s="6" t="str">
        <f t="shared" si="754"/>
        <v>=663.5*100000000</v>
      </c>
      <c r="AX1540" s="1">
        <f>663.5*100000000</f>
        <v>66350000000</v>
      </c>
      <c r="AY1540" s="10">
        <f t="shared" si="771"/>
        <v>-0.71101916376306618</v>
      </c>
      <c r="AZ1540" s="6" t="s">
        <v>14826</v>
      </c>
      <c r="BA1540" s="6" t="str">
        <f t="shared" si="755"/>
        <v>=2296*100000000</v>
      </c>
      <c r="BB1540" s="1">
        <f>2296*100000000</f>
        <v>229600000000</v>
      </c>
      <c r="BC1540" s="8">
        <f t="shared" si="772"/>
        <v>0.17382413087934559</v>
      </c>
      <c r="BD1540" s="6" t="s">
        <v>14827</v>
      </c>
      <c r="BE1540" s="6" t="str">
        <f t="shared" si="756"/>
        <v>=1956*100000000</v>
      </c>
      <c r="BF1540" s="1">
        <f>1956*100000000</f>
        <v>195600000000</v>
      </c>
      <c r="BG1540" s="8">
        <f t="shared" si="773"/>
        <v>0.37746478873239436</v>
      </c>
      <c r="BH1540" s="6" t="s">
        <v>14828</v>
      </c>
      <c r="BI1540" s="6" t="str">
        <f t="shared" si="757"/>
        <v>=1420*100000000</v>
      </c>
      <c r="BJ1540" s="1">
        <f>1420*100000000</f>
        <v>142000000000</v>
      </c>
      <c r="BK1540" s="6" t="s">
        <v>12965</v>
      </c>
      <c r="BL1540" s="1" t="str">
        <f t="shared" si="759"/>
        <v>=676.8*100000000</v>
      </c>
      <c r="BM1540" s="16">
        <f t="shared" si="774"/>
        <v>1.0981087470449173</v>
      </c>
      <c r="BN1540" s="1">
        <f>676.8*100000000</f>
        <v>67679999999.999992</v>
      </c>
    </row>
    <row r="1541" spans="1:66">
      <c r="A1541" s="19"/>
      <c r="B1541">
        <v>601988</v>
      </c>
      <c r="C1541" t="s">
        <v>68</v>
      </c>
      <c r="D1541" s="6" t="s">
        <v>5615</v>
      </c>
      <c r="E1541" s="7" t="str">
        <f t="shared" si="758"/>
        <v>=2273*100000000</v>
      </c>
      <c r="F1541" s="1">
        <f>2273*100000000</f>
        <v>227300000000</v>
      </c>
      <c r="G1541" s="8">
        <f t="shared" si="760"/>
        <v>0.31844547563805103</v>
      </c>
      <c r="H1541" s="6" t="s">
        <v>14829</v>
      </c>
      <c r="I1541" s="6" t="str">
        <f t="shared" si="744"/>
        <v>=1724*100000000</v>
      </c>
      <c r="J1541" s="1">
        <f>1724*100000000</f>
        <v>172400000000</v>
      </c>
      <c r="K1541" s="10">
        <f t="shared" si="761"/>
        <v>0.4548523206751055</v>
      </c>
      <c r="L1541" s="6" t="s">
        <v>14830</v>
      </c>
      <c r="M1541" s="6" t="str">
        <f t="shared" si="745"/>
        <v>=1185*100000000</v>
      </c>
      <c r="N1541" s="1">
        <f>1185*100000000</f>
        <v>118500000000</v>
      </c>
      <c r="O1541" s="8">
        <f t="shared" si="762"/>
        <v>1.0677019717326819</v>
      </c>
      <c r="P1541" s="6" t="s">
        <v>14831</v>
      </c>
      <c r="Q1541" s="6" t="str">
        <f t="shared" si="746"/>
        <v>=573.1*100000000</v>
      </c>
      <c r="R1541" s="11">
        <f>573.1*100000000</f>
        <v>57310000000</v>
      </c>
      <c r="S1541" s="8">
        <f t="shared" si="763"/>
        <v>-0.72057532910775235</v>
      </c>
      <c r="T1541" s="6" t="s">
        <v>14832</v>
      </c>
      <c r="U1541" s="6" t="str">
        <f t="shared" si="747"/>
        <v>=2051*100000000</v>
      </c>
      <c r="V1541" s="1">
        <f>2051*100000000</f>
        <v>205100000000</v>
      </c>
      <c r="W1541" s="8">
        <f t="shared" si="764"/>
        <v>0.31474358974358974</v>
      </c>
      <c r="X1541" s="6" t="s">
        <v>14833</v>
      </c>
      <c r="Y1541" s="6" t="str">
        <f t="shared" si="748"/>
        <v>=1560*100000000</v>
      </c>
      <c r="Z1541" s="1">
        <f>1560*100000000</f>
        <v>156000000000</v>
      </c>
      <c r="AA1541" s="8">
        <f t="shared" si="765"/>
        <v>0.44712430426716143</v>
      </c>
      <c r="AB1541" s="6" t="s">
        <v>9315</v>
      </c>
      <c r="AC1541" s="6" t="str">
        <f t="shared" si="749"/>
        <v>=1078*100000000</v>
      </c>
      <c r="AD1541" s="1">
        <f>1078*100000000</f>
        <v>107800000000</v>
      </c>
      <c r="AE1541" s="8">
        <f t="shared" si="766"/>
        <v>0.91406249999999978</v>
      </c>
      <c r="AF1541" s="6" t="s">
        <v>14834</v>
      </c>
      <c r="AG1541" s="6" t="str">
        <f t="shared" si="750"/>
        <v>=563.2*100000000</v>
      </c>
      <c r="AH1541" s="1">
        <f>563.2*100000000</f>
        <v>56320000000.000008</v>
      </c>
      <c r="AI1541" s="8">
        <f t="shared" si="767"/>
        <v>-0.72105002476473501</v>
      </c>
      <c r="AJ1541" s="6" t="s">
        <v>14835</v>
      </c>
      <c r="AK1541" s="6" t="str">
        <f t="shared" si="751"/>
        <v>=2019*100000000</v>
      </c>
      <c r="AL1541" s="1">
        <f>2019*100000000</f>
        <v>201900000000</v>
      </c>
      <c r="AM1541" s="8">
        <f t="shared" si="768"/>
        <v>0.17932242990654207</v>
      </c>
      <c r="AN1541" s="6" t="s">
        <v>5619</v>
      </c>
      <c r="AO1541" s="6" t="str">
        <f t="shared" si="752"/>
        <v>=1712*100000000</v>
      </c>
      <c r="AP1541" s="1">
        <f>1712*100000000</f>
        <v>171200000000</v>
      </c>
      <c r="AQ1541" s="8">
        <f t="shared" si="769"/>
        <v>0.4102141680395387</v>
      </c>
      <c r="AR1541" s="6" t="s">
        <v>14836</v>
      </c>
      <c r="AS1541" s="6" t="str">
        <f t="shared" si="753"/>
        <v>=1214*100000000</v>
      </c>
      <c r="AT1541" s="1">
        <f>1214*100000000</f>
        <v>121400000000</v>
      </c>
      <c r="AU1541" s="8">
        <f t="shared" si="770"/>
        <v>1.2157327979558314</v>
      </c>
      <c r="AV1541" s="6" t="s">
        <v>14837</v>
      </c>
      <c r="AW1541" s="6" t="str">
        <f t="shared" si="754"/>
        <v>=547.9*100000000</v>
      </c>
      <c r="AX1541" s="1">
        <f>547.9*100000000</f>
        <v>54790000000</v>
      </c>
      <c r="AY1541" s="10">
        <f t="shared" si="771"/>
        <v>-0.71522869022869018</v>
      </c>
      <c r="AZ1541" s="6" t="s">
        <v>14838</v>
      </c>
      <c r="BA1541" s="6" t="str">
        <f t="shared" si="755"/>
        <v>=1924*100000000</v>
      </c>
      <c r="BB1541" s="1">
        <f>1924*100000000</f>
        <v>192400000000</v>
      </c>
      <c r="BC1541" s="8">
        <f t="shared" si="772"/>
        <v>0.18254456054087279</v>
      </c>
      <c r="BD1541" s="6" t="s">
        <v>14839</v>
      </c>
      <c r="BE1541" s="6" t="str">
        <f t="shared" si="756"/>
        <v>=1627*100000000</v>
      </c>
      <c r="BF1541" s="1">
        <f>1627*100000000</f>
        <v>162700000000</v>
      </c>
      <c r="BG1541" s="8">
        <f t="shared" si="773"/>
        <v>0.40743944636678203</v>
      </c>
      <c r="BH1541" s="6" t="s">
        <v>14840</v>
      </c>
      <c r="BI1541" s="6" t="str">
        <f t="shared" si="757"/>
        <v>=1156*100000000</v>
      </c>
      <c r="BJ1541" s="1">
        <f>1156*100000000</f>
        <v>115600000000</v>
      </c>
      <c r="BK1541" s="6" t="s">
        <v>14841</v>
      </c>
      <c r="BL1541" s="1" t="str">
        <f t="shared" si="759"/>
        <v>=521.8*100000000</v>
      </c>
      <c r="BM1541" s="16">
        <f t="shared" si="774"/>
        <v>1.2154082023763897</v>
      </c>
      <c r="BN1541" s="1">
        <f>521.8*100000000</f>
        <v>52179999999.999992</v>
      </c>
    </row>
    <row r="1542" spans="1:66">
      <c r="A1542" s="17">
        <v>387</v>
      </c>
      <c r="B1542">
        <v>601991</v>
      </c>
      <c r="C1542" t="s">
        <v>31</v>
      </c>
      <c r="D1542" s="6" t="s">
        <v>14842</v>
      </c>
      <c r="E1542" s="7" t="str">
        <f t="shared" si="758"/>
        <v>=1034*100000000</v>
      </c>
      <c r="F1542" s="1">
        <f>1034*100000000</f>
        <v>103400000000</v>
      </c>
      <c r="G1542" s="8">
        <f t="shared" si="760"/>
        <v>0.3759148369926813</v>
      </c>
      <c r="H1542" s="6" t="s">
        <v>14843</v>
      </c>
      <c r="I1542" s="6" t="str">
        <f t="shared" si="744"/>
        <v>=751.5*100000000</v>
      </c>
      <c r="J1542" s="1">
        <f>751.5*100000000</f>
        <v>75150000000</v>
      </c>
      <c r="K1542" s="10">
        <f t="shared" si="761"/>
        <v>0.49136733478864852</v>
      </c>
      <c r="L1542" s="6" t="s">
        <v>14844</v>
      </c>
      <c r="M1542" s="6" t="str">
        <f t="shared" si="745"/>
        <v>=503.9*100000000</v>
      </c>
      <c r="N1542" s="1">
        <f>503.9*100000000</f>
        <v>50390000000</v>
      </c>
      <c r="O1542" s="8">
        <f t="shared" si="762"/>
        <v>1.0083698684734954</v>
      </c>
      <c r="P1542" s="6" t="s">
        <v>13927</v>
      </c>
      <c r="Q1542" s="6" t="str">
        <f t="shared" si="746"/>
        <v>=250.9*100000000</v>
      </c>
      <c r="R1542" s="11">
        <f>250.9*100000000</f>
        <v>25090000000</v>
      </c>
      <c r="S1542" s="8">
        <f t="shared" si="763"/>
        <v>-0.73757975107206364</v>
      </c>
      <c r="T1542" s="6" t="s">
        <v>14845</v>
      </c>
      <c r="U1542" s="6" t="str">
        <f t="shared" si="747"/>
        <v>=956.1*100000000</v>
      </c>
      <c r="V1542" s="1">
        <f>956.1*100000000</f>
        <v>95610000000</v>
      </c>
      <c r="W1542" s="8">
        <f t="shared" si="764"/>
        <v>0.38685813751087905</v>
      </c>
      <c r="X1542" s="6" t="s">
        <v>14846</v>
      </c>
      <c r="Y1542" s="6" t="str">
        <f t="shared" si="748"/>
        <v>=689.4*100000000</v>
      </c>
      <c r="Z1542" s="1">
        <f>689.4*100000000</f>
        <v>68940000000</v>
      </c>
      <c r="AA1542" s="8">
        <f t="shared" si="765"/>
        <v>0.54991007194244601</v>
      </c>
      <c r="AB1542" s="6" t="s">
        <v>14847</v>
      </c>
      <c r="AC1542" s="6" t="str">
        <f t="shared" si="749"/>
        <v>=444.8*100000000</v>
      </c>
      <c r="AD1542" s="1">
        <f>444.8*100000000</f>
        <v>44480000000</v>
      </c>
      <c r="AE1542" s="8">
        <f t="shared" si="766"/>
        <v>1.00903342366757</v>
      </c>
      <c r="AF1542" s="6" t="s">
        <v>14848</v>
      </c>
      <c r="AG1542" s="6" t="str">
        <f t="shared" si="750"/>
        <v>=221.4*100000000</v>
      </c>
      <c r="AH1542" s="1">
        <f>221.4*100000000</f>
        <v>22140000000</v>
      </c>
      <c r="AI1542" s="8">
        <f t="shared" si="767"/>
        <v>-0.76804609743321106</v>
      </c>
      <c r="AJ1542" s="6" t="s">
        <v>14849</v>
      </c>
      <c r="AK1542" s="6" t="str">
        <f t="shared" si="751"/>
        <v>=954.5*100000000</v>
      </c>
      <c r="AL1542" s="1">
        <f>954.5*100000000</f>
        <v>95450000000</v>
      </c>
      <c r="AM1542" s="8">
        <f t="shared" si="768"/>
        <v>0.382531865585168</v>
      </c>
      <c r="AN1542" s="6" t="s">
        <v>14850</v>
      </c>
      <c r="AO1542" s="6" t="str">
        <f t="shared" si="752"/>
        <v>=690.4*100000000</v>
      </c>
      <c r="AP1542" s="1">
        <f>690.4*100000000</f>
        <v>69040000000</v>
      </c>
      <c r="AQ1542" s="8">
        <f t="shared" si="769"/>
        <v>0.53285968028419184</v>
      </c>
      <c r="AR1542" s="6" t="s">
        <v>14851</v>
      </c>
      <c r="AS1542" s="6" t="str">
        <f t="shared" si="753"/>
        <v>=450.4*100000000</v>
      </c>
      <c r="AT1542" s="1">
        <f>450.4*100000000</f>
        <v>45040000000</v>
      </c>
      <c r="AU1542" s="8">
        <f t="shared" si="770"/>
        <v>0.98676665196294666</v>
      </c>
      <c r="AV1542" s="6" t="s">
        <v>12311</v>
      </c>
      <c r="AW1542" s="6" t="str">
        <f t="shared" si="754"/>
        <v>=226.7*100000000</v>
      </c>
      <c r="AX1542" s="1">
        <f>226.7*100000000</f>
        <v>22670000000</v>
      </c>
      <c r="AY1542" s="10">
        <f t="shared" si="771"/>
        <v>-0.75725452403897631</v>
      </c>
      <c r="AZ1542" s="6" t="s">
        <v>14852</v>
      </c>
      <c r="BA1542" s="6" t="str">
        <f t="shared" si="755"/>
        <v>=933.9*100000000</v>
      </c>
      <c r="BB1542" s="1">
        <f>933.9*100000000</f>
        <v>93390000000</v>
      </c>
      <c r="BC1542" s="8">
        <f t="shared" si="772"/>
        <v>0.35151953690303905</v>
      </c>
      <c r="BD1542" s="6" t="s">
        <v>14853</v>
      </c>
      <c r="BE1542" s="6" t="str">
        <f t="shared" si="756"/>
        <v>=691.0*100000000</v>
      </c>
      <c r="BF1542" s="1">
        <f>691*100000000</f>
        <v>69100000000</v>
      </c>
      <c r="BG1542" s="8">
        <f t="shared" si="773"/>
        <v>0.51734738691260429</v>
      </c>
      <c r="BH1542" s="6" t="s">
        <v>14854</v>
      </c>
      <c r="BI1542" s="6" t="str">
        <f t="shared" si="757"/>
        <v>=455.4*100000000</v>
      </c>
      <c r="BJ1542" s="1">
        <f>455.4*100000000</f>
        <v>45540000000</v>
      </c>
      <c r="BK1542" s="6" t="s">
        <v>14855</v>
      </c>
      <c r="BL1542" s="1" t="str">
        <f t="shared" si="759"/>
        <v>=229.0*100000000</v>
      </c>
      <c r="BM1542" s="16">
        <f t="shared" si="774"/>
        <v>0.98864628820960698</v>
      </c>
      <c r="BN1542" s="1">
        <f>229*100000000</f>
        <v>22900000000</v>
      </c>
    </row>
    <row r="1543" spans="1:66">
      <c r="A1543" s="18"/>
      <c r="B1543">
        <v>601991</v>
      </c>
      <c r="C1543" t="s">
        <v>48</v>
      </c>
      <c r="D1543" s="6">
        <f>-114.6*100000000</f>
        <v>-11460000000</v>
      </c>
      <c r="E1543" s="7" t="str">
        <f t="shared" si="758"/>
        <v>=-11460000000</v>
      </c>
      <c r="F1543" s="1">
        <f>-11460000000</f>
        <v>-11460000000</v>
      </c>
      <c r="G1543" s="8">
        <f t="shared" si="760"/>
        <v>-24.039806996381181</v>
      </c>
      <c r="H1543" s="6" t="s">
        <v>14856</v>
      </c>
      <c r="I1543" s="6" t="str">
        <f t="shared" si="744"/>
        <v>=4.974*100000000</v>
      </c>
      <c r="J1543" s="1">
        <f>4.974*100000000</f>
        <v>497400000</v>
      </c>
      <c r="K1543" s="10">
        <f t="shared" si="761"/>
        <v>-0.83713163064833007</v>
      </c>
      <c r="L1543" s="6" t="s">
        <v>14445</v>
      </c>
      <c r="M1543" s="6" t="str">
        <f t="shared" si="745"/>
        <v>=30.54*100000000</v>
      </c>
      <c r="N1543" s="1">
        <f>30.54*100000000</f>
        <v>3054000000</v>
      </c>
      <c r="O1543" s="8">
        <f t="shared" si="762"/>
        <v>1.2275711159737417</v>
      </c>
      <c r="P1543" s="6" t="s">
        <v>4089</v>
      </c>
      <c r="Q1543" s="6" t="str">
        <f t="shared" si="746"/>
        <v>=13.71*100000000</v>
      </c>
      <c r="R1543" s="11">
        <f>13.71*100000000</f>
        <v>1371000000</v>
      </c>
      <c r="S1543" s="8">
        <f t="shared" si="763"/>
        <v>-0.80646527385657818</v>
      </c>
      <c r="T1543" s="6" t="s">
        <v>14857</v>
      </c>
      <c r="U1543" s="6" t="str">
        <f t="shared" si="747"/>
        <v>=70.84*100000000</v>
      </c>
      <c r="V1543" s="1">
        <f>70.84*100000000</f>
        <v>7084000000</v>
      </c>
      <c r="W1543" s="8">
        <f t="shared" si="764"/>
        <v>0.22709163346613545</v>
      </c>
      <c r="X1543" s="6" t="s">
        <v>14858</v>
      </c>
      <c r="Y1543" s="6" t="str">
        <f t="shared" si="748"/>
        <v>=57.73*100000000</v>
      </c>
      <c r="Z1543" s="1">
        <f>57.73*100000000</f>
        <v>5773000000</v>
      </c>
      <c r="AA1543" s="8">
        <f t="shared" si="765"/>
        <v>0.66368876080691619</v>
      </c>
      <c r="AB1543" s="6" t="s">
        <v>14859</v>
      </c>
      <c r="AC1543" s="6" t="str">
        <f t="shared" si="749"/>
        <v>=34.70*100000000</v>
      </c>
      <c r="AD1543" s="1">
        <f>34.7*100000000</f>
        <v>3470000000.0000005</v>
      </c>
      <c r="AE1543" s="8">
        <f t="shared" si="766"/>
        <v>1.9836629406706796</v>
      </c>
      <c r="AF1543" s="6" t="s">
        <v>12678</v>
      </c>
      <c r="AG1543" s="6" t="str">
        <f t="shared" si="750"/>
        <v>=11.63*100000000</v>
      </c>
      <c r="AH1543" s="1">
        <f>11.63*100000000</f>
        <v>1163000000</v>
      </c>
      <c r="AI1543" s="8">
        <f t="shared" si="767"/>
        <v>-0.77421859833042128</v>
      </c>
      <c r="AJ1543" s="6" t="s">
        <v>14860</v>
      </c>
      <c r="AK1543" s="6" t="str">
        <f t="shared" si="751"/>
        <v>=51.51*100000000</v>
      </c>
      <c r="AL1543" s="1">
        <f>51.51*100000000</f>
        <v>5151000000</v>
      </c>
      <c r="AM1543" s="8">
        <f t="shared" si="768"/>
        <v>0.12516382699868939</v>
      </c>
      <c r="AN1543" s="6" t="s">
        <v>14861</v>
      </c>
      <c r="AO1543" s="6" t="str">
        <f t="shared" si="752"/>
        <v>=45.78*100000000</v>
      </c>
      <c r="AP1543" s="1">
        <f>45.78*100000000</f>
        <v>4578000000</v>
      </c>
      <c r="AQ1543" s="8">
        <f t="shared" si="769"/>
        <v>0.49950867998689813</v>
      </c>
      <c r="AR1543" s="6" t="s">
        <v>14557</v>
      </c>
      <c r="AS1543" s="6" t="str">
        <f t="shared" si="753"/>
        <v>=30.53*100000000</v>
      </c>
      <c r="AT1543" s="1">
        <f>30.53*100000000</f>
        <v>3053000000</v>
      </c>
      <c r="AU1543" s="8">
        <f t="shared" si="770"/>
        <v>1.7161921708185053</v>
      </c>
      <c r="AV1543" s="6" t="s">
        <v>13698</v>
      </c>
      <c r="AW1543" s="6" t="str">
        <f t="shared" si="754"/>
        <v>=11.24*100000000</v>
      </c>
      <c r="AX1543" s="1">
        <f>11.24*100000000</f>
        <v>1124000000</v>
      </c>
      <c r="AY1543" s="10">
        <f t="shared" si="771"/>
        <v>-0.72491434165442981</v>
      </c>
      <c r="AZ1543" s="6" t="s">
        <v>14862</v>
      </c>
      <c r="BA1543" s="6" t="str">
        <f t="shared" si="755"/>
        <v>=40.86*100000000</v>
      </c>
      <c r="BB1543" s="1">
        <f>40.86*100000000</f>
        <v>4086000000</v>
      </c>
      <c r="BC1543" s="8">
        <f t="shared" si="772"/>
        <v>3.7055837563451779E-2</v>
      </c>
      <c r="BD1543" s="6" t="s">
        <v>3353</v>
      </c>
      <c r="BE1543" s="6" t="str">
        <f t="shared" si="756"/>
        <v>=39.40*100000000</v>
      </c>
      <c r="BF1543" s="1">
        <f>39.4*100000000</f>
        <v>3940000000</v>
      </c>
      <c r="BG1543" s="8">
        <f t="shared" si="773"/>
        <v>0.35908934115212143</v>
      </c>
      <c r="BH1543" s="6" t="s">
        <v>6446</v>
      </c>
      <c r="BI1543" s="6" t="str">
        <f t="shared" si="757"/>
        <v>=28.99*100000000</v>
      </c>
      <c r="BJ1543" s="1">
        <f>28.99*100000000</f>
        <v>2899000000</v>
      </c>
      <c r="BK1543" s="6" t="s">
        <v>14863</v>
      </c>
      <c r="BL1543" s="1" t="str">
        <f t="shared" si="759"/>
        <v>=9.709*100000000</v>
      </c>
      <c r="BM1543" s="16">
        <f t="shared" si="774"/>
        <v>1.9858893809867133</v>
      </c>
      <c r="BN1543" s="1">
        <f>9.709*100000000</f>
        <v>970900000</v>
      </c>
    </row>
    <row r="1544" spans="1:66">
      <c r="A1544" s="18"/>
      <c r="B1544">
        <v>601991</v>
      </c>
      <c r="C1544" t="s">
        <v>58</v>
      </c>
      <c r="D1544" s="6">
        <f>-112.7*100000000</f>
        <v>-11270000000</v>
      </c>
      <c r="E1544" s="7" t="str">
        <f t="shared" si="758"/>
        <v>=-11270000000</v>
      </c>
      <c r="F1544" s="1">
        <f>-11270000000</f>
        <v>-11270000000</v>
      </c>
      <c r="G1544" s="8">
        <f t="shared" si="760"/>
        <v>-22.934604904632153</v>
      </c>
      <c r="H1544" s="6" t="s">
        <v>10205</v>
      </c>
      <c r="I1544" s="6" t="str">
        <f t="shared" si="744"/>
        <v>=5.138*100000000</v>
      </c>
      <c r="J1544" s="1">
        <f>5.138*100000000</f>
        <v>513800000</v>
      </c>
      <c r="K1544" s="10">
        <f t="shared" si="761"/>
        <v>-0.83203661327231127</v>
      </c>
      <c r="L1544" s="6" t="s">
        <v>1102</v>
      </c>
      <c r="M1544" s="6" t="str">
        <f t="shared" si="745"/>
        <v>=30.59*100000000</v>
      </c>
      <c r="N1544" s="1">
        <f>30.59*100000000</f>
        <v>3059000000</v>
      </c>
      <c r="O1544" s="8">
        <f t="shared" si="762"/>
        <v>1.2054794520547945</v>
      </c>
      <c r="P1544" s="6" t="s">
        <v>1193</v>
      </c>
      <c r="Q1544" s="6" t="str">
        <f t="shared" si="746"/>
        <v>=13.87*100000000</v>
      </c>
      <c r="R1544" s="11">
        <f>13.87*100000000</f>
        <v>1387000000</v>
      </c>
      <c r="S1544" s="8">
        <f t="shared" si="763"/>
        <v>-0.80749479528105483</v>
      </c>
      <c r="T1544" s="6" t="s">
        <v>14864</v>
      </c>
      <c r="U1544" s="6" t="str">
        <f t="shared" si="747"/>
        <v>=72.05*100000000</v>
      </c>
      <c r="V1544" s="1">
        <f>72.05*100000000</f>
        <v>7205000000</v>
      </c>
      <c r="W1544" s="8">
        <f t="shared" si="764"/>
        <v>0.22097949500084732</v>
      </c>
      <c r="X1544" s="6" t="s">
        <v>2777</v>
      </c>
      <c r="Y1544" s="6" t="str">
        <f t="shared" si="748"/>
        <v>=59.01*100000000</v>
      </c>
      <c r="Z1544" s="1">
        <f>59.01*100000000</f>
        <v>5901000000</v>
      </c>
      <c r="AA1544" s="8">
        <f t="shared" si="765"/>
        <v>0.65525946704067317</v>
      </c>
      <c r="AB1544" s="6" t="s">
        <v>6461</v>
      </c>
      <c r="AC1544" s="6" t="str">
        <f t="shared" si="749"/>
        <v>=35.65*100000000</v>
      </c>
      <c r="AD1544" s="1">
        <f>35.65*100000000</f>
        <v>3565000000</v>
      </c>
      <c r="AE1544" s="8">
        <f t="shared" si="766"/>
        <v>1.854283426741393</v>
      </c>
      <c r="AF1544" s="6" t="s">
        <v>6228</v>
      </c>
      <c r="AG1544" s="6" t="str">
        <f t="shared" si="750"/>
        <v>=12.49*100000000</v>
      </c>
      <c r="AH1544" s="1">
        <f>12.49*100000000</f>
        <v>1249000000</v>
      </c>
      <c r="AI1544" s="8">
        <f t="shared" si="767"/>
        <v>-0.7335750853242321</v>
      </c>
      <c r="AJ1544" s="6" t="s">
        <v>4262</v>
      </c>
      <c r="AK1544" s="6" t="str">
        <f t="shared" si="751"/>
        <v>=46.88*100000000</v>
      </c>
      <c r="AL1544" s="1">
        <f>46.88*100000000</f>
        <v>4688000000</v>
      </c>
      <c r="AM1544" s="8">
        <f t="shared" si="768"/>
        <v>0.12991082188479153</v>
      </c>
      <c r="AN1544" s="6" t="s">
        <v>12514</v>
      </c>
      <c r="AO1544" s="6" t="str">
        <f t="shared" si="752"/>
        <v>=41.49*100000000</v>
      </c>
      <c r="AP1544" s="1">
        <f>41.49*100000000</f>
        <v>4149000000</v>
      </c>
      <c r="AQ1544" s="8">
        <f t="shared" si="769"/>
        <v>0.60254924681344146</v>
      </c>
      <c r="AR1544" s="6" t="s">
        <v>14865</v>
      </c>
      <c r="AS1544" s="6" t="str">
        <f t="shared" si="753"/>
        <v>=25.89*100000000</v>
      </c>
      <c r="AT1544" s="1">
        <f>25.89*100000000</f>
        <v>2589000000</v>
      </c>
      <c r="AU1544" s="8">
        <f t="shared" si="770"/>
        <v>1.2730465320456541</v>
      </c>
      <c r="AV1544" s="6" t="s">
        <v>8295</v>
      </c>
      <c r="AW1544" s="6" t="str">
        <f t="shared" si="754"/>
        <v>=11.39*100000000</v>
      </c>
      <c r="AX1544" s="1">
        <f>11.39*100000000</f>
        <v>1139000000</v>
      </c>
      <c r="AY1544" s="10">
        <f t="shared" si="771"/>
        <v>-0.72672744721689064</v>
      </c>
      <c r="AZ1544" s="6" t="s">
        <v>10895</v>
      </c>
      <c r="BA1544" s="6" t="str">
        <f t="shared" si="755"/>
        <v>=41.68*100000000</v>
      </c>
      <c r="BB1544" s="1">
        <f>41.68*100000000</f>
        <v>4168000000</v>
      </c>
      <c r="BC1544" s="8">
        <f t="shared" si="772"/>
        <v>9.4453862920804068E-3</v>
      </c>
      <c r="BD1544" s="6" t="s">
        <v>5250</v>
      </c>
      <c r="BE1544" s="6" t="str">
        <f t="shared" si="756"/>
        <v>=41.29*100000000</v>
      </c>
      <c r="BF1544" s="1">
        <f>41.29*100000000</f>
        <v>4129000000</v>
      </c>
      <c r="BG1544" s="8">
        <f t="shared" si="773"/>
        <v>0.36903183023872677</v>
      </c>
      <c r="BH1544" s="6" t="s">
        <v>4839</v>
      </c>
      <c r="BI1544" s="6" t="str">
        <f t="shared" si="757"/>
        <v>=30.16*100000000</v>
      </c>
      <c r="BJ1544" s="1">
        <f>30.16*100000000</f>
        <v>3016000000</v>
      </c>
      <c r="BK1544" s="6" t="s">
        <v>7500</v>
      </c>
      <c r="BL1544" s="1" t="str">
        <f t="shared" si="759"/>
        <v>=10.51*100000000</v>
      </c>
      <c r="BM1544" s="16">
        <f t="shared" si="774"/>
        <v>1.8696479543292104</v>
      </c>
      <c r="BN1544" s="1">
        <f>10.51*100000000</f>
        <v>1051000000</v>
      </c>
    </row>
    <row r="1545" spans="1:66">
      <c r="A1545" s="19"/>
      <c r="B1545">
        <v>601991</v>
      </c>
      <c r="C1545" t="s">
        <v>68</v>
      </c>
      <c r="D1545" s="6">
        <f>-119*100000000</f>
        <v>-11900000000</v>
      </c>
      <c r="E1545" s="7" t="str">
        <f t="shared" si="758"/>
        <v>=-11900000000</v>
      </c>
      <c r="F1545" s="1">
        <f>-11900000000</f>
        <v>-11900000000</v>
      </c>
      <c r="G1545" s="8">
        <f t="shared" si="760"/>
        <v>115.09756097560975</v>
      </c>
      <c r="H1545" s="6">
        <f>-1.025*100000000</f>
        <v>-102499999.99999999</v>
      </c>
      <c r="I1545" s="6" t="str">
        <f t="shared" si="744"/>
        <v>=-102500000</v>
      </c>
      <c r="J1545" s="1">
        <f>-102500000</f>
        <v>-102500000</v>
      </c>
      <c r="K1545" s="10">
        <f t="shared" si="761"/>
        <v>-1.0452139391265991</v>
      </c>
      <c r="L1545" s="6" t="s">
        <v>6800</v>
      </c>
      <c r="M1545" s="6" t="str">
        <f t="shared" si="745"/>
        <v>=22.67*100000000</v>
      </c>
      <c r="N1545" s="1">
        <f>22.67*100000000</f>
        <v>2267000000</v>
      </c>
      <c r="O1545" s="8">
        <f t="shared" si="762"/>
        <v>1.2117073170731707</v>
      </c>
      <c r="P1545" s="6" t="s">
        <v>183</v>
      </c>
      <c r="Q1545" s="6" t="str">
        <f t="shared" si="746"/>
        <v>=10.25*100000000</v>
      </c>
      <c r="R1545" s="11">
        <f>10.25*100000000</f>
        <v>1025000000</v>
      </c>
      <c r="S1545" s="8">
        <f t="shared" si="763"/>
        <v>-0.80718585402558318</v>
      </c>
      <c r="T1545" s="6" t="s">
        <v>11108</v>
      </c>
      <c r="U1545" s="6" t="str">
        <f t="shared" si="747"/>
        <v>=53.16*100000000</v>
      </c>
      <c r="V1545" s="1">
        <f>53.16*100000000</f>
        <v>5316000000</v>
      </c>
      <c r="W1545" s="8">
        <f t="shared" si="764"/>
        <v>0.20271493212669683</v>
      </c>
      <c r="X1545" s="6" t="s">
        <v>4841</v>
      </c>
      <c r="Y1545" s="6" t="str">
        <f t="shared" si="748"/>
        <v>=44.20*100000000</v>
      </c>
      <c r="Z1545" s="1">
        <f>44.2*100000000</f>
        <v>4420000000</v>
      </c>
      <c r="AA1545" s="8">
        <f t="shared" si="765"/>
        <v>0.6685541713854285</v>
      </c>
      <c r="AB1545" s="6" t="s">
        <v>14866</v>
      </c>
      <c r="AC1545" s="6" t="str">
        <f t="shared" si="749"/>
        <v>=26.49*100000000</v>
      </c>
      <c r="AD1545" s="1">
        <f>26.49*100000000</f>
        <v>2649000000</v>
      </c>
      <c r="AE1545" s="8">
        <f t="shared" si="766"/>
        <v>1.956473214285714</v>
      </c>
      <c r="AF1545" s="6" t="s">
        <v>14867</v>
      </c>
      <c r="AG1545" s="6" t="str">
        <f t="shared" si="750"/>
        <v>=8.960*100000000</v>
      </c>
      <c r="AH1545" s="1">
        <f>8.96*100000000</f>
        <v>896000000.00000012</v>
      </c>
      <c r="AI1545" s="8">
        <f t="shared" si="767"/>
        <v>-0.69902586496472963</v>
      </c>
      <c r="AJ1545" s="6" t="s">
        <v>888</v>
      </c>
      <c r="AK1545" s="6" t="str">
        <f t="shared" si="751"/>
        <v>=29.77*100000000</v>
      </c>
      <c r="AL1545" s="1">
        <f>29.77*100000000</f>
        <v>2977000000</v>
      </c>
      <c r="AM1545" s="8">
        <f t="shared" si="768"/>
        <v>1.3964577656675749E-2</v>
      </c>
      <c r="AN1545" s="6" t="s">
        <v>14868</v>
      </c>
      <c r="AO1545" s="6" t="str">
        <f t="shared" si="752"/>
        <v>=29.36*100000000</v>
      </c>
      <c r="AP1545" s="1">
        <f>29.36*100000000</f>
        <v>2936000000</v>
      </c>
      <c r="AQ1545" s="8">
        <f t="shared" si="769"/>
        <v>0.65595036661026507</v>
      </c>
      <c r="AR1545" s="6" t="s">
        <v>8828</v>
      </c>
      <c r="AS1545" s="6" t="str">
        <f t="shared" si="753"/>
        <v>=17.73*100000000</v>
      </c>
      <c r="AT1545" s="1">
        <f>17.73*100000000</f>
        <v>1773000000</v>
      </c>
      <c r="AU1545" s="8">
        <f t="shared" si="770"/>
        <v>1.2933643771827708</v>
      </c>
      <c r="AV1545" s="6" t="s">
        <v>6199</v>
      </c>
      <c r="AW1545" s="6" t="str">
        <f t="shared" si="754"/>
        <v>=7.731*100000000</v>
      </c>
      <c r="AX1545" s="1">
        <f>7.731*100000000</f>
        <v>773100000</v>
      </c>
      <c r="AY1545" s="10">
        <f t="shared" si="771"/>
        <v>-0.72290322580645161</v>
      </c>
      <c r="AZ1545" s="6" t="s">
        <v>9882</v>
      </c>
      <c r="BA1545" s="6" t="str">
        <f t="shared" si="755"/>
        <v>=27.90*100000000</v>
      </c>
      <c r="BB1545" s="1">
        <f>27.9*100000000</f>
        <v>2790000000</v>
      </c>
      <c r="BC1545" s="8">
        <f t="shared" si="772"/>
        <v>-7.278165503489531E-2</v>
      </c>
      <c r="BD1545" s="6" t="s">
        <v>5988</v>
      </c>
      <c r="BE1545" s="6" t="str">
        <f t="shared" si="756"/>
        <v>=30.09*100000000</v>
      </c>
      <c r="BF1545" s="1">
        <f>30.09*100000000</f>
        <v>3009000000</v>
      </c>
      <c r="BG1545" s="8">
        <f t="shared" si="773"/>
        <v>0.3403118040089087</v>
      </c>
      <c r="BH1545" s="6" t="s">
        <v>14869</v>
      </c>
      <c r="BI1545" s="6" t="str">
        <f t="shared" si="757"/>
        <v>=22.45*100000000</v>
      </c>
      <c r="BJ1545" s="1">
        <f>22.45*100000000</f>
        <v>2245000000</v>
      </c>
      <c r="BK1545" s="6" t="s">
        <v>5036</v>
      </c>
      <c r="BL1545" s="1" t="str">
        <f t="shared" si="759"/>
        <v>=6.379*100000000</v>
      </c>
      <c r="BM1545" s="16">
        <f t="shared" si="774"/>
        <v>2.5193604013168209</v>
      </c>
      <c r="BN1545" s="1">
        <f>6.379*100000000</f>
        <v>637900000</v>
      </c>
    </row>
    <row r="1546" spans="1:66">
      <c r="A1546" s="17">
        <v>388</v>
      </c>
      <c r="B1546">
        <v>601992</v>
      </c>
      <c r="C1546" t="s">
        <v>31</v>
      </c>
      <c r="D1546" s="6" t="s">
        <v>14870</v>
      </c>
      <c r="E1546" s="7" t="str">
        <f t="shared" si="758"/>
        <v>=1236*100000000</v>
      </c>
      <c r="F1546" s="1">
        <f>1236*100000000</f>
        <v>123600000000</v>
      </c>
      <c r="G1546" s="8">
        <f t="shared" si="760"/>
        <v>0.41402585516531287</v>
      </c>
      <c r="H1546" s="6" t="s">
        <v>14871</v>
      </c>
      <c r="I1546" s="6" t="str">
        <f t="shared" si="744"/>
        <v>=874.1*100000000</v>
      </c>
      <c r="J1546" s="1">
        <f>874.1*100000000</f>
        <v>87410000000</v>
      </c>
      <c r="K1546" s="10">
        <f t="shared" si="761"/>
        <v>0.51464217639923759</v>
      </c>
      <c r="L1546" s="6" t="s">
        <v>14872</v>
      </c>
      <c r="M1546" s="6" t="str">
        <f t="shared" si="745"/>
        <v>=577.1*100000000</v>
      </c>
      <c r="N1546" s="1">
        <f>577.1*100000000</f>
        <v>57710000000</v>
      </c>
      <c r="O1546" s="8">
        <f t="shared" si="762"/>
        <v>1.5156931124673061</v>
      </c>
      <c r="P1546" s="6" t="s">
        <v>14873</v>
      </c>
      <c r="Q1546" s="6" t="str">
        <f t="shared" si="746"/>
        <v>=229.4*100000000</v>
      </c>
      <c r="R1546" s="11">
        <f>229.4*100000000</f>
        <v>22940000000</v>
      </c>
      <c r="S1546" s="8">
        <f t="shared" si="763"/>
        <v>-0.78759259259259262</v>
      </c>
      <c r="T1546" s="6" t="s">
        <v>14874</v>
      </c>
      <c r="U1546" s="6" t="str">
        <f t="shared" si="747"/>
        <v>=1080*100000000</v>
      </c>
      <c r="V1546" s="1">
        <f>1080*100000000</f>
        <v>108000000000</v>
      </c>
      <c r="W1546" s="8">
        <f t="shared" si="764"/>
        <v>0.5033407572383074</v>
      </c>
      <c r="X1546" s="6" t="s">
        <v>14875</v>
      </c>
      <c r="Y1546" s="6" t="str">
        <f t="shared" si="748"/>
        <v>=718.4*100000000</v>
      </c>
      <c r="Z1546" s="1">
        <f>718.4*100000000</f>
        <v>71840000000</v>
      </c>
      <c r="AA1546" s="8">
        <f t="shared" si="765"/>
        <v>0.75519179086244803</v>
      </c>
      <c r="AB1546" s="6" t="s">
        <v>14876</v>
      </c>
      <c r="AC1546" s="6" t="str">
        <f t="shared" si="749"/>
        <v>=409.3*100000000</v>
      </c>
      <c r="AD1546" s="1">
        <f>409.3*100000000</f>
        <v>40930000000</v>
      </c>
      <c r="AE1546" s="8">
        <f t="shared" si="766"/>
        <v>1.9832361516034989</v>
      </c>
      <c r="AF1546" s="6" t="s">
        <v>14228</v>
      </c>
      <c r="AG1546" s="6" t="str">
        <f t="shared" si="750"/>
        <v>=137.2*100000000</v>
      </c>
      <c r="AH1546" s="1">
        <f>137.2*100000000</f>
        <v>13719999999.999998</v>
      </c>
      <c r="AI1546" s="8">
        <f t="shared" si="767"/>
        <v>-0.85059348796689538</v>
      </c>
      <c r="AJ1546" s="6" t="s">
        <v>14877</v>
      </c>
      <c r="AK1546" s="6" t="str">
        <f t="shared" si="751"/>
        <v>=918.3*100000000</v>
      </c>
      <c r="AL1546" s="1">
        <f>918.3*100000000</f>
        <v>91830000000</v>
      </c>
      <c r="AM1546" s="8">
        <f t="shared" si="768"/>
        <v>0.36327197149643703</v>
      </c>
      <c r="AN1546" s="6" t="s">
        <v>5334</v>
      </c>
      <c r="AO1546" s="6" t="str">
        <f t="shared" si="752"/>
        <v>=673.6*100000000</v>
      </c>
      <c r="AP1546" s="1">
        <f>673.6*100000000</f>
        <v>67360000000</v>
      </c>
      <c r="AQ1546" s="8">
        <f t="shared" si="769"/>
        <v>0.50997534185160276</v>
      </c>
      <c r="AR1546" s="6" t="s">
        <v>14878</v>
      </c>
      <c r="AS1546" s="6" t="str">
        <f t="shared" si="753"/>
        <v>=446.1*100000000</v>
      </c>
      <c r="AT1546" s="1">
        <f>446.1*100000000</f>
        <v>44610000000</v>
      </c>
      <c r="AU1546" s="8">
        <f t="shared" si="770"/>
        <v>1.7863835103060588</v>
      </c>
      <c r="AV1546" s="6" t="s">
        <v>14879</v>
      </c>
      <c r="AW1546" s="6" t="str">
        <f t="shared" si="754"/>
        <v>=160.1*100000000</v>
      </c>
      <c r="AX1546" s="1">
        <f>160.1*100000000</f>
        <v>16010000000</v>
      </c>
      <c r="AY1546" s="10">
        <f t="shared" si="771"/>
        <v>-0.80738691049085665</v>
      </c>
      <c r="AZ1546" s="6" t="s">
        <v>14880</v>
      </c>
      <c r="BA1546" s="6" t="str">
        <f t="shared" si="755"/>
        <v>=831.2*100000000</v>
      </c>
      <c r="BB1546" s="1">
        <f>831.2*100000000</f>
        <v>83120000000</v>
      </c>
      <c r="BC1546" s="8">
        <f t="shared" si="772"/>
        <v>0.48269711023902961</v>
      </c>
      <c r="BD1546" s="6" t="s">
        <v>14881</v>
      </c>
      <c r="BE1546" s="6" t="str">
        <f t="shared" si="756"/>
        <v>=560.6*100000000</v>
      </c>
      <c r="BF1546" s="1">
        <f>560.6*100000000</f>
        <v>56060000000</v>
      </c>
      <c r="BG1546" s="8">
        <f t="shared" si="773"/>
        <v>0.584959004806333</v>
      </c>
      <c r="BH1546" s="6" t="s">
        <v>14882</v>
      </c>
      <c r="BI1546" s="6" t="str">
        <f t="shared" si="757"/>
        <v>=353.7*100000000</v>
      </c>
      <c r="BJ1546" s="1">
        <f>353.7*100000000</f>
        <v>35370000000</v>
      </c>
      <c r="BK1546" s="6" t="s">
        <v>14883</v>
      </c>
      <c r="BL1546" s="1" t="str">
        <f t="shared" si="759"/>
        <v>=99.39*100000000</v>
      </c>
      <c r="BM1546" s="16">
        <f t="shared" si="774"/>
        <v>2.5587081195291277</v>
      </c>
      <c r="BN1546" s="1">
        <f>99.39*100000000</f>
        <v>9939000000</v>
      </c>
    </row>
    <row r="1547" spans="1:66">
      <c r="A1547" s="18"/>
      <c r="B1547">
        <v>601992</v>
      </c>
      <c r="C1547" t="s">
        <v>48</v>
      </c>
      <c r="D1547" s="6" t="s">
        <v>14884</v>
      </c>
      <c r="E1547" s="7" t="str">
        <f t="shared" si="758"/>
        <v>=71.59*100000000</v>
      </c>
      <c r="F1547" s="1">
        <f>71.59*100000000</f>
        <v>7159000000</v>
      </c>
      <c r="G1547" s="8">
        <f t="shared" si="760"/>
        <v>0.23965367965367965</v>
      </c>
      <c r="H1547" s="6" t="s">
        <v>9746</v>
      </c>
      <c r="I1547" s="6" t="str">
        <f t="shared" si="744"/>
        <v>=57.75*100000000</v>
      </c>
      <c r="J1547" s="1">
        <f>57.75*100000000</f>
        <v>5775000000</v>
      </c>
      <c r="K1547" s="10">
        <f t="shared" si="761"/>
        <v>0.42874814448292925</v>
      </c>
      <c r="L1547" s="6" t="s">
        <v>7063</v>
      </c>
      <c r="M1547" s="6" t="str">
        <f t="shared" si="745"/>
        <v>=40.42*100000000</v>
      </c>
      <c r="N1547" s="1">
        <f>40.42*100000000</f>
        <v>4042000000</v>
      </c>
      <c r="O1547" s="8">
        <f t="shared" si="762"/>
        <v>5.8964340556219073</v>
      </c>
      <c r="P1547" s="6" t="s">
        <v>14885</v>
      </c>
      <c r="Q1547" s="6" t="str">
        <f t="shared" si="746"/>
        <v>=5.861*100000000</v>
      </c>
      <c r="R1547" s="11">
        <f>5.861*100000000</f>
        <v>586100000</v>
      </c>
      <c r="S1547" s="8">
        <f t="shared" si="763"/>
        <v>-0.92108522956779315</v>
      </c>
      <c r="T1547" s="6" t="s">
        <v>14886</v>
      </c>
      <c r="U1547" s="6" t="str">
        <f t="shared" si="747"/>
        <v>=74.27*100000000</v>
      </c>
      <c r="V1547" s="1">
        <f>74.27*100000000</f>
        <v>7427000000</v>
      </c>
      <c r="W1547" s="8">
        <f t="shared" si="764"/>
        <v>0.21158238172920066</v>
      </c>
      <c r="X1547" s="6" t="s">
        <v>14632</v>
      </c>
      <c r="Y1547" s="6" t="str">
        <f t="shared" si="748"/>
        <v>=61.30*100000000</v>
      </c>
      <c r="Z1547" s="1">
        <f>61.3*100000000</f>
        <v>6130000000</v>
      </c>
      <c r="AA1547" s="8">
        <f t="shared" si="765"/>
        <v>0.90018598884066958</v>
      </c>
      <c r="AB1547" s="6" t="s">
        <v>14887</v>
      </c>
      <c r="AC1547" s="6" t="str">
        <f t="shared" si="749"/>
        <v>=32.26*100000000</v>
      </c>
      <c r="AD1547" s="1">
        <f>32.26*100000000</f>
        <v>3226000000</v>
      </c>
      <c r="AE1547" s="8">
        <f t="shared" si="766"/>
        <v>-14.447269695706545</v>
      </c>
      <c r="AF1547" s="6">
        <f>-2.399*100000000</f>
        <v>-239900000</v>
      </c>
      <c r="AG1547" s="6" t="str">
        <f t="shared" si="750"/>
        <v>=-239900000</v>
      </c>
      <c r="AH1547" s="1">
        <f>-239900000</f>
        <v>-239900000</v>
      </c>
      <c r="AI1547" s="8">
        <f t="shared" si="767"/>
        <v>-1.0301950912523601</v>
      </c>
      <c r="AJ1547" s="6" t="s">
        <v>14888</v>
      </c>
      <c r="AK1547" s="6" t="str">
        <f t="shared" si="751"/>
        <v>=79.45*100000000</v>
      </c>
      <c r="AL1547" s="1">
        <f>79.45*100000000</f>
        <v>7945000000</v>
      </c>
      <c r="AM1547" s="8">
        <f t="shared" si="768"/>
        <v>5.6235043871310821E-2</v>
      </c>
      <c r="AN1547" s="6" t="s">
        <v>14889</v>
      </c>
      <c r="AO1547" s="6" t="str">
        <f t="shared" si="752"/>
        <v>=75.22*100000000</v>
      </c>
      <c r="AP1547" s="1">
        <f>75.22*100000000</f>
        <v>7522000000</v>
      </c>
      <c r="AQ1547" s="8">
        <f t="shared" si="769"/>
        <v>0.428951367781155</v>
      </c>
      <c r="AR1547" s="6" t="s">
        <v>1543</v>
      </c>
      <c r="AS1547" s="6" t="str">
        <f t="shared" si="753"/>
        <v>=52.64*100000000</v>
      </c>
      <c r="AT1547" s="1">
        <f>52.64*100000000</f>
        <v>5264000000</v>
      </c>
      <c r="AU1547" s="8">
        <f t="shared" si="770"/>
        <v>6.6179450072358899</v>
      </c>
      <c r="AV1547" s="6" t="s">
        <v>6743</v>
      </c>
      <c r="AW1547" s="6" t="str">
        <f t="shared" si="754"/>
        <v>=6.910*100000000</v>
      </c>
      <c r="AX1547" s="1">
        <f>6.91*100000000</f>
        <v>691000000</v>
      </c>
      <c r="AY1547" s="10">
        <f t="shared" si="771"/>
        <v>-0.89480895113411474</v>
      </c>
      <c r="AZ1547" s="6" t="s">
        <v>14890</v>
      </c>
      <c r="BA1547" s="6" t="str">
        <f t="shared" si="755"/>
        <v>=65.69*100000000</v>
      </c>
      <c r="BB1547" s="1">
        <f>65.69*100000000</f>
        <v>6569000000</v>
      </c>
      <c r="BC1547" s="8">
        <f t="shared" si="772"/>
        <v>0.10850489368882889</v>
      </c>
      <c r="BD1547" s="6" t="s">
        <v>14891</v>
      </c>
      <c r="BE1547" s="6" t="str">
        <f t="shared" si="756"/>
        <v>=59.26*100000000</v>
      </c>
      <c r="BF1547" s="1">
        <f>59.26*100000000</f>
        <v>5926000000</v>
      </c>
      <c r="BG1547" s="8">
        <f t="shared" si="773"/>
        <v>0.50253549695740363</v>
      </c>
      <c r="BH1547" s="6" t="s">
        <v>11171</v>
      </c>
      <c r="BI1547" s="6" t="str">
        <f t="shared" si="757"/>
        <v>=39.44*100000000</v>
      </c>
      <c r="BJ1547" s="1">
        <f>39.44*100000000</f>
        <v>3944000000</v>
      </c>
      <c r="BK1547" s="6">
        <f>-6.6*100000000</f>
        <v>-660000000</v>
      </c>
      <c r="BL1547" s="1" t="str">
        <f t="shared" si="759"/>
        <v>=-660000000</v>
      </c>
      <c r="BM1547" s="16">
        <f t="shared" si="774"/>
        <v>-6.9757575757575756</v>
      </c>
      <c r="BN1547" s="1">
        <f>-660000000</f>
        <v>-660000000</v>
      </c>
    </row>
    <row r="1548" spans="1:66">
      <c r="A1548" s="18"/>
      <c r="B1548">
        <v>601992</v>
      </c>
      <c r="C1548" t="s">
        <v>58</v>
      </c>
      <c r="D1548" s="6" t="s">
        <v>14892</v>
      </c>
      <c r="E1548" s="7" t="str">
        <f t="shared" si="758"/>
        <v>=78.81*100000000</v>
      </c>
      <c r="F1548" s="1">
        <f>78.81*100000000</f>
        <v>7881000000</v>
      </c>
      <c r="G1548" s="8">
        <f t="shared" si="760"/>
        <v>0.23720565149136577</v>
      </c>
      <c r="H1548" s="6" t="s">
        <v>5061</v>
      </c>
      <c r="I1548" s="6" t="str">
        <f t="shared" si="744"/>
        <v>=63.70*100000000</v>
      </c>
      <c r="J1548" s="1">
        <f>63.7*100000000</f>
        <v>6370000000</v>
      </c>
      <c r="K1548" s="10">
        <f t="shared" si="761"/>
        <v>0.44280860702151753</v>
      </c>
      <c r="L1548" s="6" t="s">
        <v>4945</v>
      </c>
      <c r="M1548" s="6" t="str">
        <f t="shared" si="745"/>
        <v>=44.15*100000000</v>
      </c>
      <c r="N1548" s="1">
        <f>44.15*100000000</f>
        <v>4415000000</v>
      </c>
      <c r="O1548" s="8">
        <f t="shared" si="762"/>
        <v>5.9538510001575053</v>
      </c>
      <c r="P1548" s="6" t="s">
        <v>11636</v>
      </c>
      <c r="Q1548" s="6" t="str">
        <f t="shared" si="746"/>
        <v>=6.349*100000000</v>
      </c>
      <c r="R1548" s="11">
        <f>6.349*100000000</f>
        <v>634900000</v>
      </c>
      <c r="S1548" s="8">
        <f t="shared" si="763"/>
        <v>-0.91853990248909423</v>
      </c>
      <c r="T1548" s="6" t="s">
        <v>10651</v>
      </c>
      <c r="U1548" s="6" t="str">
        <f t="shared" si="747"/>
        <v>=77.94*100000000</v>
      </c>
      <c r="V1548" s="1">
        <f>77.94*100000000</f>
        <v>7794000000</v>
      </c>
      <c r="W1548" s="8">
        <f t="shared" si="764"/>
        <v>0.24564487773693464</v>
      </c>
      <c r="X1548" s="6" t="s">
        <v>10202</v>
      </c>
      <c r="Y1548" s="6" t="str">
        <f t="shared" si="748"/>
        <v>=62.57*100000000</v>
      </c>
      <c r="Z1548" s="1">
        <f>62.57*100000000</f>
        <v>6257000000</v>
      </c>
      <c r="AA1548" s="8">
        <f t="shared" si="765"/>
        <v>0.85943536404160481</v>
      </c>
      <c r="AB1548" s="6" t="s">
        <v>4360</v>
      </c>
      <c r="AC1548" s="6" t="str">
        <f t="shared" si="749"/>
        <v>=33.65*100000000</v>
      </c>
      <c r="AD1548" s="1">
        <f>33.65*100000000</f>
        <v>3365000000</v>
      </c>
      <c r="AE1548" s="8">
        <f t="shared" si="766"/>
        <v>-19.725653867557039</v>
      </c>
      <c r="AF1548" s="6">
        <f>-1.797*100000000</f>
        <v>-179700000</v>
      </c>
      <c r="AG1548" s="6" t="str">
        <f t="shared" si="750"/>
        <v>=-179700000</v>
      </c>
      <c r="AH1548" s="1">
        <f>-179700000</f>
        <v>-179700000</v>
      </c>
      <c r="AI1548" s="8">
        <f t="shared" si="767"/>
        <v>-1.0226493571968742</v>
      </c>
      <c r="AJ1548" s="6" t="s">
        <v>14893</v>
      </c>
      <c r="AK1548" s="6" t="str">
        <f t="shared" si="751"/>
        <v>=79.34*100000000</v>
      </c>
      <c r="AL1548" s="1">
        <f>79.34*100000000</f>
        <v>7934000000</v>
      </c>
      <c r="AM1548" s="8">
        <f t="shared" si="768"/>
        <v>0.1067094434370205</v>
      </c>
      <c r="AN1548" s="6" t="s">
        <v>14894</v>
      </c>
      <c r="AO1548" s="6" t="str">
        <f t="shared" si="752"/>
        <v>=71.69*100000000</v>
      </c>
      <c r="AP1548" s="1">
        <f>71.69*100000000</f>
        <v>7169000000</v>
      </c>
      <c r="AQ1548" s="8">
        <f t="shared" si="769"/>
        <v>0.36163342830009498</v>
      </c>
      <c r="AR1548" s="6" t="s">
        <v>14895</v>
      </c>
      <c r="AS1548" s="6" t="str">
        <f t="shared" si="753"/>
        <v>=52.65*100000000</v>
      </c>
      <c r="AT1548" s="1">
        <f>52.65*100000000</f>
        <v>5265000000</v>
      </c>
      <c r="AU1548" s="8">
        <f t="shared" si="770"/>
        <v>6.9018460153084193</v>
      </c>
      <c r="AV1548" s="6" t="s">
        <v>14896</v>
      </c>
      <c r="AW1548" s="6" t="str">
        <f t="shared" si="754"/>
        <v>=6.663*100000000</v>
      </c>
      <c r="AX1548" s="1">
        <f>6.663*100000000</f>
        <v>666300000</v>
      </c>
      <c r="AY1548" s="10">
        <f t="shared" si="771"/>
        <v>-0.89661753297129554</v>
      </c>
      <c r="AZ1548" s="6" t="s">
        <v>12796</v>
      </c>
      <c r="BA1548" s="6" t="str">
        <f t="shared" si="755"/>
        <v>=64.45*100000000</v>
      </c>
      <c r="BB1548" s="1">
        <f>64.45*100000000</f>
        <v>6445000000</v>
      </c>
      <c r="BC1548" s="8">
        <f t="shared" si="772"/>
        <v>0.10681779151640049</v>
      </c>
      <c r="BD1548" s="6" t="s">
        <v>886</v>
      </c>
      <c r="BE1548" s="6" t="str">
        <f t="shared" si="756"/>
        <v>=58.23*100000000</v>
      </c>
      <c r="BF1548" s="1">
        <f>58.23*100000000</f>
        <v>5823000000</v>
      </c>
      <c r="BG1548" s="8">
        <f t="shared" si="773"/>
        <v>0.48432322202396144</v>
      </c>
      <c r="BH1548" s="6" t="s">
        <v>4797</v>
      </c>
      <c r="BI1548" s="6" t="str">
        <f t="shared" si="757"/>
        <v>=39.23*100000000</v>
      </c>
      <c r="BJ1548" s="1">
        <f>39.23*100000000</f>
        <v>3922999999.9999995</v>
      </c>
      <c r="BK1548" s="6">
        <f>-6.516*100000000</f>
        <v>-651600000</v>
      </c>
      <c r="BL1548" s="1" t="str">
        <f t="shared" si="759"/>
        <v>=-651600000</v>
      </c>
      <c r="BM1548" s="16">
        <f t="shared" si="774"/>
        <v>-7.0205647636586859</v>
      </c>
      <c r="BN1548" s="1">
        <f>-651600000</f>
        <v>-651600000</v>
      </c>
    </row>
    <row r="1549" spans="1:66">
      <c r="A1549" s="19"/>
      <c r="B1549">
        <v>601992</v>
      </c>
      <c r="C1549" t="s">
        <v>68</v>
      </c>
      <c r="D1549" s="6" t="s">
        <v>14897</v>
      </c>
      <c r="E1549" s="7" t="str">
        <f t="shared" si="758"/>
        <v>=52.13*100000000</v>
      </c>
      <c r="F1549" s="1">
        <f>52.13*100000000</f>
        <v>5213000000</v>
      </c>
      <c r="G1549" s="8">
        <f t="shared" si="760"/>
        <v>0.1404506672500547</v>
      </c>
      <c r="H1549" s="6" t="s">
        <v>7414</v>
      </c>
      <c r="I1549" s="6" t="str">
        <f t="shared" si="744"/>
        <v>=45.71*100000000</v>
      </c>
      <c r="J1549" s="1">
        <f>45.71*100000000</f>
        <v>4571000000</v>
      </c>
      <c r="K1549" s="10">
        <f t="shared" si="761"/>
        <v>0.41956521739130415</v>
      </c>
      <c r="L1549" s="6" t="s">
        <v>14898</v>
      </c>
      <c r="M1549" s="6" t="str">
        <f t="shared" si="745"/>
        <v>=32.20*100000000</v>
      </c>
      <c r="N1549" s="1">
        <f>32.2*100000000</f>
        <v>3220000000.0000005</v>
      </c>
      <c r="O1549" s="8">
        <f t="shared" si="762"/>
        <v>6.8117418728772456</v>
      </c>
      <c r="P1549" s="6" t="s">
        <v>3457</v>
      </c>
      <c r="Q1549" s="6" t="str">
        <f t="shared" si="746"/>
        <v>=4.122*100000000</v>
      </c>
      <c r="R1549" s="11">
        <f>4.122*100000000</f>
        <v>412200000</v>
      </c>
      <c r="S1549" s="8">
        <f t="shared" si="763"/>
        <v>-0.92005430566330493</v>
      </c>
      <c r="T1549" s="6" t="s">
        <v>14899</v>
      </c>
      <c r="U1549" s="6" t="str">
        <f t="shared" si="747"/>
        <v>=51.56*100000000</v>
      </c>
      <c r="V1549" s="1">
        <f>51.56*100000000</f>
        <v>5156000000</v>
      </c>
      <c r="W1549" s="8">
        <f t="shared" si="764"/>
        <v>0.16519774011299435</v>
      </c>
      <c r="X1549" s="6" t="s">
        <v>14900</v>
      </c>
      <c r="Y1549" s="6" t="str">
        <f t="shared" si="748"/>
        <v>=44.25*100000000</v>
      </c>
      <c r="Z1549" s="1">
        <f>44.25*100000000</f>
        <v>4425000000</v>
      </c>
      <c r="AA1549" s="8">
        <f t="shared" si="765"/>
        <v>1.0223948811700183</v>
      </c>
      <c r="AB1549" s="6" t="s">
        <v>12165</v>
      </c>
      <c r="AC1549" s="6" t="str">
        <f t="shared" si="749"/>
        <v>=21.88*100000000</v>
      </c>
      <c r="AD1549" s="1">
        <f>21.88*100000000</f>
        <v>2188000000</v>
      </c>
      <c r="AE1549" s="8">
        <f t="shared" si="766"/>
        <v>-11.143718127028279</v>
      </c>
      <c r="AF1549" s="6">
        <f>-2.157*100000000</f>
        <v>-215700000</v>
      </c>
      <c r="AG1549" s="6" t="str">
        <f t="shared" si="750"/>
        <v>=-215700000</v>
      </c>
      <c r="AH1549" s="1">
        <f>-215700000</f>
        <v>-215700000</v>
      </c>
      <c r="AI1549" s="8">
        <f t="shared" si="767"/>
        <v>-1.041657010428737</v>
      </c>
      <c r="AJ1549" s="6" t="s">
        <v>12315</v>
      </c>
      <c r="AK1549" s="6" t="str">
        <f t="shared" si="751"/>
        <v>=51.78*100000000</v>
      </c>
      <c r="AL1549" s="1">
        <f>51.78*100000000</f>
        <v>5178000000</v>
      </c>
      <c r="AM1549" s="8">
        <f t="shared" si="768"/>
        <v>-2.5592773805043281E-2</v>
      </c>
      <c r="AN1549" s="6" t="s">
        <v>6089</v>
      </c>
      <c r="AO1549" s="6" t="str">
        <f t="shared" si="752"/>
        <v>=53.14*100000000</v>
      </c>
      <c r="AP1549" s="1">
        <f>53.14*100000000</f>
        <v>5314000000</v>
      </c>
      <c r="AQ1549" s="8">
        <f t="shared" si="769"/>
        <v>0.34022698612862545</v>
      </c>
      <c r="AR1549" s="6" t="s">
        <v>14901</v>
      </c>
      <c r="AS1549" s="6" t="str">
        <f t="shared" si="753"/>
        <v>=39.65*100000000</v>
      </c>
      <c r="AT1549" s="1">
        <f>39.65*100000000</f>
        <v>3965000000</v>
      </c>
      <c r="AU1549" s="8">
        <f t="shared" si="770"/>
        <v>9.2375419571391681</v>
      </c>
      <c r="AV1549" s="6" t="s">
        <v>6698</v>
      </c>
      <c r="AW1549" s="6" t="str">
        <f t="shared" si="754"/>
        <v>=3.873*100000000</v>
      </c>
      <c r="AX1549" s="1">
        <f>3.873*100000000</f>
        <v>387300000</v>
      </c>
      <c r="AY1549" s="10">
        <f t="shared" si="771"/>
        <v>-0.90953048353188504</v>
      </c>
      <c r="AZ1549" s="6" t="s">
        <v>4342</v>
      </c>
      <c r="BA1549" s="6" t="str">
        <f t="shared" si="755"/>
        <v>=42.81*100000000</v>
      </c>
      <c r="BB1549" s="1">
        <f>42.81*100000000</f>
        <v>4281000000</v>
      </c>
      <c r="BC1549" s="8">
        <f t="shared" si="772"/>
        <v>-1.3594470046082949E-2</v>
      </c>
      <c r="BD1549" s="6" t="s">
        <v>12280</v>
      </c>
      <c r="BE1549" s="6" t="str">
        <f t="shared" si="756"/>
        <v>=43.40*100000000</v>
      </c>
      <c r="BF1549" s="1">
        <f>43.4*100000000</f>
        <v>4340000000</v>
      </c>
      <c r="BG1549" s="8">
        <f t="shared" si="773"/>
        <v>0.48224043715846993</v>
      </c>
      <c r="BH1549" s="6" t="s">
        <v>14902</v>
      </c>
      <c r="BI1549" s="6" t="str">
        <f t="shared" si="757"/>
        <v>=29.28*100000000</v>
      </c>
      <c r="BJ1549" s="1">
        <f>29.28*100000000</f>
        <v>2928000000</v>
      </c>
      <c r="BK1549" s="6">
        <f>-6.385*100000000</f>
        <v>-638500000</v>
      </c>
      <c r="BL1549" s="1" t="str">
        <f t="shared" si="759"/>
        <v>=-638500000</v>
      </c>
      <c r="BM1549" s="16">
        <f t="shared" si="774"/>
        <v>-5.5857478465152699</v>
      </c>
      <c r="BN1549" s="1">
        <f>-638500000</f>
        <v>-638500000</v>
      </c>
    </row>
    <row r="1550" spans="1:66">
      <c r="A1550" s="17">
        <v>389</v>
      </c>
      <c r="B1550">
        <v>601996</v>
      </c>
      <c r="C1550" t="s">
        <v>31</v>
      </c>
      <c r="D1550" s="6" t="s">
        <v>84</v>
      </c>
      <c r="E1550" s="7" t="str">
        <f t="shared" si="758"/>
        <v>=20.66*100000000</v>
      </c>
      <c r="F1550" s="1">
        <f>20.66*100000000</f>
        <v>2066000000</v>
      </c>
      <c r="G1550" s="8">
        <f t="shared" si="760"/>
        <v>0.39878131347325663</v>
      </c>
      <c r="H1550" s="6" t="s">
        <v>4552</v>
      </c>
      <c r="I1550" s="6" t="str">
        <f t="shared" si="744"/>
        <v>=14.77*100000000</v>
      </c>
      <c r="J1550" s="1">
        <f>14.77*100000000</f>
        <v>1477000000</v>
      </c>
      <c r="K1550" s="10">
        <f t="shared" si="761"/>
        <v>0.63710928840611836</v>
      </c>
      <c r="L1550" s="6" t="s">
        <v>14903</v>
      </c>
      <c r="M1550" s="6" t="str">
        <f t="shared" si="745"/>
        <v>=9.022*100000000</v>
      </c>
      <c r="N1550" s="1">
        <f>9.022*100000000</f>
        <v>902200000</v>
      </c>
      <c r="O1550" s="8">
        <f t="shared" si="762"/>
        <v>1.3091886357819298</v>
      </c>
      <c r="P1550" s="6" t="s">
        <v>14904</v>
      </c>
      <c r="Q1550" s="6" t="str">
        <f t="shared" si="746"/>
        <v>=3.907*100000000</v>
      </c>
      <c r="R1550" s="11">
        <f>3.907*100000000</f>
        <v>390700000</v>
      </c>
      <c r="S1550" s="8">
        <f t="shared" si="763"/>
        <v>-0.77545977011494249</v>
      </c>
      <c r="T1550" s="6" t="s">
        <v>14905</v>
      </c>
      <c r="U1550" s="6" t="str">
        <f t="shared" si="747"/>
        <v>=17.40*100000000</v>
      </c>
      <c r="V1550" s="1">
        <f>17.4*100000000</f>
        <v>1739999999.9999998</v>
      </c>
      <c r="W1550" s="8">
        <f t="shared" si="764"/>
        <v>0.41463414634146323</v>
      </c>
      <c r="X1550" s="6" t="s">
        <v>11050</v>
      </c>
      <c r="Y1550" s="6" t="str">
        <f t="shared" si="748"/>
        <v>=12.30*100000000</v>
      </c>
      <c r="Z1550" s="1">
        <f>12.3*100000000</f>
        <v>1230000000</v>
      </c>
      <c r="AA1550" s="8">
        <f t="shared" si="765"/>
        <v>1.0472703062583222</v>
      </c>
      <c r="AB1550" s="6" t="s">
        <v>14906</v>
      </c>
      <c r="AC1550" s="6" t="str">
        <f t="shared" si="749"/>
        <v>=6.008*100000000</v>
      </c>
      <c r="AD1550" s="1">
        <f>6.008*100000000</f>
        <v>600800000</v>
      </c>
      <c r="AE1550" s="8">
        <f t="shared" si="766"/>
        <v>3.1780250347705148</v>
      </c>
      <c r="AF1550" s="6" t="s">
        <v>8396</v>
      </c>
      <c r="AG1550" s="6" t="str">
        <f t="shared" si="750"/>
        <v>=1.438*100000000</v>
      </c>
      <c r="AH1550" s="1">
        <f>1.438*100000000</f>
        <v>143800000</v>
      </c>
      <c r="AI1550" s="8">
        <f t="shared" si="767"/>
        <v>-0.92599073597529591</v>
      </c>
      <c r="AJ1550" s="6" t="s">
        <v>14396</v>
      </c>
      <c r="AK1550" s="6" t="str">
        <f t="shared" si="751"/>
        <v>=19.43*100000000</v>
      </c>
      <c r="AL1550" s="1">
        <f>19.43*100000000</f>
        <v>1943000000</v>
      </c>
      <c r="AM1550" s="8">
        <f t="shared" si="768"/>
        <v>0.36064425770308123</v>
      </c>
      <c r="AN1550" s="6" t="s">
        <v>60</v>
      </c>
      <c r="AO1550" s="6" t="str">
        <f t="shared" si="752"/>
        <v>=14.28*100000000</v>
      </c>
      <c r="AP1550" s="1">
        <f>14.28*100000000</f>
        <v>1428000000</v>
      </c>
      <c r="AQ1550" s="8">
        <f t="shared" si="769"/>
        <v>0.61119259844296514</v>
      </c>
      <c r="AR1550" s="6" t="s">
        <v>14907</v>
      </c>
      <c r="AS1550" s="6" t="str">
        <f t="shared" si="753"/>
        <v>=8.863*100000000</v>
      </c>
      <c r="AT1550" s="1">
        <f>8.863*100000000</f>
        <v>886300000</v>
      </c>
      <c r="AU1550" s="8">
        <f t="shared" si="770"/>
        <v>1.6121426466254052</v>
      </c>
      <c r="AV1550" s="6" t="s">
        <v>10185</v>
      </c>
      <c r="AW1550" s="6" t="str">
        <f t="shared" si="754"/>
        <v>=3.393*100000000</v>
      </c>
      <c r="AX1550" s="1">
        <f>3.393*100000000</f>
        <v>339300000</v>
      </c>
      <c r="AY1550" s="10">
        <f t="shared" si="771"/>
        <v>-0.78753913587977453</v>
      </c>
      <c r="AZ1550" s="6" t="s">
        <v>8694</v>
      </c>
      <c r="BA1550" s="6" t="str">
        <f t="shared" si="755"/>
        <v>=15.97*100000000</v>
      </c>
      <c r="BB1550" s="1">
        <f>15.97*100000000</f>
        <v>1597000000</v>
      </c>
      <c r="BC1550" s="8">
        <f t="shared" si="772"/>
        <v>0.46513761467889908</v>
      </c>
      <c r="BD1550" s="6" t="s">
        <v>7435</v>
      </c>
      <c r="BE1550" s="6" t="str">
        <f t="shared" si="756"/>
        <v>=10.90*100000000</v>
      </c>
      <c r="BF1550" s="1">
        <f>10.9*100000000</f>
        <v>1090000000</v>
      </c>
      <c r="BG1550" s="8">
        <f t="shared" si="773"/>
        <v>0.68704534901717995</v>
      </c>
      <c r="BH1550" s="6" t="s">
        <v>8517</v>
      </c>
      <c r="BI1550" s="6" t="str">
        <f t="shared" si="757"/>
        <v>=6.461*100000000</v>
      </c>
      <c r="BJ1550" s="1">
        <f>6.461*100000000</f>
        <v>646100000</v>
      </c>
      <c r="BK1550" s="6" t="s">
        <v>6337</v>
      </c>
      <c r="BL1550" s="1" t="str">
        <f t="shared" si="759"/>
        <v>=2.906*100000000</v>
      </c>
      <c r="BM1550" s="16">
        <f t="shared" si="774"/>
        <v>1.223331039229181</v>
      </c>
      <c r="BN1550" s="1">
        <f>2.906*100000000</f>
        <v>290600000</v>
      </c>
    </row>
    <row r="1551" spans="1:66">
      <c r="A1551" s="18"/>
      <c r="B1551">
        <v>601996</v>
      </c>
      <c r="C1551" t="s">
        <v>48</v>
      </c>
      <c r="D1551" s="6" t="s">
        <v>14908</v>
      </c>
      <c r="E1551" s="7" t="str">
        <f t="shared" si="758"/>
        <v>=1.660*100000000</v>
      </c>
      <c r="F1551" s="1">
        <f>1.66*100000000</f>
        <v>166000000</v>
      </c>
      <c r="G1551" s="8">
        <f t="shared" si="760"/>
        <v>0.66</v>
      </c>
      <c r="H1551" s="6" t="s">
        <v>10420</v>
      </c>
      <c r="I1551" s="6" t="str">
        <f t="shared" si="744"/>
        <v>=1.000*100000000</v>
      </c>
      <c r="J1551" s="1">
        <f>1*100000000</f>
        <v>100000000</v>
      </c>
      <c r="K1551" s="10">
        <f t="shared" si="761"/>
        <v>0.44154533660083611</v>
      </c>
      <c r="L1551" s="7" t="s">
        <v>14909</v>
      </c>
      <c r="M1551" s="6" t="str">
        <f t="shared" si="745"/>
        <v>=6937*10000</v>
      </c>
      <c r="N1551" s="1">
        <f>6937*10000</f>
        <v>69370000</v>
      </c>
      <c r="O1551" s="8">
        <f t="shared" si="762"/>
        <v>2.9753581661891118</v>
      </c>
      <c r="P1551" s="7" t="s">
        <v>5939</v>
      </c>
      <c r="Q1551" s="6" t="str">
        <f t="shared" si="746"/>
        <v>=1745*10000</v>
      </c>
      <c r="R1551" s="11">
        <f>1745*10000</f>
        <v>17450000</v>
      </c>
      <c r="S1551" s="8">
        <f t="shared" si="763"/>
        <v>-0.900057273768614</v>
      </c>
      <c r="T1551" s="6" t="s">
        <v>5157</v>
      </c>
      <c r="U1551" s="6" t="str">
        <f t="shared" si="747"/>
        <v>=1.746*100000000</v>
      </c>
      <c r="V1551" s="1">
        <f>1.746*100000000</f>
        <v>174600000</v>
      </c>
      <c r="W1551" s="8">
        <f t="shared" si="764"/>
        <v>0.6241860465116279</v>
      </c>
      <c r="X1551" s="6" t="s">
        <v>2150</v>
      </c>
      <c r="Y1551" s="6" t="str">
        <f t="shared" si="748"/>
        <v>=1.075*100000000</v>
      </c>
      <c r="Z1551" s="1">
        <f>1.075*100000000</f>
        <v>107500000</v>
      </c>
      <c r="AA1551" s="8">
        <f t="shared" si="765"/>
        <v>2.8752703677000722</v>
      </c>
      <c r="AB1551" s="7" t="s">
        <v>14910</v>
      </c>
      <c r="AC1551" s="6" t="str">
        <f t="shared" si="749"/>
        <v>=2774*10000</v>
      </c>
      <c r="AD1551" s="1">
        <f>2774*10000</f>
        <v>27740000</v>
      </c>
      <c r="AE1551" s="8">
        <f t="shared" si="766"/>
        <v>-3.2663398692810457</v>
      </c>
      <c r="AF1551" s="7">
        <f>-1224*10000</f>
        <v>-12240000</v>
      </c>
      <c r="AG1551" s="6" t="str">
        <f t="shared" si="750"/>
        <v>=-12240000</v>
      </c>
      <c r="AH1551" s="1">
        <f>-12240000</f>
        <v>-12240000</v>
      </c>
      <c r="AI1551" s="8">
        <f t="shared" si="767"/>
        <v>-1.0698630136986302</v>
      </c>
      <c r="AJ1551" s="6" t="s">
        <v>12783</v>
      </c>
      <c r="AK1551" s="6" t="str">
        <f t="shared" si="751"/>
        <v>=1.752*100000000</v>
      </c>
      <c r="AL1551" s="1">
        <f>1.752*100000000</f>
        <v>175200000</v>
      </c>
      <c r="AM1551" s="8">
        <f t="shared" si="768"/>
        <v>0.33536585365853661</v>
      </c>
      <c r="AN1551" s="6" t="s">
        <v>2991</v>
      </c>
      <c r="AO1551" s="6" t="str">
        <f t="shared" si="752"/>
        <v>=1.312*100000000</v>
      </c>
      <c r="AP1551" s="1">
        <f>1.312*100000000</f>
        <v>131200000</v>
      </c>
      <c r="AQ1551" s="8">
        <f t="shared" si="769"/>
        <v>0.49549754929898554</v>
      </c>
      <c r="AR1551" s="7" t="s">
        <v>14911</v>
      </c>
      <c r="AS1551" s="6" t="str">
        <f t="shared" si="753"/>
        <v>=8773*10000</v>
      </c>
      <c r="AT1551" s="1">
        <f>8773*10000</f>
        <v>87730000</v>
      </c>
      <c r="AU1551" s="8">
        <f t="shared" si="770"/>
        <v>2.0335408022130013</v>
      </c>
      <c r="AV1551" s="7" t="s">
        <v>14912</v>
      </c>
      <c r="AW1551" s="6" t="str">
        <f t="shared" si="754"/>
        <v>=2892*10000</v>
      </c>
      <c r="AX1551" s="1">
        <f>2892*10000</f>
        <v>28920000</v>
      </c>
      <c r="AY1551" s="10">
        <f t="shared" si="771"/>
        <v>-0.791792656587473</v>
      </c>
      <c r="AZ1551" s="6" t="s">
        <v>2148</v>
      </c>
      <c r="BA1551" s="6" t="str">
        <f t="shared" si="755"/>
        <v>=1.389*100000000</v>
      </c>
      <c r="BB1551" s="1">
        <f>1.389*100000000</f>
        <v>138900000</v>
      </c>
      <c r="BC1551" s="8">
        <f t="shared" si="772"/>
        <v>0.24797843665768193</v>
      </c>
      <c r="BD1551" s="6" t="s">
        <v>10789</v>
      </c>
      <c r="BE1551" s="6" t="str">
        <f t="shared" si="756"/>
        <v>=1.113*100000000</v>
      </c>
      <c r="BF1551" s="1">
        <f>1.113*100000000</f>
        <v>111300000</v>
      </c>
      <c r="BG1551" s="8">
        <f t="shared" si="773"/>
        <v>0.69148936170212771</v>
      </c>
      <c r="BH1551" s="7" t="s">
        <v>5607</v>
      </c>
      <c r="BI1551" s="6" t="str">
        <f t="shared" si="757"/>
        <v>=6580*10000</v>
      </c>
      <c r="BJ1551" s="1">
        <f>6580*10000</f>
        <v>65800000</v>
      </c>
      <c r="BK1551" s="7" t="s">
        <v>14913</v>
      </c>
      <c r="BL1551" s="1" t="str">
        <f t="shared" si="759"/>
        <v>=2555*10000</v>
      </c>
      <c r="BM1551" s="16">
        <f t="shared" si="774"/>
        <v>1.5753424657534247</v>
      </c>
      <c r="BN1551" s="1">
        <f>2555*10000</f>
        <v>25550000</v>
      </c>
    </row>
    <row r="1552" spans="1:66">
      <c r="A1552" s="18"/>
      <c r="B1552">
        <v>601996</v>
      </c>
      <c r="C1552" t="s">
        <v>58</v>
      </c>
      <c r="D1552" s="6" t="s">
        <v>4666</v>
      </c>
      <c r="E1552" s="7" t="str">
        <f t="shared" si="758"/>
        <v>=1.651*100000000</v>
      </c>
      <c r="F1552" s="1">
        <f>1.651*100000000</f>
        <v>165100000</v>
      </c>
      <c r="G1552" s="8">
        <f t="shared" si="760"/>
        <v>0.65298358029635561</v>
      </c>
      <c r="H1552" s="7" t="s">
        <v>14914</v>
      </c>
      <c r="I1552" s="6" t="str">
        <f t="shared" si="744"/>
        <v>=9988*10000</v>
      </c>
      <c r="J1552" s="1">
        <f>9988*10000</f>
        <v>99880000</v>
      </c>
      <c r="K1552" s="10">
        <f t="shared" si="761"/>
        <v>0.44335260115606934</v>
      </c>
      <c r="L1552" s="7" t="s">
        <v>7915</v>
      </c>
      <c r="M1552" s="6" t="str">
        <f t="shared" si="745"/>
        <v>=6920*10000</v>
      </c>
      <c r="N1552" s="1">
        <f>6920*10000</f>
        <v>69200000</v>
      </c>
      <c r="O1552" s="8">
        <f t="shared" si="762"/>
        <v>3.0538957234915056</v>
      </c>
      <c r="P1552" s="7" t="s">
        <v>14915</v>
      </c>
      <c r="Q1552" s="6" t="str">
        <f t="shared" si="746"/>
        <v>=1707*10000</v>
      </c>
      <c r="R1552" s="11">
        <f>1707*10000</f>
        <v>17070000</v>
      </c>
      <c r="S1552" s="8">
        <f t="shared" si="763"/>
        <v>-0.90115807759119859</v>
      </c>
      <c r="T1552" s="6" t="s">
        <v>2980</v>
      </c>
      <c r="U1552" s="6" t="str">
        <f t="shared" si="747"/>
        <v>=1.727*100000000</v>
      </c>
      <c r="V1552" s="1">
        <f>1.727*100000000</f>
        <v>172700000</v>
      </c>
      <c r="W1552" s="8">
        <f t="shared" si="764"/>
        <v>0.59611829944547134</v>
      </c>
      <c r="X1552" s="6" t="s">
        <v>13855</v>
      </c>
      <c r="Y1552" s="6" t="str">
        <f t="shared" si="748"/>
        <v>=1.082*100000000</v>
      </c>
      <c r="Z1552" s="1">
        <f>1.082*100000000</f>
        <v>108200000</v>
      </c>
      <c r="AA1552" s="8">
        <f t="shared" si="765"/>
        <v>2.7964912280701753</v>
      </c>
      <c r="AB1552" s="7" t="s">
        <v>14916</v>
      </c>
      <c r="AC1552" s="6" t="str">
        <f t="shared" si="749"/>
        <v>=2850*10000</v>
      </c>
      <c r="AD1552" s="1">
        <f>2850*10000</f>
        <v>28500000</v>
      </c>
      <c r="AE1552" s="8">
        <f t="shared" si="766"/>
        <v>-3.3553719008264462</v>
      </c>
      <c r="AF1552" s="7">
        <f>-1210*10000</f>
        <v>-12100000</v>
      </c>
      <c r="AG1552" s="6" t="str">
        <f t="shared" si="750"/>
        <v>=-12100000</v>
      </c>
      <c r="AH1552" s="1">
        <f>-12100000</f>
        <v>-12100000</v>
      </c>
      <c r="AI1552" s="8">
        <f t="shared" si="767"/>
        <v>-1.0702263493905977</v>
      </c>
      <c r="AJ1552" s="6" t="s">
        <v>10296</v>
      </c>
      <c r="AK1552" s="6" t="str">
        <f t="shared" si="751"/>
        <v>=1.723*100000000</v>
      </c>
      <c r="AL1552" s="1">
        <f>1.723*100000000</f>
        <v>172300000</v>
      </c>
      <c r="AM1552" s="8">
        <f t="shared" si="768"/>
        <v>0.28774289985052304</v>
      </c>
      <c r="AN1552" s="6" t="s">
        <v>4863</v>
      </c>
      <c r="AO1552" s="6" t="str">
        <f t="shared" si="752"/>
        <v>=1.338*100000000</v>
      </c>
      <c r="AP1552" s="1">
        <f>1.338*100000000</f>
        <v>133800000.00000001</v>
      </c>
      <c r="AQ1552" s="8">
        <f t="shared" si="769"/>
        <v>0.50202065559048059</v>
      </c>
      <c r="AR1552" s="7" t="s">
        <v>14917</v>
      </c>
      <c r="AS1552" s="6" t="str">
        <f t="shared" si="753"/>
        <v>=8908*10000</v>
      </c>
      <c r="AT1552" s="1">
        <f>8908*10000</f>
        <v>89080000</v>
      </c>
      <c r="AU1552" s="8">
        <f t="shared" si="770"/>
        <v>2.0258152173913042</v>
      </c>
      <c r="AV1552" s="7" t="s">
        <v>14918</v>
      </c>
      <c r="AW1552" s="6" t="str">
        <f t="shared" si="754"/>
        <v>=2944*10000</v>
      </c>
      <c r="AX1552" s="1">
        <f>2944*10000</f>
        <v>29440000</v>
      </c>
      <c r="AY1552" s="10">
        <f t="shared" si="771"/>
        <v>-0.79569743233865375</v>
      </c>
      <c r="AZ1552" s="6" t="s">
        <v>14919</v>
      </c>
      <c r="BA1552" s="6" t="str">
        <f t="shared" si="755"/>
        <v>=1.441*100000000</v>
      </c>
      <c r="BB1552" s="1">
        <f>1.441*100000000</f>
        <v>144100000</v>
      </c>
      <c r="BC1552" s="8">
        <f t="shared" si="772"/>
        <v>0.24438687392055283</v>
      </c>
      <c r="BD1552" s="6" t="s">
        <v>4465</v>
      </c>
      <c r="BE1552" s="6" t="str">
        <f t="shared" si="756"/>
        <v>=1.158*100000000</v>
      </c>
      <c r="BF1552" s="1">
        <f>1.158*100000000</f>
        <v>115799999.99999999</v>
      </c>
      <c r="BG1552" s="8">
        <f t="shared" si="773"/>
        <v>0.60521208760742984</v>
      </c>
      <c r="BH1552" s="7" t="s">
        <v>14920</v>
      </c>
      <c r="BI1552" s="6" t="str">
        <f t="shared" si="757"/>
        <v>=7214*10000</v>
      </c>
      <c r="BJ1552" s="1">
        <f>7214*10000</f>
        <v>72140000</v>
      </c>
      <c r="BK1552" s="7" t="s">
        <v>14921</v>
      </c>
      <c r="BL1552" s="1" t="str">
        <f t="shared" si="759"/>
        <v>=3012*10000</v>
      </c>
      <c r="BM1552" s="16">
        <f t="shared" si="774"/>
        <v>1.3950863213811422</v>
      </c>
      <c r="BN1552" s="1">
        <f>3012*10000</f>
        <v>30120000</v>
      </c>
    </row>
    <row r="1553" spans="1:66">
      <c r="A1553" s="19"/>
      <c r="B1553">
        <v>601996</v>
      </c>
      <c r="C1553" t="s">
        <v>68</v>
      </c>
      <c r="D1553" s="6" t="s">
        <v>6408</v>
      </c>
      <c r="E1553" s="7" t="str">
        <f t="shared" si="758"/>
        <v>=1.672*100000000</v>
      </c>
      <c r="F1553" s="1">
        <f>1.672*100000000</f>
        <v>167200000</v>
      </c>
      <c r="G1553" s="8">
        <f t="shared" si="760"/>
        <v>0.65873015873015872</v>
      </c>
      <c r="H1553" s="6" t="s">
        <v>6095</v>
      </c>
      <c r="I1553" s="6" t="str">
        <f t="shared" si="744"/>
        <v>=1.008*100000000</v>
      </c>
      <c r="J1553" s="1">
        <f>1.008*100000000</f>
        <v>100800000</v>
      </c>
      <c r="K1553" s="10">
        <f t="shared" si="761"/>
        <v>0.43548846482483622</v>
      </c>
      <c r="L1553" s="7" t="s">
        <v>14922</v>
      </c>
      <c r="M1553" s="6" t="str">
        <f t="shared" si="745"/>
        <v>=7022*10000</v>
      </c>
      <c r="N1553" s="1">
        <f>7022*10000</f>
        <v>70220000</v>
      </c>
      <c r="O1553" s="8">
        <f t="shared" si="762"/>
        <v>3.014865637507147</v>
      </c>
      <c r="P1553" s="7" t="s">
        <v>14923</v>
      </c>
      <c r="Q1553" s="6" t="str">
        <f t="shared" si="746"/>
        <v>=1749*10000</v>
      </c>
      <c r="R1553" s="11">
        <f>1749*10000</f>
        <v>17490000</v>
      </c>
      <c r="S1553" s="8">
        <f t="shared" si="763"/>
        <v>-0.89444779722389867</v>
      </c>
      <c r="T1553" s="6" t="s">
        <v>11538</v>
      </c>
      <c r="U1553" s="6" t="str">
        <f t="shared" si="747"/>
        <v>=1.657*100000000</v>
      </c>
      <c r="V1553" s="1">
        <f>1.657*100000000</f>
        <v>165700000</v>
      </c>
      <c r="W1553" s="8">
        <f t="shared" si="764"/>
        <v>0.59942084942084939</v>
      </c>
      <c r="X1553" s="6" t="s">
        <v>344</v>
      </c>
      <c r="Y1553" s="6" t="str">
        <f t="shared" si="748"/>
        <v>=1.036*100000000</v>
      </c>
      <c r="Z1553" s="1">
        <f>1.036*100000000</f>
        <v>103600000</v>
      </c>
      <c r="AA1553" s="8">
        <f t="shared" si="765"/>
        <v>2.9557082856051928</v>
      </c>
      <c r="AB1553" s="7" t="s">
        <v>2124</v>
      </c>
      <c r="AC1553" s="6" t="str">
        <f t="shared" si="749"/>
        <v>=2619*10000</v>
      </c>
      <c r="AD1553" s="1">
        <f>2619*10000</f>
        <v>26190000</v>
      </c>
      <c r="AE1553" s="8">
        <f t="shared" si="766"/>
        <v>-3.0413094310210442</v>
      </c>
      <c r="AF1553" s="7">
        <f>-1283*10000</f>
        <v>-12830000</v>
      </c>
      <c r="AG1553" s="6" t="str">
        <f t="shared" si="750"/>
        <v>=-12830000</v>
      </c>
      <c r="AH1553" s="1">
        <f>-12830000</f>
        <v>-12830000</v>
      </c>
      <c r="AI1553" s="8">
        <f t="shared" si="767"/>
        <v>-1.0769646070785843</v>
      </c>
      <c r="AJ1553" s="6" t="s">
        <v>1562</v>
      </c>
      <c r="AK1553" s="6" t="str">
        <f t="shared" si="751"/>
        <v>=1.667*100000000</v>
      </c>
      <c r="AL1553" s="1">
        <f>1.667*100000000</f>
        <v>166700000</v>
      </c>
      <c r="AM1553" s="8">
        <f t="shared" si="768"/>
        <v>0.27154843630816172</v>
      </c>
      <c r="AN1553" s="6" t="s">
        <v>12218</v>
      </c>
      <c r="AO1553" s="6" t="str">
        <f t="shared" si="752"/>
        <v>=1.311*100000000</v>
      </c>
      <c r="AP1553" s="1">
        <f>1.311*100000000</f>
        <v>131100000</v>
      </c>
      <c r="AQ1553" s="8">
        <f t="shared" si="769"/>
        <v>0.47204132045811814</v>
      </c>
      <c r="AR1553" s="7" t="s">
        <v>14924</v>
      </c>
      <c r="AS1553" s="6" t="str">
        <f t="shared" si="753"/>
        <v>=8906*10000</v>
      </c>
      <c r="AT1553" s="1">
        <f>8906*10000</f>
        <v>89060000</v>
      </c>
      <c r="AU1553" s="8">
        <f t="shared" si="770"/>
        <v>1.9835845896147404</v>
      </c>
      <c r="AV1553" s="7" t="s">
        <v>14925</v>
      </c>
      <c r="AW1553" s="6" t="str">
        <f t="shared" si="754"/>
        <v>=2985*10000</v>
      </c>
      <c r="AX1553" s="1">
        <f>2985*10000</f>
        <v>29850000</v>
      </c>
      <c r="AY1553" s="10">
        <f t="shared" si="771"/>
        <v>-0.78724162508909479</v>
      </c>
      <c r="AZ1553" s="6" t="s">
        <v>2447</v>
      </c>
      <c r="BA1553" s="6" t="str">
        <f t="shared" si="755"/>
        <v>=1.403*100000000</v>
      </c>
      <c r="BB1553" s="1">
        <f>1.403*100000000</f>
        <v>140300000</v>
      </c>
      <c r="BC1553" s="8">
        <f t="shared" si="772"/>
        <v>0.25942549371633733</v>
      </c>
      <c r="BD1553" s="6" t="s">
        <v>5210</v>
      </c>
      <c r="BE1553" s="6" t="str">
        <f t="shared" si="756"/>
        <v>=1.114*100000000</v>
      </c>
      <c r="BF1553" s="1">
        <f>1.114*100000000</f>
        <v>111400000.00000001</v>
      </c>
      <c r="BG1553" s="8">
        <f t="shared" si="773"/>
        <v>0.60034477804913111</v>
      </c>
      <c r="BH1553" s="7" t="s">
        <v>14926</v>
      </c>
      <c r="BI1553" s="6" t="str">
        <f t="shared" si="757"/>
        <v>=6961*10000</v>
      </c>
      <c r="BJ1553" s="1">
        <f>6961*10000</f>
        <v>69610000</v>
      </c>
      <c r="BK1553" s="7" t="s">
        <v>11772</v>
      </c>
      <c r="BL1553" s="1" t="str">
        <f t="shared" si="759"/>
        <v>=2958*10000</v>
      </c>
      <c r="BM1553" s="16">
        <f t="shared" si="774"/>
        <v>1.3532792427315754</v>
      </c>
      <c r="BN1553" s="1">
        <f>2958*10000</f>
        <v>29580000</v>
      </c>
    </row>
    <row r="1554" spans="1:66">
      <c r="A1554" s="17">
        <v>390</v>
      </c>
      <c r="B1554">
        <v>601998</v>
      </c>
      <c r="C1554" t="s">
        <v>31</v>
      </c>
      <c r="D1554" s="6" t="s">
        <v>262</v>
      </c>
      <c r="E1554" s="7" t="str">
        <f t="shared" si="758"/>
        <v>=2046*100000000</v>
      </c>
      <c r="F1554" s="1">
        <f>2046*100000000</f>
        <v>204600000000</v>
      </c>
      <c r="G1554" s="8">
        <f t="shared" si="760"/>
        <v>0.31829896907216493</v>
      </c>
      <c r="H1554" s="6" t="s">
        <v>14927</v>
      </c>
      <c r="I1554" s="6" t="str">
        <f t="shared" si="744"/>
        <v>=1552*100000000</v>
      </c>
      <c r="J1554" s="1">
        <f>1552*100000000</f>
        <v>155200000000</v>
      </c>
      <c r="K1554" s="10">
        <f t="shared" si="761"/>
        <v>0.46969696969696972</v>
      </c>
      <c r="L1554" s="6" t="s">
        <v>14928</v>
      </c>
      <c r="M1554" s="6" t="str">
        <f t="shared" si="745"/>
        <v>=1056*100000000</v>
      </c>
      <c r="N1554" s="1">
        <f>1056*100000000</f>
        <v>105600000000</v>
      </c>
      <c r="O1554" s="8">
        <f t="shared" si="762"/>
        <v>1.0342901175110768</v>
      </c>
      <c r="P1554" s="6" t="s">
        <v>406</v>
      </c>
      <c r="Q1554" s="6" t="str">
        <f t="shared" si="746"/>
        <v>=519.1*100000000</v>
      </c>
      <c r="R1554" s="11">
        <f>519.1*100000000</f>
        <v>51910000000</v>
      </c>
      <c r="S1554" s="8">
        <f t="shared" si="763"/>
        <v>-0.73338469440164356</v>
      </c>
      <c r="T1554" s="6" t="s">
        <v>14812</v>
      </c>
      <c r="U1554" s="6" t="str">
        <f t="shared" si="747"/>
        <v>=1947*100000000</v>
      </c>
      <c r="V1554" s="1">
        <f>1947*100000000</f>
        <v>194700000000</v>
      </c>
      <c r="W1554" s="8">
        <f t="shared" si="764"/>
        <v>0.30495978552278818</v>
      </c>
      <c r="X1554" s="6" t="s">
        <v>14929</v>
      </c>
      <c r="Y1554" s="6" t="str">
        <f t="shared" si="748"/>
        <v>=1492*100000000</v>
      </c>
      <c r="Z1554" s="1">
        <f>1492*100000000</f>
        <v>149200000000</v>
      </c>
      <c r="AA1554" s="8">
        <f t="shared" si="765"/>
        <v>0.46274509803921571</v>
      </c>
      <c r="AB1554" s="6" t="s">
        <v>5613</v>
      </c>
      <c r="AC1554" s="6" t="str">
        <f t="shared" si="749"/>
        <v>=1020*100000000</v>
      </c>
      <c r="AD1554" s="1">
        <f>1020*100000000</f>
        <v>102000000000</v>
      </c>
      <c r="AE1554" s="8">
        <f t="shared" si="766"/>
        <v>0.98019801980198018</v>
      </c>
      <c r="AF1554" s="6" t="s">
        <v>14930</v>
      </c>
      <c r="AG1554" s="6" t="str">
        <f t="shared" si="750"/>
        <v>=515.1*100000000</v>
      </c>
      <c r="AH1554" s="1">
        <f>515.1*100000000</f>
        <v>51510000000</v>
      </c>
      <c r="AI1554" s="8">
        <f t="shared" si="767"/>
        <v>-0.72542643923240935</v>
      </c>
      <c r="AJ1554" s="6" t="s">
        <v>14931</v>
      </c>
      <c r="AK1554" s="6" t="str">
        <f t="shared" si="751"/>
        <v>=1876*100000000</v>
      </c>
      <c r="AL1554" s="1">
        <f>1876*100000000</f>
        <v>187600000000</v>
      </c>
      <c r="AM1554" s="8">
        <f t="shared" si="768"/>
        <v>0.31741573033707865</v>
      </c>
      <c r="AN1554" s="6" t="s">
        <v>14932</v>
      </c>
      <c r="AO1554" s="6" t="str">
        <f t="shared" si="752"/>
        <v>=1424*100000000</v>
      </c>
      <c r="AP1554" s="1">
        <f>1424*100000000</f>
        <v>142400000000</v>
      </c>
      <c r="AQ1554" s="8">
        <f t="shared" si="769"/>
        <v>0.52871712292002149</v>
      </c>
      <c r="AR1554" s="6" t="s">
        <v>14933</v>
      </c>
      <c r="AS1554" s="6" t="str">
        <f t="shared" si="753"/>
        <v>=931.5*100000000</v>
      </c>
      <c r="AT1554" s="1">
        <f>931.5*100000000</f>
        <v>93150000000</v>
      </c>
      <c r="AU1554" s="8">
        <f t="shared" si="770"/>
        <v>0.96477536384728957</v>
      </c>
      <c r="AV1554" s="6" t="s">
        <v>14934</v>
      </c>
      <c r="AW1554" s="6" t="str">
        <f t="shared" si="754"/>
        <v>=474.1*100000000</v>
      </c>
      <c r="AX1554" s="1">
        <f>474.1*100000000</f>
        <v>47410000000</v>
      </c>
      <c r="AY1554" s="10">
        <f t="shared" si="771"/>
        <v>-0.7124924196482717</v>
      </c>
      <c r="AZ1554" s="6" t="s">
        <v>14935</v>
      </c>
      <c r="BA1554" s="6" t="str">
        <f t="shared" si="755"/>
        <v>=1649*100000000</v>
      </c>
      <c r="BB1554" s="1">
        <f>1649*100000000</f>
        <v>164900000000</v>
      </c>
      <c r="BC1554" s="8">
        <f t="shared" si="772"/>
        <v>0.35831960461285006</v>
      </c>
      <c r="BD1554" s="6" t="s">
        <v>14836</v>
      </c>
      <c r="BE1554" s="6" t="str">
        <f t="shared" si="756"/>
        <v>=1214*100000000</v>
      </c>
      <c r="BF1554" s="1">
        <f>1214*100000000</f>
        <v>121400000000</v>
      </c>
      <c r="BG1554" s="8">
        <f t="shared" si="773"/>
        <v>0.49784083898827886</v>
      </c>
      <c r="BH1554" s="6" t="s">
        <v>14936</v>
      </c>
      <c r="BI1554" s="6" t="str">
        <f t="shared" si="757"/>
        <v>=810.5*100000000</v>
      </c>
      <c r="BJ1554" s="1">
        <f>810.5*100000000</f>
        <v>81050000000</v>
      </c>
      <c r="BK1554" s="6" t="s">
        <v>14937</v>
      </c>
      <c r="BL1554" s="1" t="str">
        <f t="shared" si="759"/>
        <v>=396.4*100000000</v>
      </c>
      <c r="BM1554" s="16">
        <f t="shared" si="774"/>
        <v>1.0446518668012108</v>
      </c>
      <c r="BN1554" s="1">
        <f>396.4*100000000</f>
        <v>39640000000</v>
      </c>
    </row>
    <row r="1555" spans="1:66">
      <c r="A1555" s="18"/>
      <c r="B1555">
        <v>601998</v>
      </c>
      <c r="C1555" t="s">
        <v>48</v>
      </c>
      <c r="D1555" s="6" t="s">
        <v>14938</v>
      </c>
      <c r="E1555" s="7" t="str">
        <f t="shared" si="758"/>
        <v>=655.7*100000000</v>
      </c>
      <c r="F1555" s="1">
        <f>655.7*100000000</f>
        <v>65570000000.000008</v>
      </c>
      <c r="G1555" s="8">
        <f t="shared" si="760"/>
        <v>0.31852000804343472</v>
      </c>
      <c r="H1555" s="6" t="s">
        <v>14939</v>
      </c>
      <c r="I1555" s="6" t="str">
        <f t="shared" si="744"/>
        <v>=497.3*100000000</v>
      </c>
      <c r="J1555" s="1">
        <f>497.3*100000000</f>
        <v>49730000000</v>
      </c>
      <c r="K1555" s="10">
        <f t="shared" si="761"/>
        <v>0.42452019478659409</v>
      </c>
      <c r="L1555" s="6" t="s">
        <v>14940</v>
      </c>
      <c r="M1555" s="6" t="str">
        <f t="shared" si="745"/>
        <v>=349.1*100000000</v>
      </c>
      <c r="N1555" s="1">
        <f>349.1*100000000</f>
        <v>34910000000</v>
      </c>
      <c r="O1555" s="8">
        <f t="shared" si="762"/>
        <v>0.87991383952611735</v>
      </c>
      <c r="P1555" s="6" t="s">
        <v>3248</v>
      </c>
      <c r="Q1555" s="6" t="str">
        <f t="shared" si="746"/>
        <v>=185.7*100000000</v>
      </c>
      <c r="R1555" s="11">
        <f>185.7*100000000</f>
        <v>18570000000</v>
      </c>
      <c r="S1555" s="8">
        <f t="shared" si="763"/>
        <v>-0.67883085437564861</v>
      </c>
      <c r="T1555" s="6" t="s">
        <v>14941</v>
      </c>
      <c r="U1555" s="6" t="str">
        <f t="shared" si="747"/>
        <v>=578.2*100000000</v>
      </c>
      <c r="V1555" s="1">
        <f>578.2*100000000</f>
        <v>57820000000.000008</v>
      </c>
      <c r="W1555" s="8">
        <f t="shared" si="764"/>
        <v>0.31051677243880343</v>
      </c>
      <c r="X1555" s="6" t="s">
        <v>8001</v>
      </c>
      <c r="Y1555" s="6" t="str">
        <f t="shared" si="748"/>
        <v>=441.2*100000000</v>
      </c>
      <c r="Z1555" s="1">
        <f>441.2*100000000</f>
        <v>44120000000</v>
      </c>
      <c r="AA1555" s="8">
        <f t="shared" si="765"/>
        <v>0.43479674796747969</v>
      </c>
      <c r="AB1555" s="6" t="s">
        <v>14942</v>
      </c>
      <c r="AC1555" s="6" t="str">
        <f t="shared" si="749"/>
        <v>=307.5*100000000</v>
      </c>
      <c r="AD1555" s="1">
        <f>307.5*100000000</f>
        <v>30750000000</v>
      </c>
      <c r="AE1555" s="8">
        <f t="shared" si="766"/>
        <v>0.80882352941176472</v>
      </c>
      <c r="AF1555" s="6" t="s">
        <v>14943</v>
      </c>
      <c r="AG1555" s="6" t="str">
        <f t="shared" si="750"/>
        <v>=170.0*100000000</v>
      </c>
      <c r="AH1555" s="1">
        <f>170*100000000</f>
        <v>17000000000</v>
      </c>
      <c r="AI1555" s="8">
        <f t="shared" si="767"/>
        <v>-0.69916828879844273</v>
      </c>
      <c r="AJ1555" s="6" t="s">
        <v>14944</v>
      </c>
      <c r="AK1555" s="6" t="str">
        <f t="shared" si="751"/>
        <v>=565.1*100000000</v>
      </c>
      <c r="AL1555" s="1">
        <f>565.1*100000000</f>
        <v>56510000000</v>
      </c>
      <c r="AM1555" s="8">
        <f t="shared" si="768"/>
        <v>0.14671266233766234</v>
      </c>
      <c r="AN1555" s="6" t="s">
        <v>14945</v>
      </c>
      <c r="AO1555" s="6" t="str">
        <f t="shared" si="752"/>
        <v>=492.8*100000000</v>
      </c>
      <c r="AP1555" s="1">
        <f>492.8*100000000</f>
        <v>49280000000</v>
      </c>
      <c r="AQ1555" s="8">
        <f t="shared" si="769"/>
        <v>0.43130990415335463</v>
      </c>
      <c r="AR1555" s="6" t="s">
        <v>14946</v>
      </c>
      <c r="AS1555" s="6" t="str">
        <f t="shared" si="753"/>
        <v>=344.3*100000000</v>
      </c>
      <c r="AT1555" s="1">
        <f>344.3*100000000</f>
        <v>34430000000</v>
      </c>
      <c r="AU1555" s="8">
        <f t="shared" si="770"/>
        <v>1.1667715544367527</v>
      </c>
      <c r="AV1555" s="6" t="s">
        <v>7218</v>
      </c>
      <c r="AW1555" s="6" t="str">
        <f t="shared" si="754"/>
        <v>=158.9*100000000</v>
      </c>
      <c r="AX1555" s="1">
        <f>158.9*100000000</f>
        <v>15890000000</v>
      </c>
      <c r="AY1555" s="10">
        <f t="shared" si="771"/>
        <v>-0.70860077021822843</v>
      </c>
      <c r="AZ1555" s="6" t="s">
        <v>14947</v>
      </c>
      <c r="BA1555" s="6" t="str">
        <f t="shared" si="755"/>
        <v>=545.3*100000000</v>
      </c>
      <c r="BB1555" s="1">
        <f>545.3*100000000</f>
        <v>54529999999.999992</v>
      </c>
      <c r="BC1555" s="8">
        <f t="shared" si="772"/>
        <v>0.18672470076169734</v>
      </c>
      <c r="BD1555" s="6" t="s">
        <v>14948</v>
      </c>
      <c r="BE1555" s="6" t="str">
        <f t="shared" si="756"/>
        <v>=459.5*100000000</v>
      </c>
      <c r="BF1555" s="1">
        <f>459.5*100000000</f>
        <v>45950000000</v>
      </c>
      <c r="BG1555" s="8">
        <f t="shared" si="773"/>
        <v>0.41777229250231396</v>
      </c>
      <c r="BH1555" s="6" t="s">
        <v>7232</v>
      </c>
      <c r="BI1555" s="6" t="str">
        <f t="shared" si="757"/>
        <v>=324.1*100000000</v>
      </c>
      <c r="BJ1555" s="1">
        <f>324.1*100000000</f>
        <v>32410000000.000004</v>
      </c>
      <c r="BK1555" s="6" t="s">
        <v>12749</v>
      </c>
      <c r="BL1555" s="1" t="str">
        <f t="shared" si="759"/>
        <v>=157.4*100000000</v>
      </c>
      <c r="BM1555" s="16">
        <f t="shared" si="774"/>
        <v>1.0590851334180433</v>
      </c>
      <c r="BN1555" s="1">
        <f>157.4*100000000</f>
        <v>15740000000</v>
      </c>
    </row>
    <row r="1556" spans="1:66">
      <c r="A1556" s="18"/>
      <c r="B1556">
        <v>601998</v>
      </c>
      <c r="C1556" t="s">
        <v>58</v>
      </c>
      <c r="D1556" s="6" t="s">
        <v>14949</v>
      </c>
      <c r="E1556" s="7" t="str">
        <f t="shared" si="758"/>
        <v>=655.2*100000000</v>
      </c>
      <c r="F1556" s="1">
        <f>655.2*100000000</f>
        <v>65520000000.000008</v>
      </c>
      <c r="G1556" s="8">
        <f t="shared" si="760"/>
        <v>0.31672025723472685</v>
      </c>
      <c r="H1556" s="6" t="s">
        <v>14950</v>
      </c>
      <c r="I1556" s="6" t="str">
        <f t="shared" si="744"/>
        <v>=497.6*100000000</v>
      </c>
      <c r="J1556" s="1">
        <f>497.6*100000000</f>
        <v>49760000000</v>
      </c>
      <c r="K1556" s="10">
        <f t="shared" si="761"/>
        <v>0.424971363115693</v>
      </c>
      <c r="L1556" s="6" t="s">
        <v>14951</v>
      </c>
      <c r="M1556" s="6" t="str">
        <f t="shared" si="745"/>
        <v>=349.2*100000000</v>
      </c>
      <c r="N1556" s="1">
        <f>349.2*100000000</f>
        <v>34920000000</v>
      </c>
      <c r="O1556" s="8">
        <f t="shared" si="762"/>
        <v>0.87641053197205798</v>
      </c>
      <c r="P1556" s="6" t="s">
        <v>1853</v>
      </c>
      <c r="Q1556" s="6" t="str">
        <f t="shared" si="746"/>
        <v>=186.1*100000000</v>
      </c>
      <c r="R1556" s="11">
        <f>186.1*100000000</f>
        <v>18610000000</v>
      </c>
      <c r="S1556" s="8">
        <f t="shared" si="763"/>
        <v>-0.67836156239198064</v>
      </c>
      <c r="T1556" s="6" t="s">
        <v>14952</v>
      </c>
      <c r="U1556" s="6" t="str">
        <f t="shared" si="747"/>
        <v>=578.6*100000000</v>
      </c>
      <c r="V1556" s="1">
        <f>578.6*100000000</f>
        <v>57860000000</v>
      </c>
      <c r="W1556" s="8">
        <f t="shared" si="764"/>
        <v>0.3105322763306908</v>
      </c>
      <c r="X1556" s="6" t="s">
        <v>14348</v>
      </c>
      <c r="Y1556" s="6" t="str">
        <f t="shared" si="748"/>
        <v>=441.5*100000000</v>
      </c>
      <c r="Z1556" s="1">
        <f>441.5*100000000</f>
        <v>44150000000</v>
      </c>
      <c r="AA1556" s="8">
        <f t="shared" si="765"/>
        <v>0.43577235772357725</v>
      </c>
      <c r="AB1556" s="6" t="s">
        <v>14942</v>
      </c>
      <c r="AC1556" s="6" t="str">
        <f t="shared" si="749"/>
        <v>=307.5*100000000</v>
      </c>
      <c r="AD1556" s="1">
        <f>307.5*100000000</f>
        <v>30750000000</v>
      </c>
      <c r="AE1556" s="8">
        <f t="shared" si="766"/>
        <v>0.80351906158357767</v>
      </c>
      <c r="AF1556" s="6" t="s">
        <v>1850</v>
      </c>
      <c r="AG1556" s="6" t="str">
        <f t="shared" si="750"/>
        <v>=170.5*100000000</v>
      </c>
      <c r="AH1556" s="1">
        <f>170.5*100000000</f>
        <v>17050000000</v>
      </c>
      <c r="AI1556" s="8">
        <f t="shared" si="767"/>
        <v>-0.6984969053934571</v>
      </c>
      <c r="AJ1556" s="6" t="s">
        <v>14953</v>
      </c>
      <c r="AK1556" s="6" t="str">
        <f t="shared" si="751"/>
        <v>=565.5*100000000</v>
      </c>
      <c r="AL1556" s="1">
        <f>565.5*100000000</f>
        <v>56550000000</v>
      </c>
      <c r="AM1556" s="8">
        <f t="shared" si="768"/>
        <v>0.14729153986609861</v>
      </c>
      <c r="AN1556" s="6" t="s">
        <v>14954</v>
      </c>
      <c r="AO1556" s="6" t="str">
        <f t="shared" si="752"/>
        <v>=492.9*100000000</v>
      </c>
      <c r="AP1556" s="1">
        <f>492.9*100000000</f>
        <v>49290000000</v>
      </c>
      <c r="AQ1556" s="8">
        <f t="shared" si="769"/>
        <v>0.43118466898954705</v>
      </c>
      <c r="AR1556" s="6" t="s">
        <v>7976</v>
      </c>
      <c r="AS1556" s="6" t="str">
        <f t="shared" si="753"/>
        <v>=344.4*100000000</v>
      </c>
      <c r="AT1556" s="1">
        <f>344.4*100000000</f>
        <v>34440000000</v>
      </c>
      <c r="AU1556" s="8">
        <f t="shared" si="770"/>
        <v>1.170132325141777</v>
      </c>
      <c r="AV1556" s="6" t="s">
        <v>14130</v>
      </c>
      <c r="AW1556" s="6" t="str">
        <f t="shared" si="754"/>
        <v>=158.7*100000000</v>
      </c>
      <c r="AX1556" s="1">
        <f>158.7*100000000</f>
        <v>15869999999.999998</v>
      </c>
      <c r="AY1556" s="10">
        <f t="shared" si="771"/>
        <v>-0.70789618995030368</v>
      </c>
      <c r="AZ1556" s="6" t="s">
        <v>14955</v>
      </c>
      <c r="BA1556" s="6" t="str">
        <f t="shared" si="755"/>
        <v>=543.3*100000000</v>
      </c>
      <c r="BB1556" s="1">
        <f>543.3*100000000</f>
        <v>54329999999.999992</v>
      </c>
      <c r="BC1556" s="8">
        <f t="shared" si="772"/>
        <v>0.18057366362451091</v>
      </c>
      <c r="BD1556" s="6" t="s">
        <v>14956</v>
      </c>
      <c r="BE1556" s="6" t="str">
        <f t="shared" si="756"/>
        <v>=460.2*100000000</v>
      </c>
      <c r="BF1556" s="1">
        <f>460.2*100000000</f>
        <v>46020000000</v>
      </c>
      <c r="BG1556" s="8">
        <f t="shared" si="773"/>
        <v>0.41861898890258958</v>
      </c>
      <c r="BH1556" s="6" t="s">
        <v>14957</v>
      </c>
      <c r="BI1556" s="6" t="str">
        <f t="shared" si="757"/>
        <v>=324.4*100000000</v>
      </c>
      <c r="BJ1556" s="1">
        <f>324.4*100000000</f>
        <v>32439999999.999996</v>
      </c>
      <c r="BK1556" s="6" t="s">
        <v>14958</v>
      </c>
      <c r="BL1556" s="1" t="str">
        <f t="shared" si="759"/>
        <v>=157.5*100000000</v>
      </c>
      <c r="BM1556" s="16">
        <f t="shared" si="774"/>
        <v>1.0596825396825393</v>
      </c>
      <c r="BN1556" s="1">
        <f>157.5*100000000</f>
        <v>15750000000</v>
      </c>
    </row>
    <row r="1557" spans="1:66">
      <c r="A1557" s="19"/>
      <c r="B1557">
        <v>601998</v>
      </c>
      <c r="C1557" t="s">
        <v>68</v>
      </c>
      <c r="D1557" s="6" t="s">
        <v>14959</v>
      </c>
      <c r="E1557" s="7" t="str">
        <f t="shared" si="758"/>
        <v>=563.8*100000000</v>
      </c>
      <c r="F1557" s="1">
        <f>563.8*100000000</f>
        <v>56379999999.999992</v>
      </c>
      <c r="G1557" s="8">
        <f t="shared" si="760"/>
        <v>0.33097261567516506</v>
      </c>
      <c r="H1557" s="6" t="s">
        <v>14960</v>
      </c>
      <c r="I1557" s="6" t="str">
        <f t="shared" si="744"/>
        <v>=423.6*100000000</v>
      </c>
      <c r="J1557" s="1">
        <f>423.6*100000000</f>
        <v>42360000000</v>
      </c>
      <c r="K1557" s="10">
        <f t="shared" si="761"/>
        <v>0.43690637720488468</v>
      </c>
      <c r="L1557" s="6" t="s">
        <v>1845</v>
      </c>
      <c r="M1557" s="6" t="str">
        <f t="shared" si="745"/>
        <v>=294.8*100000000</v>
      </c>
      <c r="N1557" s="1">
        <f>294.8*100000000</f>
        <v>29480000000</v>
      </c>
      <c r="O1557" s="8">
        <f t="shared" si="762"/>
        <v>0.86228679722046719</v>
      </c>
      <c r="P1557" s="6" t="s">
        <v>8143</v>
      </c>
      <c r="Q1557" s="6" t="str">
        <f t="shared" si="746"/>
        <v>=158.3*100000000</v>
      </c>
      <c r="R1557" s="11">
        <f>158.3*100000000</f>
        <v>15830000000.000002</v>
      </c>
      <c r="S1557" s="8">
        <f t="shared" si="763"/>
        <v>-0.68039571976579849</v>
      </c>
      <c r="T1557" s="6" t="s">
        <v>14961</v>
      </c>
      <c r="U1557" s="6" t="str">
        <f t="shared" si="747"/>
        <v>=495.3*100000000</v>
      </c>
      <c r="V1557" s="1">
        <f>495.3*100000000</f>
        <v>49530000000</v>
      </c>
      <c r="W1557" s="8">
        <f t="shared" si="764"/>
        <v>0.32574946466809424</v>
      </c>
      <c r="X1557" s="6" t="s">
        <v>14962</v>
      </c>
      <c r="Y1557" s="6" t="str">
        <f t="shared" si="748"/>
        <v>=373.6*100000000</v>
      </c>
      <c r="Z1557" s="1">
        <f>373.6*100000000</f>
        <v>37360000000</v>
      </c>
      <c r="AA1557" s="8">
        <f t="shared" si="765"/>
        <v>0.43913713405238808</v>
      </c>
      <c r="AB1557" s="6" t="s">
        <v>14589</v>
      </c>
      <c r="AC1557" s="6" t="str">
        <f t="shared" si="749"/>
        <v>=259.6*100000000</v>
      </c>
      <c r="AD1557" s="1">
        <f>259.6*100000000</f>
        <v>25960000000.000004</v>
      </c>
      <c r="AE1557" s="8">
        <f t="shared" si="766"/>
        <v>0.78296703296703318</v>
      </c>
      <c r="AF1557" s="6" t="s">
        <v>13500</v>
      </c>
      <c r="AG1557" s="6" t="str">
        <f t="shared" si="750"/>
        <v>=145.6*100000000</v>
      </c>
      <c r="AH1557" s="1">
        <f>145.6*100000000</f>
        <v>14560000000</v>
      </c>
      <c r="AI1557" s="8">
        <f t="shared" si="767"/>
        <v>-0.70279648907940395</v>
      </c>
      <c r="AJ1557" s="6" t="s">
        <v>14963</v>
      </c>
      <c r="AK1557" s="6" t="str">
        <f t="shared" si="751"/>
        <v>=489.9*100000000</v>
      </c>
      <c r="AL1557" s="1">
        <f>489.9*100000000</f>
        <v>48990000000</v>
      </c>
      <c r="AM1557" s="8">
        <f t="shared" si="768"/>
        <v>0.17934520943668752</v>
      </c>
      <c r="AN1557" s="6" t="s">
        <v>690</v>
      </c>
      <c r="AO1557" s="6" t="str">
        <f t="shared" si="752"/>
        <v>=415.4*100000000</v>
      </c>
      <c r="AP1557" s="1">
        <f>415.4*100000000</f>
        <v>41540000000</v>
      </c>
      <c r="AQ1557" s="8">
        <f t="shared" si="769"/>
        <v>0.44036061026352308</v>
      </c>
      <c r="AR1557" s="6" t="s">
        <v>14964</v>
      </c>
      <c r="AS1557" s="6" t="str">
        <f t="shared" si="753"/>
        <v>=288.4*100000000</v>
      </c>
      <c r="AT1557" s="1">
        <f>288.4*100000000</f>
        <v>28839999999.999996</v>
      </c>
      <c r="AU1557" s="8">
        <f t="shared" si="770"/>
        <v>1.1522388059701489</v>
      </c>
      <c r="AV1557" s="6" t="s">
        <v>2248</v>
      </c>
      <c r="AW1557" s="6" t="str">
        <f t="shared" si="754"/>
        <v>=134.0*100000000</v>
      </c>
      <c r="AX1557" s="1">
        <f>134*100000000</f>
        <v>13400000000</v>
      </c>
      <c r="AY1557" s="10">
        <f t="shared" si="771"/>
        <v>-0.70471573380343766</v>
      </c>
      <c r="AZ1557" s="6" t="s">
        <v>14965</v>
      </c>
      <c r="BA1557" s="6" t="str">
        <f t="shared" si="755"/>
        <v>=453.8*100000000</v>
      </c>
      <c r="BB1557" s="1">
        <f>453.8*100000000</f>
        <v>45380000000</v>
      </c>
      <c r="BC1557" s="8">
        <f t="shared" si="772"/>
        <v>0.21110221510541766</v>
      </c>
      <c r="BD1557" s="6" t="s">
        <v>12632</v>
      </c>
      <c r="BE1557" s="6" t="str">
        <f t="shared" si="756"/>
        <v>=374.7*100000000</v>
      </c>
      <c r="BF1557" s="1">
        <f>374.7*100000000</f>
        <v>37470000000</v>
      </c>
      <c r="BG1557" s="8">
        <f t="shared" si="773"/>
        <v>0.43124522536287241</v>
      </c>
      <c r="BH1557" s="6" t="s">
        <v>14966</v>
      </c>
      <c r="BI1557" s="6" t="str">
        <f t="shared" si="757"/>
        <v>=261.8*100000000</v>
      </c>
      <c r="BJ1557" s="1">
        <f>261.8*100000000</f>
        <v>26180000000</v>
      </c>
      <c r="BK1557" s="6" t="s">
        <v>14967</v>
      </c>
      <c r="BL1557" s="1" t="str">
        <f t="shared" si="759"/>
        <v>=124.3*100000000</v>
      </c>
      <c r="BM1557" s="16">
        <f t="shared" si="774"/>
        <v>1.1061946902654867</v>
      </c>
      <c r="BN1557" s="1">
        <f>124.3*100000000</f>
        <v>12430000000</v>
      </c>
    </row>
    <row r="1558" spans="1:66">
      <c r="A1558" s="17">
        <v>391</v>
      </c>
      <c r="B1558">
        <v>603005</v>
      </c>
      <c r="C1558" t="s">
        <v>31</v>
      </c>
      <c r="D1558" s="6" t="s">
        <v>2428</v>
      </c>
      <c r="E1558" s="7" t="str">
        <f t="shared" si="758"/>
        <v>=14.11*100000000</v>
      </c>
      <c r="F1558" s="1">
        <f>14.11*100000000</f>
        <v>1411000000</v>
      </c>
      <c r="G1558" s="8">
        <f t="shared" si="760"/>
        <v>0.30648148148148147</v>
      </c>
      <c r="H1558" s="6" t="s">
        <v>2676</v>
      </c>
      <c r="I1558" s="6" t="str">
        <f t="shared" si="744"/>
        <v>=10.80*100000000</v>
      </c>
      <c r="J1558" s="1">
        <f>10.8*100000000</f>
        <v>1080000000</v>
      </c>
      <c r="K1558" s="10">
        <f t="shared" si="761"/>
        <v>0.5552995391705069</v>
      </c>
      <c r="L1558" s="6" t="s">
        <v>14968</v>
      </c>
      <c r="M1558" s="6" t="str">
        <f t="shared" si="745"/>
        <v>=6.944*100000000</v>
      </c>
      <c r="N1558" s="1">
        <f>6.944*100000000</f>
        <v>694400000</v>
      </c>
      <c r="O1558" s="8">
        <f t="shared" si="762"/>
        <v>1.1112800243235026</v>
      </c>
      <c r="P1558" s="6" t="s">
        <v>14161</v>
      </c>
      <c r="Q1558" s="6" t="str">
        <f t="shared" si="746"/>
        <v>=3.289*100000000</v>
      </c>
      <c r="R1558" s="11">
        <f>3.289*100000000</f>
        <v>328900000</v>
      </c>
      <c r="S1558" s="8">
        <f t="shared" si="763"/>
        <v>-0.70208333333333328</v>
      </c>
      <c r="T1558" s="6" t="s">
        <v>4258</v>
      </c>
      <c r="U1558" s="6" t="str">
        <f t="shared" si="747"/>
        <v>=11.04*100000000</v>
      </c>
      <c r="V1558" s="1">
        <f>11.04*100000000</f>
        <v>1104000000</v>
      </c>
      <c r="W1558" s="8">
        <f t="shared" si="764"/>
        <v>0.44464799790630727</v>
      </c>
      <c r="X1558" s="6" t="s">
        <v>14969</v>
      </c>
      <c r="Y1558" s="6" t="str">
        <f t="shared" si="748"/>
        <v>=7.642*100000000</v>
      </c>
      <c r="Z1558" s="1">
        <f>7.642*100000000</f>
        <v>764200000</v>
      </c>
      <c r="AA1558" s="8">
        <f t="shared" si="765"/>
        <v>0.67956043956043954</v>
      </c>
      <c r="AB1558" s="6" t="s">
        <v>6191</v>
      </c>
      <c r="AC1558" s="6" t="str">
        <f t="shared" si="749"/>
        <v>=4.550*100000000</v>
      </c>
      <c r="AD1558" s="1">
        <f>4.55*100000000</f>
        <v>455000000</v>
      </c>
      <c r="AE1558" s="8">
        <f t="shared" si="766"/>
        <v>1.3859465128474042</v>
      </c>
      <c r="AF1558" s="6" t="s">
        <v>6574</v>
      </c>
      <c r="AG1558" s="6" t="str">
        <f t="shared" si="750"/>
        <v>=1.907*100000000</v>
      </c>
      <c r="AH1558" s="1">
        <f>1.907*100000000</f>
        <v>190700000</v>
      </c>
      <c r="AI1558" s="8">
        <f t="shared" si="767"/>
        <v>-0.65970735189150609</v>
      </c>
      <c r="AJ1558" s="6" t="s">
        <v>1411</v>
      </c>
      <c r="AK1558" s="6" t="str">
        <f t="shared" si="751"/>
        <v>=5.604*100000000</v>
      </c>
      <c r="AL1558" s="1">
        <f>5.604*100000000</f>
        <v>560400000</v>
      </c>
      <c r="AM1558" s="8">
        <f t="shared" si="768"/>
        <v>0.64195722238499853</v>
      </c>
      <c r="AN1558" s="6" t="s">
        <v>8307</v>
      </c>
      <c r="AO1558" s="6" t="str">
        <f t="shared" si="752"/>
        <v>=3.413*100000000</v>
      </c>
      <c r="AP1558" s="1">
        <f>3.413*100000000</f>
        <v>341300000</v>
      </c>
      <c r="AQ1558" s="8">
        <f t="shared" si="769"/>
        <v>0.70224438902743147</v>
      </c>
      <c r="AR1558" s="6" t="s">
        <v>6499</v>
      </c>
      <c r="AS1558" s="6" t="str">
        <f t="shared" si="753"/>
        <v>=2.005*100000000</v>
      </c>
      <c r="AT1558" s="1">
        <f>2.005*100000000</f>
        <v>200500000</v>
      </c>
      <c r="AU1558" s="8">
        <f t="shared" si="770"/>
        <v>1.3552214260542699</v>
      </c>
      <c r="AV1558" s="7" t="s">
        <v>14970</v>
      </c>
      <c r="AW1558" s="6" t="str">
        <f t="shared" si="754"/>
        <v>=8513*10000</v>
      </c>
      <c r="AX1558" s="1">
        <f>8513*10000</f>
        <v>85130000</v>
      </c>
      <c r="AY1558" s="10">
        <f t="shared" si="771"/>
        <v>-0.84964676792652771</v>
      </c>
      <c r="AZ1558" s="6" t="s">
        <v>14971</v>
      </c>
      <c r="BA1558" s="6" t="str">
        <f t="shared" si="755"/>
        <v>=5.662*100000000</v>
      </c>
      <c r="BB1558" s="1">
        <f>5.662*100000000</f>
        <v>566200000</v>
      </c>
      <c r="BC1558" s="8">
        <f t="shared" si="772"/>
        <v>0.33098260460742851</v>
      </c>
      <c r="BD1558" s="6" t="s">
        <v>14972</v>
      </c>
      <c r="BE1558" s="6" t="str">
        <f t="shared" si="756"/>
        <v>=4.254*100000000</v>
      </c>
      <c r="BF1558" s="1">
        <f>4.254*100000000</f>
        <v>425399999.99999994</v>
      </c>
      <c r="BG1558" s="8">
        <f t="shared" si="773"/>
        <v>0.52966558791801488</v>
      </c>
      <c r="BH1558" s="6" t="s">
        <v>6431</v>
      </c>
      <c r="BI1558" s="6" t="str">
        <f t="shared" si="757"/>
        <v>=2.781*100000000</v>
      </c>
      <c r="BJ1558" s="1">
        <f>2.781*100000000</f>
        <v>278100000</v>
      </c>
      <c r="BK1558" s="6" t="s">
        <v>2855</v>
      </c>
      <c r="BL1558" s="1" t="str">
        <f t="shared" si="759"/>
        <v>=1.413*100000000</v>
      </c>
      <c r="BM1558" s="16">
        <f t="shared" si="774"/>
        <v>0.96815286624203822</v>
      </c>
      <c r="BN1558" s="1">
        <f>1.413*100000000</f>
        <v>141300000</v>
      </c>
    </row>
    <row r="1559" spans="1:66">
      <c r="A1559" s="18"/>
      <c r="B1559">
        <v>603005</v>
      </c>
      <c r="C1559" t="s">
        <v>48</v>
      </c>
      <c r="D1559" s="6" t="s">
        <v>14973</v>
      </c>
      <c r="E1559" s="7" t="str">
        <f t="shared" si="758"/>
        <v>=6.391*100000000</v>
      </c>
      <c r="F1559" s="1">
        <f>6.391*100000000</f>
        <v>639100000</v>
      </c>
      <c r="G1559" s="8">
        <f t="shared" si="760"/>
        <v>0.36239607759539544</v>
      </c>
      <c r="H1559" s="6" t="s">
        <v>2335</v>
      </c>
      <c r="I1559" s="6" t="str">
        <f t="shared" si="744"/>
        <v>=4.691*100000000</v>
      </c>
      <c r="J1559" s="1">
        <f>4.691*100000000</f>
        <v>469100000</v>
      </c>
      <c r="K1559" s="10">
        <f t="shared" si="761"/>
        <v>0.5195983155166829</v>
      </c>
      <c r="L1559" s="6" t="s">
        <v>3124</v>
      </c>
      <c r="M1559" s="6" t="str">
        <f t="shared" si="745"/>
        <v>=3.087*100000000</v>
      </c>
      <c r="N1559" s="1">
        <f>3.087*100000000</f>
        <v>308700000</v>
      </c>
      <c r="O1559" s="8">
        <f t="shared" si="762"/>
        <v>1.1028610354223434</v>
      </c>
      <c r="P1559" s="6" t="s">
        <v>5209</v>
      </c>
      <c r="Q1559" s="6" t="str">
        <f t="shared" si="746"/>
        <v>=1.468*100000000</v>
      </c>
      <c r="R1559" s="11">
        <f>1.468*100000000</f>
        <v>146800000</v>
      </c>
      <c r="S1559" s="8">
        <f t="shared" si="763"/>
        <v>-0.66089166089166085</v>
      </c>
      <c r="T1559" s="6" t="s">
        <v>13420</v>
      </c>
      <c r="U1559" s="6" t="str">
        <f t="shared" si="747"/>
        <v>=4.329*100000000</v>
      </c>
      <c r="V1559" s="1">
        <f>4.329*100000000</f>
        <v>432900000</v>
      </c>
      <c r="W1559" s="8">
        <f t="shared" si="764"/>
        <v>0.42588932806324109</v>
      </c>
      <c r="X1559" s="6" t="s">
        <v>10184</v>
      </c>
      <c r="Y1559" s="6" t="str">
        <f t="shared" si="748"/>
        <v>=3.036*100000000</v>
      </c>
      <c r="Z1559" s="1">
        <f>3.036*100000000</f>
        <v>303600000</v>
      </c>
      <c r="AA1559" s="8">
        <f t="shared" si="765"/>
        <v>0.726962457337884</v>
      </c>
      <c r="AB1559" s="6" t="s">
        <v>6293</v>
      </c>
      <c r="AC1559" s="6" t="str">
        <f t="shared" si="749"/>
        <v>=1.758*100000000</v>
      </c>
      <c r="AD1559" s="1">
        <f>1.758*100000000</f>
        <v>175800000</v>
      </c>
      <c r="AE1559" s="8">
        <f t="shared" si="766"/>
        <v>1.5415642619632788</v>
      </c>
      <c r="AF1559" s="7" t="s">
        <v>2168</v>
      </c>
      <c r="AG1559" s="6" t="str">
        <f t="shared" si="750"/>
        <v>=6917*10000</v>
      </c>
      <c r="AH1559" s="1">
        <f>6917*10000</f>
        <v>69170000</v>
      </c>
      <c r="AI1559" s="8">
        <f t="shared" si="767"/>
        <v>-0.38515555555555553</v>
      </c>
      <c r="AJ1559" s="6" t="s">
        <v>4588</v>
      </c>
      <c r="AK1559" s="6" t="str">
        <f t="shared" si="751"/>
        <v>=1.125*100000000</v>
      </c>
      <c r="AL1559" s="1">
        <f>1.125*100000000</f>
        <v>112500000</v>
      </c>
      <c r="AM1559" s="8">
        <f t="shared" si="768"/>
        <v>0.82097766267400452</v>
      </c>
      <c r="AN1559" s="7" t="s">
        <v>11196</v>
      </c>
      <c r="AO1559" s="6" t="str">
        <f t="shared" si="752"/>
        <v>=6178*10000</v>
      </c>
      <c r="AP1559" s="1">
        <f>6178*10000</f>
        <v>61780000</v>
      </c>
      <c r="AQ1559" s="8">
        <f t="shared" si="769"/>
        <v>1.4457640538400633</v>
      </c>
      <c r="AR1559" s="7" t="s">
        <v>9434</v>
      </c>
      <c r="AS1559" s="6" t="str">
        <f t="shared" si="753"/>
        <v>=2526*10000</v>
      </c>
      <c r="AT1559" s="1">
        <f>2526*10000</f>
        <v>25260000</v>
      </c>
      <c r="AU1559" s="8">
        <f t="shared" si="770"/>
        <v>5.5491314493129371</v>
      </c>
      <c r="AV1559" s="7" t="s">
        <v>14974</v>
      </c>
      <c r="AW1559" s="6" t="str">
        <f t="shared" si="754"/>
        <v>=385.7*10000</v>
      </c>
      <c r="AX1559" s="1">
        <f>385.7*10000</f>
        <v>3857000</v>
      </c>
      <c r="AY1559" s="10">
        <f t="shared" si="771"/>
        <v>-0.95607061503416857</v>
      </c>
      <c r="AZ1559" s="7" t="s">
        <v>14975</v>
      </c>
      <c r="BA1559" s="6" t="str">
        <f t="shared" si="755"/>
        <v>=8780*10000</v>
      </c>
      <c r="BB1559" s="1">
        <f>8780*10000</f>
        <v>87800000</v>
      </c>
      <c r="BC1559" s="8">
        <f t="shared" si="772"/>
        <v>1.5876805187150014</v>
      </c>
      <c r="BD1559" s="7" t="s">
        <v>14976</v>
      </c>
      <c r="BE1559" s="6" t="str">
        <f t="shared" si="756"/>
        <v>=3393*10000</v>
      </c>
      <c r="BF1559" s="1">
        <f>3393*10000</f>
        <v>33930000</v>
      </c>
      <c r="BG1559" s="8">
        <f t="shared" si="773"/>
        <v>0.2622767857142857</v>
      </c>
      <c r="BH1559" s="7" t="s">
        <v>14977</v>
      </c>
      <c r="BI1559" s="6" t="str">
        <f t="shared" si="757"/>
        <v>=2688*10000</v>
      </c>
      <c r="BJ1559" s="1">
        <f>2688*10000</f>
        <v>26880000</v>
      </c>
      <c r="BK1559" s="7" t="s">
        <v>13780</v>
      </c>
      <c r="BL1559" s="1" t="str">
        <f t="shared" si="759"/>
        <v>=1244*10000</v>
      </c>
      <c r="BM1559" s="16">
        <f t="shared" si="774"/>
        <v>1.1607717041800643</v>
      </c>
      <c r="BN1559" s="1">
        <f>1244*10000</f>
        <v>12440000</v>
      </c>
    </row>
    <row r="1560" spans="1:66">
      <c r="A1560" s="18"/>
      <c r="B1560">
        <v>603005</v>
      </c>
      <c r="C1560" t="s">
        <v>58</v>
      </c>
      <c r="D1560" s="6" t="s">
        <v>14978</v>
      </c>
      <c r="E1560" s="7" t="str">
        <f t="shared" si="758"/>
        <v>=6.388*100000000</v>
      </c>
      <c r="F1560" s="1">
        <f>6.388*100000000</f>
        <v>638800000</v>
      </c>
      <c r="G1560" s="8">
        <f t="shared" si="760"/>
        <v>0.36175655510552124</v>
      </c>
      <c r="H1560" s="6" t="s">
        <v>2335</v>
      </c>
      <c r="I1560" s="6" t="str">
        <f t="shared" si="744"/>
        <v>=4.691*100000000</v>
      </c>
      <c r="J1560" s="1">
        <f>4.691*100000000</f>
        <v>469100000</v>
      </c>
      <c r="K1560" s="10">
        <f t="shared" si="761"/>
        <v>0.5195983155166829</v>
      </c>
      <c r="L1560" s="6" t="s">
        <v>3124</v>
      </c>
      <c r="M1560" s="6" t="str">
        <f t="shared" si="745"/>
        <v>=3.087*100000000</v>
      </c>
      <c r="N1560" s="1">
        <f>3.087*100000000</f>
        <v>308700000</v>
      </c>
      <c r="O1560" s="8">
        <f t="shared" si="762"/>
        <v>1.1028610354223434</v>
      </c>
      <c r="P1560" s="6" t="s">
        <v>5209</v>
      </c>
      <c r="Q1560" s="6" t="str">
        <f t="shared" si="746"/>
        <v>=1.468*100000000</v>
      </c>
      <c r="R1560" s="11">
        <f>1.468*100000000</f>
        <v>146800000</v>
      </c>
      <c r="S1560" s="8">
        <f t="shared" si="763"/>
        <v>-0.66081330868761556</v>
      </c>
      <c r="T1560" s="6" t="s">
        <v>10183</v>
      </c>
      <c r="U1560" s="6" t="str">
        <f t="shared" si="747"/>
        <v>=4.328*100000000</v>
      </c>
      <c r="V1560" s="1">
        <f>4.328*100000000</f>
        <v>432800000</v>
      </c>
      <c r="W1560" s="8">
        <f t="shared" si="764"/>
        <v>0.42602965403624382</v>
      </c>
      <c r="X1560" s="6" t="s">
        <v>10013</v>
      </c>
      <c r="Y1560" s="6" t="str">
        <f t="shared" si="748"/>
        <v>=3.035*100000000</v>
      </c>
      <c r="Z1560" s="1">
        <f>3.035*100000000</f>
        <v>303500000</v>
      </c>
      <c r="AA1560" s="8">
        <f t="shared" si="765"/>
        <v>0.72737620944792258</v>
      </c>
      <c r="AB1560" s="6" t="s">
        <v>14979</v>
      </c>
      <c r="AC1560" s="6" t="str">
        <f t="shared" si="749"/>
        <v>=1.757*100000000</v>
      </c>
      <c r="AD1560" s="1">
        <f>1.757*100000000</f>
        <v>175700000</v>
      </c>
      <c r="AE1560" s="8">
        <f t="shared" si="766"/>
        <v>1.5434279096699479</v>
      </c>
      <c r="AF1560" s="7" t="s">
        <v>14980</v>
      </c>
      <c r="AG1560" s="6" t="str">
        <f t="shared" si="750"/>
        <v>=6908*10000</v>
      </c>
      <c r="AH1560" s="1">
        <f>6908*10000</f>
        <v>69080000</v>
      </c>
      <c r="AI1560" s="8">
        <f t="shared" si="767"/>
        <v>-0.38540925266903925</v>
      </c>
      <c r="AJ1560" s="6" t="s">
        <v>6891</v>
      </c>
      <c r="AK1560" s="6" t="str">
        <f t="shared" si="751"/>
        <v>=1.124*100000000</v>
      </c>
      <c r="AL1560" s="1">
        <f>1.124*100000000</f>
        <v>112400000.00000001</v>
      </c>
      <c r="AM1560" s="8">
        <f t="shared" si="768"/>
        <v>0.82083265835088315</v>
      </c>
      <c r="AN1560" s="7" t="s">
        <v>14981</v>
      </c>
      <c r="AO1560" s="6" t="str">
        <f t="shared" si="752"/>
        <v>=6173*10000</v>
      </c>
      <c r="AP1560" s="1">
        <f>6173*10000</f>
        <v>61730000</v>
      </c>
      <c r="AQ1560" s="8">
        <f t="shared" si="769"/>
        <v>1.443784639746635</v>
      </c>
      <c r="AR1560" s="7" t="s">
        <v>9434</v>
      </c>
      <c r="AS1560" s="6" t="str">
        <f t="shared" si="753"/>
        <v>=2526*10000</v>
      </c>
      <c r="AT1560" s="1">
        <f>2526*10000</f>
        <v>25260000</v>
      </c>
      <c r="AU1560" s="8">
        <f t="shared" si="770"/>
        <v>5.5491314493129371</v>
      </c>
      <c r="AV1560" s="7" t="s">
        <v>14974</v>
      </c>
      <c r="AW1560" s="6" t="str">
        <f t="shared" si="754"/>
        <v>=385.7*10000</v>
      </c>
      <c r="AX1560" s="1">
        <f>385.7*10000</f>
        <v>3857000</v>
      </c>
      <c r="AY1560" s="10">
        <f t="shared" si="771"/>
        <v>-0.95178147268408553</v>
      </c>
      <c r="AZ1560" s="7" t="s">
        <v>14982</v>
      </c>
      <c r="BA1560" s="6" t="str">
        <f t="shared" si="755"/>
        <v>=7999*10000</v>
      </c>
      <c r="BB1560" s="1">
        <f>7999*10000</f>
        <v>79990000</v>
      </c>
      <c r="BC1560" s="8">
        <f t="shared" si="772"/>
        <v>1.3575007368110816</v>
      </c>
      <c r="BD1560" s="7" t="s">
        <v>14976</v>
      </c>
      <c r="BE1560" s="6" t="str">
        <f t="shared" si="756"/>
        <v>=3393*10000</v>
      </c>
      <c r="BF1560" s="1">
        <f>3393*10000</f>
        <v>33930000</v>
      </c>
      <c r="BG1560" s="8">
        <f t="shared" si="773"/>
        <v>0.26368715083798883</v>
      </c>
      <c r="BH1560" s="7" t="s">
        <v>14983</v>
      </c>
      <c r="BI1560" s="6" t="str">
        <f t="shared" si="757"/>
        <v>=2685*10000</v>
      </c>
      <c r="BJ1560" s="1">
        <f>2685*10000</f>
        <v>26850000</v>
      </c>
      <c r="BK1560" s="7" t="s">
        <v>13780</v>
      </c>
      <c r="BL1560" s="1" t="str">
        <f t="shared" si="759"/>
        <v>=1244*10000</v>
      </c>
      <c r="BM1560" s="16">
        <f t="shared" si="774"/>
        <v>1.1583601286173633</v>
      </c>
      <c r="BN1560" s="1">
        <f>1244*10000</f>
        <v>12440000</v>
      </c>
    </row>
    <row r="1561" spans="1:66">
      <c r="A1561" s="19"/>
      <c r="B1561">
        <v>603005</v>
      </c>
      <c r="C1561" t="s">
        <v>68</v>
      </c>
      <c r="D1561" s="6" t="s">
        <v>14984</v>
      </c>
      <c r="E1561" s="7" t="str">
        <f t="shared" si="758"/>
        <v>=5.787*100000000</v>
      </c>
      <c r="F1561" s="1">
        <f>5.787*100000000</f>
        <v>578700000</v>
      </c>
      <c r="G1561" s="8">
        <f t="shared" si="760"/>
        <v>0.39110576923076923</v>
      </c>
      <c r="H1561" s="6" t="s">
        <v>14985</v>
      </c>
      <c r="I1561" s="6" t="str">
        <f t="shared" si="744"/>
        <v>=4.160*100000000</v>
      </c>
      <c r="J1561" s="1">
        <f>4.16*100000000</f>
        <v>416000000</v>
      </c>
      <c r="K1561" s="10">
        <f t="shared" si="761"/>
        <v>0.54704351059873557</v>
      </c>
      <c r="L1561" s="6" t="s">
        <v>169</v>
      </c>
      <c r="M1561" s="6" t="str">
        <f t="shared" si="745"/>
        <v>=2.689*100000000</v>
      </c>
      <c r="N1561" s="1">
        <f>2.689*100000000</f>
        <v>268900000</v>
      </c>
      <c r="O1561" s="8">
        <f t="shared" si="762"/>
        <v>1.1073667711598747</v>
      </c>
      <c r="P1561" s="6" t="s">
        <v>8712</v>
      </c>
      <c r="Q1561" s="6" t="str">
        <f t="shared" si="746"/>
        <v>=1.276*100000000</v>
      </c>
      <c r="R1561" s="11">
        <f>1.276*100000000</f>
        <v>127600000</v>
      </c>
      <c r="S1561" s="8">
        <f t="shared" si="763"/>
        <v>-0.66561844863731656</v>
      </c>
      <c r="T1561" s="6" t="s">
        <v>14986</v>
      </c>
      <c r="U1561" s="6" t="str">
        <f t="shared" si="747"/>
        <v>=3.816*100000000</v>
      </c>
      <c r="V1561" s="1">
        <f>3.816*100000000</f>
        <v>381600000</v>
      </c>
      <c r="W1561" s="8">
        <f t="shared" si="764"/>
        <v>0.42334949645654607</v>
      </c>
      <c r="X1561" s="6" t="s">
        <v>9208</v>
      </c>
      <c r="Y1561" s="6" t="str">
        <f t="shared" si="748"/>
        <v>=2.681*100000000</v>
      </c>
      <c r="Z1561" s="1">
        <f>2.681*100000000</f>
        <v>268100000</v>
      </c>
      <c r="AA1561" s="8">
        <f t="shared" si="765"/>
        <v>0.71748878923766812</v>
      </c>
      <c r="AB1561" s="6" t="s">
        <v>14987</v>
      </c>
      <c r="AC1561" s="6" t="str">
        <f t="shared" si="749"/>
        <v>=1.561*100000000</v>
      </c>
      <c r="AD1561" s="1">
        <f>1.561*100000000</f>
        <v>156100000</v>
      </c>
      <c r="AE1561" s="8">
        <f t="shared" si="766"/>
        <v>1.5132828852036708</v>
      </c>
      <c r="AF1561" s="7" t="s">
        <v>14988</v>
      </c>
      <c r="AG1561" s="6" t="str">
        <f t="shared" si="750"/>
        <v>=6211*10000</v>
      </c>
      <c r="AH1561" s="1">
        <f>6211*10000</f>
        <v>62110000</v>
      </c>
      <c r="AI1561" s="8">
        <f t="shared" si="767"/>
        <v>-0.42650046168051708</v>
      </c>
      <c r="AJ1561" s="6" t="s">
        <v>253</v>
      </c>
      <c r="AK1561" s="6" t="str">
        <f t="shared" si="751"/>
        <v>=1.083*100000000</v>
      </c>
      <c r="AL1561" s="1">
        <f>1.083*100000000</f>
        <v>108300000</v>
      </c>
      <c r="AM1561" s="8">
        <f t="shared" si="768"/>
        <v>1.0859013867488443</v>
      </c>
      <c r="AN1561" s="7" t="s">
        <v>14989</v>
      </c>
      <c r="AO1561" s="6" t="str">
        <f t="shared" si="752"/>
        <v>=5192*10000</v>
      </c>
      <c r="AP1561" s="1">
        <f>5192*10000</f>
        <v>51920000</v>
      </c>
      <c r="AQ1561" s="8">
        <f t="shared" si="769"/>
        <v>1.4081632653061225</v>
      </c>
      <c r="AR1561" s="7" t="s">
        <v>14990</v>
      </c>
      <c r="AS1561" s="6" t="str">
        <f t="shared" si="753"/>
        <v>=2156*10000</v>
      </c>
      <c r="AT1561" s="1">
        <f>2156*10000</f>
        <v>21560000</v>
      </c>
      <c r="AU1561" s="8">
        <f t="shared" si="770"/>
        <v>5.4339003282602212</v>
      </c>
      <c r="AV1561" s="7" t="s">
        <v>14991</v>
      </c>
      <c r="AW1561" s="6" t="str">
        <f t="shared" si="754"/>
        <v>=335.1*10000</v>
      </c>
      <c r="AX1561" s="1">
        <f>335.1*10000</f>
        <v>3351000</v>
      </c>
      <c r="AY1561" s="10">
        <f t="shared" si="771"/>
        <v>-0.95288245219347578</v>
      </c>
      <c r="AZ1561" s="7" t="s">
        <v>14992</v>
      </c>
      <c r="BA1561" s="6" t="str">
        <f t="shared" si="755"/>
        <v>=7112*10000</v>
      </c>
      <c r="BB1561" s="1">
        <f>7112*10000</f>
        <v>71120000</v>
      </c>
      <c r="BC1561" s="8">
        <f t="shared" si="772"/>
        <v>1.3394736842105264</v>
      </c>
      <c r="BD1561" s="7" t="s">
        <v>14993</v>
      </c>
      <c r="BE1561" s="6" t="str">
        <f t="shared" si="756"/>
        <v>=3040*10000</v>
      </c>
      <c r="BF1561" s="1">
        <f>3040*10000</f>
        <v>30400000</v>
      </c>
      <c r="BG1561" s="8">
        <f t="shared" si="773"/>
        <v>0.25516102394715112</v>
      </c>
      <c r="BH1561" s="7" t="s">
        <v>14994</v>
      </c>
      <c r="BI1561" s="6" t="str">
        <f t="shared" si="757"/>
        <v>=2422*10000</v>
      </c>
      <c r="BJ1561" s="1">
        <f>2422*10000</f>
        <v>24220000</v>
      </c>
      <c r="BK1561" s="7" t="s">
        <v>14995</v>
      </c>
      <c r="BL1561" s="1" t="str">
        <f t="shared" si="759"/>
        <v>=1046*10000</v>
      </c>
      <c r="BM1561" s="16">
        <f t="shared" si="774"/>
        <v>1.3154875717017209</v>
      </c>
      <c r="BN1561" s="1">
        <f>1046*10000</f>
        <v>10460000</v>
      </c>
    </row>
    <row r="1562" spans="1:66">
      <c r="A1562" s="17">
        <v>392</v>
      </c>
      <c r="B1562">
        <v>603009</v>
      </c>
      <c r="C1562" t="s">
        <v>31</v>
      </c>
      <c r="D1562" s="6" t="s">
        <v>3360</v>
      </c>
      <c r="E1562" s="7" t="str">
        <f t="shared" si="758"/>
        <v>=17.38*100000000</v>
      </c>
      <c r="F1562" s="1">
        <f>17.38*100000000</f>
        <v>1738000000</v>
      </c>
      <c r="G1562" s="8">
        <f t="shared" si="760"/>
        <v>0.36420722135007849</v>
      </c>
      <c r="H1562" s="6" t="s">
        <v>1106</v>
      </c>
      <c r="I1562" s="6" t="str">
        <f t="shared" si="744"/>
        <v>=12.74*100000000</v>
      </c>
      <c r="J1562" s="1">
        <f>12.74*100000000</f>
        <v>1274000000</v>
      </c>
      <c r="K1562" s="10">
        <f t="shared" si="761"/>
        <v>0.44052464947987335</v>
      </c>
      <c r="L1562" s="6" t="s">
        <v>14996</v>
      </c>
      <c r="M1562" s="6" t="str">
        <f t="shared" si="745"/>
        <v>=8.844*100000000</v>
      </c>
      <c r="N1562" s="1">
        <f>8.844*100000000</f>
        <v>884400000</v>
      </c>
      <c r="O1562" s="8">
        <f t="shared" si="762"/>
        <v>1.0600978336827394</v>
      </c>
      <c r="P1562" s="6" t="s">
        <v>8624</v>
      </c>
      <c r="Q1562" s="6" t="str">
        <f t="shared" si="746"/>
        <v>=4.293*100000000</v>
      </c>
      <c r="R1562" s="11">
        <f>4.293*100000000</f>
        <v>429300000</v>
      </c>
      <c r="S1562" s="8">
        <f t="shared" si="763"/>
        <v>-0.70795918367346944</v>
      </c>
      <c r="T1562" s="6" t="s">
        <v>1096</v>
      </c>
      <c r="U1562" s="6" t="str">
        <f t="shared" si="747"/>
        <v>=14.70*100000000</v>
      </c>
      <c r="V1562" s="1">
        <f>14.7*100000000</f>
        <v>1470000000</v>
      </c>
      <c r="W1562" s="8">
        <f t="shared" si="764"/>
        <v>0.48036253776435045</v>
      </c>
      <c r="X1562" s="6" t="s">
        <v>6216</v>
      </c>
      <c r="Y1562" s="6" t="str">
        <f t="shared" si="748"/>
        <v>=9.930*100000000</v>
      </c>
      <c r="Z1562" s="1">
        <f>9.93*100000000</f>
        <v>993000000</v>
      </c>
      <c r="AA1562" s="8">
        <f t="shared" si="765"/>
        <v>0.65334665334665332</v>
      </c>
      <c r="AB1562" s="6" t="s">
        <v>7138</v>
      </c>
      <c r="AC1562" s="6" t="str">
        <f t="shared" si="749"/>
        <v>=6.006*100000000</v>
      </c>
      <c r="AD1562" s="1">
        <f>6.006*100000000</f>
        <v>600600000</v>
      </c>
      <c r="AE1562" s="8">
        <f t="shared" si="766"/>
        <v>1.4594594594594592</v>
      </c>
      <c r="AF1562" s="6" t="s">
        <v>14997</v>
      </c>
      <c r="AG1562" s="6" t="str">
        <f t="shared" si="750"/>
        <v>=2.442*100000000</v>
      </c>
      <c r="AH1562" s="1">
        <f>2.442*100000000</f>
        <v>244200000.00000003</v>
      </c>
      <c r="AI1562" s="8">
        <f t="shared" si="767"/>
        <v>-0.81258633921719114</v>
      </c>
      <c r="AJ1562" s="6" t="s">
        <v>4253</v>
      </c>
      <c r="AK1562" s="6" t="str">
        <f t="shared" si="751"/>
        <v>=13.03*100000000</v>
      </c>
      <c r="AL1562" s="1">
        <f>13.03*100000000</f>
        <v>1303000000</v>
      </c>
      <c r="AM1562" s="8">
        <f t="shared" si="768"/>
        <v>0.43297041680413506</v>
      </c>
      <c r="AN1562" s="6" t="s">
        <v>10540</v>
      </c>
      <c r="AO1562" s="6" t="str">
        <f t="shared" si="752"/>
        <v>=9.093*100000000</v>
      </c>
      <c r="AP1562" s="1">
        <f>9.093*100000000</f>
        <v>909300000</v>
      </c>
      <c r="AQ1562" s="8">
        <f t="shared" si="769"/>
        <v>0.54827175208581647</v>
      </c>
      <c r="AR1562" s="6" t="s">
        <v>478</v>
      </c>
      <c r="AS1562" s="6" t="str">
        <f t="shared" si="753"/>
        <v>=5.873*100000000</v>
      </c>
      <c r="AT1562" s="1">
        <f>5.873*100000000</f>
        <v>587300000</v>
      </c>
      <c r="AU1562" s="8">
        <f t="shared" si="770"/>
        <v>1.2137203166226913</v>
      </c>
      <c r="AV1562" s="6" t="s">
        <v>11082</v>
      </c>
      <c r="AW1562" s="6" t="str">
        <f t="shared" si="754"/>
        <v>=2.653*100000000</v>
      </c>
      <c r="AX1562" s="1">
        <f>2.653*100000000</f>
        <v>265300000</v>
      </c>
      <c r="AY1562" s="10">
        <f t="shared" si="771"/>
        <v>-0.7820049301561216</v>
      </c>
      <c r="AZ1562" s="6" t="s">
        <v>6674</v>
      </c>
      <c r="BA1562" s="6" t="str">
        <f t="shared" si="755"/>
        <v>=12.17*100000000</v>
      </c>
      <c r="BB1562" s="1">
        <f>12.17*100000000</f>
        <v>1217000000</v>
      </c>
      <c r="BC1562" s="8">
        <f t="shared" si="772"/>
        <v>0.34534600928587239</v>
      </c>
      <c r="BD1562" s="6" t="s">
        <v>14998</v>
      </c>
      <c r="BE1562" s="6" t="str">
        <f t="shared" si="756"/>
        <v>=9.046*100000000</v>
      </c>
      <c r="BF1562" s="1">
        <f>9.046*100000000</f>
        <v>904599999.99999988</v>
      </c>
      <c r="BG1562" s="8">
        <f t="shared" si="773"/>
        <v>0.49520661157024776</v>
      </c>
      <c r="BH1562" s="6" t="s">
        <v>14999</v>
      </c>
      <c r="BI1562" s="6" t="str">
        <f t="shared" si="757"/>
        <v>=6.050*100000000</v>
      </c>
      <c r="BJ1562" s="1">
        <f>6.05*100000000</f>
        <v>605000000</v>
      </c>
      <c r="BK1562" s="6" t="s">
        <v>2983</v>
      </c>
      <c r="BL1562" s="1" t="str">
        <f t="shared" si="759"/>
        <v>=2.887*100000000</v>
      </c>
      <c r="BM1562" s="16">
        <f t="shared" si="774"/>
        <v>1.0956009698649116</v>
      </c>
      <c r="BN1562" s="1">
        <f>2.887*100000000</f>
        <v>288700000</v>
      </c>
    </row>
    <row r="1563" spans="1:66">
      <c r="A1563" s="18"/>
      <c r="B1563">
        <v>603009</v>
      </c>
      <c r="C1563" t="s">
        <v>48</v>
      </c>
      <c r="D1563" s="7" t="s">
        <v>15000</v>
      </c>
      <c r="E1563" s="7" t="str">
        <f t="shared" si="758"/>
        <v>=6047*10000</v>
      </c>
      <c r="F1563" s="1">
        <f>6047*10000</f>
        <v>60470000</v>
      </c>
      <c r="G1563" s="8">
        <f t="shared" si="760"/>
        <v>0.12064492216456635</v>
      </c>
      <c r="H1563" s="7" t="s">
        <v>15001</v>
      </c>
      <c r="I1563" s="6" t="str">
        <f t="shared" si="744"/>
        <v>=5396*10000</v>
      </c>
      <c r="J1563" s="1">
        <f>5396*10000</f>
        <v>53960000</v>
      </c>
      <c r="K1563" s="10">
        <f t="shared" si="761"/>
        <v>0.25663716814159293</v>
      </c>
      <c r="L1563" s="7" t="s">
        <v>15002</v>
      </c>
      <c r="M1563" s="6" t="str">
        <f t="shared" si="745"/>
        <v>=4294*10000</v>
      </c>
      <c r="N1563" s="1">
        <f>4294*10000</f>
        <v>42940000</v>
      </c>
      <c r="O1563" s="8">
        <f t="shared" si="762"/>
        <v>0.84926787252368652</v>
      </c>
      <c r="P1563" s="7" t="s">
        <v>3717</v>
      </c>
      <c r="Q1563" s="6" t="str">
        <f t="shared" si="746"/>
        <v>=2322*10000</v>
      </c>
      <c r="R1563" s="11">
        <f>2322*10000</f>
        <v>23220000</v>
      </c>
      <c r="S1563" s="8">
        <f t="shared" si="763"/>
        <v>0.34764944863609981</v>
      </c>
      <c r="T1563" s="7" t="s">
        <v>3169</v>
      </c>
      <c r="U1563" s="6" t="str">
        <f t="shared" si="747"/>
        <v>=1723*10000</v>
      </c>
      <c r="V1563" s="1">
        <f>1723*10000</f>
        <v>17230000</v>
      </c>
      <c r="W1563" s="8">
        <f t="shared" si="764"/>
        <v>-495.83055715106264</v>
      </c>
      <c r="X1563" s="7">
        <f>-3.482*10000</f>
        <v>-34820</v>
      </c>
      <c r="Y1563" s="6" t="str">
        <f t="shared" si="748"/>
        <v>=-34820</v>
      </c>
      <c r="Z1563" s="1">
        <f>-34820</f>
        <v>-34820</v>
      </c>
      <c r="AA1563" s="8">
        <f t="shared" si="765"/>
        <v>-0.99700344234079175</v>
      </c>
      <c r="AB1563" s="7">
        <f>-1162*10000</f>
        <v>-11620000</v>
      </c>
      <c r="AC1563" s="6" t="str">
        <f t="shared" si="749"/>
        <v>=-11620000</v>
      </c>
      <c r="AD1563" s="1">
        <f>-11620000</f>
        <v>-11620000</v>
      </c>
      <c r="AE1563" s="8">
        <f t="shared" si="766"/>
        <v>-34.857808857808855</v>
      </c>
      <c r="AF1563" s="7" t="s">
        <v>15003</v>
      </c>
      <c r="AG1563" s="6" t="str">
        <f t="shared" si="750"/>
        <v>=34.32*10000</v>
      </c>
      <c r="AH1563" s="1">
        <f>34.32*10000</f>
        <v>343200</v>
      </c>
      <c r="AI1563" s="8">
        <f t="shared" si="767"/>
        <v>-1.0024375000000001</v>
      </c>
      <c r="AJ1563" s="6">
        <f>-1.408*100000000</f>
        <v>-140800000</v>
      </c>
      <c r="AK1563" s="6" t="str">
        <f t="shared" si="751"/>
        <v>=-140800000</v>
      </c>
      <c r="AL1563" s="1">
        <f>-140800000</f>
        <v>-140800000</v>
      </c>
      <c r="AM1563" s="8">
        <f t="shared" si="768"/>
        <v>15.56080922135968</v>
      </c>
      <c r="AN1563" s="7">
        <f>-850.2*10000</f>
        <v>-8502000</v>
      </c>
      <c r="AO1563" s="6" t="str">
        <f t="shared" si="752"/>
        <v>=-8502000</v>
      </c>
      <c r="AP1563" s="1">
        <f>-8502000</f>
        <v>-8502000</v>
      </c>
      <c r="AQ1563" s="8">
        <f t="shared" si="769"/>
        <v>-1.4097349397590362</v>
      </c>
      <c r="AR1563" s="7" t="s">
        <v>5556</v>
      </c>
      <c r="AS1563" s="6" t="str">
        <f t="shared" si="753"/>
        <v>=2075*10000</v>
      </c>
      <c r="AT1563" s="1">
        <f>2075*10000</f>
        <v>20750000</v>
      </c>
      <c r="AU1563" s="8">
        <f t="shared" si="770"/>
        <v>1.4530086298616858</v>
      </c>
      <c r="AV1563" s="7" t="s">
        <v>15004</v>
      </c>
      <c r="AW1563" s="6" t="str">
        <f t="shared" si="754"/>
        <v>=845.9*10000</v>
      </c>
      <c r="AX1563" s="1">
        <f>845.9*10000</f>
        <v>8459000</v>
      </c>
      <c r="AY1563" s="10">
        <f t="shared" si="771"/>
        <v>-0.85465635738831613</v>
      </c>
      <c r="AZ1563" s="7" t="s">
        <v>15005</v>
      </c>
      <c r="BA1563" s="6" t="str">
        <f t="shared" si="755"/>
        <v>=5820*10000</v>
      </c>
      <c r="BB1563" s="1">
        <f>5820*10000</f>
        <v>58200000</v>
      </c>
      <c r="BC1563" s="8">
        <f t="shared" si="772"/>
        <v>1.3231197771587743E-2</v>
      </c>
      <c r="BD1563" s="7" t="s">
        <v>15006</v>
      </c>
      <c r="BE1563" s="6" t="str">
        <f t="shared" si="756"/>
        <v>=5744*10000</v>
      </c>
      <c r="BF1563" s="1">
        <f>5744*10000</f>
        <v>57440000</v>
      </c>
      <c r="BG1563" s="8">
        <f t="shared" si="773"/>
        <v>0.17416189697465248</v>
      </c>
      <c r="BH1563" s="7" t="s">
        <v>9075</v>
      </c>
      <c r="BI1563" s="6" t="str">
        <f t="shared" si="757"/>
        <v>=4892*10000</v>
      </c>
      <c r="BJ1563" s="1">
        <f>4892*10000</f>
        <v>48920000</v>
      </c>
      <c r="BK1563" s="7" t="s">
        <v>14779</v>
      </c>
      <c r="BL1563" s="1" t="str">
        <f t="shared" si="759"/>
        <v>=2712*10000</v>
      </c>
      <c r="BM1563" s="16">
        <f t="shared" si="774"/>
        <v>0.80383480825958697</v>
      </c>
      <c r="BN1563" s="1">
        <f>2712*10000</f>
        <v>27120000</v>
      </c>
    </row>
    <row r="1564" spans="1:66">
      <c r="A1564" s="18"/>
      <c r="B1564">
        <v>603009</v>
      </c>
      <c r="C1564" t="s">
        <v>58</v>
      </c>
      <c r="D1564" s="7" t="s">
        <v>15007</v>
      </c>
      <c r="E1564" s="7" t="str">
        <f t="shared" si="758"/>
        <v>=5995*10000</v>
      </c>
      <c r="F1564" s="1">
        <f>5995*10000</f>
        <v>59950000</v>
      </c>
      <c r="G1564" s="8">
        <f t="shared" si="760"/>
        <v>0.10202205882352941</v>
      </c>
      <c r="H1564" s="7" t="s">
        <v>5588</v>
      </c>
      <c r="I1564" s="6" t="str">
        <f t="shared" si="744"/>
        <v>=5440*10000</v>
      </c>
      <c r="J1564" s="1">
        <f>5440*10000</f>
        <v>54400000</v>
      </c>
      <c r="K1564" s="10">
        <f t="shared" si="761"/>
        <v>0.26276694521819871</v>
      </c>
      <c r="L1564" s="7" t="s">
        <v>15008</v>
      </c>
      <c r="M1564" s="6" t="str">
        <f t="shared" si="745"/>
        <v>=4308*10000</v>
      </c>
      <c r="N1564" s="1">
        <f>4308*10000</f>
        <v>43080000</v>
      </c>
      <c r="O1564" s="8">
        <f t="shared" si="762"/>
        <v>0.84338896020539156</v>
      </c>
      <c r="P1564" s="7" t="s">
        <v>6559</v>
      </c>
      <c r="Q1564" s="6" t="str">
        <f t="shared" si="746"/>
        <v>=2337*10000</v>
      </c>
      <c r="R1564" s="11">
        <f>2337*10000</f>
        <v>23370000</v>
      </c>
      <c r="S1564" s="8">
        <f t="shared" si="763"/>
        <v>0.41464891041162227</v>
      </c>
      <c r="T1564" s="7" t="s">
        <v>15009</v>
      </c>
      <c r="U1564" s="6" t="str">
        <f t="shared" si="747"/>
        <v>=1652*10000</v>
      </c>
      <c r="V1564" s="1">
        <f>1652*10000</f>
        <v>16520000</v>
      </c>
      <c r="W1564" s="8">
        <f t="shared" si="764"/>
        <v>3.6326416152551877</v>
      </c>
      <c r="X1564" s="7" t="s">
        <v>15010</v>
      </c>
      <c r="Y1564" s="6" t="str">
        <f t="shared" si="748"/>
        <v>=356.6*10000</v>
      </c>
      <c r="Z1564" s="1">
        <f>356.6*10000</f>
        <v>3566000</v>
      </c>
      <c r="AA1564" s="8">
        <f t="shared" si="765"/>
        <v>-1.4059191804211724</v>
      </c>
      <c r="AB1564" s="7">
        <f>-878.5*10000</f>
        <v>-8785000</v>
      </c>
      <c r="AC1564" s="6" t="str">
        <f t="shared" si="749"/>
        <v>=-8785000</v>
      </c>
      <c r="AD1564" s="1">
        <f>-8785000</f>
        <v>-8785000</v>
      </c>
      <c r="AE1564" s="8">
        <f t="shared" si="766"/>
        <v>-3.8329571106094806</v>
      </c>
      <c r="AF1564" s="7" t="s">
        <v>15011</v>
      </c>
      <c r="AG1564" s="6" t="str">
        <f t="shared" si="750"/>
        <v>=310.1*10000</v>
      </c>
      <c r="AH1564" s="1">
        <f>310.1*10000</f>
        <v>3101000</v>
      </c>
      <c r="AI1564" s="8">
        <f t="shared" si="767"/>
        <v>-1.0208120805369127</v>
      </c>
      <c r="AJ1564" s="6">
        <f>-1.49*100000000</f>
        <v>-149000000</v>
      </c>
      <c r="AK1564" s="6" t="str">
        <f t="shared" si="751"/>
        <v>=-149000000</v>
      </c>
      <c r="AL1564" s="1">
        <f>-149000000</f>
        <v>-149000000</v>
      </c>
      <c r="AM1564" s="8">
        <f t="shared" si="768"/>
        <v>31.049903204990322</v>
      </c>
      <c r="AN1564" s="7">
        <f>-464.9*10000</f>
        <v>-4649000</v>
      </c>
      <c r="AO1564" s="6" t="str">
        <f t="shared" si="752"/>
        <v>=-4649000</v>
      </c>
      <c r="AP1564" s="1">
        <f>-4649000</f>
        <v>-4649000</v>
      </c>
      <c r="AQ1564" s="8">
        <f t="shared" si="769"/>
        <v>-1.1962431405656395</v>
      </c>
      <c r="AR1564" s="7" t="s">
        <v>6051</v>
      </c>
      <c r="AS1564" s="6" t="str">
        <f t="shared" si="753"/>
        <v>=2369*10000</v>
      </c>
      <c r="AT1564" s="1">
        <f>2369*10000</f>
        <v>23690000</v>
      </c>
      <c r="AU1564" s="8">
        <f t="shared" si="770"/>
        <v>0.8111620795107034</v>
      </c>
      <c r="AV1564" s="7" t="s">
        <v>5476</v>
      </c>
      <c r="AW1564" s="6" t="str">
        <f t="shared" si="754"/>
        <v>=1308*10000</v>
      </c>
      <c r="AX1564" s="1">
        <f>1308*10000</f>
        <v>13080000</v>
      </c>
      <c r="AY1564" s="10">
        <f t="shared" si="771"/>
        <v>-0.77633378932968533</v>
      </c>
      <c r="AZ1564" s="7" t="s">
        <v>15012</v>
      </c>
      <c r="BA1564" s="6" t="str">
        <f t="shared" si="755"/>
        <v>=5848*10000</v>
      </c>
      <c r="BB1564" s="1">
        <f>5848*10000</f>
        <v>58480000</v>
      </c>
      <c r="BC1564" s="8">
        <f t="shared" si="772"/>
        <v>4.6383782855179525E-3</v>
      </c>
      <c r="BD1564" s="7" t="s">
        <v>15013</v>
      </c>
      <c r="BE1564" s="6" t="str">
        <f t="shared" si="756"/>
        <v>=5821*10000</v>
      </c>
      <c r="BF1564" s="1">
        <f>5821*10000</f>
        <v>58210000</v>
      </c>
      <c r="BG1564" s="8">
        <f t="shared" si="773"/>
        <v>0.17881733495342245</v>
      </c>
      <c r="BH1564" s="7" t="s">
        <v>15014</v>
      </c>
      <c r="BI1564" s="6" t="str">
        <f t="shared" si="757"/>
        <v>=4938*10000</v>
      </c>
      <c r="BJ1564" s="1">
        <f>4938*10000</f>
        <v>49380000</v>
      </c>
      <c r="BK1564" s="7" t="s">
        <v>15015</v>
      </c>
      <c r="BL1564" s="1" t="str">
        <f t="shared" si="759"/>
        <v>=2723*10000</v>
      </c>
      <c r="BM1564" s="16">
        <f t="shared" si="774"/>
        <v>0.81344105765699593</v>
      </c>
      <c r="BN1564" s="1">
        <f>2723*10000</f>
        <v>27230000</v>
      </c>
    </row>
    <row r="1565" spans="1:66">
      <c r="A1565" s="19"/>
      <c r="B1565">
        <v>603009</v>
      </c>
      <c r="C1565" t="s">
        <v>68</v>
      </c>
      <c r="D1565" s="7" t="s">
        <v>15016</v>
      </c>
      <c r="E1565" s="7" t="str">
        <f t="shared" si="758"/>
        <v>=5800*10000</v>
      </c>
      <c r="F1565" s="1">
        <f>5800*10000</f>
        <v>58000000</v>
      </c>
      <c r="G1565" s="8">
        <f t="shared" si="760"/>
        <v>0.20632279534109818</v>
      </c>
      <c r="H1565" s="7" t="s">
        <v>3186</v>
      </c>
      <c r="I1565" s="6" t="str">
        <f t="shared" si="744"/>
        <v>=4808*10000</v>
      </c>
      <c r="J1565" s="1">
        <f>4808*10000</f>
        <v>48080000</v>
      </c>
      <c r="K1565" s="10">
        <f t="shared" si="761"/>
        <v>0.28590532227868415</v>
      </c>
      <c r="L1565" s="7" t="s">
        <v>15017</v>
      </c>
      <c r="M1565" s="6" t="str">
        <f t="shared" si="745"/>
        <v>=3739*10000</v>
      </c>
      <c r="N1565" s="1">
        <f>3739*10000</f>
        <v>37390000</v>
      </c>
      <c r="O1565" s="8">
        <f t="shared" si="762"/>
        <v>0.85742672627918526</v>
      </c>
      <c r="P1565" s="7" t="s">
        <v>2711</v>
      </c>
      <c r="Q1565" s="6" t="str">
        <f t="shared" si="746"/>
        <v>=2013*10000</v>
      </c>
      <c r="R1565" s="11">
        <f>2013*10000</f>
        <v>20130000</v>
      </c>
      <c r="S1565" s="8">
        <f t="shared" si="763"/>
        <v>-0.11516483516483517</v>
      </c>
      <c r="T1565" s="7" t="s">
        <v>2498</v>
      </c>
      <c r="U1565" s="6" t="str">
        <f t="shared" si="747"/>
        <v>=2275*10000</v>
      </c>
      <c r="V1565" s="1">
        <f>2275*10000</f>
        <v>22750000</v>
      </c>
      <c r="W1565" s="8">
        <f t="shared" si="764"/>
        <v>3.3482415902140672</v>
      </c>
      <c r="X1565" s="7" t="s">
        <v>15018</v>
      </c>
      <c r="Y1565" s="6" t="str">
        <f t="shared" si="748"/>
        <v>=523.2*10000</v>
      </c>
      <c r="Z1565" s="1">
        <f>523.2*10000</f>
        <v>5232000</v>
      </c>
      <c r="AA1565" s="8">
        <f t="shared" si="765"/>
        <v>-1.894206118612203</v>
      </c>
      <c r="AB1565" s="7">
        <f>-585.1*10000</f>
        <v>-5851000</v>
      </c>
      <c r="AC1565" s="6" t="str">
        <f t="shared" si="749"/>
        <v>=-5851000</v>
      </c>
      <c r="AD1565" s="1">
        <f>-5851000</f>
        <v>-5851000</v>
      </c>
      <c r="AE1565" s="8">
        <f t="shared" si="766"/>
        <v>-2.5401421426691235</v>
      </c>
      <c r="AF1565" s="7" t="s">
        <v>15019</v>
      </c>
      <c r="AG1565" s="6" t="str">
        <f t="shared" si="750"/>
        <v>=379.9*10000</v>
      </c>
      <c r="AH1565" s="1">
        <f>379.9*10000</f>
        <v>3799000</v>
      </c>
      <c r="AI1565" s="8">
        <f t="shared" si="767"/>
        <v>-1.0263453536754508</v>
      </c>
      <c r="AJ1565" s="6">
        <f>-1.442*100000000</f>
        <v>-144200000</v>
      </c>
      <c r="AK1565" s="6" t="str">
        <f t="shared" si="751"/>
        <v>=-144200000</v>
      </c>
      <c r="AL1565" s="1">
        <f>-144200000</f>
        <v>-144200000</v>
      </c>
      <c r="AM1565" s="8">
        <f t="shared" si="768"/>
        <v>23.150058616647129</v>
      </c>
      <c r="AN1565" s="7">
        <f>-597.1*10000</f>
        <v>-5971000</v>
      </c>
      <c r="AO1565" s="6" t="str">
        <f t="shared" si="752"/>
        <v>=-5971000</v>
      </c>
      <c r="AP1565" s="1">
        <f>-5971000</f>
        <v>-5971000</v>
      </c>
      <c r="AQ1565" s="8">
        <f t="shared" si="769"/>
        <v>-1.2643204957945995</v>
      </c>
      <c r="AR1565" s="7" t="s">
        <v>4918</v>
      </c>
      <c r="AS1565" s="6" t="str">
        <f t="shared" si="753"/>
        <v>=2259*10000</v>
      </c>
      <c r="AT1565" s="1">
        <f>2259*10000</f>
        <v>22590000</v>
      </c>
      <c r="AU1565" s="8">
        <f t="shared" si="770"/>
        <v>1.1271186440677967</v>
      </c>
      <c r="AV1565" s="7" t="s">
        <v>8327</v>
      </c>
      <c r="AW1565" s="6" t="str">
        <f t="shared" si="754"/>
        <v>=1062*10000</v>
      </c>
      <c r="AX1565" s="1">
        <f>1062*10000</f>
        <v>10620000</v>
      </c>
      <c r="AY1565" s="10">
        <f t="shared" si="771"/>
        <v>-0.81093110201175</v>
      </c>
      <c r="AZ1565" s="7" t="s">
        <v>2713</v>
      </c>
      <c r="BA1565" s="6" t="str">
        <f t="shared" si="755"/>
        <v>=5617*10000</v>
      </c>
      <c r="BB1565" s="1">
        <f>5617*10000</f>
        <v>56170000</v>
      </c>
      <c r="BC1565" s="8">
        <f t="shared" si="772"/>
        <v>0.1349767629824207</v>
      </c>
      <c r="BD1565" s="7" t="s">
        <v>9802</v>
      </c>
      <c r="BE1565" s="6" t="str">
        <f t="shared" si="756"/>
        <v>=4949*10000</v>
      </c>
      <c r="BF1565" s="1">
        <f>4949*10000</f>
        <v>49490000</v>
      </c>
      <c r="BG1565" s="8">
        <f t="shared" si="773"/>
        <v>0.18510536398467434</v>
      </c>
      <c r="BH1565" s="7" t="s">
        <v>10971</v>
      </c>
      <c r="BI1565" s="6" t="str">
        <f t="shared" si="757"/>
        <v>=4176*10000</v>
      </c>
      <c r="BJ1565" s="1">
        <f>4176*10000</f>
        <v>41760000</v>
      </c>
      <c r="BK1565" s="7" t="s">
        <v>3717</v>
      </c>
      <c r="BL1565" s="1" t="str">
        <f t="shared" si="759"/>
        <v>=2322*10000</v>
      </c>
      <c r="BM1565" s="16">
        <f t="shared" si="774"/>
        <v>0.79844961240310075</v>
      </c>
      <c r="BN1565" s="1">
        <f>2322*10000</f>
        <v>23220000</v>
      </c>
    </row>
    <row r="1566" spans="1:66">
      <c r="A1566" s="17">
        <v>393</v>
      </c>
      <c r="B1566">
        <v>603013</v>
      </c>
      <c r="C1566" t="s">
        <v>31</v>
      </c>
      <c r="D1566" s="6" t="s">
        <v>15020</v>
      </c>
      <c r="E1566" s="7" t="str">
        <f t="shared" si="758"/>
        <v>=80.57*100000000</v>
      </c>
      <c r="F1566" s="1">
        <f>80.57*100000000</f>
        <v>8056999999.999999</v>
      </c>
      <c r="G1566" s="8">
        <f t="shared" si="760"/>
        <v>0.37374254049445849</v>
      </c>
      <c r="H1566" s="6" t="s">
        <v>15021</v>
      </c>
      <c r="I1566" s="6" t="str">
        <f t="shared" si="744"/>
        <v>=58.65*100000000</v>
      </c>
      <c r="J1566" s="1">
        <f>58.65*100000000</f>
        <v>5865000000</v>
      </c>
      <c r="K1566" s="10">
        <f t="shared" si="761"/>
        <v>0.47250815967863419</v>
      </c>
      <c r="L1566" s="6" t="s">
        <v>15022</v>
      </c>
      <c r="M1566" s="6" t="str">
        <f t="shared" si="745"/>
        <v>=39.83*100000000</v>
      </c>
      <c r="N1566" s="1">
        <f>39.83*100000000</f>
        <v>3983000000</v>
      </c>
      <c r="O1566" s="8">
        <f t="shared" si="762"/>
        <v>1.0095862764883956</v>
      </c>
      <c r="P1566" s="6" t="s">
        <v>11786</v>
      </c>
      <c r="Q1566" s="6" t="str">
        <f t="shared" si="746"/>
        <v>=19.82*100000000</v>
      </c>
      <c r="R1566" s="11">
        <f>19.82*100000000</f>
        <v>1982000000</v>
      </c>
      <c r="S1566" s="8">
        <f t="shared" si="763"/>
        <v>-0.77627271701094935</v>
      </c>
      <c r="T1566" s="6" t="s">
        <v>15023</v>
      </c>
      <c r="U1566" s="6" t="str">
        <f t="shared" si="747"/>
        <v>=88.59*100000000</v>
      </c>
      <c r="V1566" s="1">
        <f>88.59*100000000</f>
        <v>8859000000</v>
      </c>
      <c r="W1566" s="8">
        <f t="shared" si="764"/>
        <v>0.43674991891015247</v>
      </c>
      <c r="X1566" s="6" t="s">
        <v>15024</v>
      </c>
      <c r="Y1566" s="6" t="str">
        <f t="shared" si="748"/>
        <v>=61.66*100000000</v>
      </c>
      <c r="Z1566" s="1">
        <f>61.66*100000000</f>
        <v>6166000000</v>
      </c>
      <c r="AA1566" s="8">
        <f t="shared" si="765"/>
        <v>0.636411889596603</v>
      </c>
      <c r="AB1566" s="6" t="s">
        <v>13448</v>
      </c>
      <c r="AC1566" s="6" t="str">
        <f t="shared" si="749"/>
        <v>=37.68*100000000</v>
      </c>
      <c r="AD1566" s="1">
        <f>37.68*100000000</f>
        <v>3768000000</v>
      </c>
      <c r="AE1566" s="8">
        <f t="shared" si="766"/>
        <v>1.22563496751329</v>
      </c>
      <c r="AF1566" s="6" t="s">
        <v>3059</v>
      </c>
      <c r="AG1566" s="6" t="str">
        <f t="shared" si="750"/>
        <v>=16.93*100000000</v>
      </c>
      <c r="AH1566" s="1">
        <f>16.93*100000000</f>
        <v>1693000000</v>
      </c>
      <c r="AI1566" s="8">
        <f t="shared" si="767"/>
        <v>-0.81472970015320634</v>
      </c>
      <c r="AJ1566" s="6" t="s">
        <v>15025</v>
      </c>
      <c r="AK1566" s="6" t="str">
        <f t="shared" si="751"/>
        <v>=91.38*100000000</v>
      </c>
      <c r="AL1566" s="1">
        <f>91.38*100000000</f>
        <v>9138000000</v>
      </c>
      <c r="AM1566" s="8">
        <f t="shared" si="768"/>
        <v>0.48103727714748784</v>
      </c>
      <c r="AN1566" s="6" t="s">
        <v>15026</v>
      </c>
      <c r="AO1566" s="6" t="str">
        <f t="shared" si="752"/>
        <v>=61.70*100000000</v>
      </c>
      <c r="AP1566" s="1">
        <f>61.7*100000000</f>
        <v>6170000000</v>
      </c>
      <c r="AQ1566" s="8">
        <f t="shared" si="769"/>
        <v>0.60928534167970771</v>
      </c>
      <c r="AR1566" s="6" t="s">
        <v>13019</v>
      </c>
      <c r="AS1566" s="6" t="str">
        <f t="shared" si="753"/>
        <v>=38.34*100000000</v>
      </c>
      <c r="AT1566" s="1">
        <f>38.34*100000000</f>
        <v>3834000000.0000005</v>
      </c>
      <c r="AU1566" s="8">
        <f t="shared" si="770"/>
        <v>1.1871078151739878</v>
      </c>
      <c r="AV1566" s="6" t="s">
        <v>5119</v>
      </c>
      <c r="AW1566" s="6" t="str">
        <f t="shared" si="754"/>
        <v>=17.53*100000000</v>
      </c>
      <c r="AX1566" s="1">
        <f>17.53*100000000</f>
        <v>1753000000</v>
      </c>
      <c r="AY1566" s="10">
        <f t="shared" si="771"/>
        <v>-0.77665944706332013</v>
      </c>
      <c r="AZ1566" s="6" t="s">
        <v>15027</v>
      </c>
      <c r="BA1566" s="6" t="str">
        <f t="shared" si="755"/>
        <v>=78.49*100000000</v>
      </c>
      <c r="BB1566" s="1">
        <f>78.49*100000000</f>
        <v>7848999999.999999</v>
      </c>
      <c r="BC1566" s="8">
        <f t="shared" si="772"/>
        <v>0.39537777777777761</v>
      </c>
      <c r="BD1566" s="6" t="s">
        <v>15028</v>
      </c>
      <c r="BE1566" s="6" t="str">
        <f t="shared" si="756"/>
        <v>=56.25*100000000</v>
      </c>
      <c r="BF1566" s="1">
        <f>56.25*100000000</f>
        <v>5625000000</v>
      </c>
      <c r="BG1566" s="8">
        <f t="shared" si="773"/>
        <v>0.49085608269281755</v>
      </c>
      <c r="BH1566" s="6" t="s">
        <v>14055</v>
      </c>
      <c r="BI1566" s="6" t="str">
        <f t="shared" si="757"/>
        <v>=37.73*100000000</v>
      </c>
      <c r="BJ1566" s="1">
        <f>37.73*100000000</f>
        <v>3772999999.9999995</v>
      </c>
      <c r="BK1566" s="6" t="s">
        <v>5638</v>
      </c>
      <c r="BL1566" s="1" t="str">
        <f t="shared" si="759"/>
        <v>=16.74*100000000</v>
      </c>
      <c r="BM1566" s="16">
        <f t="shared" si="774"/>
        <v>1.2538829151732378</v>
      </c>
      <c r="BN1566" s="1">
        <f>16.74*100000000</f>
        <v>1673999999.9999998</v>
      </c>
    </row>
    <row r="1567" spans="1:66">
      <c r="A1567" s="18"/>
      <c r="B1567">
        <v>603013</v>
      </c>
      <c r="C1567" t="s">
        <v>48</v>
      </c>
      <c r="D1567" s="6" t="s">
        <v>15029</v>
      </c>
      <c r="E1567" s="7" t="str">
        <f t="shared" si="758"/>
        <v>=5.827*100000000</v>
      </c>
      <c r="F1567" s="1">
        <f>5.827*100000000</f>
        <v>582700000</v>
      </c>
      <c r="G1567" s="8">
        <f t="shared" si="760"/>
        <v>8.1477357089829255E-2</v>
      </c>
      <c r="H1567" s="6" t="s">
        <v>15030</v>
      </c>
      <c r="I1567" s="6" t="str">
        <f t="shared" si="744"/>
        <v>=5.388*100000000</v>
      </c>
      <c r="J1567" s="1">
        <f>5.388*100000000</f>
        <v>538800000</v>
      </c>
      <c r="K1567" s="10">
        <f t="shared" si="761"/>
        <v>0.44683136412459723</v>
      </c>
      <c r="L1567" s="6" t="s">
        <v>15031</v>
      </c>
      <c r="M1567" s="6" t="str">
        <f t="shared" si="745"/>
        <v>=3.724*100000000</v>
      </c>
      <c r="N1567" s="1">
        <f>3.724*100000000</f>
        <v>372400000</v>
      </c>
      <c r="O1567" s="8">
        <f t="shared" si="762"/>
        <v>1.4483892176199868</v>
      </c>
      <c r="P1567" s="6" t="s">
        <v>11383</v>
      </c>
      <c r="Q1567" s="6" t="str">
        <f t="shared" si="746"/>
        <v>=1.521*100000000</v>
      </c>
      <c r="R1567" s="11">
        <f>1.521*100000000</f>
        <v>152100000</v>
      </c>
      <c r="S1567" s="8">
        <f t="shared" si="763"/>
        <v>-0.75910674691162494</v>
      </c>
      <c r="T1567" s="6" t="s">
        <v>15032</v>
      </c>
      <c r="U1567" s="6" t="str">
        <f t="shared" si="747"/>
        <v>=6.314*100000000</v>
      </c>
      <c r="V1567" s="1">
        <f>6.314*100000000</f>
        <v>631400000</v>
      </c>
      <c r="W1567" s="8">
        <f t="shared" si="764"/>
        <v>0.19787516600265603</v>
      </c>
      <c r="X1567" s="6" t="s">
        <v>15033</v>
      </c>
      <c r="Y1567" s="6" t="str">
        <f t="shared" si="748"/>
        <v>=5.271*100000000</v>
      </c>
      <c r="Z1567" s="1">
        <f>5.271*100000000</f>
        <v>527100000</v>
      </c>
      <c r="AA1567" s="8">
        <f t="shared" si="765"/>
        <v>0.87646849412602346</v>
      </c>
      <c r="AB1567" s="6" t="s">
        <v>13521</v>
      </c>
      <c r="AC1567" s="6" t="str">
        <f t="shared" si="749"/>
        <v>=2.809*100000000</v>
      </c>
      <c r="AD1567" s="1">
        <f>2.809*100000000</f>
        <v>280900000</v>
      </c>
      <c r="AE1567" s="8">
        <f t="shared" si="766"/>
        <v>1.8884318766066839</v>
      </c>
      <c r="AF1567" s="7" t="s">
        <v>8723</v>
      </c>
      <c r="AG1567" s="6" t="str">
        <f t="shared" si="750"/>
        <v>=9725*10000</v>
      </c>
      <c r="AH1567" s="1">
        <f>9725*10000</f>
        <v>97250000</v>
      </c>
      <c r="AI1567" s="8">
        <f t="shared" si="767"/>
        <v>-0.79413632514817956</v>
      </c>
      <c r="AJ1567" s="6" t="s">
        <v>8129</v>
      </c>
      <c r="AK1567" s="6" t="str">
        <f t="shared" si="751"/>
        <v>=4.724*100000000</v>
      </c>
      <c r="AL1567" s="1">
        <f>4.724*100000000</f>
        <v>472400000</v>
      </c>
      <c r="AM1567" s="8">
        <f t="shared" si="768"/>
        <v>0.27848443843031123</v>
      </c>
      <c r="AN1567" s="6" t="s">
        <v>3020</v>
      </c>
      <c r="AO1567" s="6" t="str">
        <f t="shared" si="752"/>
        <v>=3.695*100000000</v>
      </c>
      <c r="AP1567" s="1">
        <f>3.695*100000000</f>
        <v>369500000</v>
      </c>
      <c r="AQ1567" s="8">
        <f t="shared" si="769"/>
        <v>0.76036207717960913</v>
      </c>
      <c r="AR1567" s="6" t="s">
        <v>2385</v>
      </c>
      <c r="AS1567" s="6" t="str">
        <f t="shared" si="753"/>
        <v>=2.099*100000000</v>
      </c>
      <c r="AT1567" s="1">
        <f>2.099*100000000</f>
        <v>209900000.00000003</v>
      </c>
      <c r="AU1567" s="8">
        <f t="shared" si="770"/>
        <v>1.7731536530585286</v>
      </c>
      <c r="AV1567" s="7" t="s">
        <v>15034</v>
      </c>
      <c r="AW1567" s="6" t="str">
        <f t="shared" si="754"/>
        <v>=7569*10000</v>
      </c>
      <c r="AX1567" s="1">
        <f>7569*10000</f>
        <v>75690000</v>
      </c>
      <c r="AY1567" s="10">
        <f t="shared" si="771"/>
        <v>-0.80365758754863814</v>
      </c>
      <c r="AZ1567" s="6" t="s">
        <v>13429</v>
      </c>
      <c r="BA1567" s="6" t="str">
        <f t="shared" si="755"/>
        <v>=3.855*100000000</v>
      </c>
      <c r="BB1567" s="1">
        <f>3.855*100000000</f>
        <v>385500000</v>
      </c>
      <c r="BC1567" s="8">
        <f t="shared" si="772"/>
        <v>0.32839421088904203</v>
      </c>
      <c r="BD1567" s="6" t="s">
        <v>15035</v>
      </c>
      <c r="BE1567" s="6" t="str">
        <f t="shared" si="756"/>
        <v>=2.902*100000000</v>
      </c>
      <c r="BF1567" s="1">
        <f>2.902*100000000</f>
        <v>290200000</v>
      </c>
      <c r="BG1567" s="8">
        <f t="shared" si="773"/>
        <v>0.26780253385757974</v>
      </c>
      <c r="BH1567" s="6" t="s">
        <v>15036</v>
      </c>
      <c r="BI1567" s="6" t="str">
        <f t="shared" si="757"/>
        <v>=2.289*100000000</v>
      </c>
      <c r="BJ1567" s="1">
        <f>2.289*100000000</f>
        <v>228900000</v>
      </c>
      <c r="BK1567" s="7" t="s">
        <v>15037</v>
      </c>
      <c r="BL1567" s="1" t="str">
        <f t="shared" si="759"/>
        <v>=9078*10000</v>
      </c>
      <c r="BM1567" s="16">
        <f t="shared" si="774"/>
        <v>1.5214805023132849</v>
      </c>
      <c r="BN1567" s="1">
        <f>9078*10000</f>
        <v>90780000</v>
      </c>
    </row>
    <row r="1568" spans="1:66">
      <c r="A1568" s="18"/>
      <c r="B1568">
        <v>603013</v>
      </c>
      <c r="C1568" t="s">
        <v>58</v>
      </c>
      <c r="D1568" s="6" t="s">
        <v>1649</v>
      </c>
      <c r="E1568" s="7" t="str">
        <f t="shared" si="758"/>
        <v>=5.831*100000000</v>
      </c>
      <c r="F1568" s="1">
        <f>5.831*100000000</f>
        <v>583100000</v>
      </c>
      <c r="G1568" s="8">
        <f t="shared" si="760"/>
        <v>8.4030488938464404E-2</v>
      </c>
      <c r="H1568" s="6" t="s">
        <v>6412</v>
      </c>
      <c r="I1568" s="6" t="str">
        <f t="shared" si="744"/>
        <v>=5.379*100000000</v>
      </c>
      <c r="J1568" s="1">
        <f>5.379*100000000</f>
        <v>537900000</v>
      </c>
      <c r="K1568" s="10">
        <f t="shared" si="761"/>
        <v>0.44441460794844251</v>
      </c>
      <c r="L1568" s="6" t="s">
        <v>15031</v>
      </c>
      <c r="M1568" s="6" t="str">
        <f t="shared" si="745"/>
        <v>=3.724*100000000</v>
      </c>
      <c r="N1568" s="1">
        <f>3.724*100000000</f>
        <v>372400000</v>
      </c>
      <c r="O1568" s="8">
        <f t="shared" si="762"/>
        <v>1.4403669724770642</v>
      </c>
      <c r="P1568" s="6" t="s">
        <v>5428</v>
      </c>
      <c r="Q1568" s="6" t="str">
        <f t="shared" si="746"/>
        <v>=1.526*100000000</v>
      </c>
      <c r="R1568" s="11">
        <f>1.526*100000000</f>
        <v>152600000</v>
      </c>
      <c r="S1568" s="8">
        <f t="shared" si="763"/>
        <v>-0.74926059809398615</v>
      </c>
      <c r="T1568" s="6" t="s">
        <v>15038</v>
      </c>
      <c r="U1568" s="6" t="str">
        <f t="shared" si="747"/>
        <v>=6.086*100000000</v>
      </c>
      <c r="V1568" s="1">
        <f>6.086*100000000</f>
        <v>608600000</v>
      </c>
      <c r="W1568" s="8">
        <f t="shared" si="764"/>
        <v>0.21186778176025489</v>
      </c>
      <c r="X1568" s="6" t="s">
        <v>3785</v>
      </c>
      <c r="Y1568" s="6" t="str">
        <f t="shared" si="748"/>
        <v>=5.022*100000000</v>
      </c>
      <c r="Z1568" s="1">
        <f>5.022*100000000</f>
        <v>502200000</v>
      </c>
      <c r="AA1568" s="8">
        <f t="shared" si="765"/>
        <v>0.94274661508704061</v>
      </c>
      <c r="AB1568" s="6" t="s">
        <v>5632</v>
      </c>
      <c r="AC1568" s="6" t="str">
        <f t="shared" si="749"/>
        <v>=2.585*100000000</v>
      </c>
      <c r="AD1568" s="1">
        <f>2.585*100000000</f>
        <v>258500000</v>
      </c>
      <c r="AE1568" s="8">
        <f t="shared" si="766"/>
        <v>1.7167630057803469</v>
      </c>
      <c r="AF1568" s="7" t="s">
        <v>15039</v>
      </c>
      <c r="AG1568" s="6" t="str">
        <f t="shared" si="750"/>
        <v>=9515*10000</v>
      </c>
      <c r="AH1568" s="1">
        <f>9515*10000</f>
        <v>95150000</v>
      </c>
      <c r="AI1568" s="8">
        <f t="shared" si="767"/>
        <v>-0.79862433862433857</v>
      </c>
      <c r="AJ1568" s="6" t="s">
        <v>4542</v>
      </c>
      <c r="AK1568" s="6" t="str">
        <f t="shared" si="751"/>
        <v>=4.725*100000000</v>
      </c>
      <c r="AL1568" s="1">
        <f>4.725*100000000</f>
        <v>472499999.99999994</v>
      </c>
      <c r="AM1568" s="8">
        <f t="shared" si="768"/>
        <v>0.27806329456315915</v>
      </c>
      <c r="AN1568" s="6" t="s">
        <v>12323</v>
      </c>
      <c r="AO1568" s="6" t="str">
        <f t="shared" si="752"/>
        <v>=3.697*100000000</v>
      </c>
      <c r="AP1568" s="1">
        <f>3.697*100000000</f>
        <v>369700000</v>
      </c>
      <c r="AQ1568" s="8">
        <f t="shared" si="769"/>
        <v>0.75712927756653992</v>
      </c>
      <c r="AR1568" s="6" t="s">
        <v>7663</v>
      </c>
      <c r="AS1568" s="6" t="str">
        <f t="shared" si="753"/>
        <v>=2.104*100000000</v>
      </c>
      <c r="AT1568" s="1">
        <f>2.104*100000000</f>
        <v>210400000</v>
      </c>
      <c r="AU1568" s="8">
        <f t="shared" si="770"/>
        <v>1.7742616033755274</v>
      </c>
      <c r="AV1568" s="7" t="s">
        <v>15040</v>
      </c>
      <c r="AW1568" s="6" t="str">
        <f t="shared" si="754"/>
        <v>=7584*10000</v>
      </c>
      <c r="AX1568" s="1">
        <f>7584*10000</f>
        <v>75840000</v>
      </c>
      <c r="AY1568" s="10">
        <f t="shared" si="771"/>
        <v>-0.80418280402788533</v>
      </c>
      <c r="AZ1568" s="6" t="s">
        <v>6698</v>
      </c>
      <c r="BA1568" s="6" t="str">
        <f t="shared" si="755"/>
        <v>=3.873*100000000</v>
      </c>
      <c r="BB1568" s="1">
        <f>3.873*100000000</f>
        <v>387300000</v>
      </c>
      <c r="BC1568" s="8">
        <f t="shared" si="772"/>
        <v>0.32727895819054148</v>
      </c>
      <c r="BD1568" s="6" t="s">
        <v>11572</v>
      </c>
      <c r="BE1568" s="6" t="str">
        <f t="shared" si="756"/>
        <v>=2.918*100000000</v>
      </c>
      <c r="BF1568" s="1">
        <f>2.918*100000000</f>
        <v>291800000</v>
      </c>
      <c r="BG1568" s="8">
        <f t="shared" si="773"/>
        <v>0.27035263387026542</v>
      </c>
      <c r="BH1568" s="6" t="s">
        <v>2540</v>
      </c>
      <c r="BI1568" s="6" t="str">
        <f t="shared" si="757"/>
        <v>=2.297*100000000</v>
      </c>
      <c r="BJ1568" s="1">
        <f>2.297*100000000</f>
        <v>229700000.00000003</v>
      </c>
      <c r="BK1568" s="7" t="s">
        <v>10513</v>
      </c>
      <c r="BL1568" s="1" t="str">
        <f t="shared" si="759"/>
        <v>=9153*10000</v>
      </c>
      <c r="BM1568" s="16">
        <f t="shared" si="774"/>
        <v>1.5095597071998255</v>
      </c>
      <c r="BN1568" s="1">
        <f>9153*10000</f>
        <v>91530000</v>
      </c>
    </row>
    <row r="1569" spans="1:66">
      <c r="A1569" s="19"/>
      <c r="B1569">
        <v>603013</v>
      </c>
      <c r="C1569" t="s">
        <v>68</v>
      </c>
      <c r="D1569" s="6" t="s">
        <v>15041</v>
      </c>
      <c r="E1569" s="7" t="str">
        <f t="shared" si="758"/>
        <v>=5.369*100000000</v>
      </c>
      <c r="F1569" s="1">
        <f>5.369*100000000</f>
        <v>536900000</v>
      </c>
      <c r="G1569" s="8">
        <f t="shared" si="760"/>
        <v>9.8179586827572107E-2</v>
      </c>
      <c r="H1569" s="6" t="s">
        <v>3830</v>
      </c>
      <c r="I1569" s="6" t="str">
        <f t="shared" si="744"/>
        <v>=4.889*100000000</v>
      </c>
      <c r="J1569" s="1">
        <f>4.889*100000000</f>
        <v>488900000</v>
      </c>
      <c r="K1569" s="10">
        <f t="shared" si="761"/>
        <v>0.50153562653562656</v>
      </c>
      <c r="L1569" s="6" t="s">
        <v>15042</v>
      </c>
      <c r="M1569" s="6" t="str">
        <f t="shared" si="745"/>
        <v>=3.256*100000000</v>
      </c>
      <c r="N1569" s="1">
        <f>3.256*100000000</f>
        <v>325600000</v>
      </c>
      <c r="O1569" s="8">
        <f t="shared" si="762"/>
        <v>1.5617623918174668</v>
      </c>
      <c r="P1569" s="6" t="s">
        <v>6257</v>
      </c>
      <c r="Q1569" s="6" t="str">
        <f t="shared" si="746"/>
        <v>=1.271*100000000</v>
      </c>
      <c r="R1569" s="11">
        <f>1.271*100000000</f>
        <v>127099999.99999999</v>
      </c>
      <c r="S1569" s="8">
        <f t="shared" si="763"/>
        <v>-0.76493434436841135</v>
      </c>
      <c r="T1569" s="6" t="s">
        <v>15043</v>
      </c>
      <c r="U1569" s="6" t="str">
        <f t="shared" si="747"/>
        <v>=5.407*100000000</v>
      </c>
      <c r="V1569" s="1">
        <f>5.407*100000000</f>
        <v>540700000</v>
      </c>
      <c r="W1569" s="8">
        <f t="shared" si="764"/>
        <v>0.26449953227315248</v>
      </c>
      <c r="X1569" s="6" t="s">
        <v>15044</v>
      </c>
      <c r="Y1569" s="6" t="str">
        <f t="shared" si="748"/>
        <v>=4.276*100000000</v>
      </c>
      <c r="Z1569" s="1">
        <f>4.276*100000000</f>
        <v>427600000</v>
      </c>
      <c r="AA1569" s="8">
        <f t="shared" si="765"/>
        <v>0.93309222423146443</v>
      </c>
      <c r="AB1569" s="6" t="s">
        <v>13432</v>
      </c>
      <c r="AC1569" s="6" t="str">
        <f t="shared" si="749"/>
        <v>=2.212*100000000</v>
      </c>
      <c r="AD1569" s="1">
        <f>2.212*100000000</f>
        <v>221200000.00000003</v>
      </c>
      <c r="AE1569" s="8">
        <f t="shared" si="766"/>
        <v>1.6038846380223664</v>
      </c>
      <c r="AF1569" s="7" t="s">
        <v>5786</v>
      </c>
      <c r="AG1569" s="6" t="str">
        <f t="shared" si="750"/>
        <v>=8495*10000</v>
      </c>
      <c r="AH1569" s="1">
        <f>8495*10000</f>
        <v>84950000</v>
      </c>
      <c r="AI1569" s="8">
        <f t="shared" si="767"/>
        <v>-0.7968189428366419</v>
      </c>
      <c r="AJ1569" s="6" t="s">
        <v>15045</v>
      </c>
      <c r="AK1569" s="6" t="str">
        <f t="shared" si="751"/>
        <v>=4.181*100000000</v>
      </c>
      <c r="AL1569" s="1">
        <f>4.181*100000000</f>
        <v>418100000</v>
      </c>
      <c r="AM1569" s="8">
        <f t="shared" si="768"/>
        <v>0.3268803554427166</v>
      </c>
      <c r="AN1569" s="6" t="s">
        <v>9247</v>
      </c>
      <c r="AO1569" s="6" t="str">
        <f t="shared" si="752"/>
        <v>=3.151*100000000</v>
      </c>
      <c r="AP1569" s="1">
        <f>3.151*100000000</f>
        <v>315100000</v>
      </c>
      <c r="AQ1569" s="8">
        <f t="shared" si="769"/>
        <v>0.77821670428893908</v>
      </c>
      <c r="AR1569" s="6" t="s">
        <v>3505</v>
      </c>
      <c r="AS1569" s="6" t="str">
        <f t="shared" si="753"/>
        <v>=1.772*100000000</v>
      </c>
      <c r="AT1569" s="1">
        <f>1.772*100000000</f>
        <v>177200000</v>
      </c>
      <c r="AU1569" s="8">
        <f t="shared" si="770"/>
        <v>1.6650624154008122</v>
      </c>
      <c r="AV1569" s="7" t="s">
        <v>6488</v>
      </c>
      <c r="AW1569" s="6" t="str">
        <f t="shared" si="754"/>
        <v>=6649*10000</v>
      </c>
      <c r="AX1569" s="1">
        <f>6649*10000</f>
        <v>66490000</v>
      </c>
      <c r="AY1569" s="10">
        <f t="shared" si="771"/>
        <v>-0.81375350140056024</v>
      </c>
      <c r="AZ1569" s="6" t="s">
        <v>10775</v>
      </c>
      <c r="BA1569" s="6" t="str">
        <f t="shared" si="755"/>
        <v>=3.570*100000000</v>
      </c>
      <c r="BB1569" s="1">
        <f>3.57*100000000</f>
        <v>357000000</v>
      </c>
      <c r="BC1569" s="8">
        <f t="shared" si="772"/>
        <v>0.41330166270783864</v>
      </c>
      <c r="BD1569" s="6" t="s">
        <v>13424</v>
      </c>
      <c r="BE1569" s="6" t="str">
        <f t="shared" si="756"/>
        <v>=2.526*100000000</v>
      </c>
      <c r="BF1569" s="1">
        <f>2.526*100000000</f>
        <v>252599999.99999997</v>
      </c>
      <c r="BG1569" s="8">
        <f t="shared" si="773"/>
        <v>0.26173826173826176</v>
      </c>
      <c r="BH1569" s="6" t="s">
        <v>2147</v>
      </c>
      <c r="BI1569" s="6" t="str">
        <f t="shared" si="757"/>
        <v>=2.002*100000000</v>
      </c>
      <c r="BJ1569" s="1">
        <f>2.002*100000000</f>
        <v>200199999.99999997</v>
      </c>
      <c r="BK1569" s="7" t="s">
        <v>15046</v>
      </c>
      <c r="BL1569" s="1" t="str">
        <f t="shared" si="759"/>
        <v>=7890*10000</v>
      </c>
      <c r="BM1569" s="16">
        <f t="shared" si="774"/>
        <v>1.5373891001267423</v>
      </c>
      <c r="BN1569" s="1">
        <f>7890*10000</f>
        <v>78900000</v>
      </c>
    </row>
    <row r="1570" spans="1:66">
      <c r="A1570" s="17">
        <v>394</v>
      </c>
      <c r="B1570">
        <v>603018</v>
      </c>
      <c r="C1570" t="s">
        <v>31</v>
      </c>
      <c r="D1570" s="6" t="s">
        <v>8095</v>
      </c>
      <c r="E1570" s="7" t="str">
        <f t="shared" si="758"/>
        <v>=58.22*100000000</v>
      </c>
      <c r="F1570" s="1">
        <f>58.22*100000000</f>
        <v>5822000000</v>
      </c>
      <c r="G1570" s="8">
        <f t="shared" si="760"/>
        <v>0.90323635174893757</v>
      </c>
      <c r="H1570" s="6" t="s">
        <v>1102</v>
      </c>
      <c r="I1570" s="6" t="str">
        <f t="shared" si="744"/>
        <v>=30.59*100000000</v>
      </c>
      <c r="J1570" s="1">
        <f>30.59*100000000</f>
        <v>3059000000</v>
      </c>
      <c r="K1570" s="10">
        <f t="shared" si="761"/>
        <v>0.42014856081708452</v>
      </c>
      <c r="L1570" s="6" t="s">
        <v>1863</v>
      </c>
      <c r="M1570" s="6" t="str">
        <f t="shared" si="745"/>
        <v>=21.54*100000000</v>
      </c>
      <c r="N1570" s="1">
        <f>21.54*100000000</f>
        <v>2154000000</v>
      </c>
      <c r="O1570" s="8">
        <f t="shared" si="762"/>
        <v>1.6801045166106754</v>
      </c>
      <c r="P1570" s="6" t="s">
        <v>12421</v>
      </c>
      <c r="Q1570" s="6" t="str">
        <f t="shared" si="746"/>
        <v>=8.037*100000000</v>
      </c>
      <c r="R1570" s="11">
        <f>8.037*100000000</f>
        <v>803700000.00000012</v>
      </c>
      <c r="S1570" s="8">
        <f t="shared" si="763"/>
        <v>-0.84988793425476283</v>
      </c>
      <c r="T1570" s="6" t="s">
        <v>15047</v>
      </c>
      <c r="U1570" s="6" t="str">
        <f t="shared" si="747"/>
        <v>=53.54*100000000</v>
      </c>
      <c r="V1570" s="1">
        <f>53.54*100000000</f>
        <v>5354000000</v>
      </c>
      <c r="W1570" s="8">
        <f t="shared" si="764"/>
        <v>0.75483448049819735</v>
      </c>
      <c r="X1570" s="6" t="s">
        <v>15048</v>
      </c>
      <c r="Y1570" s="6" t="str">
        <f t="shared" si="748"/>
        <v>=30.51*100000000</v>
      </c>
      <c r="Z1570" s="1">
        <f>30.51*100000000</f>
        <v>3051000000</v>
      </c>
      <c r="AA1570" s="8">
        <f t="shared" si="765"/>
        <v>0.5133928571428571</v>
      </c>
      <c r="AB1570" s="6" t="s">
        <v>3369</v>
      </c>
      <c r="AC1570" s="6" t="str">
        <f t="shared" si="749"/>
        <v>=20.16*100000000</v>
      </c>
      <c r="AD1570" s="1">
        <f>20.16*100000000</f>
        <v>2016000000</v>
      </c>
      <c r="AE1570" s="8">
        <f t="shared" si="766"/>
        <v>2.5195530726256985</v>
      </c>
      <c r="AF1570" s="6" t="s">
        <v>15049</v>
      </c>
      <c r="AG1570" s="6" t="str">
        <f t="shared" si="750"/>
        <v>=5.728*100000000</v>
      </c>
      <c r="AH1570" s="1">
        <f>5.728*100000000</f>
        <v>572800000</v>
      </c>
      <c r="AI1570" s="8">
        <f t="shared" si="767"/>
        <v>-0.8778156996587031</v>
      </c>
      <c r="AJ1570" s="6" t="s">
        <v>4262</v>
      </c>
      <c r="AK1570" s="6" t="str">
        <f t="shared" si="751"/>
        <v>=46.88*100000000</v>
      </c>
      <c r="AL1570" s="1">
        <f>46.88*100000000</f>
        <v>4688000000</v>
      </c>
      <c r="AM1570" s="8">
        <f t="shared" si="768"/>
        <v>0.7078324225865209</v>
      </c>
      <c r="AN1570" s="6" t="s">
        <v>15050</v>
      </c>
      <c r="AO1570" s="6" t="str">
        <f t="shared" si="752"/>
        <v>=27.45*100000000</v>
      </c>
      <c r="AP1570" s="1">
        <f>27.45*100000000</f>
        <v>2745000000</v>
      </c>
      <c r="AQ1570" s="8">
        <f t="shared" si="769"/>
        <v>0.43342036553524821</v>
      </c>
      <c r="AR1570" s="6" t="s">
        <v>13549</v>
      </c>
      <c r="AS1570" s="6" t="str">
        <f t="shared" si="753"/>
        <v>=19.15*100000000</v>
      </c>
      <c r="AT1570" s="1">
        <f>19.15*100000000</f>
        <v>1914999999.9999998</v>
      </c>
      <c r="AU1570" s="8">
        <f t="shared" si="770"/>
        <v>1.4407341320418043</v>
      </c>
      <c r="AV1570" s="6" t="s">
        <v>1330</v>
      </c>
      <c r="AW1570" s="6" t="str">
        <f t="shared" si="754"/>
        <v>=7.846*100000000</v>
      </c>
      <c r="AX1570" s="1">
        <f>7.846*100000000</f>
        <v>784600000</v>
      </c>
      <c r="AY1570" s="10">
        <f t="shared" si="771"/>
        <v>-0.81310147689375889</v>
      </c>
      <c r="AZ1570" s="6" t="s">
        <v>15051</v>
      </c>
      <c r="BA1570" s="6" t="str">
        <f t="shared" si="755"/>
        <v>=41.98*100000000</v>
      </c>
      <c r="BB1570" s="1">
        <f>41.98*100000000</f>
        <v>4197999999.9999995</v>
      </c>
      <c r="BC1570" s="8">
        <f t="shared" si="772"/>
        <v>0.59135708870356307</v>
      </c>
      <c r="BD1570" s="6" t="s">
        <v>11785</v>
      </c>
      <c r="BE1570" s="6" t="str">
        <f t="shared" si="756"/>
        <v>=26.38*100000000</v>
      </c>
      <c r="BF1570" s="1">
        <f>26.38*100000000</f>
        <v>2638000000</v>
      </c>
      <c r="BG1570" s="8">
        <f t="shared" si="773"/>
        <v>0.5499412455934195</v>
      </c>
      <c r="BH1570" s="6" t="s">
        <v>1806</v>
      </c>
      <c r="BI1570" s="6" t="str">
        <f t="shared" si="757"/>
        <v>=17.02*100000000</v>
      </c>
      <c r="BJ1570" s="1">
        <f>17.02*100000000</f>
        <v>1702000000</v>
      </c>
      <c r="BK1570" s="6" t="s">
        <v>4500</v>
      </c>
      <c r="BL1570" s="1" t="str">
        <f t="shared" si="759"/>
        <v>=5.819*100000000</v>
      </c>
      <c r="BM1570" s="16">
        <f t="shared" si="774"/>
        <v>1.924901185770751</v>
      </c>
      <c r="BN1570" s="1">
        <f>5.819*100000000</f>
        <v>581900000</v>
      </c>
    </row>
    <row r="1571" spans="1:66">
      <c r="A1571" s="18"/>
      <c r="B1571">
        <v>603018</v>
      </c>
      <c r="C1571" t="s">
        <v>48</v>
      </c>
      <c r="D1571" s="6" t="s">
        <v>14174</v>
      </c>
      <c r="E1571" s="7" t="str">
        <f t="shared" si="758"/>
        <v>=7.385*100000000</v>
      </c>
      <c r="F1571" s="1">
        <f>7.385*100000000</f>
        <v>738500000</v>
      </c>
      <c r="G1571" s="8">
        <f t="shared" si="760"/>
        <v>0.98735199138858987</v>
      </c>
      <c r="H1571" s="6" t="s">
        <v>8185</v>
      </c>
      <c r="I1571" s="6" t="str">
        <f t="shared" si="744"/>
        <v>=3.716*100000000</v>
      </c>
      <c r="J1571" s="1">
        <f>3.716*100000000</f>
        <v>371600000</v>
      </c>
      <c r="K1571" s="10">
        <f t="shared" si="761"/>
        <v>0.34588917059036584</v>
      </c>
      <c r="L1571" s="6" t="s">
        <v>9815</v>
      </c>
      <c r="M1571" s="6" t="str">
        <f t="shared" si="745"/>
        <v>=2.761*100000000</v>
      </c>
      <c r="N1571" s="1">
        <f>2.761*100000000</f>
        <v>276100000</v>
      </c>
      <c r="O1571" s="8">
        <f t="shared" si="762"/>
        <v>1.7987835783071464</v>
      </c>
      <c r="P1571" s="7" t="s">
        <v>15052</v>
      </c>
      <c r="Q1571" s="6" t="str">
        <f t="shared" si="746"/>
        <v>=9865*10000</v>
      </c>
      <c r="R1571" s="11">
        <f>9865*10000</f>
        <v>98650000</v>
      </c>
      <c r="S1571" s="8">
        <f t="shared" si="763"/>
        <v>-0.85878900658459778</v>
      </c>
      <c r="T1571" s="6" t="s">
        <v>15053</v>
      </c>
      <c r="U1571" s="6" t="str">
        <f t="shared" si="747"/>
        <v>=6.986*100000000</v>
      </c>
      <c r="V1571" s="1">
        <f>6.986*100000000</f>
        <v>698600000</v>
      </c>
      <c r="W1571" s="8">
        <f t="shared" si="764"/>
        <v>0.81454545454545457</v>
      </c>
      <c r="X1571" s="6" t="s">
        <v>1474</v>
      </c>
      <c r="Y1571" s="6" t="str">
        <f t="shared" si="748"/>
        <v>=3.850*100000000</v>
      </c>
      <c r="Z1571" s="1">
        <f>3.85*100000000</f>
        <v>385000000</v>
      </c>
      <c r="AA1571" s="8">
        <f t="shared" si="765"/>
        <v>0.43603133159268931</v>
      </c>
      <c r="AB1571" s="6" t="s">
        <v>9208</v>
      </c>
      <c r="AC1571" s="6" t="str">
        <f t="shared" si="749"/>
        <v>=2.681*100000000</v>
      </c>
      <c r="AD1571" s="1">
        <f>2.681*100000000</f>
        <v>268100000</v>
      </c>
      <c r="AE1571" s="8">
        <f t="shared" si="766"/>
        <v>2.6625683060109289</v>
      </c>
      <c r="AF1571" s="7" t="s">
        <v>15054</v>
      </c>
      <c r="AG1571" s="6" t="str">
        <f t="shared" si="750"/>
        <v>=7320*10000</v>
      </c>
      <c r="AH1571" s="1">
        <f>7320*10000</f>
        <v>73200000</v>
      </c>
      <c r="AI1571" s="8">
        <f t="shared" si="767"/>
        <v>-0.88136142625607783</v>
      </c>
      <c r="AJ1571" s="6" t="s">
        <v>11183</v>
      </c>
      <c r="AK1571" s="6" t="str">
        <f t="shared" si="751"/>
        <v>=6.170*100000000</v>
      </c>
      <c r="AL1571" s="1">
        <f>6.17*100000000</f>
        <v>617000000</v>
      </c>
      <c r="AM1571" s="8">
        <f t="shared" si="768"/>
        <v>0.76185037121644772</v>
      </c>
      <c r="AN1571" s="6" t="s">
        <v>12022</v>
      </c>
      <c r="AO1571" s="6" t="str">
        <f t="shared" si="752"/>
        <v>=3.502*100000000</v>
      </c>
      <c r="AP1571" s="1">
        <f>3.502*100000000</f>
        <v>350200000</v>
      </c>
      <c r="AQ1571" s="8">
        <f t="shared" si="769"/>
        <v>0.43937525688450491</v>
      </c>
      <c r="AR1571" s="6" t="s">
        <v>2799</v>
      </c>
      <c r="AS1571" s="6" t="str">
        <f t="shared" si="753"/>
        <v>=2.433*100000000</v>
      </c>
      <c r="AT1571" s="1">
        <f>2.433*100000000</f>
        <v>243299999.99999997</v>
      </c>
      <c r="AU1571" s="8">
        <f t="shared" si="770"/>
        <v>1.6569837282952928</v>
      </c>
      <c r="AV1571" s="7" t="s">
        <v>15055</v>
      </c>
      <c r="AW1571" s="6" t="str">
        <f t="shared" si="754"/>
        <v>=9157*10000</v>
      </c>
      <c r="AX1571" s="1">
        <f>9157*10000</f>
        <v>91570000</v>
      </c>
      <c r="AY1571" s="10">
        <f t="shared" si="771"/>
        <v>-0.80599576271186446</v>
      </c>
      <c r="AZ1571" s="6" t="s">
        <v>14002</v>
      </c>
      <c r="BA1571" s="6" t="str">
        <f t="shared" si="755"/>
        <v>=4.720*100000000</v>
      </c>
      <c r="BB1571" s="1">
        <f>4.72*100000000</f>
        <v>472000000</v>
      </c>
      <c r="BC1571" s="8">
        <f t="shared" si="772"/>
        <v>0.63832002776813601</v>
      </c>
      <c r="BD1571" s="6" t="s">
        <v>15056</v>
      </c>
      <c r="BE1571" s="6" t="str">
        <f t="shared" si="756"/>
        <v>=2.881*100000000</v>
      </c>
      <c r="BF1571" s="1">
        <f>2.881*100000000</f>
        <v>288100000</v>
      </c>
      <c r="BG1571" s="8">
        <f t="shared" si="773"/>
        <v>0.45284921835602621</v>
      </c>
      <c r="BH1571" s="6" t="s">
        <v>10217</v>
      </c>
      <c r="BI1571" s="6" t="str">
        <f t="shared" si="757"/>
        <v>=1.983*100000000</v>
      </c>
      <c r="BJ1571" s="1">
        <f>1.983*100000000</f>
        <v>198300000</v>
      </c>
      <c r="BK1571" s="7" t="s">
        <v>15057</v>
      </c>
      <c r="BL1571" s="1" t="str">
        <f t="shared" si="759"/>
        <v>=7380*10000</v>
      </c>
      <c r="BM1571" s="16">
        <f t="shared" si="774"/>
        <v>1.6869918699186992</v>
      </c>
      <c r="BN1571" s="1">
        <f>7380*10000</f>
        <v>73800000</v>
      </c>
    </row>
    <row r="1572" spans="1:66">
      <c r="A1572" s="18"/>
      <c r="B1572">
        <v>603018</v>
      </c>
      <c r="C1572" t="s">
        <v>58</v>
      </c>
      <c r="D1572" s="6" t="s">
        <v>15058</v>
      </c>
      <c r="E1572" s="7" t="str">
        <f t="shared" si="758"/>
        <v>=7.374*100000000</v>
      </c>
      <c r="F1572" s="1">
        <f>7.374*100000000</f>
        <v>737400000</v>
      </c>
      <c r="G1572" s="8">
        <f t="shared" si="760"/>
        <v>0.98653017241379315</v>
      </c>
      <c r="H1572" s="6" t="s">
        <v>14572</v>
      </c>
      <c r="I1572" s="6" t="str">
        <f t="shared" si="744"/>
        <v>=3.712*100000000</v>
      </c>
      <c r="J1572" s="1">
        <f>3.712*100000000</f>
        <v>371200000</v>
      </c>
      <c r="K1572" s="10">
        <f t="shared" si="761"/>
        <v>0.3473684210526316</v>
      </c>
      <c r="L1572" s="6" t="s">
        <v>4821</v>
      </c>
      <c r="M1572" s="6" t="str">
        <f t="shared" si="745"/>
        <v>=2.755*100000000</v>
      </c>
      <c r="N1572" s="1">
        <f>2.755*100000000</f>
        <v>275500000</v>
      </c>
      <c r="O1572" s="8">
        <f t="shared" si="762"/>
        <v>1.7927014698428789</v>
      </c>
      <c r="P1572" s="7" t="s">
        <v>15052</v>
      </c>
      <c r="Q1572" s="6" t="str">
        <f t="shared" si="746"/>
        <v>=9865*10000</v>
      </c>
      <c r="R1572" s="11">
        <f>9865*10000</f>
        <v>98650000</v>
      </c>
      <c r="S1572" s="8">
        <f t="shared" si="763"/>
        <v>-0.85858658256880738</v>
      </c>
      <c r="T1572" s="6" t="s">
        <v>8975</v>
      </c>
      <c r="U1572" s="6" t="str">
        <f t="shared" si="747"/>
        <v>=6.976*100000000</v>
      </c>
      <c r="V1572" s="1">
        <f>6.976*100000000</f>
        <v>697600000</v>
      </c>
      <c r="W1572" s="8">
        <f t="shared" si="764"/>
        <v>0.80725388601036274</v>
      </c>
      <c r="X1572" s="6" t="s">
        <v>2906</v>
      </c>
      <c r="Y1572" s="6" t="str">
        <f t="shared" si="748"/>
        <v>=3.860*100000000</v>
      </c>
      <c r="Z1572" s="1">
        <f>3.86*100000000</f>
        <v>386000000</v>
      </c>
      <c r="AA1572" s="8">
        <f t="shared" si="765"/>
        <v>0.44083613288540519</v>
      </c>
      <c r="AB1572" s="6" t="s">
        <v>11971</v>
      </c>
      <c r="AC1572" s="6" t="str">
        <f t="shared" si="749"/>
        <v>=2.679*100000000</v>
      </c>
      <c r="AD1572" s="1">
        <f>2.679*100000000</f>
        <v>267899999.99999997</v>
      </c>
      <c r="AE1572" s="8">
        <f t="shared" si="766"/>
        <v>2.6638402625820565</v>
      </c>
      <c r="AF1572" s="7" t="s">
        <v>15059</v>
      </c>
      <c r="AG1572" s="6" t="str">
        <f t="shared" si="750"/>
        <v>=7312*10000</v>
      </c>
      <c r="AH1572" s="1">
        <f>7312*10000</f>
        <v>73120000</v>
      </c>
      <c r="AI1572" s="8">
        <f t="shared" si="767"/>
        <v>-0.88127942847864915</v>
      </c>
      <c r="AJ1572" s="6" t="s">
        <v>7527</v>
      </c>
      <c r="AK1572" s="6" t="str">
        <f t="shared" si="751"/>
        <v>=6.159*100000000</v>
      </c>
      <c r="AL1572" s="1">
        <f>6.159*100000000</f>
        <v>615900000</v>
      </c>
      <c r="AM1572" s="8">
        <f t="shared" si="768"/>
        <v>0.76021720491569023</v>
      </c>
      <c r="AN1572" s="6" t="s">
        <v>5201</v>
      </c>
      <c r="AO1572" s="6" t="str">
        <f t="shared" si="752"/>
        <v>=3.499*100000000</v>
      </c>
      <c r="AP1572" s="1">
        <f>3.499*100000000</f>
        <v>349900000</v>
      </c>
      <c r="AQ1572" s="8">
        <f t="shared" si="769"/>
        <v>0.44051049814738591</v>
      </c>
      <c r="AR1572" s="6" t="s">
        <v>15060</v>
      </c>
      <c r="AS1572" s="6" t="str">
        <f t="shared" si="753"/>
        <v>=2.429*100000000</v>
      </c>
      <c r="AT1572" s="1">
        <f>2.429*100000000</f>
        <v>242899999.99999997</v>
      </c>
      <c r="AU1572" s="8">
        <f t="shared" si="770"/>
        <v>1.656386701662292</v>
      </c>
      <c r="AV1572" s="7" t="s">
        <v>15061</v>
      </c>
      <c r="AW1572" s="6" t="str">
        <f t="shared" si="754"/>
        <v>=9144*10000</v>
      </c>
      <c r="AX1572" s="1">
        <f>9144*10000</f>
        <v>91440000</v>
      </c>
      <c r="AY1572" s="10">
        <f t="shared" si="771"/>
        <v>-0.80614797540809835</v>
      </c>
      <c r="AZ1572" s="6" t="s">
        <v>3470</v>
      </c>
      <c r="BA1572" s="6" t="str">
        <f t="shared" si="755"/>
        <v>=4.717*100000000</v>
      </c>
      <c r="BB1572" s="1">
        <f>4.717*100000000</f>
        <v>471699999.99999994</v>
      </c>
      <c r="BC1572" s="8">
        <f t="shared" si="772"/>
        <v>0.63955509210983641</v>
      </c>
      <c r="BD1572" s="6" t="s">
        <v>4754</v>
      </c>
      <c r="BE1572" s="6" t="str">
        <f t="shared" si="756"/>
        <v>=2.877*100000000</v>
      </c>
      <c r="BF1572" s="1">
        <f>2.877*100000000</f>
        <v>287700000</v>
      </c>
      <c r="BG1572" s="8">
        <f t="shared" si="773"/>
        <v>0.45010080645161288</v>
      </c>
      <c r="BH1572" s="6" t="s">
        <v>5137</v>
      </c>
      <c r="BI1572" s="6" t="str">
        <f t="shared" si="757"/>
        <v>=1.984*100000000</v>
      </c>
      <c r="BJ1572" s="1">
        <f>1.984*100000000</f>
        <v>198400000</v>
      </c>
      <c r="BK1572" s="7" t="s">
        <v>9658</v>
      </c>
      <c r="BL1572" s="1" t="str">
        <f t="shared" si="759"/>
        <v>=7383*10000</v>
      </c>
      <c r="BM1572" s="16">
        <f t="shared" si="774"/>
        <v>1.6872545035893269</v>
      </c>
      <c r="BN1572" s="1">
        <f>7383*10000</f>
        <v>73830000</v>
      </c>
    </row>
    <row r="1573" spans="1:66">
      <c r="A1573" s="19"/>
      <c r="B1573">
        <v>603018</v>
      </c>
      <c r="C1573" t="s">
        <v>68</v>
      </c>
      <c r="D1573" s="6" t="s">
        <v>8586</v>
      </c>
      <c r="E1573" s="7" t="str">
        <f t="shared" si="758"/>
        <v>=6.365*100000000</v>
      </c>
      <c r="F1573" s="1">
        <f>6.365*100000000</f>
        <v>636500000</v>
      </c>
      <c r="G1573" s="8">
        <f t="shared" si="760"/>
        <v>1.0167934093789608</v>
      </c>
      <c r="H1573" s="6" t="s">
        <v>15062</v>
      </c>
      <c r="I1573" s="6" t="str">
        <f t="shared" si="744"/>
        <v>=3.156*100000000</v>
      </c>
      <c r="J1573" s="1">
        <f>3.156*100000000</f>
        <v>315600000</v>
      </c>
      <c r="K1573" s="10">
        <f t="shared" si="761"/>
        <v>0.35917312661498707</v>
      </c>
      <c r="L1573" s="6" t="s">
        <v>1771</v>
      </c>
      <c r="M1573" s="6" t="str">
        <f t="shared" si="745"/>
        <v>=2.322*100000000</v>
      </c>
      <c r="N1573" s="1">
        <f>2.322*100000000</f>
        <v>232200000</v>
      </c>
      <c r="O1573" s="8">
        <f t="shared" si="762"/>
        <v>1.870919881305638</v>
      </c>
      <c r="P1573" s="7" t="s">
        <v>10028</v>
      </c>
      <c r="Q1573" s="6" t="str">
        <f t="shared" si="746"/>
        <v>=8088*10000</v>
      </c>
      <c r="R1573" s="11">
        <f>8088*10000</f>
        <v>80880000</v>
      </c>
      <c r="S1573" s="8">
        <f t="shared" si="763"/>
        <v>-0.86622560370492885</v>
      </c>
      <c r="T1573" s="6" t="s">
        <v>4954</v>
      </c>
      <c r="U1573" s="6" t="str">
        <f t="shared" si="747"/>
        <v>=6.046*100000000</v>
      </c>
      <c r="V1573" s="1">
        <f>6.046*100000000</f>
        <v>604600000</v>
      </c>
      <c r="W1573" s="8">
        <f t="shared" si="764"/>
        <v>0.81072177298592396</v>
      </c>
      <c r="X1573" s="6" t="s">
        <v>10488</v>
      </c>
      <c r="Y1573" s="6" t="str">
        <f t="shared" si="748"/>
        <v>=3.339*100000000</v>
      </c>
      <c r="Z1573" s="1">
        <f>3.339*100000000</f>
        <v>333900000</v>
      </c>
      <c r="AA1573" s="8">
        <f t="shared" si="765"/>
        <v>0.46319018404907975</v>
      </c>
      <c r="AB1573" s="6" t="s">
        <v>3874</v>
      </c>
      <c r="AC1573" s="6" t="str">
        <f t="shared" si="749"/>
        <v>=2.282*100000000</v>
      </c>
      <c r="AD1573" s="1">
        <f>2.282*100000000</f>
        <v>228200000</v>
      </c>
      <c r="AE1573" s="8">
        <f t="shared" si="766"/>
        <v>2.7913274630337264</v>
      </c>
      <c r="AF1573" s="7" t="s">
        <v>15063</v>
      </c>
      <c r="AG1573" s="6" t="str">
        <f t="shared" si="750"/>
        <v>=6019*10000</v>
      </c>
      <c r="AH1573" s="1">
        <f>6019*10000</f>
        <v>60190000</v>
      </c>
      <c r="AI1573" s="8">
        <f t="shared" si="767"/>
        <v>-0.88703078078078079</v>
      </c>
      <c r="AJ1573" s="6" t="s">
        <v>466</v>
      </c>
      <c r="AK1573" s="6" t="str">
        <f t="shared" si="751"/>
        <v>=5.328*100000000</v>
      </c>
      <c r="AL1573" s="1">
        <f>5.328*100000000</f>
        <v>532800000</v>
      </c>
      <c r="AM1573" s="8">
        <f t="shared" si="768"/>
        <v>0.78074866310160429</v>
      </c>
      <c r="AN1573" s="6" t="s">
        <v>1208</v>
      </c>
      <c r="AO1573" s="6" t="str">
        <f t="shared" si="752"/>
        <v>=2.992*100000000</v>
      </c>
      <c r="AP1573" s="1">
        <f>2.992*100000000</f>
        <v>299200000</v>
      </c>
      <c r="AQ1573" s="8">
        <f t="shared" si="769"/>
        <v>0.40932642487046611</v>
      </c>
      <c r="AR1573" s="6" t="s">
        <v>3651</v>
      </c>
      <c r="AS1573" s="6" t="str">
        <f t="shared" si="753"/>
        <v>=2.123*100000000</v>
      </c>
      <c r="AT1573" s="1">
        <f>2.123*100000000</f>
        <v>212300000.00000003</v>
      </c>
      <c r="AU1573" s="8">
        <f t="shared" si="770"/>
        <v>1.7354722329596706</v>
      </c>
      <c r="AV1573" s="7" t="s">
        <v>15064</v>
      </c>
      <c r="AW1573" s="6" t="str">
        <f t="shared" si="754"/>
        <v>=7761*10000</v>
      </c>
      <c r="AX1573" s="1">
        <f>7761*10000</f>
        <v>77610000</v>
      </c>
      <c r="AY1573" s="10">
        <f t="shared" si="771"/>
        <v>-0.80874815179891568</v>
      </c>
      <c r="AZ1573" s="6" t="s">
        <v>1685</v>
      </c>
      <c r="BA1573" s="6" t="str">
        <f t="shared" si="755"/>
        <v>=4.058*100000000</v>
      </c>
      <c r="BB1573" s="1">
        <f>4.058*100000000</f>
        <v>405800000</v>
      </c>
      <c r="BC1573" s="8">
        <f t="shared" si="772"/>
        <v>0.64158576051779936</v>
      </c>
      <c r="BD1573" s="6" t="s">
        <v>11401</v>
      </c>
      <c r="BE1573" s="6" t="str">
        <f t="shared" si="756"/>
        <v>=2.472*100000000</v>
      </c>
      <c r="BF1573" s="1">
        <f>2.472*100000000</f>
        <v>247200000</v>
      </c>
      <c r="BG1573" s="8">
        <f t="shared" si="773"/>
        <v>0.4456140350877193</v>
      </c>
      <c r="BH1573" s="6" t="s">
        <v>9990</v>
      </c>
      <c r="BI1573" s="6" t="str">
        <f t="shared" si="757"/>
        <v>=1.710*100000000</v>
      </c>
      <c r="BJ1573" s="1">
        <f>1.71*100000000</f>
        <v>171000000</v>
      </c>
      <c r="BK1573" s="7" t="s">
        <v>15065</v>
      </c>
      <c r="BL1573" s="1" t="str">
        <f t="shared" si="759"/>
        <v>=6145*10000</v>
      </c>
      <c r="BM1573" s="16">
        <f t="shared" si="774"/>
        <v>1.7827502034174125</v>
      </c>
      <c r="BN1573" s="1">
        <f>6145*10000</f>
        <v>61450000</v>
      </c>
    </row>
    <row r="1574" spans="1:66">
      <c r="A1574" s="17">
        <v>395</v>
      </c>
      <c r="B1574">
        <v>603025</v>
      </c>
      <c r="C1574" t="s">
        <v>31</v>
      </c>
      <c r="D1574" s="6" t="s">
        <v>4122</v>
      </c>
      <c r="E1574" s="7" t="str">
        <f t="shared" si="758"/>
        <v>=15.05*100000000</v>
      </c>
      <c r="F1574" s="1">
        <f>15.05*100000000</f>
        <v>1505000000</v>
      </c>
      <c r="G1574" s="8">
        <f t="shared" si="760"/>
        <v>0.26258389261744969</v>
      </c>
      <c r="H1574" s="6" t="s">
        <v>4553</v>
      </c>
      <c r="I1574" s="6" t="str">
        <f t="shared" si="744"/>
        <v>=11.92*100000000</v>
      </c>
      <c r="J1574" s="1">
        <f>11.92*100000000</f>
        <v>1192000000</v>
      </c>
      <c r="K1574" s="10">
        <f t="shared" si="761"/>
        <v>0.4387447193723597</v>
      </c>
      <c r="L1574" s="6" t="s">
        <v>13363</v>
      </c>
      <c r="M1574" s="6" t="str">
        <f t="shared" si="745"/>
        <v>=8.285*100000000</v>
      </c>
      <c r="N1574" s="1">
        <f>8.285*100000000</f>
        <v>828500000</v>
      </c>
      <c r="O1574" s="8">
        <f t="shared" si="762"/>
        <v>1.2289480764057035</v>
      </c>
      <c r="P1574" s="6" t="s">
        <v>15066</v>
      </c>
      <c r="Q1574" s="6" t="str">
        <f t="shared" si="746"/>
        <v>=3.717*100000000</v>
      </c>
      <c r="R1574" s="11">
        <f>3.717*100000000</f>
        <v>371700000</v>
      </c>
      <c r="S1574" s="8">
        <f t="shared" si="763"/>
        <v>-0.55351351351351341</v>
      </c>
      <c r="T1574" s="6" t="s">
        <v>9491</v>
      </c>
      <c r="U1574" s="6" t="str">
        <f t="shared" si="747"/>
        <v>=8.325*100000000</v>
      </c>
      <c r="V1574" s="1">
        <f>8.325*100000000</f>
        <v>832499999.99999988</v>
      </c>
      <c r="W1574" s="8">
        <f t="shared" si="764"/>
        <v>0.48528099910793915</v>
      </c>
      <c r="X1574" s="6" t="s">
        <v>15067</v>
      </c>
      <c r="Y1574" s="6" t="str">
        <f t="shared" si="748"/>
        <v>=5.605*100000000</v>
      </c>
      <c r="Z1574" s="1">
        <f>5.605*100000000</f>
        <v>560500000</v>
      </c>
      <c r="AA1574" s="8">
        <f t="shared" si="765"/>
        <v>0.59641127883793787</v>
      </c>
      <c r="AB1574" s="6" t="s">
        <v>3610</v>
      </c>
      <c r="AC1574" s="6" t="str">
        <f t="shared" si="749"/>
        <v>=3.511*100000000</v>
      </c>
      <c r="AD1574" s="1">
        <f>3.511*100000000</f>
        <v>351100000</v>
      </c>
      <c r="AE1574" s="8">
        <f t="shared" si="766"/>
        <v>0.68231911835170078</v>
      </c>
      <c r="AF1574" s="6" t="s">
        <v>7935</v>
      </c>
      <c r="AG1574" s="6" t="str">
        <f t="shared" si="750"/>
        <v>=2.087*100000000</v>
      </c>
      <c r="AH1574" s="1">
        <f>2.087*100000000</f>
        <v>208700000.00000003</v>
      </c>
      <c r="AI1574" s="8">
        <f t="shared" si="767"/>
        <v>-0.78548668927947374</v>
      </c>
      <c r="AJ1574" s="6" t="s">
        <v>15068</v>
      </c>
      <c r="AK1574" s="6" t="str">
        <f t="shared" si="751"/>
        <v>=9.729*100000000</v>
      </c>
      <c r="AL1574" s="1">
        <f>9.729*100000000</f>
        <v>972899999.99999988</v>
      </c>
      <c r="AM1574" s="8">
        <f t="shared" si="768"/>
        <v>0.31295546558704435</v>
      </c>
      <c r="AN1574" s="6" t="s">
        <v>2650</v>
      </c>
      <c r="AO1574" s="6" t="str">
        <f t="shared" si="752"/>
        <v>=7.410*100000000</v>
      </c>
      <c r="AP1574" s="1">
        <f>7.41*100000000</f>
        <v>741000000</v>
      </c>
      <c r="AQ1574" s="8">
        <f t="shared" si="769"/>
        <v>0.36163175303197354</v>
      </c>
      <c r="AR1574" s="6" t="s">
        <v>5729</v>
      </c>
      <c r="AS1574" s="6" t="str">
        <f t="shared" si="753"/>
        <v>=5.442*100000000</v>
      </c>
      <c r="AT1574" s="1">
        <f>5.442*100000000</f>
        <v>544200000</v>
      </c>
      <c r="AU1574" s="8">
        <f t="shared" si="770"/>
        <v>1.1399921352732991</v>
      </c>
      <c r="AV1574" s="6" t="s">
        <v>5178</v>
      </c>
      <c r="AW1574" s="6" t="str">
        <f t="shared" si="754"/>
        <v>=2.543*100000000</v>
      </c>
      <c r="AX1574" s="1">
        <f>2.543*100000000</f>
        <v>254300000.00000003</v>
      </c>
      <c r="AY1574" s="10">
        <f t="shared" si="771"/>
        <v>-0.76344186046511631</v>
      </c>
      <c r="AZ1574" s="6" t="s">
        <v>4101</v>
      </c>
      <c r="BA1574" s="6" t="str">
        <f t="shared" si="755"/>
        <v>=10.75*100000000</v>
      </c>
      <c r="BB1574" s="1">
        <f>10.75*100000000</f>
        <v>1075000000</v>
      </c>
      <c r="BC1574" s="8">
        <f t="shared" si="772"/>
        <v>0.23478061107282333</v>
      </c>
      <c r="BD1574" s="6" t="s">
        <v>15069</v>
      </c>
      <c r="BE1574" s="6" t="str">
        <f t="shared" si="756"/>
        <v>=8.706*100000000</v>
      </c>
      <c r="BF1574" s="1">
        <f>8.706*100000000</f>
        <v>870600000</v>
      </c>
      <c r="BG1574" s="8">
        <f t="shared" si="773"/>
        <v>0.33712179388726771</v>
      </c>
      <c r="BH1574" s="6" t="s">
        <v>7550</v>
      </c>
      <c r="BI1574" s="6" t="str">
        <f t="shared" si="757"/>
        <v>=6.511*100000000</v>
      </c>
      <c r="BJ1574" s="1">
        <f>6.511*100000000</f>
        <v>651100000</v>
      </c>
      <c r="BK1574" s="6" t="s">
        <v>12243</v>
      </c>
      <c r="BL1574" s="1" t="str">
        <f t="shared" si="759"/>
        <v>=2.961*100000000</v>
      </c>
      <c r="BM1574" s="16">
        <f t="shared" si="774"/>
        <v>1.1989192840256671</v>
      </c>
      <c r="BN1574" s="1">
        <f>2.961*100000000</f>
        <v>296100000</v>
      </c>
    </row>
    <row r="1575" spans="1:66">
      <c r="A1575" s="18"/>
      <c r="B1575">
        <v>603025</v>
      </c>
      <c r="C1575" t="s">
        <v>48</v>
      </c>
      <c r="D1575" s="6" t="s">
        <v>14531</v>
      </c>
      <c r="E1575" s="7" t="str">
        <f t="shared" si="758"/>
        <v>=4.121*100000000</v>
      </c>
      <c r="F1575" s="1">
        <f>4.121*100000000</f>
        <v>412100000.00000006</v>
      </c>
      <c r="G1575" s="8">
        <f t="shared" si="760"/>
        <v>0.19069633054030644</v>
      </c>
      <c r="H1575" s="6" t="s">
        <v>15070</v>
      </c>
      <c r="I1575" s="6" t="str">
        <f t="shared" si="744"/>
        <v>=3.461*100000000</v>
      </c>
      <c r="J1575" s="1">
        <f>3.461*100000000</f>
        <v>346100000</v>
      </c>
      <c r="K1575" s="10">
        <f t="shared" si="761"/>
        <v>0.46901528013582344</v>
      </c>
      <c r="L1575" s="6" t="s">
        <v>15071</v>
      </c>
      <c r="M1575" s="6" t="str">
        <f t="shared" si="745"/>
        <v>=2.356*100000000</v>
      </c>
      <c r="N1575" s="1">
        <f>2.356*100000000</f>
        <v>235600000</v>
      </c>
      <c r="O1575" s="8">
        <f t="shared" si="762"/>
        <v>1.5192472198460223</v>
      </c>
      <c r="P1575" s="7" t="s">
        <v>15072</v>
      </c>
      <c r="Q1575" s="6" t="str">
        <f t="shared" si="746"/>
        <v>=9352*10000</v>
      </c>
      <c r="R1575" s="11">
        <f>9352*10000</f>
        <v>93520000</v>
      </c>
      <c r="S1575" s="8">
        <f t="shared" si="763"/>
        <v>-0.60339270568278203</v>
      </c>
      <c r="T1575" s="6" t="s">
        <v>1939</v>
      </c>
      <c r="U1575" s="6" t="str">
        <f t="shared" si="747"/>
        <v>=2.358*100000000</v>
      </c>
      <c r="V1575" s="1">
        <f>2.358*100000000</f>
        <v>235800000</v>
      </c>
      <c r="W1575" s="8">
        <f t="shared" si="764"/>
        <v>0.82932505818463942</v>
      </c>
      <c r="X1575" s="6" t="s">
        <v>1998</v>
      </c>
      <c r="Y1575" s="6" t="str">
        <f t="shared" si="748"/>
        <v>=1.289*100000000</v>
      </c>
      <c r="Z1575" s="1">
        <f>1.289*100000000</f>
        <v>128899999.99999999</v>
      </c>
      <c r="AA1575" s="8">
        <f t="shared" si="765"/>
        <v>0.72372292056699628</v>
      </c>
      <c r="AB1575" s="7" t="s">
        <v>15073</v>
      </c>
      <c r="AC1575" s="6" t="str">
        <f t="shared" si="749"/>
        <v>=7478*10000</v>
      </c>
      <c r="AD1575" s="1">
        <f>7478*10000</f>
        <v>74780000</v>
      </c>
      <c r="AE1575" s="8">
        <f t="shared" si="766"/>
        <v>1.0442864953526516</v>
      </c>
      <c r="AF1575" s="7" t="s">
        <v>15074</v>
      </c>
      <c r="AG1575" s="6" t="str">
        <f t="shared" si="750"/>
        <v>=3658*10000</v>
      </c>
      <c r="AH1575" s="1">
        <f>3658*10000</f>
        <v>36580000</v>
      </c>
      <c r="AI1575" s="8">
        <f t="shared" si="767"/>
        <v>-0.87267664462234595</v>
      </c>
      <c r="AJ1575" s="6" t="s">
        <v>15075</v>
      </c>
      <c r="AK1575" s="6" t="str">
        <f t="shared" si="751"/>
        <v>=2.873*100000000</v>
      </c>
      <c r="AL1575" s="1">
        <f>2.873*100000000</f>
        <v>287300000</v>
      </c>
      <c r="AM1575" s="8">
        <f t="shared" si="768"/>
        <v>0.21582733812949639</v>
      </c>
      <c r="AN1575" s="6" t="s">
        <v>6581</v>
      </c>
      <c r="AO1575" s="6" t="str">
        <f t="shared" si="752"/>
        <v>=2.363*100000000</v>
      </c>
      <c r="AP1575" s="1">
        <f>2.363*100000000</f>
        <v>236300000</v>
      </c>
      <c r="AQ1575" s="8">
        <f t="shared" si="769"/>
        <v>0.28284473398479915</v>
      </c>
      <c r="AR1575" s="6" t="s">
        <v>12535</v>
      </c>
      <c r="AS1575" s="6" t="str">
        <f t="shared" si="753"/>
        <v>=1.842*100000000</v>
      </c>
      <c r="AT1575" s="1">
        <f>1.842*100000000</f>
        <v>184200000</v>
      </c>
      <c r="AU1575" s="8">
        <f t="shared" si="770"/>
        <v>1.646551724137931</v>
      </c>
      <c r="AV1575" s="7" t="s">
        <v>15076</v>
      </c>
      <c r="AW1575" s="6" t="str">
        <f t="shared" si="754"/>
        <v>=6960*10000</v>
      </c>
      <c r="AX1575" s="1">
        <f>6960*10000</f>
        <v>69600000</v>
      </c>
      <c r="AY1575" s="10">
        <f t="shared" si="771"/>
        <v>-0.83065693430656939</v>
      </c>
      <c r="AZ1575" s="6" t="s">
        <v>15077</v>
      </c>
      <c r="BA1575" s="6" t="str">
        <f t="shared" si="755"/>
        <v>=4.110*100000000</v>
      </c>
      <c r="BB1575" s="1">
        <f>4.11*100000000</f>
        <v>411000000.00000006</v>
      </c>
      <c r="BC1575" s="8">
        <f t="shared" si="772"/>
        <v>0.11715139983691236</v>
      </c>
      <c r="BD1575" s="6" t="s">
        <v>3827</v>
      </c>
      <c r="BE1575" s="6" t="str">
        <f t="shared" si="756"/>
        <v>=3.679*100000000</v>
      </c>
      <c r="BF1575" s="1">
        <f>3.679*100000000</f>
        <v>367900000</v>
      </c>
      <c r="BG1575" s="8">
        <f t="shared" si="773"/>
        <v>0.28636363636363638</v>
      </c>
      <c r="BH1575" s="6" t="s">
        <v>15078</v>
      </c>
      <c r="BI1575" s="6" t="str">
        <f t="shared" si="757"/>
        <v>=2.860*100000000</v>
      </c>
      <c r="BJ1575" s="1">
        <f>2.86*100000000</f>
        <v>286000000</v>
      </c>
      <c r="BK1575" s="6" t="s">
        <v>10000</v>
      </c>
      <c r="BL1575" s="1" t="str">
        <f t="shared" si="759"/>
        <v>=1.134*100000000</v>
      </c>
      <c r="BM1575" s="16">
        <f t="shared" si="774"/>
        <v>1.5220458553791889</v>
      </c>
      <c r="BN1575" s="1">
        <f>1.134*100000000</f>
        <v>113399999.99999999</v>
      </c>
    </row>
    <row r="1576" spans="1:66">
      <c r="A1576" s="18"/>
      <c r="B1576">
        <v>603025</v>
      </c>
      <c r="C1576" t="s">
        <v>58</v>
      </c>
      <c r="D1576" s="6" t="s">
        <v>14985</v>
      </c>
      <c r="E1576" s="7" t="str">
        <f t="shared" si="758"/>
        <v>=4.160*100000000</v>
      </c>
      <c r="F1576" s="1">
        <f>4.16*100000000</f>
        <v>416000000</v>
      </c>
      <c r="G1576" s="8">
        <f t="shared" si="760"/>
        <v>0.18925100057175528</v>
      </c>
      <c r="H1576" s="6" t="s">
        <v>15079</v>
      </c>
      <c r="I1576" s="6" t="str">
        <f t="shared" si="744"/>
        <v>=3.498*100000000</v>
      </c>
      <c r="J1576" s="1">
        <f>3.498*100000000</f>
        <v>349800000</v>
      </c>
      <c r="K1576" s="10">
        <f t="shared" si="761"/>
        <v>0.46237458193979936</v>
      </c>
      <c r="L1576" s="6" t="s">
        <v>7398</v>
      </c>
      <c r="M1576" s="6" t="str">
        <f t="shared" si="745"/>
        <v>=2.392*100000000</v>
      </c>
      <c r="N1576" s="1">
        <f>2.392*100000000</f>
        <v>239200000</v>
      </c>
      <c r="O1576" s="8">
        <f t="shared" si="762"/>
        <v>1.5454932425242098</v>
      </c>
      <c r="P1576" s="7" t="s">
        <v>15080</v>
      </c>
      <c r="Q1576" s="6" t="str">
        <f t="shared" si="746"/>
        <v>=9397*10000</v>
      </c>
      <c r="R1576" s="11">
        <f>9397*10000</f>
        <v>93970000</v>
      </c>
      <c r="S1576" s="8">
        <f t="shared" si="763"/>
        <v>-0.62561752988047803</v>
      </c>
      <c r="T1576" s="6" t="s">
        <v>10390</v>
      </c>
      <c r="U1576" s="6" t="str">
        <f t="shared" si="747"/>
        <v>=2.510*100000000</v>
      </c>
      <c r="V1576" s="1">
        <f>2.51*100000000</f>
        <v>250999999.99999997</v>
      </c>
      <c r="W1576" s="8">
        <f t="shared" si="764"/>
        <v>0.80057388809182184</v>
      </c>
      <c r="X1576" s="6" t="s">
        <v>2000</v>
      </c>
      <c r="Y1576" s="6" t="str">
        <f t="shared" si="748"/>
        <v>=1.394*100000000</v>
      </c>
      <c r="Z1576" s="1">
        <f>1.394*100000000</f>
        <v>139400000</v>
      </c>
      <c r="AA1576" s="8">
        <f t="shared" si="765"/>
        <v>0.70082967301122501</v>
      </c>
      <c r="AB1576" s="7" t="s">
        <v>15081</v>
      </c>
      <c r="AC1576" s="6" t="str">
        <f t="shared" si="749"/>
        <v>=8196*10000</v>
      </c>
      <c r="AD1576" s="1">
        <f>8196*10000</f>
        <v>81960000</v>
      </c>
      <c r="AE1576" s="8">
        <f t="shared" si="766"/>
        <v>0.86188096319854612</v>
      </c>
      <c r="AF1576" s="7" t="s">
        <v>3388</v>
      </c>
      <c r="AG1576" s="6" t="str">
        <f t="shared" si="750"/>
        <v>=4402*10000</v>
      </c>
      <c r="AH1576" s="1">
        <f>4402*10000</f>
        <v>44020000</v>
      </c>
      <c r="AI1576" s="8">
        <f t="shared" si="767"/>
        <v>-0.85173459077130342</v>
      </c>
      <c r="AJ1576" s="6" t="s">
        <v>1715</v>
      </c>
      <c r="AK1576" s="6" t="str">
        <f t="shared" si="751"/>
        <v>=2.969*100000000</v>
      </c>
      <c r="AL1576" s="1">
        <f>2.969*100000000</f>
        <v>296900000</v>
      </c>
      <c r="AM1576" s="8">
        <f t="shared" si="768"/>
        <v>0.20936863543788187</v>
      </c>
      <c r="AN1576" s="6" t="s">
        <v>11811</v>
      </c>
      <c r="AO1576" s="6" t="str">
        <f t="shared" si="752"/>
        <v>=2.455*100000000</v>
      </c>
      <c r="AP1576" s="1">
        <f>2.455*100000000</f>
        <v>245500000</v>
      </c>
      <c r="AQ1576" s="8">
        <f t="shared" si="769"/>
        <v>0.26938986556359878</v>
      </c>
      <c r="AR1576" s="6" t="s">
        <v>15082</v>
      </c>
      <c r="AS1576" s="6" t="str">
        <f t="shared" si="753"/>
        <v>=1.934*100000000</v>
      </c>
      <c r="AT1576" s="1">
        <f>1.934*100000000</f>
        <v>193400000</v>
      </c>
      <c r="AU1576" s="8">
        <f t="shared" si="770"/>
        <v>1.4877797787496785</v>
      </c>
      <c r="AV1576" s="7" t="s">
        <v>15083</v>
      </c>
      <c r="AW1576" s="6" t="str">
        <f t="shared" si="754"/>
        <v>=7774*10000</v>
      </c>
      <c r="AX1576" s="1">
        <f>7774*10000</f>
        <v>77740000</v>
      </c>
      <c r="AY1576" s="10">
        <f t="shared" si="771"/>
        <v>-0.81734022556390973</v>
      </c>
      <c r="AZ1576" s="6" t="s">
        <v>15084</v>
      </c>
      <c r="BA1576" s="6" t="str">
        <f t="shared" si="755"/>
        <v>=4.256*100000000</v>
      </c>
      <c r="BB1576" s="1">
        <f>4.256*100000000</f>
        <v>425600000</v>
      </c>
      <c r="BC1576" s="8">
        <f t="shared" si="772"/>
        <v>0.1271186440677966</v>
      </c>
      <c r="BD1576" s="6" t="s">
        <v>15085</v>
      </c>
      <c r="BE1576" s="6" t="str">
        <f t="shared" si="756"/>
        <v>=3.776*100000000</v>
      </c>
      <c r="BF1576" s="1">
        <f>3.776*100000000</f>
        <v>377600000</v>
      </c>
      <c r="BG1576" s="8">
        <f t="shared" si="773"/>
        <v>0.31889626266154386</v>
      </c>
      <c r="BH1576" s="6" t="s">
        <v>9521</v>
      </c>
      <c r="BI1576" s="6" t="str">
        <f t="shared" si="757"/>
        <v>=2.863*100000000</v>
      </c>
      <c r="BJ1576" s="1">
        <f>2.863*100000000</f>
        <v>286300000</v>
      </c>
      <c r="BK1576" s="6" t="s">
        <v>10000</v>
      </c>
      <c r="BL1576" s="1" t="str">
        <f t="shared" si="759"/>
        <v>=1.134*100000000</v>
      </c>
      <c r="BM1576" s="16">
        <f t="shared" si="774"/>
        <v>1.5246913580246915</v>
      </c>
      <c r="BN1576" s="1">
        <f>1.134*100000000</f>
        <v>113399999.99999999</v>
      </c>
    </row>
    <row r="1577" spans="1:66">
      <c r="A1577" s="19"/>
      <c r="B1577">
        <v>603025</v>
      </c>
      <c r="C1577" t="s">
        <v>68</v>
      </c>
      <c r="D1577" s="6" t="s">
        <v>3487</v>
      </c>
      <c r="E1577" s="7" t="str">
        <f t="shared" si="758"/>
        <v>=3.647*100000000</v>
      </c>
      <c r="F1577" s="1">
        <f>3.647*100000000</f>
        <v>364700000</v>
      </c>
      <c r="G1577" s="8">
        <f t="shared" si="760"/>
        <v>0.20641746609328482</v>
      </c>
      <c r="H1577" s="6" t="s">
        <v>15086</v>
      </c>
      <c r="I1577" s="6" t="str">
        <f t="shared" si="744"/>
        <v>=3.023*100000000</v>
      </c>
      <c r="J1577" s="1">
        <f>3.023*100000000</f>
        <v>302300000</v>
      </c>
      <c r="K1577" s="10">
        <f t="shared" si="761"/>
        <v>0.48989650073928043</v>
      </c>
      <c r="L1577" s="6" t="s">
        <v>10036</v>
      </c>
      <c r="M1577" s="6" t="str">
        <f t="shared" si="745"/>
        <v>=2.029*100000000</v>
      </c>
      <c r="N1577" s="1">
        <f>2.029*100000000</f>
        <v>202900000</v>
      </c>
      <c r="O1577" s="8">
        <f t="shared" si="762"/>
        <v>1.5384711622669835</v>
      </c>
      <c r="P1577" s="7" t="s">
        <v>15087</v>
      </c>
      <c r="Q1577" s="6" t="str">
        <f t="shared" si="746"/>
        <v>=7993*10000</v>
      </c>
      <c r="R1577" s="11">
        <f>7993*10000</f>
        <v>79930000</v>
      </c>
      <c r="S1577" s="8">
        <f t="shared" si="763"/>
        <v>-0.63097876269621422</v>
      </c>
      <c r="T1577" s="6" t="s">
        <v>9828</v>
      </c>
      <c r="U1577" s="6" t="str">
        <f t="shared" si="747"/>
        <v>=2.166*100000000</v>
      </c>
      <c r="V1577" s="1">
        <f>2.166*100000000</f>
        <v>216600000</v>
      </c>
      <c r="W1577" s="8">
        <f t="shared" si="764"/>
        <v>0.80801335559265441</v>
      </c>
      <c r="X1577" s="6" t="s">
        <v>8840</v>
      </c>
      <c r="Y1577" s="6" t="str">
        <f t="shared" si="748"/>
        <v>=1.198*100000000</v>
      </c>
      <c r="Z1577" s="1">
        <f>1.198*100000000</f>
        <v>119800000</v>
      </c>
      <c r="AA1577" s="8">
        <f t="shared" si="765"/>
        <v>0.69977298524404086</v>
      </c>
      <c r="AB1577" s="7" t="s">
        <v>15088</v>
      </c>
      <c r="AC1577" s="6" t="str">
        <f t="shared" si="749"/>
        <v>=7048*10000</v>
      </c>
      <c r="AD1577" s="1">
        <f>7048*10000</f>
        <v>70480000</v>
      </c>
      <c r="AE1577" s="8">
        <f t="shared" si="766"/>
        <v>0.96159198441413862</v>
      </c>
      <c r="AF1577" s="7" t="s">
        <v>15089</v>
      </c>
      <c r="AG1577" s="6" t="str">
        <f t="shared" si="750"/>
        <v>=3593*10000</v>
      </c>
      <c r="AH1577" s="1">
        <f>3593*10000</f>
        <v>35930000</v>
      </c>
      <c r="AI1577" s="8">
        <f t="shared" si="767"/>
        <v>-0.85931871574001562</v>
      </c>
      <c r="AJ1577" s="6" t="s">
        <v>15090</v>
      </c>
      <c r="AK1577" s="6" t="str">
        <f t="shared" si="751"/>
        <v>=2.554*100000000</v>
      </c>
      <c r="AL1577" s="1">
        <f>2.554*100000000</f>
        <v>255399999.99999997</v>
      </c>
      <c r="AM1577" s="8">
        <f t="shared" si="768"/>
        <v>0.2220095693779903</v>
      </c>
      <c r="AN1577" s="6" t="s">
        <v>7643</v>
      </c>
      <c r="AO1577" s="6" t="str">
        <f t="shared" si="752"/>
        <v>=2.090*100000000</v>
      </c>
      <c r="AP1577" s="1">
        <f>2.09*100000000</f>
        <v>209000000</v>
      </c>
      <c r="AQ1577" s="8">
        <f t="shared" si="769"/>
        <v>0.26974483596597815</v>
      </c>
      <c r="AR1577" s="6" t="s">
        <v>2045</v>
      </c>
      <c r="AS1577" s="6" t="str">
        <f t="shared" si="753"/>
        <v>=1.646*100000000</v>
      </c>
      <c r="AT1577" s="1">
        <f>1.646*100000000</f>
        <v>164600000</v>
      </c>
      <c r="AU1577" s="8">
        <f t="shared" si="770"/>
        <v>1.4655482324745357</v>
      </c>
      <c r="AV1577" s="7" t="s">
        <v>15091</v>
      </c>
      <c r="AW1577" s="6" t="str">
        <f t="shared" si="754"/>
        <v>=6676*10000</v>
      </c>
      <c r="AX1577" s="1">
        <f>6676*10000</f>
        <v>66760000</v>
      </c>
      <c r="AY1577" s="10">
        <f t="shared" si="771"/>
        <v>-0.81981106612685561</v>
      </c>
      <c r="AZ1577" s="6" t="s">
        <v>15092</v>
      </c>
      <c r="BA1577" s="6" t="str">
        <f t="shared" si="755"/>
        <v>=3.705*100000000</v>
      </c>
      <c r="BB1577" s="1">
        <f>3.705*100000000</f>
        <v>370500000</v>
      </c>
      <c r="BC1577" s="8">
        <f t="shared" si="772"/>
        <v>0.13511029411764705</v>
      </c>
      <c r="BD1577" s="6" t="s">
        <v>15093</v>
      </c>
      <c r="BE1577" s="6" t="str">
        <f t="shared" si="756"/>
        <v>=3.264*100000000</v>
      </c>
      <c r="BF1577" s="1">
        <f>3.264*100000000</f>
        <v>326400000</v>
      </c>
      <c r="BG1577" s="8">
        <f t="shared" si="773"/>
        <v>0.32038834951456313</v>
      </c>
      <c r="BH1577" s="6" t="s">
        <v>11401</v>
      </c>
      <c r="BI1577" s="6" t="str">
        <f t="shared" si="757"/>
        <v>=2.472*100000000</v>
      </c>
      <c r="BJ1577" s="1">
        <f>2.472*100000000</f>
        <v>247200000</v>
      </c>
      <c r="BK1577" s="7" t="s">
        <v>15094</v>
      </c>
      <c r="BL1577" s="1" t="str">
        <f t="shared" si="759"/>
        <v>=9759*10000</v>
      </c>
      <c r="BM1577" s="16">
        <f t="shared" si="774"/>
        <v>1.5330464186904396</v>
      </c>
      <c r="BN1577" s="1">
        <f>9759*10000</f>
        <v>97590000</v>
      </c>
    </row>
    <row r="1578" spans="1:66">
      <c r="A1578" s="17">
        <v>396</v>
      </c>
      <c r="B1578">
        <v>603026</v>
      </c>
      <c r="C1578" t="s">
        <v>31</v>
      </c>
      <c r="D1578" s="6" t="s">
        <v>15095</v>
      </c>
      <c r="E1578" s="7" t="str">
        <f t="shared" si="758"/>
        <v>=70.56*100000000</v>
      </c>
      <c r="F1578" s="1">
        <f>70.56*100000000</f>
        <v>7056000000</v>
      </c>
      <c r="G1578" s="8">
        <f t="shared" si="760"/>
        <v>0.39584569732937686</v>
      </c>
      <c r="H1578" s="6" t="s">
        <v>15096</v>
      </c>
      <c r="I1578" s="6" t="str">
        <f t="shared" si="744"/>
        <v>=50.55*100000000</v>
      </c>
      <c r="J1578" s="1">
        <f>50.55*100000000</f>
        <v>5055000000</v>
      </c>
      <c r="K1578" s="10">
        <f t="shared" si="761"/>
        <v>0.38645090510148106</v>
      </c>
      <c r="L1578" s="6" t="s">
        <v>15097</v>
      </c>
      <c r="M1578" s="6" t="str">
        <f t="shared" si="745"/>
        <v>=36.46*100000000</v>
      </c>
      <c r="N1578" s="1">
        <f>36.46*100000000</f>
        <v>3646000000</v>
      </c>
      <c r="O1578" s="8">
        <f t="shared" si="762"/>
        <v>1.1637982195845695</v>
      </c>
      <c r="P1578" s="6" t="s">
        <v>9222</v>
      </c>
      <c r="Q1578" s="6" t="str">
        <f t="shared" si="746"/>
        <v>=16.85*100000000</v>
      </c>
      <c r="R1578" s="11">
        <f>16.85*100000000</f>
        <v>1685000000.0000002</v>
      </c>
      <c r="S1578" s="8">
        <f t="shared" si="763"/>
        <v>-0.623463687150838</v>
      </c>
      <c r="T1578" s="6" t="s">
        <v>15098</v>
      </c>
      <c r="U1578" s="6" t="str">
        <f t="shared" si="747"/>
        <v>=44.75*100000000</v>
      </c>
      <c r="V1578" s="1">
        <f>44.75*100000000</f>
        <v>4475000000</v>
      </c>
      <c r="W1578" s="8">
        <f t="shared" si="764"/>
        <v>0.53463648834019206</v>
      </c>
      <c r="X1578" s="6" t="s">
        <v>14459</v>
      </c>
      <c r="Y1578" s="6" t="str">
        <f t="shared" si="748"/>
        <v>=29.16*100000000</v>
      </c>
      <c r="Z1578" s="1">
        <f>29.16*100000000</f>
        <v>2916000000</v>
      </c>
      <c r="AA1578" s="8">
        <f t="shared" si="765"/>
        <v>0.68069164265129656</v>
      </c>
      <c r="AB1578" s="6" t="s">
        <v>6749</v>
      </c>
      <c r="AC1578" s="6" t="str">
        <f t="shared" si="749"/>
        <v>=17.35*100000000</v>
      </c>
      <c r="AD1578" s="1">
        <f>17.35*100000000</f>
        <v>1735000000.0000002</v>
      </c>
      <c r="AE1578" s="8">
        <f t="shared" si="766"/>
        <v>0.99287847461520817</v>
      </c>
      <c r="AF1578" s="6" t="s">
        <v>15069</v>
      </c>
      <c r="AG1578" s="6" t="str">
        <f t="shared" si="750"/>
        <v>=8.706*100000000</v>
      </c>
      <c r="AH1578" s="1">
        <f>8.706*100000000</f>
        <v>870600000</v>
      </c>
      <c r="AI1578" s="8">
        <f t="shared" si="767"/>
        <v>-0.81249192332543618</v>
      </c>
      <c r="AJ1578" s="6" t="s">
        <v>15099</v>
      </c>
      <c r="AK1578" s="6" t="str">
        <f t="shared" si="751"/>
        <v>=46.43*100000000</v>
      </c>
      <c r="AL1578" s="1">
        <f>46.43*100000000</f>
        <v>4643000000</v>
      </c>
      <c r="AM1578" s="8">
        <f t="shared" si="768"/>
        <v>0.3101015801354402</v>
      </c>
      <c r="AN1578" s="6" t="s">
        <v>15100</v>
      </c>
      <c r="AO1578" s="6" t="str">
        <f t="shared" si="752"/>
        <v>=35.44*100000000</v>
      </c>
      <c r="AP1578" s="1">
        <f>35.44*100000000</f>
        <v>3544000000</v>
      </c>
      <c r="AQ1578" s="8">
        <f t="shared" si="769"/>
        <v>0.51388295600170864</v>
      </c>
      <c r="AR1578" s="6" t="s">
        <v>12807</v>
      </c>
      <c r="AS1578" s="6" t="str">
        <f t="shared" si="753"/>
        <v>=23.41*100000000</v>
      </c>
      <c r="AT1578" s="1">
        <f>23.41*100000000</f>
        <v>2341000000</v>
      </c>
      <c r="AU1578" s="8">
        <f t="shared" si="770"/>
        <v>1.0571177504393674</v>
      </c>
      <c r="AV1578" s="6" t="s">
        <v>8450</v>
      </c>
      <c r="AW1578" s="6" t="str">
        <f t="shared" si="754"/>
        <v>=11.38*100000000</v>
      </c>
      <c r="AX1578" s="1">
        <f>11.38*100000000</f>
        <v>1138000000</v>
      </c>
      <c r="AY1578" s="10">
        <f t="shared" si="771"/>
        <v>-0.78653160757831553</v>
      </c>
      <c r="AZ1578" s="6" t="s">
        <v>4001</v>
      </c>
      <c r="BA1578" s="6" t="str">
        <f t="shared" si="755"/>
        <v>=53.31*100000000</v>
      </c>
      <c r="BB1578" s="1">
        <f>53.31*100000000</f>
        <v>5331000000</v>
      </c>
      <c r="BC1578" s="8">
        <f t="shared" si="772"/>
        <v>0.38864287574889295</v>
      </c>
      <c r="BD1578" s="6" t="s">
        <v>1176</v>
      </c>
      <c r="BE1578" s="6" t="str">
        <f t="shared" si="756"/>
        <v>=38.39*100000000</v>
      </c>
      <c r="BF1578" s="1">
        <f>38.39*100000000</f>
        <v>3839000000</v>
      </c>
      <c r="BG1578" s="8">
        <f t="shared" si="773"/>
        <v>0.40211833455076701</v>
      </c>
      <c r="BH1578" s="6" t="s">
        <v>15101</v>
      </c>
      <c r="BI1578" s="6" t="str">
        <f t="shared" si="757"/>
        <v>=27.38*100000000</v>
      </c>
      <c r="BJ1578" s="1">
        <f>27.38*100000000</f>
        <v>2738000000</v>
      </c>
      <c r="BK1578" s="6" t="s">
        <v>5024</v>
      </c>
      <c r="BL1578" s="1" t="str">
        <f t="shared" si="759"/>
        <v>=12.54*100000000</v>
      </c>
      <c r="BM1578" s="16">
        <f t="shared" si="774"/>
        <v>1.1834130781499204</v>
      </c>
      <c r="BN1578" s="1">
        <f>12.54*100000000</f>
        <v>1254000000</v>
      </c>
    </row>
    <row r="1579" spans="1:66">
      <c r="A1579" s="18"/>
      <c r="B1579">
        <v>603026</v>
      </c>
      <c r="C1579" t="s">
        <v>48</v>
      </c>
      <c r="D1579" s="6" t="s">
        <v>4428</v>
      </c>
      <c r="E1579" s="7" t="str">
        <f t="shared" si="758"/>
        <v>=14.90*100000000</v>
      </c>
      <c r="F1579" s="1">
        <f>14.9*100000000</f>
        <v>1490000000</v>
      </c>
      <c r="G1579" s="8">
        <f t="shared" si="760"/>
        <v>0.58325363935819785</v>
      </c>
      <c r="H1579" s="6" t="s">
        <v>15102</v>
      </c>
      <c r="I1579" s="6" t="str">
        <f t="shared" si="744"/>
        <v>=9.411*100000000</v>
      </c>
      <c r="J1579" s="1">
        <f>9.411*100000000</f>
        <v>941100000</v>
      </c>
      <c r="K1579" s="10">
        <f t="shared" si="761"/>
        <v>0.26815793019808654</v>
      </c>
      <c r="L1579" s="6" t="s">
        <v>10402</v>
      </c>
      <c r="M1579" s="6" t="str">
        <f t="shared" si="745"/>
        <v>=7.421*100000000</v>
      </c>
      <c r="N1579" s="1">
        <f>7.421*100000000</f>
        <v>742100000</v>
      </c>
      <c r="O1579" s="8">
        <f t="shared" si="762"/>
        <v>1.5642709053213546</v>
      </c>
      <c r="P1579" s="6" t="s">
        <v>15103</v>
      </c>
      <c r="Q1579" s="6" t="str">
        <f t="shared" si="746"/>
        <v>=2.894*100000000</v>
      </c>
      <c r="R1579" s="11">
        <f>2.894*100000000</f>
        <v>289400000</v>
      </c>
      <c r="S1579" s="8">
        <f t="shared" si="763"/>
        <v>-8.7354146956795969E-2</v>
      </c>
      <c r="T1579" s="6" t="s">
        <v>158</v>
      </c>
      <c r="U1579" s="6" t="str">
        <f t="shared" si="747"/>
        <v>=3.171*100000000</v>
      </c>
      <c r="V1579" s="1">
        <f>3.171*100000000</f>
        <v>317100000</v>
      </c>
      <c r="W1579" s="8">
        <f t="shared" si="764"/>
        <v>2.6264867337602928</v>
      </c>
      <c r="X1579" s="7" t="s">
        <v>1296</v>
      </c>
      <c r="Y1579" s="6" t="str">
        <f t="shared" si="748"/>
        <v>=8744*10000</v>
      </c>
      <c r="Z1579" s="1">
        <f>8744*10000</f>
        <v>87440000</v>
      </c>
      <c r="AA1579" s="8">
        <f t="shared" si="765"/>
        <v>-4.2614696008951887</v>
      </c>
      <c r="AB1579" s="7">
        <f>-2681*10000</f>
        <v>-26810000</v>
      </c>
      <c r="AC1579" s="6" t="str">
        <f t="shared" si="749"/>
        <v>=-26810000</v>
      </c>
      <c r="AD1579" s="1">
        <f>-26810000</f>
        <v>-26810000</v>
      </c>
      <c r="AE1579" s="8">
        <f t="shared" si="766"/>
        <v>2.0577098540145986</v>
      </c>
      <c r="AF1579" s="7">
        <f>-876.8*10000</f>
        <v>-8768000</v>
      </c>
      <c r="AG1579" s="6" t="str">
        <f t="shared" si="750"/>
        <v>=-8768000</v>
      </c>
      <c r="AH1579" s="1">
        <f>-8768000</f>
        <v>-8768000</v>
      </c>
      <c r="AI1579" s="8">
        <f t="shared" si="767"/>
        <v>-1.023646170442287</v>
      </c>
      <c r="AJ1579" s="6" t="s">
        <v>7660</v>
      </c>
      <c r="AK1579" s="6" t="str">
        <f t="shared" si="751"/>
        <v>=3.708*100000000</v>
      </c>
      <c r="AL1579" s="1">
        <f>3.708*100000000</f>
        <v>370800000</v>
      </c>
      <c r="AM1579" s="8">
        <f t="shared" si="768"/>
        <v>3.6043587594300083E-2</v>
      </c>
      <c r="AN1579" s="6" t="s">
        <v>15104</v>
      </c>
      <c r="AO1579" s="6" t="str">
        <f t="shared" si="752"/>
        <v>=3.579*100000000</v>
      </c>
      <c r="AP1579" s="1">
        <f>3.579*100000000</f>
        <v>357900000</v>
      </c>
      <c r="AQ1579" s="8">
        <f t="shared" si="769"/>
        <v>0.36239055957365834</v>
      </c>
      <c r="AR1579" s="6" t="s">
        <v>11604</v>
      </c>
      <c r="AS1579" s="6" t="str">
        <f t="shared" si="753"/>
        <v>=2.627*100000000</v>
      </c>
      <c r="AT1579" s="1">
        <f>2.627*100000000</f>
        <v>262699999.99999997</v>
      </c>
      <c r="AU1579" s="8">
        <f t="shared" si="770"/>
        <v>0.59212121212121194</v>
      </c>
      <c r="AV1579" s="6" t="s">
        <v>12504</v>
      </c>
      <c r="AW1579" s="6" t="str">
        <f t="shared" si="754"/>
        <v>=1.650*100000000</v>
      </c>
      <c r="AX1579" s="1">
        <f>1.65*100000000</f>
        <v>165000000</v>
      </c>
      <c r="AY1579" s="10">
        <f t="shared" si="771"/>
        <v>-0.35471255377395383</v>
      </c>
      <c r="AZ1579" s="6" t="s">
        <v>15105</v>
      </c>
      <c r="BA1579" s="6" t="str">
        <f t="shared" si="755"/>
        <v>=2.557*100000000</v>
      </c>
      <c r="BB1579" s="1">
        <f>2.557*100000000</f>
        <v>255700000</v>
      </c>
      <c r="BC1579" s="8">
        <f t="shared" si="772"/>
        <v>0.20442769665567576</v>
      </c>
      <c r="BD1579" s="6" t="s">
        <v>3651</v>
      </c>
      <c r="BE1579" s="6" t="str">
        <f t="shared" si="756"/>
        <v>=2.123*100000000</v>
      </c>
      <c r="BF1579" s="1">
        <f>2.123*100000000</f>
        <v>212300000.00000003</v>
      </c>
      <c r="BG1579" s="8">
        <f t="shared" si="773"/>
        <v>0.27201917315757956</v>
      </c>
      <c r="BH1579" s="6" t="s">
        <v>2431</v>
      </c>
      <c r="BI1579" s="6" t="str">
        <f t="shared" si="757"/>
        <v>=1.669*100000000</v>
      </c>
      <c r="BJ1579" s="1">
        <f>1.669*100000000</f>
        <v>166900000</v>
      </c>
      <c r="BK1579" s="7" t="s">
        <v>3567</v>
      </c>
      <c r="BL1579" s="1" t="str">
        <f t="shared" si="759"/>
        <v>=8497*10000</v>
      </c>
      <c r="BM1579" s="16">
        <f t="shared" si="774"/>
        <v>0.96422266682358482</v>
      </c>
      <c r="BN1579" s="1">
        <f>8497*10000</f>
        <v>84970000</v>
      </c>
    </row>
    <row r="1580" spans="1:66">
      <c r="A1580" s="18"/>
      <c r="B1580">
        <v>603026</v>
      </c>
      <c r="C1580" t="s">
        <v>58</v>
      </c>
      <c r="D1580" s="6" t="s">
        <v>2841</v>
      </c>
      <c r="E1580" s="7" t="str">
        <f t="shared" si="758"/>
        <v>=15.02*100000000</v>
      </c>
      <c r="F1580" s="1">
        <f>15.02*100000000</f>
        <v>1502000000</v>
      </c>
      <c r="G1580" s="8">
        <f t="shared" si="760"/>
        <v>0.59600467537987456</v>
      </c>
      <c r="H1580" s="6" t="s">
        <v>15102</v>
      </c>
      <c r="I1580" s="6" t="str">
        <f t="shared" si="744"/>
        <v>=9.411*100000000</v>
      </c>
      <c r="J1580" s="1">
        <f>9.411*100000000</f>
        <v>941100000</v>
      </c>
      <c r="K1580" s="10">
        <f t="shared" si="761"/>
        <v>0.26849979781641731</v>
      </c>
      <c r="L1580" s="6" t="s">
        <v>15106</v>
      </c>
      <c r="M1580" s="6" t="str">
        <f t="shared" si="745"/>
        <v>=7.419*100000000</v>
      </c>
      <c r="N1580" s="1">
        <f>7.419*100000000</f>
        <v>741900000</v>
      </c>
      <c r="O1580" s="8">
        <f t="shared" si="762"/>
        <v>1.5662400553441715</v>
      </c>
      <c r="P1580" s="6" t="s">
        <v>6371</v>
      </c>
      <c r="Q1580" s="6" t="str">
        <f t="shared" si="746"/>
        <v>=2.891*100000000</v>
      </c>
      <c r="R1580" s="11">
        <f>2.891*100000000</f>
        <v>289100000</v>
      </c>
      <c r="S1580" s="8">
        <f t="shared" si="763"/>
        <v>-8.1055308328035605E-2</v>
      </c>
      <c r="T1580" s="6" t="s">
        <v>15107</v>
      </c>
      <c r="U1580" s="6" t="str">
        <f t="shared" si="747"/>
        <v>=3.146*100000000</v>
      </c>
      <c r="V1580" s="1">
        <f>3.146*100000000</f>
        <v>314600000</v>
      </c>
      <c r="W1580" s="8">
        <f t="shared" si="764"/>
        <v>2.5811041548093341</v>
      </c>
      <c r="X1580" s="7" t="s">
        <v>15108</v>
      </c>
      <c r="Y1580" s="6" t="str">
        <f t="shared" si="748"/>
        <v>=8785*10000</v>
      </c>
      <c r="Z1580" s="1">
        <f>8785*10000</f>
        <v>87850000</v>
      </c>
      <c r="AA1580" s="8">
        <f t="shared" si="765"/>
        <v>-4.306360557019195</v>
      </c>
      <c r="AB1580" s="7">
        <f>-2657*10000</f>
        <v>-26570000</v>
      </c>
      <c r="AC1580" s="6" t="str">
        <f t="shared" si="749"/>
        <v>=-26570000</v>
      </c>
      <c r="AD1580" s="1">
        <f>-26570000</f>
        <v>-26570000</v>
      </c>
      <c r="AE1580" s="8">
        <f t="shared" si="766"/>
        <v>2.1388068517424692</v>
      </c>
      <c r="AF1580" s="7">
        <f>-846.5*10000</f>
        <v>-8465000</v>
      </c>
      <c r="AG1580" s="6" t="str">
        <f t="shared" si="750"/>
        <v>=-8465000</v>
      </c>
      <c r="AH1580" s="1">
        <f>-8465000</f>
        <v>-8465000</v>
      </c>
      <c r="AI1580" s="8">
        <f t="shared" si="767"/>
        <v>-1.0229031385281386</v>
      </c>
      <c r="AJ1580" s="6" t="s">
        <v>5702</v>
      </c>
      <c r="AK1580" s="6" t="str">
        <f t="shared" si="751"/>
        <v>=3.696*100000000</v>
      </c>
      <c r="AL1580" s="1">
        <f>3.696*100000000</f>
        <v>369600000</v>
      </c>
      <c r="AM1580" s="8">
        <f t="shared" si="768"/>
        <v>3.7037037037037035E-2</v>
      </c>
      <c r="AN1580" s="6" t="s">
        <v>15109</v>
      </c>
      <c r="AO1580" s="6" t="str">
        <f t="shared" si="752"/>
        <v>=3.564*100000000</v>
      </c>
      <c r="AP1580" s="1">
        <f>3.564*100000000</f>
        <v>356400000</v>
      </c>
      <c r="AQ1580" s="8">
        <f t="shared" si="769"/>
        <v>0.35616438356164382</v>
      </c>
      <c r="AR1580" s="6" t="s">
        <v>10543</v>
      </c>
      <c r="AS1580" s="6" t="str">
        <f t="shared" si="753"/>
        <v>=2.628*100000000</v>
      </c>
      <c r="AT1580" s="1">
        <f>2.628*100000000</f>
        <v>262800000</v>
      </c>
      <c r="AU1580" s="8">
        <f t="shared" si="770"/>
        <v>0.59079903147699753</v>
      </c>
      <c r="AV1580" s="6" t="s">
        <v>10131</v>
      </c>
      <c r="AW1580" s="6" t="str">
        <f t="shared" si="754"/>
        <v>=1.652*100000000</v>
      </c>
      <c r="AX1580" s="1">
        <f>1.652*100000000</f>
        <v>165200000</v>
      </c>
      <c r="AY1580" s="10">
        <f t="shared" si="771"/>
        <v>-0.33734456478138791</v>
      </c>
      <c r="AZ1580" s="6" t="s">
        <v>2641</v>
      </c>
      <c r="BA1580" s="6" t="str">
        <f t="shared" si="755"/>
        <v>=2.493*100000000</v>
      </c>
      <c r="BB1580" s="1">
        <f>2.493*100000000</f>
        <v>249300000</v>
      </c>
      <c r="BC1580" s="8">
        <f t="shared" si="772"/>
        <v>0.20260492040520983</v>
      </c>
      <c r="BD1580" s="6" t="s">
        <v>15110</v>
      </c>
      <c r="BE1580" s="6" t="str">
        <f t="shared" si="756"/>
        <v>=2.073*100000000</v>
      </c>
      <c r="BF1580" s="1">
        <f>2.073*100000000</f>
        <v>207300000</v>
      </c>
      <c r="BG1580" s="8">
        <f t="shared" si="773"/>
        <v>0.2702205882352941</v>
      </c>
      <c r="BH1580" s="6" t="s">
        <v>5679</v>
      </c>
      <c r="BI1580" s="6" t="str">
        <f t="shared" si="757"/>
        <v>=1.632*100000000</v>
      </c>
      <c r="BJ1580" s="1">
        <f>1.632*100000000</f>
        <v>163200000</v>
      </c>
      <c r="BK1580" s="7" t="s">
        <v>6255</v>
      </c>
      <c r="BL1580" s="1" t="str">
        <f t="shared" si="759"/>
        <v>=8057*10000</v>
      </c>
      <c r="BM1580" s="16">
        <f t="shared" si="774"/>
        <v>1.02556782921683</v>
      </c>
      <c r="BN1580" s="1">
        <f>8057*10000</f>
        <v>80570000</v>
      </c>
    </row>
    <row r="1581" spans="1:66">
      <c r="A1581" s="19"/>
      <c r="B1581">
        <v>603026</v>
      </c>
      <c r="C1581" t="s">
        <v>68</v>
      </c>
      <c r="D1581" s="6" t="s">
        <v>5040</v>
      </c>
      <c r="E1581" s="7" t="str">
        <f t="shared" si="758"/>
        <v>=12.99*100000000</v>
      </c>
      <c r="F1581" s="1">
        <f>12.99*100000000</f>
        <v>1299000000</v>
      </c>
      <c r="G1581" s="8">
        <f t="shared" si="760"/>
        <v>0.6118625139595486</v>
      </c>
      <c r="H1581" s="6" t="s">
        <v>15111</v>
      </c>
      <c r="I1581" s="6" t="str">
        <f t="shared" si="744"/>
        <v>=8.059*100000000</v>
      </c>
      <c r="J1581" s="1">
        <f>8.059*100000000</f>
        <v>805899999.99999988</v>
      </c>
      <c r="K1581" s="10">
        <f t="shared" si="761"/>
        <v>0.29171341561147601</v>
      </c>
      <c r="L1581" s="6" t="s">
        <v>902</v>
      </c>
      <c r="M1581" s="6" t="str">
        <f t="shared" si="745"/>
        <v>=6.239*100000000</v>
      </c>
      <c r="N1581" s="1">
        <f>6.239*100000000</f>
        <v>623900000</v>
      </c>
      <c r="O1581" s="8">
        <f t="shared" si="762"/>
        <v>1.5601148953631516</v>
      </c>
      <c r="P1581" s="6" t="s">
        <v>15112</v>
      </c>
      <c r="Q1581" s="6" t="str">
        <f t="shared" si="746"/>
        <v>=2.437*100000000</v>
      </c>
      <c r="R1581" s="11">
        <f>2.437*100000000</f>
        <v>243699999.99999997</v>
      </c>
      <c r="S1581" s="8">
        <f t="shared" si="763"/>
        <v>-6.4132104454685215E-2</v>
      </c>
      <c r="T1581" s="6" t="s">
        <v>7719</v>
      </c>
      <c r="U1581" s="6" t="str">
        <f t="shared" si="747"/>
        <v>=2.604*100000000</v>
      </c>
      <c r="V1581" s="1">
        <f>2.604*100000000</f>
        <v>260400000</v>
      </c>
      <c r="W1581" s="8">
        <f t="shared" si="764"/>
        <v>3.2067851373182554</v>
      </c>
      <c r="X1581" s="7" t="s">
        <v>15113</v>
      </c>
      <c r="Y1581" s="6" t="str">
        <f t="shared" si="748"/>
        <v>=6190*10000</v>
      </c>
      <c r="Z1581" s="1">
        <f>6190*10000</f>
        <v>61900000</v>
      </c>
      <c r="AA1581" s="8">
        <f t="shared" si="765"/>
        <v>-2.8706557872469025</v>
      </c>
      <c r="AB1581" s="7">
        <f>-3309*10000</f>
        <v>-33090000</v>
      </c>
      <c r="AC1581" s="6" t="str">
        <f t="shared" si="749"/>
        <v>=-33090000</v>
      </c>
      <c r="AD1581" s="1">
        <f>-33090000</f>
        <v>-33090000</v>
      </c>
      <c r="AE1581" s="8">
        <f t="shared" si="766"/>
        <v>1.7529118136439268</v>
      </c>
      <c r="AF1581" s="7">
        <f>-1202*10000</f>
        <v>-12020000</v>
      </c>
      <c r="AG1581" s="6" t="str">
        <f t="shared" si="750"/>
        <v>=-12020000</v>
      </c>
      <c r="AH1581" s="1">
        <f>-12020000</f>
        <v>-12020000</v>
      </c>
      <c r="AI1581" s="8">
        <f t="shared" si="767"/>
        <v>-1.0361177884615385</v>
      </c>
      <c r="AJ1581" s="6" t="s">
        <v>2306</v>
      </c>
      <c r="AK1581" s="6" t="str">
        <f t="shared" si="751"/>
        <v>=3.328*100000000</v>
      </c>
      <c r="AL1581" s="1">
        <f>3.328*100000000</f>
        <v>332800000</v>
      </c>
      <c r="AM1581" s="8">
        <f t="shared" si="768"/>
        <v>2.8748068006182379E-2</v>
      </c>
      <c r="AN1581" s="6" t="s">
        <v>15114</v>
      </c>
      <c r="AO1581" s="6" t="str">
        <f t="shared" si="752"/>
        <v>=3.235*100000000</v>
      </c>
      <c r="AP1581" s="1">
        <f>3.235*100000000</f>
        <v>323500000</v>
      </c>
      <c r="AQ1581" s="8">
        <f t="shared" si="769"/>
        <v>0.35412306404353305</v>
      </c>
      <c r="AR1581" s="6" t="s">
        <v>15115</v>
      </c>
      <c r="AS1581" s="6" t="str">
        <f t="shared" si="753"/>
        <v>=2.389*100000000</v>
      </c>
      <c r="AT1581" s="1">
        <f>2.389*100000000</f>
        <v>238899999.99999997</v>
      </c>
      <c r="AU1581" s="8">
        <f t="shared" si="770"/>
        <v>0.68714689265536699</v>
      </c>
      <c r="AV1581" s="6" t="s">
        <v>7608</v>
      </c>
      <c r="AW1581" s="6" t="str">
        <f t="shared" si="754"/>
        <v>=1.416*100000000</v>
      </c>
      <c r="AX1581" s="1">
        <f>1.416*100000000</f>
        <v>141600000</v>
      </c>
      <c r="AY1581" s="10">
        <f t="shared" si="771"/>
        <v>-0.30451866404715128</v>
      </c>
      <c r="AZ1581" s="6" t="s">
        <v>15116</v>
      </c>
      <c r="BA1581" s="6" t="str">
        <f t="shared" si="755"/>
        <v>=2.036*100000000</v>
      </c>
      <c r="BB1581" s="1">
        <f>2.036*100000000</f>
        <v>203600000</v>
      </c>
      <c r="BC1581" s="8">
        <f t="shared" si="772"/>
        <v>0.21479713603818615</v>
      </c>
      <c r="BD1581" s="6" t="s">
        <v>12479</v>
      </c>
      <c r="BE1581" s="6" t="str">
        <f t="shared" si="756"/>
        <v>=1.676*100000000</v>
      </c>
      <c r="BF1581" s="1">
        <f>1.676*100000000</f>
        <v>167600000</v>
      </c>
      <c r="BG1581" s="8">
        <f t="shared" si="773"/>
        <v>0.26490566037735847</v>
      </c>
      <c r="BH1581" s="6" t="s">
        <v>6141</v>
      </c>
      <c r="BI1581" s="6" t="str">
        <f t="shared" si="757"/>
        <v>=1.325*100000000</v>
      </c>
      <c r="BJ1581" s="1">
        <f>1.325*100000000</f>
        <v>132500000</v>
      </c>
      <c r="BK1581" s="7" t="s">
        <v>6549</v>
      </c>
      <c r="BL1581" s="1" t="str">
        <f t="shared" si="759"/>
        <v>=6632*10000</v>
      </c>
      <c r="BM1581" s="16">
        <f t="shared" si="774"/>
        <v>0.99788902291917969</v>
      </c>
      <c r="BN1581" s="1">
        <f>6632*10000</f>
        <v>66320000</v>
      </c>
    </row>
    <row r="1582" spans="1:66">
      <c r="A1582" s="17">
        <v>397</v>
      </c>
      <c r="B1582">
        <v>603029</v>
      </c>
      <c r="C1582" t="s">
        <v>31</v>
      </c>
      <c r="D1582" s="6" t="s">
        <v>10827</v>
      </c>
      <c r="E1582" s="7" t="str">
        <f t="shared" si="758"/>
        <v>=5.217*100000000</v>
      </c>
      <c r="F1582" s="1">
        <f>5.217*100000000</f>
        <v>521699999.99999994</v>
      </c>
      <c r="G1582" s="8">
        <f t="shared" si="760"/>
        <v>1.1638324346744087</v>
      </c>
      <c r="H1582" s="6" t="s">
        <v>6398</v>
      </c>
      <c r="I1582" s="6" t="str">
        <f t="shared" si="744"/>
        <v>=2.411*100000000</v>
      </c>
      <c r="J1582" s="1">
        <f>2.411*100000000</f>
        <v>241100000</v>
      </c>
      <c r="K1582" s="10">
        <f t="shared" si="761"/>
        <v>0.78592592592592592</v>
      </c>
      <c r="L1582" s="6" t="s">
        <v>11547</v>
      </c>
      <c r="M1582" s="6" t="str">
        <f t="shared" si="745"/>
        <v>=1.350*100000000</v>
      </c>
      <c r="N1582" s="1">
        <f>1.35*100000000</f>
        <v>135000000</v>
      </c>
      <c r="O1582" s="8">
        <f t="shared" si="762"/>
        <v>0.68392166645877506</v>
      </c>
      <c r="P1582" s="7" t="s">
        <v>15117</v>
      </c>
      <c r="Q1582" s="6" t="str">
        <f t="shared" si="746"/>
        <v>=8017*10000</v>
      </c>
      <c r="R1582" s="11">
        <f>8017*10000</f>
        <v>80170000</v>
      </c>
      <c r="S1582" s="8">
        <f t="shared" si="763"/>
        <v>-0.82104910714285717</v>
      </c>
      <c r="T1582" s="6" t="s">
        <v>15118</v>
      </c>
      <c r="U1582" s="6" t="str">
        <f t="shared" si="747"/>
        <v>=4.480*100000000</v>
      </c>
      <c r="V1582" s="1">
        <f>4.48*100000000</f>
        <v>448000000.00000006</v>
      </c>
      <c r="W1582" s="8">
        <f t="shared" si="764"/>
        <v>0.67476635514018735</v>
      </c>
      <c r="X1582" s="6" t="s">
        <v>7642</v>
      </c>
      <c r="Y1582" s="6" t="str">
        <f t="shared" si="748"/>
        <v>=2.675*100000000</v>
      </c>
      <c r="Z1582" s="1">
        <f>2.675*100000000</f>
        <v>267499999.99999997</v>
      </c>
      <c r="AA1582" s="8">
        <f t="shared" si="765"/>
        <v>0.92307692307692291</v>
      </c>
      <c r="AB1582" s="6" t="s">
        <v>123</v>
      </c>
      <c r="AC1582" s="6" t="str">
        <f t="shared" si="749"/>
        <v>=1.391*100000000</v>
      </c>
      <c r="AD1582" s="1">
        <f>1.391*100000000</f>
        <v>139100000</v>
      </c>
      <c r="AE1582" s="8">
        <f t="shared" si="766"/>
        <v>0.83315761729045867</v>
      </c>
      <c r="AF1582" s="7" t="s">
        <v>7681</v>
      </c>
      <c r="AG1582" s="6" t="str">
        <f t="shared" si="750"/>
        <v>=7588*10000</v>
      </c>
      <c r="AH1582" s="1">
        <f>7588*10000</f>
        <v>75880000</v>
      </c>
      <c r="AI1582" s="8">
        <f t="shared" si="767"/>
        <v>-0.83557963163596971</v>
      </c>
      <c r="AJ1582" s="6" t="s">
        <v>4414</v>
      </c>
      <c r="AK1582" s="6" t="str">
        <f t="shared" si="751"/>
        <v>=4.615*100000000</v>
      </c>
      <c r="AL1582" s="1">
        <f>4.615*100000000</f>
        <v>461500000</v>
      </c>
      <c r="AM1582" s="8">
        <f t="shared" si="768"/>
        <v>0.7950213924542977</v>
      </c>
      <c r="AN1582" s="6" t="s">
        <v>4739</v>
      </c>
      <c r="AO1582" s="6" t="str">
        <f t="shared" si="752"/>
        <v>=2.571*100000000</v>
      </c>
      <c r="AP1582" s="1">
        <f>2.571*100000000</f>
        <v>257100000.00000003</v>
      </c>
      <c r="AQ1582" s="8">
        <f t="shared" si="769"/>
        <v>0.95513307984790896</v>
      </c>
      <c r="AR1582" s="6" t="s">
        <v>11648</v>
      </c>
      <c r="AS1582" s="6" t="str">
        <f t="shared" si="753"/>
        <v>=1.315*100000000</v>
      </c>
      <c r="AT1582" s="1">
        <f>1.315*100000000</f>
        <v>131500000</v>
      </c>
      <c r="AU1582" s="8">
        <f t="shared" si="770"/>
        <v>0.73689076740192838</v>
      </c>
      <c r="AV1582" s="7" t="s">
        <v>15119</v>
      </c>
      <c r="AW1582" s="6" t="str">
        <f t="shared" si="754"/>
        <v>=7571*10000</v>
      </c>
      <c r="AX1582" s="1">
        <f>7571*10000</f>
        <v>75710000</v>
      </c>
      <c r="AY1582" s="10">
        <f t="shared" si="771"/>
        <v>-0.77216370749322905</v>
      </c>
      <c r="AZ1582" s="6" t="s">
        <v>15120</v>
      </c>
      <c r="BA1582" s="6" t="str">
        <f t="shared" si="755"/>
        <v>=3.323*100000000</v>
      </c>
      <c r="BB1582" s="1">
        <f>3.323*100000000</f>
        <v>332300000</v>
      </c>
      <c r="BC1582" s="8">
        <f t="shared" si="772"/>
        <v>0.63775258748151797</v>
      </c>
      <c r="BD1582" s="6" t="s">
        <v>10036</v>
      </c>
      <c r="BE1582" s="6" t="str">
        <f t="shared" si="756"/>
        <v>=2.029*100000000</v>
      </c>
      <c r="BF1582" s="1">
        <f>2.029*100000000</f>
        <v>202900000</v>
      </c>
      <c r="BG1582" s="8">
        <f t="shared" si="773"/>
        <v>1.6062941554271033</v>
      </c>
      <c r="BH1582" s="7" t="s">
        <v>10385</v>
      </c>
      <c r="BI1582" s="6" t="str">
        <f t="shared" si="757"/>
        <v>=7785*10000</v>
      </c>
      <c r="BJ1582" s="1">
        <f>7785*10000</f>
        <v>77850000</v>
      </c>
      <c r="BK1582" s="7" t="s">
        <v>7732</v>
      </c>
      <c r="BL1582" s="1" t="str">
        <f t="shared" si="759"/>
        <v>=5135*10000</v>
      </c>
      <c r="BM1582" s="16">
        <f t="shared" si="774"/>
        <v>0.51606621226874394</v>
      </c>
      <c r="BN1582" s="1">
        <f>5135*10000</f>
        <v>51350000</v>
      </c>
    </row>
    <row r="1583" spans="1:66">
      <c r="A1583" s="18"/>
      <c r="B1583">
        <v>603029</v>
      </c>
      <c r="C1583" t="s">
        <v>48</v>
      </c>
      <c r="D1583" s="7" t="s">
        <v>9805</v>
      </c>
      <c r="E1583" s="7" t="str">
        <f t="shared" si="758"/>
        <v>=3157*10000</v>
      </c>
      <c r="F1583" s="1">
        <f>3157*10000</f>
        <v>31570000</v>
      </c>
      <c r="G1583" s="8">
        <f t="shared" si="760"/>
        <v>-25.956521739130434</v>
      </c>
      <c r="H1583" s="7">
        <f>-126.5*10000</f>
        <v>-1265000</v>
      </c>
      <c r="I1583" s="6" t="str">
        <f t="shared" si="744"/>
        <v>=-1265000</v>
      </c>
      <c r="J1583" s="1">
        <f>-1265000</f>
        <v>-1265000</v>
      </c>
      <c r="K1583" s="10">
        <f t="shared" si="761"/>
        <v>-1.8821478382147838</v>
      </c>
      <c r="L1583" s="7" t="s">
        <v>15121</v>
      </c>
      <c r="M1583" s="6" t="str">
        <f t="shared" si="745"/>
        <v>=143.4*10000</v>
      </c>
      <c r="N1583" s="1">
        <f>143.4*10000</f>
        <v>1434000</v>
      </c>
      <c r="O1583" s="8">
        <f t="shared" si="762"/>
        <v>-0.13873873873873874</v>
      </c>
      <c r="P1583" s="7" t="s">
        <v>15122</v>
      </c>
      <c r="Q1583" s="6" t="str">
        <f t="shared" si="746"/>
        <v>=166.5*10000</v>
      </c>
      <c r="R1583" s="11">
        <f>166.5*10000</f>
        <v>1665000</v>
      </c>
      <c r="S1583" s="8">
        <f t="shared" si="763"/>
        <v>-1.1337349397590362</v>
      </c>
      <c r="T1583" s="7">
        <f>-1245*10000</f>
        <v>-12450000</v>
      </c>
      <c r="U1583" s="6" t="str">
        <f t="shared" si="747"/>
        <v>=-12450000</v>
      </c>
      <c r="V1583" s="1">
        <f>-12450000</f>
        <v>-12450000</v>
      </c>
      <c r="W1583" s="8">
        <f t="shared" si="764"/>
        <v>-0.60108939442486387</v>
      </c>
      <c r="X1583" s="7">
        <f>-3121*10000</f>
        <v>-31210000</v>
      </c>
      <c r="Y1583" s="6" t="str">
        <f t="shared" si="748"/>
        <v>=-31210000</v>
      </c>
      <c r="Z1583" s="1">
        <f>-31210000</f>
        <v>-31210000</v>
      </c>
      <c r="AA1583" s="8">
        <f t="shared" si="765"/>
        <v>1.0253082414016872</v>
      </c>
      <c r="AB1583" s="7">
        <f>-1541*10000</f>
        <v>-15410000</v>
      </c>
      <c r="AC1583" s="6" t="str">
        <f t="shared" si="749"/>
        <v>=-15410000</v>
      </c>
      <c r="AD1583" s="1">
        <f>-15410000</f>
        <v>-15410000</v>
      </c>
      <c r="AE1583" s="8">
        <f t="shared" si="766"/>
        <v>1.6495873452544705</v>
      </c>
      <c r="AF1583" s="7">
        <f>-581.6*10000</f>
        <v>-5816000</v>
      </c>
      <c r="AG1583" s="6" t="str">
        <f t="shared" si="750"/>
        <v>=-5816000</v>
      </c>
      <c r="AH1583" s="1">
        <f>-5816000</f>
        <v>-5816000</v>
      </c>
      <c r="AI1583" s="8">
        <f t="shared" si="767"/>
        <v>-1.2338560514676318</v>
      </c>
      <c r="AJ1583" s="7" t="s">
        <v>10985</v>
      </c>
      <c r="AK1583" s="6" t="str">
        <f t="shared" si="751"/>
        <v>=2487*10000</v>
      </c>
      <c r="AL1583" s="1">
        <f>2487*10000</f>
        <v>24870000</v>
      </c>
      <c r="AM1583" s="8">
        <f t="shared" si="768"/>
        <v>-4.7014436672123825</v>
      </c>
      <c r="AN1583" s="7">
        <f>-671.9*10000</f>
        <v>-6719000</v>
      </c>
      <c r="AO1583" s="6" t="str">
        <f t="shared" si="752"/>
        <v>=-6719000</v>
      </c>
      <c r="AP1583" s="1">
        <f>-6719000</f>
        <v>-6719000</v>
      </c>
      <c r="AQ1583" s="8">
        <f t="shared" si="769"/>
        <v>-0.50848573518653983</v>
      </c>
      <c r="AR1583" s="7">
        <f>-1367*10000</f>
        <v>-13670000</v>
      </c>
      <c r="AS1583" s="6" t="str">
        <f t="shared" si="753"/>
        <v>=-13670000</v>
      </c>
      <c r="AT1583" s="1">
        <f>-13670000</f>
        <v>-13670000</v>
      </c>
      <c r="AU1583" s="8">
        <f t="shared" si="770"/>
        <v>1.2123320925716135</v>
      </c>
      <c r="AV1583" s="7">
        <f>-617.9*10000</f>
        <v>-6179000</v>
      </c>
      <c r="AW1583" s="6" t="str">
        <f t="shared" si="754"/>
        <v>=-6179000</v>
      </c>
      <c r="AX1583" s="1">
        <f>-6179000</f>
        <v>-6179000</v>
      </c>
      <c r="AY1583" s="10">
        <f t="shared" si="771"/>
        <v>-1.2450039651070579</v>
      </c>
      <c r="AZ1583" s="7" t="s">
        <v>3756</v>
      </c>
      <c r="BA1583" s="6" t="str">
        <f t="shared" si="755"/>
        <v>=2522*10000</v>
      </c>
      <c r="BB1583" s="1">
        <f>2522*10000</f>
        <v>25220000</v>
      </c>
      <c r="BC1583" s="8">
        <f t="shared" si="772"/>
        <v>-4.2115115242582455</v>
      </c>
      <c r="BD1583" s="7">
        <f>-785.3*10000</f>
        <v>-7853000</v>
      </c>
      <c r="BE1583" s="6" t="str">
        <f t="shared" si="756"/>
        <v>=-7853000</v>
      </c>
      <c r="BF1583" s="1">
        <f>-7853000</f>
        <v>-7853000</v>
      </c>
      <c r="BG1583" s="8">
        <f t="shared" si="773"/>
        <v>-0.14455337690631809</v>
      </c>
      <c r="BH1583" s="7">
        <f>-918*10000</f>
        <v>-9180000</v>
      </c>
      <c r="BI1583" s="6" t="str">
        <f t="shared" si="757"/>
        <v>=-9180000</v>
      </c>
      <c r="BJ1583" s="1">
        <f>-9180000</f>
        <v>-9180000</v>
      </c>
      <c r="BK1583" s="7" t="s">
        <v>15123</v>
      </c>
      <c r="BL1583" s="1" t="str">
        <f t="shared" si="759"/>
        <v>=21.17*10000</v>
      </c>
      <c r="BM1583" s="16">
        <f t="shared" si="774"/>
        <v>-44.363249881908352</v>
      </c>
      <c r="BN1583" s="1">
        <f>21.17*10000</f>
        <v>211700.00000000003</v>
      </c>
    </row>
    <row r="1584" spans="1:66">
      <c r="A1584" s="18"/>
      <c r="B1584">
        <v>603029</v>
      </c>
      <c r="C1584" t="s">
        <v>58</v>
      </c>
      <c r="D1584" s="7" t="s">
        <v>11369</v>
      </c>
      <c r="E1584" s="7" t="str">
        <f t="shared" si="758"/>
        <v>=3663*10000</v>
      </c>
      <c r="F1584" s="1">
        <f>3663*10000</f>
        <v>36630000</v>
      </c>
      <c r="G1584" s="8">
        <f t="shared" si="760"/>
        <v>10.927710843373495</v>
      </c>
      <c r="H1584" s="7" t="s">
        <v>15124</v>
      </c>
      <c r="I1584" s="6" t="str">
        <f t="shared" si="744"/>
        <v>=307.1*10000</v>
      </c>
      <c r="J1584" s="1">
        <f>307.1*10000</f>
        <v>3071000</v>
      </c>
      <c r="K1584" s="10">
        <f t="shared" si="761"/>
        <v>-0.24987787005373718</v>
      </c>
      <c r="L1584" s="7" t="s">
        <v>15125</v>
      </c>
      <c r="M1584" s="6" t="str">
        <f t="shared" si="745"/>
        <v>=409.4*10000</v>
      </c>
      <c r="N1584" s="1">
        <f>409.4*10000</f>
        <v>4094000</v>
      </c>
      <c r="O1584" s="8">
        <f t="shared" si="762"/>
        <v>0.37336464273733644</v>
      </c>
      <c r="P1584" s="7" t="s">
        <v>15126</v>
      </c>
      <c r="Q1584" s="6" t="str">
        <f t="shared" si="746"/>
        <v>=298.1*10000</v>
      </c>
      <c r="R1584" s="11">
        <f>298.1*10000</f>
        <v>2981000</v>
      </c>
      <c r="S1584" s="8">
        <f t="shared" si="763"/>
        <v>-1.5578218562874251</v>
      </c>
      <c r="T1584" s="7">
        <f>-534.4*10000</f>
        <v>-5344000</v>
      </c>
      <c r="U1584" s="6" t="str">
        <f t="shared" si="747"/>
        <v>=-5344000</v>
      </c>
      <c r="V1584" s="1">
        <f>-5344000</f>
        <v>-5344000</v>
      </c>
      <c r="W1584" s="8">
        <f t="shared" si="764"/>
        <v>-0.79326885880077369</v>
      </c>
      <c r="X1584" s="7">
        <f>-2585*10000</f>
        <v>-25850000</v>
      </c>
      <c r="Y1584" s="6" t="str">
        <f t="shared" si="748"/>
        <v>=-25850000</v>
      </c>
      <c r="Z1584" s="1">
        <f>-25850000</f>
        <v>-25850000</v>
      </c>
      <c r="AA1584" s="8">
        <f t="shared" si="765"/>
        <v>1.1814345991561181</v>
      </c>
      <c r="AB1584" s="7">
        <f>-1185*10000</f>
        <v>-11850000</v>
      </c>
      <c r="AC1584" s="6" t="str">
        <f t="shared" si="749"/>
        <v>=-11850000</v>
      </c>
      <c r="AD1584" s="1">
        <f>-11850000</f>
        <v>-11850000</v>
      </c>
      <c r="AE1584" s="8">
        <f t="shared" si="766"/>
        <v>1.9353480307158781</v>
      </c>
      <c r="AF1584" s="7">
        <f>-403.7*10000</f>
        <v>-4037000</v>
      </c>
      <c r="AG1584" s="6" t="str">
        <f t="shared" si="750"/>
        <v>=-4037000</v>
      </c>
      <c r="AH1584" s="1">
        <f>-4037000</f>
        <v>-4037000</v>
      </c>
      <c r="AI1584" s="8">
        <f t="shared" si="767"/>
        <v>-1.1454250720461094</v>
      </c>
      <c r="AJ1584" s="7" t="s">
        <v>8354</v>
      </c>
      <c r="AK1584" s="6" t="str">
        <f t="shared" si="751"/>
        <v>=2776*10000</v>
      </c>
      <c r="AL1584" s="1">
        <f>2776*10000</f>
        <v>27760000</v>
      </c>
      <c r="AM1584" s="8">
        <f t="shared" si="768"/>
        <v>-7.2890801993656549</v>
      </c>
      <c r="AN1584" s="7">
        <f>-441.4*10000</f>
        <v>-4414000</v>
      </c>
      <c r="AO1584" s="6" t="str">
        <f t="shared" si="752"/>
        <v>=-4414000</v>
      </c>
      <c r="AP1584" s="1">
        <f>-4414000</f>
        <v>-4414000</v>
      </c>
      <c r="AQ1584" s="8">
        <f t="shared" si="769"/>
        <v>-0.63789991796554557</v>
      </c>
      <c r="AR1584" s="7">
        <f>-1219*10000</f>
        <v>-12190000</v>
      </c>
      <c r="AS1584" s="6" t="str">
        <f t="shared" si="753"/>
        <v>=-12190000</v>
      </c>
      <c r="AT1584" s="1">
        <f>-12190000</f>
        <v>-12190000</v>
      </c>
      <c r="AU1584" s="8">
        <f t="shared" si="770"/>
        <v>1.2220196864746629</v>
      </c>
      <c r="AV1584" s="7">
        <f>-548.6*10000</f>
        <v>-5486000</v>
      </c>
      <c r="AW1584" s="6" t="str">
        <f t="shared" si="754"/>
        <v>=-5486000</v>
      </c>
      <c r="AX1584" s="1">
        <f>-5486000</f>
        <v>-5486000</v>
      </c>
      <c r="AY1584" s="10">
        <f t="shared" si="771"/>
        <v>-1.1939201131141746</v>
      </c>
      <c r="AZ1584" s="7" t="s">
        <v>15127</v>
      </c>
      <c r="BA1584" s="6" t="str">
        <f t="shared" si="755"/>
        <v>=2829*10000</v>
      </c>
      <c r="BB1584" s="1">
        <f>2829*10000</f>
        <v>28290000</v>
      </c>
      <c r="BC1584" s="8">
        <f t="shared" si="772"/>
        <v>-6.1464435146443517</v>
      </c>
      <c r="BD1584" s="7">
        <f>-549.7*10000</f>
        <v>-5497000</v>
      </c>
      <c r="BE1584" s="6" t="str">
        <f t="shared" si="756"/>
        <v>=-5497000</v>
      </c>
      <c r="BF1584" s="1">
        <f>-5497000</f>
        <v>-5497000</v>
      </c>
      <c r="BG1584" s="8">
        <f t="shared" si="773"/>
        <v>-0.29380781089414182</v>
      </c>
      <c r="BH1584" s="7">
        <f>-778.4*10000</f>
        <v>-7784000</v>
      </c>
      <c r="BI1584" s="6" t="str">
        <f t="shared" si="757"/>
        <v>=-7784000</v>
      </c>
      <c r="BJ1584" s="1">
        <f>-7784000</f>
        <v>-7784000</v>
      </c>
      <c r="BK1584" s="7" t="s">
        <v>15128</v>
      </c>
      <c r="BL1584" s="1" t="str">
        <f t="shared" si="759"/>
        <v>=110.8*10000</v>
      </c>
      <c r="BM1584" s="16">
        <f t="shared" si="774"/>
        <v>-8.025270758122744</v>
      </c>
      <c r="BN1584" s="1">
        <f>110.8*10000</f>
        <v>1108000</v>
      </c>
    </row>
    <row r="1585" spans="1:66">
      <c r="A1585" s="19"/>
      <c r="B1585">
        <v>603029</v>
      </c>
      <c r="C1585" t="s">
        <v>68</v>
      </c>
      <c r="D1585" s="7" t="s">
        <v>15129</v>
      </c>
      <c r="E1585" s="7" t="str">
        <f t="shared" si="758"/>
        <v>=3614*10000</v>
      </c>
      <c r="F1585" s="1">
        <f>3614*10000</f>
        <v>36140000</v>
      </c>
      <c r="G1585" s="8">
        <f t="shared" si="760"/>
        <v>5.4976627112549439</v>
      </c>
      <c r="H1585" s="7" t="s">
        <v>15130</v>
      </c>
      <c r="I1585" s="6" t="str">
        <f t="shared" si="744"/>
        <v>=556.2*10000</v>
      </c>
      <c r="J1585" s="1">
        <f>556.2*10000</f>
        <v>5562000</v>
      </c>
      <c r="K1585" s="10">
        <f t="shared" si="761"/>
        <v>2.7906117168730364E-2</v>
      </c>
      <c r="L1585" s="7" t="s">
        <v>15131</v>
      </c>
      <c r="M1585" s="6" t="str">
        <f t="shared" si="745"/>
        <v>=541.1*10000</v>
      </c>
      <c r="N1585" s="1">
        <f>541.1*10000</f>
        <v>5411000</v>
      </c>
      <c r="O1585" s="8">
        <f t="shared" si="762"/>
        <v>2.0692002268859899</v>
      </c>
      <c r="P1585" s="7" t="s">
        <v>9792</v>
      </c>
      <c r="Q1585" s="6" t="str">
        <f t="shared" si="746"/>
        <v>=176.3*10000</v>
      </c>
      <c r="R1585" s="11">
        <f>176.3*10000</f>
        <v>1763000</v>
      </c>
      <c r="S1585" s="8">
        <f t="shared" si="763"/>
        <v>-1.9172736732570239</v>
      </c>
      <c r="T1585" s="7">
        <f>-192.2*10000</f>
        <v>-1922000</v>
      </c>
      <c r="U1585" s="6" t="str">
        <f t="shared" si="747"/>
        <v>=-1922000</v>
      </c>
      <c r="V1585" s="1">
        <f>-1922000</f>
        <v>-1922000</v>
      </c>
      <c r="W1585" s="8">
        <f t="shared" si="764"/>
        <v>-0.90847619047619044</v>
      </c>
      <c r="X1585" s="7">
        <f>-2100*10000</f>
        <v>-21000000</v>
      </c>
      <c r="Y1585" s="6" t="str">
        <f t="shared" si="748"/>
        <v>=-21000000</v>
      </c>
      <c r="Z1585" s="1">
        <f>-21000000</f>
        <v>-21000000</v>
      </c>
      <c r="AA1585" s="8">
        <f t="shared" si="765"/>
        <v>1.3603461841070024</v>
      </c>
      <c r="AB1585" s="7">
        <f>-889.7*10000</f>
        <v>-8897000</v>
      </c>
      <c r="AC1585" s="6" t="str">
        <f t="shared" si="749"/>
        <v>=-8897000</v>
      </c>
      <c r="AD1585" s="1">
        <f>-8897000</f>
        <v>-8897000</v>
      </c>
      <c r="AE1585" s="8">
        <f t="shared" si="766"/>
        <v>0.81423327895595432</v>
      </c>
      <c r="AF1585" s="7">
        <f>-490.4*10000</f>
        <v>-4904000</v>
      </c>
      <c r="AG1585" s="6" t="str">
        <f t="shared" si="750"/>
        <v>=-4904000</v>
      </c>
      <c r="AH1585" s="1">
        <f>-4904000</f>
        <v>-4904000</v>
      </c>
      <c r="AI1585" s="8">
        <f t="shared" si="767"/>
        <v>-1.2117443868739206</v>
      </c>
      <c r="AJ1585" s="7" t="s">
        <v>15132</v>
      </c>
      <c r="AK1585" s="6" t="str">
        <f t="shared" si="751"/>
        <v>=2316*10000</v>
      </c>
      <c r="AL1585" s="1">
        <f>2316*10000</f>
        <v>23160000</v>
      </c>
      <c r="AM1585" s="8">
        <f t="shared" si="768"/>
        <v>-11.166812993854258</v>
      </c>
      <c r="AN1585" s="7">
        <f>-227.8*10000</f>
        <v>-2278000</v>
      </c>
      <c r="AO1585" s="6" t="str">
        <f t="shared" si="752"/>
        <v>=-2278000</v>
      </c>
      <c r="AP1585" s="1">
        <f>-2278000</f>
        <v>-2278000</v>
      </c>
      <c r="AQ1585" s="8">
        <f t="shared" si="769"/>
        <v>-0.77732160312805476</v>
      </c>
      <c r="AR1585" s="7">
        <f>-1023*10000</f>
        <v>-10230000</v>
      </c>
      <c r="AS1585" s="6" t="str">
        <f t="shared" si="753"/>
        <v>=-10230000</v>
      </c>
      <c r="AT1585" s="1">
        <f>-10230000</f>
        <v>-10230000</v>
      </c>
      <c r="AU1585" s="8">
        <f t="shared" si="770"/>
        <v>0.86169244767970887</v>
      </c>
      <c r="AV1585" s="7">
        <f>-549.5*10000</f>
        <v>-5495000</v>
      </c>
      <c r="AW1585" s="6" t="str">
        <f t="shared" si="754"/>
        <v>=-5495000</v>
      </c>
      <c r="AX1585" s="1">
        <f>-5495000</f>
        <v>-5495000</v>
      </c>
      <c r="AY1585" s="10">
        <f t="shared" si="771"/>
        <v>-1.2213940370668817</v>
      </c>
      <c r="AZ1585" s="7" t="s">
        <v>15133</v>
      </c>
      <c r="BA1585" s="6" t="str">
        <f t="shared" si="755"/>
        <v>=2482*10000</v>
      </c>
      <c r="BB1585" s="1">
        <f>2482*10000</f>
        <v>24820000</v>
      </c>
      <c r="BC1585" s="8">
        <f t="shared" si="772"/>
        <v>-6.3502910109937485</v>
      </c>
      <c r="BD1585" s="7">
        <f>-463.9*10000</f>
        <v>-4639000</v>
      </c>
      <c r="BE1585" s="6" t="str">
        <f t="shared" si="756"/>
        <v>=-4639000</v>
      </c>
      <c r="BF1585" s="1">
        <f>-4639000</f>
        <v>-4639000</v>
      </c>
      <c r="BG1585" s="8">
        <f t="shared" si="773"/>
        <v>-0.33443328550932566</v>
      </c>
      <c r="BH1585" s="7">
        <f>-697*10000</f>
        <v>-6970000</v>
      </c>
      <c r="BI1585" s="6" t="str">
        <f t="shared" si="757"/>
        <v>=-6970000</v>
      </c>
      <c r="BJ1585" s="1">
        <f>-6970000</f>
        <v>-6970000</v>
      </c>
      <c r="BK1585" s="7" t="s">
        <v>15134</v>
      </c>
      <c r="BL1585" s="1" t="str">
        <f t="shared" si="759"/>
        <v>=91.97*10000</v>
      </c>
      <c r="BM1585" s="16">
        <f t="shared" si="774"/>
        <v>-8.5785582255083188</v>
      </c>
      <c r="BN1585" s="1">
        <f>91.97*10000</f>
        <v>919700</v>
      </c>
    </row>
    <row r="1586" spans="1:66">
      <c r="A1586" s="17">
        <v>398</v>
      </c>
      <c r="B1586">
        <v>603031</v>
      </c>
      <c r="C1586" t="s">
        <v>31</v>
      </c>
      <c r="D1586" s="6" t="s">
        <v>1970</v>
      </c>
      <c r="E1586" s="7" t="str">
        <f t="shared" si="758"/>
        <v>=16.77*100000000</v>
      </c>
      <c r="F1586" s="1">
        <f>16.77*100000000</f>
        <v>1677000000</v>
      </c>
      <c r="G1586" s="8">
        <f t="shared" si="760"/>
        <v>0.27625570776255709</v>
      </c>
      <c r="H1586" s="6" t="s">
        <v>39</v>
      </c>
      <c r="I1586" s="6" t="str">
        <f t="shared" si="744"/>
        <v>=13.14*100000000</v>
      </c>
      <c r="J1586" s="1">
        <f>13.14*100000000</f>
        <v>1314000000</v>
      </c>
      <c r="K1586" s="10">
        <f t="shared" si="761"/>
        <v>0.54989384288747345</v>
      </c>
      <c r="L1586" s="6" t="s">
        <v>904</v>
      </c>
      <c r="M1586" s="6" t="str">
        <f t="shared" si="745"/>
        <v>=8.478*100000000</v>
      </c>
      <c r="N1586" s="1">
        <f>8.478*100000000</f>
        <v>847800000</v>
      </c>
      <c r="O1586" s="8">
        <f t="shared" si="762"/>
        <v>0.76919866444073459</v>
      </c>
      <c r="P1586" s="6" t="s">
        <v>4153</v>
      </c>
      <c r="Q1586" s="6" t="str">
        <f t="shared" si="746"/>
        <v>=4.792*100000000</v>
      </c>
      <c r="R1586" s="11">
        <f>4.792*100000000</f>
        <v>479200000</v>
      </c>
      <c r="S1586" s="8">
        <f t="shared" si="763"/>
        <v>-0.72865232163080407</v>
      </c>
      <c r="T1586" s="6" t="s">
        <v>15135</v>
      </c>
      <c r="U1586" s="6" t="str">
        <f t="shared" si="747"/>
        <v>=17.66*100000000</v>
      </c>
      <c r="V1586" s="1">
        <f>17.66*100000000</f>
        <v>1766000000</v>
      </c>
      <c r="W1586" s="8">
        <f t="shared" si="764"/>
        <v>0.3169276659209545</v>
      </c>
      <c r="X1586" s="6" t="s">
        <v>9615</v>
      </c>
      <c r="Y1586" s="6" t="str">
        <f t="shared" si="748"/>
        <v>=13.41*100000000</v>
      </c>
      <c r="Z1586" s="1">
        <f>13.41*100000000</f>
        <v>1341000000</v>
      </c>
      <c r="AA1586" s="8">
        <f t="shared" si="765"/>
        <v>0.57505285412262175</v>
      </c>
      <c r="AB1586" s="6" t="s">
        <v>15136</v>
      </c>
      <c r="AC1586" s="6" t="str">
        <f t="shared" si="749"/>
        <v>=8.514*100000000</v>
      </c>
      <c r="AD1586" s="1">
        <f>8.514*100000000</f>
        <v>851399999.99999988</v>
      </c>
      <c r="AE1586" s="8">
        <f t="shared" si="766"/>
        <v>0.77116704805491942</v>
      </c>
      <c r="AF1586" s="6" t="s">
        <v>15137</v>
      </c>
      <c r="AG1586" s="6" t="str">
        <f t="shared" si="750"/>
        <v>=4.807*100000000</v>
      </c>
      <c r="AH1586" s="1">
        <f>4.807*100000000</f>
        <v>480700000.00000006</v>
      </c>
      <c r="AI1586" s="8">
        <f t="shared" si="767"/>
        <v>-0.74673340358271867</v>
      </c>
      <c r="AJ1586" s="6" t="s">
        <v>554</v>
      </c>
      <c r="AK1586" s="6" t="str">
        <f t="shared" si="751"/>
        <v>=18.98*100000000</v>
      </c>
      <c r="AL1586" s="1">
        <f>18.98*100000000</f>
        <v>1898000000</v>
      </c>
      <c r="AM1586" s="8">
        <f t="shared" si="768"/>
        <v>0.33006306937631397</v>
      </c>
      <c r="AN1586" s="6" t="s">
        <v>1974</v>
      </c>
      <c r="AO1586" s="6" t="str">
        <f t="shared" si="752"/>
        <v>=14.27*100000000</v>
      </c>
      <c r="AP1586" s="1">
        <f>14.27*100000000</f>
        <v>1427000000</v>
      </c>
      <c r="AQ1586" s="8">
        <f t="shared" si="769"/>
        <v>0.53325453959385405</v>
      </c>
      <c r="AR1586" s="6" t="s">
        <v>15138</v>
      </c>
      <c r="AS1586" s="6" t="str">
        <f t="shared" si="753"/>
        <v>=9.307*100000000</v>
      </c>
      <c r="AT1586" s="1">
        <f>9.307*100000000</f>
        <v>930700000</v>
      </c>
      <c r="AU1586" s="8">
        <f t="shared" si="770"/>
        <v>0.72767774271394092</v>
      </c>
      <c r="AV1586" s="6" t="s">
        <v>6850</v>
      </c>
      <c r="AW1586" s="6" t="str">
        <f t="shared" si="754"/>
        <v>=5.387*100000000</v>
      </c>
      <c r="AX1586" s="1">
        <f>5.387*100000000</f>
        <v>538700000</v>
      </c>
      <c r="AY1586" s="10">
        <f t="shared" si="771"/>
        <v>-0.70122018857459789</v>
      </c>
      <c r="AZ1586" s="6" t="s">
        <v>7161</v>
      </c>
      <c r="BA1586" s="6" t="str">
        <f t="shared" si="755"/>
        <v>=18.03*100000000</v>
      </c>
      <c r="BB1586" s="1">
        <f>18.03*100000000</f>
        <v>1803000000</v>
      </c>
      <c r="BC1586" s="8">
        <f t="shared" si="772"/>
        <v>0.31222707423580787</v>
      </c>
      <c r="BD1586" s="6" t="s">
        <v>15139</v>
      </c>
      <c r="BE1586" s="6" t="str">
        <f t="shared" si="756"/>
        <v>=13.74*100000000</v>
      </c>
      <c r="BF1586" s="1">
        <f>13.74*100000000</f>
        <v>1374000000</v>
      </c>
      <c r="BG1586" s="8">
        <f t="shared" si="773"/>
        <v>0.50295340188142634</v>
      </c>
      <c r="BH1586" s="6" t="s">
        <v>15140</v>
      </c>
      <c r="BI1586" s="6" t="str">
        <f t="shared" si="757"/>
        <v>=9.142*100000000</v>
      </c>
      <c r="BJ1586" s="1">
        <f>9.142*100000000</f>
        <v>914200000</v>
      </c>
      <c r="BK1586" s="6" t="s">
        <v>15141</v>
      </c>
      <c r="BL1586" s="1" t="str">
        <f t="shared" si="759"/>
        <v>=5.324*100000000</v>
      </c>
      <c r="BM1586" s="16">
        <f t="shared" si="774"/>
        <v>0.71712997746055596</v>
      </c>
      <c r="BN1586" s="1">
        <f>5.324*100000000</f>
        <v>532400000</v>
      </c>
    </row>
    <row r="1587" spans="1:66">
      <c r="A1587" s="18"/>
      <c r="B1587">
        <v>603031</v>
      </c>
      <c r="C1587" t="s">
        <v>48</v>
      </c>
      <c r="D1587" s="7">
        <f>-5263*10000</f>
        <v>-52630000</v>
      </c>
      <c r="E1587" s="7" t="str">
        <f t="shared" si="758"/>
        <v>=-52630000</v>
      </c>
      <c r="F1587" s="1">
        <f>-52630000</f>
        <v>-52630000</v>
      </c>
      <c r="G1587" s="8">
        <f t="shared" si="760"/>
        <v>1.7100926879505665</v>
      </c>
      <c r="H1587" s="7">
        <f>-1942*10000</f>
        <v>-19420000</v>
      </c>
      <c r="I1587" s="6" t="str">
        <f t="shared" si="744"/>
        <v>=-19420000</v>
      </c>
      <c r="J1587" s="1">
        <f>-19420000</f>
        <v>-19420000</v>
      </c>
      <c r="K1587" s="10">
        <f t="shared" si="761"/>
        <v>2.1836065573770491</v>
      </c>
      <c r="L1587" s="7">
        <f>-610*10000</f>
        <v>-6100000</v>
      </c>
      <c r="M1587" s="6" t="str">
        <f t="shared" si="745"/>
        <v>=-6100000</v>
      </c>
      <c r="N1587" s="1">
        <f>-6100000</f>
        <v>-6100000</v>
      </c>
      <c r="O1587" s="8">
        <f t="shared" si="762"/>
        <v>-3.1284019539427774</v>
      </c>
      <c r="P1587" s="7" t="s">
        <v>15142</v>
      </c>
      <c r="Q1587" s="6" t="str">
        <f t="shared" si="746"/>
        <v>=286.6*10000</v>
      </c>
      <c r="R1587" s="11">
        <f>286.6*10000</f>
        <v>2866000</v>
      </c>
      <c r="S1587" s="8">
        <f t="shared" si="763"/>
        <v>0.92866756393001348</v>
      </c>
      <c r="T1587" s="7" t="s">
        <v>8883</v>
      </c>
      <c r="U1587" s="6" t="str">
        <f t="shared" si="747"/>
        <v>=148.6*10000</v>
      </c>
      <c r="V1587" s="1">
        <f>148.6*10000</f>
        <v>1486000</v>
      </c>
      <c r="W1587" s="8">
        <f t="shared" si="764"/>
        <v>-0.76631545840540971</v>
      </c>
      <c r="X1587" s="7" t="s">
        <v>15143</v>
      </c>
      <c r="Y1587" s="6" t="str">
        <f t="shared" si="748"/>
        <v>=635.9*10000</v>
      </c>
      <c r="Z1587" s="1">
        <f>635.9*10000</f>
        <v>6359000</v>
      </c>
      <c r="AA1587" s="8">
        <f t="shared" si="765"/>
        <v>-0.48216612377850165</v>
      </c>
      <c r="AB1587" s="7" t="s">
        <v>15144</v>
      </c>
      <c r="AC1587" s="6" t="str">
        <f t="shared" si="749"/>
        <v>=1228*10000</v>
      </c>
      <c r="AD1587" s="1">
        <f>1228*10000</f>
        <v>12280000</v>
      </c>
      <c r="AE1587" s="8">
        <f t="shared" si="766"/>
        <v>-0.25575757575757574</v>
      </c>
      <c r="AF1587" s="7" t="s">
        <v>15145</v>
      </c>
      <c r="AG1587" s="6" t="str">
        <f t="shared" si="750"/>
        <v>=1650*10000</v>
      </c>
      <c r="AH1587" s="1">
        <f>1650*10000</f>
        <v>16500000</v>
      </c>
      <c r="AI1587" s="8">
        <f t="shared" si="767"/>
        <v>-0.28385416666666669</v>
      </c>
      <c r="AJ1587" s="7" t="s">
        <v>15146</v>
      </c>
      <c r="AK1587" s="6" t="str">
        <f t="shared" si="751"/>
        <v>=2304*10000</v>
      </c>
      <c r="AL1587" s="1">
        <f>2304*10000</f>
        <v>23040000</v>
      </c>
      <c r="AM1587" s="8">
        <f t="shared" si="768"/>
        <v>0.60334029227557406</v>
      </c>
      <c r="AN1587" s="7" t="s">
        <v>12605</v>
      </c>
      <c r="AO1587" s="6" t="str">
        <f t="shared" si="752"/>
        <v>=1437*10000</v>
      </c>
      <c r="AP1587" s="1">
        <f>1437*10000</f>
        <v>14370000</v>
      </c>
      <c r="AQ1587" s="8">
        <f t="shared" si="769"/>
        <v>-3.7508372404554589E-2</v>
      </c>
      <c r="AR1587" s="7" t="s">
        <v>1993</v>
      </c>
      <c r="AS1587" s="6" t="str">
        <f t="shared" si="753"/>
        <v>=1493*10000</v>
      </c>
      <c r="AT1587" s="1">
        <f>1493*10000</f>
        <v>14930000</v>
      </c>
      <c r="AU1587" s="8">
        <f t="shared" si="770"/>
        <v>0.93443897382741647</v>
      </c>
      <c r="AV1587" s="7" t="s">
        <v>15147</v>
      </c>
      <c r="AW1587" s="6" t="str">
        <f t="shared" si="754"/>
        <v>=771.8*10000</v>
      </c>
      <c r="AX1587" s="1">
        <f>771.8*10000</f>
        <v>7718000</v>
      </c>
      <c r="AY1587" s="10">
        <f t="shared" si="771"/>
        <v>-0.14981273408239701</v>
      </c>
      <c r="AZ1587" s="7" t="s">
        <v>15148</v>
      </c>
      <c r="BA1587" s="6" t="str">
        <f t="shared" si="755"/>
        <v>=907.8*10000</v>
      </c>
      <c r="BB1587" s="1">
        <f>907.8*10000</f>
        <v>9078000</v>
      </c>
      <c r="BC1587" s="8">
        <f t="shared" si="772"/>
        <v>-0.25954323001631319</v>
      </c>
      <c r="BD1587" s="7" t="s">
        <v>5515</v>
      </c>
      <c r="BE1587" s="6" t="str">
        <f t="shared" si="756"/>
        <v>=1226*10000</v>
      </c>
      <c r="BF1587" s="1">
        <f>1226*10000</f>
        <v>12260000</v>
      </c>
      <c r="BG1587" s="8">
        <f t="shared" si="773"/>
        <v>-0.19921619856303069</v>
      </c>
      <c r="BH1587" s="7" t="s">
        <v>15149</v>
      </c>
      <c r="BI1587" s="6" t="str">
        <f t="shared" si="757"/>
        <v>=1531*10000</v>
      </c>
      <c r="BJ1587" s="1">
        <f>1531*10000</f>
        <v>15310000</v>
      </c>
      <c r="BK1587" s="7" t="s">
        <v>15150</v>
      </c>
      <c r="BL1587" s="1" t="str">
        <f t="shared" si="759"/>
        <v>=754.7*10000</v>
      </c>
      <c r="BM1587" s="16">
        <f t="shared" si="774"/>
        <v>1.0286206439644892</v>
      </c>
      <c r="BN1587" s="1">
        <f>754.7*10000</f>
        <v>7547000</v>
      </c>
    </row>
    <row r="1588" spans="1:66">
      <c r="A1588" s="18"/>
      <c r="B1588">
        <v>603031</v>
      </c>
      <c r="C1588" t="s">
        <v>58</v>
      </c>
      <c r="D1588" s="7">
        <f>-5293*10000</f>
        <v>-52930000</v>
      </c>
      <c r="E1588" s="7" t="str">
        <f t="shared" si="758"/>
        <v>=-52930000</v>
      </c>
      <c r="F1588" s="1">
        <f>-52930000</f>
        <v>-52930000</v>
      </c>
      <c r="G1588" s="8">
        <f t="shared" si="760"/>
        <v>1.6009828009828009</v>
      </c>
      <c r="H1588" s="7">
        <f>-2035*10000</f>
        <v>-20350000</v>
      </c>
      <c r="I1588" s="6" t="str">
        <f t="shared" si="744"/>
        <v>=-20350000</v>
      </c>
      <c r="J1588" s="1">
        <f>-20350000</f>
        <v>-20350000</v>
      </c>
      <c r="K1588" s="10">
        <f t="shared" si="761"/>
        <v>2.4375</v>
      </c>
      <c r="L1588" s="7">
        <f>-592*10000</f>
        <v>-5920000</v>
      </c>
      <c r="M1588" s="6" t="str">
        <f t="shared" si="745"/>
        <v>=-5920000</v>
      </c>
      <c r="N1588" s="1">
        <f>-5920000</f>
        <v>-5920000</v>
      </c>
      <c r="O1588" s="8">
        <f t="shared" si="762"/>
        <v>-2.943532501641497</v>
      </c>
      <c r="P1588" s="7" t="s">
        <v>15151</v>
      </c>
      <c r="Q1588" s="6" t="str">
        <f t="shared" si="746"/>
        <v>=304.6*10000</v>
      </c>
      <c r="R1588" s="11">
        <f>304.6*10000</f>
        <v>3046000</v>
      </c>
      <c r="S1588" s="8">
        <f t="shared" si="763"/>
        <v>0.53065326633165832</v>
      </c>
      <c r="T1588" s="7" t="s">
        <v>15152</v>
      </c>
      <c r="U1588" s="6" t="str">
        <f t="shared" si="747"/>
        <v>=199.0*10000</v>
      </c>
      <c r="V1588" s="1">
        <f>199*10000</f>
        <v>1990000</v>
      </c>
      <c r="W1588" s="8">
        <f t="shared" si="764"/>
        <v>-0.70187265917602992</v>
      </c>
      <c r="X1588" s="7" t="s">
        <v>15153</v>
      </c>
      <c r="Y1588" s="6" t="str">
        <f t="shared" si="748"/>
        <v>=667.5*10000</v>
      </c>
      <c r="Z1588" s="1">
        <f>667.5*10000</f>
        <v>6675000</v>
      </c>
      <c r="AA1588" s="8">
        <f t="shared" si="765"/>
        <v>-0.47358044164037855</v>
      </c>
      <c r="AB1588" s="7" t="s">
        <v>3773</v>
      </c>
      <c r="AC1588" s="6" t="str">
        <f t="shared" si="749"/>
        <v>=1268*10000</v>
      </c>
      <c r="AD1588" s="1">
        <f>1268*10000</f>
        <v>12680000</v>
      </c>
      <c r="AE1588" s="8">
        <f t="shared" si="766"/>
        <v>-0.25014784151389713</v>
      </c>
      <c r="AF1588" s="7" t="s">
        <v>8871</v>
      </c>
      <c r="AG1588" s="6" t="str">
        <f t="shared" si="750"/>
        <v>=1691*10000</v>
      </c>
      <c r="AH1588" s="1">
        <f>1691*10000</f>
        <v>16910000</v>
      </c>
      <c r="AI1588" s="8">
        <f t="shared" si="767"/>
        <v>-0.28103741496598639</v>
      </c>
      <c r="AJ1588" s="7" t="s">
        <v>12078</v>
      </c>
      <c r="AK1588" s="6" t="str">
        <f t="shared" si="751"/>
        <v>=2352*10000</v>
      </c>
      <c r="AL1588" s="1">
        <f>2352*10000</f>
        <v>23520000</v>
      </c>
      <c r="AM1588" s="8">
        <f t="shared" si="768"/>
        <v>0.61538461538461542</v>
      </c>
      <c r="AN1588" s="7" t="s">
        <v>3698</v>
      </c>
      <c r="AO1588" s="6" t="str">
        <f t="shared" si="752"/>
        <v>=1456*10000</v>
      </c>
      <c r="AP1588" s="1">
        <f>1456*10000</f>
        <v>14560000</v>
      </c>
      <c r="AQ1588" s="8">
        <f t="shared" si="769"/>
        <v>-3.8309114927344783E-2</v>
      </c>
      <c r="AR1588" s="7" t="s">
        <v>11024</v>
      </c>
      <c r="AS1588" s="6" t="str">
        <f t="shared" si="753"/>
        <v>=1514*10000</v>
      </c>
      <c r="AT1588" s="1">
        <f>1514*10000</f>
        <v>15140000</v>
      </c>
      <c r="AU1588" s="8">
        <f t="shared" si="770"/>
        <v>0.96088589560937698</v>
      </c>
      <c r="AV1588" s="7" t="s">
        <v>15154</v>
      </c>
      <c r="AW1588" s="6" t="str">
        <f t="shared" si="754"/>
        <v>=772.1*10000</v>
      </c>
      <c r="AX1588" s="1">
        <f>772.1*10000</f>
        <v>7721000</v>
      </c>
      <c r="AY1588" s="10">
        <f t="shared" si="771"/>
        <v>-0.21069310979349826</v>
      </c>
      <c r="AZ1588" s="7" t="s">
        <v>15155</v>
      </c>
      <c r="BA1588" s="6" t="str">
        <f t="shared" si="755"/>
        <v>=978.2*10000</v>
      </c>
      <c r="BB1588" s="1">
        <f>978.2*10000</f>
        <v>9782000</v>
      </c>
      <c r="BC1588" s="8">
        <f t="shared" si="772"/>
        <v>-0.2008169934640523</v>
      </c>
      <c r="BD1588" s="7" t="s">
        <v>7306</v>
      </c>
      <c r="BE1588" s="6" t="str">
        <f t="shared" si="756"/>
        <v>=1224*10000</v>
      </c>
      <c r="BF1588" s="1">
        <f>1224*10000</f>
        <v>12240000</v>
      </c>
      <c r="BG1588" s="8">
        <f t="shared" si="773"/>
        <v>-0.20052253429131286</v>
      </c>
      <c r="BH1588" s="7" t="s">
        <v>15149</v>
      </c>
      <c r="BI1588" s="6" t="str">
        <f t="shared" si="757"/>
        <v>=1531*10000</v>
      </c>
      <c r="BJ1588" s="1">
        <f>1531*10000</f>
        <v>15310000</v>
      </c>
      <c r="BK1588" s="7" t="s">
        <v>15150</v>
      </c>
      <c r="BL1588" s="1" t="str">
        <f t="shared" si="759"/>
        <v>=754.7*10000</v>
      </c>
      <c r="BM1588" s="16">
        <f t="shared" si="774"/>
        <v>1.0286206439644892</v>
      </c>
      <c r="BN1588" s="1">
        <f>754.7*10000</f>
        <v>7547000</v>
      </c>
    </row>
    <row r="1589" spans="1:66">
      <c r="A1589" s="19"/>
      <c r="B1589">
        <v>603031</v>
      </c>
      <c r="C1589" t="s">
        <v>68</v>
      </c>
      <c r="D1589" s="7">
        <f>-5157*10000</f>
        <v>-51570000</v>
      </c>
      <c r="E1589" s="7" t="str">
        <f t="shared" si="758"/>
        <v>=-51570000</v>
      </c>
      <c r="F1589" s="1">
        <f>-51570000</f>
        <v>-51570000</v>
      </c>
      <c r="G1589" s="8">
        <f t="shared" si="760"/>
        <v>1.9689119170984455</v>
      </c>
      <c r="H1589" s="7">
        <f>-1737*10000</f>
        <v>-17370000</v>
      </c>
      <c r="I1589" s="6" t="str">
        <f t="shared" si="744"/>
        <v>=-17370000</v>
      </c>
      <c r="J1589" s="1">
        <f>-17370000</f>
        <v>-17370000</v>
      </c>
      <c r="K1589" s="10">
        <f t="shared" si="761"/>
        <v>2.094601817210048</v>
      </c>
      <c r="L1589" s="7">
        <f>-561.3*10000</f>
        <v>-5613000</v>
      </c>
      <c r="M1589" s="6" t="str">
        <f t="shared" si="745"/>
        <v>=-5613000</v>
      </c>
      <c r="N1589" s="1">
        <f>-5613000</f>
        <v>-5613000</v>
      </c>
      <c r="O1589" s="8">
        <f t="shared" si="762"/>
        <v>-5.8936355710549257</v>
      </c>
      <c r="P1589" s="7" t="s">
        <v>15156</v>
      </c>
      <c r="Q1589" s="6" t="str">
        <f t="shared" si="746"/>
        <v>=114.7*10000</v>
      </c>
      <c r="R1589" s="11">
        <f>114.7*10000</f>
        <v>1147000</v>
      </c>
      <c r="S1589" s="8">
        <f t="shared" si="763"/>
        <v>-1.1740251858595054</v>
      </c>
      <c r="T1589" s="7">
        <f>-659.1*10000</f>
        <v>-6591000</v>
      </c>
      <c r="U1589" s="6" t="str">
        <f t="shared" si="747"/>
        <v>=-6591000</v>
      </c>
      <c r="V1589" s="1">
        <f>-6591000</f>
        <v>-6591000</v>
      </c>
      <c r="W1589" s="8">
        <f t="shared" si="764"/>
        <v>-2.7213371637503263</v>
      </c>
      <c r="X1589" s="7" t="s">
        <v>15157</v>
      </c>
      <c r="Y1589" s="6" t="str">
        <f t="shared" si="748"/>
        <v>=382.9*10000</v>
      </c>
      <c r="Z1589" s="1">
        <f>382.9*10000</f>
        <v>3829000</v>
      </c>
      <c r="AA1589" s="8">
        <f t="shared" si="765"/>
        <v>-0.5681254229641326</v>
      </c>
      <c r="AB1589" s="7" t="s">
        <v>15158</v>
      </c>
      <c r="AC1589" s="6" t="str">
        <f t="shared" si="749"/>
        <v>=886.6*10000</v>
      </c>
      <c r="AD1589" s="1">
        <f>886.6*10000</f>
        <v>8866000</v>
      </c>
      <c r="AE1589" s="8">
        <f t="shared" si="766"/>
        <v>-0.30680218921032054</v>
      </c>
      <c r="AF1589" s="7" t="s">
        <v>7458</v>
      </c>
      <c r="AG1589" s="6" t="str">
        <f t="shared" si="750"/>
        <v>=1279*10000</v>
      </c>
      <c r="AH1589" s="1">
        <f>1279*10000</f>
        <v>12790000</v>
      </c>
      <c r="AI1589" s="8">
        <f t="shared" si="767"/>
        <v>-0.16295811518324607</v>
      </c>
      <c r="AJ1589" s="7" t="s">
        <v>15159</v>
      </c>
      <c r="AK1589" s="6" t="str">
        <f t="shared" si="751"/>
        <v>=1528*10000</v>
      </c>
      <c r="AL1589" s="1">
        <f>1528*10000</f>
        <v>15280000</v>
      </c>
      <c r="AM1589" s="8">
        <f t="shared" si="768"/>
        <v>0.39162112932604737</v>
      </c>
      <c r="AN1589" s="7" t="s">
        <v>15160</v>
      </c>
      <c r="AO1589" s="6" t="str">
        <f t="shared" si="752"/>
        <v>=1098*10000</v>
      </c>
      <c r="AP1589" s="1">
        <f>1098*10000</f>
        <v>10980000</v>
      </c>
      <c r="AQ1589" s="8">
        <f t="shared" si="769"/>
        <v>-3.8528896672504379E-2</v>
      </c>
      <c r="AR1589" s="7" t="s">
        <v>15161</v>
      </c>
      <c r="AS1589" s="6" t="str">
        <f t="shared" si="753"/>
        <v>=1142*10000</v>
      </c>
      <c r="AT1589" s="1">
        <f>1142*10000</f>
        <v>11420000</v>
      </c>
      <c r="AU1589" s="8">
        <f t="shared" si="770"/>
        <v>0.93723494486853265</v>
      </c>
      <c r="AV1589" s="7" t="s">
        <v>15162</v>
      </c>
      <c r="AW1589" s="6" t="str">
        <f t="shared" si="754"/>
        <v>=589.5*10000</v>
      </c>
      <c r="AX1589" s="1">
        <f>589.5*10000</f>
        <v>5895000</v>
      </c>
      <c r="AY1589" s="10">
        <f t="shared" si="771"/>
        <v>6.3161488562649372E-3</v>
      </c>
      <c r="AZ1589" s="7" t="s">
        <v>15163</v>
      </c>
      <c r="BA1589" s="6" t="str">
        <f t="shared" si="755"/>
        <v>=585.8*10000</v>
      </c>
      <c r="BB1589" s="1">
        <f>585.8*10000</f>
        <v>5858000</v>
      </c>
      <c r="BC1589" s="8">
        <f t="shared" si="772"/>
        <v>-0.34903878208689854</v>
      </c>
      <c r="BD1589" s="7" t="s">
        <v>15164</v>
      </c>
      <c r="BE1589" s="6" t="str">
        <f t="shared" si="756"/>
        <v>=899.9*10000</v>
      </c>
      <c r="BF1589" s="1">
        <f>899.9*10000</f>
        <v>8999000</v>
      </c>
      <c r="BG1589" s="8">
        <f t="shared" si="773"/>
        <v>-0.20853122251539138</v>
      </c>
      <c r="BH1589" s="7" t="s">
        <v>10311</v>
      </c>
      <c r="BI1589" s="6" t="str">
        <f t="shared" si="757"/>
        <v>=1137*10000</v>
      </c>
      <c r="BJ1589" s="1">
        <f>1137*10000</f>
        <v>11370000</v>
      </c>
      <c r="BK1589" s="7" t="s">
        <v>15165</v>
      </c>
      <c r="BL1589" s="1" t="str">
        <f t="shared" si="759"/>
        <v>=559.2*10000</v>
      </c>
      <c r="BM1589" s="16">
        <f t="shared" si="774"/>
        <v>1.0332618025751072</v>
      </c>
      <c r="BN1589" s="1">
        <f>559.2*10000</f>
        <v>5592000</v>
      </c>
    </row>
    <row r="1590" spans="1:66">
      <c r="A1590" s="17">
        <v>399</v>
      </c>
      <c r="B1590">
        <v>603043</v>
      </c>
      <c r="C1590" t="s">
        <v>31</v>
      </c>
      <c r="D1590" s="6" t="s">
        <v>15166</v>
      </c>
      <c r="E1590" s="7" t="str">
        <f t="shared" si="758"/>
        <v>=38.90*100000000</v>
      </c>
      <c r="F1590" s="1">
        <f>38.9*100000000</f>
        <v>3890000000</v>
      </c>
      <c r="G1590" s="8">
        <f t="shared" si="760"/>
        <v>0.28978779840848806</v>
      </c>
      <c r="H1590" s="6" t="s">
        <v>4839</v>
      </c>
      <c r="I1590" s="6" t="str">
        <f t="shared" si="744"/>
        <v>=30.16*100000000</v>
      </c>
      <c r="J1590" s="1">
        <f>30.16*100000000</f>
        <v>3016000000</v>
      </c>
      <c r="K1590" s="10">
        <f t="shared" si="761"/>
        <v>1.448051948051948</v>
      </c>
      <c r="L1590" s="6" t="s">
        <v>8803</v>
      </c>
      <c r="M1590" s="6" t="str">
        <f t="shared" si="745"/>
        <v>=12.32*100000000</v>
      </c>
      <c r="N1590" s="1">
        <f>12.32*100000000</f>
        <v>1232000000</v>
      </c>
      <c r="O1590" s="8">
        <f t="shared" si="762"/>
        <v>0.83825723664577734</v>
      </c>
      <c r="P1590" s="6" t="s">
        <v>15167</v>
      </c>
      <c r="Q1590" s="6" t="str">
        <f t="shared" si="746"/>
        <v>=6.702*100000000</v>
      </c>
      <c r="R1590" s="11">
        <f>6.702*100000000</f>
        <v>670200000</v>
      </c>
      <c r="S1590" s="8">
        <f t="shared" si="763"/>
        <v>-0.79610587161545476</v>
      </c>
      <c r="T1590" s="6" t="s">
        <v>15168</v>
      </c>
      <c r="U1590" s="6" t="str">
        <f t="shared" si="747"/>
        <v>=32.87*100000000</v>
      </c>
      <c r="V1590" s="1">
        <f>32.87*100000000</f>
        <v>3286999999.9999995</v>
      </c>
      <c r="W1590" s="8">
        <f t="shared" si="764"/>
        <v>0.28248146703082305</v>
      </c>
      <c r="X1590" s="6" t="s">
        <v>454</v>
      </c>
      <c r="Y1590" s="6" t="str">
        <f t="shared" si="748"/>
        <v>=25.63*100000000</v>
      </c>
      <c r="Z1590" s="1">
        <f>25.63*100000000</f>
        <v>2563000000</v>
      </c>
      <c r="AA1590" s="8">
        <f t="shared" si="765"/>
        <v>1.7170571398282626</v>
      </c>
      <c r="AB1590" s="6" t="s">
        <v>3371</v>
      </c>
      <c r="AC1590" s="6" t="str">
        <f t="shared" si="749"/>
        <v>=9.433*100000000</v>
      </c>
      <c r="AD1590" s="1">
        <f>9.433*100000000</f>
        <v>943300000</v>
      </c>
      <c r="AE1590" s="8">
        <f t="shared" si="766"/>
        <v>0.81194775259316154</v>
      </c>
      <c r="AF1590" s="6" t="s">
        <v>15169</v>
      </c>
      <c r="AG1590" s="6" t="str">
        <f t="shared" si="750"/>
        <v>=5.206*100000000</v>
      </c>
      <c r="AH1590" s="1">
        <f>5.206*100000000</f>
        <v>520600000.00000006</v>
      </c>
      <c r="AI1590" s="8">
        <f t="shared" si="767"/>
        <v>-0.82812809508088481</v>
      </c>
      <c r="AJ1590" s="6" t="s">
        <v>15170</v>
      </c>
      <c r="AK1590" s="6" t="str">
        <f t="shared" si="751"/>
        <v>=30.29*100000000</v>
      </c>
      <c r="AL1590" s="1">
        <f>30.29*100000000</f>
        <v>3029000000</v>
      </c>
      <c r="AM1590" s="8">
        <f t="shared" si="768"/>
        <v>0.25736820257368204</v>
      </c>
      <c r="AN1590" s="6" t="s">
        <v>11991</v>
      </c>
      <c r="AO1590" s="6" t="str">
        <f t="shared" si="752"/>
        <v>=24.09*100000000</v>
      </c>
      <c r="AP1590" s="1">
        <f>24.09*100000000</f>
        <v>2409000000</v>
      </c>
      <c r="AQ1590" s="8">
        <f t="shared" si="769"/>
        <v>1.5323241879533269</v>
      </c>
      <c r="AR1590" s="6" t="s">
        <v>15171</v>
      </c>
      <c r="AS1590" s="6" t="str">
        <f t="shared" si="753"/>
        <v>=9.513*100000000</v>
      </c>
      <c r="AT1590" s="1">
        <f>9.513*100000000</f>
        <v>951300000</v>
      </c>
      <c r="AU1590" s="8">
        <f t="shared" si="770"/>
        <v>0.78614344723995511</v>
      </c>
      <c r="AV1590" s="6" t="s">
        <v>15172</v>
      </c>
      <c r="AW1590" s="6" t="str">
        <f t="shared" si="754"/>
        <v>=5.326*100000000</v>
      </c>
      <c r="AX1590" s="1">
        <f>5.326*100000000</f>
        <v>532599999.99999994</v>
      </c>
      <c r="AY1590" s="10">
        <f t="shared" si="771"/>
        <v>-0.7900670082774931</v>
      </c>
      <c r="AZ1590" s="6" t="s">
        <v>3034</v>
      </c>
      <c r="BA1590" s="6" t="str">
        <f t="shared" si="755"/>
        <v>=25.37*100000000</v>
      </c>
      <c r="BB1590" s="1">
        <f>25.37*100000000</f>
        <v>2537000000</v>
      </c>
      <c r="BC1590" s="8">
        <f t="shared" si="772"/>
        <v>0.25968222442899702</v>
      </c>
      <c r="BD1590" s="6" t="s">
        <v>2464</v>
      </c>
      <c r="BE1590" s="6" t="str">
        <f t="shared" si="756"/>
        <v>=20.14*100000000</v>
      </c>
      <c r="BF1590" s="1">
        <f>20.14*100000000</f>
        <v>2014000000</v>
      </c>
      <c r="BG1590" s="8">
        <f t="shared" si="773"/>
        <v>1.5451788196638443</v>
      </c>
      <c r="BH1590" s="6" t="s">
        <v>12389</v>
      </c>
      <c r="BI1590" s="6" t="str">
        <f t="shared" si="757"/>
        <v>=7.913*100000000</v>
      </c>
      <c r="BJ1590" s="1">
        <f>7.913*100000000</f>
        <v>791300000</v>
      </c>
      <c r="BK1590" s="6" t="s">
        <v>13466</v>
      </c>
      <c r="BL1590" s="1" t="str">
        <f t="shared" si="759"/>
        <v>=4.446*100000000</v>
      </c>
      <c r="BM1590" s="16">
        <f t="shared" si="774"/>
        <v>0.77980206927575346</v>
      </c>
      <c r="BN1590" s="1">
        <f>4.446*100000000</f>
        <v>444600000</v>
      </c>
    </row>
    <row r="1591" spans="1:66">
      <c r="A1591" s="18"/>
      <c r="B1591">
        <v>603043</v>
      </c>
      <c r="C1591" t="s">
        <v>48</v>
      </c>
      <c r="D1591" s="6" t="s">
        <v>3653</v>
      </c>
      <c r="E1591" s="7" t="str">
        <f t="shared" si="758"/>
        <v>=6.806*100000000</v>
      </c>
      <c r="F1591" s="1">
        <f>6.806*100000000</f>
        <v>680600000</v>
      </c>
      <c r="G1591" s="8">
        <f t="shared" si="760"/>
        <v>0.28828317243990143</v>
      </c>
      <c r="H1591" s="6" t="s">
        <v>4009</v>
      </c>
      <c r="I1591" s="6" t="str">
        <f t="shared" si="744"/>
        <v>=5.283*100000000</v>
      </c>
      <c r="J1591" s="1">
        <f>5.283*100000000</f>
        <v>528300000.00000006</v>
      </c>
      <c r="K1591" s="10">
        <f t="shared" si="761"/>
        <v>11.111416781292986</v>
      </c>
      <c r="L1591" s="7" t="s">
        <v>6427</v>
      </c>
      <c r="M1591" s="6" t="str">
        <f t="shared" si="745"/>
        <v>=4362*10000</v>
      </c>
      <c r="N1591" s="1">
        <f>4362*10000</f>
        <v>43620000</v>
      </c>
      <c r="O1591" s="8">
        <f t="shared" si="762"/>
        <v>-0.25575840300290054</v>
      </c>
      <c r="P1591" s="7" t="s">
        <v>15173</v>
      </c>
      <c r="Q1591" s="6" t="str">
        <f t="shared" si="746"/>
        <v>=5861*10000</v>
      </c>
      <c r="R1591" s="11">
        <f>5861*10000</f>
        <v>58610000</v>
      </c>
      <c r="S1591" s="8">
        <f t="shared" si="763"/>
        <v>-0.89861615637432968</v>
      </c>
      <c r="T1591" s="6" t="s">
        <v>9117</v>
      </c>
      <c r="U1591" s="6" t="str">
        <f t="shared" si="747"/>
        <v>=5.781*100000000</v>
      </c>
      <c r="V1591" s="1">
        <f>5.781*100000000</f>
        <v>578100000</v>
      </c>
      <c r="W1591" s="8">
        <f t="shared" si="764"/>
        <v>0.30173384372888989</v>
      </c>
      <c r="X1591" s="6" t="s">
        <v>12236</v>
      </c>
      <c r="Y1591" s="6" t="str">
        <f t="shared" si="748"/>
        <v>=4.441*100000000</v>
      </c>
      <c r="Z1591" s="1">
        <f>4.441*100000000</f>
        <v>444100000</v>
      </c>
      <c r="AA1591" s="8">
        <f t="shared" si="765"/>
        <v>21.339034205231389</v>
      </c>
      <c r="AB1591" s="7" t="s">
        <v>15174</v>
      </c>
      <c r="AC1591" s="6" t="str">
        <f t="shared" si="749"/>
        <v>=1988*10000</v>
      </c>
      <c r="AD1591" s="1">
        <f>1988*10000</f>
        <v>19880000</v>
      </c>
      <c r="AE1591" s="8">
        <f t="shared" si="766"/>
        <v>0.14582132564841499</v>
      </c>
      <c r="AF1591" s="7" t="s">
        <v>7616</v>
      </c>
      <c r="AG1591" s="6" t="str">
        <f t="shared" si="750"/>
        <v>=1735*10000</v>
      </c>
      <c r="AH1591" s="1">
        <f>1735*10000</f>
        <v>17350000</v>
      </c>
      <c r="AI1591" s="8">
        <f t="shared" si="767"/>
        <v>-0.96276024898046786</v>
      </c>
      <c r="AJ1591" s="6" t="s">
        <v>6689</v>
      </c>
      <c r="AK1591" s="6" t="str">
        <f t="shared" si="751"/>
        <v>=4.659*100000000</v>
      </c>
      <c r="AL1591" s="1">
        <f>4.659*100000000</f>
        <v>465900000</v>
      </c>
      <c r="AM1591" s="8">
        <f t="shared" si="768"/>
        <v>0.18218726211621417</v>
      </c>
      <c r="AN1591" s="6" t="s">
        <v>8297</v>
      </c>
      <c r="AO1591" s="6" t="str">
        <f t="shared" si="752"/>
        <v>=3.941*100000000</v>
      </c>
      <c r="AP1591" s="1">
        <f>3.941*100000000</f>
        <v>394100000</v>
      </c>
      <c r="AQ1591" s="8">
        <f t="shared" si="769"/>
        <v>3.682190804324581</v>
      </c>
      <c r="AR1591" s="7" t="s">
        <v>15175</v>
      </c>
      <c r="AS1591" s="6" t="str">
        <f t="shared" si="753"/>
        <v>=8417*10000</v>
      </c>
      <c r="AT1591" s="1">
        <f>8417*10000</f>
        <v>84170000</v>
      </c>
      <c r="AU1591" s="8">
        <f t="shared" si="770"/>
        <v>0.45622837370242214</v>
      </c>
      <c r="AV1591" s="7" t="s">
        <v>15176</v>
      </c>
      <c r="AW1591" s="6" t="str">
        <f t="shared" si="754"/>
        <v>=5780*10000</v>
      </c>
      <c r="AX1591" s="1">
        <f>5780*10000</f>
        <v>57800000</v>
      </c>
      <c r="AY1591" s="10">
        <f t="shared" si="771"/>
        <v>-0.87423846823324625</v>
      </c>
      <c r="AZ1591" s="6" t="s">
        <v>15177</v>
      </c>
      <c r="BA1591" s="6" t="str">
        <f t="shared" si="755"/>
        <v>=4.596*100000000</v>
      </c>
      <c r="BB1591" s="1">
        <f>4.596*100000000</f>
        <v>459600000</v>
      </c>
      <c r="BC1591" s="8">
        <f t="shared" si="772"/>
        <v>0.29173693086003372</v>
      </c>
      <c r="BD1591" s="6" t="s">
        <v>15178</v>
      </c>
      <c r="BE1591" s="6" t="str">
        <f t="shared" si="756"/>
        <v>=3.558*100000000</v>
      </c>
      <c r="BF1591" s="1">
        <f>3.558*100000000</f>
        <v>355800000</v>
      </c>
      <c r="BG1591" s="8">
        <f t="shared" si="773"/>
        <v>4.0063317855635292</v>
      </c>
      <c r="BH1591" s="7" t="s">
        <v>15179</v>
      </c>
      <c r="BI1591" s="6" t="str">
        <f t="shared" si="757"/>
        <v>=7107*10000</v>
      </c>
      <c r="BJ1591" s="1">
        <f>7107*10000</f>
        <v>71070000</v>
      </c>
      <c r="BK1591" s="7" t="s">
        <v>11350</v>
      </c>
      <c r="BL1591" s="1" t="str">
        <f t="shared" si="759"/>
        <v>=5022*10000</v>
      </c>
      <c r="BM1591" s="16">
        <f t="shared" si="774"/>
        <v>0.41517323775388293</v>
      </c>
      <c r="BN1591" s="1">
        <f>5022*10000</f>
        <v>50220000</v>
      </c>
    </row>
    <row r="1592" spans="1:66">
      <c r="A1592" s="18"/>
      <c r="B1592">
        <v>603043</v>
      </c>
      <c r="C1592" t="s">
        <v>58</v>
      </c>
      <c r="D1592" s="6" t="s">
        <v>15180</v>
      </c>
      <c r="E1592" s="7" t="str">
        <f t="shared" si="758"/>
        <v>=6.828*100000000</v>
      </c>
      <c r="F1592" s="1">
        <f>6.828*100000000</f>
        <v>682800000</v>
      </c>
      <c r="G1592" s="8">
        <f t="shared" si="760"/>
        <v>0.28878822197055493</v>
      </c>
      <c r="H1592" s="6" t="s">
        <v>7780</v>
      </c>
      <c r="I1592" s="6" t="str">
        <f t="shared" si="744"/>
        <v>=5.298*100000000</v>
      </c>
      <c r="J1592" s="1">
        <f>5.298*100000000</f>
        <v>529800000</v>
      </c>
      <c r="K1592" s="10">
        <f t="shared" si="761"/>
        <v>10.570211836645555</v>
      </c>
      <c r="L1592" s="7" t="s">
        <v>6281</v>
      </c>
      <c r="M1592" s="6" t="str">
        <f t="shared" si="745"/>
        <v>=4579*10000</v>
      </c>
      <c r="N1592" s="1">
        <f>4579*10000</f>
        <v>45790000</v>
      </c>
      <c r="O1592" s="8">
        <f t="shared" si="762"/>
        <v>-0.22059574468085105</v>
      </c>
      <c r="P1592" s="7" t="s">
        <v>15181</v>
      </c>
      <c r="Q1592" s="6" t="str">
        <f t="shared" si="746"/>
        <v>=5875*10000</v>
      </c>
      <c r="R1592" s="11">
        <f>5875*10000</f>
        <v>58750000</v>
      </c>
      <c r="S1592" s="8">
        <f t="shared" si="763"/>
        <v>-0.89614636733250841</v>
      </c>
      <c r="T1592" s="6" t="s">
        <v>15182</v>
      </c>
      <c r="U1592" s="6" t="str">
        <f t="shared" si="747"/>
        <v>=5.657*100000000</v>
      </c>
      <c r="V1592" s="1">
        <f>5.657*100000000</f>
        <v>565700000</v>
      </c>
      <c r="W1592" s="8">
        <f t="shared" si="764"/>
        <v>0.29837043837502869</v>
      </c>
      <c r="X1592" s="6" t="s">
        <v>5929</v>
      </c>
      <c r="Y1592" s="6" t="str">
        <f t="shared" si="748"/>
        <v>=4.357*100000000</v>
      </c>
      <c r="Z1592" s="1">
        <f>4.357*100000000</f>
        <v>435700000</v>
      </c>
      <c r="AA1592" s="8">
        <f t="shared" si="765"/>
        <v>37.118985126859144</v>
      </c>
      <c r="AB1592" s="7" t="s">
        <v>4209</v>
      </c>
      <c r="AC1592" s="6" t="str">
        <f t="shared" si="749"/>
        <v>=1143*10000</v>
      </c>
      <c r="AD1592" s="1">
        <f>1143*10000</f>
        <v>11430000</v>
      </c>
      <c r="AE1592" s="8">
        <f t="shared" si="766"/>
        <v>-5.4590570719602979E-2</v>
      </c>
      <c r="AF1592" s="7" t="s">
        <v>15183</v>
      </c>
      <c r="AG1592" s="6" t="str">
        <f t="shared" si="750"/>
        <v>=1209*10000</v>
      </c>
      <c r="AH1592" s="1">
        <f>1209*10000</f>
        <v>12090000</v>
      </c>
      <c r="AI1592" s="8">
        <f t="shared" si="767"/>
        <v>-0.97411134903640262</v>
      </c>
      <c r="AJ1592" s="6" t="s">
        <v>15184</v>
      </c>
      <c r="AK1592" s="6" t="str">
        <f t="shared" si="751"/>
        <v>=4.670*100000000</v>
      </c>
      <c r="AL1592" s="1">
        <f>4.67*100000000</f>
        <v>467000000</v>
      </c>
      <c r="AM1592" s="8">
        <f t="shared" si="768"/>
        <v>0.18497843187008373</v>
      </c>
      <c r="AN1592" s="6" t="s">
        <v>8297</v>
      </c>
      <c r="AO1592" s="6" t="str">
        <f t="shared" si="752"/>
        <v>=3.941*100000000</v>
      </c>
      <c r="AP1592" s="1">
        <f>3.941*100000000</f>
        <v>394100000</v>
      </c>
      <c r="AQ1592" s="8">
        <f t="shared" si="769"/>
        <v>3.6805225653206652</v>
      </c>
      <c r="AR1592" s="7" t="s">
        <v>8313</v>
      </c>
      <c r="AS1592" s="6" t="str">
        <f t="shared" si="753"/>
        <v>=8420*10000</v>
      </c>
      <c r="AT1592" s="1">
        <f>8420*10000</f>
        <v>84200000</v>
      </c>
      <c r="AU1592" s="8">
        <f t="shared" si="770"/>
        <v>0.45448263948868545</v>
      </c>
      <c r="AV1592" s="7" t="s">
        <v>15185</v>
      </c>
      <c r="AW1592" s="6" t="str">
        <f t="shared" si="754"/>
        <v>=5789*10000</v>
      </c>
      <c r="AX1592" s="1">
        <f>5789*10000</f>
        <v>57890000</v>
      </c>
      <c r="AY1592" s="10">
        <f t="shared" si="771"/>
        <v>-0.87534453057708872</v>
      </c>
      <c r="AZ1592" s="6" t="s">
        <v>15186</v>
      </c>
      <c r="BA1592" s="6" t="str">
        <f t="shared" si="755"/>
        <v>=4.644*100000000</v>
      </c>
      <c r="BB1592" s="1">
        <f>4.644*100000000</f>
        <v>464400000</v>
      </c>
      <c r="BC1592" s="8">
        <f t="shared" si="772"/>
        <v>0.29395374756199499</v>
      </c>
      <c r="BD1592" s="6" t="s">
        <v>5780</v>
      </c>
      <c r="BE1592" s="6" t="str">
        <f t="shared" si="756"/>
        <v>=3.589*100000000</v>
      </c>
      <c r="BF1592" s="1">
        <f>3.589*100000000</f>
        <v>358900000</v>
      </c>
      <c r="BG1592" s="8">
        <f t="shared" si="773"/>
        <v>3.8284676442889816</v>
      </c>
      <c r="BH1592" s="7" t="s">
        <v>15187</v>
      </c>
      <c r="BI1592" s="6" t="str">
        <f t="shared" si="757"/>
        <v>=7433*10000</v>
      </c>
      <c r="BJ1592" s="1">
        <f>7433*10000</f>
        <v>74330000</v>
      </c>
      <c r="BK1592" s="7" t="s">
        <v>15188</v>
      </c>
      <c r="BL1592" s="1" t="str">
        <f t="shared" si="759"/>
        <v>=4998*10000</v>
      </c>
      <c r="BM1592" s="16">
        <f t="shared" si="774"/>
        <v>0.48719487795118049</v>
      </c>
      <c r="BN1592" s="1">
        <f>4998*10000</f>
        <v>49980000</v>
      </c>
    </row>
    <row r="1593" spans="1:66">
      <c r="A1593" s="19"/>
      <c r="B1593">
        <v>603043</v>
      </c>
      <c r="C1593" t="s">
        <v>68</v>
      </c>
      <c r="D1593" s="6" t="s">
        <v>15189</v>
      </c>
      <c r="E1593" s="7" t="str">
        <f t="shared" si="758"/>
        <v>=5.649*100000000</v>
      </c>
      <c r="F1593" s="1">
        <f>5.649*100000000</f>
        <v>564900000</v>
      </c>
      <c r="G1593" s="8">
        <f t="shared" si="760"/>
        <v>0.24950232249502322</v>
      </c>
      <c r="H1593" s="6" t="s">
        <v>7648</v>
      </c>
      <c r="I1593" s="6" t="str">
        <f t="shared" si="744"/>
        <v>=4.521*100000000</v>
      </c>
      <c r="J1593" s="1">
        <f>4.521*100000000</f>
        <v>452100000</v>
      </c>
      <c r="K1593" s="10">
        <f t="shared" si="761"/>
        <v>11.48205411374931</v>
      </c>
      <c r="L1593" s="7" t="s">
        <v>15190</v>
      </c>
      <c r="M1593" s="6" t="str">
        <f t="shared" si="745"/>
        <v>=3622*10000</v>
      </c>
      <c r="N1593" s="1">
        <f>3622*10000</f>
        <v>36220000</v>
      </c>
      <c r="O1593" s="8">
        <f t="shared" si="762"/>
        <v>-0.23923545473639993</v>
      </c>
      <c r="P1593" s="7" t="s">
        <v>10460</v>
      </c>
      <c r="Q1593" s="6" t="str">
        <f t="shared" si="746"/>
        <v>=4761*10000</v>
      </c>
      <c r="R1593" s="11">
        <f>4761*10000</f>
        <v>47610000</v>
      </c>
      <c r="S1593" s="8">
        <f t="shared" si="763"/>
        <v>-0.89743644980611803</v>
      </c>
      <c r="T1593" s="6" t="s">
        <v>11660</v>
      </c>
      <c r="U1593" s="6" t="str">
        <f t="shared" si="747"/>
        <v>=4.642*100000000</v>
      </c>
      <c r="V1593" s="1">
        <f>4.642*100000000</f>
        <v>464200000.00000006</v>
      </c>
      <c r="W1593" s="8">
        <f t="shared" si="764"/>
        <v>0.28980272297860532</v>
      </c>
      <c r="X1593" s="6" t="s">
        <v>6958</v>
      </c>
      <c r="Y1593" s="6" t="str">
        <f t="shared" si="748"/>
        <v>=3.599*100000000</v>
      </c>
      <c r="Z1593" s="1">
        <f>3.599*100000000</f>
        <v>359900000</v>
      </c>
      <c r="AA1593" s="8">
        <f t="shared" si="765"/>
        <v>31.8675799086758</v>
      </c>
      <c r="AB1593" s="7" t="s">
        <v>15191</v>
      </c>
      <c r="AC1593" s="6" t="str">
        <f t="shared" si="749"/>
        <v>=1095*10000</v>
      </c>
      <c r="AD1593" s="1">
        <f>1095*10000</f>
        <v>10950000</v>
      </c>
      <c r="AE1593" s="8">
        <f t="shared" si="766"/>
        <v>-7.2033898305084748E-2</v>
      </c>
      <c r="AF1593" s="7" t="s">
        <v>15192</v>
      </c>
      <c r="AG1593" s="6" t="str">
        <f t="shared" si="750"/>
        <v>=1180*10000</v>
      </c>
      <c r="AH1593" s="1">
        <f>1180*10000</f>
        <v>11800000</v>
      </c>
      <c r="AI1593" s="8">
        <f t="shared" si="767"/>
        <v>-0.96922274387063123</v>
      </c>
      <c r="AJ1593" s="6" t="s">
        <v>13038</v>
      </c>
      <c r="AK1593" s="6" t="str">
        <f t="shared" si="751"/>
        <v>=3.834*100000000</v>
      </c>
      <c r="AL1593" s="1">
        <f>3.834*100000000</f>
        <v>383400000</v>
      </c>
      <c r="AM1593" s="8">
        <f t="shared" si="768"/>
        <v>0.18333333333333332</v>
      </c>
      <c r="AN1593" s="6" t="s">
        <v>15193</v>
      </c>
      <c r="AO1593" s="6" t="str">
        <f t="shared" si="752"/>
        <v>=3.240*100000000</v>
      </c>
      <c r="AP1593" s="1">
        <f>3.24*100000000</f>
        <v>324000000</v>
      </c>
      <c r="AQ1593" s="8">
        <f t="shared" si="769"/>
        <v>4.1176749328700044</v>
      </c>
      <c r="AR1593" s="7" t="s">
        <v>15194</v>
      </c>
      <c r="AS1593" s="6" t="str">
        <f t="shared" si="753"/>
        <v>=6331*10000</v>
      </c>
      <c r="AT1593" s="1">
        <f>6331*10000</f>
        <v>63310000</v>
      </c>
      <c r="AU1593" s="8">
        <f t="shared" si="770"/>
        <v>0.40626388271879166</v>
      </c>
      <c r="AV1593" s="7" t="s">
        <v>15195</v>
      </c>
      <c r="AW1593" s="6" t="str">
        <f t="shared" si="754"/>
        <v>=4502*10000</v>
      </c>
      <c r="AX1593" s="1">
        <f>4502*10000</f>
        <v>45020000</v>
      </c>
      <c r="AY1593" s="10">
        <f t="shared" si="771"/>
        <v>-0.88257694314032342</v>
      </c>
      <c r="AZ1593" s="6" t="s">
        <v>13038</v>
      </c>
      <c r="BA1593" s="6" t="str">
        <f t="shared" si="755"/>
        <v>=3.834*100000000</v>
      </c>
      <c r="BB1593" s="1">
        <f>3.834*100000000</f>
        <v>383400000</v>
      </c>
      <c r="BC1593" s="8">
        <f t="shared" si="772"/>
        <v>0.28528327187395242</v>
      </c>
      <c r="BD1593" s="6" t="s">
        <v>15196</v>
      </c>
      <c r="BE1593" s="6" t="str">
        <f t="shared" si="756"/>
        <v>=2.983*100000000</v>
      </c>
      <c r="BF1593" s="1">
        <f>2.983*100000000</f>
        <v>298300000</v>
      </c>
      <c r="BG1593" s="8">
        <f t="shared" si="773"/>
        <v>4.0456698240866036</v>
      </c>
      <c r="BH1593" s="7" t="s">
        <v>15197</v>
      </c>
      <c r="BI1593" s="6" t="str">
        <f t="shared" si="757"/>
        <v>=5912*10000</v>
      </c>
      <c r="BJ1593" s="1">
        <f>5912*10000</f>
        <v>59120000</v>
      </c>
      <c r="BK1593" s="7" t="s">
        <v>15198</v>
      </c>
      <c r="BL1593" s="1" t="str">
        <f t="shared" si="759"/>
        <v>=3914*10000</v>
      </c>
      <c r="BM1593" s="16">
        <f t="shared" si="774"/>
        <v>0.51047521716913646</v>
      </c>
      <c r="BN1593" s="1">
        <f>3914*10000</f>
        <v>39140000</v>
      </c>
    </row>
    <row r="1594" spans="1:66">
      <c r="A1594" s="17">
        <v>400</v>
      </c>
      <c r="B1594">
        <v>603045</v>
      </c>
      <c r="C1594" t="s">
        <v>31</v>
      </c>
      <c r="D1594" s="6" t="s">
        <v>607</v>
      </c>
      <c r="E1594" s="7" t="str">
        <f t="shared" si="758"/>
        <v>=29.31*100000000</v>
      </c>
      <c r="F1594" s="1">
        <f>29.31*100000000</f>
        <v>2931000000</v>
      </c>
      <c r="G1594" s="8">
        <f t="shared" si="760"/>
        <v>0.33045846572855198</v>
      </c>
      <c r="H1594" s="6" t="s">
        <v>3254</v>
      </c>
      <c r="I1594" s="6" t="str">
        <f t="shared" si="744"/>
        <v>=22.03*100000000</v>
      </c>
      <c r="J1594" s="1">
        <f>22.03*100000000</f>
        <v>2203000000</v>
      </c>
      <c r="K1594" s="10">
        <f t="shared" si="761"/>
        <v>0.50993831391363953</v>
      </c>
      <c r="L1594" s="6" t="s">
        <v>9259</v>
      </c>
      <c r="M1594" s="6" t="str">
        <f t="shared" si="745"/>
        <v>=14.59*100000000</v>
      </c>
      <c r="N1594" s="1">
        <f>14.59*100000000</f>
        <v>1459000000</v>
      </c>
      <c r="O1594" s="8">
        <f t="shared" si="762"/>
        <v>1.3969114506324956</v>
      </c>
      <c r="P1594" s="6" t="s">
        <v>7130</v>
      </c>
      <c r="Q1594" s="6" t="str">
        <f t="shared" si="746"/>
        <v>=6.087*100000000</v>
      </c>
      <c r="R1594" s="11">
        <f>6.087*100000000</f>
        <v>608700000</v>
      </c>
      <c r="S1594" s="8">
        <f t="shared" si="763"/>
        <v>-0.73592190889370934</v>
      </c>
      <c r="T1594" s="6" t="s">
        <v>12269</v>
      </c>
      <c r="U1594" s="6" t="str">
        <f t="shared" si="747"/>
        <v>=23.05*100000000</v>
      </c>
      <c r="V1594" s="1">
        <f>23.05*100000000</f>
        <v>2305000000</v>
      </c>
      <c r="W1594" s="8">
        <f t="shared" si="764"/>
        <v>0.59736659736659736</v>
      </c>
      <c r="X1594" s="6" t="s">
        <v>2830</v>
      </c>
      <c r="Y1594" s="6" t="str">
        <f t="shared" si="748"/>
        <v>=14.43*100000000</v>
      </c>
      <c r="Z1594" s="1">
        <f>14.43*100000000</f>
        <v>1443000000</v>
      </c>
      <c r="AA1594" s="8">
        <f t="shared" si="765"/>
        <v>0.7790654666502278</v>
      </c>
      <c r="AB1594" s="6" t="s">
        <v>8102</v>
      </c>
      <c r="AC1594" s="6" t="str">
        <f t="shared" si="749"/>
        <v>=8.111*100000000</v>
      </c>
      <c r="AD1594" s="1">
        <f>8.111*100000000</f>
        <v>811100000.00000012</v>
      </c>
      <c r="AE1594" s="8">
        <f t="shared" si="766"/>
        <v>2.1474582848273189</v>
      </c>
      <c r="AF1594" s="6" t="s">
        <v>8724</v>
      </c>
      <c r="AG1594" s="6" t="str">
        <f t="shared" si="750"/>
        <v>=2.577*100000000</v>
      </c>
      <c r="AH1594" s="1">
        <f>2.577*100000000</f>
        <v>257700000</v>
      </c>
      <c r="AI1594" s="8">
        <f t="shared" si="767"/>
        <v>-0.83523017902813301</v>
      </c>
      <c r="AJ1594" s="6" t="s">
        <v>2424</v>
      </c>
      <c r="AK1594" s="6" t="str">
        <f t="shared" si="751"/>
        <v>=15.64*100000000</v>
      </c>
      <c r="AL1594" s="1">
        <f>15.64*100000000</f>
        <v>1564000000</v>
      </c>
      <c r="AM1594" s="8">
        <f t="shared" si="768"/>
        <v>0.45218198700092849</v>
      </c>
      <c r="AN1594" s="6" t="s">
        <v>7530</v>
      </c>
      <c r="AO1594" s="6" t="str">
        <f t="shared" si="752"/>
        <v>=10.77*100000000</v>
      </c>
      <c r="AP1594" s="1">
        <f>10.77*100000000</f>
        <v>1077000000</v>
      </c>
      <c r="AQ1594" s="8">
        <f t="shared" si="769"/>
        <v>0.5993465993465994</v>
      </c>
      <c r="AR1594" s="6" t="s">
        <v>15199</v>
      </c>
      <c r="AS1594" s="6" t="str">
        <f t="shared" si="753"/>
        <v>=6.734*100000000</v>
      </c>
      <c r="AT1594" s="1">
        <f>6.734*100000000</f>
        <v>673400000</v>
      </c>
      <c r="AU1594" s="8">
        <f t="shared" si="770"/>
        <v>1.4032833690221271</v>
      </c>
      <c r="AV1594" s="6" t="s">
        <v>9282</v>
      </c>
      <c r="AW1594" s="6" t="str">
        <f t="shared" si="754"/>
        <v>=2.802*100000000</v>
      </c>
      <c r="AX1594" s="1">
        <f>2.802*100000000</f>
        <v>280200000</v>
      </c>
      <c r="AY1594" s="10">
        <f t="shared" si="771"/>
        <v>-0.78852830188679246</v>
      </c>
      <c r="AZ1594" s="6" t="s">
        <v>5107</v>
      </c>
      <c r="BA1594" s="6" t="str">
        <f t="shared" si="755"/>
        <v>=13.25*100000000</v>
      </c>
      <c r="BB1594" s="1">
        <f>13.25*100000000</f>
        <v>1325000000</v>
      </c>
      <c r="BC1594" s="8">
        <f t="shared" si="772"/>
        <v>0.39871212920933163</v>
      </c>
      <c r="BD1594" s="6" t="s">
        <v>15200</v>
      </c>
      <c r="BE1594" s="6" t="str">
        <f t="shared" si="756"/>
        <v>=9.473*100000000</v>
      </c>
      <c r="BF1594" s="1">
        <f>9.473*100000000</f>
        <v>947300000.00000012</v>
      </c>
      <c r="BG1594" s="8">
        <f t="shared" si="773"/>
        <v>0.53111362534346229</v>
      </c>
      <c r="BH1594" s="6" t="s">
        <v>15201</v>
      </c>
      <c r="BI1594" s="6" t="str">
        <f t="shared" si="757"/>
        <v>=6.187*100000000</v>
      </c>
      <c r="BJ1594" s="1">
        <f>6.187*100000000</f>
        <v>618700000</v>
      </c>
      <c r="BK1594" s="6" t="s">
        <v>5792</v>
      </c>
      <c r="BL1594" s="1" t="str">
        <f t="shared" si="759"/>
        <v>=2.374*100000000</v>
      </c>
      <c r="BM1594" s="16">
        <f t="shared" si="774"/>
        <v>1.6061499578770009</v>
      </c>
      <c r="BN1594" s="1">
        <f>2.374*100000000</f>
        <v>237400000</v>
      </c>
    </row>
    <row r="1595" spans="1:66">
      <c r="A1595" s="18"/>
      <c r="B1595">
        <v>603045</v>
      </c>
      <c r="C1595" t="s">
        <v>48</v>
      </c>
      <c r="D1595" s="7" t="s">
        <v>15202</v>
      </c>
      <c r="E1595" s="7" t="str">
        <f t="shared" si="758"/>
        <v>=5925*10000</v>
      </c>
      <c r="F1595" s="1">
        <f>5925*10000</f>
        <v>59250000</v>
      </c>
      <c r="G1595" s="8">
        <f t="shared" si="760"/>
        <v>0.61356209150326801</v>
      </c>
      <c r="H1595" s="7" t="s">
        <v>15203</v>
      </c>
      <c r="I1595" s="6" t="str">
        <f t="shared" si="744"/>
        <v>=3672*10000</v>
      </c>
      <c r="J1595" s="1">
        <f>3672*10000</f>
        <v>36720000</v>
      </c>
      <c r="K1595" s="10">
        <f t="shared" si="761"/>
        <v>9.350804050029779E-2</v>
      </c>
      <c r="L1595" s="7" t="s">
        <v>12185</v>
      </c>
      <c r="M1595" s="6" t="str">
        <f t="shared" si="745"/>
        <v>=3358*10000</v>
      </c>
      <c r="N1595" s="1">
        <f>3358*10000</f>
        <v>33580000</v>
      </c>
      <c r="O1595" s="8">
        <f t="shared" si="762"/>
        <v>4.844065436825618</v>
      </c>
      <c r="P1595" s="7" t="s">
        <v>15204</v>
      </c>
      <c r="Q1595" s="6" t="str">
        <f t="shared" si="746"/>
        <v>=574.6*10000</v>
      </c>
      <c r="R1595" s="11">
        <f>574.6*10000</f>
        <v>5746000</v>
      </c>
      <c r="S1595" s="8">
        <f t="shared" si="763"/>
        <v>-0.8635154394299287</v>
      </c>
      <c r="T1595" s="7" t="s">
        <v>15205</v>
      </c>
      <c r="U1595" s="6" t="str">
        <f t="shared" si="747"/>
        <v>=4210*10000</v>
      </c>
      <c r="V1595" s="1">
        <f>4210*10000</f>
        <v>42100000</v>
      </c>
      <c r="W1595" s="8">
        <f t="shared" si="764"/>
        <v>0.91103041307308219</v>
      </c>
      <c r="X1595" s="7" t="s">
        <v>15206</v>
      </c>
      <c r="Y1595" s="6" t="str">
        <f t="shared" si="748"/>
        <v>=2203*10000</v>
      </c>
      <c r="Z1595" s="1">
        <f>2203*10000</f>
        <v>22030000</v>
      </c>
      <c r="AA1595" s="8">
        <f t="shared" si="765"/>
        <v>17.59071729957806</v>
      </c>
      <c r="AB1595" s="7" t="s">
        <v>15207</v>
      </c>
      <c r="AC1595" s="6" t="str">
        <f t="shared" si="749"/>
        <v>=118.5*10000</v>
      </c>
      <c r="AD1595" s="1">
        <f>118.5*10000</f>
        <v>1185000</v>
      </c>
      <c r="AE1595" s="8">
        <f t="shared" si="766"/>
        <v>-1.0928683385579938</v>
      </c>
      <c r="AF1595" s="7">
        <f>-1276*10000</f>
        <v>-12760000</v>
      </c>
      <c r="AG1595" s="6" t="str">
        <f t="shared" si="750"/>
        <v>=-12760000</v>
      </c>
      <c r="AH1595" s="1">
        <f>-12760000</f>
        <v>-12760000</v>
      </c>
      <c r="AI1595" s="8">
        <f t="shared" si="767"/>
        <v>-1.1860600758238553</v>
      </c>
      <c r="AJ1595" s="7" t="s">
        <v>15208</v>
      </c>
      <c r="AK1595" s="6" t="str">
        <f t="shared" si="751"/>
        <v>=6858*10000</v>
      </c>
      <c r="AL1595" s="1">
        <f>6858*10000</f>
        <v>68580000</v>
      </c>
      <c r="AM1595" s="8">
        <f t="shared" si="768"/>
        <v>0.535946248600224</v>
      </c>
      <c r="AN1595" s="7" t="s">
        <v>15209</v>
      </c>
      <c r="AO1595" s="6" t="str">
        <f t="shared" si="752"/>
        <v>=4465*10000</v>
      </c>
      <c r="AP1595" s="1">
        <f>4465*10000</f>
        <v>44650000</v>
      </c>
      <c r="AQ1595" s="8">
        <f t="shared" si="769"/>
        <v>0.63973558575100986</v>
      </c>
      <c r="AR1595" s="7" t="s">
        <v>15015</v>
      </c>
      <c r="AS1595" s="6" t="str">
        <f t="shared" si="753"/>
        <v>=2723*10000</v>
      </c>
      <c r="AT1595" s="1">
        <f>2723*10000</f>
        <v>27230000</v>
      </c>
      <c r="AU1595" s="8">
        <f t="shared" si="770"/>
        <v>3.302417443513983</v>
      </c>
      <c r="AV1595" s="7" t="s">
        <v>15210</v>
      </c>
      <c r="AW1595" s="6" t="str">
        <f t="shared" si="754"/>
        <v>=632.9*10000</v>
      </c>
      <c r="AX1595" s="1">
        <f>632.9*10000</f>
        <v>6329000</v>
      </c>
      <c r="AY1595" s="10">
        <f t="shared" si="771"/>
        <v>-0.88910110390748209</v>
      </c>
      <c r="AZ1595" s="7" t="s">
        <v>15211</v>
      </c>
      <c r="BA1595" s="6" t="str">
        <f t="shared" si="755"/>
        <v>=5707*10000</v>
      </c>
      <c r="BB1595" s="1">
        <f>5707*10000</f>
        <v>57070000</v>
      </c>
      <c r="BC1595" s="8">
        <f t="shared" si="772"/>
        <v>0.48310810810810811</v>
      </c>
      <c r="BD1595" s="7" t="s">
        <v>2590</v>
      </c>
      <c r="BE1595" s="6" t="str">
        <f t="shared" si="756"/>
        <v>=3848*10000</v>
      </c>
      <c r="BF1595" s="1">
        <f>3848*10000</f>
        <v>38480000</v>
      </c>
      <c r="BG1595" s="8">
        <f t="shared" si="773"/>
        <v>0.44173847883102285</v>
      </c>
      <c r="BH1595" s="7" t="s">
        <v>5489</v>
      </c>
      <c r="BI1595" s="6" t="str">
        <f t="shared" si="757"/>
        <v>=2669*10000</v>
      </c>
      <c r="BJ1595" s="1">
        <f>2669*10000</f>
        <v>26690000</v>
      </c>
      <c r="BK1595" s="7" t="s">
        <v>15212</v>
      </c>
      <c r="BL1595" s="1" t="str">
        <f t="shared" si="759"/>
        <v>=609.7*10000</v>
      </c>
      <c r="BM1595" s="16">
        <f t="shared" si="774"/>
        <v>3.3775627357716909</v>
      </c>
      <c r="BN1595" s="1">
        <f>609.7*10000</f>
        <v>6097000</v>
      </c>
    </row>
    <row r="1596" spans="1:66">
      <c r="A1596" s="18"/>
      <c r="B1596">
        <v>603045</v>
      </c>
      <c r="C1596" t="s">
        <v>58</v>
      </c>
      <c r="D1596" s="7" t="s">
        <v>15213</v>
      </c>
      <c r="E1596" s="7" t="str">
        <f t="shared" si="758"/>
        <v>=5880*10000</v>
      </c>
      <c r="F1596" s="1">
        <f>5880*10000</f>
        <v>58800000</v>
      </c>
      <c r="G1596" s="8">
        <f t="shared" si="760"/>
        <v>0.56466205428419369</v>
      </c>
      <c r="H1596" s="7" t="s">
        <v>10295</v>
      </c>
      <c r="I1596" s="6" t="str">
        <f t="shared" si="744"/>
        <v>=3758*10000</v>
      </c>
      <c r="J1596" s="1">
        <f>3758*10000</f>
        <v>37580000</v>
      </c>
      <c r="K1596" s="10">
        <f t="shared" si="761"/>
        <v>9.5626822157434399E-2</v>
      </c>
      <c r="L1596" s="7" t="s">
        <v>15214</v>
      </c>
      <c r="M1596" s="6" t="str">
        <f t="shared" si="745"/>
        <v>=3430*10000</v>
      </c>
      <c r="N1596" s="1">
        <f>3430*10000</f>
        <v>34300000</v>
      </c>
      <c r="O1596" s="8">
        <f t="shared" si="762"/>
        <v>4.8954967342729461</v>
      </c>
      <c r="P1596" s="7" t="s">
        <v>15215</v>
      </c>
      <c r="Q1596" s="6" t="str">
        <f t="shared" si="746"/>
        <v>=581.8*10000</v>
      </c>
      <c r="R1596" s="11">
        <f>581.8*10000</f>
        <v>5818000</v>
      </c>
      <c r="S1596" s="8">
        <f t="shared" si="763"/>
        <v>-0.86541753411982425</v>
      </c>
      <c r="T1596" s="7" t="s">
        <v>5871</v>
      </c>
      <c r="U1596" s="6" t="str">
        <f t="shared" si="747"/>
        <v>=4323*10000</v>
      </c>
      <c r="V1596" s="1">
        <f>4323*10000</f>
        <v>43230000</v>
      </c>
      <c r="W1596" s="8">
        <f t="shared" si="764"/>
        <v>0.64560334982870193</v>
      </c>
      <c r="X1596" s="7" t="s">
        <v>15216</v>
      </c>
      <c r="Y1596" s="6" t="str">
        <f t="shared" si="748"/>
        <v>=2627*10000</v>
      </c>
      <c r="Z1596" s="1">
        <f>2627*10000</f>
        <v>26270000</v>
      </c>
      <c r="AA1596" s="8">
        <f t="shared" si="765"/>
        <v>14.730538922155688</v>
      </c>
      <c r="AB1596" s="7" t="s">
        <v>15217</v>
      </c>
      <c r="AC1596" s="6" t="str">
        <f t="shared" si="749"/>
        <v>=167.0*10000</v>
      </c>
      <c r="AD1596" s="1">
        <f>167*10000</f>
        <v>1670000</v>
      </c>
      <c r="AE1596" s="8">
        <f t="shared" si="766"/>
        <v>-1.1284615384615384</v>
      </c>
      <c r="AF1596" s="7">
        <f>-1300*10000</f>
        <v>-13000000</v>
      </c>
      <c r="AG1596" s="6" t="str">
        <f t="shared" si="750"/>
        <v>=-13000000</v>
      </c>
      <c r="AH1596" s="1">
        <f>-13000000</f>
        <v>-13000000</v>
      </c>
      <c r="AI1596" s="8">
        <f t="shared" si="767"/>
        <v>-1.1624796900387451</v>
      </c>
      <c r="AJ1596" s="7" t="s">
        <v>15218</v>
      </c>
      <c r="AK1596" s="6" t="str">
        <f t="shared" si="751"/>
        <v>=8001*10000</v>
      </c>
      <c r="AL1596" s="1">
        <f>8001*10000</f>
        <v>80010000</v>
      </c>
      <c r="AM1596" s="8">
        <f t="shared" si="768"/>
        <v>0.43902877697841725</v>
      </c>
      <c r="AN1596" s="7" t="s">
        <v>10034</v>
      </c>
      <c r="AO1596" s="6" t="str">
        <f t="shared" si="752"/>
        <v>=5560*10000</v>
      </c>
      <c r="AP1596" s="1">
        <f>5560*10000</f>
        <v>55600000</v>
      </c>
      <c r="AQ1596" s="8">
        <f t="shared" si="769"/>
        <v>0.47440997083001857</v>
      </c>
      <c r="AR1596" s="7" t="s">
        <v>15219</v>
      </c>
      <c r="AS1596" s="6" t="str">
        <f t="shared" si="753"/>
        <v>=3771*10000</v>
      </c>
      <c r="AT1596" s="1">
        <f>3771*10000</f>
        <v>37710000</v>
      </c>
      <c r="AU1596" s="8">
        <f t="shared" si="770"/>
        <v>1.3149171270718232</v>
      </c>
      <c r="AV1596" s="7" t="s">
        <v>15220</v>
      </c>
      <c r="AW1596" s="6" t="str">
        <f t="shared" si="754"/>
        <v>=1629*10000</v>
      </c>
      <c r="AX1596" s="1">
        <f>1629*10000</f>
        <v>16290000</v>
      </c>
      <c r="AY1596" s="10">
        <f t="shared" si="771"/>
        <v>-0.74451066499372642</v>
      </c>
      <c r="AZ1596" s="7" t="s">
        <v>4439</v>
      </c>
      <c r="BA1596" s="6" t="str">
        <f t="shared" si="755"/>
        <v>=6376*10000</v>
      </c>
      <c r="BB1596" s="1">
        <f>6376*10000</f>
        <v>63760000</v>
      </c>
      <c r="BC1596" s="8">
        <f t="shared" si="772"/>
        <v>0.60685483870967738</v>
      </c>
      <c r="BD1596" s="7" t="s">
        <v>12070</v>
      </c>
      <c r="BE1596" s="6" t="str">
        <f t="shared" si="756"/>
        <v>=3968*10000</v>
      </c>
      <c r="BF1596" s="1">
        <f>3968*10000</f>
        <v>39680000</v>
      </c>
      <c r="BG1596" s="8">
        <f t="shared" si="773"/>
        <v>0.4299099099099099</v>
      </c>
      <c r="BH1596" s="7" t="s">
        <v>15221</v>
      </c>
      <c r="BI1596" s="6" t="str">
        <f t="shared" si="757"/>
        <v>=2775*10000</v>
      </c>
      <c r="BJ1596" s="1">
        <f>2775*10000</f>
        <v>27750000</v>
      </c>
      <c r="BK1596" s="7" t="s">
        <v>15222</v>
      </c>
      <c r="BL1596" s="1" t="str">
        <f t="shared" si="759"/>
        <v>=610.5*10000</v>
      </c>
      <c r="BM1596" s="16">
        <f t="shared" si="774"/>
        <v>3.5454545454545454</v>
      </c>
      <c r="BN1596" s="1">
        <f>610.5*10000</f>
        <v>6105000</v>
      </c>
    </row>
    <row r="1597" spans="1:66">
      <c r="A1597" s="19"/>
      <c r="B1597">
        <v>603045</v>
      </c>
      <c r="C1597" t="s">
        <v>68</v>
      </c>
      <c r="D1597" s="7" t="s">
        <v>15223</v>
      </c>
      <c r="E1597" s="7" t="str">
        <f t="shared" si="758"/>
        <v>=5709*10000</v>
      </c>
      <c r="F1597" s="1">
        <f>5709*10000</f>
        <v>57090000</v>
      </c>
      <c r="G1597" s="8">
        <f t="shared" si="760"/>
        <v>0.35960943081686114</v>
      </c>
      <c r="H1597" s="7" t="s">
        <v>15224</v>
      </c>
      <c r="I1597" s="6" t="str">
        <f t="shared" si="744"/>
        <v>=4199*10000</v>
      </c>
      <c r="J1597" s="1">
        <f>4199*10000</f>
        <v>41990000</v>
      </c>
      <c r="K1597" s="10">
        <f t="shared" si="761"/>
        <v>0.18248380737820333</v>
      </c>
      <c r="L1597" s="7" t="s">
        <v>8275</v>
      </c>
      <c r="M1597" s="6" t="str">
        <f t="shared" si="745"/>
        <v>=3551*10000</v>
      </c>
      <c r="N1597" s="1">
        <f>3551*10000</f>
        <v>35510000</v>
      </c>
      <c r="O1597" s="8">
        <f t="shared" si="762"/>
        <v>3.8306352877159568</v>
      </c>
      <c r="P1597" s="7" t="s">
        <v>15225</v>
      </c>
      <c r="Q1597" s="6" t="str">
        <f t="shared" si="746"/>
        <v>=735.1*10000</v>
      </c>
      <c r="R1597" s="11">
        <f>735.1*10000</f>
        <v>7351000</v>
      </c>
      <c r="S1597" s="8">
        <f t="shared" si="763"/>
        <v>-0.83368778280542988</v>
      </c>
      <c r="T1597" s="7" t="s">
        <v>15226</v>
      </c>
      <c r="U1597" s="6" t="str">
        <f t="shared" si="747"/>
        <v>=4420*10000</v>
      </c>
      <c r="V1597" s="1">
        <f>4420*10000</f>
        <v>44200000</v>
      </c>
      <c r="W1597" s="8">
        <f t="shared" si="764"/>
        <v>0.55142155142155147</v>
      </c>
      <c r="X1597" s="7" t="s">
        <v>15227</v>
      </c>
      <c r="Y1597" s="6" t="str">
        <f t="shared" si="748"/>
        <v>=2849*10000</v>
      </c>
      <c r="Z1597" s="1">
        <f>2849*10000</f>
        <v>28490000</v>
      </c>
      <c r="AA1597" s="8">
        <f t="shared" si="765"/>
        <v>5.6752577319587632</v>
      </c>
      <c r="AB1597" s="7" t="s">
        <v>15228</v>
      </c>
      <c r="AC1597" s="6" t="str">
        <f t="shared" si="749"/>
        <v>=426.8*10000</v>
      </c>
      <c r="AD1597" s="1">
        <f>426.8*10000</f>
        <v>4268000</v>
      </c>
      <c r="AE1597" s="8">
        <f t="shared" si="766"/>
        <v>-1.4204926108374385</v>
      </c>
      <c r="AF1597" s="7">
        <f>-1015*10000</f>
        <v>-10150000</v>
      </c>
      <c r="AG1597" s="6" t="str">
        <f t="shared" si="750"/>
        <v>=-10150000</v>
      </c>
      <c r="AH1597" s="1">
        <f>-10150000</f>
        <v>-10150000</v>
      </c>
      <c r="AI1597" s="8">
        <f t="shared" si="767"/>
        <v>-1.1386990981142389</v>
      </c>
      <c r="AJ1597" s="7" t="s">
        <v>11150</v>
      </c>
      <c r="AK1597" s="6" t="str">
        <f t="shared" si="751"/>
        <v>=7318*10000</v>
      </c>
      <c r="AL1597" s="1">
        <f>7318*10000</f>
        <v>73180000</v>
      </c>
      <c r="AM1597" s="8">
        <f t="shared" si="768"/>
        <v>0.44339250493096649</v>
      </c>
      <c r="AN1597" s="7" t="s">
        <v>15229</v>
      </c>
      <c r="AO1597" s="6" t="str">
        <f t="shared" si="752"/>
        <v>=5070*10000</v>
      </c>
      <c r="AP1597" s="1">
        <f>5070*10000</f>
        <v>50700000</v>
      </c>
      <c r="AQ1597" s="8">
        <f t="shared" si="769"/>
        <v>0.48245614035087719</v>
      </c>
      <c r="AR1597" s="7" t="s">
        <v>15230</v>
      </c>
      <c r="AS1597" s="6" t="str">
        <f t="shared" si="753"/>
        <v>=3420*10000</v>
      </c>
      <c r="AT1597" s="1">
        <f>3420*10000</f>
        <v>34200000</v>
      </c>
      <c r="AU1597" s="8">
        <f t="shared" si="770"/>
        <v>1.2937625754527162</v>
      </c>
      <c r="AV1597" s="7" t="s">
        <v>2597</v>
      </c>
      <c r="AW1597" s="6" t="str">
        <f t="shared" si="754"/>
        <v>=1491*10000</v>
      </c>
      <c r="AX1597" s="1">
        <f>1491*10000</f>
        <v>14910000</v>
      </c>
      <c r="AY1597" s="10">
        <f t="shared" si="771"/>
        <v>-0.74217534151824316</v>
      </c>
      <c r="AZ1597" s="7" t="s">
        <v>15231</v>
      </c>
      <c r="BA1597" s="6" t="str">
        <f t="shared" si="755"/>
        <v>=5783*10000</v>
      </c>
      <c r="BB1597" s="1">
        <f>5783*10000</f>
        <v>57830000</v>
      </c>
      <c r="BC1597" s="8">
        <f t="shared" si="772"/>
        <v>0.55708131394722671</v>
      </c>
      <c r="BD1597" s="7" t="s">
        <v>10961</v>
      </c>
      <c r="BE1597" s="6" t="str">
        <f t="shared" si="756"/>
        <v>=3714*10000</v>
      </c>
      <c r="BF1597" s="1">
        <f>3714*10000</f>
        <v>37140000</v>
      </c>
      <c r="BG1597" s="8">
        <f t="shared" si="773"/>
        <v>0.46047974832874555</v>
      </c>
      <c r="BH1597" s="7" t="s">
        <v>15232</v>
      </c>
      <c r="BI1597" s="6" t="str">
        <f t="shared" si="757"/>
        <v>=2543*10000</v>
      </c>
      <c r="BJ1597" s="1">
        <f>2543*10000</f>
        <v>25430000</v>
      </c>
      <c r="BK1597" s="7" t="s">
        <v>15233</v>
      </c>
      <c r="BL1597" s="1" t="str">
        <f t="shared" si="759"/>
        <v>=544.5*10000</v>
      </c>
      <c r="BM1597" s="16">
        <f t="shared" si="774"/>
        <v>3.6703397612488522</v>
      </c>
      <c r="BN1597" s="1">
        <f>544.5*10000</f>
        <v>5445000</v>
      </c>
    </row>
    <row r="1598" spans="1:66">
      <c r="A1598" s="17">
        <v>401</v>
      </c>
      <c r="B1598">
        <v>603063</v>
      </c>
      <c r="C1598" t="s">
        <v>31</v>
      </c>
      <c r="D1598" s="6" t="s">
        <v>15234</v>
      </c>
      <c r="E1598" s="7" t="str">
        <f t="shared" si="758"/>
        <v>=21.04*100000000</v>
      </c>
      <c r="F1598" s="1">
        <f>21.04*100000000</f>
        <v>2104000000</v>
      </c>
      <c r="G1598" s="8">
        <f t="shared" si="760"/>
        <v>0.63990646921278249</v>
      </c>
      <c r="H1598" s="6" t="s">
        <v>162</v>
      </c>
      <c r="I1598" s="6" t="str">
        <f t="shared" si="744"/>
        <v>=12.83*100000000</v>
      </c>
      <c r="J1598" s="1">
        <f>12.83*100000000</f>
        <v>1283000000</v>
      </c>
      <c r="K1598" s="10">
        <f t="shared" si="761"/>
        <v>0.60797092367464589</v>
      </c>
      <c r="L1598" s="6" t="s">
        <v>15235</v>
      </c>
      <c r="M1598" s="6" t="str">
        <f t="shared" si="745"/>
        <v>=7.979*100000000</v>
      </c>
      <c r="N1598" s="1">
        <f>7.979*100000000</f>
        <v>797900000</v>
      </c>
      <c r="O1598" s="8">
        <f t="shared" si="762"/>
        <v>1.3613495116898491</v>
      </c>
      <c r="P1598" s="6" t="s">
        <v>15236</v>
      </c>
      <c r="Q1598" s="6" t="str">
        <f t="shared" si="746"/>
        <v>=3.379*100000000</v>
      </c>
      <c r="R1598" s="11">
        <f>3.379*100000000</f>
        <v>337900000</v>
      </c>
      <c r="S1598" s="8">
        <f t="shared" si="763"/>
        <v>-0.85553655408294138</v>
      </c>
      <c r="T1598" s="6" t="s">
        <v>622</v>
      </c>
      <c r="U1598" s="6" t="str">
        <f t="shared" si="747"/>
        <v>=23.39*100000000</v>
      </c>
      <c r="V1598" s="1">
        <f>23.39*100000000</f>
        <v>2339000000</v>
      </c>
      <c r="W1598" s="8">
        <f t="shared" si="764"/>
        <v>0.51195862960568839</v>
      </c>
      <c r="X1598" s="6" t="s">
        <v>349</v>
      </c>
      <c r="Y1598" s="6" t="str">
        <f t="shared" si="748"/>
        <v>=15.47*100000000</v>
      </c>
      <c r="Z1598" s="1">
        <f>15.47*100000000</f>
        <v>1547000000</v>
      </c>
      <c r="AA1598" s="8">
        <f t="shared" si="765"/>
        <v>0.739570448667491</v>
      </c>
      <c r="AB1598" s="6" t="s">
        <v>15237</v>
      </c>
      <c r="AC1598" s="6" t="str">
        <f t="shared" si="749"/>
        <v>=8.893*100000000</v>
      </c>
      <c r="AD1598" s="1">
        <f>8.893*100000000</f>
        <v>889300000.00000012</v>
      </c>
      <c r="AE1598" s="8">
        <f t="shared" si="766"/>
        <v>2.0094754653130291</v>
      </c>
      <c r="AF1598" s="6" t="s">
        <v>11974</v>
      </c>
      <c r="AG1598" s="6" t="str">
        <f t="shared" si="750"/>
        <v>=2.955*100000000</v>
      </c>
      <c r="AH1598" s="1">
        <f>2.955*100000000</f>
        <v>295500000</v>
      </c>
      <c r="AI1598" s="8">
        <f t="shared" si="767"/>
        <v>-0.83454647256438974</v>
      </c>
      <c r="AJ1598" s="6" t="s">
        <v>7590</v>
      </c>
      <c r="AK1598" s="6" t="str">
        <f t="shared" si="751"/>
        <v>=17.86*100000000</v>
      </c>
      <c r="AL1598" s="1">
        <f>17.86*100000000</f>
        <v>1786000000</v>
      </c>
      <c r="AM1598" s="8">
        <f t="shared" si="768"/>
        <v>0.50336700336700335</v>
      </c>
      <c r="AN1598" s="6" t="s">
        <v>342</v>
      </c>
      <c r="AO1598" s="6" t="str">
        <f t="shared" si="752"/>
        <v>=11.88*100000000</v>
      </c>
      <c r="AP1598" s="1">
        <f>11.88*100000000</f>
        <v>1188000000</v>
      </c>
      <c r="AQ1598" s="8">
        <f t="shared" si="769"/>
        <v>0.71230902277313346</v>
      </c>
      <c r="AR1598" s="6" t="s">
        <v>15238</v>
      </c>
      <c r="AS1598" s="6" t="str">
        <f t="shared" si="753"/>
        <v>=6.938*100000000</v>
      </c>
      <c r="AT1598" s="1">
        <f>6.938*100000000</f>
        <v>693800000</v>
      </c>
      <c r="AU1598" s="8">
        <f t="shared" si="770"/>
        <v>1.0381903642773207</v>
      </c>
      <c r="AV1598" s="6" t="s">
        <v>11856</v>
      </c>
      <c r="AW1598" s="6" t="str">
        <f t="shared" si="754"/>
        <v>=3.404*100000000</v>
      </c>
      <c r="AX1598" s="1">
        <f>3.404*100000000</f>
        <v>340400000</v>
      </c>
      <c r="AY1598" s="10">
        <f t="shared" si="771"/>
        <v>-0.71176968670618124</v>
      </c>
      <c r="AZ1598" s="6" t="s">
        <v>5171</v>
      </c>
      <c r="BA1598" s="6" t="str">
        <f t="shared" si="755"/>
        <v>=11.81*100000000</v>
      </c>
      <c r="BB1598" s="1">
        <f>11.81*100000000</f>
        <v>1181000000</v>
      </c>
      <c r="BC1598" s="8">
        <f t="shared" si="772"/>
        <v>1.6261952412719591</v>
      </c>
      <c r="BD1598" s="6" t="s">
        <v>6680</v>
      </c>
      <c r="BE1598" s="6" t="str">
        <f t="shared" si="756"/>
        <v>=4.497*100000000</v>
      </c>
      <c r="BF1598" s="1">
        <f>4.497*100000000</f>
        <v>449700000</v>
      </c>
      <c r="BG1598" s="8">
        <f t="shared" si="773"/>
        <v>0.5182309250506415</v>
      </c>
      <c r="BH1598" s="6" t="s">
        <v>10878</v>
      </c>
      <c r="BI1598" s="6" t="str">
        <f t="shared" si="757"/>
        <v>=2.962*100000000</v>
      </c>
      <c r="BJ1598" s="1">
        <f>2.962*100000000</f>
        <v>296200000</v>
      </c>
      <c r="BK1598" s="6" t="s">
        <v>7251</v>
      </c>
      <c r="BL1598" s="1" t="str">
        <f t="shared" si="759"/>
        <v>=1.245*100000000</v>
      </c>
      <c r="BM1598" s="16">
        <f t="shared" si="774"/>
        <v>1.3791164658634536</v>
      </c>
      <c r="BN1598" s="1">
        <f>1.245*100000000</f>
        <v>124500000.00000001</v>
      </c>
    </row>
    <row r="1599" spans="1:66">
      <c r="A1599" s="18"/>
      <c r="B1599">
        <v>603063</v>
      </c>
      <c r="C1599" t="s">
        <v>48</v>
      </c>
      <c r="D1599" s="6" t="s">
        <v>15239</v>
      </c>
      <c r="E1599" s="7" t="str">
        <f t="shared" si="758"/>
        <v>=2.908*100000000</v>
      </c>
      <c r="F1599" s="1">
        <f>2.908*100000000</f>
        <v>290800000</v>
      </c>
      <c r="G1599" s="8">
        <f t="shared" si="760"/>
        <v>0.47389761784085149</v>
      </c>
      <c r="H1599" s="6" t="s">
        <v>6392</v>
      </c>
      <c r="I1599" s="6" t="str">
        <f t="shared" ref="I1599:I1662" si="775">"="&amp;H1599</f>
        <v>=1.973*100000000</v>
      </c>
      <c r="J1599" s="1">
        <f>1.973*100000000</f>
        <v>197300000</v>
      </c>
      <c r="K1599" s="10">
        <f t="shared" si="761"/>
        <v>0.65520134228187921</v>
      </c>
      <c r="L1599" s="6" t="s">
        <v>2162</v>
      </c>
      <c r="M1599" s="6" t="str">
        <f t="shared" ref="M1599:M1662" si="776">"="&amp;L1599</f>
        <v>=1.192*100000000</v>
      </c>
      <c r="N1599" s="1">
        <f>1.192*100000000</f>
        <v>119200000</v>
      </c>
      <c r="O1599" s="8">
        <f t="shared" si="762"/>
        <v>0.6729824561403509</v>
      </c>
      <c r="P1599" s="7" t="s">
        <v>15240</v>
      </c>
      <c r="Q1599" s="6" t="str">
        <f t="shared" ref="Q1599:Q1662" si="777">"="&amp;P1599</f>
        <v>=7125*10000</v>
      </c>
      <c r="R1599" s="11">
        <f>7125*10000</f>
        <v>71250000</v>
      </c>
      <c r="S1599" s="8">
        <f t="shared" si="763"/>
        <v>-0.74471515585811532</v>
      </c>
      <c r="T1599" s="6" t="s">
        <v>15241</v>
      </c>
      <c r="U1599" s="6" t="str">
        <f t="shared" ref="U1599:U1662" si="778">"="&amp;T1599</f>
        <v>=2.791*100000000</v>
      </c>
      <c r="V1599" s="1">
        <f>2.791*100000000</f>
        <v>279100000</v>
      </c>
      <c r="W1599" s="8">
        <f t="shared" si="764"/>
        <v>3.6005939123979216E-2</v>
      </c>
      <c r="X1599" s="6" t="s">
        <v>15242</v>
      </c>
      <c r="Y1599" s="6" t="str">
        <f t="shared" ref="Y1599:Y1662" si="779">"="&amp;X1599</f>
        <v>=2.694*100000000</v>
      </c>
      <c r="Z1599" s="1">
        <f>2.694*100000000</f>
        <v>269400000</v>
      </c>
      <c r="AA1599" s="8">
        <f t="shared" si="765"/>
        <v>0.98526160648489314</v>
      </c>
      <c r="AB1599" s="6" t="s">
        <v>2237</v>
      </c>
      <c r="AC1599" s="6" t="str">
        <f t="shared" ref="AC1599:AC1662" si="780">"="&amp;AB1599</f>
        <v>=1.357*100000000</v>
      </c>
      <c r="AD1599" s="1">
        <f>1.357*100000000</f>
        <v>135700000</v>
      </c>
      <c r="AE1599" s="8">
        <f t="shared" si="766"/>
        <v>2.6645962732919255</v>
      </c>
      <c r="AF1599" s="7" t="s">
        <v>6650</v>
      </c>
      <c r="AG1599" s="6" t="str">
        <f t="shared" ref="AG1599:AG1662" si="781">"="&amp;AF1599</f>
        <v>=3703*10000</v>
      </c>
      <c r="AH1599" s="1">
        <f>3703*10000</f>
        <v>37030000</v>
      </c>
      <c r="AI1599" s="8">
        <f t="shared" si="767"/>
        <v>-0.60191356697484411</v>
      </c>
      <c r="AJ1599" s="7" t="s">
        <v>15243</v>
      </c>
      <c r="AK1599" s="6" t="str">
        <f t="shared" ref="AK1599:AK1662" si="782">"="&amp;AJ1599</f>
        <v>=9302*10000</v>
      </c>
      <c r="AL1599" s="1">
        <f>9302*10000</f>
        <v>93020000</v>
      </c>
      <c r="AM1599" s="8">
        <f t="shared" si="768"/>
        <v>0.65692910580691133</v>
      </c>
      <c r="AN1599" s="7" t="s">
        <v>5287</v>
      </c>
      <c r="AO1599" s="6" t="str">
        <f t="shared" ref="AO1599:AO1662" si="783">"="&amp;AN1599</f>
        <v>=5614*10000</v>
      </c>
      <c r="AP1599" s="1">
        <f>5614*10000</f>
        <v>56140000</v>
      </c>
      <c r="AQ1599" s="8">
        <f t="shared" si="769"/>
        <v>1.7107677450507002</v>
      </c>
      <c r="AR1599" s="7" t="s">
        <v>1996</v>
      </c>
      <c r="AS1599" s="6" t="str">
        <f t="shared" ref="AS1599:AS1662" si="784">"="&amp;AR1599</f>
        <v>=2071*10000</v>
      </c>
      <c r="AT1599" s="1">
        <f>2071*10000</f>
        <v>20710000</v>
      </c>
      <c r="AU1599" s="8">
        <f t="shared" si="770"/>
        <v>-0.34358161648177499</v>
      </c>
      <c r="AV1599" s="7" t="s">
        <v>15244</v>
      </c>
      <c r="AW1599" s="6" t="str">
        <f t="shared" ref="AW1599:AW1662" si="785">"="&amp;AV1599</f>
        <v>=3155*10000</v>
      </c>
      <c r="AX1599" s="1">
        <f>3155*10000</f>
        <v>31550000</v>
      </c>
      <c r="AY1599" s="10">
        <f t="shared" si="771"/>
        <v>-0.70514018691588787</v>
      </c>
      <c r="AZ1599" s="6" t="s">
        <v>6564</v>
      </c>
      <c r="BA1599" s="6" t="str">
        <f t="shared" ref="BA1599:BA1662" si="786">"="&amp;AZ1599</f>
        <v>=1.070*100000000</v>
      </c>
      <c r="BB1599" s="1">
        <f>1.07*100000000</f>
        <v>107000000</v>
      </c>
      <c r="BC1599" s="8">
        <f t="shared" si="772"/>
        <v>1.2139457893647838</v>
      </c>
      <c r="BD1599" s="7" t="s">
        <v>15245</v>
      </c>
      <c r="BE1599" s="6" t="str">
        <f t="shared" ref="BE1599:BE1662" si="787">"="&amp;BD1599</f>
        <v>=4833*10000</v>
      </c>
      <c r="BF1599" s="1">
        <f>4833*10000</f>
        <v>48330000</v>
      </c>
      <c r="BG1599" s="8">
        <f t="shared" si="773"/>
        <v>0.13985849056603775</v>
      </c>
      <c r="BH1599" s="7" t="s">
        <v>15246</v>
      </c>
      <c r="BI1599" s="6" t="str">
        <f t="shared" ref="BI1599:BI1662" si="788">"="&amp;BH1599</f>
        <v>=4240*10000</v>
      </c>
      <c r="BJ1599" s="1">
        <f>4240*10000</f>
        <v>42400000</v>
      </c>
      <c r="BK1599" s="7" t="s">
        <v>12046</v>
      </c>
      <c r="BL1599" s="1" t="str">
        <f t="shared" si="759"/>
        <v>=2209*10000</v>
      </c>
      <c r="BM1599" s="16">
        <f t="shared" si="774"/>
        <v>0.91942055228610231</v>
      </c>
      <c r="BN1599" s="1">
        <f>2209*10000</f>
        <v>22090000</v>
      </c>
    </row>
    <row r="1600" spans="1:66">
      <c r="A1600" s="18"/>
      <c r="B1600">
        <v>603063</v>
      </c>
      <c r="C1600" t="s">
        <v>58</v>
      </c>
      <c r="D1600" s="6" t="s">
        <v>13687</v>
      </c>
      <c r="E1600" s="7" t="str">
        <f t="shared" si="758"/>
        <v>=2.911*100000000</v>
      </c>
      <c r="F1600" s="1">
        <f>2.911*100000000</f>
        <v>291100000</v>
      </c>
      <c r="G1600" s="8">
        <f t="shared" si="760"/>
        <v>0.4746707193515704</v>
      </c>
      <c r="H1600" s="6" t="s">
        <v>2889</v>
      </c>
      <c r="I1600" s="6" t="str">
        <f t="shared" si="775"/>
        <v>=1.974*100000000</v>
      </c>
      <c r="J1600" s="1">
        <f>1.974*100000000</f>
        <v>197400000</v>
      </c>
      <c r="K1600" s="10">
        <f t="shared" si="761"/>
        <v>0.65188284518828454</v>
      </c>
      <c r="L1600" s="6" t="s">
        <v>10795</v>
      </c>
      <c r="M1600" s="6" t="str">
        <f t="shared" si="776"/>
        <v>=1.195*100000000</v>
      </c>
      <c r="N1600" s="1">
        <f>1.195*100000000</f>
        <v>119500000</v>
      </c>
      <c r="O1600" s="8">
        <f t="shared" si="762"/>
        <v>0.67086129753914991</v>
      </c>
      <c r="P1600" s="7" t="s">
        <v>3073</v>
      </c>
      <c r="Q1600" s="6" t="str">
        <f t="shared" si="777"/>
        <v>=7152*10000</v>
      </c>
      <c r="R1600" s="11">
        <f>7152*10000</f>
        <v>71520000</v>
      </c>
      <c r="S1600" s="8">
        <f t="shared" si="763"/>
        <v>-0.74940434477925721</v>
      </c>
      <c r="T1600" s="6" t="s">
        <v>4955</v>
      </c>
      <c r="U1600" s="6" t="str">
        <f t="shared" si="778"/>
        <v>=2.854*100000000</v>
      </c>
      <c r="V1600" s="1">
        <f>2.854*100000000</f>
        <v>285400000</v>
      </c>
      <c r="W1600" s="8">
        <f t="shared" si="764"/>
        <v>5.4693274205469329E-2</v>
      </c>
      <c r="X1600" s="6" t="s">
        <v>10776</v>
      </c>
      <c r="Y1600" s="6" t="str">
        <f t="shared" si="779"/>
        <v>=2.706*100000000</v>
      </c>
      <c r="Z1600" s="1">
        <f>2.706*100000000</f>
        <v>270600000</v>
      </c>
      <c r="AA1600" s="8">
        <f t="shared" si="765"/>
        <v>0.986784140969163</v>
      </c>
      <c r="AB1600" s="6" t="s">
        <v>12484</v>
      </c>
      <c r="AC1600" s="6" t="str">
        <f t="shared" si="780"/>
        <v>=1.362*100000000</v>
      </c>
      <c r="AD1600" s="1">
        <f>1.362*100000000</f>
        <v>136200000</v>
      </c>
      <c r="AE1600" s="8">
        <f t="shared" si="766"/>
        <v>2.6790923824959481</v>
      </c>
      <c r="AF1600" s="7" t="s">
        <v>15247</v>
      </c>
      <c r="AG1600" s="6" t="str">
        <f t="shared" si="781"/>
        <v>=3702*10000</v>
      </c>
      <c r="AH1600" s="1">
        <f>3702*10000</f>
        <v>37020000</v>
      </c>
      <c r="AI1600" s="8">
        <f t="shared" si="767"/>
        <v>-0.61158325464274477</v>
      </c>
      <c r="AJ1600" s="7" t="s">
        <v>15248</v>
      </c>
      <c r="AK1600" s="6" t="str">
        <f t="shared" si="782"/>
        <v>=9531*10000</v>
      </c>
      <c r="AL1600" s="1">
        <f>9531*10000</f>
        <v>95310000</v>
      </c>
      <c r="AM1600" s="8">
        <f t="shared" si="768"/>
        <v>0.69560576409891484</v>
      </c>
      <c r="AN1600" s="7" t="s">
        <v>15249</v>
      </c>
      <c r="AO1600" s="6" t="str">
        <f t="shared" si="783"/>
        <v>=5621*10000</v>
      </c>
      <c r="AP1600" s="1">
        <f>5621*10000</f>
        <v>56210000</v>
      </c>
      <c r="AQ1600" s="8">
        <f t="shared" si="769"/>
        <v>1.7312925170068028</v>
      </c>
      <c r="AR1600" s="7" t="s">
        <v>4903</v>
      </c>
      <c r="AS1600" s="6" t="str">
        <f t="shared" si="784"/>
        <v>=2058*10000</v>
      </c>
      <c r="AT1600" s="1">
        <f>2058*10000</f>
        <v>20580000</v>
      </c>
      <c r="AU1600" s="8">
        <f t="shared" si="770"/>
        <v>-0.3503787878787879</v>
      </c>
      <c r="AV1600" s="7" t="s">
        <v>15250</v>
      </c>
      <c r="AW1600" s="6" t="str">
        <f t="shared" si="785"/>
        <v>=3168*10000</v>
      </c>
      <c r="AX1600" s="1">
        <f>3168*10000</f>
        <v>31680000</v>
      </c>
      <c r="AY1600" s="10">
        <f t="shared" si="771"/>
        <v>-0.70909090909090911</v>
      </c>
      <c r="AZ1600" s="6" t="s">
        <v>7248</v>
      </c>
      <c r="BA1600" s="6" t="str">
        <f t="shared" si="786"/>
        <v>=1.089*100000000</v>
      </c>
      <c r="BB1600" s="1">
        <f>1.089*100000000</f>
        <v>108900000</v>
      </c>
      <c r="BC1600" s="8">
        <f t="shared" si="772"/>
        <v>1.2279050736497545</v>
      </c>
      <c r="BD1600" s="7" t="s">
        <v>1473</v>
      </c>
      <c r="BE1600" s="6" t="str">
        <f t="shared" si="787"/>
        <v>=4888*10000</v>
      </c>
      <c r="BF1600" s="1">
        <f>4888*10000</f>
        <v>48880000</v>
      </c>
      <c r="BG1600" s="8">
        <f t="shared" si="773"/>
        <v>0.14419475655430711</v>
      </c>
      <c r="BH1600" s="7" t="s">
        <v>8413</v>
      </c>
      <c r="BI1600" s="6" t="str">
        <f t="shared" si="788"/>
        <v>=4272*10000</v>
      </c>
      <c r="BJ1600" s="1">
        <f>4272*10000</f>
        <v>42720000</v>
      </c>
      <c r="BK1600" s="7" t="s">
        <v>10297</v>
      </c>
      <c r="BL1600" s="1" t="str">
        <f t="shared" si="759"/>
        <v>=2244*10000</v>
      </c>
      <c r="BM1600" s="16">
        <f t="shared" si="774"/>
        <v>0.90374331550802134</v>
      </c>
      <c r="BN1600" s="1">
        <f>2244*10000</f>
        <v>22440000</v>
      </c>
    </row>
    <row r="1601" spans="1:66">
      <c r="A1601" s="19"/>
      <c r="B1601">
        <v>603063</v>
      </c>
      <c r="C1601" t="s">
        <v>68</v>
      </c>
      <c r="D1601" s="6" t="s">
        <v>9894</v>
      </c>
      <c r="E1601" s="7" t="str">
        <f t="shared" si="758"/>
        <v>=2.800*100000000</v>
      </c>
      <c r="F1601" s="1">
        <f>2.8*100000000</f>
        <v>280000000</v>
      </c>
      <c r="G1601" s="8">
        <f t="shared" si="760"/>
        <v>0.5810276679841897</v>
      </c>
      <c r="H1601" s="6" t="s">
        <v>6132</v>
      </c>
      <c r="I1601" s="6" t="str">
        <f t="shared" si="775"/>
        <v>=1.771*100000000</v>
      </c>
      <c r="J1601" s="1">
        <f>1.771*100000000</f>
        <v>177100000</v>
      </c>
      <c r="K1601" s="10">
        <f t="shared" si="761"/>
        <v>0.80071174377224197</v>
      </c>
      <c r="L1601" s="7" t="s">
        <v>8718</v>
      </c>
      <c r="M1601" s="6" t="str">
        <f t="shared" si="776"/>
        <v>=9835*10000</v>
      </c>
      <c r="N1601" s="1">
        <f>9835*10000</f>
        <v>98350000</v>
      </c>
      <c r="O1601" s="8">
        <f t="shared" si="762"/>
        <v>0.49763971372011573</v>
      </c>
      <c r="P1601" s="7" t="s">
        <v>15251</v>
      </c>
      <c r="Q1601" s="6" t="str">
        <f t="shared" si="777"/>
        <v>=6567*10000</v>
      </c>
      <c r="R1601" s="11">
        <f>6567*10000</f>
        <v>65670000</v>
      </c>
      <c r="S1601" s="8">
        <f t="shared" si="763"/>
        <v>-0.74722863741339496</v>
      </c>
      <c r="T1601" s="6" t="s">
        <v>13174</v>
      </c>
      <c r="U1601" s="6" t="str">
        <f t="shared" si="778"/>
        <v>=2.598*100000000</v>
      </c>
      <c r="V1601" s="1">
        <f>2.598*100000000</f>
        <v>259800000</v>
      </c>
      <c r="W1601" s="8">
        <f t="shared" si="764"/>
        <v>1.1682242990654205E-2</v>
      </c>
      <c r="X1601" s="6" t="s">
        <v>1654</v>
      </c>
      <c r="Y1601" s="6" t="str">
        <f t="shared" si="779"/>
        <v>=2.568*100000000</v>
      </c>
      <c r="Z1601" s="1">
        <f>2.568*100000000</f>
        <v>256800000</v>
      </c>
      <c r="AA1601" s="8">
        <f t="shared" si="765"/>
        <v>0.9876160990712074</v>
      </c>
      <c r="AB1601" s="6" t="s">
        <v>11080</v>
      </c>
      <c r="AC1601" s="6" t="str">
        <f t="shared" si="780"/>
        <v>=1.292*100000000</v>
      </c>
      <c r="AD1601" s="1">
        <f>1.292*100000000</f>
        <v>129200000</v>
      </c>
      <c r="AE1601" s="8">
        <f t="shared" si="766"/>
        <v>3.0362386754139332</v>
      </c>
      <c r="AF1601" s="7" t="s">
        <v>7723</v>
      </c>
      <c r="AG1601" s="6" t="str">
        <f t="shared" si="781"/>
        <v>=3201*10000</v>
      </c>
      <c r="AH1601" s="1">
        <f>3201*10000</f>
        <v>32010000</v>
      </c>
      <c r="AI1601" s="8">
        <f t="shared" si="767"/>
        <v>-0.61214103962195565</v>
      </c>
      <c r="AJ1601" s="7" t="s">
        <v>4061</v>
      </c>
      <c r="AK1601" s="6" t="str">
        <f t="shared" si="782"/>
        <v>=8253*10000</v>
      </c>
      <c r="AL1601" s="1">
        <f>8253*10000</f>
        <v>82530000</v>
      </c>
      <c r="AM1601" s="8">
        <f t="shared" si="768"/>
        <v>0.32898550724637682</v>
      </c>
      <c r="AN1601" s="7" t="s">
        <v>15252</v>
      </c>
      <c r="AO1601" s="6" t="str">
        <f t="shared" si="783"/>
        <v>=6210*10000</v>
      </c>
      <c r="AP1601" s="1">
        <f>6210*10000</f>
        <v>62100000</v>
      </c>
      <c r="AQ1601" s="8">
        <f t="shared" si="769"/>
        <v>1.5</v>
      </c>
      <c r="AR1601" s="7" t="s">
        <v>5551</v>
      </c>
      <c r="AS1601" s="6" t="str">
        <f t="shared" si="784"/>
        <v>=2484*10000</v>
      </c>
      <c r="AT1601" s="1">
        <f>2484*10000</f>
        <v>24840000</v>
      </c>
      <c r="AU1601" s="8">
        <f t="shared" si="770"/>
        <v>-0.24818401937046006</v>
      </c>
      <c r="AV1601" s="7" t="s">
        <v>15253</v>
      </c>
      <c r="AW1601" s="6" t="str">
        <f t="shared" si="785"/>
        <v>=3304*10000</v>
      </c>
      <c r="AX1601" s="1">
        <f>3304*10000</f>
        <v>33040000</v>
      </c>
      <c r="AY1601" s="10">
        <f t="shared" si="771"/>
        <v>-0.68533333333333335</v>
      </c>
      <c r="AZ1601" s="6" t="s">
        <v>2241</v>
      </c>
      <c r="BA1601" s="6" t="str">
        <f t="shared" si="786"/>
        <v>=1.050*100000000</v>
      </c>
      <c r="BB1601" s="1">
        <f>1.05*100000000</f>
        <v>105000000</v>
      </c>
      <c r="BC1601" s="8">
        <f t="shared" si="772"/>
        <v>1.4204702627939143</v>
      </c>
      <c r="BD1601" s="7" t="s">
        <v>15254</v>
      </c>
      <c r="BE1601" s="6" t="str">
        <f t="shared" si="787"/>
        <v>=4338*10000</v>
      </c>
      <c r="BF1601" s="1">
        <f>4338*10000</f>
        <v>43380000</v>
      </c>
      <c r="BG1601" s="8">
        <f t="shared" si="773"/>
        <v>9.9341104916371006E-2</v>
      </c>
      <c r="BH1601" s="7" t="s">
        <v>15255</v>
      </c>
      <c r="BI1601" s="6" t="str">
        <f t="shared" si="788"/>
        <v>=3946*10000</v>
      </c>
      <c r="BJ1601" s="1">
        <f>3946*10000</f>
        <v>39460000</v>
      </c>
      <c r="BK1601" s="7" t="s">
        <v>10530</v>
      </c>
      <c r="BL1601" s="1" t="str">
        <f t="shared" si="759"/>
        <v>=2052*10000</v>
      </c>
      <c r="BM1601" s="16">
        <f t="shared" si="774"/>
        <v>0.92300194931773882</v>
      </c>
      <c r="BN1601" s="1">
        <f>2052*10000</f>
        <v>20520000</v>
      </c>
    </row>
    <row r="1602" spans="1:66">
      <c r="A1602" s="17">
        <v>402</v>
      </c>
      <c r="B1602">
        <v>603069</v>
      </c>
      <c r="C1602" t="s">
        <v>31</v>
      </c>
      <c r="D1602" s="6" t="s">
        <v>15256</v>
      </c>
      <c r="E1602" s="7" t="str">
        <f t="shared" ref="E1602:E1665" si="789">"="&amp;D1602</f>
        <v>=7.321*100000000</v>
      </c>
      <c r="F1602" s="1">
        <f>7.321*100000000</f>
        <v>732100000</v>
      </c>
      <c r="G1602" s="8">
        <f t="shared" si="760"/>
        <v>0.27743849240970164</v>
      </c>
      <c r="H1602" s="6" t="s">
        <v>15257</v>
      </c>
      <c r="I1602" s="6" t="str">
        <f t="shared" si="775"/>
        <v>=5.731*100000000</v>
      </c>
      <c r="J1602" s="1">
        <f>5.731*100000000</f>
        <v>573100000</v>
      </c>
      <c r="K1602" s="10">
        <f t="shared" si="761"/>
        <v>0.54933765882670993</v>
      </c>
      <c r="L1602" s="6" t="s">
        <v>9722</v>
      </c>
      <c r="M1602" s="6" t="str">
        <f t="shared" si="776"/>
        <v>=3.699*100000000</v>
      </c>
      <c r="N1602" s="1">
        <f>3.699*100000000</f>
        <v>369900000</v>
      </c>
      <c r="O1602" s="8">
        <f t="shared" si="762"/>
        <v>1.2229567307692308</v>
      </c>
      <c r="P1602" s="6" t="s">
        <v>2059</v>
      </c>
      <c r="Q1602" s="6" t="str">
        <f t="shared" si="777"/>
        <v>=1.664*100000000</v>
      </c>
      <c r="R1602" s="11">
        <f>1.664*100000000</f>
        <v>166400000</v>
      </c>
      <c r="S1602" s="8">
        <f t="shared" si="763"/>
        <v>-0.73553719008264462</v>
      </c>
      <c r="T1602" s="6" t="s">
        <v>15258</v>
      </c>
      <c r="U1602" s="6" t="str">
        <f t="shared" si="778"/>
        <v>=6.292*100000000</v>
      </c>
      <c r="V1602" s="1">
        <f>6.292*100000000</f>
        <v>629200000</v>
      </c>
      <c r="W1602" s="8">
        <f t="shared" si="764"/>
        <v>0.50310559006211175</v>
      </c>
      <c r="X1602" s="6" t="s">
        <v>9079</v>
      </c>
      <c r="Y1602" s="6" t="str">
        <f t="shared" si="779"/>
        <v>=4.186*100000000</v>
      </c>
      <c r="Z1602" s="1">
        <f>4.186*100000000</f>
        <v>418600000</v>
      </c>
      <c r="AA1602" s="8">
        <f t="shared" si="765"/>
        <v>0.72405271828665574</v>
      </c>
      <c r="AB1602" s="6" t="s">
        <v>3504</v>
      </c>
      <c r="AC1602" s="6" t="str">
        <f t="shared" si="780"/>
        <v>=2.428*100000000</v>
      </c>
      <c r="AD1602" s="1">
        <f>2.428*100000000</f>
        <v>242800000</v>
      </c>
      <c r="AE1602" s="8">
        <f t="shared" si="766"/>
        <v>1.4375062744704348</v>
      </c>
      <c r="AF1602" s="7" t="s">
        <v>15259</v>
      </c>
      <c r="AG1602" s="6" t="str">
        <f t="shared" si="781"/>
        <v>=9961*10000</v>
      </c>
      <c r="AH1602" s="1">
        <f>9961*10000</f>
        <v>99610000</v>
      </c>
      <c r="AI1602" s="8">
        <f t="shared" si="767"/>
        <v>-0.90458812260536403</v>
      </c>
      <c r="AJ1602" s="6" t="s">
        <v>1397</v>
      </c>
      <c r="AK1602" s="6" t="str">
        <f t="shared" si="782"/>
        <v>=10.44*100000000</v>
      </c>
      <c r="AL1602" s="1">
        <f>10.44*100000000</f>
        <v>1044000000</v>
      </c>
      <c r="AM1602" s="8">
        <f t="shared" si="768"/>
        <v>0.30044843049327352</v>
      </c>
      <c r="AN1602" s="6" t="s">
        <v>15260</v>
      </c>
      <c r="AO1602" s="6" t="str">
        <f t="shared" si="783"/>
        <v>=8.028*100000000</v>
      </c>
      <c r="AP1602" s="1">
        <f>8.028*100000000</f>
        <v>802800000</v>
      </c>
      <c r="AQ1602" s="8">
        <f t="shared" si="769"/>
        <v>0.41862519879837429</v>
      </c>
      <c r="AR1602" s="6" t="s">
        <v>3664</v>
      </c>
      <c r="AS1602" s="6" t="str">
        <f t="shared" si="784"/>
        <v>=5.659*100000000</v>
      </c>
      <c r="AT1602" s="1">
        <f>5.659*100000000</f>
        <v>565900000</v>
      </c>
      <c r="AU1602" s="8">
        <f t="shared" si="770"/>
        <v>0.78461053295490379</v>
      </c>
      <c r="AV1602" s="6" t="s">
        <v>158</v>
      </c>
      <c r="AW1602" s="6" t="str">
        <f t="shared" si="785"/>
        <v>=3.171*100000000</v>
      </c>
      <c r="AX1602" s="1">
        <f>3.171*100000000</f>
        <v>317100000</v>
      </c>
      <c r="AY1602" s="10">
        <f t="shared" si="771"/>
        <v>-0.71611459265890776</v>
      </c>
      <c r="AZ1602" s="6" t="s">
        <v>1597</v>
      </c>
      <c r="BA1602" s="6" t="str">
        <f t="shared" si="786"/>
        <v>=11.17*100000000</v>
      </c>
      <c r="BB1602" s="1">
        <f>11.17*100000000</f>
        <v>1117000000</v>
      </c>
      <c r="BC1602" s="8">
        <f t="shared" si="772"/>
        <v>0.35722964763061971</v>
      </c>
      <c r="BD1602" s="6" t="s">
        <v>15261</v>
      </c>
      <c r="BE1602" s="6" t="str">
        <f t="shared" si="787"/>
        <v>=8.230*100000000</v>
      </c>
      <c r="BF1602" s="1">
        <f>8.23*100000000</f>
        <v>823000000</v>
      </c>
      <c r="BG1602" s="8">
        <f t="shared" si="773"/>
        <v>0.448943661971831</v>
      </c>
      <c r="BH1602" s="6" t="s">
        <v>15262</v>
      </c>
      <c r="BI1602" s="6" t="str">
        <f t="shared" si="788"/>
        <v>=5.680*100000000</v>
      </c>
      <c r="BJ1602" s="1">
        <f>5.68*100000000</f>
        <v>568000000</v>
      </c>
      <c r="BK1602" s="6" t="s">
        <v>4829</v>
      </c>
      <c r="BL1602" s="1" t="str">
        <f t="shared" ref="BL1602:BL1665" si="790">"="&amp;BK1602</f>
        <v>=3.121*100000000</v>
      </c>
      <c r="BM1602" s="16">
        <f t="shared" si="774"/>
        <v>0.81992950977250878</v>
      </c>
      <c r="BN1602" s="1">
        <f>3.121*100000000</f>
        <v>312100000</v>
      </c>
    </row>
    <row r="1603" spans="1:66">
      <c r="A1603" s="18"/>
      <c r="B1603">
        <v>603069</v>
      </c>
      <c r="C1603" t="s">
        <v>48</v>
      </c>
      <c r="D1603" s="7">
        <f>-6138*10000</f>
        <v>-61380000</v>
      </c>
      <c r="E1603" s="7" t="str">
        <f t="shared" si="789"/>
        <v>=-61380000</v>
      </c>
      <c r="F1603" s="1">
        <f>-61380000</f>
        <v>-61380000</v>
      </c>
      <c r="G1603" s="8">
        <f t="shared" ref="G1603:G1666" si="791">(F1603-J1603)/J1603</f>
        <v>0.12997054491899854</v>
      </c>
      <c r="H1603" s="7">
        <f>-5432*10000</f>
        <v>-54320000</v>
      </c>
      <c r="I1603" s="6" t="str">
        <f t="shared" si="775"/>
        <v>=-54320000</v>
      </c>
      <c r="J1603" s="1">
        <f>-54320000</f>
        <v>-54320000</v>
      </c>
      <c r="K1603" s="10">
        <f t="shared" ref="K1603:K1666" si="792">(J1603-N1603)/N1603</f>
        <v>0.60995850622406644</v>
      </c>
      <c r="L1603" s="7">
        <f>-3374*10000</f>
        <v>-33740000</v>
      </c>
      <c r="M1603" s="6" t="str">
        <f t="shared" si="776"/>
        <v>=-33740000</v>
      </c>
      <c r="N1603" s="1">
        <f>-33740000</f>
        <v>-33740000</v>
      </c>
      <c r="O1603" s="8">
        <f t="shared" ref="O1603:O1666" si="793">(N1603-R1603)/R1603</f>
        <v>0.14218009478672985</v>
      </c>
      <c r="P1603" s="7">
        <f>-2954*10000</f>
        <v>-29540000</v>
      </c>
      <c r="Q1603" s="6" t="str">
        <f t="shared" si="777"/>
        <v>=-29540000</v>
      </c>
      <c r="R1603" s="11">
        <f>-29540000</f>
        <v>-29540000</v>
      </c>
      <c r="S1603" s="8">
        <f t="shared" ref="S1603:S1666" si="794">(R1603-V1603)/V1603</f>
        <v>-0.60608081077476994</v>
      </c>
      <c r="T1603" s="7">
        <f>-7499*10000</f>
        <v>-74990000</v>
      </c>
      <c r="U1603" s="6" t="str">
        <f t="shared" si="778"/>
        <v>=-74990000</v>
      </c>
      <c r="V1603" s="1">
        <f>-74990000</f>
        <v>-74990000</v>
      </c>
      <c r="W1603" s="8">
        <f t="shared" ref="W1603:W1666" si="795">(V1603-Z1603)/Z1603</f>
        <v>-0.26118226600985223</v>
      </c>
      <c r="X1603" s="6">
        <f>-1.015*100000000</f>
        <v>-101499999.99999999</v>
      </c>
      <c r="Y1603" s="6" t="str">
        <f t="shared" si="779"/>
        <v>=-101500000</v>
      </c>
      <c r="Z1603" s="1">
        <f>-101500000</f>
        <v>-101500000</v>
      </c>
      <c r="AA1603" s="8">
        <f t="shared" ref="AA1603:AA1666" si="796">(Z1603-AD1603)/AD1603</f>
        <v>0.11452728670253651</v>
      </c>
      <c r="AB1603" s="7">
        <f>-9107*10000</f>
        <v>-91070000</v>
      </c>
      <c r="AC1603" s="6" t="str">
        <f t="shared" si="780"/>
        <v>=-91070000</v>
      </c>
      <c r="AD1603" s="1">
        <f>-91070000</f>
        <v>-91070000</v>
      </c>
      <c r="AE1603" s="8">
        <f t="shared" ref="AE1603:AE1666" si="797">(AD1603-AH1603)/AH1603</f>
        <v>0.37174273233920774</v>
      </c>
      <c r="AF1603" s="7">
        <f>-6639*10000</f>
        <v>-66390000</v>
      </c>
      <c r="AG1603" s="6" t="str">
        <f t="shared" si="781"/>
        <v>=-66390000</v>
      </c>
      <c r="AH1603" s="1">
        <f>-66390000</f>
        <v>-66390000</v>
      </c>
      <c r="AI1603" s="8">
        <f t="shared" ref="AI1603:AI1666" si="798">(AH1603-AL1603)/AL1603</f>
        <v>-1.8651290070367474</v>
      </c>
      <c r="AJ1603" s="7" t="s">
        <v>15263</v>
      </c>
      <c r="AK1603" s="6" t="str">
        <f t="shared" si="782"/>
        <v>=7674*10000</v>
      </c>
      <c r="AL1603" s="1">
        <f>7674*10000</f>
        <v>76740000</v>
      </c>
      <c r="AM1603" s="8">
        <f t="shared" ref="AM1603:AM1666" si="799">(AL1603-AP1603)/AP1603</f>
        <v>0.72526978417266186</v>
      </c>
      <c r="AN1603" s="7" t="s">
        <v>15264</v>
      </c>
      <c r="AO1603" s="6" t="str">
        <f t="shared" si="783"/>
        <v>=4448*10000</v>
      </c>
      <c r="AP1603" s="1">
        <f>4448*10000</f>
        <v>44480000</v>
      </c>
      <c r="AQ1603" s="8">
        <f t="shared" ref="AQ1603:AQ1666" si="800">(AP1603-AT1603)/AT1603</f>
        <v>0.2715837621497999</v>
      </c>
      <c r="AR1603" s="7" t="s">
        <v>15265</v>
      </c>
      <c r="AS1603" s="6" t="str">
        <f t="shared" si="784"/>
        <v>=3498*10000</v>
      </c>
      <c r="AT1603" s="1">
        <f>3498*10000</f>
        <v>34980000</v>
      </c>
      <c r="AU1603" s="8">
        <f t="shared" ref="AU1603:AU1666" si="801">(AT1603-AX1603)/AX1603</f>
        <v>0.58423913043478259</v>
      </c>
      <c r="AV1603" s="7" t="s">
        <v>8415</v>
      </c>
      <c r="AW1603" s="6" t="str">
        <f t="shared" si="785"/>
        <v>=2208*10000</v>
      </c>
      <c r="AX1603" s="1">
        <f>2208*10000</f>
        <v>22080000</v>
      </c>
      <c r="AY1603" s="10">
        <f t="shared" ref="AY1603:AY1666" si="802">(AX1603-BB1603)/BB1603</f>
        <v>-0.7502262443438914</v>
      </c>
      <c r="AZ1603" s="7" t="s">
        <v>15266</v>
      </c>
      <c r="BA1603" s="6" t="str">
        <f t="shared" si="786"/>
        <v>=8840*10000</v>
      </c>
      <c r="BB1603" s="1">
        <f>8840*10000</f>
        <v>88400000</v>
      </c>
      <c r="BC1603" s="8">
        <f t="shared" ref="BC1603:BC1666" si="803">(BB1603-BF1603)/BF1603</f>
        <v>0.34530512859534318</v>
      </c>
      <c r="BD1603" s="7" t="s">
        <v>2697</v>
      </c>
      <c r="BE1603" s="6" t="str">
        <f t="shared" si="787"/>
        <v>=6571*10000</v>
      </c>
      <c r="BF1603" s="1">
        <f>6571*10000</f>
        <v>65710000</v>
      </c>
      <c r="BG1603" s="8">
        <f t="shared" ref="BG1603:BG1666" si="804">(BF1603-BJ1603)/BJ1603</f>
        <v>0.5081478081248566</v>
      </c>
      <c r="BH1603" s="7" t="s">
        <v>15267</v>
      </c>
      <c r="BI1603" s="6" t="str">
        <f t="shared" si="788"/>
        <v>=4357*10000</v>
      </c>
      <c r="BJ1603" s="1">
        <f>4357*10000</f>
        <v>43570000</v>
      </c>
      <c r="BK1603" s="7" t="s">
        <v>15268</v>
      </c>
      <c r="BL1603" s="1" t="str">
        <f t="shared" si="790"/>
        <v>=2258*10000</v>
      </c>
      <c r="BM1603" s="16">
        <f t="shared" ref="BM1603:BM1666" si="805">(BJ1603-BN1603)/BN1603</f>
        <v>0.9295837023914969</v>
      </c>
      <c r="BN1603" s="1">
        <f>2258*10000</f>
        <v>22580000</v>
      </c>
    </row>
    <row r="1604" spans="1:66">
      <c r="A1604" s="18"/>
      <c r="B1604">
        <v>603069</v>
      </c>
      <c r="C1604" t="s">
        <v>58</v>
      </c>
      <c r="D1604" s="7">
        <f>-5851*10000</f>
        <v>-58510000</v>
      </c>
      <c r="E1604" s="7" t="str">
        <f t="shared" si="789"/>
        <v>=-58510000</v>
      </c>
      <c r="F1604" s="1">
        <f>-58510000</f>
        <v>-58510000</v>
      </c>
      <c r="G1604" s="8">
        <f t="shared" si="791"/>
        <v>0.15815518606492479</v>
      </c>
      <c r="H1604" s="7">
        <f>-5052*10000</f>
        <v>-50520000</v>
      </c>
      <c r="I1604" s="6" t="str">
        <f t="shared" si="775"/>
        <v>=-50520000</v>
      </c>
      <c r="J1604" s="1">
        <f>-50520000</f>
        <v>-50520000</v>
      </c>
      <c r="K1604" s="10">
        <f t="shared" si="792"/>
        <v>0.65856861457649374</v>
      </c>
      <c r="L1604" s="7">
        <f>-3046*10000</f>
        <v>-30460000</v>
      </c>
      <c r="M1604" s="6" t="str">
        <f t="shared" si="776"/>
        <v>=-30460000</v>
      </c>
      <c r="N1604" s="1">
        <f>-30460000</f>
        <v>-30460000</v>
      </c>
      <c r="O1604" s="8">
        <f t="shared" si="793"/>
        <v>9.8449332852506316E-2</v>
      </c>
      <c r="P1604" s="7">
        <f>-2773*10000</f>
        <v>-27730000</v>
      </c>
      <c r="Q1604" s="6" t="str">
        <f t="shared" si="777"/>
        <v>=-27730000</v>
      </c>
      <c r="R1604" s="11">
        <f>-27730000</f>
        <v>-27730000</v>
      </c>
      <c r="S1604" s="8">
        <f t="shared" si="794"/>
        <v>-0.64943109987357772</v>
      </c>
      <c r="T1604" s="7">
        <f>-7910*10000</f>
        <v>-79100000</v>
      </c>
      <c r="U1604" s="6" t="str">
        <f t="shared" si="778"/>
        <v>=-79100000</v>
      </c>
      <c r="V1604" s="1">
        <f>-79100000</f>
        <v>-79100000</v>
      </c>
      <c r="W1604" s="8">
        <f t="shared" si="795"/>
        <v>-0.23722275795564127</v>
      </c>
      <c r="X1604" s="6">
        <f>-1.037*100000000</f>
        <v>-103699999.99999999</v>
      </c>
      <c r="Y1604" s="6" t="str">
        <f t="shared" si="779"/>
        <v>=-103700000</v>
      </c>
      <c r="Z1604" s="1">
        <f>-103700000</f>
        <v>-103700000</v>
      </c>
      <c r="AA1604" s="8">
        <f t="shared" si="796"/>
        <v>0.11733649391229393</v>
      </c>
      <c r="AB1604" s="7">
        <f>-9281*10000</f>
        <v>-92810000</v>
      </c>
      <c r="AC1604" s="6" t="str">
        <f t="shared" si="780"/>
        <v>=-92810000</v>
      </c>
      <c r="AD1604" s="1">
        <f>-92810000</f>
        <v>-92810000</v>
      </c>
      <c r="AE1604" s="8">
        <f t="shared" si="797"/>
        <v>0.39459053343350864</v>
      </c>
      <c r="AF1604" s="7">
        <f>-6655*10000</f>
        <v>-66550000</v>
      </c>
      <c r="AG1604" s="6" t="str">
        <f t="shared" si="781"/>
        <v>=-66550000</v>
      </c>
      <c r="AH1604" s="1">
        <f>-66550000</f>
        <v>-66550000</v>
      </c>
      <c r="AI1604" s="8">
        <f t="shared" si="798"/>
        <v>-1.8786638500132031</v>
      </c>
      <c r="AJ1604" s="7" t="s">
        <v>15269</v>
      </c>
      <c r="AK1604" s="6" t="str">
        <f t="shared" si="782"/>
        <v>=7574*10000</v>
      </c>
      <c r="AL1604" s="1">
        <f>7574*10000</f>
        <v>75740000</v>
      </c>
      <c r="AM1604" s="8">
        <f t="shared" si="799"/>
        <v>0.68161634103019542</v>
      </c>
      <c r="AN1604" s="7" t="s">
        <v>12506</v>
      </c>
      <c r="AO1604" s="6" t="str">
        <f t="shared" si="783"/>
        <v>=4504*10000</v>
      </c>
      <c r="AP1604" s="1">
        <f>4504*10000</f>
        <v>45040000</v>
      </c>
      <c r="AQ1604" s="8">
        <f t="shared" si="800"/>
        <v>0.2242457189453656</v>
      </c>
      <c r="AR1604" s="7" t="s">
        <v>15270</v>
      </c>
      <c r="AS1604" s="6" t="str">
        <f t="shared" si="784"/>
        <v>=3679*10000</v>
      </c>
      <c r="AT1604" s="1">
        <f>3679*10000</f>
        <v>36790000</v>
      </c>
      <c r="AU1604" s="8">
        <f t="shared" si="801"/>
        <v>0.64977578475336328</v>
      </c>
      <c r="AV1604" s="7" t="s">
        <v>15271</v>
      </c>
      <c r="AW1604" s="6" t="str">
        <f t="shared" si="785"/>
        <v>=2230*10000</v>
      </c>
      <c r="AX1604" s="1">
        <f>2230*10000</f>
        <v>22300000</v>
      </c>
      <c r="AY1604" s="10">
        <f t="shared" si="802"/>
        <v>-0.72570725707257078</v>
      </c>
      <c r="AZ1604" s="7" t="s">
        <v>12057</v>
      </c>
      <c r="BA1604" s="6" t="str">
        <f t="shared" si="786"/>
        <v>=8130*10000</v>
      </c>
      <c r="BB1604" s="1">
        <f>8130*10000</f>
        <v>81300000</v>
      </c>
      <c r="BC1604" s="8">
        <f t="shared" si="803"/>
        <v>0.22846781504986402</v>
      </c>
      <c r="BD1604" s="7" t="s">
        <v>15272</v>
      </c>
      <c r="BE1604" s="6" t="str">
        <f t="shared" si="787"/>
        <v>=6618*10000</v>
      </c>
      <c r="BF1604" s="1">
        <f>6618*10000</f>
        <v>66180000</v>
      </c>
      <c r="BG1604" s="8">
        <f t="shared" si="804"/>
        <v>0.50889192886456913</v>
      </c>
      <c r="BH1604" s="7" t="s">
        <v>15273</v>
      </c>
      <c r="BI1604" s="6" t="str">
        <f t="shared" si="788"/>
        <v>=4386*10000</v>
      </c>
      <c r="BJ1604" s="1">
        <f>4386*10000</f>
        <v>43860000</v>
      </c>
      <c r="BK1604" s="7" t="s">
        <v>12096</v>
      </c>
      <c r="BL1604" s="1" t="str">
        <f t="shared" si="790"/>
        <v>=2213*10000</v>
      </c>
      <c r="BM1604" s="16">
        <f t="shared" si="805"/>
        <v>0.98192498870311795</v>
      </c>
      <c r="BN1604" s="1">
        <f>2213*10000</f>
        <v>22130000</v>
      </c>
    </row>
    <row r="1605" spans="1:66">
      <c r="A1605" s="19"/>
      <c r="B1605">
        <v>603069</v>
      </c>
      <c r="C1605" t="s">
        <v>68</v>
      </c>
      <c r="D1605" s="7">
        <f>-7268*10000</f>
        <v>-72680000</v>
      </c>
      <c r="E1605" s="7" t="str">
        <f t="shared" si="789"/>
        <v>=-72680000</v>
      </c>
      <c r="F1605" s="1">
        <f>-72680000</f>
        <v>-72680000</v>
      </c>
      <c r="G1605" s="8">
        <f t="shared" si="791"/>
        <v>0.31238714337305884</v>
      </c>
      <c r="H1605" s="7">
        <f>-5538*10000</f>
        <v>-55380000</v>
      </c>
      <c r="I1605" s="6" t="str">
        <f t="shared" si="775"/>
        <v>=-55380000</v>
      </c>
      <c r="J1605" s="1">
        <f>-55380000</f>
        <v>-55380000</v>
      </c>
      <c r="K1605" s="10">
        <f t="shared" si="792"/>
        <v>0.64919594997022034</v>
      </c>
      <c r="L1605" s="7">
        <f>-3358*10000</f>
        <v>-33580000</v>
      </c>
      <c r="M1605" s="6" t="str">
        <f t="shared" si="776"/>
        <v>=-33580000</v>
      </c>
      <c r="N1605" s="1">
        <f>-33580000</f>
        <v>-33580000</v>
      </c>
      <c r="O1605" s="8">
        <f t="shared" si="793"/>
        <v>9.5953002610966051E-2</v>
      </c>
      <c r="P1605" s="7">
        <f>-3064*10000</f>
        <v>-30640000</v>
      </c>
      <c r="Q1605" s="6" t="str">
        <f t="shared" si="777"/>
        <v>=-30640000</v>
      </c>
      <c r="R1605" s="11">
        <f>-30640000</f>
        <v>-30640000</v>
      </c>
      <c r="S1605" s="8">
        <f t="shared" si="794"/>
        <v>-0.6813643926788685</v>
      </c>
      <c r="T1605" s="7">
        <f>-9616*10000</f>
        <v>-96160000</v>
      </c>
      <c r="U1605" s="6" t="str">
        <f t="shared" si="778"/>
        <v>=-96160000</v>
      </c>
      <c r="V1605" s="1">
        <f>-96160000</f>
        <v>-96160000</v>
      </c>
      <c r="W1605" s="8">
        <f t="shared" si="795"/>
        <v>-0.1169880624426079</v>
      </c>
      <c r="X1605" s="6">
        <f>-1.089*100000000</f>
        <v>-108900000</v>
      </c>
      <c r="Y1605" s="6" t="str">
        <f t="shared" si="779"/>
        <v>=-108900000</v>
      </c>
      <c r="Z1605" s="1">
        <f>-108900000</f>
        <v>-108900000</v>
      </c>
      <c r="AA1605" s="8">
        <f t="shared" si="796"/>
        <v>0.12083161794977357</v>
      </c>
      <c r="AB1605" s="7">
        <f>-9716*10000</f>
        <v>-97160000</v>
      </c>
      <c r="AC1605" s="6" t="str">
        <f t="shared" si="780"/>
        <v>=-97160000</v>
      </c>
      <c r="AD1605" s="1">
        <f>-97160000</f>
        <v>-97160000</v>
      </c>
      <c r="AE1605" s="8">
        <f t="shared" si="797"/>
        <v>0.36154708520179374</v>
      </c>
      <c r="AF1605" s="7">
        <f>-7136*10000</f>
        <v>-71360000</v>
      </c>
      <c r="AG1605" s="6" t="str">
        <f t="shared" si="781"/>
        <v>=-71360000</v>
      </c>
      <c r="AH1605" s="1">
        <f>-71360000</f>
        <v>-71360000</v>
      </c>
      <c r="AI1605" s="8">
        <f t="shared" si="798"/>
        <v>-2.5134676564156946</v>
      </c>
      <c r="AJ1605" s="7" t="s">
        <v>1707</v>
      </c>
      <c r="AK1605" s="6" t="str">
        <f t="shared" si="782"/>
        <v>=4715*10000</v>
      </c>
      <c r="AL1605" s="1">
        <f>4715*10000</f>
        <v>47150000</v>
      </c>
      <c r="AM1605" s="8">
        <f t="shared" si="799"/>
        <v>0.4344386979008214</v>
      </c>
      <c r="AN1605" s="7" t="s">
        <v>15274</v>
      </c>
      <c r="AO1605" s="6" t="str">
        <f t="shared" si="783"/>
        <v>=3287*10000</v>
      </c>
      <c r="AP1605" s="1">
        <f>3287*10000</f>
        <v>32870000</v>
      </c>
      <c r="AQ1605" s="8">
        <f t="shared" si="800"/>
        <v>0.21068139963167587</v>
      </c>
      <c r="AR1605" s="7" t="s">
        <v>15275</v>
      </c>
      <c r="AS1605" s="6" t="str">
        <f t="shared" si="784"/>
        <v>=2715*10000</v>
      </c>
      <c r="AT1605" s="1">
        <f>2715*10000</f>
        <v>27150000</v>
      </c>
      <c r="AU1605" s="8">
        <f t="shared" si="801"/>
        <v>0.78149606299212604</v>
      </c>
      <c r="AV1605" s="7" t="s">
        <v>15276</v>
      </c>
      <c r="AW1605" s="6" t="str">
        <f t="shared" si="785"/>
        <v>=1524*10000</v>
      </c>
      <c r="AX1605" s="1">
        <f>1524*10000</f>
        <v>15240000</v>
      </c>
      <c r="AY1605" s="10">
        <f t="shared" si="802"/>
        <v>-0.74747307373653682</v>
      </c>
      <c r="AZ1605" s="7" t="s">
        <v>15277</v>
      </c>
      <c r="BA1605" s="6" t="str">
        <f t="shared" si="786"/>
        <v>=6035*10000</v>
      </c>
      <c r="BB1605" s="1">
        <f>6035*10000</f>
        <v>60350000</v>
      </c>
      <c r="BC1605" s="8">
        <f t="shared" si="803"/>
        <v>0.17503894080996885</v>
      </c>
      <c r="BD1605" s="7" t="s">
        <v>9437</v>
      </c>
      <c r="BE1605" s="6" t="str">
        <f t="shared" si="787"/>
        <v>=5136*10000</v>
      </c>
      <c r="BF1605" s="1">
        <f>5136*10000</f>
        <v>51360000</v>
      </c>
      <c r="BG1605" s="8">
        <f t="shared" si="804"/>
        <v>0.46700942587832051</v>
      </c>
      <c r="BH1605" s="7" t="s">
        <v>2600</v>
      </c>
      <c r="BI1605" s="6" t="str">
        <f t="shared" si="788"/>
        <v>=3501*10000</v>
      </c>
      <c r="BJ1605" s="1">
        <f>3501*10000</f>
        <v>35010000</v>
      </c>
      <c r="BK1605" s="7" t="s">
        <v>15278</v>
      </c>
      <c r="BL1605" s="1" t="str">
        <f t="shared" si="790"/>
        <v>=1572*10000</v>
      </c>
      <c r="BM1605" s="16">
        <f t="shared" si="805"/>
        <v>1.2270992366412214</v>
      </c>
      <c r="BN1605" s="1">
        <f>1572*10000</f>
        <v>15720000</v>
      </c>
    </row>
    <row r="1606" spans="1:66">
      <c r="A1606" s="17">
        <v>403</v>
      </c>
      <c r="B1606">
        <v>603077</v>
      </c>
      <c r="C1606" t="s">
        <v>31</v>
      </c>
      <c r="D1606" s="6" t="s">
        <v>7062</v>
      </c>
      <c r="E1606" s="7" t="str">
        <f t="shared" si="789"/>
        <v>=98.67*100000000</v>
      </c>
      <c r="F1606" s="1">
        <f>98.67*100000000</f>
        <v>9867000000</v>
      </c>
      <c r="G1606" s="8">
        <f t="shared" si="791"/>
        <v>0.39601018675721544</v>
      </c>
      <c r="H1606" s="6" t="s">
        <v>15279</v>
      </c>
      <c r="I1606" s="6" t="str">
        <f t="shared" si="775"/>
        <v>=70.68*100000000</v>
      </c>
      <c r="J1606" s="1">
        <f>70.68*100000000</f>
        <v>7068000000.000001</v>
      </c>
      <c r="K1606" s="10">
        <f t="shared" si="792"/>
        <v>0.80628673651929472</v>
      </c>
      <c r="L1606" s="6" t="s">
        <v>15280</v>
      </c>
      <c r="M1606" s="6" t="str">
        <f t="shared" si="776"/>
        <v>=39.13*100000000</v>
      </c>
      <c r="N1606" s="1">
        <f>39.13*100000000</f>
        <v>3913000000.0000005</v>
      </c>
      <c r="O1606" s="8">
        <f t="shared" si="793"/>
        <v>1.3643504531722057</v>
      </c>
      <c r="P1606" s="6" t="s">
        <v>4919</v>
      </c>
      <c r="Q1606" s="6" t="str">
        <f t="shared" si="777"/>
        <v>=16.55*100000000</v>
      </c>
      <c r="R1606" s="11">
        <f>16.55*100000000</f>
        <v>1655000000</v>
      </c>
      <c r="S1606" s="8">
        <f t="shared" si="794"/>
        <v>-0.68542102261927396</v>
      </c>
      <c r="T1606" s="6" t="s">
        <v>15281</v>
      </c>
      <c r="U1606" s="6" t="str">
        <f t="shared" si="778"/>
        <v>=52.61*100000000</v>
      </c>
      <c r="V1606" s="1">
        <f>52.61*100000000</f>
        <v>5261000000</v>
      </c>
      <c r="W1606" s="8">
        <f t="shared" si="795"/>
        <v>0.35105290190035954</v>
      </c>
      <c r="X1606" s="6" t="s">
        <v>10623</v>
      </c>
      <c r="Y1606" s="6" t="str">
        <f t="shared" si="779"/>
        <v>=38.94*100000000</v>
      </c>
      <c r="Z1606" s="1">
        <f>38.94*100000000</f>
        <v>3894000000</v>
      </c>
      <c r="AA1606" s="8">
        <f t="shared" si="796"/>
        <v>0.59394187474416704</v>
      </c>
      <c r="AB1606" s="6" t="s">
        <v>15282</v>
      </c>
      <c r="AC1606" s="6" t="str">
        <f t="shared" si="780"/>
        <v>=24.43*100000000</v>
      </c>
      <c r="AD1606" s="1">
        <f>24.43*100000000</f>
        <v>2443000000</v>
      </c>
      <c r="AE1606" s="8">
        <f t="shared" si="797"/>
        <v>1.3880742913000979</v>
      </c>
      <c r="AF1606" s="6" t="s">
        <v>1403</v>
      </c>
      <c r="AG1606" s="6" t="str">
        <f t="shared" si="781"/>
        <v>=10.23*100000000</v>
      </c>
      <c r="AH1606" s="1">
        <f>10.23*100000000</f>
        <v>1023000000</v>
      </c>
      <c r="AI1606" s="8">
        <f t="shared" si="798"/>
        <v>-0.82861450829284633</v>
      </c>
      <c r="AJ1606" s="6" t="s">
        <v>10047</v>
      </c>
      <c r="AK1606" s="6" t="str">
        <f t="shared" si="782"/>
        <v>=59.69*100000000</v>
      </c>
      <c r="AL1606" s="1">
        <f>59.69*100000000</f>
        <v>5969000000</v>
      </c>
      <c r="AM1606" s="8">
        <f t="shared" si="799"/>
        <v>0.25716090985678181</v>
      </c>
      <c r="AN1606" s="6" t="s">
        <v>8958</v>
      </c>
      <c r="AO1606" s="6" t="str">
        <f t="shared" si="783"/>
        <v>=47.48*100000000</v>
      </c>
      <c r="AP1606" s="1">
        <f>47.48*100000000</f>
        <v>4748000000</v>
      </c>
      <c r="AQ1606" s="8">
        <f t="shared" si="800"/>
        <v>0.55112708265272792</v>
      </c>
      <c r="AR1606" s="6" t="s">
        <v>8590</v>
      </c>
      <c r="AS1606" s="6" t="str">
        <f t="shared" si="784"/>
        <v>=30.61*100000000</v>
      </c>
      <c r="AT1606" s="1">
        <f>30.61*100000000</f>
        <v>3061000000</v>
      </c>
      <c r="AU1606" s="8">
        <f t="shared" si="801"/>
        <v>1.1435574229691876</v>
      </c>
      <c r="AV1606" s="6" t="s">
        <v>60</v>
      </c>
      <c r="AW1606" s="6" t="str">
        <f t="shared" si="785"/>
        <v>=14.28*100000000</v>
      </c>
      <c r="AX1606" s="1">
        <f>14.28*100000000</f>
        <v>1428000000</v>
      </c>
      <c r="AY1606" s="10">
        <f t="shared" si="802"/>
        <v>-0.76235646530204693</v>
      </c>
      <c r="AZ1606" s="6" t="s">
        <v>13994</v>
      </c>
      <c r="BA1606" s="6" t="str">
        <f t="shared" si="786"/>
        <v>=60.09*100000000</v>
      </c>
      <c r="BB1606" s="1">
        <f>60.09*100000000</f>
        <v>6009000000</v>
      </c>
      <c r="BC1606" s="8">
        <f t="shared" si="803"/>
        <v>0.31863067807768269</v>
      </c>
      <c r="BD1606" s="6" t="s">
        <v>12286</v>
      </c>
      <c r="BE1606" s="6" t="str">
        <f t="shared" si="787"/>
        <v>=45.57*100000000</v>
      </c>
      <c r="BF1606" s="1">
        <f>45.57*100000000</f>
        <v>4557000000</v>
      </c>
      <c r="BG1606" s="8">
        <f t="shared" si="804"/>
        <v>0.56275720164609055</v>
      </c>
      <c r="BH1606" s="6" t="s">
        <v>14459</v>
      </c>
      <c r="BI1606" s="6" t="str">
        <f t="shared" si="788"/>
        <v>=29.16*100000000</v>
      </c>
      <c r="BJ1606" s="1">
        <f>29.16*100000000</f>
        <v>2916000000</v>
      </c>
      <c r="BK1606" s="6" t="s">
        <v>15283</v>
      </c>
      <c r="BL1606" s="1" t="str">
        <f t="shared" si="790"/>
        <v>=11.51*100000000</v>
      </c>
      <c r="BM1606" s="16">
        <f t="shared" si="805"/>
        <v>1.5334491746307559</v>
      </c>
      <c r="BN1606" s="1">
        <f>11.51*100000000</f>
        <v>1151000000</v>
      </c>
    </row>
    <row r="1607" spans="1:66">
      <c r="A1607" s="18"/>
      <c r="B1607">
        <v>603077</v>
      </c>
      <c r="C1607" t="s">
        <v>48</v>
      </c>
      <c r="D1607" s="6" t="s">
        <v>14433</v>
      </c>
      <c r="E1607" s="7" t="str">
        <f t="shared" si="789"/>
        <v>=35.96*100000000</v>
      </c>
      <c r="F1607" s="1">
        <f>35.96*100000000</f>
        <v>3596000000</v>
      </c>
      <c r="G1607" s="8">
        <f t="shared" si="791"/>
        <v>0.50146137787056366</v>
      </c>
      <c r="H1607" s="6" t="s">
        <v>15284</v>
      </c>
      <c r="I1607" s="6" t="str">
        <f t="shared" si="775"/>
        <v>=23.95*100000000</v>
      </c>
      <c r="J1607" s="1">
        <f>23.95*100000000</f>
        <v>2395000000</v>
      </c>
      <c r="K1607" s="10">
        <f t="shared" si="792"/>
        <v>1.2196478220574607</v>
      </c>
      <c r="L1607" s="6" t="s">
        <v>1835</v>
      </c>
      <c r="M1607" s="6" t="str">
        <f t="shared" si="776"/>
        <v>=10.79*100000000</v>
      </c>
      <c r="N1607" s="1">
        <f>10.79*100000000</f>
        <v>1079000000</v>
      </c>
      <c r="O1607" s="8">
        <f t="shared" si="793"/>
        <v>2.6838511437350632</v>
      </c>
      <c r="P1607" s="6" t="s">
        <v>15285</v>
      </c>
      <c r="Q1607" s="6" t="str">
        <f t="shared" si="777"/>
        <v>=2.929*100000000</v>
      </c>
      <c r="R1607" s="11">
        <f>2.929*100000000</f>
        <v>292900000</v>
      </c>
      <c r="S1607" s="8">
        <f t="shared" si="794"/>
        <v>-0.3350737797956867</v>
      </c>
      <c r="T1607" s="6" t="s">
        <v>15286</v>
      </c>
      <c r="U1607" s="6" t="str">
        <f t="shared" si="778"/>
        <v>=4.405*100000000</v>
      </c>
      <c r="V1607" s="1">
        <f>4.405*100000000</f>
        <v>440500000</v>
      </c>
      <c r="W1607" s="8">
        <f t="shared" si="795"/>
        <v>0.9127225358228398</v>
      </c>
      <c r="X1607" s="6" t="s">
        <v>9243</v>
      </c>
      <c r="Y1607" s="6" t="str">
        <f t="shared" si="779"/>
        <v>=2.303*100000000</v>
      </c>
      <c r="Z1607" s="1">
        <f>2.303*100000000</f>
        <v>230300000</v>
      </c>
      <c r="AA1607" s="8">
        <f t="shared" si="796"/>
        <v>6.2718661193558569</v>
      </c>
      <c r="AB1607" s="7" t="s">
        <v>15287</v>
      </c>
      <c r="AC1607" s="6" t="str">
        <f t="shared" si="780"/>
        <v>=3167*10000</v>
      </c>
      <c r="AD1607" s="1">
        <f>3167*10000</f>
        <v>31670000</v>
      </c>
      <c r="AE1607" s="8">
        <f t="shared" si="797"/>
        <v>-1.6209803921568628</v>
      </c>
      <c r="AF1607" s="7">
        <f>-5100*10000</f>
        <v>-51000000</v>
      </c>
      <c r="AG1607" s="6" t="str">
        <f t="shared" si="781"/>
        <v>=-51000000</v>
      </c>
      <c r="AH1607" s="1">
        <f>-51000000</f>
        <v>-51000000</v>
      </c>
      <c r="AI1607" s="8">
        <f t="shared" si="798"/>
        <v>-1.0875235970482238</v>
      </c>
      <c r="AJ1607" s="6" t="s">
        <v>15029</v>
      </c>
      <c r="AK1607" s="6" t="str">
        <f t="shared" si="782"/>
        <v>=5.827*100000000</v>
      </c>
      <c r="AL1607" s="1">
        <f>5.827*100000000</f>
        <v>582700000</v>
      </c>
      <c r="AM1607" s="8">
        <f t="shared" si="799"/>
        <v>8.4496556858365907E-2</v>
      </c>
      <c r="AN1607" s="6" t="s">
        <v>10137</v>
      </c>
      <c r="AO1607" s="6" t="str">
        <f t="shared" si="783"/>
        <v>=5.373*100000000</v>
      </c>
      <c r="AP1607" s="1">
        <f>5.373*100000000</f>
        <v>537300000</v>
      </c>
      <c r="AQ1607" s="8">
        <f t="shared" si="800"/>
        <v>0.55109699769053122</v>
      </c>
      <c r="AR1607" s="6" t="s">
        <v>9650</v>
      </c>
      <c r="AS1607" s="6" t="str">
        <f t="shared" si="784"/>
        <v>=3.464*100000000</v>
      </c>
      <c r="AT1607" s="1">
        <f>3.464*100000000</f>
        <v>346400000</v>
      </c>
      <c r="AU1607" s="8">
        <f t="shared" si="801"/>
        <v>1.6625672559569562</v>
      </c>
      <c r="AV1607" s="6" t="s">
        <v>1478</v>
      </c>
      <c r="AW1607" s="6" t="str">
        <f t="shared" si="785"/>
        <v>=1.301*100000000</v>
      </c>
      <c r="AX1607" s="1">
        <f>1.301*100000000</f>
        <v>130100000</v>
      </c>
      <c r="AY1607" s="10">
        <f t="shared" si="802"/>
        <v>-0.68574879227053132</v>
      </c>
      <c r="AZ1607" s="6" t="s">
        <v>2982</v>
      </c>
      <c r="BA1607" s="6" t="str">
        <f t="shared" si="786"/>
        <v>=4.140*100000000</v>
      </c>
      <c r="BB1607" s="1">
        <f>4.14*100000000</f>
        <v>413999999.99999994</v>
      </c>
      <c r="BC1607" s="8">
        <f t="shared" si="803"/>
        <v>-0.17726550079491268</v>
      </c>
      <c r="BD1607" s="6" t="s">
        <v>9220</v>
      </c>
      <c r="BE1607" s="6" t="str">
        <f t="shared" si="787"/>
        <v>=5.032*100000000</v>
      </c>
      <c r="BF1607" s="1">
        <f>5.032*100000000</f>
        <v>503200000</v>
      </c>
      <c r="BG1607" s="8">
        <f t="shared" si="804"/>
        <v>0.66402116402116407</v>
      </c>
      <c r="BH1607" s="6" t="s">
        <v>8401</v>
      </c>
      <c r="BI1607" s="6" t="str">
        <f t="shared" si="788"/>
        <v>=3.024*100000000</v>
      </c>
      <c r="BJ1607" s="1">
        <f>3.024*100000000</f>
        <v>302400000</v>
      </c>
      <c r="BK1607" s="7" t="s">
        <v>15288</v>
      </c>
      <c r="BL1607" s="1" t="str">
        <f t="shared" si="790"/>
        <v>=5611*10000</v>
      </c>
      <c r="BM1607" s="16">
        <f t="shared" si="805"/>
        <v>4.38941365175548</v>
      </c>
      <c r="BN1607" s="1">
        <f>5611*10000</f>
        <v>56110000</v>
      </c>
    </row>
    <row r="1608" spans="1:66">
      <c r="A1608" s="18"/>
      <c r="B1608">
        <v>603077</v>
      </c>
      <c r="C1608" t="s">
        <v>58</v>
      </c>
      <c r="D1608" s="6" t="s">
        <v>15289</v>
      </c>
      <c r="E1608" s="7" t="str">
        <f t="shared" si="789"/>
        <v>=35.83*100000000</v>
      </c>
      <c r="F1608" s="1">
        <f>35.83*100000000</f>
        <v>3583000000</v>
      </c>
      <c r="G1608" s="8">
        <f t="shared" si="791"/>
        <v>0.49603340292275572</v>
      </c>
      <c r="H1608" s="6" t="s">
        <v>15284</v>
      </c>
      <c r="I1608" s="6" t="str">
        <f t="shared" si="775"/>
        <v>=23.95*100000000</v>
      </c>
      <c r="J1608" s="1">
        <f>23.95*100000000</f>
        <v>2395000000</v>
      </c>
      <c r="K1608" s="10">
        <f t="shared" si="792"/>
        <v>1.2155411655874191</v>
      </c>
      <c r="L1608" s="6" t="s">
        <v>937</v>
      </c>
      <c r="M1608" s="6" t="str">
        <f t="shared" si="776"/>
        <v>=10.81*100000000</v>
      </c>
      <c r="N1608" s="1">
        <f>10.81*100000000</f>
        <v>1081000000</v>
      </c>
      <c r="O1608" s="8">
        <f t="shared" si="793"/>
        <v>2.6906794127688629</v>
      </c>
      <c r="P1608" s="6" t="s">
        <v>15285</v>
      </c>
      <c r="Q1608" s="6" t="str">
        <f t="shared" si="777"/>
        <v>=2.929*100000000</v>
      </c>
      <c r="R1608" s="11">
        <f>2.929*100000000</f>
        <v>292900000</v>
      </c>
      <c r="S1608" s="8">
        <f t="shared" si="794"/>
        <v>17.526249209361165</v>
      </c>
      <c r="T1608" s="7" t="s">
        <v>15290</v>
      </c>
      <c r="U1608" s="6" t="str">
        <f t="shared" si="778"/>
        <v>=1581*10000</v>
      </c>
      <c r="V1608" s="1">
        <f>1581*10000</f>
        <v>15810000</v>
      </c>
      <c r="W1608" s="8">
        <f t="shared" si="795"/>
        <v>-1.0731267345050879</v>
      </c>
      <c r="X1608" s="6">
        <f>-2.162*100000000</f>
        <v>-216200000</v>
      </c>
      <c r="Y1608" s="6" t="str">
        <f t="shared" si="779"/>
        <v>=-216200000</v>
      </c>
      <c r="Z1608" s="1">
        <f>-216200000</f>
        <v>-216200000</v>
      </c>
      <c r="AA1608" s="8">
        <f t="shared" si="796"/>
        <v>-8.2794612794612803</v>
      </c>
      <c r="AB1608" s="7" t="s">
        <v>15291</v>
      </c>
      <c r="AC1608" s="6" t="str">
        <f t="shared" si="780"/>
        <v>=2970*10000</v>
      </c>
      <c r="AD1608" s="1">
        <f>2970*10000</f>
        <v>29700000</v>
      </c>
      <c r="AE1608" s="8">
        <f t="shared" si="797"/>
        <v>-1.5618615209988649</v>
      </c>
      <c r="AF1608" s="7">
        <f>-5286*10000</f>
        <v>-52860000</v>
      </c>
      <c r="AG1608" s="6" t="str">
        <f t="shared" si="781"/>
        <v>=-52860000</v>
      </c>
      <c r="AH1608" s="1">
        <f>-52860000</f>
        <v>-52860000</v>
      </c>
      <c r="AI1608" s="8">
        <f t="shared" si="798"/>
        <v>-1.0905447070914698</v>
      </c>
      <c r="AJ1608" s="6" t="s">
        <v>1221</v>
      </c>
      <c r="AK1608" s="6" t="str">
        <f t="shared" si="782"/>
        <v>=5.838*100000000</v>
      </c>
      <c r="AL1608" s="1">
        <f>5.838*100000000</f>
        <v>583800000</v>
      </c>
      <c r="AM1608" s="8">
        <f t="shared" si="799"/>
        <v>8.6543830262423224E-2</v>
      </c>
      <c r="AN1608" s="6" t="s">
        <v>10137</v>
      </c>
      <c r="AO1608" s="6" t="str">
        <f t="shared" si="783"/>
        <v>=5.373*100000000</v>
      </c>
      <c r="AP1608" s="1">
        <f>5.373*100000000</f>
        <v>537300000</v>
      </c>
      <c r="AQ1608" s="8">
        <f t="shared" si="800"/>
        <v>0.55109699769053122</v>
      </c>
      <c r="AR1608" s="6" t="s">
        <v>9650</v>
      </c>
      <c r="AS1608" s="6" t="str">
        <f t="shared" si="784"/>
        <v>=3.464*100000000</v>
      </c>
      <c r="AT1608" s="1">
        <f>3.464*100000000</f>
        <v>346400000</v>
      </c>
      <c r="AU1608" s="8">
        <f t="shared" si="801"/>
        <v>1.6625672559569562</v>
      </c>
      <c r="AV1608" s="6" t="s">
        <v>1478</v>
      </c>
      <c r="AW1608" s="6" t="str">
        <f t="shared" si="785"/>
        <v>=1.301*100000000</v>
      </c>
      <c r="AX1608" s="1">
        <f>1.301*100000000</f>
        <v>130100000</v>
      </c>
      <c r="AY1608" s="10">
        <f t="shared" si="802"/>
        <v>-0.68703391869136399</v>
      </c>
      <c r="AZ1608" s="6" t="s">
        <v>15292</v>
      </c>
      <c r="BA1608" s="6" t="str">
        <f t="shared" si="786"/>
        <v>=4.157*100000000</v>
      </c>
      <c r="BB1608" s="1">
        <f>4.157*100000000</f>
        <v>415700000</v>
      </c>
      <c r="BC1608" s="8">
        <f t="shared" si="803"/>
        <v>-0.17059058260175569</v>
      </c>
      <c r="BD1608" s="6" t="s">
        <v>15293</v>
      </c>
      <c r="BE1608" s="6" t="str">
        <f t="shared" si="787"/>
        <v>=5.012*100000000</v>
      </c>
      <c r="BF1608" s="1">
        <f>5.012*100000000</f>
        <v>501199999.99999994</v>
      </c>
      <c r="BG1608" s="8">
        <f t="shared" si="804"/>
        <v>0.65357967667436467</v>
      </c>
      <c r="BH1608" s="6" t="s">
        <v>15294</v>
      </c>
      <c r="BI1608" s="6" t="str">
        <f t="shared" si="788"/>
        <v>=3.031*100000000</v>
      </c>
      <c r="BJ1608" s="1">
        <f>3.031*100000000</f>
        <v>303100000</v>
      </c>
      <c r="BK1608" s="7" t="s">
        <v>6831</v>
      </c>
      <c r="BL1608" s="1" t="str">
        <f t="shared" si="790"/>
        <v>=5684*10000</v>
      </c>
      <c r="BM1608" s="16">
        <f t="shared" si="805"/>
        <v>4.3325123152709359</v>
      </c>
      <c r="BN1608" s="1">
        <f>5684*10000</f>
        <v>56840000</v>
      </c>
    </row>
    <row r="1609" spans="1:66">
      <c r="A1609" s="19"/>
      <c r="B1609">
        <v>603077</v>
      </c>
      <c r="C1609" t="s">
        <v>68</v>
      </c>
      <c r="D1609" s="6" t="s">
        <v>12292</v>
      </c>
      <c r="E1609" s="7" t="str">
        <f t="shared" si="789"/>
        <v>=30.31*100000000</v>
      </c>
      <c r="F1609" s="1">
        <f>30.31*100000000</f>
        <v>3031000000</v>
      </c>
      <c r="G1609" s="8">
        <f t="shared" si="791"/>
        <v>0.49752964426877488</v>
      </c>
      <c r="H1609" s="6" t="s">
        <v>2895</v>
      </c>
      <c r="I1609" s="6" t="str">
        <f t="shared" si="775"/>
        <v>=20.24*100000000</v>
      </c>
      <c r="J1609" s="1">
        <f>20.24*100000000</f>
        <v>2023999999.9999998</v>
      </c>
      <c r="K1609" s="10">
        <f t="shared" si="792"/>
        <v>1.2222222222222219</v>
      </c>
      <c r="L1609" s="6" t="s">
        <v>15295</v>
      </c>
      <c r="M1609" s="6" t="str">
        <f t="shared" si="776"/>
        <v>=9.108*100000000</v>
      </c>
      <c r="N1609" s="1">
        <f>9.108*100000000</f>
        <v>910800000</v>
      </c>
      <c r="O1609" s="8">
        <f t="shared" si="793"/>
        <v>2.7698675496688741</v>
      </c>
      <c r="P1609" s="6" t="s">
        <v>15296</v>
      </c>
      <c r="Q1609" s="6" t="str">
        <f t="shared" si="777"/>
        <v>=2.416*100000000</v>
      </c>
      <c r="R1609" s="11">
        <f>2.416*100000000</f>
        <v>241600000</v>
      </c>
      <c r="S1609" s="8">
        <f t="shared" si="794"/>
        <v>82.024054982817873</v>
      </c>
      <c r="T1609" s="7" t="s">
        <v>15297</v>
      </c>
      <c r="U1609" s="6" t="str">
        <f t="shared" si="778"/>
        <v>=291.0*10000</v>
      </c>
      <c r="V1609" s="1">
        <f>291*10000</f>
        <v>2910000</v>
      </c>
      <c r="W1609" s="8">
        <f t="shared" si="795"/>
        <v>-1.0127018769096465</v>
      </c>
      <c r="X1609" s="6">
        <f>-2.291*100000000</f>
        <v>-229100000</v>
      </c>
      <c r="Y1609" s="6" t="str">
        <f t="shared" si="779"/>
        <v>=-229100000</v>
      </c>
      <c r="Z1609" s="1">
        <f>-229100000</f>
        <v>-229100000</v>
      </c>
      <c r="AA1609" s="8">
        <f t="shared" si="796"/>
        <v>-14.366394399066511</v>
      </c>
      <c r="AB1609" s="7" t="s">
        <v>15298</v>
      </c>
      <c r="AC1609" s="6" t="str">
        <f t="shared" si="780"/>
        <v>=1714*10000</v>
      </c>
      <c r="AD1609" s="1">
        <f>1714*10000</f>
        <v>17140000</v>
      </c>
      <c r="AE1609" s="8">
        <f t="shared" si="797"/>
        <v>-1.3179962894248609</v>
      </c>
      <c r="AF1609" s="7">
        <f>-5390*10000</f>
        <v>-53900000</v>
      </c>
      <c r="AG1609" s="6" t="str">
        <f t="shared" si="781"/>
        <v>=-53900000</v>
      </c>
      <c r="AH1609" s="1">
        <f>-53900000</f>
        <v>-53900000</v>
      </c>
      <c r="AI1609" s="8">
        <f t="shared" si="798"/>
        <v>-1.1063955783655743</v>
      </c>
      <c r="AJ1609" s="6" t="s">
        <v>15299</v>
      </c>
      <c r="AK1609" s="6" t="str">
        <f t="shared" si="782"/>
        <v>=5.066*100000000</v>
      </c>
      <c r="AL1609" s="1">
        <f>5.066*100000000</f>
        <v>506600000</v>
      </c>
      <c r="AM1609" s="8">
        <f t="shared" si="799"/>
        <v>0.12803384546871535</v>
      </c>
      <c r="AN1609" s="6" t="s">
        <v>15300</v>
      </c>
      <c r="AO1609" s="6" t="str">
        <f t="shared" si="783"/>
        <v>=4.491*100000000</v>
      </c>
      <c r="AP1609" s="1">
        <f>4.491*100000000</f>
        <v>449099999.99999994</v>
      </c>
      <c r="AQ1609" s="8">
        <f t="shared" si="800"/>
        <v>0.54808686659772476</v>
      </c>
      <c r="AR1609" s="6" t="s">
        <v>372</v>
      </c>
      <c r="AS1609" s="6" t="str">
        <f t="shared" si="784"/>
        <v>=2.901*100000000</v>
      </c>
      <c r="AT1609" s="1">
        <f>2.901*100000000</f>
        <v>290100000</v>
      </c>
      <c r="AU1609" s="8">
        <f t="shared" si="801"/>
        <v>1.646897810218978</v>
      </c>
      <c r="AV1609" s="6" t="s">
        <v>15301</v>
      </c>
      <c r="AW1609" s="6" t="str">
        <f t="shared" si="785"/>
        <v>=1.096*100000000</v>
      </c>
      <c r="AX1609" s="1">
        <f>1.096*100000000</f>
        <v>109600000.00000001</v>
      </c>
      <c r="AY1609" s="10">
        <f t="shared" si="802"/>
        <v>-0.63246143527833665</v>
      </c>
      <c r="AZ1609" s="6" t="s">
        <v>15302</v>
      </c>
      <c r="BA1609" s="6" t="str">
        <f t="shared" si="786"/>
        <v>=2.982*100000000</v>
      </c>
      <c r="BB1609" s="1">
        <f>2.982*100000000</f>
        <v>298200000</v>
      </c>
      <c r="BC1609" s="8">
        <f t="shared" si="803"/>
        <v>-0.28489208633093527</v>
      </c>
      <c r="BD1609" s="6" t="s">
        <v>10298</v>
      </c>
      <c r="BE1609" s="6" t="str">
        <f t="shared" si="787"/>
        <v>=4.170*100000000</v>
      </c>
      <c r="BF1609" s="1">
        <f>4.17*100000000</f>
        <v>417000000</v>
      </c>
      <c r="BG1609" s="8">
        <f t="shared" si="804"/>
        <v>0.68825910931174072</v>
      </c>
      <c r="BH1609" s="6" t="s">
        <v>13699</v>
      </c>
      <c r="BI1609" s="6" t="str">
        <f t="shared" si="788"/>
        <v>=2.470*100000000</v>
      </c>
      <c r="BJ1609" s="1">
        <f>2.47*100000000</f>
        <v>247000000.00000003</v>
      </c>
      <c r="BK1609" s="7" t="s">
        <v>6427</v>
      </c>
      <c r="BL1609" s="1" t="str">
        <f t="shared" si="790"/>
        <v>=4362*10000</v>
      </c>
      <c r="BM1609" s="16">
        <f t="shared" si="805"/>
        <v>4.6625401192113713</v>
      </c>
      <c r="BN1609" s="1">
        <f>4362*10000</f>
        <v>43620000</v>
      </c>
    </row>
    <row r="1610" spans="1:66">
      <c r="A1610" s="17">
        <v>404</v>
      </c>
      <c r="B1610">
        <v>603078</v>
      </c>
      <c r="C1610" t="s">
        <v>31</v>
      </c>
      <c r="D1610" s="6" t="s">
        <v>6339</v>
      </c>
      <c r="E1610" s="7" t="str">
        <f t="shared" si="789"/>
        <v>=7.921*100000000</v>
      </c>
      <c r="F1610" s="1">
        <f>7.921*100000000</f>
        <v>792100000</v>
      </c>
      <c r="G1610" s="8">
        <f t="shared" si="791"/>
        <v>0.46821130676552364</v>
      </c>
      <c r="H1610" s="6" t="s">
        <v>9114</v>
      </c>
      <c r="I1610" s="6" t="str">
        <f t="shared" si="775"/>
        <v>=5.395*100000000</v>
      </c>
      <c r="J1610" s="1">
        <f>5.395*100000000</f>
        <v>539500000</v>
      </c>
      <c r="K1610" s="10">
        <f t="shared" si="792"/>
        <v>0.60948687350835318</v>
      </c>
      <c r="L1610" s="6" t="s">
        <v>1935</v>
      </c>
      <c r="M1610" s="6" t="str">
        <f t="shared" si="776"/>
        <v>=3.352*100000000</v>
      </c>
      <c r="N1610" s="1">
        <f>3.352*100000000</f>
        <v>335200000</v>
      </c>
      <c r="O1610" s="8">
        <f t="shared" si="793"/>
        <v>1.1432225063938619</v>
      </c>
      <c r="P1610" s="6" t="s">
        <v>1772</v>
      </c>
      <c r="Q1610" s="6" t="str">
        <f t="shared" si="777"/>
        <v>=1.564*100000000</v>
      </c>
      <c r="R1610" s="11">
        <f>1.564*100000000</f>
        <v>156400000</v>
      </c>
      <c r="S1610" s="8">
        <f t="shared" si="794"/>
        <v>-0.72259666548421431</v>
      </c>
      <c r="T1610" s="6" t="s">
        <v>15303</v>
      </c>
      <c r="U1610" s="6" t="str">
        <f t="shared" si="778"/>
        <v>=5.638*100000000</v>
      </c>
      <c r="V1610" s="1">
        <f>5.638*100000000</f>
        <v>563800000</v>
      </c>
      <c r="W1610" s="8">
        <f t="shared" si="795"/>
        <v>0.3808474161156013</v>
      </c>
      <c r="X1610" s="6" t="s">
        <v>15304</v>
      </c>
      <c r="Y1610" s="6" t="str">
        <f t="shared" si="779"/>
        <v>=4.083*100000000</v>
      </c>
      <c r="Z1610" s="1">
        <f>4.083*100000000</f>
        <v>408300000</v>
      </c>
      <c r="AA1610" s="8">
        <f t="shared" si="796"/>
        <v>0.59057265290222027</v>
      </c>
      <c r="AB1610" s="6" t="s">
        <v>15305</v>
      </c>
      <c r="AC1610" s="6" t="str">
        <f t="shared" si="780"/>
        <v>=2.567*100000000</v>
      </c>
      <c r="AD1610" s="1">
        <f>2.567*100000000</f>
        <v>256700000.00000003</v>
      </c>
      <c r="AE1610" s="8">
        <f t="shared" si="797"/>
        <v>1.1373855120732725</v>
      </c>
      <c r="AF1610" s="6" t="s">
        <v>3506</v>
      </c>
      <c r="AG1610" s="6" t="str">
        <f t="shared" si="781"/>
        <v>=1.201*100000000</v>
      </c>
      <c r="AH1610" s="1">
        <f>1.201*100000000</f>
        <v>120100000</v>
      </c>
      <c r="AI1610" s="8">
        <f t="shared" si="798"/>
        <v>-0.75509787928221861</v>
      </c>
      <c r="AJ1610" s="6" t="s">
        <v>11861</v>
      </c>
      <c r="AK1610" s="6" t="str">
        <f t="shared" si="782"/>
        <v>=4.904*100000000</v>
      </c>
      <c r="AL1610" s="1">
        <f>4.904*100000000</f>
        <v>490400000</v>
      </c>
      <c r="AM1610" s="8">
        <f t="shared" si="799"/>
        <v>0.34725274725274724</v>
      </c>
      <c r="AN1610" s="6" t="s">
        <v>2362</v>
      </c>
      <c r="AO1610" s="6" t="str">
        <f t="shared" si="783"/>
        <v>=3.640*100000000</v>
      </c>
      <c r="AP1610" s="1">
        <f>3.64*100000000</f>
        <v>364000000</v>
      </c>
      <c r="AQ1610" s="8">
        <f t="shared" si="800"/>
        <v>0.61061946902654884</v>
      </c>
      <c r="AR1610" s="6" t="s">
        <v>15306</v>
      </c>
      <c r="AS1610" s="6" t="str">
        <f t="shared" si="784"/>
        <v>=2.260*100000000</v>
      </c>
      <c r="AT1610" s="1">
        <f>2.26*100000000</f>
        <v>225999999.99999997</v>
      </c>
      <c r="AU1610" s="8">
        <f t="shared" si="801"/>
        <v>1.3101298170295408</v>
      </c>
      <c r="AV1610" s="7" t="s">
        <v>15307</v>
      </c>
      <c r="AW1610" s="6" t="str">
        <f t="shared" si="785"/>
        <v>=9783*10000</v>
      </c>
      <c r="AX1610" s="1">
        <f>9783*10000</f>
        <v>97830000</v>
      </c>
      <c r="AY1610" s="10">
        <f t="shared" si="802"/>
        <v>-0.74503518373729472</v>
      </c>
      <c r="AZ1610" s="6" t="s">
        <v>1679</v>
      </c>
      <c r="BA1610" s="6" t="str">
        <f t="shared" si="786"/>
        <v>=3.837*100000000</v>
      </c>
      <c r="BB1610" s="1">
        <f>3.837*100000000</f>
        <v>383700000</v>
      </c>
      <c r="BC1610" s="8">
        <f t="shared" si="803"/>
        <v>0.35248501938667609</v>
      </c>
      <c r="BD1610" s="6" t="s">
        <v>6221</v>
      </c>
      <c r="BE1610" s="6" t="str">
        <f t="shared" si="787"/>
        <v>=2.837*100000000</v>
      </c>
      <c r="BF1610" s="1">
        <f>2.837*100000000</f>
        <v>283700000</v>
      </c>
      <c r="BG1610" s="8">
        <f t="shared" si="804"/>
        <v>0.58757694459988807</v>
      </c>
      <c r="BH1610" s="6" t="s">
        <v>6036</v>
      </c>
      <c r="BI1610" s="6" t="str">
        <f t="shared" si="788"/>
        <v>=1.787*100000000</v>
      </c>
      <c r="BJ1610" s="1">
        <f>1.787*100000000</f>
        <v>178700000</v>
      </c>
      <c r="BK1610" s="7" t="s">
        <v>15308</v>
      </c>
      <c r="BL1610" s="1" t="str">
        <f t="shared" si="790"/>
        <v>=8334*10000</v>
      </c>
      <c r="BM1610" s="16">
        <f t="shared" si="805"/>
        <v>1.1442284617230623</v>
      </c>
      <c r="BN1610" s="1">
        <f>8334*10000</f>
        <v>83340000</v>
      </c>
    </row>
    <row r="1611" spans="1:66">
      <c r="A1611" s="18"/>
      <c r="B1611">
        <v>603078</v>
      </c>
      <c r="C1611" t="s">
        <v>48</v>
      </c>
      <c r="D1611" s="7" t="s">
        <v>100</v>
      </c>
      <c r="E1611" s="7" t="str">
        <f t="shared" si="789"/>
        <v>=6444*10000</v>
      </c>
      <c r="F1611" s="1">
        <f>6444*10000</f>
        <v>64440000</v>
      </c>
      <c r="G1611" s="8">
        <f t="shared" si="791"/>
        <v>1.1836665537106066</v>
      </c>
      <c r="H1611" s="7" t="s">
        <v>15309</v>
      </c>
      <c r="I1611" s="6" t="str">
        <f t="shared" si="775"/>
        <v>=2951*10000</v>
      </c>
      <c r="J1611" s="1">
        <f>2951*10000</f>
        <v>29510000</v>
      </c>
      <c r="K1611" s="10">
        <f t="shared" si="792"/>
        <v>0.98988536749831424</v>
      </c>
      <c r="L1611" s="7" t="s">
        <v>10976</v>
      </c>
      <c r="M1611" s="6" t="str">
        <f t="shared" si="776"/>
        <v>=1483*10000</v>
      </c>
      <c r="N1611" s="1">
        <f>1483*10000</f>
        <v>14830000</v>
      </c>
      <c r="O1611" s="8">
        <f t="shared" si="793"/>
        <v>0.48151848151848153</v>
      </c>
      <c r="P1611" s="7" t="s">
        <v>7963</v>
      </c>
      <c r="Q1611" s="6" t="str">
        <f t="shared" si="777"/>
        <v>=1001*10000</v>
      </c>
      <c r="R1611" s="11">
        <f>1001*10000</f>
        <v>10010000</v>
      </c>
      <c r="S1611" s="8">
        <f t="shared" si="794"/>
        <v>-0.85203252032520327</v>
      </c>
      <c r="T1611" s="7" t="s">
        <v>15310</v>
      </c>
      <c r="U1611" s="6" t="str">
        <f t="shared" si="778"/>
        <v>=6765*10000</v>
      </c>
      <c r="V1611" s="1">
        <f>6765*10000</f>
        <v>67650000</v>
      </c>
      <c r="W1611" s="8">
        <f t="shared" si="795"/>
        <v>0.3663906281559281</v>
      </c>
      <c r="X1611" s="7" t="s">
        <v>15311</v>
      </c>
      <c r="Y1611" s="6" t="str">
        <f t="shared" si="779"/>
        <v>=4951*10000</v>
      </c>
      <c r="Z1611" s="1">
        <f>4951*10000</f>
        <v>49510000</v>
      </c>
      <c r="AA1611" s="8">
        <f t="shared" si="796"/>
        <v>0.91158301158301158</v>
      </c>
      <c r="AB1611" s="7" t="s">
        <v>15312</v>
      </c>
      <c r="AC1611" s="6" t="str">
        <f t="shared" si="780"/>
        <v>=2590*10000</v>
      </c>
      <c r="AD1611" s="1">
        <f>2590*10000</f>
        <v>25900000</v>
      </c>
      <c r="AE1611" s="8">
        <f t="shared" si="797"/>
        <v>1.6374745417515275</v>
      </c>
      <c r="AF1611" s="7" t="s">
        <v>15313</v>
      </c>
      <c r="AG1611" s="6" t="str">
        <f t="shared" si="781"/>
        <v>=982.0*10000</v>
      </c>
      <c r="AH1611" s="1">
        <f>982*10000</f>
        <v>9820000</v>
      </c>
      <c r="AI1611" s="8">
        <f t="shared" si="798"/>
        <v>-0.72446689113355778</v>
      </c>
      <c r="AJ1611" s="7" t="s">
        <v>10357</v>
      </c>
      <c r="AK1611" s="6" t="str">
        <f t="shared" si="782"/>
        <v>=3564*10000</v>
      </c>
      <c r="AL1611" s="1">
        <f>3564*10000</f>
        <v>35640000</v>
      </c>
      <c r="AM1611" s="8">
        <f t="shared" si="799"/>
        <v>-1.1098779134295227E-2</v>
      </c>
      <c r="AN1611" s="7" t="s">
        <v>15314</v>
      </c>
      <c r="AO1611" s="6" t="str">
        <f t="shared" si="783"/>
        <v>=3604*10000</v>
      </c>
      <c r="AP1611" s="1">
        <f>3604*10000</f>
        <v>36040000</v>
      </c>
      <c r="AQ1611" s="8">
        <f t="shared" si="800"/>
        <v>1.1125439624853459</v>
      </c>
      <c r="AR1611" s="7" t="s">
        <v>15315</v>
      </c>
      <c r="AS1611" s="6" t="str">
        <f t="shared" si="784"/>
        <v>=1706*10000</v>
      </c>
      <c r="AT1611" s="1">
        <f>1706*10000</f>
        <v>17060000</v>
      </c>
      <c r="AU1611" s="8">
        <f t="shared" si="801"/>
        <v>2.4360523665659617</v>
      </c>
      <c r="AV1611" s="7" t="s">
        <v>15316</v>
      </c>
      <c r="AW1611" s="6" t="str">
        <f t="shared" si="785"/>
        <v>=496.5*10000</v>
      </c>
      <c r="AX1611" s="1">
        <f>496.5*10000</f>
        <v>4965000</v>
      </c>
      <c r="AY1611" s="10">
        <f t="shared" si="802"/>
        <v>-0.88817567567567568</v>
      </c>
      <c r="AZ1611" s="7" t="s">
        <v>15317</v>
      </c>
      <c r="BA1611" s="6" t="str">
        <f t="shared" si="786"/>
        <v>=4440*10000</v>
      </c>
      <c r="BB1611" s="1">
        <f>4440*10000</f>
        <v>44400000</v>
      </c>
      <c r="BC1611" s="8">
        <f t="shared" si="803"/>
        <v>0.32537313432835818</v>
      </c>
      <c r="BD1611" s="7" t="s">
        <v>15318</v>
      </c>
      <c r="BE1611" s="6" t="str">
        <f t="shared" si="787"/>
        <v>=3350*10000</v>
      </c>
      <c r="BF1611" s="1">
        <f>3350*10000</f>
        <v>33500000</v>
      </c>
      <c r="BG1611" s="8">
        <f t="shared" si="804"/>
        <v>0.51173285198555951</v>
      </c>
      <c r="BH1611" s="7" t="s">
        <v>15319</v>
      </c>
      <c r="BI1611" s="6" t="str">
        <f t="shared" si="788"/>
        <v>=2216*10000</v>
      </c>
      <c r="BJ1611" s="1">
        <f>2216*10000</f>
        <v>22160000</v>
      </c>
      <c r="BK1611" s="7" t="s">
        <v>15320</v>
      </c>
      <c r="BL1611" s="1" t="str">
        <f t="shared" si="790"/>
        <v>=945.3*10000</v>
      </c>
      <c r="BM1611" s="16">
        <f t="shared" si="805"/>
        <v>1.3442293451814238</v>
      </c>
      <c r="BN1611" s="1">
        <f>945.3*10000</f>
        <v>9453000</v>
      </c>
    </row>
    <row r="1612" spans="1:66">
      <c r="A1612" s="18"/>
      <c r="B1612">
        <v>603078</v>
      </c>
      <c r="C1612" t="s">
        <v>58</v>
      </c>
      <c r="D1612" s="7" t="s">
        <v>15321</v>
      </c>
      <c r="E1612" s="7" t="str">
        <f t="shared" si="789"/>
        <v>=6158*10000</v>
      </c>
      <c r="F1612" s="1">
        <f>6158*10000</f>
        <v>61580000</v>
      </c>
      <c r="G1612" s="8">
        <f t="shared" si="791"/>
        <v>1.1644991212653779</v>
      </c>
      <c r="H1612" s="7" t="s">
        <v>15322</v>
      </c>
      <c r="I1612" s="6" t="str">
        <f t="shared" si="775"/>
        <v>=2845*10000</v>
      </c>
      <c r="J1612" s="1">
        <f>2845*10000</f>
        <v>28450000</v>
      </c>
      <c r="K1612" s="10">
        <f t="shared" si="792"/>
        <v>0.93801089918256131</v>
      </c>
      <c r="L1612" s="7" t="s">
        <v>15323</v>
      </c>
      <c r="M1612" s="6" t="str">
        <f t="shared" si="776"/>
        <v>=1468*10000</v>
      </c>
      <c r="N1612" s="1">
        <f>1468*10000</f>
        <v>14680000</v>
      </c>
      <c r="O1612" s="8">
        <f t="shared" si="793"/>
        <v>0.4834276475343573</v>
      </c>
      <c r="P1612" s="7" t="s">
        <v>15324</v>
      </c>
      <c r="Q1612" s="6" t="str">
        <f t="shared" si="777"/>
        <v>=989.6*10000</v>
      </c>
      <c r="R1612" s="11">
        <f>989.6*10000</f>
        <v>9896000</v>
      </c>
      <c r="S1612" s="8">
        <f t="shared" si="794"/>
        <v>-0.85276000595149526</v>
      </c>
      <c r="T1612" s="7" t="s">
        <v>10502</v>
      </c>
      <c r="U1612" s="6" t="str">
        <f t="shared" si="778"/>
        <v>=6721*10000</v>
      </c>
      <c r="V1612" s="1">
        <f>6721*10000</f>
        <v>67210000</v>
      </c>
      <c r="W1612" s="8">
        <f t="shared" si="795"/>
        <v>0.35504032258064516</v>
      </c>
      <c r="X1612" s="7" t="s">
        <v>15325</v>
      </c>
      <c r="Y1612" s="6" t="str">
        <f t="shared" si="779"/>
        <v>=4960*10000</v>
      </c>
      <c r="Z1612" s="1">
        <f>4960*10000</f>
        <v>49600000</v>
      </c>
      <c r="AA1612" s="8">
        <f t="shared" si="796"/>
        <v>0.93071233943168552</v>
      </c>
      <c r="AB1612" s="7" t="s">
        <v>15326</v>
      </c>
      <c r="AC1612" s="6" t="str">
        <f t="shared" si="780"/>
        <v>=2569*10000</v>
      </c>
      <c r="AD1612" s="1">
        <f>2569*10000</f>
        <v>25690000</v>
      </c>
      <c r="AE1612" s="8">
        <f t="shared" si="797"/>
        <v>1.6768781911013859</v>
      </c>
      <c r="AF1612" s="7" t="s">
        <v>15327</v>
      </c>
      <c r="AG1612" s="6" t="str">
        <f t="shared" si="781"/>
        <v>=959.7*10000</v>
      </c>
      <c r="AH1612" s="1">
        <f>959.7*10000</f>
        <v>9597000</v>
      </c>
      <c r="AI1612" s="8">
        <f t="shared" si="798"/>
        <v>-0.73011811023622042</v>
      </c>
      <c r="AJ1612" s="7" t="s">
        <v>11001</v>
      </c>
      <c r="AK1612" s="6" t="str">
        <f t="shared" si="782"/>
        <v>=3556*10000</v>
      </c>
      <c r="AL1612" s="1">
        <f>3556*10000</f>
        <v>35560000</v>
      </c>
      <c r="AM1612" s="8">
        <f t="shared" si="799"/>
        <v>-1.2496528742016106E-2</v>
      </c>
      <c r="AN1612" s="7" t="s">
        <v>3817</v>
      </c>
      <c r="AO1612" s="6" t="str">
        <f t="shared" si="783"/>
        <v>=3601*10000</v>
      </c>
      <c r="AP1612" s="1">
        <f>3601*10000</f>
        <v>36010000</v>
      </c>
      <c r="AQ1612" s="8">
        <f t="shared" si="800"/>
        <v>1.113262910798122</v>
      </c>
      <c r="AR1612" s="7" t="s">
        <v>15328</v>
      </c>
      <c r="AS1612" s="6" t="str">
        <f t="shared" si="784"/>
        <v>=1704*10000</v>
      </c>
      <c r="AT1612" s="1">
        <f>1704*10000</f>
        <v>17040000</v>
      </c>
      <c r="AU1612" s="8">
        <f t="shared" si="801"/>
        <v>2.4466019417475726</v>
      </c>
      <c r="AV1612" s="7" t="s">
        <v>15329</v>
      </c>
      <c r="AW1612" s="6" t="str">
        <f t="shared" si="785"/>
        <v>=494.4*10000</v>
      </c>
      <c r="AX1612" s="1">
        <f>494.4*10000</f>
        <v>4944000</v>
      </c>
      <c r="AY1612" s="10">
        <f t="shared" si="802"/>
        <v>-0.8885231116121759</v>
      </c>
      <c r="AZ1612" s="7" t="s">
        <v>6626</v>
      </c>
      <c r="BA1612" s="6" t="str">
        <f t="shared" si="786"/>
        <v>=4435*10000</v>
      </c>
      <c r="BB1612" s="1">
        <f>4435*10000</f>
        <v>44350000</v>
      </c>
      <c r="BC1612" s="8">
        <f t="shared" si="803"/>
        <v>0.32665270714926714</v>
      </c>
      <c r="BD1612" s="7" t="s">
        <v>15330</v>
      </c>
      <c r="BE1612" s="6" t="str">
        <f t="shared" si="787"/>
        <v>=3343*10000</v>
      </c>
      <c r="BF1612" s="1">
        <f>3343*10000</f>
        <v>33430000</v>
      </c>
      <c r="BG1612" s="8">
        <f t="shared" si="804"/>
        <v>0.51061906913691824</v>
      </c>
      <c r="BH1612" s="7" t="s">
        <v>12096</v>
      </c>
      <c r="BI1612" s="6" t="str">
        <f t="shared" si="788"/>
        <v>=2213*10000</v>
      </c>
      <c r="BJ1612" s="1">
        <f>2213*10000</f>
        <v>22130000</v>
      </c>
      <c r="BK1612" s="7" t="s">
        <v>15331</v>
      </c>
      <c r="BL1612" s="1" t="str">
        <f t="shared" si="790"/>
        <v>=992.8*10000</v>
      </c>
      <c r="BM1612" s="16">
        <f t="shared" si="805"/>
        <v>1.2290491539081385</v>
      </c>
      <c r="BN1612" s="1">
        <f>992.8*10000</f>
        <v>9928000</v>
      </c>
    </row>
    <row r="1613" spans="1:66">
      <c r="A1613" s="19"/>
      <c r="B1613">
        <v>603078</v>
      </c>
      <c r="C1613" t="s">
        <v>68</v>
      </c>
      <c r="D1613" s="7" t="s">
        <v>15332</v>
      </c>
      <c r="E1613" s="7" t="str">
        <f t="shared" si="789"/>
        <v>=5596*10000</v>
      </c>
      <c r="F1613" s="1">
        <f>5596*10000</f>
        <v>55960000</v>
      </c>
      <c r="G1613" s="8">
        <f t="shared" si="791"/>
        <v>1.0415906603429406</v>
      </c>
      <c r="H1613" s="7" t="s">
        <v>15333</v>
      </c>
      <c r="I1613" s="6" t="str">
        <f t="shared" si="775"/>
        <v>=2741*10000</v>
      </c>
      <c r="J1613" s="1">
        <f>2741*10000</f>
        <v>27410000</v>
      </c>
      <c r="K1613" s="10">
        <f t="shared" si="792"/>
        <v>0.8261159227181879</v>
      </c>
      <c r="L1613" s="7" t="s">
        <v>15334</v>
      </c>
      <c r="M1613" s="6" t="str">
        <f t="shared" si="776"/>
        <v>=1501*10000</v>
      </c>
      <c r="N1613" s="1">
        <f>1501*10000</f>
        <v>15010000</v>
      </c>
      <c r="O1613" s="8">
        <f t="shared" si="793"/>
        <v>0.63329706202393909</v>
      </c>
      <c r="P1613" s="7" t="s">
        <v>15335</v>
      </c>
      <c r="Q1613" s="6" t="str">
        <f t="shared" si="777"/>
        <v>=919.0*10000</v>
      </c>
      <c r="R1613" s="11">
        <f>919*10000</f>
        <v>9190000</v>
      </c>
      <c r="S1613" s="8">
        <f t="shared" si="794"/>
        <v>-0.83997910499738815</v>
      </c>
      <c r="T1613" s="7" t="s">
        <v>15336</v>
      </c>
      <c r="U1613" s="6" t="str">
        <f t="shared" si="778"/>
        <v>=5743*10000</v>
      </c>
      <c r="V1613" s="1">
        <f>5743*10000</f>
        <v>57430000</v>
      </c>
      <c r="W1613" s="8">
        <f t="shared" si="795"/>
        <v>0.35640056683986776</v>
      </c>
      <c r="X1613" s="7" t="s">
        <v>11188</v>
      </c>
      <c r="Y1613" s="6" t="str">
        <f t="shared" si="779"/>
        <v>=4234*10000</v>
      </c>
      <c r="Z1613" s="1">
        <f>4234*10000</f>
        <v>42340000</v>
      </c>
      <c r="AA1613" s="8">
        <f t="shared" si="796"/>
        <v>0.93068855449156407</v>
      </c>
      <c r="AB1613" s="7" t="s">
        <v>15337</v>
      </c>
      <c r="AC1613" s="6" t="str">
        <f t="shared" si="780"/>
        <v>=2193*10000</v>
      </c>
      <c r="AD1613" s="1">
        <f>2193*10000</f>
        <v>21930000</v>
      </c>
      <c r="AE1613" s="8">
        <f t="shared" si="797"/>
        <v>1.5212692573005289</v>
      </c>
      <c r="AF1613" s="7" t="s">
        <v>12371</v>
      </c>
      <c r="AG1613" s="6" t="str">
        <f t="shared" si="781"/>
        <v>=869.8*10000</v>
      </c>
      <c r="AH1613" s="1">
        <f>869.8*10000</f>
        <v>8698000</v>
      </c>
      <c r="AI1613" s="8">
        <f t="shared" si="798"/>
        <v>-0.73586395384148195</v>
      </c>
      <c r="AJ1613" s="7" t="s">
        <v>11763</v>
      </c>
      <c r="AK1613" s="6" t="str">
        <f t="shared" si="782"/>
        <v>=3293*10000</v>
      </c>
      <c r="AL1613" s="1">
        <f>3293*10000</f>
        <v>32930000</v>
      </c>
      <c r="AM1613" s="8">
        <f t="shared" si="799"/>
        <v>3.3260119234389707E-2</v>
      </c>
      <c r="AN1613" s="7" t="s">
        <v>15338</v>
      </c>
      <c r="AO1613" s="6" t="str">
        <f t="shared" si="783"/>
        <v>=3187*10000</v>
      </c>
      <c r="AP1613" s="1">
        <f>3187*10000</f>
        <v>31870000</v>
      </c>
      <c r="AQ1613" s="8">
        <f t="shared" si="800"/>
        <v>1.1078042328042328</v>
      </c>
      <c r="AR1613" s="7" t="s">
        <v>15339</v>
      </c>
      <c r="AS1613" s="6" t="str">
        <f t="shared" si="784"/>
        <v>=1512*10000</v>
      </c>
      <c r="AT1613" s="1">
        <f>1512*10000</f>
        <v>15120000</v>
      </c>
      <c r="AU1613" s="8">
        <f t="shared" si="801"/>
        <v>2.3201581027667983</v>
      </c>
      <c r="AV1613" s="7" t="s">
        <v>15340</v>
      </c>
      <c r="AW1613" s="6" t="str">
        <f t="shared" si="785"/>
        <v>=455.4*10000</v>
      </c>
      <c r="AX1613" s="1">
        <f>455.4*10000</f>
        <v>4554000</v>
      </c>
      <c r="AY1613" s="10">
        <f t="shared" si="802"/>
        <v>-0.88514501891551067</v>
      </c>
      <c r="AZ1613" s="7" t="s">
        <v>15341</v>
      </c>
      <c r="BA1613" s="6" t="str">
        <f t="shared" si="786"/>
        <v>=3965*10000</v>
      </c>
      <c r="BB1613" s="1">
        <f>3965*10000</f>
        <v>39650000</v>
      </c>
      <c r="BC1613" s="8">
        <f t="shared" si="803"/>
        <v>0.34406779661016951</v>
      </c>
      <c r="BD1613" s="7" t="s">
        <v>11013</v>
      </c>
      <c r="BE1613" s="6" t="str">
        <f t="shared" si="787"/>
        <v>=2950*10000</v>
      </c>
      <c r="BF1613" s="1">
        <f>2950*10000</f>
        <v>29500000</v>
      </c>
      <c r="BG1613" s="8">
        <f t="shared" si="804"/>
        <v>0.53485952133194592</v>
      </c>
      <c r="BH1613" s="7" t="s">
        <v>15342</v>
      </c>
      <c r="BI1613" s="6" t="str">
        <f t="shared" si="788"/>
        <v>=1922*10000</v>
      </c>
      <c r="BJ1613" s="1">
        <f>1922*10000</f>
        <v>19220000</v>
      </c>
      <c r="BK1613" s="7" t="s">
        <v>15343</v>
      </c>
      <c r="BL1613" s="1" t="str">
        <f t="shared" si="790"/>
        <v>=860.8*10000</v>
      </c>
      <c r="BM1613" s="16">
        <f t="shared" si="805"/>
        <v>1.2328066914498141</v>
      </c>
      <c r="BN1613" s="1">
        <f>860.8*10000</f>
        <v>8608000</v>
      </c>
    </row>
    <row r="1614" spans="1:66">
      <c r="A1614" s="17">
        <v>405</v>
      </c>
      <c r="B1614">
        <v>603090</v>
      </c>
      <c r="C1614" t="s">
        <v>31</v>
      </c>
      <c r="D1614" s="6" t="s">
        <v>8784</v>
      </c>
      <c r="E1614" s="7" t="str">
        <f t="shared" si="789"/>
        <v>=5.593*100000000</v>
      </c>
      <c r="F1614" s="1">
        <f>5.593*100000000</f>
        <v>559300000</v>
      </c>
      <c r="G1614" s="8">
        <f t="shared" si="791"/>
        <v>0.42533129459734964</v>
      </c>
      <c r="H1614" s="6" t="s">
        <v>15344</v>
      </c>
      <c r="I1614" s="6" t="str">
        <f t="shared" si="775"/>
        <v>=3.924*100000000</v>
      </c>
      <c r="J1614" s="1">
        <f>3.924*100000000</f>
        <v>392400000</v>
      </c>
      <c r="K1614" s="10">
        <f t="shared" si="792"/>
        <v>0.54427390791027153</v>
      </c>
      <c r="L1614" s="6" t="s">
        <v>2531</v>
      </c>
      <c r="M1614" s="6" t="str">
        <f t="shared" si="776"/>
        <v>=2.541*100000000</v>
      </c>
      <c r="N1614" s="1">
        <f>2.541*100000000</f>
        <v>254100000</v>
      </c>
      <c r="O1614" s="8">
        <f t="shared" si="793"/>
        <v>1.5183349851337962</v>
      </c>
      <c r="P1614" s="6" t="s">
        <v>2664</v>
      </c>
      <c r="Q1614" s="6" t="str">
        <f t="shared" si="777"/>
        <v>=1.009*100000000</v>
      </c>
      <c r="R1614" s="11">
        <f>1.009*100000000</f>
        <v>100899999.99999999</v>
      </c>
      <c r="S1614" s="8">
        <f t="shared" si="794"/>
        <v>-0.68963395878191325</v>
      </c>
      <c r="T1614" s="6" t="s">
        <v>11765</v>
      </c>
      <c r="U1614" s="6" t="str">
        <f t="shared" si="778"/>
        <v>=3.251*100000000</v>
      </c>
      <c r="V1614" s="1">
        <f>3.251*100000000</f>
        <v>325100000</v>
      </c>
      <c r="W1614" s="8">
        <f t="shared" si="795"/>
        <v>0.29110405083399538</v>
      </c>
      <c r="X1614" s="6" t="s">
        <v>4967</v>
      </c>
      <c r="Y1614" s="6" t="str">
        <f t="shared" si="779"/>
        <v>=2.518*100000000</v>
      </c>
      <c r="Z1614" s="1">
        <f>2.518*100000000</f>
        <v>251799999.99999997</v>
      </c>
      <c r="AA1614" s="8">
        <f t="shared" si="796"/>
        <v>0.54858548585485833</v>
      </c>
      <c r="AB1614" s="6" t="s">
        <v>5818</v>
      </c>
      <c r="AC1614" s="6" t="str">
        <f t="shared" si="780"/>
        <v>=1.626*100000000</v>
      </c>
      <c r="AD1614" s="1">
        <f>1.626*100000000</f>
        <v>162600000</v>
      </c>
      <c r="AE1614" s="8">
        <f t="shared" si="797"/>
        <v>1.3446286950252344</v>
      </c>
      <c r="AF1614" s="7" t="s">
        <v>15345</v>
      </c>
      <c r="AG1614" s="6" t="str">
        <f t="shared" si="781"/>
        <v>=6935*10000</v>
      </c>
      <c r="AH1614" s="1">
        <f>6935*10000</f>
        <v>69350000</v>
      </c>
      <c r="AI1614" s="8">
        <f t="shared" si="798"/>
        <v>-0.85870008149959254</v>
      </c>
      <c r="AJ1614" s="6" t="s">
        <v>11867</v>
      </c>
      <c r="AK1614" s="6" t="str">
        <f t="shared" si="782"/>
        <v>=4.908*100000000</v>
      </c>
      <c r="AL1614" s="1">
        <f>4.908*100000000</f>
        <v>490800000.00000006</v>
      </c>
      <c r="AM1614" s="8">
        <f t="shared" si="799"/>
        <v>0.28515318146111562</v>
      </c>
      <c r="AN1614" s="6" t="s">
        <v>5143</v>
      </c>
      <c r="AO1614" s="6" t="str">
        <f t="shared" si="783"/>
        <v>=3.819*100000000</v>
      </c>
      <c r="AP1614" s="1">
        <f>3.819*100000000</f>
        <v>381900000</v>
      </c>
      <c r="AQ1614" s="8">
        <f t="shared" si="800"/>
        <v>0.9066400399400899</v>
      </c>
      <c r="AR1614" s="6" t="s">
        <v>4805</v>
      </c>
      <c r="AS1614" s="6" t="str">
        <f t="shared" si="784"/>
        <v>=2.003*100000000</v>
      </c>
      <c r="AT1614" s="1">
        <f>2.003*100000000</f>
        <v>200300000</v>
      </c>
      <c r="AU1614" s="8">
        <f t="shared" si="801"/>
        <v>1.4048505222715812</v>
      </c>
      <c r="AV1614" s="7" t="s">
        <v>15346</v>
      </c>
      <c r="AW1614" s="6" t="str">
        <f t="shared" si="785"/>
        <v>=8329*10000</v>
      </c>
      <c r="AX1614" s="1">
        <f>8329*10000</f>
        <v>83290000</v>
      </c>
      <c r="AY1614" s="10">
        <f t="shared" si="802"/>
        <v>-0.79934955432425925</v>
      </c>
      <c r="AZ1614" s="6" t="s">
        <v>2316</v>
      </c>
      <c r="BA1614" s="6" t="str">
        <f t="shared" si="786"/>
        <v>=4.151*100000000</v>
      </c>
      <c r="BB1614" s="1">
        <f>4.151*100000000</f>
        <v>415100000</v>
      </c>
      <c r="BC1614" s="8">
        <f t="shared" si="803"/>
        <v>0.33258426966292137</v>
      </c>
      <c r="BD1614" s="6" t="s">
        <v>8853</v>
      </c>
      <c r="BE1614" s="6" t="str">
        <f t="shared" si="787"/>
        <v>=3.115*100000000</v>
      </c>
      <c r="BF1614" s="1">
        <f>3.115*100000000</f>
        <v>311500000</v>
      </c>
      <c r="BG1614" s="8">
        <f t="shared" si="804"/>
        <v>0.49043062200956938</v>
      </c>
      <c r="BH1614" s="6" t="s">
        <v>7643</v>
      </c>
      <c r="BI1614" s="6" t="str">
        <f t="shared" si="788"/>
        <v>=2.090*100000000</v>
      </c>
      <c r="BJ1614" s="1">
        <f>2.09*100000000</f>
        <v>209000000</v>
      </c>
      <c r="BK1614" s="7" t="s">
        <v>15347</v>
      </c>
      <c r="BL1614" s="1" t="str">
        <f t="shared" si="790"/>
        <v>=9989*10000</v>
      </c>
      <c r="BM1614" s="16">
        <f t="shared" si="805"/>
        <v>1.0923015316848534</v>
      </c>
      <c r="BN1614" s="1">
        <f>9989*10000</f>
        <v>99890000</v>
      </c>
    </row>
    <row r="1615" spans="1:66">
      <c r="A1615" s="18"/>
      <c r="B1615">
        <v>603090</v>
      </c>
      <c r="C1615" t="s">
        <v>48</v>
      </c>
      <c r="D1615" s="7" t="s">
        <v>15348</v>
      </c>
      <c r="E1615" s="7" t="str">
        <f t="shared" si="789"/>
        <v>=1232*10000</v>
      </c>
      <c r="F1615" s="1">
        <f>1232*10000</f>
        <v>12320000</v>
      </c>
      <c r="G1615" s="8">
        <f t="shared" si="791"/>
        <v>-0.29559748427672955</v>
      </c>
      <c r="H1615" s="7" t="s">
        <v>14923</v>
      </c>
      <c r="I1615" s="6" t="str">
        <f t="shared" si="775"/>
        <v>=1749*10000</v>
      </c>
      <c r="J1615" s="1">
        <f>1749*10000</f>
        <v>17490000</v>
      </c>
      <c r="K1615" s="10">
        <f t="shared" si="792"/>
        <v>1.3165562913907285</v>
      </c>
      <c r="L1615" s="7" t="s">
        <v>15349</v>
      </c>
      <c r="M1615" s="6" t="str">
        <f t="shared" si="776"/>
        <v>=755.0*10000</v>
      </c>
      <c r="N1615" s="1">
        <f>755*10000</f>
        <v>7550000</v>
      </c>
      <c r="O1615" s="8">
        <f t="shared" si="793"/>
        <v>1.5654094461433912</v>
      </c>
      <c r="P1615" s="7" t="s">
        <v>15350</v>
      </c>
      <c r="Q1615" s="6" t="str">
        <f t="shared" si="777"/>
        <v>=294.3*10000</v>
      </c>
      <c r="R1615" s="11">
        <f>294.3*10000</f>
        <v>2943000</v>
      </c>
      <c r="S1615" s="8">
        <f t="shared" si="794"/>
        <v>-0.69765769467844663</v>
      </c>
      <c r="T1615" s="7" t="s">
        <v>5872</v>
      </c>
      <c r="U1615" s="6" t="str">
        <f t="shared" si="778"/>
        <v>=973.4*10000</v>
      </c>
      <c r="V1615" s="1">
        <f>973.4*10000</f>
        <v>9734000</v>
      </c>
      <c r="W1615" s="8">
        <f t="shared" si="795"/>
        <v>-0.51644311972180823</v>
      </c>
      <c r="X1615" s="7" t="s">
        <v>2711</v>
      </c>
      <c r="Y1615" s="6" t="str">
        <f t="shared" si="779"/>
        <v>=2013*10000</v>
      </c>
      <c r="Z1615" s="1">
        <f>2013*10000</f>
        <v>20130000</v>
      </c>
      <c r="AA1615" s="8">
        <f t="shared" si="796"/>
        <v>0.28544061302681994</v>
      </c>
      <c r="AB1615" s="7" t="s">
        <v>15351</v>
      </c>
      <c r="AC1615" s="6" t="str">
        <f t="shared" si="780"/>
        <v>=1566*10000</v>
      </c>
      <c r="AD1615" s="1">
        <f>1566*10000</f>
        <v>15660000</v>
      </c>
      <c r="AE1615" s="8">
        <f t="shared" si="797"/>
        <v>3.6372519988155165</v>
      </c>
      <c r="AF1615" s="7" t="s">
        <v>15352</v>
      </c>
      <c r="AG1615" s="6" t="str">
        <f t="shared" si="781"/>
        <v>=337.7*10000</v>
      </c>
      <c r="AH1615" s="1">
        <f>337.7*10000</f>
        <v>3377000</v>
      </c>
      <c r="AI1615" s="8">
        <f t="shared" si="798"/>
        <v>-0.90725075528700905</v>
      </c>
      <c r="AJ1615" s="7" t="s">
        <v>15353</v>
      </c>
      <c r="AK1615" s="6" t="str">
        <f t="shared" si="782"/>
        <v>=3641*10000</v>
      </c>
      <c r="AL1615" s="1">
        <f>3641*10000</f>
        <v>36410000</v>
      </c>
      <c r="AM1615" s="8">
        <f t="shared" si="799"/>
        <v>0.23843537414965987</v>
      </c>
      <c r="AN1615" s="7" t="s">
        <v>7619</v>
      </c>
      <c r="AO1615" s="6" t="str">
        <f t="shared" si="783"/>
        <v>=2940*10000</v>
      </c>
      <c r="AP1615" s="1">
        <f>2940*10000</f>
        <v>29400000</v>
      </c>
      <c r="AQ1615" s="8">
        <f t="shared" si="800"/>
        <v>0.5304528891202499</v>
      </c>
      <c r="AR1615" s="7" t="s">
        <v>15354</v>
      </c>
      <c r="AS1615" s="6" t="str">
        <f t="shared" si="784"/>
        <v>=1921*10000</v>
      </c>
      <c r="AT1615" s="1">
        <f>1921*10000</f>
        <v>19210000</v>
      </c>
      <c r="AU1615" s="8">
        <f t="shared" si="801"/>
        <v>2.9036781142044301</v>
      </c>
      <c r="AV1615" s="7" t="s">
        <v>15355</v>
      </c>
      <c r="AW1615" s="6" t="str">
        <f t="shared" si="785"/>
        <v>=492.1*10000</v>
      </c>
      <c r="AX1615" s="1">
        <f>492.1*10000</f>
        <v>4921000</v>
      </c>
      <c r="AY1615" s="10">
        <f t="shared" si="802"/>
        <v>-0.8744002041858091</v>
      </c>
      <c r="AZ1615" s="7" t="s">
        <v>6923</v>
      </c>
      <c r="BA1615" s="6" t="str">
        <f t="shared" si="786"/>
        <v>=3918*10000</v>
      </c>
      <c r="BB1615" s="1">
        <f>3918*10000</f>
        <v>39180000</v>
      </c>
      <c r="BC1615" s="8">
        <f t="shared" si="803"/>
        <v>0.30252659574468083</v>
      </c>
      <c r="BD1615" s="7" t="s">
        <v>10067</v>
      </c>
      <c r="BE1615" s="6" t="str">
        <f t="shared" si="787"/>
        <v>=3008*10000</v>
      </c>
      <c r="BF1615" s="1">
        <f>3008*10000</f>
        <v>30080000</v>
      </c>
      <c r="BG1615" s="8">
        <f t="shared" si="804"/>
        <v>0.68893879842784955</v>
      </c>
      <c r="BH1615" s="7" t="s">
        <v>15356</v>
      </c>
      <c r="BI1615" s="6" t="str">
        <f t="shared" si="788"/>
        <v>=1781*10000</v>
      </c>
      <c r="BJ1615" s="1">
        <f>1781*10000</f>
        <v>17810000</v>
      </c>
      <c r="BK1615" s="7" t="s">
        <v>15357</v>
      </c>
      <c r="BL1615" s="1" t="str">
        <f t="shared" si="790"/>
        <v>=498.5*10000</v>
      </c>
      <c r="BM1615" s="16">
        <f t="shared" si="805"/>
        <v>2.5727181544633901</v>
      </c>
      <c r="BN1615" s="1">
        <f>498.5*10000</f>
        <v>4985000</v>
      </c>
    </row>
    <row r="1616" spans="1:66">
      <c r="A1616" s="18"/>
      <c r="B1616">
        <v>603090</v>
      </c>
      <c r="C1616" t="s">
        <v>58</v>
      </c>
      <c r="D1616" s="7" t="s">
        <v>15358</v>
      </c>
      <c r="E1616" s="7" t="str">
        <f t="shared" si="789"/>
        <v>=1282*10000</v>
      </c>
      <c r="F1616" s="1">
        <f>1282*10000</f>
        <v>12820000</v>
      </c>
      <c r="G1616" s="8">
        <f t="shared" si="791"/>
        <v>-0.26951566951566952</v>
      </c>
      <c r="H1616" s="7" t="s">
        <v>2244</v>
      </c>
      <c r="I1616" s="6" t="str">
        <f t="shared" si="775"/>
        <v>=1755*10000</v>
      </c>
      <c r="J1616" s="1">
        <f>1755*10000</f>
        <v>17550000</v>
      </c>
      <c r="K1616" s="10">
        <f t="shared" si="792"/>
        <v>1.3067823343848581</v>
      </c>
      <c r="L1616" s="7" t="s">
        <v>15359</v>
      </c>
      <c r="M1616" s="6" t="str">
        <f t="shared" si="776"/>
        <v>=760.8*10000</v>
      </c>
      <c r="N1616" s="1">
        <f>760.8*10000</f>
        <v>7608000</v>
      </c>
      <c r="O1616" s="8">
        <f t="shared" si="793"/>
        <v>1.5351549483505498</v>
      </c>
      <c r="P1616" s="7" t="s">
        <v>15360</v>
      </c>
      <c r="Q1616" s="6" t="str">
        <f t="shared" si="777"/>
        <v>=300.1*10000</v>
      </c>
      <c r="R1616" s="11">
        <f>300.1*10000</f>
        <v>3001000</v>
      </c>
      <c r="S1616" s="8">
        <f t="shared" si="794"/>
        <v>-0.69045899948427025</v>
      </c>
      <c r="T1616" s="7" t="s">
        <v>15361</v>
      </c>
      <c r="U1616" s="6" t="str">
        <f t="shared" si="778"/>
        <v>=969.5*10000</v>
      </c>
      <c r="V1616" s="1">
        <f>969.5*10000</f>
        <v>9695000</v>
      </c>
      <c r="W1616" s="8">
        <f t="shared" si="795"/>
        <v>-0.51790154152163104</v>
      </c>
      <c r="X1616" s="7" t="s">
        <v>3303</v>
      </c>
      <c r="Y1616" s="6" t="str">
        <f t="shared" si="779"/>
        <v>=2011*10000</v>
      </c>
      <c r="Z1616" s="1">
        <f>2011*10000</f>
        <v>20110000</v>
      </c>
      <c r="AA1616" s="8">
        <f t="shared" si="796"/>
        <v>0.29324758842443732</v>
      </c>
      <c r="AB1616" s="7" t="s">
        <v>3768</v>
      </c>
      <c r="AC1616" s="6" t="str">
        <f t="shared" si="780"/>
        <v>=1555*10000</v>
      </c>
      <c r="AD1616" s="1">
        <f>1555*10000</f>
        <v>15550000</v>
      </c>
      <c r="AE1616" s="8">
        <f t="shared" si="797"/>
        <v>3.7495418448381184</v>
      </c>
      <c r="AF1616" s="7" t="s">
        <v>15362</v>
      </c>
      <c r="AG1616" s="6" t="str">
        <f t="shared" si="781"/>
        <v>=327.4*10000</v>
      </c>
      <c r="AH1616" s="1">
        <f>327.4*10000</f>
        <v>3274000</v>
      </c>
      <c r="AI1616" s="8">
        <f t="shared" si="798"/>
        <v>-0.90980716253443528</v>
      </c>
      <c r="AJ1616" s="7" t="s">
        <v>8798</v>
      </c>
      <c r="AK1616" s="6" t="str">
        <f t="shared" si="782"/>
        <v>=3630*10000</v>
      </c>
      <c r="AL1616" s="1">
        <f>3630*10000</f>
        <v>36300000</v>
      </c>
      <c r="AM1616" s="8">
        <f t="shared" si="799"/>
        <v>0.2393308296346876</v>
      </c>
      <c r="AN1616" s="7" t="s">
        <v>15363</v>
      </c>
      <c r="AO1616" s="6" t="str">
        <f t="shared" si="783"/>
        <v>=2929*10000</v>
      </c>
      <c r="AP1616" s="1">
        <f>2929*10000</f>
        <v>29290000</v>
      </c>
      <c r="AQ1616" s="8">
        <f t="shared" si="800"/>
        <v>0.53350785340314133</v>
      </c>
      <c r="AR1616" s="7" t="s">
        <v>15364</v>
      </c>
      <c r="AS1616" s="6" t="str">
        <f t="shared" si="784"/>
        <v>=1910*10000</v>
      </c>
      <c r="AT1616" s="1">
        <f>1910*10000</f>
        <v>19100000</v>
      </c>
      <c r="AU1616" s="8">
        <f t="shared" si="801"/>
        <v>2.9610120282040646</v>
      </c>
      <c r="AV1616" s="7" t="s">
        <v>15365</v>
      </c>
      <c r="AW1616" s="6" t="str">
        <f t="shared" si="785"/>
        <v>=482.2*10000</v>
      </c>
      <c r="AX1616" s="1">
        <f>482.2*10000</f>
        <v>4822000</v>
      </c>
      <c r="AY1616" s="10">
        <f t="shared" si="802"/>
        <v>-0.87639066905921559</v>
      </c>
      <c r="AZ1616" s="7" t="s">
        <v>7318</v>
      </c>
      <c r="BA1616" s="6" t="str">
        <f t="shared" si="786"/>
        <v>=3901*10000</v>
      </c>
      <c r="BB1616" s="1">
        <f>3901*10000</f>
        <v>39010000</v>
      </c>
      <c r="BC1616" s="8">
        <f t="shared" si="803"/>
        <v>0.30076692230743579</v>
      </c>
      <c r="BD1616" s="7" t="s">
        <v>15366</v>
      </c>
      <c r="BE1616" s="6" t="str">
        <f t="shared" si="787"/>
        <v>=2999*10000</v>
      </c>
      <c r="BF1616" s="1">
        <f>2999*10000</f>
        <v>29990000</v>
      </c>
      <c r="BG1616" s="8">
        <f t="shared" si="804"/>
        <v>0.69148336153412293</v>
      </c>
      <c r="BH1616" s="7" t="s">
        <v>15367</v>
      </c>
      <c r="BI1616" s="6" t="str">
        <f t="shared" si="788"/>
        <v>=1773*10000</v>
      </c>
      <c r="BJ1616" s="1">
        <f>1773*10000</f>
        <v>17730000</v>
      </c>
      <c r="BK1616" s="7" t="s">
        <v>15368</v>
      </c>
      <c r="BL1616" s="1" t="str">
        <f t="shared" si="790"/>
        <v>=491.3*10000</v>
      </c>
      <c r="BM1616" s="16">
        <f t="shared" si="805"/>
        <v>2.6087929981681253</v>
      </c>
      <c r="BN1616" s="1">
        <f>491.3*10000</f>
        <v>4913000</v>
      </c>
    </row>
    <row r="1617" spans="1:66">
      <c r="A1617" s="19"/>
      <c r="B1617">
        <v>603090</v>
      </c>
      <c r="C1617" t="s">
        <v>68</v>
      </c>
      <c r="D1617" s="7" t="s">
        <v>15369</v>
      </c>
      <c r="E1617" s="7" t="str">
        <f t="shared" si="789"/>
        <v>=1470*10000</v>
      </c>
      <c r="F1617" s="1">
        <f>1470*10000</f>
        <v>14700000</v>
      </c>
      <c r="G1617" s="8">
        <f t="shared" si="791"/>
        <v>-4.3591411841249185E-2</v>
      </c>
      <c r="H1617" s="7" t="s">
        <v>15370</v>
      </c>
      <c r="I1617" s="6" t="str">
        <f t="shared" si="775"/>
        <v>=1537*10000</v>
      </c>
      <c r="J1617" s="1">
        <f>1537*10000</f>
        <v>15370000</v>
      </c>
      <c r="K1617" s="10">
        <f t="shared" si="792"/>
        <v>1.0154733805402569</v>
      </c>
      <c r="L1617" s="7" t="s">
        <v>15371</v>
      </c>
      <c r="M1617" s="6" t="str">
        <f t="shared" si="776"/>
        <v>=762.6*10000</v>
      </c>
      <c r="N1617" s="1">
        <f>762.6*10000</f>
        <v>7626000</v>
      </c>
      <c r="O1617" s="8">
        <f t="shared" si="793"/>
        <v>1.5403064623584277</v>
      </c>
      <c r="P1617" s="7" t="s">
        <v>15372</v>
      </c>
      <c r="Q1617" s="6" t="str">
        <f t="shared" si="777"/>
        <v>=300.2*10000</v>
      </c>
      <c r="R1617" s="11">
        <f>300.2*10000</f>
        <v>3002000</v>
      </c>
      <c r="S1617" s="8">
        <f t="shared" si="794"/>
        <v>-0.62428035043804753</v>
      </c>
      <c r="T1617" s="7" t="s">
        <v>15373</v>
      </c>
      <c r="U1617" s="6" t="str">
        <f t="shared" si="778"/>
        <v>=799.0*10000</v>
      </c>
      <c r="V1617" s="1">
        <f>799*10000</f>
        <v>7990000</v>
      </c>
      <c r="W1617" s="8">
        <f t="shared" si="795"/>
        <v>-0.55087127599775154</v>
      </c>
      <c r="X1617" s="7" t="s">
        <v>6651</v>
      </c>
      <c r="Y1617" s="6" t="str">
        <f t="shared" si="779"/>
        <v>=1779*10000</v>
      </c>
      <c r="Z1617" s="1">
        <f>1779*10000</f>
        <v>17790000</v>
      </c>
      <c r="AA1617" s="8">
        <f t="shared" si="796"/>
        <v>0.32860343539955189</v>
      </c>
      <c r="AB1617" s="7" t="s">
        <v>15374</v>
      </c>
      <c r="AC1617" s="6" t="str">
        <f t="shared" si="780"/>
        <v>=1339*10000</v>
      </c>
      <c r="AD1617" s="1">
        <f>1339*10000</f>
        <v>13390000</v>
      </c>
      <c r="AE1617" s="8">
        <f t="shared" si="797"/>
        <v>3.8690909090909091</v>
      </c>
      <c r="AF1617" s="7" t="s">
        <v>15375</v>
      </c>
      <c r="AG1617" s="6" t="str">
        <f t="shared" si="781"/>
        <v>=275.0*10000</v>
      </c>
      <c r="AH1617" s="1">
        <f>275*10000</f>
        <v>2750000</v>
      </c>
      <c r="AI1617" s="8">
        <f t="shared" si="798"/>
        <v>-0.91556647221369358</v>
      </c>
      <c r="AJ1617" s="7" t="s">
        <v>11326</v>
      </c>
      <c r="AK1617" s="6" t="str">
        <f t="shared" si="782"/>
        <v>=3257*10000</v>
      </c>
      <c r="AL1617" s="1">
        <f>3257*10000</f>
        <v>32570000</v>
      </c>
      <c r="AM1617" s="8">
        <f t="shared" si="799"/>
        <v>0.21893712574850299</v>
      </c>
      <c r="AN1617" s="7" t="s">
        <v>15376</v>
      </c>
      <c r="AO1617" s="6" t="str">
        <f t="shared" si="783"/>
        <v>=2672*10000</v>
      </c>
      <c r="AP1617" s="1">
        <f>2672*10000</f>
        <v>26720000</v>
      </c>
      <c r="AQ1617" s="8">
        <f t="shared" si="800"/>
        <v>0.57640117994100293</v>
      </c>
      <c r="AR1617" s="7" t="s">
        <v>9978</v>
      </c>
      <c r="AS1617" s="6" t="str">
        <f t="shared" si="784"/>
        <v>=1695*10000</v>
      </c>
      <c r="AT1617" s="1">
        <f>1695*10000</f>
        <v>16950000</v>
      </c>
      <c r="AU1617" s="8">
        <f t="shared" si="801"/>
        <v>3.2695214105793449</v>
      </c>
      <c r="AV1617" s="7" t="s">
        <v>15377</v>
      </c>
      <c r="AW1617" s="6" t="str">
        <f t="shared" si="785"/>
        <v>=397.0*10000</v>
      </c>
      <c r="AX1617" s="1">
        <f>397*10000</f>
        <v>3970000</v>
      </c>
      <c r="AY1617" s="10">
        <f t="shared" si="802"/>
        <v>-0.88385020479812759</v>
      </c>
      <c r="AZ1617" s="7" t="s">
        <v>15378</v>
      </c>
      <c r="BA1617" s="6" t="str">
        <f t="shared" si="786"/>
        <v>=3418*10000</v>
      </c>
      <c r="BB1617" s="1">
        <f>3418*10000</f>
        <v>34180000</v>
      </c>
      <c r="BC1617" s="8">
        <f t="shared" si="803"/>
        <v>0.29273827534039332</v>
      </c>
      <c r="BD1617" s="7" t="s">
        <v>3724</v>
      </c>
      <c r="BE1617" s="6" t="str">
        <f t="shared" si="787"/>
        <v>=2644*10000</v>
      </c>
      <c r="BF1617" s="1">
        <f>2644*10000</f>
        <v>26440000</v>
      </c>
      <c r="BG1617" s="8">
        <f t="shared" si="804"/>
        <v>0.70580645161290323</v>
      </c>
      <c r="BH1617" s="7" t="s">
        <v>3166</v>
      </c>
      <c r="BI1617" s="6" t="str">
        <f t="shared" si="788"/>
        <v>=1550*10000</v>
      </c>
      <c r="BJ1617" s="1">
        <f>1550*10000</f>
        <v>15500000</v>
      </c>
      <c r="BK1617" s="7" t="s">
        <v>15379</v>
      </c>
      <c r="BL1617" s="1" t="str">
        <f t="shared" si="790"/>
        <v>=430.1*10000</v>
      </c>
      <c r="BM1617" s="16">
        <f t="shared" si="805"/>
        <v>2.6038130667286676</v>
      </c>
      <c r="BN1617" s="1">
        <f>430.1*10000</f>
        <v>4301000</v>
      </c>
    </row>
    <row r="1618" spans="1:66">
      <c r="A1618" s="17">
        <v>406</v>
      </c>
      <c r="B1618">
        <v>603099</v>
      </c>
      <c r="C1618" t="s">
        <v>31</v>
      </c>
      <c r="D1618" s="6" t="s">
        <v>5314</v>
      </c>
      <c r="E1618" s="7" t="str">
        <f t="shared" si="789"/>
        <v>=1.925*100000000</v>
      </c>
      <c r="F1618" s="1">
        <f>1.925*100000000</f>
        <v>192500000</v>
      </c>
      <c r="G1618" s="8">
        <f t="shared" si="791"/>
        <v>0.2160454832596336</v>
      </c>
      <c r="H1618" s="6" t="s">
        <v>6280</v>
      </c>
      <c r="I1618" s="6" t="str">
        <f t="shared" si="775"/>
        <v>=1.583*100000000</v>
      </c>
      <c r="J1618" s="1">
        <f>1.583*100000000</f>
        <v>158300000</v>
      </c>
      <c r="K1618" s="10">
        <f t="shared" si="792"/>
        <v>2.2405322415557829</v>
      </c>
      <c r="L1618" s="7" t="s">
        <v>3726</v>
      </c>
      <c r="M1618" s="6" t="str">
        <f t="shared" si="776"/>
        <v>=4885*10000</v>
      </c>
      <c r="N1618" s="1">
        <f>4885*10000</f>
        <v>48850000</v>
      </c>
      <c r="O1618" s="8">
        <f t="shared" si="793"/>
        <v>3.7381183317167799</v>
      </c>
      <c r="P1618" s="7" t="s">
        <v>15380</v>
      </c>
      <c r="Q1618" s="6" t="str">
        <f t="shared" si="777"/>
        <v>=1031*10000</v>
      </c>
      <c r="R1618" s="11">
        <f>1031*10000</f>
        <v>10310000</v>
      </c>
      <c r="S1618" s="8">
        <f t="shared" si="794"/>
        <v>-0.93014905149051486</v>
      </c>
      <c r="T1618" s="6" t="s">
        <v>4451</v>
      </c>
      <c r="U1618" s="6" t="str">
        <f t="shared" si="778"/>
        <v>=1.476*100000000</v>
      </c>
      <c r="V1618" s="1">
        <f>1.476*100000000</f>
        <v>147600000</v>
      </c>
      <c r="W1618" s="8">
        <f t="shared" si="795"/>
        <v>0.4984771573604061</v>
      </c>
      <c r="X1618" s="7" t="s">
        <v>15381</v>
      </c>
      <c r="Y1618" s="6" t="str">
        <f t="shared" si="779"/>
        <v>=9850*10000</v>
      </c>
      <c r="Z1618" s="1">
        <f>9850*10000</f>
        <v>98500000</v>
      </c>
      <c r="AA1618" s="8">
        <f t="shared" si="796"/>
        <v>2.9991879821356071</v>
      </c>
      <c r="AB1618" s="7" t="s">
        <v>4187</v>
      </c>
      <c r="AC1618" s="6" t="str">
        <f t="shared" si="780"/>
        <v>=2463*10000</v>
      </c>
      <c r="AD1618" s="1">
        <f>2463*10000</f>
        <v>24630000</v>
      </c>
      <c r="AE1618" s="8">
        <f t="shared" si="797"/>
        <v>0.77705627705627711</v>
      </c>
      <c r="AF1618" s="7" t="s">
        <v>6629</v>
      </c>
      <c r="AG1618" s="6" t="str">
        <f t="shared" si="781"/>
        <v>=1386*10000</v>
      </c>
      <c r="AH1618" s="1">
        <f>1386*10000</f>
        <v>13860000</v>
      </c>
      <c r="AI1618" s="8">
        <f t="shared" si="798"/>
        <v>-0.97033390410958908</v>
      </c>
      <c r="AJ1618" s="6" t="s">
        <v>4150</v>
      </c>
      <c r="AK1618" s="6" t="str">
        <f t="shared" si="782"/>
        <v>=4.672*100000000</v>
      </c>
      <c r="AL1618" s="1">
        <f>4.672*100000000</f>
        <v>467200000</v>
      </c>
      <c r="AM1618" s="8">
        <f t="shared" si="799"/>
        <v>0.2119325551232166</v>
      </c>
      <c r="AN1618" s="6" t="s">
        <v>13429</v>
      </c>
      <c r="AO1618" s="6" t="str">
        <f t="shared" si="783"/>
        <v>=3.855*100000000</v>
      </c>
      <c r="AP1618" s="1">
        <f>3.855*100000000</f>
        <v>385500000</v>
      </c>
      <c r="AQ1618" s="8">
        <f t="shared" si="800"/>
        <v>1.9883720930232558</v>
      </c>
      <c r="AR1618" s="6" t="s">
        <v>1469</v>
      </c>
      <c r="AS1618" s="6" t="str">
        <f t="shared" si="784"/>
        <v>=1.290*100000000</v>
      </c>
      <c r="AT1618" s="1">
        <f>1.29*100000000</f>
        <v>129000000</v>
      </c>
      <c r="AU1618" s="8">
        <f t="shared" si="801"/>
        <v>1.6176948051948052</v>
      </c>
      <c r="AV1618" s="7" t="s">
        <v>15382</v>
      </c>
      <c r="AW1618" s="6" t="str">
        <f t="shared" si="785"/>
        <v>=4928*10000</v>
      </c>
      <c r="AX1618" s="1">
        <f>4928*10000</f>
        <v>49280000</v>
      </c>
      <c r="AY1618" s="10">
        <f t="shared" si="802"/>
        <v>-0.89381598793363504</v>
      </c>
      <c r="AZ1618" s="6" t="s">
        <v>2780</v>
      </c>
      <c r="BA1618" s="6" t="str">
        <f t="shared" si="786"/>
        <v>=4.641*100000000</v>
      </c>
      <c r="BB1618" s="1">
        <f>4.641*100000000</f>
        <v>464100000</v>
      </c>
      <c r="BC1618" s="8">
        <f t="shared" si="803"/>
        <v>0.20859374999999999</v>
      </c>
      <c r="BD1618" s="6" t="s">
        <v>11454</v>
      </c>
      <c r="BE1618" s="6" t="str">
        <f t="shared" si="787"/>
        <v>=3.840*100000000</v>
      </c>
      <c r="BF1618" s="1">
        <f>3.84*100000000</f>
        <v>384000000</v>
      </c>
      <c r="BG1618" s="8">
        <f t="shared" si="804"/>
        <v>2.5100548446069468</v>
      </c>
      <c r="BH1618" s="6" t="s">
        <v>5710</v>
      </c>
      <c r="BI1618" s="6" t="str">
        <f t="shared" si="788"/>
        <v>=1.094*100000000</v>
      </c>
      <c r="BJ1618" s="1">
        <f>1.094*100000000</f>
        <v>109400000.00000001</v>
      </c>
      <c r="BK1618" s="7" t="s">
        <v>15383</v>
      </c>
      <c r="BL1618" s="1" t="str">
        <f t="shared" si="790"/>
        <v>=4301*10000</v>
      </c>
      <c r="BM1618" s="16">
        <f t="shared" si="805"/>
        <v>1.5435945129039761</v>
      </c>
      <c r="BN1618" s="1">
        <f>4301*10000</f>
        <v>43010000</v>
      </c>
    </row>
    <row r="1619" spans="1:66">
      <c r="A1619" s="18"/>
      <c r="B1619">
        <v>603099</v>
      </c>
      <c r="C1619" t="s">
        <v>48</v>
      </c>
      <c r="D1619" s="7">
        <f>-6406*10000</f>
        <v>-64060000</v>
      </c>
      <c r="E1619" s="7" t="str">
        <f t="shared" si="789"/>
        <v>=-64060000</v>
      </c>
      <c r="F1619" s="1">
        <f>-64060000</f>
        <v>-64060000</v>
      </c>
      <c r="G1619" s="8">
        <f t="shared" si="791"/>
        <v>1.4311195445920304</v>
      </c>
      <c r="H1619" s="7">
        <f>-2635*10000</f>
        <v>-26350000</v>
      </c>
      <c r="I1619" s="6" t="str">
        <f t="shared" si="775"/>
        <v>=-26350000</v>
      </c>
      <c r="J1619" s="1">
        <f>-26350000</f>
        <v>-26350000</v>
      </c>
      <c r="K1619" s="10">
        <f t="shared" si="792"/>
        <v>-0.61538461538461542</v>
      </c>
      <c r="L1619" s="7">
        <f>-6851*10000</f>
        <v>-68510000</v>
      </c>
      <c r="M1619" s="6" t="str">
        <f t="shared" si="776"/>
        <v>=-68510000</v>
      </c>
      <c r="N1619" s="1">
        <f>-68510000</f>
        <v>-68510000</v>
      </c>
      <c r="O1619" s="8">
        <f t="shared" si="793"/>
        <v>0.75262215400358146</v>
      </c>
      <c r="P1619" s="7">
        <f>-3909*10000</f>
        <v>-39090000</v>
      </c>
      <c r="Q1619" s="6" t="str">
        <f t="shared" si="777"/>
        <v>=-39090000</v>
      </c>
      <c r="R1619" s="11">
        <f>-39090000</f>
        <v>-39090000</v>
      </c>
      <c r="S1619" s="8">
        <f t="shared" si="794"/>
        <v>-0.4291764018691589</v>
      </c>
      <c r="T1619" s="7">
        <f>-6848*10000</f>
        <v>-68480000</v>
      </c>
      <c r="U1619" s="6" t="str">
        <f t="shared" si="778"/>
        <v>=-68480000</v>
      </c>
      <c r="V1619" s="1">
        <f>-68480000</f>
        <v>-68480000</v>
      </c>
      <c r="W1619" s="8">
        <f t="shared" si="795"/>
        <v>0.65131420303834098</v>
      </c>
      <c r="X1619" s="7">
        <f>-4147*10000</f>
        <v>-41470000</v>
      </c>
      <c r="Y1619" s="6" t="str">
        <f t="shared" si="779"/>
        <v>=-41470000</v>
      </c>
      <c r="Z1619" s="1">
        <f>-41470000</f>
        <v>-41470000</v>
      </c>
      <c r="AA1619" s="8">
        <f t="shared" si="796"/>
        <v>-0.29807041299932296</v>
      </c>
      <c r="AB1619" s="7">
        <f>-5908*10000</f>
        <v>-59080000</v>
      </c>
      <c r="AC1619" s="6" t="str">
        <f t="shared" si="780"/>
        <v>=-59080000</v>
      </c>
      <c r="AD1619" s="1">
        <f>-59080000</f>
        <v>-59080000</v>
      </c>
      <c r="AE1619" s="8">
        <f t="shared" si="797"/>
        <v>0.94342105263157894</v>
      </c>
      <c r="AF1619" s="7">
        <f>-3040*10000</f>
        <v>-30400000</v>
      </c>
      <c r="AG1619" s="6" t="str">
        <f t="shared" si="781"/>
        <v>=-30400000</v>
      </c>
      <c r="AH1619" s="1">
        <f>-30400000</f>
        <v>-30400000</v>
      </c>
      <c r="AI1619" s="8">
        <f t="shared" si="798"/>
        <v>-1.2986247544204321</v>
      </c>
      <c r="AJ1619" s="6" t="s">
        <v>2234</v>
      </c>
      <c r="AK1619" s="6" t="str">
        <f t="shared" si="782"/>
        <v>=1.018*100000000</v>
      </c>
      <c r="AL1619" s="1">
        <f>1.018*100000000</f>
        <v>101800000</v>
      </c>
      <c r="AM1619" s="8">
        <f t="shared" si="799"/>
        <v>-6.0885608856088687E-2</v>
      </c>
      <c r="AN1619" s="6" t="s">
        <v>2094</v>
      </c>
      <c r="AO1619" s="6" t="str">
        <f t="shared" si="783"/>
        <v>=1.084*100000000</v>
      </c>
      <c r="AP1619" s="1">
        <f>1.084*100000000</f>
        <v>108400000.00000001</v>
      </c>
      <c r="AQ1619" s="8">
        <f t="shared" si="800"/>
        <v>-5.6423982869379019</v>
      </c>
      <c r="AR1619" s="7">
        <f>-2335*10000</f>
        <v>-23350000</v>
      </c>
      <c r="AS1619" s="6" t="str">
        <f t="shared" si="784"/>
        <v>=-23350000</v>
      </c>
      <c r="AT1619" s="1">
        <f>-23350000</f>
        <v>-23350000</v>
      </c>
      <c r="AU1619" s="8">
        <f t="shared" si="801"/>
        <v>-6.8607897885919422E-2</v>
      </c>
      <c r="AV1619" s="7">
        <f>-2507*10000</f>
        <v>-25070000</v>
      </c>
      <c r="AW1619" s="6" t="str">
        <f t="shared" si="785"/>
        <v>=-25070000</v>
      </c>
      <c r="AX1619" s="1">
        <f>-25070000</f>
        <v>-25070000</v>
      </c>
      <c r="AY1619" s="10">
        <f t="shared" si="802"/>
        <v>-1.2753734622144113</v>
      </c>
      <c r="AZ1619" s="7" t="s">
        <v>9681</v>
      </c>
      <c r="BA1619" s="6" t="str">
        <f t="shared" si="786"/>
        <v>=9104*10000</v>
      </c>
      <c r="BB1619" s="1">
        <f>9104*10000</f>
        <v>91040000</v>
      </c>
      <c r="BC1619" s="8">
        <f t="shared" si="803"/>
        <v>-0.11697381183317156</v>
      </c>
      <c r="BD1619" s="6" t="s">
        <v>8056</v>
      </c>
      <c r="BE1619" s="6" t="str">
        <f t="shared" si="787"/>
        <v>=1.031*100000000</v>
      </c>
      <c r="BF1619" s="1">
        <f>1.031*100000000</f>
        <v>103099999.99999999</v>
      </c>
      <c r="BG1619" s="8">
        <f t="shared" si="804"/>
        <v>-3.4419706300331598</v>
      </c>
      <c r="BH1619" s="7">
        <f>-4222*10000</f>
        <v>-42220000</v>
      </c>
      <c r="BI1619" s="6" t="str">
        <f t="shared" si="788"/>
        <v>=-42220000</v>
      </c>
      <c r="BJ1619" s="1">
        <f>-42220000</f>
        <v>-42220000</v>
      </c>
      <c r="BK1619" s="7">
        <f>-3200*10000</f>
        <v>-32000000</v>
      </c>
      <c r="BL1619" s="1" t="str">
        <f t="shared" si="790"/>
        <v>=-32000000</v>
      </c>
      <c r="BM1619" s="16">
        <f t="shared" si="805"/>
        <v>0.31937500000000002</v>
      </c>
      <c r="BN1619" s="1">
        <f>-32000000</f>
        <v>-32000000</v>
      </c>
    </row>
    <row r="1620" spans="1:66">
      <c r="A1620" s="18"/>
      <c r="B1620">
        <v>603099</v>
      </c>
      <c r="C1620" t="s">
        <v>58</v>
      </c>
      <c r="D1620" s="7">
        <f>-6423*10000</f>
        <v>-64230000</v>
      </c>
      <c r="E1620" s="7" t="str">
        <f t="shared" si="789"/>
        <v>=-64230000</v>
      </c>
      <c r="F1620" s="1">
        <f>-64230000</f>
        <v>-64230000</v>
      </c>
      <c r="G1620" s="8">
        <f t="shared" si="791"/>
        <v>1.4219457013574661</v>
      </c>
      <c r="H1620" s="7">
        <f>-2652*10000</f>
        <v>-26520000</v>
      </c>
      <c r="I1620" s="6" t="str">
        <f t="shared" si="775"/>
        <v>=-26520000</v>
      </c>
      <c r="J1620" s="1">
        <f>-26520000</f>
        <v>-26520000</v>
      </c>
      <c r="K1620" s="10">
        <f t="shared" si="792"/>
        <v>-0.61329833770778652</v>
      </c>
      <c r="L1620" s="7">
        <f>-6858*10000</f>
        <v>-68580000</v>
      </c>
      <c r="M1620" s="6" t="str">
        <f t="shared" si="776"/>
        <v>=-68580000</v>
      </c>
      <c r="N1620" s="1">
        <f>-68580000</f>
        <v>-68580000</v>
      </c>
      <c r="O1620" s="8">
        <f t="shared" si="793"/>
        <v>0.75351572487854768</v>
      </c>
      <c r="P1620" s="7">
        <f>-3911*10000</f>
        <v>-39110000</v>
      </c>
      <c r="Q1620" s="6" t="str">
        <f t="shared" si="777"/>
        <v>=-39110000</v>
      </c>
      <c r="R1620" s="11">
        <f>-39110000</f>
        <v>-39110000</v>
      </c>
      <c r="S1620" s="8">
        <f t="shared" si="794"/>
        <v>-0.4323657474600871</v>
      </c>
      <c r="T1620" s="7">
        <f>-6890*10000</f>
        <v>-68900000</v>
      </c>
      <c r="U1620" s="6" t="str">
        <f t="shared" si="778"/>
        <v>=-68900000</v>
      </c>
      <c r="V1620" s="1">
        <f>-68900000</f>
        <v>-68900000</v>
      </c>
      <c r="W1620" s="8">
        <f t="shared" si="795"/>
        <v>0.75362687706795617</v>
      </c>
      <c r="X1620" s="7">
        <f>-3929*10000</f>
        <v>-39290000</v>
      </c>
      <c r="Y1620" s="6" t="str">
        <f t="shared" si="779"/>
        <v>=-39290000</v>
      </c>
      <c r="Z1620" s="1">
        <f>-39290000</f>
        <v>-39290000</v>
      </c>
      <c r="AA1620" s="8">
        <f t="shared" si="796"/>
        <v>-0.31419095828242277</v>
      </c>
      <c r="AB1620" s="7">
        <f>-5729*10000</f>
        <v>-57290000</v>
      </c>
      <c r="AC1620" s="6" t="str">
        <f t="shared" si="780"/>
        <v>=-57290000</v>
      </c>
      <c r="AD1620" s="1">
        <f>-57290000</f>
        <v>-57290000</v>
      </c>
      <c r="AE1620" s="8">
        <f t="shared" si="797"/>
        <v>0.9660260809883322</v>
      </c>
      <c r="AF1620" s="7">
        <f>-2914*10000</f>
        <v>-29140000</v>
      </c>
      <c r="AG1620" s="6" t="str">
        <f t="shared" si="781"/>
        <v>=-29140000</v>
      </c>
      <c r="AH1620" s="1">
        <f>-29140000</f>
        <v>-29140000</v>
      </c>
      <c r="AI1620" s="8">
        <f t="shared" si="798"/>
        <v>-1.2837390457643623</v>
      </c>
      <c r="AJ1620" s="6" t="s">
        <v>3884</v>
      </c>
      <c r="AK1620" s="6" t="str">
        <f t="shared" si="782"/>
        <v>=1.027*100000000</v>
      </c>
      <c r="AL1620" s="1">
        <f>1.027*100000000</f>
        <v>102699999.99999999</v>
      </c>
      <c r="AM1620" s="8">
        <f t="shared" si="799"/>
        <v>-5.6066176470588501E-2</v>
      </c>
      <c r="AN1620" s="6" t="s">
        <v>6254</v>
      </c>
      <c r="AO1620" s="6" t="str">
        <f t="shared" si="783"/>
        <v>=1.088*100000000</v>
      </c>
      <c r="AP1620" s="1">
        <f>1.088*100000000</f>
        <v>108800000.00000001</v>
      </c>
      <c r="AQ1620" s="8">
        <f t="shared" si="800"/>
        <v>-5.6436192915066163</v>
      </c>
      <c r="AR1620" s="7">
        <f>-2343*10000</f>
        <v>-23430000</v>
      </c>
      <c r="AS1620" s="6" t="str">
        <f t="shared" si="784"/>
        <v>=-23430000</v>
      </c>
      <c r="AT1620" s="1">
        <f>-23430000</f>
        <v>-23430000</v>
      </c>
      <c r="AU1620" s="8">
        <f t="shared" si="801"/>
        <v>-6.6905615292712065E-2</v>
      </c>
      <c r="AV1620" s="7">
        <f>-2511*10000</f>
        <v>-25110000</v>
      </c>
      <c r="AW1620" s="6" t="str">
        <f t="shared" si="785"/>
        <v>=-25110000</v>
      </c>
      <c r="AX1620" s="1">
        <f>-25110000</f>
        <v>-25110000</v>
      </c>
      <c r="AY1620" s="10">
        <f t="shared" si="802"/>
        <v>-1.2744562247240137</v>
      </c>
      <c r="AZ1620" s="7" t="s">
        <v>15384</v>
      </c>
      <c r="BA1620" s="6" t="str">
        <f t="shared" si="786"/>
        <v>=9149*10000</v>
      </c>
      <c r="BB1620" s="1">
        <f>9149*10000</f>
        <v>91490000</v>
      </c>
      <c r="BC1620" s="8">
        <f t="shared" si="803"/>
        <v>-0.11603864734299504</v>
      </c>
      <c r="BD1620" s="6" t="s">
        <v>15385</v>
      </c>
      <c r="BE1620" s="6" t="str">
        <f t="shared" si="787"/>
        <v>=1.035*100000000</v>
      </c>
      <c r="BF1620" s="1">
        <f>1.035*100000000</f>
        <v>103499999.99999999</v>
      </c>
      <c r="BG1620" s="8">
        <f t="shared" si="804"/>
        <v>-3.4713467048710602</v>
      </c>
      <c r="BH1620" s="7">
        <f>-4188*10000</f>
        <v>-41880000</v>
      </c>
      <c r="BI1620" s="6" t="str">
        <f t="shared" si="788"/>
        <v>=-41880000</v>
      </c>
      <c r="BJ1620" s="1">
        <f>-41880000</f>
        <v>-41880000</v>
      </c>
      <c r="BK1620" s="7">
        <f>-3199*10000</f>
        <v>-31990000</v>
      </c>
      <c r="BL1620" s="1" t="str">
        <f t="shared" si="790"/>
        <v>=-31990000</v>
      </c>
      <c r="BM1620" s="16">
        <f t="shared" si="805"/>
        <v>0.30915911222256953</v>
      </c>
      <c r="BN1620" s="1">
        <f>-31990000</f>
        <v>-31990000</v>
      </c>
    </row>
    <row r="1621" spans="1:66">
      <c r="A1621" s="19"/>
      <c r="B1621">
        <v>603099</v>
      </c>
      <c r="C1621" t="s">
        <v>68</v>
      </c>
      <c r="D1621" s="7">
        <f>-5162*10000</f>
        <v>-51620000</v>
      </c>
      <c r="E1621" s="7" t="str">
        <f t="shared" si="789"/>
        <v>=-51620000</v>
      </c>
      <c r="F1621" s="1">
        <f>-51620000</f>
        <v>-51620000</v>
      </c>
      <c r="G1621" s="8">
        <f t="shared" si="791"/>
        <v>0.93260950954698618</v>
      </c>
      <c r="H1621" s="7">
        <f>-2671*10000</f>
        <v>-26710000</v>
      </c>
      <c r="I1621" s="6" t="str">
        <f t="shared" si="775"/>
        <v>=-26710000</v>
      </c>
      <c r="J1621" s="1">
        <f>-26710000</f>
        <v>-26710000</v>
      </c>
      <c r="K1621" s="10">
        <f t="shared" si="792"/>
        <v>-0.61149090909090908</v>
      </c>
      <c r="L1621" s="7">
        <f>-6875*10000</f>
        <v>-68750000</v>
      </c>
      <c r="M1621" s="6" t="str">
        <f t="shared" si="776"/>
        <v>=-68750000</v>
      </c>
      <c r="N1621" s="1">
        <f>-68750000</f>
        <v>-68750000</v>
      </c>
      <c r="O1621" s="8">
        <f t="shared" si="793"/>
        <v>0.75382653061224492</v>
      </c>
      <c r="P1621" s="7">
        <f>-3920*10000</f>
        <v>-39200000</v>
      </c>
      <c r="Q1621" s="6" t="str">
        <f t="shared" si="777"/>
        <v>=-39200000</v>
      </c>
      <c r="R1621" s="11">
        <f>-39200000</f>
        <v>-39200000</v>
      </c>
      <c r="S1621" s="8">
        <f t="shared" si="794"/>
        <v>-0.29736511919698871</v>
      </c>
      <c r="T1621" s="7">
        <f>-5579*10000</f>
        <v>-55790000</v>
      </c>
      <c r="U1621" s="6" t="str">
        <f t="shared" si="778"/>
        <v>=-55790000</v>
      </c>
      <c r="V1621" s="1">
        <f>-55790000</f>
        <v>-55790000</v>
      </c>
      <c r="W1621" s="8">
        <f t="shared" si="795"/>
        <v>0.4052896725440806</v>
      </c>
      <c r="X1621" s="7">
        <f>-3970*10000</f>
        <v>-39700000</v>
      </c>
      <c r="Y1621" s="6" t="str">
        <f t="shared" si="779"/>
        <v>=-39700000</v>
      </c>
      <c r="Z1621" s="1">
        <f>-39700000</f>
        <v>-39700000</v>
      </c>
      <c r="AA1621" s="8">
        <f t="shared" si="796"/>
        <v>-0.3126731301939058</v>
      </c>
      <c r="AB1621" s="7">
        <f>-5776*10000</f>
        <v>-57760000</v>
      </c>
      <c r="AC1621" s="6" t="str">
        <f t="shared" si="780"/>
        <v>=-57760000</v>
      </c>
      <c r="AD1621" s="1">
        <f>-57760000</f>
        <v>-57760000</v>
      </c>
      <c r="AE1621" s="8">
        <f t="shared" si="797"/>
        <v>0.96129032258064517</v>
      </c>
      <c r="AF1621" s="7">
        <f>-2945*10000</f>
        <v>-29450000</v>
      </c>
      <c r="AG1621" s="6" t="str">
        <f t="shared" si="781"/>
        <v>=-29450000</v>
      </c>
      <c r="AH1621" s="1">
        <f>-29450000</f>
        <v>-29450000</v>
      </c>
      <c r="AI1621" s="8">
        <f t="shared" si="798"/>
        <v>-1.3913101249003454</v>
      </c>
      <c r="AJ1621" s="7" t="s">
        <v>15386</v>
      </c>
      <c r="AK1621" s="6" t="str">
        <f t="shared" si="782"/>
        <v>=7526*10000</v>
      </c>
      <c r="AL1621" s="1">
        <f>7526*10000</f>
        <v>75260000</v>
      </c>
      <c r="AM1621" s="8">
        <f t="shared" si="799"/>
        <v>-8.3759435110786457E-2</v>
      </c>
      <c r="AN1621" s="7" t="s">
        <v>9074</v>
      </c>
      <c r="AO1621" s="6" t="str">
        <f t="shared" si="783"/>
        <v>=8214*10000</v>
      </c>
      <c r="AP1621" s="1">
        <f>8214*10000</f>
        <v>82140000</v>
      </c>
      <c r="AQ1621" s="8">
        <f t="shared" si="800"/>
        <v>-4.4968071519795654</v>
      </c>
      <c r="AR1621" s="7">
        <f>-2349*10000</f>
        <v>-23490000</v>
      </c>
      <c r="AS1621" s="6" t="str">
        <f t="shared" si="784"/>
        <v>=-23490000</v>
      </c>
      <c r="AT1621" s="1">
        <f>-23490000</f>
        <v>-23490000</v>
      </c>
      <c r="AU1621" s="8">
        <f t="shared" si="801"/>
        <v>-6.4888535031847133E-2</v>
      </c>
      <c r="AV1621" s="7">
        <f>-2512*10000</f>
        <v>-25120000</v>
      </c>
      <c r="AW1621" s="6" t="str">
        <f t="shared" si="785"/>
        <v>=-25120000</v>
      </c>
      <c r="AX1621" s="1">
        <f>-25120000</f>
        <v>-25120000</v>
      </c>
      <c r="AY1621" s="10">
        <f t="shared" si="802"/>
        <v>-1.371432796096407</v>
      </c>
      <c r="AZ1621" s="7" t="s">
        <v>8487</v>
      </c>
      <c r="BA1621" s="6" t="str">
        <f t="shared" si="786"/>
        <v>=6763*10000</v>
      </c>
      <c r="BB1621" s="1">
        <f>6763*10000</f>
        <v>67630000</v>
      </c>
      <c r="BC1621" s="8">
        <f t="shared" si="803"/>
        <v>-0.12237217752400727</v>
      </c>
      <c r="BD1621" s="7" t="s">
        <v>15387</v>
      </c>
      <c r="BE1621" s="6" t="str">
        <f t="shared" si="787"/>
        <v>=7706*10000</v>
      </c>
      <c r="BF1621" s="1">
        <f>7706*10000</f>
        <v>77060000</v>
      </c>
      <c r="BG1621" s="8">
        <f t="shared" si="804"/>
        <v>-2.84089823220258</v>
      </c>
      <c r="BH1621" s="7">
        <f>-4186*10000</f>
        <v>-41860000</v>
      </c>
      <c r="BI1621" s="6" t="str">
        <f t="shared" si="788"/>
        <v>=-41860000</v>
      </c>
      <c r="BJ1621" s="1">
        <f>-41860000</f>
        <v>-41860000</v>
      </c>
      <c r="BK1621" s="7">
        <f>-3192*10000</f>
        <v>-31920000</v>
      </c>
      <c r="BL1621" s="1" t="str">
        <f t="shared" si="790"/>
        <v>=-31920000</v>
      </c>
      <c r="BM1621" s="16">
        <f t="shared" si="805"/>
        <v>0.31140350877192985</v>
      </c>
      <c r="BN1621" s="1">
        <f>-31920000</f>
        <v>-31920000</v>
      </c>
    </row>
    <row r="1622" spans="1:66">
      <c r="A1622" s="17">
        <v>407</v>
      </c>
      <c r="B1622">
        <v>603103</v>
      </c>
      <c r="C1622" t="s">
        <v>31</v>
      </c>
      <c r="D1622" s="6" t="s">
        <v>5098</v>
      </c>
      <c r="E1622" s="7" t="str">
        <f t="shared" si="789"/>
        <v>=23.66*100000000</v>
      </c>
      <c r="F1622" s="1">
        <f>23.66*100000000</f>
        <v>2366000000</v>
      </c>
      <c r="G1622" s="8">
        <f t="shared" si="791"/>
        <v>0.2950191570881226</v>
      </c>
      <c r="H1622" s="6" t="s">
        <v>5111</v>
      </c>
      <c r="I1622" s="6" t="str">
        <f t="shared" si="775"/>
        <v>=18.27*100000000</v>
      </c>
      <c r="J1622" s="1">
        <f>18.27*100000000</f>
        <v>1827000000</v>
      </c>
      <c r="K1622" s="10">
        <f t="shared" si="792"/>
        <v>0.23780487804878048</v>
      </c>
      <c r="L1622" s="6" t="s">
        <v>7893</v>
      </c>
      <c r="M1622" s="6" t="str">
        <f t="shared" si="776"/>
        <v>=14.76*100000000</v>
      </c>
      <c r="N1622" s="1">
        <f>14.76*100000000</f>
        <v>1476000000</v>
      </c>
      <c r="O1622" s="8">
        <f t="shared" si="793"/>
        <v>0.7611263572366066</v>
      </c>
      <c r="P1622" s="6" t="s">
        <v>15388</v>
      </c>
      <c r="Q1622" s="6" t="str">
        <f t="shared" si="777"/>
        <v>=8.381*100000000</v>
      </c>
      <c r="R1622" s="11">
        <f>8.381*100000000</f>
        <v>838100000</v>
      </c>
      <c r="S1622" s="8">
        <f t="shared" si="794"/>
        <v>-0.15317773062544204</v>
      </c>
      <c r="T1622" s="6" t="s">
        <v>15389</v>
      </c>
      <c r="U1622" s="6" t="str">
        <f t="shared" si="778"/>
        <v>=9.897*100000000</v>
      </c>
      <c r="V1622" s="1">
        <f>9.897*100000000</f>
        <v>989700000</v>
      </c>
      <c r="W1622" s="8">
        <f t="shared" si="795"/>
        <v>1.319971870604782</v>
      </c>
      <c r="X1622" s="6" t="s">
        <v>15390</v>
      </c>
      <c r="Y1622" s="6" t="str">
        <f t="shared" si="779"/>
        <v>=4.266*100000000</v>
      </c>
      <c r="Z1622" s="1">
        <f>4.266*100000000</f>
        <v>426600000</v>
      </c>
      <c r="AA1622" s="8">
        <f t="shared" si="796"/>
        <v>2.8746594005449593</v>
      </c>
      <c r="AB1622" s="6" t="s">
        <v>7720</v>
      </c>
      <c r="AC1622" s="6" t="str">
        <f t="shared" si="780"/>
        <v>=1.101*100000000</v>
      </c>
      <c r="AD1622" s="1">
        <f>1.101*100000000</f>
        <v>110100000</v>
      </c>
      <c r="AE1622" s="8">
        <f t="shared" si="797"/>
        <v>0.13423302771196044</v>
      </c>
      <c r="AF1622" s="7" t="s">
        <v>15391</v>
      </c>
      <c r="AG1622" s="6" t="str">
        <f t="shared" si="781"/>
        <v>=9707*10000</v>
      </c>
      <c r="AH1622" s="1">
        <f>9707*10000</f>
        <v>97070000</v>
      </c>
      <c r="AI1622" s="8">
        <f t="shared" si="798"/>
        <v>-0.96691547375596454</v>
      </c>
      <c r="AJ1622" s="6" t="s">
        <v>327</v>
      </c>
      <c r="AK1622" s="6" t="str">
        <f t="shared" si="782"/>
        <v>=29.34*100000000</v>
      </c>
      <c r="AL1622" s="1">
        <f>29.34*100000000</f>
        <v>2934000000</v>
      </c>
      <c r="AM1622" s="8">
        <f t="shared" si="799"/>
        <v>0.37681839511966231</v>
      </c>
      <c r="AN1622" s="6" t="s">
        <v>2646</v>
      </c>
      <c r="AO1622" s="6" t="str">
        <f t="shared" si="783"/>
        <v>=21.31*100000000</v>
      </c>
      <c r="AP1622" s="1">
        <f>21.31*100000000</f>
        <v>2130999999.9999998</v>
      </c>
      <c r="AQ1622" s="8">
        <f t="shared" si="800"/>
        <v>0.53751803751803739</v>
      </c>
      <c r="AR1622" s="6" t="s">
        <v>4240</v>
      </c>
      <c r="AS1622" s="6" t="str">
        <f t="shared" si="784"/>
        <v>=13.86*100000000</v>
      </c>
      <c r="AT1622" s="1">
        <f>13.86*100000000</f>
        <v>1386000000</v>
      </c>
      <c r="AU1622" s="8">
        <f t="shared" si="801"/>
        <v>0.58672009158557525</v>
      </c>
      <c r="AV1622" s="6" t="s">
        <v>15392</v>
      </c>
      <c r="AW1622" s="6" t="str">
        <f t="shared" si="785"/>
        <v>=8.735*100000000</v>
      </c>
      <c r="AX1622" s="1">
        <f>8.735*100000000</f>
        <v>873500000</v>
      </c>
      <c r="AY1622" s="10">
        <f t="shared" si="802"/>
        <v>-0.67933186490455211</v>
      </c>
      <c r="AZ1622" s="6" t="s">
        <v>7425</v>
      </c>
      <c r="BA1622" s="6" t="str">
        <f t="shared" si="786"/>
        <v>=27.24*100000000</v>
      </c>
      <c r="BB1622" s="1">
        <f>27.24*100000000</f>
        <v>2724000000</v>
      </c>
      <c r="BC1622" s="8">
        <f t="shared" si="803"/>
        <v>0.23425464431354781</v>
      </c>
      <c r="BD1622" s="6" t="s">
        <v>9556</v>
      </c>
      <c r="BE1622" s="6" t="str">
        <f t="shared" si="787"/>
        <v>=22.07*100000000</v>
      </c>
      <c r="BF1622" s="1">
        <f>22.07*100000000</f>
        <v>2207000000</v>
      </c>
      <c r="BG1622" s="8">
        <f t="shared" si="804"/>
        <v>0.50648464163822526</v>
      </c>
      <c r="BH1622" s="6" t="s">
        <v>5267</v>
      </c>
      <c r="BI1622" s="6" t="str">
        <f t="shared" si="788"/>
        <v>=14.65*100000000</v>
      </c>
      <c r="BJ1622" s="1">
        <f>14.65*100000000</f>
        <v>1465000000</v>
      </c>
      <c r="BK1622" s="6" t="s">
        <v>15393</v>
      </c>
      <c r="BL1622" s="1" t="str">
        <f t="shared" si="790"/>
        <v>=9.310*100000000</v>
      </c>
      <c r="BM1622" s="16">
        <f t="shared" si="805"/>
        <v>0.57357679914070892</v>
      </c>
      <c r="BN1622" s="1">
        <f>9.31*100000000</f>
        <v>931000000</v>
      </c>
    </row>
    <row r="1623" spans="1:66">
      <c r="A1623" s="18"/>
      <c r="B1623">
        <v>603103</v>
      </c>
      <c r="C1623" t="s">
        <v>48</v>
      </c>
      <c r="D1623" s="7" t="s">
        <v>5494</v>
      </c>
      <c r="E1623" s="7" t="str">
        <f t="shared" si="789"/>
        <v>=1068*10000</v>
      </c>
      <c r="F1623" s="1">
        <f>1068*10000</f>
        <v>10680000</v>
      </c>
      <c r="G1623" s="8">
        <f t="shared" si="791"/>
        <v>-0.86564347716693923</v>
      </c>
      <c r="H1623" s="7" t="s">
        <v>15394</v>
      </c>
      <c r="I1623" s="6" t="str">
        <f t="shared" si="775"/>
        <v>=7949*10000</v>
      </c>
      <c r="J1623" s="1">
        <f>7949*10000</f>
        <v>79490000</v>
      </c>
      <c r="K1623" s="10">
        <f t="shared" si="792"/>
        <v>-0.64796279893711251</v>
      </c>
      <c r="L1623" s="6" t="s">
        <v>10499</v>
      </c>
      <c r="M1623" s="6" t="str">
        <f t="shared" si="776"/>
        <v>=2.258*100000000</v>
      </c>
      <c r="N1623" s="1">
        <f>2.258*100000000</f>
        <v>225800000</v>
      </c>
      <c r="O1623" s="8">
        <f t="shared" si="793"/>
        <v>0.33293978748524206</v>
      </c>
      <c r="P1623" s="6" t="s">
        <v>15395</v>
      </c>
      <c r="Q1623" s="6" t="str">
        <f t="shared" si="777"/>
        <v>=1.694*100000000</v>
      </c>
      <c r="R1623" s="11">
        <f>1.694*100000000</f>
        <v>169400000</v>
      </c>
      <c r="S1623" s="8">
        <f t="shared" si="794"/>
        <v>-1.3123732251521298</v>
      </c>
      <c r="T1623" s="6">
        <f>-5.423*100000000</f>
        <v>-542300000</v>
      </c>
      <c r="U1623" s="6" t="str">
        <f t="shared" si="778"/>
        <v>=-542300000</v>
      </c>
      <c r="V1623" s="1">
        <f>-542300000</f>
        <v>-542300000</v>
      </c>
      <c r="W1623" s="8">
        <f t="shared" si="795"/>
        <v>2.0127915726109856E-2</v>
      </c>
      <c r="X1623" s="6">
        <f>-5.316*100000000</f>
        <v>-531600000</v>
      </c>
      <c r="Y1623" s="6" t="str">
        <f t="shared" si="779"/>
        <v>=-531600000</v>
      </c>
      <c r="Z1623" s="1">
        <f>-531600000</f>
        <v>-531600000</v>
      </c>
      <c r="AA1623" s="8">
        <f t="shared" si="796"/>
        <v>0.56721698113207553</v>
      </c>
      <c r="AB1623" s="6">
        <f>-3.392*100000000</f>
        <v>-339200000</v>
      </c>
      <c r="AC1623" s="6" t="str">
        <f t="shared" si="780"/>
        <v>=-339200000</v>
      </c>
      <c r="AD1623" s="1">
        <f>-339200000</f>
        <v>-339200000</v>
      </c>
      <c r="AE1623" s="8">
        <f t="shared" si="797"/>
        <v>1.2126549249836922</v>
      </c>
      <c r="AF1623" s="6">
        <f>-1.533*100000000</f>
        <v>-153300000</v>
      </c>
      <c r="AG1623" s="6" t="str">
        <f t="shared" si="781"/>
        <v>=-153300000</v>
      </c>
      <c r="AH1623" s="1">
        <f>-153300000</f>
        <v>-153300000</v>
      </c>
      <c r="AI1623" s="8">
        <f t="shared" si="798"/>
        <v>-1.4225468577728777</v>
      </c>
      <c r="AJ1623" s="6" t="s">
        <v>15396</v>
      </c>
      <c r="AK1623" s="6" t="str">
        <f t="shared" si="782"/>
        <v>=3.628*100000000</v>
      </c>
      <c r="AL1623" s="1">
        <f>3.628*100000000</f>
        <v>362800000</v>
      </c>
      <c r="AM1623" s="8">
        <f t="shared" si="799"/>
        <v>0.13021806853582554</v>
      </c>
      <c r="AN1623" s="6" t="s">
        <v>15397</v>
      </c>
      <c r="AO1623" s="6" t="str">
        <f t="shared" si="783"/>
        <v>=3.210*100000000</v>
      </c>
      <c r="AP1623" s="1">
        <f>3.21*100000000</f>
        <v>321000000</v>
      </c>
      <c r="AQ1623" s="8">
        <f t="shared" si="800"/>
        <v>0.54104656745079194</v>
      </c>
      <c r="AR1623" s="6" t="s">
        <v>8460</v>
      </c>
      <c r="AS1623" s="6" t="str">
        <f t="shared" si="784"/>
        <v>=2.083*100000000</v>
      </c>
      <c r="AT1623" s="1">
        <f>2.083*100000000</f>
        <v>208300000.00000003</v>
      </c>
      <c r="AU1623" s="8">
        <f t="shared" si="801"/>
        <v>2.9150197628458645E-2</v>
      </c>
      <c r="AV1623" s="6" t="s">
        <v>15398</v>
      </c>
      <c r="AW1623" s="6" t="str">
        <f t="shared" si="785"/>
        <v>=2.024*100000000</v>
      </c>
      <c r="AX1623" s="1">
        <f>2.024*100000000</f>
        <v>202400000</v>
      </c>
      <c r="AY1623" s="10">
        <f t="shared" si="802"/>
        <v>-0.47673216132368151</v>
      </c>
      <c r="AZ1623" s="6" t="s">
        <v>4005</v>
      </c>
      <c r="BA1623" s="6" t="str">
        <f t="shared" si="786"/>
        <v>=3.868*100000000</v>
      </c>
      <c r="BB1623" s="1">
        <f>3.868*100000000</f>
        <v>386800000</v>
      </c>
      <c r="BC1623" s="8">
        <f t="shared" si="803"/>
        <v>-4.6586147399556466E-2</v>
      </c>
      <c r="BD1623" s="6" t="s">
        <v>348</v>
      </c>
      <c r="BE1623" s="6" t="str">
        <f t="shared" si="787"/>
        <v>=4.057*100000000</v>
      </c>
      <c r="BF1623" s="1">
        <f>4.057*100000000</f>
        <v>405700000.00000006</v>
      </c>
      <c r="BG1623" s="8">
        <f t="shared" si="804"/>
        <v>0.42151366503153492</v>
      </c>
      <c r="BH1623" s="6" t="s">
        <v>4955</v>
      </c>
      <c r="BI1623" s="6" t="str">
        <f t="shared" si="788"/>
        <v>=2.854*100000000</v>
      </c>
      <c r="BJ1623" s="1">
        <f>2.854*100000000</f>
        <v>285400000</v>
      </c>
      <c r="BK1623" s="6" t="s">
        <v>15112</v>
      </c>
      <c r="BL1623" s="1" t="str">
        <f t="shared" si="790"/>
        <v>=2.437*100000000</v>
      </c>
      <c r="BM1623" s="16">
        <f t="shared" si="805"/>
        <v>0.17111202297907277</v>
      </c>
      <c r="BN1623" s="1">
        <f>2.437*100000000</f>
        <v>243699999.99999997</v>
      </c>
    </row>
    <row r="1624" spans="1:66">
      <c r="A1624" s="18"/>
      <c r="B1624">
        <v>603103</v>
      </c>
      <c r="C1624" t="s">
        <v>58</v>
      </c>
      <c r="D1624" s="7" t="s">
        <v>15399</v>
      </c>
      <c r="E1624" s="7" t="str">
        <f t="shared" si="789"/>
        <v>=2955*10000</v>
      </c>
      <c r="F1624" s="1">
        <f>2955*10000</f>
        <v>29550000</v>
      </c>
      <c r="G1624" s="8">
        <f t="shared" si="791"/>
        <v>-0.6689817407863784</v>
      </c>
      <c r="H1624" s="7" t="s">
        <v>8854</v>
      </c>
      <c r="I1624" s="6" t="str">
        <f t="shared" si="775"/>
        <v>=8927*10000</v>
      </c>
      <c r="J1624" s="1">
        <f>8927*10000</f>
        <v>89270000</v>
      </c>
      <c r="K1624" s="10">
        <f t="shared" si="792"/>
        <v>-0.61153176675369891</v>
      </c>
      <c r="L1624" s="6" t="s">
        <v>2318</v>
      </c>
      <c r="M1624" s="6" t="str">
        <f t="shared" si="776"/>
        <v>=2.298*100000000</v>
      </c>
      <c r="N1624" s="1">
        <f>2.298*100000000</f>
        <v>229800000</v>
      </c>
      <c r="O1624" s="8">
        <f t="shared" si="793"/>
        <v>0.35256032960565037</v>
      </c>
      <c r="P1624" s="6" t="s">
        <v>2417</v>
      </c>
      <c r="Q1624" s="6" t="str">
        <f t="shared" si="777"/>
        <v>=1.699*100000000</v>
      </c>
      <c r="R1624" s="11">
        <f>1.699*100000000</f>
        <v>169900000</v>
      </c>
      <c r="S1624" s="8">
        <f t="shared" si="794"/>
        <v>-1.33203048661325</v>
      </c>
      <c r="T1624" s="6">
        <f>-5.117*100000000</f>
        <v>-511700000</v>
      </c>
      <c r="U1624" s="6" t="str">
        <f t="shared" si="778"/>
        <v>=-511700000</v>
      </c>
      <c r="V1624" s="1">
        <f>-511700000</f>
        <v>-511700000</v>
      </c>
      <c r="W1624" s="8">
        <f t="shared" si="795"/>
        <v>7.2296730930427489E-2</v>
      </c>
      <c r="X1624" s="6">
        <f>-4.772*100000000</f>
        <v>-477200000</v>
      </c>
      <c r="Y1624" s="6" t="str">
        <f t="shared" si="779"/>
        <v>=-477200000</v>
      </c>
      <c r="Z1624" s="1">
        <f>-477200000</f>
        <v>-477200000</v>
      </c>
      <c r="AA1624" s="8">
        <f t="shared" si="796"/>
        <v>0.59172781854569712</v>
      </c>
      <c r="AB1624" s="6">
        <f>-2.998*100000000</f>
        <v>-299800000</v>
      </c>
      <c r="AC1624" s="6" t="str">
        <f t="shared" si="780"/>
        <v>=-299800000</v>
      </c>
      <c r="AD1624" s="1">
        <f>-299800000</f>
        <v>-299800000</v>
      </c>
      <c r="AE1624" s="8">
        <f t="shared" si="797"/>
        <v>1.1338078291814946</v>
      </c>
      <c r="AF1624" s="6">
        <f>-1.405*100000000</f>
        <v>-140500000</v>
      </c>
      <c r="AG1624" s="6" t="str">
        <f t="shared" si="781"/>
        <v>=-140500000</v>
      </c>
      <c r="AH1624" s="1">
        <f>-140500000</f>
        <v>-140500000</v>
      </c>
      <c r="AI1624" s="8">
        <f t="shared" si="798"/>
        <v>-1.3468279437176005</v>
      </c>
      <c r="AJ1624" s="6" t="s">
        <v>15400</v>
      </c>
      <c r="AK1624" s="6" t="str">
        <f t="shared" si="782"/>
        <v>=4.051*100000000</v>
      </c>
      <c r="AL1624" s="1">
        <f>4.051*100000000</f>
        <v>405100000</v>
      </c>
      <c r="AM1624" s="8">
        <f t="shared" si="799"/>
        <v>0.17795870892701365</v>
      </c>
      <c r="AN1624" s="6" t="s">
        <v>6781</v>
      </c>
      <c r="AO1624" s="6" t="str">
        <f t="shared" si="783"/>
        <v>=3.439*100000000</v>
      </c>
      <c r="AP1624" s="1">
        <f>3.439*100000000</f>
        <v>343900000</v>
      </c>
      <c r="AQ1624" s="8">
        <f t="shared" si="800"/>
        <v>0.50240279598077764</v>
      </c>
      <c r="AR1624" s="6" t="s">
        <v>15036</v>
      </c>
      <c r="AS1624" s="6" t="str">
        <f t="shared" si="784"/>
        <v>=2.289*100000000</v>
      </c>
      <c r="AT1624" s="1">
        <f>2.289*100000000</f>
        <v>228900000</v>
      </c>
      <c r="AU1624" s="8">
        <f t="shared" si="801"/>
        <v>9.8368522072936657E-2</v>
      </c>
      <c r="AV1624" s="6" t="s">
        <v>8836</v>
      </c>
      <c r="AW1624" s="6" t="str">
        <f t="shared" si="785"/>
        <v>=2.084*100000000</v>
      </c>
      <c r="AX1624" s="1">
        <f>2.084*100000000</f>
        <v>208400000</v>
      </c>
      <c r="AY1624" s="10">
        <f t="shared" si="802"/>
        <v>-0.50744504845190264</v>
      </c>
      <c r="AZ1624" s="6" t="s">
        <v>15401</v>
      </c>
      <c r="BA1624" s="6" t="str">
        <f t="shared" si="786"/>
        <v>=4.231*100000000</v>
      </c>
      <c r="BB1624" s="1">
        <f>4.231*100000000</f>
        <v>423100000</v>
      </c>
      <c r="BC1624" s="8">
        <f t="shared" si="803"/>
        <v>-7.0854983467170528E-4</v>
      </c>
      <c r="BD1624" s="6" t="s">
        <v>15402</v>
      </c>
      <c r="BE1624" s="6" t="str">
        <f t="shared" si="787"/>
        <v>=4.234*100000000</v>
      </c>
      <c r="BF1624" s="1">
        <f>4.234*100000000</f>
        <v>423400000</v>
      </c>
      <c r="BG1624" s="8">
        <f t="shared" si="804"/>
        <v>0.42080536912751676</v>
      </c>
      <c r="BH1624" s="6" t="s">
        <v>1534</v>
      </c>
      <c r="BI1624" s="6" t="str">
        <f t="shared" si="788"/>
        <v>=2.980*100000000</v>
      </c>
      <c r="BJ1624" s="1">
        <f>2.98*100000000</f>
        <v>298000000</v>
      </c>
      <c r="BK1624" s="6" t="s">
        <v>194</v>
      </c>
      <c r="BL1624" s="1" t="str">
        <f t="shared" si="790"/>
        <v>=2.452*100000000</v>
      </c>
      <c r="BM1624" s="16">
        <f t="shared" si="805"/>
        <v>0.21533442088091354</v>
      </c>
      <c r="BN1624" s="1">
        <f>2.452*100000000</f>
        <v>245200000</v>
      </c>
    </row>
    <row r="1625" spans="1:66">
      <c r="A1625" s="19"/>
      <c r="B1625">
        <v>603103</v>
      </c>
      <c r="C1625" t="s">
        <v>68</v>
      </c>
      <c r="D1625" s="7" t="s">
        <v>15403</v>
      </c>
      <c r="E1625" s="7" t="str">
        <f t="shared" si="789"/>
        <v>=1367*10000</v>
      </c>
      <c r="F1625" s="1">
        <f>1367*10000</f>
        <v>13670000</v>
      </c>
      <c r="G1625" s="8">
        <f t="shared" si="791"/>
        <v>-0.78949799815214039</v>
      </c>
      <c r="H1625" s="7" t="s">
        <v>15404</v>
      </c>
      <c r="I1625" s="6" t="str">
        <f t="shared" si="775"/>
        <v>=6494*10000</v>
      </c>
      <c r="J1625" s="1">
        <f>6494*10000</f>
        <v>64940000</v>
      </c>
      <c r="K1625" s="10">
        <f t="shared" si="792"/>
        <v>-0.67723658051689861</v>
      </c>
      <c r="L1625" s="6" t="s">
        <v>13051</v>
      </c>
      <c r="M1625" s="6" t="str">
        <f t="shared" si="776"/>
        <v>=2.012*100000000</v>
      </c>
      <c r="N1625" s="1">
        <f>2.012*100000000</f>
        <v>201200000</v>
      </c>
      <c r="O1625" s="8">
        <f t="shared" si="793"/>
        <v>0.17523364485981308</v>
      </c>
      <c r="P1625" s="6" t="s">
        <v>15405</v>
      </c>
      <c r="Q1625" s="6" t="str">
        <f t="shared" si="777"/>
        <v>=1.712*100000000</v>
      </c>
      <c r="R1625" s="11">
        <f>1.712*100000000</f>
        <v>171200000</v>
      </c>
      <c r="S1625" s="8">
        <f t="shared" si="794"/>
        <v>-1.3554079302470416</v>
      </c>
      <c r="T1625" s="6">
        <f>-4.817*100000000</f>
        <v>-481700000</v>
      </c>
      <c r="U1625" s="6" t="str">
        <f t="shared" si="778"/>
        <v>=-481700000</v>
      </c>
      <c r="V1625" s="1">
        <f>-481700000</f>
        <v>-481700000</v>
      </c>
      <c r="W1625" s="8">
        <f t="shared" si="795"/>
        <v>5.9379810864306139E-2</v>
      </c>
      <c r="X1625" s="6">
        <f>-4.547*100000000</f>
        <v>-454700000</v>
      </c>
      <c r="Y1625" s="6" t="str">
        <f t="shared" si="779"/>
        <v>=-454700000</v>
      </c>
      <c r="Z1625" s="1">
        <f>-454700000</f>
        <v>-454700000</v>
      </c>
      <c r="AA1625" s="8">
        <f t="shared" si="796"/>
        <v>0.51769025367156207</v>
      </c>
      <c r="AB1625" s="6">
        <f>-2.996*100000000</f>
        <v>-299600000</v>
      </c>
      <c r="AC1625" s="6" t="str">
        <f t="shared" si="780"/>
        <v>=-299600000</v>
      </c>
      <c r="AD1625" s="1">
        <f>-299600000</f>
        <v>-299600000</v>
      </c>
      <c r="AE1625" s="8">
        <f t="shared" si="797"/>
        <v>1.1278409090909092</v>
      </c>
      <c r="AF1625" s="6">
        <f>-1.408*100000000</f>
        <v>-140800000</v>
      </c>
      <c r="AG1625" s="6" t="str">
        <f t="shared" si="781"/>
        <v>=-140800000</v>
      </c>
      <c r="AH1625" s="1">
        <f>-140800000</f>
        <v>-140800000</v>
      </c>
      <c r="AI1625" s="8">
        <f t="shared" si="798"/>
        <v>-1.4687083888149135</v>
      </c>
      <c r="AJ1625" s="6" t="s">
        <v>3495</v>
      </c>
      <c r="AK1625" s="6" t="str">
        <f t="shared" si="782"/>
        <v>=3.004*100000000</v>
      </c>
      <c r="AL1625" s="1">
        <f>3.004*100000000</f>
        <v>300400000</v>
      </c>
      <c r="AM1625" s="8">
        <f t="shared" si="799"/>
        <v>0.15316698656429942</v>
      </c>
      <c r="AN1625" s="6" t="s">
        <v>9718</v>
      </c>
      <c r="AO1625" s="6" t="str">
        <f t="shared" si="783"/>
        <v>=2.605*100000000</v>
      </c>
      <c r="AP1625" s="1">
        <f>2.605*100000000</f>
        <v>260500000</v>
      </c>
      <c r="AQ1625" s="8">
        <f t="shared" si="800"/>
        <v>0.50404157043879905</v>
      </c>
      <c r="AR1625" s="6" t="s">
        <v>230</v>
      </c>
      <c r="AS1625" s="6" t="str">
        <f t="shared" si="784"/>
        <v>=1.732*100000000</v>
      </c>
      <c r="AT1625" s="1">
        <f>1.732*100000000</f>
        <v>173200000</v>
      </c>
      <c r="AU1625" s="8">
        <f t="shared" si="801"/>
        <v>8.9993706733794837E-2</v>
      </c>
      <c r="AV1625" s="6" t="s">
        <v>2165</v>
      </c>
      <c r="AW1625" s="6" t="str">
        <f t="shared" si="785"/>
        <v>=1.589*100000000</v>
      </c>
      <c r="AX1625" s="1">
        <f>1.589*100000000</f>
        <v>158900000</v>
      </c>
      <c r="AY1625" s="10">
        <f t="shared" si="802"/>
        <v>-0.50452135952603683</v>
      </c>
      <c r="AZ1625" s="6" t="s">
        <v>15406</v>
      </c>
      <c r="BA1625" s="6" t="str">
        <f t="shared" si="786"/>
        <v>=3.207*100000000</v>
      </c>
      <c r="BB1625" s="1">
        <f>3.207*100000000</f>
        <v>320700000</v>
      </c>
      <c r="BC1625" s="8">
        <f t="shared" si="803"/>
        <v>-7.4280408542246983E-3</v>
      </c>
      <c r="BD1625" s="6" t="s">
        <v>15407</v>
      </c>
      <c r="BE1625" s="6" t="str">
        <f t="shared" si="787"/>
        <v>=3.231*100000000</v>
      </c>
      <c r="BF1625" s="1">
        <f>3.231*100000000</f>
        <v>323100000</v>
      </c>
      <c r="BG1625" s="8">
        <f t="shared" si="804"/>
        <v>0.42209507042253541</v>
      </c>
      <c r="BH1625" s="6" t="s">
        <v>10778</v>
      </c>
      <c r="BI1625" s="6" t="str">
        <f t="shared" si="788"/>
        <v>=2.272*100000000</v>
      </c>
      <c r="BJ1625" s="1">
        <f>2.272*100000000</f>
        <v>227199999.99999997</v>
      </c>
      <c r="BK1625" s="6" t="s">
        <v>15408</v>
      </c>
      <c r="BL1625" s="1" t="str">
        <f t="shared" si="790"/>
        <v>=1.887*100000000</v>
      </c>
      <c r="BM1625" s="16">
        <f t="shared" si="805"/>
        <v>0.20402755696873329</v>
      </c>
      <c r="BN1625" s="1">
        <f>1.887*100000000</f>
        <v>188700000</v>
      </c>
    </row>
    <row r="1626" spans="1:66">
      <c r="A1626" s="17">
        <v>408</v>
      </c>
      <c r="B1626">
        <v>603126</v>
      </c>
      <c r="C1626" t="s">
        <v>31</v>
      </c>
      <c r="D1626" s="6" t="s">
        <v>2278</v>
      </c>
      <c r="E1626" s="7" t="str">
        <f t="shared" si="789"/>
        <v>=29.41*100000000</v>
      </c>
      <c r="F1626" s="1">
        <f>29.41*100000000</f>
        <v>2941000000</v>
      </c>
      <c r="G1626" s="8">
        <f t="shared" si="791"/>
        <v>0.38857412653446649</v>
      </c>
      <c r="H1626" s="6" t="s">
        <v>4142</v>
      </c>
      <c r="I1626" s="6" t="str">
        <f t="shared" si="775"/>
        <v>=21.18*100000000</v>
      </c>
      <c r="J1626" s="1">
        <f>21.18*100000000</f>
        <v>2118000000</v>
      </c>
      <c r="K1626" s="10">
        <f t="shared" si="792"/>
        <v>0.42338709677419356</v>
      </c>
      <c r="L1626" s="6" t="s">
        <v>9572</v>
      </c>
      <c r="M1626" s="6" t="str">
        <f t="shared" si="776"/>
        <v>=14.88*100000000</v>
      </c>
      <c r="N1626" s="1">
        <f>14.88*100000000</f>
        <v>1488000000</v>
      </c>
      <c r="O1626" s="8">
        <f t="shared" si="793"/>
        <v>0.85976752905886766</v>
      </c>
      <c r="P1626" s="6" t="s">
        <v>15409</v>
      </c>
      <c r="Q1626" s="6" t="str">
        <f t="shared" si="777"/>
        <v>=8.001*100000000</v>
      </c>
      <c r="R1626" s="11">
        <f>8.001*100000000</f>
        <v>800100000</v>
      </c>
      <c r="S1626" s="8">
        <f t="shared" si="794"/>
        <v>-0.6919137466307278</v>
      </c>
      <c r="T1626" s="6" t="s">
        <v>12890</v>
      </c>
      <c r="U1626" s="6" t="str">
        <f t="shared" si="778"/>
        <v>=25.97*100000000</v>
      </c>
      <c r="V1626" s="1">
        <f>25.97*100000000</f>
        <v>2597000000</v>
      </c>
      <c r="W1626" s="8">
        <f t="shared" si="795"/>
        <v>0.39698762775685853</v>
      </c>
      <c r="X1626" s="6" t="s">
        <v>7360</v>
      </c>
      <c r="Y1626" s="6" t="str">
        <f t="shared" si="779"/>
        <v>=18.59*100000000</v>
      </c>
      <c r="Z1626" s="1">
        <f>18.59*100000000</f>
        <v>1859000000</v>
      </c>
      <c r="AA1626" s="8">
        <f t="shared" si="796"/>
        <v>0.6221640488656196</v>
      </c>
      <c r="AB1626" s="6" t="s">
        <v>5628</v>
      </c>
      <c r="AC1626" s="6" t="str">
        <f t="shared" si="780"/>
        <v>=11.46*100000000</v>
      </c>
      <c r="AD1626" s="1">
        <f>11.46*100000000</f>
        <v>1146000000</v>
      </c>
      <c r="AE1626" s="8">
        <f t="shared" si="797"/>
        <v>2.0333509793541555</v>
      </c>
      <c r="AF1626" s="6" t="s">
        <v>8392</v>
      </c>
      <c r="AG1626" s="6" t="str">
        <f t="shared" si="781"/>
        <v>=3.778*100000000</v>
      </c>
      <c r="AH1626" s="1">
        <f>3.778*100000000</f>
        <v>377800000</v>
      </c>
      <c r="AI1626" s="8">
        <f t="shared" si="798"/>
        <v>-0.83378794544654644</v>
      </c>
      <c r="AJ1626" s="6" t="s">
        <v>12673</v>
      </c>
      <c r="AK1626" s="6" t="str">
        <f t="shared" si="782"/>
        <v>=22.73*100000000</v>
      </c>
      <c r="AL1626" s="1">
        <f>22.73*100000000</f>
        <v>2273000000</v>
      </c>
      <c r="AM1626" s="8">
        <f t="shared" si="799"/>
        <v>0.46550612508059319</v>
      </c>
      <c r="AN1626" s="6" t="s">
        <v>3049</v>
      </c>
      <c r="AO1626" s="6" t="str">
        <f t="shared" si="783"/>
        <v>=15.51*100000000</v>
      </c>
      <c r="AP1626" s="1">
        <f>15.51*100000000</f>
        <v>1551000000</v>
      </c>
      <c r="AQ1626" s="8">
        <f t="shared" si="800"/>
        <v>0.50728862973760946</v>
      </c>
      <c r="AR1626" s="6" t="s">
        <v>9984</v>
      </c>
      <c r="AS1626" s="6" t="str">
        <f t="shared" si="784"/>
        <v>=10.29*100000000</v>
      </c>
      <c r="AT1626" s="1">
        <f>10.29*100000000</f>
        <v>1028999999.9999999</v>
      </c>
      <c r="AU1626" s="8">
        <f t="shared" si="801"/>
        <v>1.5109809663250364</v>
      </c>
      <c r="AV1626" s="6" t="s">
        <v>9047</v>
      </c>
      <c r="AW1626" s="6" t="str">
        <f t="shared" si="785"/>
        <v>=4.098*100000000</v>
      </c>
      <c r="AX1626" s="1">
        <f>4.098*100000000</f>
        <v>409800000</v>
      </c>
      <c r="AY1626" s="10">
        <f t="shared" si="802"/>
        <v>-0.7813233724653148</v>
      </c>
      <c r="AZ1626" s="6" t="s">
        <v>6522</v>
      </c>
      <c r="BA1626" s="6" t="str">
        <f t="shared" si="786"/>
        <v>=18.74*100000000</v>
      </c>
      <c r="BB1626" s="1">
        <f>18.74*100000000</f>
        <v>1873999999.9999998</v>
      </c>
      <c r="BC1626" s="8">
        <f t="shared" si="803"/>
        <v>0.45158791634391926</v>
      </c>
      <c r="BD1626" s="6" t="s">
        <v>6466</v>
      </c>
      <c r="BE1626" s="6" t="str">
        <f t="shared" si="787"/>
        <v>=12.91*100000000</v>
      </c>
      <c r="BF1626" s="1">
        <f>12.91*100000000</f>
        <v>1291000000</v>
      </c>
      <c r="BG1626" s="8">
        <f t="shared" si="804"/>
        <v>0.552242395094385</v>
      </c>
      <c r="BH1626" s="6" t="s">
        <v>7129</v>
      </c>
      <c r="BI1626" s="6" t="str">
        <f t="shared" si="788"/>
        <v>=8.317*100000000</v>
      </c>
      <c r="BJ1626" s="1">
        <f>8.317*100000000</f>
        <v>831700000</v>
      </c>
      <c r="BK1626" s="6" t="s">
        <v>915</v>
      </c>
      <c r="BL1626" s="1" t="str">
        <f t="shared" si="790"/>
        <v>=3.243*100000000</v>
      </c>
      <c r="BM1626" s="16">
        <f t="shared" si="805"/>
        <v>1.5646006783842121</v>
      </c>
      <c r="BN1626" s="1">
        <f>3.243*100000000</f>
        <v>324300000</v>
      </c>
    </row>
    <row r="1627" spans="1:66">
      <c r="A1627" s="18"/>
      <c r="B1627">
        <v>603126</v>
      </c>
      <c r="C1627" t="s">
        <v>48</v>
      </c>
      <c r="D1627" s="6" t="s">
        <v>5206</v>
      </c>
      <c r="E1627" s="7" t="str">
        <f t="shared" si="789"/>
        <v>=2.129*100000000</v>
      </c>
      <c r="F1627" s="1">
        <f>2.129*100000000</f>
        <v>212900000</v>
      </c>
      <c r="G1627" s="8">
        <f t="shared" si="791"/>
        <v>0.44633152173913043</v>
      </c>
      <c r="H1627" s="6" t="s">
        <v>6588</v>
      </c>
      <c r="I1627" s="6" t="str">
        <f t="shared" si="775"/>
        <v>=1.472*100000000</v>
      </c>
      <c r="J1627" s="1">
        <f>1.472*100000000</f>
        <v>147200000</v>
      </c>
      <c r="K1627" s="10">
        <f t="shared" si="792"/>
        <v>0.33575317604355698</v>
      </c>
      <c r="L1627" s="6" t="s">
        <v>9904</v>
      </c>
      <c r="M1627" s="6" t="str">
        <f t="shared" si="776"/>
        <v>=1.102*100000000</v>
      </c>
      <c r="N1627" s="1">
        <f>1.102*100000000</f>
        <v>110200000.00000001</v>
      </c>
      <c r="O1627" s="8">
        <f t="shared" si="793"/>
        <v>1.7508736894658017</v>
      </c>
      <c r="P1627" s="7" t="s">
        <v>15410</v>
      </c>
      <c r="Q1627" s="6" t="str">
        <f t="shared" si="777"/>
        <v>=4006*10000</v>
      </c>
      <c r="R1627" s="11">
        <f>4006*10000</f>
        <v>40060000</v>
      </c>
      <c r="S1627" s="8">
        <f t="shared" si="794"/>
        <v>-0.79102764736567555</v>
      </c>
      <c r="T1627" s="6" t="s">
        <v>12217</v>
      </c>
      <c r="U1627" s="6" t="str">
        <f t="shared" si="778"/>
        <v>=1.917*100000000</v>
      </c>
      <c r="V1627" s="1">
        <f>1.917*100000000</f>
        <v>191700000</v>
      </c>
      <c r="W1627" s="8">
        <f t="shared" si="795"/>
        <v>1.4189274447949527</v>
      </c>
      <c r="X1627" s="7" t="s">
        <v>15411</v>
      </c>
      <c r="Y1627" s="6" t="str">
        <f t="shared" si="779"/>
        <v>=7925*10000</v>
      </c>
      <c r="Z1627" s="1">
        <f>7925*10000</f>
        <v>79250000</v>
      </c>
      <c r="AA1627" s="8">
        <f t="shared" si="796"/>
        <v>2.0271199388846446</v>
      </c>
      <c r="AB1627" s="7" t="s">
        <v>6552</v>
      </c>
      <c r="AC1627" s="6" t="str">
        <f t="shared" si="780"/>
        <v>=2618*10000</v>
      </c>
      <c r="AD1627" s="1">
        <f>2618*10000</f>
        <v>26180000</v>
      </c>
      <c r="AE1627" s="8">
        <f t="shared" si="797"/>
        <v>-2.8929862617498192</v>
      </c>
      <c r="AF1627" s="7">
        <f>-1383*10000</f>
        <v>-13830000</v>
      </c>
      <c r="AG1627" s="6" t="str">
        <f t="shared" si="781"/>
        <v>=-13830000</v>
      </c>
      <c r="AH1627" s="1">
        <f>-13830000</f>
        <v>-13830000</v>
      </c>
      <c r="AI1627" s="8">
        <f t="shared" si="798"/>
        <v>-1.1052511415525115</v>
      </c>
      <c r="AJ1627" s="6" t="s">
        <v>3883</v>
      </c>
      <c r="AK1627" s="6" t="str">
        <f t="shared" si="782"/>
        <v>=1.314*100000000</v>
      </c>
      <c r="AL1627" s="1">
        <f>1.314*100000000</f>
        <v>131400000</v>
      </c>
      <c r="AM1627" s="8">
        <f t="shared" si="799"/>
        <v>0.39831861232308186</v>
      </c>
      <c r="AN1627" s="7" t="s">
        <v>15080</v>
      </c>
      <c r="AO1627" s="6" t="str">
        <f t="shared" si="783"/>
        <v>=9397*10000</v>
      </c>
      <c r="AP1627" s="1">
        <f>9397*10000</f>
        <v>93970000</v>
      </c>
      <c r="AQ1627" s="8">
        <f t="shared" si="800"/>
        <v>0.40694714777661328</v>
      </c>
      <c r="AR1627" s="7" t="s">
        <v>15412</v>
      </c>
      <c r="AS1627" s="6" t="str">
        <f t="shared" si="784"/>
        <v>=6679*10000</v>
      </c>
      <c r="AT1627" s="1">
        <f>6679*10000</f>
        <v>66790000</v>
      </c>
      <c r="AU1627" s="8">
        <f t="shared" si="801"/>
        <v>12.001751995328013</v>
      </c>
      <c r="AV1627" s="7" t="s">
        <v>15413</v>
      </c>
      <c r="AW1627" s="6" t="str">
        <f t="shared" si="785"/>
        <v>=513.7*10000</v>
      </c>
      <c r="AX1627" s="1">
        <f>513.7*10000</f>
        <v>5137000</v>
      </c>
      <c r="AY1627" s="10">
        <f t="shared" si="802"/>
        <v>-0.96791380387257964</v>
      </c>
      <c r="AZ1627" s="6" t="s">
        <v>2910</v>
      </c>
      <c r="BA1627" s="6" t="str">
        <f t="shared" si="786"/>
        <v>=1.601*100000000</v>
      </c>
      <c r="BB1627" s="1">
        <f>1.601*100000000</f>
        <v>160100000</v>
      </c>
      <c r="BC1627" s="8">
        <f t="shared" si="803"/>
        <v>0.34877843302443134</v>
      </c>
      <c r="BD1627" s="6" t="s">
        <v>2238</v>
      </c>
      <c r="BE1627" s="6" t="str">
        <f t="shared" si="787"/>
        <v>=1.187*100000000</v>
      </c>
      <c r="BF1627" s="1">
        <f>1.187*100000000</f>
        <v>118700000</v>
      </c>
      <c r="BG1627" s="8">
        <f t="shared" si="804"/>
        <v>0.80614729153986608</v>
      </c>
      <c r="BH1627" s="7" t="s">
        <v>15414</v>
      </c>
      <c r="BI1627" s="6" t="str">
        <f t="shared" si="788"/>
        <v>=6572*10000</v>
      </c>
      <c r="BJ1627" s="1">
        <f>6572*10000</f>
        <v>65720000</v>
      </c>
      <c r="BK1627" s="7" t="s">
        <v>15415</v>
      </c>
      <c r="BL1627" s="1" t="str">
        <f t="shared" si="790"/>
        <v>=1235*10000</v>
      </c>
      <c r="BM1627" s="16">
        <f t="shared" si="805"/>
        <v>4.3214574898785427</v>
      </c>
      <c r="BN1627" s="1">
        <f>1235*10000</f>
        <v>12350000</v>
      </c>
    </row>
    <row r="1628" spans="1:66">
      <c r="A1628" s="18"/>
      <c r="B1628">
        <v>603126</v>
      </c>
      <c r="C1628" t="s">
        <v>58</v>
      </c>
      <c r="D1628" s="6" t="s">
        <v>7935</v>
      </c>
      <c r="E1628" s="7" t="str">
        <f t="shared" si="789"/>
        <v>=2.087*100000000</v>
      </c>
      <c r="F1628" s="1">
        <f>2.087*100000000</f>
        <v>208700000.00000003</v>
      </c>
      <c r="G1628" s="8">
        <f t="shared" si="791"/>
        <v>0.43535075653370037</v>
      </c>
      <c r="H1628" s="6" t="s">
        <v>11703</v>
      </c>
      <c r="I1628" s="6" t="str">
        <f t="shared" si="775"/>
        <v>=1.454*100000000</v>
      </c>
      <c r="J1628" s="1">
        <f>1.454*100000000</f>
        <v>145400000</v>
      </c>
      <c r="K1628" s="10">
        <f t="shared" si="792"/>
        <v>0.3206176203451408</v>
      </c>
      <c r="L1628" s="6" t="s">
        <v>7720</v>
      </c>
      <c r="M1628" s="6" t="str">
        <f t="shared" si="776"/>
        <v>=1.101*100000000</v>
      </c>
      <c r="N1628" s="1">
        <f>1.101*100000000</f>
        <v>110100000</v>
      </c>
      <c r="O1628" s="8">
        <f t="shared" si="793"/>
        <v>1.7497502497502497</v>
      </c>
      <c r="P1628" s="7" t="s">
        <v>15416</v>
      </c>
      <c r="Q1628" s="6" t="str">
        <f t="shared" si="777"/>
        <v>=4004*10000</v>
      </c>
      <c r="R1628" s="11">
        <f>4004*10000</f>
        <v>40040000</v>
      </c>
      <c r="S1628" s="8">
        <f t="shared" si="794"/>
        <v>-0.78769883351007419</v>
      </c>
      <c r="T1628" s="6" t="s">
        <v>3513</v>
      </c>
      <c r="U1628" s="6" t="str">
        <f t="shared" si="778"/>
        <v>=1.886*100000000</v>
      </c>
      <c r="V1628" s="1">
        <f>1.886*100000000</f>
        <v>188600000</v>
      </c>
      <c r="W1628" s="8">
        <f t="shared" si="795"/>
        <v>1.454450806871421</v>
      </c>
      <c r="X1628" s="7" t="s">
        <v>15417</v>
      </c>
      <c r="Y1628" s="6" t="str">
        <f t="shared" si="779"/>
        <v>=7684*10000</v>
      </c>
      <c r="Z1628" s="1">
        <f>7684*10000</f>
        <v>76840000</v>
      </c>
      <c r="AA1628" s="8">
        <f t="shared" si="796"/>
        <v>2.2823579666809057</v>
      </c>
      <c r="AB1628" s="7" t="s">
        <v>15418</v>
      </c>
      <c r="AC1628" s="6" t="str">
        <f t="shared" si="780"/>
        <v>=2341*10000</v>
      </c>
      <c r="AD1628" s="1">
        <f>2341*10000</f>
        <v>23410000</v>
      </c>
      <c r="AE1628" s="8">
        <f t="shared" si="797"/>
        <v>-2.4300549786194257</v>
      </c>
      <c r="AF1628" s="7">
        <f>-1637*10000</f>
        <v>-16370000</v>
      </c>
      <c r="AG1628" s="6" t="str">
        <f t="shared" si="781"/>
        <v>=-16370000</v>
      </c>
      <c r="AH1628" s="1">
        <f>-16370000</f>
        <v>-16370000</v>
      </c>
      <c r="AI1628" s="8">
        <f t="shared" si="798"/>
        <v>-1.0956750438340153</v>
      </c>
      <c r="AJ1628" s="6" t="s">
        <v>5705</v>
      </c>
      <c r="AK1628" s="6" t="str">
        <f t="shared" si="782"/>
        <v>=1.711*100000000</v>
      </c>
      <c r="AL1628" s="1">
        <f>1.711*100000000</f>
        <v>171100000</v>
      </c>
      <c r="AM1628" s="8">
        <f t="shared" si="799"/>
        <v>0.85153121956498212</v>
      </c>
      <c r="AN1628" s="7" t="s">
        <v>15419</v>
      </c>
      <c r="AO1628" s="6" t="str">
        <f t="shared" si="783"/>
        <v>=9241*10000</v>
      </c>
      <c r="AP1628" s="1">
        <f>9241*10000</f>
        <v>92410000</v>
      </c>
      <c r="AQ1628" s="8">
        <f t="shared" si="800"/>
        <v>0.39697656840513984</v>
      </c>
      <c r="AR1628" s="7" t="s">
        <v>15420</v>
      </c>
      <c r="AS1628" s="6" t="str">
        <f t="shared" si="784"/>
        <v>=6615*10000</v>
      </c>
      <c r="AT1628" s="1">
        <f>6615*10000</f>
        <v>66150000</v>
      </c>
      <c r="AU1628" s="8">
        <f t="shared" si="801"/>
        <v>12.888305689691371</v>
      </c>
      <c r="AV1628" s="7" t="s">
        <v>15421</v>
      </c>
      <c r="AW1628" s="6" t="str">
        <f t="shared" si="785"/>
        <v>=476.3*10000</v>
      </c>
      <c r="AX1628" s="1">
        <f>476.3*10000</f>
        <v>4763000</v>
      </c>
      <c r="AY1628" s="10">
        <f t="shared" si="802"/>
        <v>-0.97147904191616763</v>
      </c>
      <c r="AZ1628" s="6" t="s">
        <v>3435</v>
      </c>
      <c r="BA1628" s="6" t="str">
        <f t="shared" si="786"/>
        <v>=1.670*100000000</v>
      </c>
      <c r="BB1628" s="1">
        <f>1.67*100000000</f>
        <v>167000000</v>
      </c>
      <c r="BC1628" s="8">
        <f t="shared" si="803"/>
        <v>0.41285956006768187</v>
      </c>
      <c r="BD1628" s="6" t="s">
        <v>13786</v>
      </c>
      <c r="BE1628" s="6" t="str">
        <f t="shared" si="787"/>
        <v>=1.182*100000000</v>
      </c>
      <c r="BF1628" s="1">
        <f>1.182*100000000</f>
        <v>118200000</v>
      </c>
      <c r="BG1628" s="8">
        <f t="shared" si="804"/>
        <v>0.81316152784169349</v>
      </c>
      <c r="BH1628" s="7" t="s">
        <v>15422</v>
      </c>
      <c r="BI1628" s="6" t="str">
        <f t="shared" si="788"/>
        <v>=6519*10000</v>
      </c>
      <c r="BJ1628" s="1">
        <f>6519*10000</f>
        <v>65190000</v>
      </c>
      <c r="BK1628" s="7" t="s">
        <v>15423</v>
      </c>
      <c r="BL1628" s="1" t="str">
        <f t="shared" si="790"/>
        <v>=1239*10000</v>
      </c>
      <c r="BM1628" s="16">
        <f t="shared" si="805"/>
        <v>4.2615012106537531</v>
      </c>
      <c r="BN1628" s="1">
        <f>1239*10000</f>
        <v>12390000</v>
      </c>
    </row>
    <row r="1629" spans="1:66">
      <c r="A1629" s="19"/>
      <c r="B1629">
        <v>603126</v>
      </c>
      <c r="C1629" t="s">
        <v>68</v>
      </c>
      <c r="D1629" s="6" t="s">
        <v>10446</v>
      </c>
      <c r="E1629" s="7" t="str">
        <f t="shared" si="789"/>
        <v>=1.801*100000000</v>
      </c>
      <c r="F1629" s="1">
        <f>1.801*100000000</f>
        <v>180100000</v>
      </c>
      <c r="G1629" s="8">
        <f t="shared" si="791"/>
        <v>0.36646433990895294</v>
      </c>
      <c r="H1629" s="6" t="s">
        <v>10030</v>
      </c>
      <c r="I1629" s="6" t="str">
        <f t="shared" si="775"/>
        <v>=1.318*100000000</v>
      </c>
      <c r="J1629" s="1">
        <f>1.318*100000000</f>
        <v>131800000</v>
      </c>
      <c r="K1629" s="10">
        <f t="shared" si="792"/>
        <v>0.37205912971059757</v>
      </c>
      <c r="L1629" s="7" t="s">
        <v>15424</v>
      </c>
      <c r="M1629" s="6" t="str">
        <f t="shared" si="776"/>
        <v>=9606*10000</v>
      </c>
      <c r="N1629" s="1">
        <f>9606*10000</f>
        <v>96060000</v>
      </c>
      <c r="O1629" s="8">
        <f t="shared" si="793"/>
        <v>1.6448237885462555</v>
      </c>
      <c r="P1629" s="7" t="s">
        <v>9788</v>
      </c>
      <c r="Q1629" s="6" t="str">
        <f t="shared" si="777"/>
        <v>=3632*10000</v>
      </c>
      <c r="R1629" s="11">
        <f>3632*10000</f>
        <v>36320000</v>
      </c>
      <c r="S1629" s="8">
        <f t="shared" si="794"/>
        <v>-0.76522301228183576</v>
      </c>
      <c r="T1629" s="6" t="s">
        <v>9543</v>
      </c>
      <c r="U1629" s="6" t="str">
        <f t="shared" si="778"/>
        <v>=1.547*100000000</v>
      </c>
      <c r="V1629" s="1">
        <f>1.547*100000000</f>
        <v>154700000</v>
      </c>
      <c r="W1629" s="8">
        <f t="shared" si="795"/>
        <v>1.622478386167147</v>
      </c>
      <c r="X1629" s="7" t="s">
        <v>15425</v>
      </c>
      <c r="Y1629" s="6" t="str">
        <f t="shared" si="779"/>
        <v>=5899*10000</v>
      </c>
      <c r="Z1629" s="1">
        <f>5899*10000</f>
        <v>58990000</v>
      </c>
      <c r="AA1629" s="8">
        <f t="shared" si="796"/>
        <v>3.7003984063745019</v>
      </c>
      <c r="AB1629" s="7" t="s">
        <v>7320</v>
      </c>
      <c r="AC1629" s="6" t="str">
        <f t="shared" si="780"/>
        <v>=1255*10000</v>
      </c>
      <c r="AD1629" s="1">
        <f>1255*10000</f>
        <v>12550000</v>
      </c>
      <c r="AE1629" s="8">
        <f t="shared" si="797"/>
        <v>-1.7216791259344451</v>
      </c>
      <c r="AF1629" s="7">
        <f>-1739*10000</f>
        <v>-17390000</v>
      </c>
      <c r="AG1629" s="6" t="str">
        <f t="shared" si="781"/>
        <v>=-17390000</v>
      </c>
      <c r="AH1629" s="1">
        <f>-17390000</f>
        <v>-17390000</v>
      </c>
      <c r="AI1629" s="8">
        <f t="shared" si="798"/>
        <v>-1.1227240649258998</v>
      </c>
      <c r="AJ1629" s="6" t="s">
        <v>15426</v>
      </c>
      <c r="AK1629" s="6" t="str">
        <f t="shared" si="782"/>
        <v>=1.417*100000000</v>
      </c>
      <c r="AL1629" s="1">
        <f>1.417*100000000</f>
        <v>141700000</v>
      </c>
      <c r="AM1629" s="8">
        <f t="shared" si="799"/>
        <v>0.79412509496074957</v>
      </c>
      <c r="AN1629" s="7" t="s">
        <v>15427</v>
      </c>
      <c r="AO1629" s="6" t="str">
        <f t="shared" si="783"/>
        <v>=7898*10000</v>
      </c>
      <c r="AP1629" s="1">
        <f>7898*10000</f>
        <v>78980000</v>
      </c>
      <c r="AQ1629" s="8">
        <f t="shared" si="800"/>
        <v>0.44308423168280653</v>
      </c>
      <c r="AR1629" s="7" t="s">
        <v>15428</v>
      </c>
      <c r="AS1629" s="6" t="str">
        <f t="shared" si="784"/>
        <v>=5473*10000</v>
      </c>
      <c r="AT1629" s="1">
        <f>5473*10000</f>
        <v>54730000</v>
      </c>
      <c r="AU1629" s="8">
        <f t="shared" si="801"/>
        <v>717.61869747899163</v>
      </c>
      <c r="AV1629" s="7" t="s">
        <v>15429</v>
      </c>
      <c r="AW1629" s="6" t="str">
        <f t="shared" si="785"/>
        <v>=7.616*10000</v>
      </c>
      <c r="AX1629" s="1">
        <f>7.616*10000</f>
        <v>76160</v>
      </c>
      <c r="AY1629" s="10">
        <f t="shared" si="802"/>
        <v>-0.99945483178239081</v>
      </c>
      <c r="AZ1629" s="6" t="s">
        <v>12775</v>
      </c>
      <c r="BA1629" s="6" t="str">
        <f t="shared" si="786"/>
        <v>=1.397*100000000</v>
      </c>
      <c r="BB1629" s="1">
        <f>1.397*100000000</f>
        <v>139700000</v>
      </c>
      <c r="BC1629" s="8">
        <f t="shared" si="803"/>
        <v>0.42842535787321062</v>
      </c>
      <c r="BD1629" s="7" t="s">
        <v>15430</v>
      </c>
      <c r="BE1629" s="6" t="str">
        <f t="shared" si="787"/>
        <v>=9780*10000</v>
      </c>
      <c r="BF1629" s="1">
        <f>9780*10000</f>
        <v>97800000</v>
      </c>
      <c r="BG1629" s="8">
        <f t="shared" si="804"/>
        <v>0.8263305322128851</v>
      </c>
      <c r="BH1629" s="7" t="s">
        <v>15431</v>
      </c>
      <c r="BI1629" s="6" t="str">
        <f t="shared" si="788"/>
        <v>=5355*10000</v>
      </c>
      <c r="BJ1629" s="1">
        <f>5355*10000</f>
        <v>53550000</v>
      </c>
      <c r="BK1629" s="7" t="s">
        <v>15432</v>
      </c>
      <c r="BL1629" s="1" t="str">
        <f t="shared" si="790"/>
        <v>=910.8*10000</v>
      </c>
      <c r="BM1629" s="16">
        <f t="shared" si="805"/>
        <v>4.8794466403162051</v>
      </c>
      <c r="BN1629" s="1">
        <f>910.8*10000</f>
        <v>9108000</v>
      </c>
    </row>
    <row r="1630" spans="1:66">
      <c r="A1630" s="17">
        <v>409</v>
      </c>
      <c r="B1630">
        <v>603127</v>
      </c>
      <c r="C1630" t="s">
        <v>31</v>
      </c>
      <c r="D1630" s="6" t="s">
        <v>4493</v>
      </c>
      <c r="E1630" s="7" t="str">
        <f t="shared" si="789"/>
        <v>=15.17*100000000</v>
      </c>
      <c r="F1630" s="1">
        <f>15.17*100000000</f>
        <v>1517000000</v>
      </c>
      <c r="G1630" s="8">
        <f t="shared" si="791"/>
        <v>0.7705415499533147</v>
      </c>
      <c r="H1630" s="6" t="s">
        <v>15433</v>
      </c>
      <c r="I1630" s="6" t="str">
        <f t="shared" si="775"/>
        <v>=8.568*100000000</v>
      </c>
      <c r="J1630" s="1">
        <f>8.568*100000000</f>
        <v>856800000</v>
      </c>
      <c r="K1630" s="10">
        <f t="shared" si="792"/>
        <v>0.60269360269360273</v>
      </c>
      <c r="L1630" s="6" t="s">
        <v>15434</v>
      </c>
      <c r="M1630" s="6" t="str">
        <f t="shared" si="776"/>
        <v>=5.346*100000000</v>
      </c>
      <c r="N1630" s="1">
        <f>5.346*100000000</f>
        <v>534600000</v>
      </c>
      <c r="O1630" s="8">
        <f t="shared" si="793"/>
        <v>1.6597014925373137</v>
      </c>
      <c r="P1630" s="6" t="s">
        <v>3385</v>
      </c>
      <c r="Q1630" s="6" t="str">
        <f t="shared" si="777"/>
        <v>=2.010*100000000</v>
      </c>
      <c r="R1630" s="11">
        <f>2.01*100000000</f>
        <v>200999999.99999997</v>
      </c>
      <c r="S1630" s="8">
        <f t="shared" si="794"/>
        <v>-0.81319702602230481</v>
      </c>
      <c r="T1630" s="6" t="s">
        <v>649</v>
      </c>
      <c r="U1630" s="6" t="str">
        <f t="shared" si="778"/>
        <v>=10.76*100000000</v>
      </c>
      <c r="V1630" s="1">
        <f>10.76*100000000</f>
        <v>1076000000</v>
      </c>
      <c r="W1630" s="8">
        <f t="shared" si="795"/>
        <v>0.70387965162311961</v>
      </c>
      <c r="X1630" s="6" t="s">
        <v>15435</v>
      </c>
      <c r="Y1630" s="6" t="str">
        <f t="shared" si="779"/>
        <v>=6.315*100000000</v>
      </c>
      <c r="Z1630" s="1">
        <f>6.315*100000000</f>
        <v>631500000</v>
      </c>
      <c r="AA1630" s="8">
        <f t="shared" si="796"/>
        <v>0.58907901358832415</v>
      </c>
      <c r="AB1630" s="6" t="s">
        <v>490</v>
      </c>
      <c r="AC1630" s="6" t="str">
        <f t="shared" si="780"/>
        <v>=3.974*100000000</v>
      </c>
      <c r="AD1630" s="1">
        <f>3.974*100000000</f>
        <v>397400000</v>
      </c>
      <c r="AE1630" s="8">
        <f t="shared" si="797"/>
        <v>1.5688429217840982</v>
      </c>
      <c r="AF1630" s="6" t="s">
        <v>9543</v>
      </c>
      <c r="AG1630" s="6" t="str">
        <f t="shared" si="781"/>
        <v>=1.547*100000000</v>
      </c>
      <c r="AH1630" s="1">
        <f>1.547*100000000</f>
        <v>154700000</v>
      </c>
      <c r="AI1630" s="8">
        <f t="shared" si="798"/>
        <v>-0.75805442602439788</v>
      </c>
      <c r="AJ1630" s="6" t="s">
        <v>9335</v>
      </c>
      <c r="AK1630" s="6" t="str">
        <f t="shared" si="782"/>
        <v>=6.394*100000000</v>
      </c>
      <c r="AL1630" s="1">
        <f>6.394*100000000</f>
        <v>639400000</v>
      </c>
      <c r="AM1630" s="8">
        <f t="shared" si="799"/>
        <v>0.83472022955523673</v>
      </c>
      <c r="AN1630" s="6" t="s">
        <v>11958</v>
      </c>
      <c r="AO1630" s="6" t="str">
        <f t="shared" si="783"/>
        <v>=3.485*100000000</v>
      </c>
      <c r="AP1630" s="1">
        <f>3.485*100000000</f>
        <v>348500000</v>
      </c>
      <c r="AQ1630" s="8">
        <f t="shared" si="800"/>
        <v>0.73469387755102045</v>
      </c>
      <c r="AR1630" s="6" t="s">
        <v>9516</v>
      </c>
      <c r="AS1630" s="6" t="str">
        <f t="shared" si="784"/>
        <v>=2.009*100000000</v>
      </c>
      <c r="AT1630" s="1">
        <f>2.009*100000000</f>
        <v>200900000</v>
      </c>
      <c r="AU1630" s="8">
        <f t="shared" si="801"/>
        <v>1.6995431335662456</v>
      </c>
      <c r="AV1630" s="7" t="s">
        <v>15436</v>
      </c>
      <c r="AW1630" s="6" t="str">
        <f t="shared" si="785"/>
        <v>=7442*10000</v>
      </c>
      <c r="AX1630" s="1">
        <f>7442*10000</f>
        <v>74420000</v>
      </c>
      <c r="AY1630" s="10">
        <f t="shared" si="802"/>
        <v>-0.81795499021526419</v>
      </c>
      <c r="AZ1630" s="6" t="s">
        <v>8768</v>
      </c>
      <c r="BA1630" s="6" t="str">
        <f t="shared" si="786"/>
        <v>=4.088*100000000</v>
      </c>
      <c r="BB1630" s="1">
        <f>4.088*100000000</f>
        <v>408800000</v>
      </c>
      <c r="BC1630" s="8">
        <f t="shared" si="803"/>
        <v>0.67678424938474135</v>
      </c>
      <c r="BD1630" s="6" t="s">
        <v>11699</v>
      </c>
      <c r="BE1630" s="6" t="str">
        <f t="shared" si="787"/>
        <v>=2.438*100000000</v>
      </c>
      <c r="BF1630" s="1">
        <f>2.438*100000000</f>
        <v>243800000.00000003</v>
      </c>
      <c r="BG1630" s="8">
        <f t="shared" si="804"/>
        <v>0.8045891931902297</v>
      </c>
      <c r="BH1630" s="6" t="s">
        <v>4744</v>
      </c>
      <c r="BI1630" s="6" t="str">
        <f t="shared" si="788"/>
        <v>=1.351*100000000</v>
      </c>
      <c r="BJ1630" s="1">
        <f>1.351*100000000</f>
        <v>135100000</v>
      </c>
      <c r="BK1630" s="7" t="s">
        <v>15437</v>
      </c>
      <c r="BL1630" s="1" t="str">
        <f t="shared" si="790"/>
        <v>=5163*10000</v>
      </c>
      <c r="BM1630" s="16">
        <f t="shared" si="805"/>
        <v>1.6166957195429015</v>
      </c>
      <c r="BN1630" s="1">
        <f>5163*10000</f>
        <v>51630000</v>
      </c>
    </row>
    <row r="1631" spans="1:66">
      <c r="A1631" s="18"/>
      <c r="B1631">
        <v>603127</v>
      </c>
      <c r="C1631" t="s">
        <v>48</v>
      </c>
      <c r="D1631" s="6" t="s">
        <v>8147</v>
      </c>
      <c r="E1631" s="7" t="str">
        <f t="shared" si="789"/>
        <v>=6.429*100000000</v>
      </c>
      <c r="F1631" s="1">
        <f>6.429*100000000</f>
        <v>642900000</v>
      </c>
      <c r="G1631" s="8">
        <f t="shared" si="791"/>
        <v>1.2838365896980461</v>
      </c>
      <c r="H1631" s="6" t="s">
        <v>15438</v>
      </c>
      <c r="I1631" s="6" t="str">
        <f t="shared" si="775"/>
        <v>=2.815*100000000</v>
      </c>
      <c r="J1631" s="1">
        <f>2.815*100000000</f>
        <v>281500000</v>
      </c>
      <c r="K1631" s="10">
        <f t="shared" si="792"/>
        <v>0.6187464059804485</v>
      </c>
      <c r="L1631" s="6" t="s">
        <v>10072</v>
      </c>
      <c r="M1631" s="6" t="str">
        <f t="shared" si="776"/>
        <v>=1.739*100000000</v>
      </c>
      <c r="N1631" s="1">
        <f>1.739*100000000</f>
        <v>173900000</v>
      </c>
      <c r="O1631" s="8">
        <f t="shared" si="793"/>
        <v>0.61317254174397029</v>
      </c>
      <c r="P1631" s="6" t="s">
        <v>2153</v>
      </c>
      <c r="Q1631" s="6" t="str">
        <f t="shared" si="777"/>
        <v>=1.078*100000000</v>
      </c>
      <c r="R1631" s="11">
        <f>1.078*100000000</f>
        <v>107800000</v>
      </c>
      <c r="S1631" s="8">
        <f t="shared" si="794"/>
        <v>-0.70146773746884516</v>
      </c>
      <c r="T1631" s="6" t="s">
        <v>6540</v>
      </c>
      <c r="U1631" s="6" t="str">
        <f t="shared" si="778"/>
        <v>=3.611*100000000</v>
      </c>
      <c r="V1631" s="1">
        <f>3.611*100000000</f>
        <v>361100000</v>
      </c>
      <c r="W1631" s="8">
        <f t="shared" si="795"/>
        <v>1.2582864290181364</v>
      </c>
      <c r="X1631" s="6" t="s">
        <v>11228</v>
      </c>
      <c r="Y1631" s="6" t="str">
        <f t="shared" si="779"/>
        <v>=1.599*100000000</v>
      </c>
      <c r="Z1631" s="1">
        <f>1.599*100000000</f>
        <v>159900000</v>
      </c>
      <c r="AA1631" s="8">
        <f t="shared" si="796"/>
        <v>0.58473736372646212</v>
      </c>
      <c r="AB1631" s="6" t="s">
        <v>2664</v>
      </c>
      <c r="AC1631" s="6" t="str">
        <f t="shared" si="780"/>
        <v>=1.009*100000000</v>
      </c>
      <c r="AD1631" s="1">
        <f>1.009*100000000</f>
        <v>100899999.99999999</v>
      </c>
      <c r="AE1631" s="8">
        <f t="shared" si="797"/>
        <v>3.510505140813589</v>
      </c>
      <c r="AF1631" s="7" t="s">
        <v>3735</v>
      </c>
      <c r="AG1631" s="6" t="str">
        <f t="shared" si="781"/>
        <v>=2237*10000</v>
      </c>
      <c r="AH1631" s="1">
        <f>2237*10000</f>
        <v>22370000</v>
      </c>
      <c r="AI1631" s="8">
        <f t="shared" si="798"/>
        <v>-0.89629114510894758</v>
      </c>
      <c r="AJ1631" s="6" t="s">
        <v>15439</v>
      </c>
      <c r="AK1631" s="6" t="str">
        <f t="shared" si="782"/>
        <v>=2.157*100000000</v>
      </c>
      <c r="AL1631" s="1">
        <f>2.157*100000000</f>
        <v>215700000</v>
      </c>
      <c r="AM1631" s="8">
        <f t="shared" si="799"/>
        <v>1.3364384748700173</v>
      </c>
      <c r="AN1631" s="7" t="s">
        <v>15440</v>
      </c>
      <c r="AO1631" s="6" t="str">
        <f t="shared" si="783"/>
        <v>=9232*10000</v>
      </c>
      <c r="AP1631" s="1">
        <f>9232*10000</f>
        <v>92320000</v>
      </c>
      <c r="AQ1631" s="8">
        <f t="shared" si="800"/>
        <v>0.92373411127318195</v>
      </c>
      <c r="AR1631" s="7" t="s">
        <v>2131</v>
      </c>
      <c r="AS1631" s="6" t="str">
        <f t="shared" si="784"/>
        <v>=4799*10000</v>
      </c>
      <c r="AT1631" s="1">
        <f>4799*10000</f>
        <v>47990000</v>
      </c>
      <c r="AU1631" s="8">
        <f t="shared" si="801"/>
        <v>2.0961290322580646</v>
      </c>
      <c r="AV1631" s="7" t="s">
        <v>3166</v>
      </c>
      <c r="AW1631" s="6" t="str">
        <f t="shared" si="785"/>
        <v>=1550*10000</v>
      </c>
      <c r="AX1631" s="1">
        <f>1550*10000</f>
        <v>15500000</v>
      </c>
      <c r="AY1631" s="10">
        <f t="shared" si="802"/>
        <v>-0.87698412698412698</v>
      </c>
      <c r="AZ1631" s="6" t="s">
        <v>6386</v>
      </c>
      <c r="BA1631" s="6" t="str">
        <f t="shared" si="786"/>
        <v>=1.260*100000000</v>
      </c>
      <c r="BB1631" s="1">
        <f>1.26*100000000</f>
        <v>126000000</v>
      </c>
      <c r="BC1631" s="8">
        <f t="shared" si="803"/>
        <v>0.84480234260614939</v>
      </c>
      <c r="BD1631" s="7" t="s">
        <v>15441</v>
      </c>
      <c r="BE1631" s="6" t="str">
        <f t="shared" si="787"/>
        <v>=6830*10000</v>
      </c>
      <c r="BF1631" s="1">
        <f>6830*10000</f>
        <v>68300000</v>
      </c>
      <c r="BG1631" s="8">
        <f t="shared" si="804"/>
        <v>1.5</v>
      </c>
      <c r="BH1631" s="7" t="s">
        <v>15442</v>
      </c>
      <c r="BI1631" s="6" t="str">
        <f t="shared" si="788"/>
        <v>=2732*10000</v>
      </c>
      <c r="BJ1631" s="1">
        <f>2732*10000</f>
        <v>27320000</v>
      </c>
      <c r="BK1631" s="7" t="s">
        <v>5499</v>
      </c>
      <c r="BL1631" s="1" t="str">
        <f t="shared" si="790"/>
        <v>=1038*10000</v>
      </c>
      <c r="BM1631" s="16">
        <f t="shared" si="805"/>
        <v>1.6319845857418112</v>
      </c>
      <c r="BN1631" s="1">
        <f>1038*10000</f>
        <v>10380000</v>
      </c>
    </row>
    <row r="1632" spans="1:66">
      <c r="A1632" s="18"/>
      <c r="B1632">
        <v>603127</v>
      </c>
      <c r="C1632" t="s">
        <v>58</v>
      </c>
      <c r="D1632" s="6" t="s">
        <v>11646</v>
      </c>
      <c r="E1632" s="7" t="str">
        <f t="shared" si="789"/>
        <v>=6.420*100000000</v>
      </c>
      <c r="F1632" s="1">
        <f>6.42*100000000</f>
        <v>642000000</v>
      </c>
      <c r="G1632" s="8">
        <f t="shared" si="791"/>
        <v>1.2904031394933999</v>
      </c>
      <c r="H1632" s="6" t="s">
        <v>10941</v>
      </c>
      <c r="I1632" s="6" t="str">
        <f t="shared" si="775"/>
        <v>=2.803*100000000</v>
      </c>
      <c r="J1632" s="1">
        <f>2.803*100000000</f>
        <v>280300000</v>
      </c>
      <c r="K1632" s="10">
        <f t="shared" si="792"/>
        <v>0.62398609501738123</v>
      </c>
      <c r="L1632" s="6" t="s">
        <v>2366</v>
      </c>
      <c r="M1632" s="6" t="str">
        <f t="shared" si="776"/>
        <v>=1.726*100000000</v>
      </c>
      <c r="N1632" s="1">
        <f>1.726*100000000</f>
        <v>172600000</v>
      </c>
      <c r="O1632" s="8">
        <f t="shared" si="793"/>
        <v>0.6596153846153846</v>
      </c>
      <c r="P1632" s="6" t="s">
        <v>5599</v>
      </c>
      <c r="Q1632" s="6" t="str">
        <f t="shared" si="777"/>
        <v>=1.040*100000000</v>
      </c>
      <c r="R1632" s="11">
        <f>1.04*100000000</f>
        <v>104000000</v>
      </c>
      <c r="S1632" s="8">
        <f t="shared" si="794"/>
        <v>-0.71159179145868001</v>
      </c>
      <c r="T1632" s="6" t="s">
        <v>10934</v>
      </c>
      <c r="U1632" s="6" t="str">
        <f t="shared" si="778"/>
        <v>=3.606*100000000</v>
      </c>
      <c r="V1632" s="1">
        <f>3.606*100000000</f>
        <v>360600000</v>
      </c>
      <c r="W1632" s="8">
        <f t="shared" si="795"/>
        <v>1.2622333751568382</v>
      </c>
      <c r="X1632" s="6" t="s">
        <v>6810</v>
      </c>
      <c r="Y1632" s="6" t="str">
        <f t="shared" si="779"/>
        <v>=1.594*100000000</v>
      </c>
      <c r="Z1632" s="1">
        <f>1.594*100000000</f>
        <v>159400000</v>
      </c>
      <c r="AA1632" s="8">
        <f t="shared" si="796"/>
        <v>0.58606965174129377</v>
      </c>
      <c r="AB1632" s="6" t="s">
        <v>8847</v>
      </c>
      <c r="AC1632" s="6" t="str">
        <f t="shared" si="780"/>
        <v>=1.005*100000000</v>
      </c>
      <c r="AD1632" s="1">
        <f>1.005*100000000</f>
        <v>100499999.99999999</v>
      </c>
      <c r="AE1632" s="8">
        <f t="shared" si="797"/>
        <v>3.5827633378932964</v>
      </c>
      <c r="AF1632" s="7" t="s">
        <v>15337</v>
      </c>
      <c r="AG1632" s="6" t="str">
        <f t="shared" si="781"/>
        <v>=2193*10000</v>
      </c>
      <c r="AH1632" s="1">
        <f>2193*10000</f>
        <v>21930000</v>
      </c>
      <c r="AI1632" s="8">
        <f t="shared" si="798"/>
        <v>-0.89823665893271465</v>
      </c>
      <c r="AJ1632" s="6" t="s">
        <v>2155</v>
      </c>
      <c r="AK1632" s="6" t="str">
        <f t="shared" si="782"/>
        <v>=2.155*100000000</v>
      </c>
      <c r="AL1632" s="1">
        <f>2.155*100000000</f>
        <v>215499999.99999997</v>
      </c>
      <c r="AM1632" s="8">
        <f t="shared" si="799"/>
        <v>1.3327560077938945</v>
      </c>
      <c r="AN1632" s="7" t="s">
        <v>15443</v>
      </c>
      <c r="AO1632" s="6" t="str">
        <f t="shared" si="783"/>
        <v>=9238*10000</v>
      </c>
      <c r="AP1632" s="1">
        <f>9238*10000</f>
        <v>92380000</v>
      </c>
      <c r="AQ1632" s="8">
        <f t="shared" si="800"/>
        <v>0.92538557732388493</v>
      </c>
      <c r="AR1632" s="7" t="s">
        <v>5941</v>
      </c>
      <c r="AS1632" s="6" t="str">
        <f t="shared" si="784"/>
        <v>=4798*10000</v>
      </c>
      <c r="AT1632" s="1">
        <f>4798*10000</f>
        <v>47980000</v>
      </c>
      <c r="AU1632" s="8">
        <f t="shared" si="801"/>
        <v>2.0954838709677421</v>
      </c>
      <c r="AV1632" s="7" t="s">
        <v>3166</v>
      </c>
      <c r="AW1632" s="6" t="str">
        <f t="shared" si="785"/>
        <v>=1550*10000</v>
      </c>
      <c r="AX1632" s="1">
        <f>1550*10000</f>
        <v>15500000</v>
      </c>
      <c r="AY1632" s="10">
        <f t="shared" si="802"/>
        <v>-0.87881157154026579</v>
      </c>
      <c r="AZ1632" s="6" t="s">
        <v>6610</v>
      </c>
      <c r="BA1632" s="6" t="str">
        <f t="shared" si="786"/>
        <v>=1.279*100000000</v>
      </c>
      <c r="BB1632" s="1">
        <f>1.279*100000000</f>
        <v>127899999.99999999</v>
      </c>
      <c r="BC1632" s="8">
        <f t="shared" si="803"/>
        <v>0.85847137460040668</v>
      </c>
      <c r="BD1632" s="7" t="s">
        <v>15444</v>
      </c>
      <c r="BE1632" s="6" t="str">
        <f t="shared" si="787"/>
        <v>=6882*10000</v>
      </c>
      <c r="BF1632" s="1">
        <f>6882*10000</f>
        <v>68820000</v>
      </c>
      <c r="BG1632" s="8">
        <f t="shared" si="804"/>
        <v>1.470208183776023</v>
      </c>
      <c r="BH1632" s="7" t="s">
        <v>15445</v>
      </c>
      <c r="BI1632" s="6" t="str">
        <f t="shared" si="788"/>
        <v>=2786*10000</v>
      </c>
      <c r="BJ1632" s="1">
        <f>2786*10000</f>
        <v>27860000</v>
      </c>
      <c r="BK1632" s="7" t="s">
        <v>15446</v>
      </c>
      <c r="BL1632" s="1" t="str">
        <f t="shared" si="790"/>
        <v>=1088*10000</v>
      </c>
      <c r="BM1632" s="16">
        <f t="shared" si="805"/>
        <v>1.5606617647058822</v>
      </c>
      <c r="BN1632" s="1">
        <f>1088*10000</f>
        <v>10880000</v>
      </c>
    </row>
    <row r="1633" spans="1:66">
      <c r="A1633" s="19"/>
      <c r="B1633">
        <v>603127</v>
      </c>
      <c r="C1633" t="s">
        <v>68</v>
      </c>
      <c r="D1633" s="6" t="s">
        <v>15447</v>
      </c>
      <c r="E1633" s="7" t="str">
        <f t="shared" si="789"/>
        <v>=5.564*100000000</v>
      </c>
      <c r="F1633" s="1">
        <f>5.564*100000000</f>
        <v>556400000</v>
      </c>
      <c r="G1633" s="8">
        <f t="shared" si="791"/>
        <v>1.2526315789473683</v>
      </c>
      <c r="H1633" s="6" t="s">
        <v>13699</v>
      </c>
      <c r="I1633" s="6" t="str">
        <f t="shared" si="775"/>
        <v>=2.470*100000000</v>
      </c>
      <c r="J1633" s="1">
        <f>2.47*100000000</f>
        <v>247000000.00000003</v>
      </c>
      <c r="K1633" s="10">
        <f t="shared" si="792"/>
        <v>0.61332462442847835</v>
      </c>
      <c r="L1633" s="6" t="s">
        <v>6822</v>
      </c>
      <c r="M1633" s="6" t="str">
        <f t="shared" si="776"/>
        <v>=1.531*100000000</v>
      </c>
      <c r="N1633" s="1">
        <f>1.531*100000000</f>
        <v>153100000</v>
      </c>
      <c r="O1633" s="8">
        <f t="shared" si="793"/>
        <v>0.64446831364124602</v>
      </c>
      <c r="P1633" s="7" t="s">
        <v>12785</v>
      </c>
      <c r="Q1633" s="6" t="str">
        <f t="shared" si="777"/>
        <v>=9310*10000</v>
      </c>
      <c r="R1633" s="11">
        <f>9310*10000</f>
        <v>93100000</v>
      </c>
      <c r="S1633" s="8">
        <f t="shared" si="794"/>
        <v>-0.703125</v>
      </c>
      <c r="T1633" s="6" t="s">
        <v>5197</v>
      </c>
      <c r="U1633" s="6" t="str">
        <f t="shared" si="778"/>
        <v>=3.136*100000000</v>
      </c>
      <c r="V1633" s="1">
        <f>3.136*100000000</f>
        <v>313600000</v>
      </c>
      <c r="W1633" s="8">
        <f t="shared" si="795"/>
        <v>1.2007017543859648</v>
      </c>
      <c r="X1633" s="6" t="s">
        <v>5503</v>
      </c>
      <c r="Y1633" s="6" t="str">
        <f t="shared" si="779"/>
        <v>=1.425*100000000</v>
      </c>
      <c r="Z1633" s="1">
        <f>1.425*100000000</f>
        <v>142500000</v>
      </c>
      <c r="AA1633" s="8">
        <f t="shared" si="796"/>
        <v>0.5865063460253841</v>
      </c>
      <c r="AB1633" s="7" t="s">
        <v>15448</v>
      </c>
      <c r="AC1633" s="6" t="str">
        <f t="shared" si="780"/>
        <v>=8982*10000</v>
      </c>
      <c r="AD1633" s="1">
        <f>8982*10000</f>
        <v>89820000</v>
      </c>
      <c r="AE1633" s="8">
        <f t="shared" si="797"/>
        <v>3.7802022352315063</v>
      </c>
      <c r="AF1633" s="7" t="s">
        <v>3300</v>
      </c>
      <c r="AG1633" s="6" t="str">
        <f t="shared" si="781"/>
        <v>=1879*10000</v>
      </c>
      <c r="AH1633" s="1">
        <f>1879*10000</f>
        <v>18790000</v>
      </c>
      <c r="AI1633" s="8">
        <f t="shared" si="798"/>
        <v>-0.89930332261521972</v>
      </c>
      <c r="AJ1633" s="6" t="s">
        <v>11957</v>
      </c>
      <c r="AK1633" s="6" t="str">
        <f t="shared" si="782"/>
        <v>=1.866*100000000</v>
      </c>
      <c r="AL1633" s="1">
        <f>1.866*100000000</f>
        <v>186600000</v>
      </c>
      <c r="AM1633" s="8">
        <f t="shared" si="799"/>
        <v>1.4328552803129075</v>
      </c>
      <c r="AN1633" s="7" t="s">
        <v>15449</v>
      </c>
      <c r="AO1633" s="6" t="str">
        <f t="shared" si="783"/>
        <v>=7670*10000</v>
      </c>
      <c r="AP1633" s="1">
        <f>7670*10000</f>
        <v>76700000</v>
      </c>
      <c r="AQ1633" s="8">
        <f t="shared" si="800"/>
        <v>0.90890990542558492</v>
      </c>
      <c r="AR1633" s="7" t="s">
        <v>15450</v>
      </c>
      <c r="AS1633" s="6" t="str">
        <f t="shared" si="784"/>
        <v>=4018*10000</v>
      </c>
      <c r="AT1633" s="1">
        <f>4018*10000</f>
        <v>40180000</v>
      </c>
      <c r="AU1633" s="8">
        <f t="shared" si="801"/>
        <v>2.3764705882352941</v>
      </c>
      <c r="AV1633" s="7" t="s">
        <v>15451</v>
      </c>
      <c r="AW1633" s="6" t="str">
        <f t="shared" si="785"/>
        <v>=1190*10000</v>
      </c>
      <c r="AX1633" s="1">
        <f>1190*10000</f>
        <v>11900000</v>
      </c>
      <c r="AY1633" s="10">
        <f t="shared" si="802"/>
        <v>-0.89001848428835495</v>
      </c>
      <c r="AZ1633" s="6" t="s">
        <v>13855</v>
      </c>
      <c r="BA1633" s="6" t="str">
        <f t="shared" si="786"/>
        <v>=1.082*100000000</v>
      </c>
      <c r="BB1633" s="1">
        <f>1.082*100000000</f>
        <v>108200000</v>
      </c>
      <c r="BC1633" s="8">
        <f t="shared" si="803"/>
        <v>0.89160839160839156</v>
      </c>
      <c r="BD1633" s="7" t="s">
        <v>15452</v>
      </c>
      <c r="BE1633" s="6" t="str">
        <f t="shared" si="787"/>
        <v>=5720*10000</v>
      </c>
      <c r="BF1633" s="1">
        <f>5720*10000</f>
        <v>57200000</v>
      </c>
      <c r="BG1633" s="8">
        <f t="shared" si="804"/>
        <v>1.5490196078431373</v>
      </c>
      <c r="BH1633" s="7" t="s">
        <v>10297</v>
      </c>
      <c r="BI1633" s="6" t="str">
        <f t="shared" si="788"/>
        <v>=2244*10000</v>
      </c>
      <c r="BJ1633" s="1">
        <f>2244*10000</f>
        <v>22440000</v>
      </c>
      <c r="BK1633" s="7" t="s">
        <v>15453</v>
      </c>
      <c r="BL1633" s="1" t="str">
        <f t="shared" si="790"/>
        <v>=877.0*10000</v>
      </c>
      <c r="BM1633" s="16">
        <f t="shared" si="805"/>
        <v>1.5587229190421892</v>
      </c>
      <c r="BN1633" s="1">
        <f>877*10000</f>
        <v>8770000</v>
      </c>
    </row>
    <row r="1634" spans="1:66">
      <c r="A1634" s="17">
        <v>410</v>
      </c>
      <c r="B1634">
        <v>603157</v>
      </c>
      <c r="C1634" t="s">
        <v>31</v>
      </c>
      <c r="D1634" s="6" t="s">
        <v>15454</v>
      </c>
      <c r="E1634" s="7" t="str">
        <f t="shared" si="789"/>
        <v>=4.301*100000000</v>
      </c>
      <c r="F1634" s="1">
        <f>4.301*100000000</f>
        <v>430100000</v>
      </c>
      <c r="G1634" s="8">
        <f t="shared" si="791"/>
        <v>0.17964893033461327</v>
      </c>
      <c r="H1634" s="6" t="s">
        <v>14017</v>
      </c>
      <c r="I1634" s="6" t="str">
        <f t="shared" si="775"/>
        <v>=3.646*100000000</v>
      </c>
      <c r="J1634" s="1">
        <f>3.646*100000000</f>
        <v>364600000</v>
      </c>
      <c r="K1634" s="10">
        <f t="shared" si="792"/>
        <v>0.31198272759985607</v>
      </c>
      <c r="L1634" s="6" t="s">
        <v>6172</v>
      </c>
      <c r="M1634" s="6" t="str">
        <f t="shared" si="776"/>
        <v>=2.779*100000000</v>
      </c>
      <c r="N1634" s="1">
        <f>2.779*100000000</f>
        <v>277900000</v>
      </c>
      <c r="O1634" s="8">
        <f t="shared" si="793"/>
        <v>0.76108998732572875</v>
      </c>
      <c r="P1634" s="6" t="s">
        <v>15455</v>
      </c>
      <c r="Q1634" s="6" t="str">
        <f t="shared" si="777"/>
        <v>=1.578*100000000</v>
      </c>
      <c r="R1634" s="11">
        <f>1.578*100000000</f>
        <v>157800000</v>
      </c>
      <c r="S1634" s="8">
        <f t="shared" si="794"/>
        <v>-0.91324903793293022</v>
      </c>
      <c r="T1634" s="6" t="s">
        <v>1891</v>
      </c>
      <c r="U1634" s="6" t="str">
        <f t="shared" si="778"/>
        <v>=18.19*100000000</v>
      </c>
      <c r="V1634" s="1">
        <f>18.19*100000000</f>
        <v>1819000000.0000002</v>
      </c>
      <c r="W1634" s="8">
        <f t="shared" si="795"/>
        <v>8.9874176153385249E-2</v>
      </c>
      <c r="X1634" s="6" t="s">
        <v>719</v>
      </c>
      <c r="Y1634" s="6" t="str">
        <f t="shared" si="779"/>
        <v>=16.69*100000000</v>
      </c>
      <c r="Z1634" s="1">
        <f>16.69*100000000</f>
        <v>1669000000.0000002</v>
      </c>
      <c r="AA1634" s="8">
        <f t="shared" si="796"/>
        <v>0.2254038179148313</v>
      </c>
      <c r="AB1634" s="6" t="s">
        <v>8910</v>
      </c>
      <c r="AC1634" s="6" t="str">
        <f t="shared" si="780"/>
        <v>=13.62*100000000</v>
      </c>
      <c r="AD1634" s="1">
        <f>13.62*100000000</f>
        <v>1362000000</v>
      </c>
      <c r="AE1634" s="8">
        <f t="shared" si="797"/>
        <v>0.42200877009814175</v>
      </c>
      <c r="AF1634" s="6" t="s">
        <v>5639</v>
      </c>
      <c r="AG1634" s="6" t="str">
        <f t="shared" si="781"/>
        <v>=9.578*100000000</v>
      </c>
      <c r="AH1634" s="1">
        <f>9.578*100000000</f>
        <v>957799999.99999988</v>
      </c>
      <c r="AI1634" s="8">
        <f t="shared" si="798"/>
        <v>-0.87505870075658754</v>
      </c>
      <c r="AJ1634" s="6" t="s">
        <v>15456</v>
      </c>
      <c r="AK1634" s="6" t="str">
        <f t="shared" si="782"/>
        <v>=76.66*100000000</v>
      </c>
      <c r="AL1634" s="1">
        <f>76.66*100000000</f>
        <v>7666000000</v>
      </c>
      <c r="AM1634" s="8">
        <f t="shared" si="799"/>
        <v>0.33159631752648949</v>
      </c>
      <c r="AN1634" s="6" t="s">
        <v>15457</v>
      </c>
      <c r="AO1634" s="6" t="str">
        <f t="shared" si="783"/>
        <v>=57.57*100000000</v>
      </c>
      <c r="AP1634" s="1">
        <f>57.57*100000000</f>
        <v>5757000000</v>
      </c>
      <c r="AQ1634" s="8">
        <f t="shared" si="800"/>
        <v>0.45709946848899013</v>
      </c>
      <c r="AR1634" s="6" t="s">
        <v>9146</v>
      </c>
      <c r="AS1634" s="6" t="str">
        <f t="shared" si="784"/>
        <v>=39.51*100000000</v>
      </c>
      <c r="AT1634" s="1">
        <f>39.51*100000000</f>
        <v>3951000000</v>
      </c>
      <c r="AU1634" s="8">
        <f t="shared" si="801"/>
        <v>0.66568296795952786</v>
      </c>
      <c r="AV1634" s="6" t="s">
        <v>15458</v>
      </c>
      <c r="AW1634" s="6" t="str">
        <f t="shared" si="785"/>
        <v>=23.72*100000000</v>
      </c>
      <c r="AX1634" s="1">
        <f>23.72*100000000</f>
        <v>2372000000</v>
      </c>
      <c r="AY1634" s="10">
        <f t="shared" si="802"/>
        <v>-0.76699410609037333</v>
      </c>
      <c r="AZ1634" s="6" t="s">
        <v>12847</v>
      </c>
      <c r="BA1634" s="6" t="str">
        <f t="shared" si="786"/>
        <v>=101.8*100000000</v>
      </c>
      <c r="BB1634" s="1">
        <f>101.8*100000000</f>
        <v>10180000000</v>
      </c>
      <c r="BC1634" s="8">
        <f t="shared" si="803"/>
        <v>0.64167069827447187</v>
      </c>
      <c r="BD1634" s="6" t="s">
        <v>15459</v>
      </c>
      <c r="BE1634" s="6" t="str">
        <f t="shared" si="787"/>
        <v>=62.01*100000000</v>
      </c>
      <c r="BF1634" s="1">
        <f>62.01*100000000</f>
        <v>6201000000</v>
      </c>
      <c r="BG1634" s="8">
        <f t="shared" si="804"/>
        <v>0.41607672984699701</v>
      </c>
      <c r="BH1634" s="6" t="s">
        <v>15460</v>
      </c>
      <c r="BI1634" s="6" t="str">
        <f t="shared" si="788"/>
        <v>=43.79*100000000</v>
      </c>
      <c r="BJ1634" s="1">
        <f>43.79*100000000</f>
        <v>4379000000</v>
      </c>
      <c r="BK1634" s="6" t="s">
        <v>15461</v>
      </c>
      <c r="BL1634" s="1" t="str">
        <f t="shared" si="790"/>
        <v>=25.48*100000000</v>
      </c>
      <c r="BM1634" s="16">
        <f t="shared" si="805"/>
        <v>0.7186028257456829</v>
      </c>
      <c r="BN1634" s="1">
        <f>25.48*100000000</f>
        <v>2548000000</v>
      </c>
    </row>
    <row r="1635" spans="1:66">
      <c r="A1635" s="18"/>
      <c r="B1635">
        <v>603157</v>
      </c>
      <c r="C1635" t="s">
        <v>48</v>
      </c>
      <c r="D1635" s="6">
        <f>-7.246*100000000</f>
        <v>-724600000</v>
      </c>
      <c r="E1635" s="7" t="str">
        <f t="shared" si="789"/>
        <v>=-724600000</v>
      </c>
      <c r="F1635" s="1">
        <f>-724600000</f>
        <v>-724600000</v>
      </c>
      <c r="G1635" s="8">
        <f t="shared" si="791"/>
        <v>1.5832442067736185</v>
      </c>
      <c r="H1635" s="6">
        <f>-2.805*100000000</f>
        <v>-280500000</v>
      </c>
      <c r="I1635" s="6" t="str">
        <f t="shared" si="775"/>
        <v>=-280500000</v>
      </c>
      <c r="J1635" s="1">
        <f>-280500000</f>
        <v>-280500000</v>
      </c>
      <c r="K1635" s="10">
        <f t="shared" si="792"/>
        <v>0.18404390037990714</v>
      </c>
      <c r="L1635" s="6">
        <f>-2.369*100000000</f>
        <v>-236900000.00000003</v>
      </c>
      <c r="M1635" s="6" t="str">
        <f t="shared" si="776"/>
        <v>=-236900000</v>
      </c>
      <c r="N1635" s="1">
        <f>-236900000</f>
        <v>-236900000</v>
      </c>
      <c r="O1635" s="8">
        <f t="shared" si="793"/>
        <v>2.4720797303239044</v>
      </c>
      <c r="P1635" s="7">
        <f>-6823*10000</f>
        <v>-68230000</v>
      </c>
      <c r="Q1635" s="6" t="str">
        <f t="shared" si="777"/>
        <v>=-68230000</v>
      </c>
      <c r="R1635" s="11">
        <f>-68230000</f>
        <v>-68230000</v>
      </c>
      <c r="S1635" s="8">
        <f t="shared" si="794"/>
        <v>-0.95445260347129501</v>
      </c>
      <c r="T1635" s="6">
        <f>-14.98*100000000</f>
        <v>-1498000000</v>
      </c>
      <c r="U1635" s="6" t="str">
        <f t="shared" si="778"/>
        <v>=-1498000000</v>
      </c>
      <c r="V1635" s="1">
        <f>-1498000000</f>
        <v>-1498000000</v>
      </c>
      <c r="W1635" s="8">
        <f t="shared" si="795"/>
        <v>0.498</v>
      </c>
      <c r="X1635" s="6">
        <f>-10*100000000</f>
        <v>-1000000000</v>
      </c>
      <c r="Y1635" s="6" t="str">
        <f t="shared" si="779"/>
        <v>=-1000000000</v>
      </c>
      <c r="Z1635" s="1">
        <f>-1000000000</f>
        <v>-1000000000</v>
      </c>
      <c r="AA1635" s="8">
        <f t="shared" si="796"/>
        <v>0.11582236108011605</v>
      </c>
      <c r="AB1635" s="6">
        <f>-8.962*100000000</f>
        <v>-896200000</v>
      </c>
      <c r="AC1635" s="6" t="str">
        <f t="shared" si="780"/>
        <v>=-896200000</v>
      </c>
      <c r="AD1635" s="1">
        <f>-896200000</f>
        <v>-896200000</v>
      </c>
      <c r="AE1635" s="8">
        <f t="shared" si="797"/>
        <v>0.7718465796757612</v>
      </c>
      <c r="AF1635" s="6">
        <f>-5.058*100000000</f>
        <v>-505800000</v>
      </c>
      <c r="AG1635" s="6" t="str">
        <f t="shared" si="781"/>
        <v>=-505800000</v>
      </c>
      <c r="AH1635" s="1">
        <f>-505800000</f>
        <v>-505800000</v>
      </c>
      <c r="AI1635" s="8">
        <f t="shared" si="798"/>
        <v>-0.77678729037952343</v>
      </c>
      <c r="AJ1635" s="6">
        <f>-22.66*100000000</f>
        <v>-2266000000</v>
      </c>
      <c r="AK1635" s="6" t="str">
        <f t="shared" si="782"/>
        <v>=-2266000000</v>
      </c>
      <c r="AL1635" s="1">
        <f>-2266000000</f>
        <v>-2266000000</v>
      </c>
      <c r="AM1635" s="8">
        <f t="shared" si="799"/>
        <v>1.0178094390026715</v>
      </c>
      <c r="AN1635" s="6">
        <f>-11.23*100000000</f>
        <v>-1123000000</v>
      </c>
      <c r="AO1635" s="6" t="str">
        <f t="shared" si="783"/>
        <v>=-1123000000</v>
      </c>
      <c r="AP1635" s="1">
        <f>-1123000000</f>
        <v>-1123000000</v>
      </c>
      <c r="AQ1635" s="8">
        <f t="shared" si="800"/>
        <v>0.56384904609385877</v>
      </c>
      <c r="AR1635" s="6">
        <f>-7.181*100000000</f>
        <v>-718100000</v>
      </c>
      <c r="AS1635" s="6" t="str">
        <f t="shared" si="784"/>
        <v>=-718100000</v>
      </c>
      <c r="AT1635" s="1">
        <f>-718100000</f>
        <v>-718100000</v>
      </c>
      <c r="AU1635" s="8">
        <f t="shared" si="801"/>
        <v>-489.17131203263085</v>
      </c>
      <c r="AV1635" s="7" t="s">
        <v>15462</v>
      </c>
      <c r="AW1635" s="6" t="str">
        <f t="shared" si="785"/>
        <v>=147.1*10000</v>
      </c>
      <c r="AX1635" s="1">
        <f>147.1*10000</f>
        <v>1471000</v>
      </c>
      <c r="AY1635" s="10">
        <f t="shared" si="802"/>
        <v>-1.0096967699406725</v>
      </c>
      <c r="AZ1635" s="6">
        <f>-1.517*100000000</f>
        <v>-151700000</v>
      </c>
      <c r="BA1635" s="6" t="str">
        <f t="shared" si="786"/>
        <v>=-151700000</v>
      </c>
      <c r="BB1635" s="1">
        <f>-151700000</f>
        <v>-151700000</v>
      </c>
      <c r="BC1635" s="8">
        <f t="shared" si="803"/>
        <v>-1.4812817258883249</v>
      </c>
      <c r="BD1635" s="6" t="s">
        <v>5162</v>
      </c>
      <c r="BE1635" s="6" t="str">
        <f t="shared" si="787"/>
        <v>=3.152*100000000</v>
      </c>
      <c r="BF1635" s="1">
        <f>3.152*100000000</f>
        <v>315200000</v>
      </c>
      <c r="BG1635" s="8">
        <f t="shared" si="804"/>
        <v>-2.4752475247524754E-2</v>
      </c>
      <c r="BH1635" s="6" t="s">
        <v>15463</v>
      </c>
      <c r="BI1635" s="6" t="str">
        <f t="shared" si="788"/>
        <v>=3.232*100000000</v>
      </c>
      <c r="BJ1635" s="1">
        <f>3.232*100000000</f>
        <v>323200000</v>
      </c>
      <c r="BK1635" s="6" t="s">
        <v>15464</v>
      </c>
      <c r="BL1635" s="1" t="str">
        <f t="shared" si="790"/>
        <v>=2.415*100000000</v>
      </c>
      <c r="BM1635" s="16">
        <f t="shared" si="805"/>
        <v>0.33830227743271224</v>
      </c>
      <c r="BN1635" s="1">
        <f>2.415*100000000</f>
        <v>241500000</v>
      </c>
    </row>
    <row r="1636" spans="1:66">
      <c r="A1636" s="18"/>
      <c r="B1636">
        <v>603157</v>
      </c>
      <c r="C1636" t="s">
        <v>58</v>
      </c>
      <c r="D1636" s="6">
        <f>-8.357*100000000</f>
        <v>-835699999.99999988</v>
      </c>
      <c r="E1636" s="7" t="str">
        <f t="shared" si="789"/>
        <v>=-835700000</v>
      </c>
      <c r="F1636" s="1">
        <f>-835700000</f>
        <v>-835700000</v>
      </c>
      <c r="G1636" s="8">
        <f t="shared" si="791"/>
        <v>1.7977904251757617</v>
      </c>
      <c r="H1636" s="6">
        <f>-2.987*100000000</f>
        <v>-298700000</v>
      </c>
      <c r="I1636" s="6" t="str">
        <f t="shared" si="775"/>
        <v>=-298700000</v>
      </c>
      <c r="J1636" s="1">
        <f>-298700000</f>
        <v>-298700000</v>
      </c>
      <c r="K1636" s="10">
        <f t="shared" si="792"/>
        <v>0.23023064250411862</v>
      </c>
      <c r="L1636" s="6">
        <f>-2.428*100000000</f>
        <v>-242800000</v>
      </c>
      <c r="M1636" s="6" t="str">
        <f t="shared" si="776"/>
        <v>=-242800000</v>
      </c>
      <c r="N1636" s="1">
        <f>-242800000</f>
        <v>-242800000</v>
      </c>
      <c r="O1636" s="8">
        <f t="shared" si="793"/>
        <v>2.5627292736610419</v>
      </c>
      <c r="P1636" s="7">
        <f>-6815*10000</f>
        <v>-68150000</v>
      </c>
      <c r="Q1636" s="6" t="str">
        <f t="shared" si="777"/>
        <v>=-68150000</v>
      </c>
      <c r="R1636" s="11">
        <f>-68150000</f>
        <v>-68150000</v>
      </c>
      <c r="S1636" s="8">
        <f t="shared" si="794"/>
        <v>-0.95495703899537343</v>
      </c>
      <c r="T1636" s="6">
        <f>-15.13*100000000</f>
        <v>-1513000000</v>
      </c>
      <c r="U1636" s="6" t="str">
        <f t="shared" si="778"/>
        <v>=-1513000000</v>
      </c>
      <c r="V1636" s="1">
        <f>-1513000000</f>
        <v>-1513000000</v>
      </c>
      <c r="W1636" s="8">
        <f t="shared" si="795"/>
        <v>0.5024826216484608</v>
      </c>
      <c r="X1636" s="6">
        <f>-10.07*100000000</f>
        <v>-1007000000</v>
      </c>
      <c r="Y1636" s="6" t="str">
        <f t="shared" si="779"/>
        <v>=-1007000000</v>
      </c>
      <c r="Z1636" s="1">
        <f>-1007000000</f>
        <v>-1007000000</v>
      </c>
      <c r="AA1636" s="8">
        <f t="shared" si="796"/>
        <v>0.11789520426287745</v>
      </c>
      <c r="AB1636" s="6">
        <f>-9.008*100000000</f>
        <v>-900799999.99999988</v>
      </c>
      <c r="AC1636" s="6" t="str">
        <f t="shared" si="780"/>
        <v>=-900800000</v>
      </c>
      <c r="AD1636" s="1">
        <f>-900800000</f>
        <v>-900800000</v>
      </c>
      <c r="AE1636" s="8">
        <f t="shared" si="797"/>
        <v>0.77883096366508686</v>
      </c>
      <c r="AF1636" s="6">
        <f>-5.064*100000000</f>
        <v>-506400000</v>
      </c>
      <c r="AG1636" s="6" t="str">
        <f t="shared" si="781"/>
        <v>=-506400000</v>
      </c>
      <c r="AH1636" s="1">
        <f>-506400000</f>
        <v>-506400000</v>
      </c>
      <c r="AI1636" s="8">
        <f t="shared" si="798"/>
        <v>-0.7764238410596026</v>
      </c>
      <c r="AJ1636" s="6">
        <f>-22.65*100000000</f>
        <v>-2265000000</v>
      </c>
      <c r="AK1636" s="6" t="str">
        <f t="shared" si="782"/>
        <v>=-2265000000</v>
      </c>
      <c r="AL1636" s="1">
        <f>-2265000000</f>
        <v>-2265000000</v>
      </c>
      <c r="AM1636" s="8">
        <f t="shared" si="799"/>
        <v>0.99383802816901412</v>
      </c>
      <c r="AN1636" s="6">
        <f>-11.36*100000000</f>
        <v>-1136000000</v>
      </c>
      <c r="AO1636" s="6" t="str">
        <f t="shared" si="783"/>
        <v>=-1136000000</v>
      </c>
      <c r="AP1636" s="1">
        <f>-1136000000</f>
        <v>-1136000000</v>
      </c>
      <c r="AQ1636" s="8">
        <f t="shared" si="800"/>
        <v>0.58151190310455236</v>
      </c>
      <c r="AR1636" s="6">
        <f>-7.183*100000000</f>
        <v>-718300000</v>
      </c>
      <c r="AS1636" s="6" t="str">
        <f t="shared" si="784"/>
        <v>=-718300000</v>
      </c>
      <c r="AT1636" s="1">
        <f>-718300000</f>
        <v>-718300000</v>
      </c>
      <c r="AU1636" s="8">
        <f t="shared" si="801"/>
        <v>-826.63218390804593</v>
      </c>
      <c r="AV1636" s="7" t="s">
        <v>15465</v>
      </c>
      <c r="AW1636" s="6" t="str">
        <f t="shared" si="785"/>
        <v>=87.00*10000</v>
      </c>
      <c r="AX1636" s="1">
        <f>87*10000</f>
        <v>870000</v>
      </c>
      <c r="AY1636" s="10">
        <f t="shared" si="802"/>
        <v>-1.0054307116104868</v>
      </c>
      <c r="AZ1636" s="6">
        <f>-1.602*100000000</f>
        <v>-160200000</v>
      </c>
      <c r="BA1636" s="6" t="str">
        <f t="shared" si="786"/>
        <v>=-160200000</v>
      </c>
      <c r="BB1636" s="1">
        <f>-160200000</f>
        <v>-160200000</v>
      </c>
      <c r="BC1636" s="8">
        <f t="shared" si="803"/>
        <v>-1.5141206675224648</v>
      </c>
      <c r="BD1636" s="6" t="s">
        <v>6791</v>
      </c>
      <c r="BE1636" s="6" t="str">
        <f t="shared" si="787"/>
        <v>=3.116*100000000</v>
      </c>
      <c r="BF1636" s="1">
        <f>3.116*100000000</f>
        <v>311600000</v>
      </c>
      <c r="BG1636" s="8">
        <f t="shared" si="804"/>
        <v>-2.8678304239401497E-2</v>
      </c>
      <c r="BH1636" s="6" t="s">
        <v>8161</v>
      </c>
      <c r="BI1636" s="6" t="str">
        <f t="shared" si="788"/>
        <v>=3.208*100000000</v>
      </c>
      <c r="BJ1636" s="1">
        <f>3.208*100000000</f>
        <v>320800000</v>
      </c>
      <c r="BK1636" s="6" t="s">
        <v>15466</v>
      </c>
      <c r="BL1636" s="1" t="str">
        <f t="shared" si="790"/>
        <v>=2.362*100000000</v>
      </c>
      <c r="BM1636" s="16">
        <f t="shared" si="805"/>
        <v>0.35817104149026247</v>
      </c>
      <c r="BN1636" s="1">
        <f>2.362*100000000</f>
        <v>236200000</v>
      </c>
    </row>
    <row r="1637" spans="1:66">
      <c r="A1637" s="19"/>
      <c r="B1637">
        <v>603157</v>
      </c>
      <c r="C1637" t="s">
        <v>68</v>
      </c>
      <c r="D1637" s="6">
        <f>-8.228*100000000</f>
        <v>-822800000</v>
      </c>
      <c r="E1637" s="7" t="str">
        <f t="shared" si="789"/>
        <v>=-822800000</v>
      </c>
      <c r="F1637" s="1">
        <f>-822800000</f>
        <v>-822800000</v>
      </c>
      <c r="G1637" s="8">
        <f t="shared" si="791"/>
        <v>1.887017543859649</v>
      </c>
      <c r="H1637" s="6">
        <f>-2.85*100000000</f>
        <v>-285000000</v>
      </c>
      <c r="I1637" s="6" t="str">
        <f t="shared" si="775"/>
        <v>=-285000000</v>
      </c>
      <c r="J1637" s="1">
        <f>-285000000</f>
        <v>-285000000</v>
      </c>
      <c r="K1637" s="10">
        <f t="shared" si="792"/>
        <v>0.20865139949109415</v>
      </c>
      <c r="L1637" s="6">
        <f>-2.358*100000000</f>
        <v>-235800000</v>
      </c>
      <c r="M1637" s="6" t="str">
        <f t="shared" si="776"/>
        <v>=-235800000</v>
      </c>
      <c r="N1637" s="1">
        <f>-235800000</f>
        <v>-235800000</v>
      </c>
      <c r="O1637" s="8">
        <f t="shared" si="793"/>
        <v>2.4600146735143067</v>
      </c>
      <c r="P1637" s="7">
        <f>-6815*10000</f>
        <v>-68150000</v>
      </c>
      <c r="Q1637" s="6" t="str">
        <f t="shared" si="777"/>
        <v>=-68150000</v>
      </c>
      <c r="R1637" s="11">
        <f>-68150000</f>
        <v>-68150000</v>
      </c>
      <c r="S1637" s="8">
        <f t="shared" si="794"/>
        <v>-0.96369206180074585</v>
      </c>
      <c r="T1637" s="6">
        <f>-18.77*100000000</f>
        <v>-1877000000</v>
      </c>
      <c r="U1637" s="6" t="str">
        <f t="shared" si="778"/>
        <v>=-1877000000</v>
      </c>
      <c r="V1637" s="1">
        <f>-1877000000</f>
        <v>-1877000000</v>
      </c>
      <c r="W1637" s="8">
        <f t="shared" si="795"/>
        <v>1.323019801980198</v>
      </c>
      <c r="X1637" s="6">
        <f>-8.08*100000000</f>
        <v>-808000000</v>
      </c>
      <c r="Y1637" s="6" t="str">
        <f t="shared" si="779"/>
        <v>=-808000000</v>
      </c>
      <c r="Z1637" s="1">
        <f>-808000000</f>
        <v>-808000000</v>
      </c>
      <c r="AA1637" s="8">
        <f t="shared" si="796"/>
        <v>0.11648473124222744</v>
      </c>
      <c r="AB1637" s="6">
        <f>-7.237*100000000</f>
        <v>-723700000</v>
      </c>
      <c r="AC1637" s="6" t="str">
        <f t="shared" si="780"/>
        <v>=-723700000</v>
      </c>
      <c r="AD1637" s="1">
        <f>-723700000</f>
        <v>-723700000</v>
      </c>
      <c r="AE1637" s="8">
        <f t="shared" si="797"/>
        <v>0.68773320895522383</v>
      </c>
      <c r="AF1637" s="6">
        <f>-4.288*100000000</f>
        <v>-428800000</v>
      </c>
      <c r="AG1637" s="6" t="str">
        <f t="shared" si="781"/>
        <v>=-428800000</v>
      </c>
      <c r="AH1637" s="1">
        <f>-428800000</f>
        <v>-428800000</v>
      </c>
      <c r="AI1637" s="8">
        <f t="shared" si="798"/>
        <v>-0.80959147424511546</v>
      </c>
      <c r="AJ1637" s="6">
        <f>-22.52*100000000</f>
        <v>-2252000000</v>
      </c>
      <c r="AK1637" s="6" t="str">
        <f t="shared" si="782"/>
        <v>=-2252000000</v>
      </c>
      <c r="AL1637" s="1">
        <f>-2252000000</f>
        <v>-2252000000</v>
      </c>
      <c r="AM1637" s="8">
        <f t="shared" si="799"/>
        <v>1.5406137184115523</v>
      </c>
      <c r="AN1637" s="6">
        <f>-8.864*100000000</f>
        <v>-886400000.00000012</v>
      </c>
      <c r="AO1637" s="6" t="str">
        <f t="shared" si="783"/>
        <v>=-886400000</v>
      </c>
      <c r="AP1637" s="1">
        <f>-886400000</f>
        <v>-886400000</v>
      </c>
      <c r="AQ1637" s="8">
        <f t="shared" si="800"/>
        <v>0.56968301753143258</v>
      </c>
      <c r="AR1637" s="6">
        <f>-5.647*100000000</f>
        <v>-564700000</v>
      </c>
      <c r="AS1637" s="6" t="str">
        <f t="shared" si="784"/>
        <v>=-564700000</v>
      </c>
      <c r="AT1637" s="1">
        <f>-564700000</f>
        <v>-564700000</v>
      </c>
      <c r="AU1637" s="8">
        <f t="shared" si="801"/>
        <v>50.712454212454212</v>
      </c>
      <c r="AV1637" s="7">
        <f>-1092*10000</f>
        <v>-10920000</v>
      </c>
      <c r="AW1637" s="6" t="str">
        <f t="shared" si="785"/>
        <v>=-10920000</v>
      </c>
      <c r="AX1637" s="1">
        <f>-10920000</f>
        <v>-10920000</v>
      </c>
      <c r="AY1637" s="10">
        <f t="shared" si="802"/>
        <v>-0.94518072289156629</v>
      </c>
      <c r="AZ1637" s="6">
        <f>-1.992*100000000</f>
        <v>-199200000</v>
      </c>
      <c r="BA1637" s="6" t="str">
        <f t="shared" si="786"/>
        <v>=-199200000</v>
      </c>
      <c r="BB1637" s="1">
        <f>-199200000</f>
        <v>-199200000</v>
      </c>
      <c r="BC1637" s="8">
        <f t="shared" si="803"/>
        <v>-1.8516460025651988</v>
      </c>
      <c r="BD1637" s="6" t="s">
        <v>1498</v>
      </c>
      <c r="BE1637" s="6" t="str">
        <f t="shared" si="787"/>
        <v>=2.339*100000000</v>
      </c>
      <c r="BF1637" s="1">
        <f>2.339*100000000</f>
        <v>233900000</v>
      </c>
      <c r="BG1637" s="8">
        <f t="shared" si="804"/>
        <v>-3.146997929606625E-2</v>
      </c>
      <c r="BH1637" s="6" t="s">
        <v>15464</v>
      </c>
      <c r="BI1637" s="6" t="str">
        <f t="shared" si="788"/>
        <v>=2.415*100000000</v>
      </c>
      <c r="BJ1637" s="1">
        <f>2.415*100000000</f>
        <v>241500000</v>
      </c>
      <c r="BK1637" s="6" t="s">
        <v>2181</v>
      </c>
      <c r="BL1637" s="1" t="str">
        <f t="shared" si="790"/>
        <v>=1.766*100000000</v>
      </c>
      <c r="BM1637" s="16">
        <f t="shared" si="805"/>
        <v>0.36749716874292188</v>
      </c>
      <c r="BN1637" s="1">
        <f>1.766*100000000</f>
        <v>176600000</v>
      </c>
    </row>
    <row r="1638" spans="1:66">
      <c r="A1638" s="17">
        <v>411</v>
      </c>
      <c r="B1638">
        <v>603165</v>
      </c>
      <c r="C1638" t="s">
        <v>31</v>
      </c>
      <c r="D1638" s="6" t="s">
        <v>15467</v>
      </c>
      <c r="E1638" s="7" t="str">
        <f t="shared" si="789"/>
        <v>=24.15*100000000</v>
      </c>
      <c r="F1638" s="1">
        <f>24.15*100000000</f>
        <v>2415000000</v>
      </c>
      <c r="G1638" s="8">
        <f t="shared" si="791"/>
        <v>0.45921450151057402</v>
      </c>
      <c r="H1638" s="6" t="s">
        <v>4919</v>
      </c>
      <c r="I1638" s="6" t="str">
        <f t="shared" si="775"/>
        <v>=16.55*100000000</v>
      </c>
      <c r="J1638" s="1">
        <f>16.55*100000000</f>
        <v>1655000000</v>
      </c>
      <c r="K1638" s="10">
        <f t="shared" si="792"/>
        <v>0.57020872865275163</v>
      </c>
      <c r="L1638" s="6" t="s">
        <v>1892</v>
      </c>
      <c r="M1638" s="6" t="str">
        <f t="shared" si="776"/>
        <v>=10.54*100000000</v>
      </c>
      <c r="N1638" s="1">
        <f>10.54*100000000</f>
        <v>1053999999.9999999</v>
      </c>
      <c r="O1638" s="8">
        <f t="shared" si="793"/>
        <v>1.2415993194385366</v>
      </c>
      <c r="P1638" s="6" t="s">
        <v>6751</v>
      </c>
      <c r="Q1638" s="6" t="str">
        <f t="shared" si="777"/>
        <v>=4.702*100000000</v>
      </c>
      <c r="R1638" s="11">
        <f>4.702*100000000</f>
        <v>470200000</v>
      </c>
      <c r="S1638" s="8">
        <f t="shared" si="794"/>
        <v>-0.72259587020648963</v>
      </c>
      <c r="T1638" s="6" t="s">
        <v>7537</v>
      </c>
      <c r="U1638" s="6" t="str">
        <f t="shared" si="778"/>
        <v>=16.95*100000000</v>
      </c>
      <c r="V1638" s="1">
        <f>16.95*100000000</f>
        <v>1695000000</v>
      </c>
      <c r="W1638" s="8">
        <f t="shared" si="795"/>
        <v>0.36035313001605135</v>
      </c>
      <c r="X1638" s="6" t="s">
        <v>5722</v>
      </c>
      <c r="Y1638" s="6" t="str">
        <f t="shared" si="779"/>
        <v>=12.46*100000000</v>
      </c>
      <c r="Z1638" s="1">
        <f>12.46*100000000</f>
        <v>1246000000</v>
      </c>
      <c r="AA1638" s="8">
        <f t="shared" si="796"/>
        <v>0.5549731686010233</v>
      </c>
      <c r="AB1638" s="6" t="s">
        <v>15468</v>
      </c>
      <c r="AC1638" s="6" t="str">
        <f t="shared" si="780"/>
        <v>=8.013*100000000</v>
      </c>
      <c r="AD1638" s="1">
        <f>8.013*100000000</f>
        <v>801300000</v>
      </c>
      <c r="AE1638" s="8">
        <f t="shared" si="797"/>
        <v>1.3025862068965517</v>
      </c>
      <c r="AF1638" s="6" t="s">
        <v>14447</v>
      </c>
      <c r="AG1638" s="6" t="str">
        <f t="shared" si="781"/>
        <v>=3.480*100000000</v>
      </c>
      <c r="AH1638" s="1">
        <f>3.48*100000000</f>
        <v>348000000</v>
      </c>
      <c r="AI1638" s="8">
        <f t="shared" si="798"/>
        <v>-0.79236276849642007</v>
      </c>
      <c r="AJ1638" s="6" t="s">
        <v>9614</v>
      </c>
      <c r="AK1638" s="6" t="str">
        <f t="shared" si="782"/>
        <v>=16.76*100000000</v>
      </c>
      <c r="AL1638" s="1">
        <f>16.76*100000000</f>
        <v>1676000000.0000002</v>
      </c>
      <c r="AM1638" s="8">
        <f t="shared" si="799"/>
        <v>0.26777609682299564</v>
      </c>
      <c r="AN1638" s="6" t="s">
        <v>12527</v>
      </c>
      <c r="AO1638" s="6" t="str">
        <f t="shared" si="783"/>
        <v>=13.22*100000000</v>
      </c>
      <c r="AP1638" s="1">
        <f>13.22*100000000</f>
        <v>1322000000</v>
      </c>
      <c r="AQ1638" s="8">
        <f t="shared" si="800"/>
        <v>0.45900011036309457</v>
      </c>
      <c r="AR1638" s="6" t="s">
        <v>15469</v>
      </c>
      <c r="AS1638" s="6" t="str">
        <f t="shared" si="784"/>
        <v>=9.061*100000000</v>
      </c>
      <c r="AT1638" s="1">
        <f>9.061*100000000</f>
        <v>906100000</v>
      </c>
      <c r="AU1638" s="8">
        <f t="shared" si="801"/>
        <v>1.1200280767430979</v>
      </c>
      <c r="AV1638" s="6" t="s">
        <v>15470</v>
      </c>
      <c r="AW1638" s="6" t="str">
        <f t="shared" si="785"/>
        <v>=4.274*100000000</v>
      </c>
      <c r="AX1638" s="1">
        <f>4.274*100000000</f>
        <v>427400000</v>
      </c>
      <c r="AY1638" s="10">
        <f t="shared" si="802"/>
        <v>-0.79540449976065108</v>
      </c>
      <c r="AZ1638" s="6" t="s">
        <v>9131</v>
      </c>
      <c r="BA1638" s="6" t="str">
        <f t="shared" si="786"/>
        <v>=20.89*100000000</v>
      </c>
      <c r="BB1638" s="1">
        <f>20.89*100000000</f>
        <v>2089000000</v>
      </c>
      <c r="BC1638" s="8">
        <f t="shared" si="803"/>
        <v>0.33910256410256412</v>
      </c>
      <c r="BD1638" s="6" t="s">
        <v>357</v>
      </c>
      <c r="BE1638" s="6" t="str">
        <f t="shared" si="787"/>
        <v>=15.60*100000000</v>
      </c>
      <c r="BF1638" s="1">
        <f>15.6*100000000</f>
        <v>1560000000</v>
      </c>
      <c r="BG1638" s="8">
        <f t="shared" si="804"/>
        <v>0.55688622754491013</v>
      </c>
      <c r="BH1638" s="6" t="s">
        <v>5088</v>
      </c>
      <c r="BI1638" s="6" t="str">
        <f t="shared" si="788"/>
        <v>=10.02*100000000</v>
      </c>
      <c r="BJ1638" s="1">
        <f>10.02*100000000</f>
        <v>1002000000</v>
      </c>
      <c r="BK1638" s="6" t="s">
        <v>3611</v>
      </c>
      <c r="BL1638" s="1" t="str">
        <f t="shared" si="790"/>
        <v>=4.280*100000000</v>
      </c>
      <c r="BM1638" s="16">
        <f t="shared" si="805"/>
        <v>1.3411214953271029</v>
      </c>
      <c r="BN1638" s="1">
        <f>4.28*100000000</f>
        <v>428000000</v>
      </c>
    </row>
    <row r="1639" spans="1:66">
      <c r="A1639" s="18"/>
      <c r="B1639">
        <v>603165</v>
      </c>
      <c r="C1639" t="s">
        <v>48</v>
      </c>
      <c r="D1639" s="6" t="s">
        <v>15471</v>
      </c>
      <c r="E1639" s="7" t="str">
        <f t="shared" si="789"/>
        <v>=2.767*100000000</v>
      </c>
      <c r="F1639" s="1">
        <f>2.767*100000000</f>
        <v>276700000</v>
      </c>
      <c r="G1639" s="8">
        <f t="shared" si="791"/>
        <v>0.43293630243397202</v>
      </c>
      <c r="H1639" s="6" t="s">
        <v>15472</v>
      </c>
      <c r="I1639" s="6" t="str">
        <f t="shared" si="775"/>
        <v>=1.931*100000000</v>
      </c>
      <c r="J1639" s="1">
        <f>1.931*100000000</f>
        <v>193100000</v>
      </c>
      <c r="K1639" s="10">
        <f t="shared" si="792"/>
        <v>0.26291693917593201</v>
      </c>
      <c r="L1639" s="6" t="s">
        <v>1922</v>
      </c>
      <c r="M1639" s="6" t="str">
        <f t="shared" si="776"/>
        <v>=1.529*100000000</v>
      </c>
      <c r="N1639" s="1">
        <f>1.529*100000000</f>
        <v>152900000</v>
      </c>
      <c r="O1639" s="8">
        <f t="shared" si="793"/>
        <v>0.93495317641103515</v>
      </c>
      <c r="P1639" s="7" t="s">
        <v>15473</v>
      </c>
      <c r="Q1639" s="6" t="str">
        <f t="shared" si="777"/>
        <v>=7902*10000</v>
      </c>
      <c r="R1639" s="11">
        <f>7902*10000</f>
        <v>79020000</v>
      </c>
      <c r="S1639" s="8">
        <f t="shared" si="794"/>
        <v>-0.68404638144742103</v>
      </c>
      <c r="T1639" s="6" t="s">
        <v>15474</v>
      </c>
      <c r="U1639" s="6" t="str">
        <f t="shared" si="778"/>
        <v>=2.501*100000000</v>
      </c>
      <c r="V1639" s="1">
        <f>2.501*100000000</f>
        <v>250100000</v>
      </c>
      <c r="W1639" s="8">
        <f t="shared" si="795"/>
        <v>0.33671833244254412</v>
      </c>
      <c r="X1639" s="6" t="s">
        <v>10874</v>
      </c>
      <c r="Y1639" s="6" t="str">
        <f t="shared" si="779"/>
        <v>=1.871*100000000</v>
      </c>
      <c r="Z1639" s="1">
        <f>1.871*100000000</f>
        <v>187100000</v>
      </c>
      <c r="AA1639" s="8">
        <f t="shared" si="796"/>
        <v>0.49321628092577829</v>
      </c>
      <c r="AB1639" s="6" t="s">
        <v>6372</v>
      </c>
      <c r="AC1639" s="6" t="str">
        <f t="shared" si="780"/>
        <v>=1.253*100000000</v>
      </c>
      <c r="AD1639" s="1">
        <f>1.253*100000000</f>
        <v>125299999.99999999</v>
      </c>
      <c r="AE1639" s="8">
        <f t="shared" si="797"/>
        <v>1.1768589298123695</v>
      </c>
      <c r="AF1639" s="7" t="s">
        <v>7255</v>
      </c>
      <c r="AG1639" s="6" t="str">
        <f t="shared" si="781"/>
        <v>=5756*10000</v>
      </c>
      <c r="AH1639" s="1">
        <f>5756*10000</f>
        <v>57560000</v>
      </c>
      <c r="AI1639" s="8">
        <f t="shared" si="798"/>
        <v>-0.78783634353114629</v>
      </c>
      <c r="AJ1639" s="6" t="s">
        <v>15475</v>
      </c>
      <c r="AK1639" s="6" t="str">
        <f t="shared" si="782"/>
        <v>=2.713*100000000</v>
      </c>
      <c r="AL1639" s="1">
        <f>2.713*100000000</f>
        <v>271300000</v>
      </c>
      <c r="AM1639" s="8">
        <f t="shared" si="799"/>
        <v>0.34773969200198707</v>
      </c>
      <c r="AN1639" s="6" t="s">
        <v>3376</v>
      </c>
      <c r="AO1639" s="6" t="str">
        <f t="shared" si="783"/>
        <v>=2.013*100000000</v>
      </c>
      <c r="AP1639" s="1">
        <f>2.013*100000000</f>
        <v>201300000</v>
      </c>
      <c r="AQ1639" s="8">
        <f t="shared" si="800"/>
        <v>0.48890532544378701</v>
      </c>
      <c r="AR1639" s="6" t="s">
        <v>3897</v>
      </c>
      <c r="AS1639" s="6" t="str">
        <f t="shared" si="784"/>
        <v>=1.352*100000000</v>
      </c>
      <c r="AT1639" s="1">
        <f>1.352*100000000</f>
        <v>135200000</v>
      </c>
      <c r="AU1639" s="8">
        <f t="shared" si="801"/>
        <v>0.79429329794293302</v>
      </c>
      <c r="AV1639" s="7" t="s">
        <v>15476</v>
      </c>
      <c r="AW1639" s="6" t="str">
        <f t="shared" si="785"/>
        <v>=7535*10000</v>
      </c>
      <c r="AX1639" s="1">
        <f>7535*10000</f>
        <v>75350000</v>
      </c>
      <c r="AY1639" s="10">
        <f t="shared" si="802"/>
        <v>-0.67451403887688988</v>
      </c>
      <c r="AZ1639" s="6" t="s">
        <v>4306</v>
      </c>
      <c r="BA1639" s="6" t="str">
        <f t="shared" si="786"/>
        <v>=2.315*100000000</v>
      </c>
      <c r="BB1639" s="1">
        <f>2.315*100000000</f>
        <v>231500000</v>
      </c>
      <c r="BC1639" s="8">
        <f t="shared" si="803"/>
        <v>0.48778920308483292</v>
      </c>
      <c r="BD1639" s="6" t="s">
        <v>1284</v>
      </c>
      <c r="BE1639" s="6" t="str">
        <f t="shared" si="787"/>
        <v>=1.556*100000000</v>
      </c>
      <c r="BF1639" s="1">
        <f>1.556*100000000</f>
        <v>155600000</v>
      </c>
      <c r="BG1639" s="8">
        <f t="shared" si="804"/>
        <v>0.15773809523809523</v>
      </c>
      <c r="BH1639" s="6" t="s">
        <v>7272</v>
      </c>
      <c r="BI1639" s="6" t="str">
        <f t="shared" si="788"/>
        <v>=1.344*100000000</v>
      </c>
      <c r="BJ1639" s="1">
        <f>1.344*100000000</f>
        <v>134400000</v>
      </c>
      <c r="BK1639" s="7" t="s">
        <v>15477</v>
      </c>
      <c r="BL1639" s="1" t="str">
        <f t="shared" si="790"/>
        <v>=6628*10000</v>
      </c>
      <c r="BM1639" s="16">
        <f t="shared" si="805"/>
        <v>1.0277610138805069</v>
      </c>
      <c r="BN1639" s="1">
        <f>6628*10000</f>
        <v>66280000</v>
      </c>
    </row>
    <row r="1640" spans="1:66">
      <c r="A1640" s="18"/>
      <c r="B1640">
        <v>603165</v>
      </c>
      <c r="C1640" t="s">
        <v>58</v>
      </c>
      <c r="D1640" s="6" t="s">
        <v>7778</v>
      </c>
      <c r="E1640" s="7" t="str">
        <f t="shared" si="789"/>
        <v>=2.765*100000000</v>
      </c>
      <c r="F1640" s="1">
        <f>2.765*100000000</f>
        <v>276500000</v>
      </c>
      <c r="G1640" s="8">
        <f t="shared" si="791"/>
        <v>0.43264248704663211</v>
      </c>
      <c r="H1640" s="6" t="s">
        <v>4932</v>
      </c>
      <c r="I1640" s="6" t="str">
        <f t="shared" si="775"/>
        <v>=1.930*100000000</v>
      </c>
      <c r="J1640" s="1">
        <f>1.93*100000000</f>
        <v>193000000</v>
      </c>
      <c r="K1640" s="10">
        <f t="shared" si="792"/>
        <v>0.26226291693917592</v>
      </c>
      <c r="L1640" s="6" t="s">
        <v>1922</v>
      </c>
      <c r="M1640" s="6" t="str">
        <f t="shared" si="776"/>
        <v>=1.529*100000000</v>
      </c>
      <c r="N1640" s="1">
        <f>1.529*100000000</f>
        <v>152900000</v>
      </c>
      <c r="O1640" s="8">
        <f t="shared" si="793"/>
        <v>0.9356880617799721</v>
      </c>
      <c r="P1640" s="7" t="s">
        <v>12731</v>
      </c>
      <c r="Q1640" s="6" t="str">
        <f t="shared" si="777"/>
        <v>=7899*10000</v>
      </c>
      <c r="R1640" s="11">
        <f>7899*10000</f>
        <v>78990000</v>
      </c>
      <c r="S1640" s="8">
        <f t="shared" si="794"/>
        <v>-0.68492221779018747</v>
      </c>
      <c r="T1640" s="6" t="s">
        <v>15478</v>
      </c>
      <c r="U1640" s="6" t="str">
        <f t="shared" si="778"/>
        <v>=2.507*100000000</v>
      </c>
      <c r="V1640" s="1">
        <f>2.507*100000000</f>
        <v>250700000</v>
      </c>
      <c r="W1640" s="8">
        <f t="shared" si="795"/>
        <v>0.34135901551631886</v>
      </c>
      <c r="X1640" s="6" t="s">
        <v>15479</v>
      </c>
      <c r="Y1640" s="6" t="str">
        <f t="shared" si="779"/>
        <v>=1.869*100000000</v>
      </c>
      <c r="Z1640" s="1">
        <f>1.869*100000000</f>
        <v>186900000</v>
      </c>
      <c r="AA1640" s="8">
        <f t="shared" si="796"/>
        <v>0.49519999999999997</v>
      </c>
      <c r="AB1640" s="6" t="s">
        <v>2838</v>
      </c>
      <c r="AC1640" s="6" t="str">
        <f t="shared" si="780"/>
        <v>=1.250*100000000</v>
      </c>
      <c r="AD1640" s="1">
        <f>1.25*100000000</f>
        <v>125000000</v>
      </c>
      <c r="AE1640" s="8">
        <f t="shared" si="797"/>
        <v>1.182643617950061</v>
      </c>
      <c r="AF1640" s="7" t="s">
        <v>15480</v>
      </c>
      <c r="AG1640" s="6" t="str">
        <f t="shared" si="781"/>
        <v>=5727*10000</v>
      </c>
      <c r="AH1640" s="1">
        <f>5727*10000</f>
        <v>57270000</v>
      </c>
      <c r="AI1640" s="8">
        <f t="shared" si="798"/>
        <v>-0.79083272461650844</v>
      </c>
      <c r="AJ1640" s="6" t="s">
        <v>15481</v>
      </c>
      <c r="AK1640" s="6" t="str">
        <f t="shared" si="782"/>
        <v>=2.738*100000000</v>
      </c>
      <c r="AL1640" s="1">
        <f>2.738*100000000</f>
        <v>273800000</v>
      </c>
      <c r="AM1640" s="8">
        <f t="shared" si="799"/>
        <v>0.35948361469712037</v>
      </c>
      <c r="AN1640" s="6" t="s">
        <v>6785</v>
      </c>
      <c r="AO1640" s="6" t="str">
        <f t="shared" si="783"/>
        <v>=2.014*100000000</v>
      </c>
      <c r="AP1640" s="1">
        <f>2.014*100000000</f>
        <v>201399999.99999997</v>
      </c>
      <c r="AQ1640" s="8">
        <f t="shared" si="800"/>
        <v>0.48964497041420096</v>
      </c>
      <c r="AR1640" s="6" t="s">
        <v>3897</v>
      </c>
      <c r="AS1640" s="6" t="str">
        <f t="shared" si="784"/>
        <v>=1.352*100000000</v>
      </c>
      <c r="AT1640" s="1">
        <f>1.352*100000000</f>
        <v>135200000</v>
      </c>
      <c r="AU1640" s="8">
        <f t="shared" si="801"/>
        <v>0.79381716863473528</v>
      </c>
      <c r="AV1640" s="7" t="s">
        <v>15482</v>
      </c>
      <c r="AW1640" s="6" t="str">
        <f t="shared" si="785"/>
        <v>=7537*10000</v>
      </c>
      <c r="AX1640" s="1">
        <f>7537*10000</f>
        <v>75370000</v>
      </c>
      <c r="AY1640" s="10">
        <f t="shared" si="802"/>
        <v>-0.67512931034482759</v>
      </c>
      <c r="AZ1640" s="6" t="s">
        <v>7655</v>
      </c>
      <c r="BA1640" s="6" t="str">
        <f t="shared" si="786"/>
        <v>=2.320*100000000</v>
      </c>
      <c r="BB1640" s="1">
        <f>2.32*100000000</f>
        <v>231999999.99999997</v>
      </c>
      <c r="BC1640" s="8">
        <f t="shared" si="803"/>
        <v>0.48527528809218928</v>
      </c>
      <c r="BD1640" s="6" t="s">
        <v>7543</v>
      </c>
      <c r="BE1640" s="6" t="str">
        <f t="shared" si="787"/>
        <v>=1.562*100000000</v>
      </c>
      <c r="BF1640" s="1">
        <f>1.562*100000000</f>
        <v>156200000</v>
      </c>
      <c r="BG1640" s="8">
        <f t="shared" si="804"/>
        <v>0.16133828996282529</v>
      </c>
      <c r="BH1640" s="6" t="s">
        <v>6291</v>
      </c>
      <c r="BI1640" s="6" t="str">
        <f t="shared" si="788"/>
        <v>=1.345*100000000</v>
      </c>
      <c r="BJ1640" s="1">
        <f>1.345*100000000</f>
        <v>134500000</v>
      </c>
      <c r="BK1640" s="7" t="s">
        <v>15477</v>
      </c>
      <c r="BL1640" s="1" t="str">
        <f t="shared" si="790"/>
        <v>=6628*10000</v>
      </c>
      <c r="BM1640" s="16">
        <f t="shared" si="805"/>
        <v>1.0292697646348823</v>
      </c>
      <c r="BN1640" s="1">
        <f>6628*10000</f>
        <v>66280000</v>
      </c>
    </row>
    <row r="1641" spans="1:66">
      <c r="A1641" s="19"/>
      <c r="B1641">
        <v>603165</v>
      </c>
      <c r="C1641" t="s">
        <v>68</v>
      </c>
      <c r="D1641" s="6" t="s">
        <v>1704</v>
      </c>
      <c r="E1641" s="7" t="str">
        <f t="shared" si="789"/>
        <v>=2.844*100000000</v>
      </c>
      <c r="F1641" s="1">
        <f>2.844*100000000</f>
        <v>284400000</v>
      </c>
      <c r="G1641" s="8">
        <f t="shared" si="791"/>
        <v>0.5870535714285714</v>
      </c>
      <c r="H1641" s="6" t="s">
        <v>10936</v>
      </c>
      <c r="I1641" s="6" t="str">
        <f t="shared" si="775"/>
        <v>=1.792*100000000</v>
      </c>
      <c r="J1641" s="1">
        <f>1.792*100000000</f>
        <v>179200000</v>
      </c>
      <c r="K1641" s="10">
        <f t="shared" si="792"/>
        <v>0.28920863309352518</v>
      </c>
      <c r="L1641" s="6" t="s">
        <v>8057</v>
      </c>
      <c r="M1641" s="6" t="str">
        <f t="shared" si="776"/>
        <v>=1.390*100000000</v>
      </c>
      <c r="N1641" s="1">
        <f>1.39*100000000</f>
        <v>139000000</v>
      </c>
      <c r="O1641" s="8">
        <f t="shared" si="793"/>
        <v>0.92174754596986042</v>
      </c>
      <c r="P1641" s="7" t="s">
        <v>15483</v>
      </c>
      <c r="Q1641" s="6" t="str">
        <f t="shared" si="777"/>
        <v>=7233*10000</v>
      </c>
      <c r="R1641" s="11">
        <f>7233*10000</f>
        <v>72330000</v>
      </c>
      <c r="S1641" s="8">
        <f t="shared" si="794"/>
        <v>-0.68809831824062095</v>
      </c>
      <c r="T1641" s="6" t="s">
        <v>1997</v>
      </c>
      <c r="U1641" s="6" t="str">
        <f t="shared" si="778"/>
        <v>=2.319*100000000</v>
      </c>
      <c r="V1641" s="1">
        <f>2.319*100000000</f>
        <v>231900000</v>
      </c>
      <c r="W1641" s="8">
        <f t="shared" si="795"/>
        <v>0.34982537834691502</v>
      </c>
      <c r="X1641" s="6" t="s">
        <v>6296</v>
      </c>
      <c r="Y1641" s="6" t="str">
        <f t="shared" si="779"/>
        <v>=1.718*100000000</v>
      </c>
      <c r="Z1641" s="1">
        <f>1.718*100000000</f>
        <v>171800000</v>
      </c>
      <c r="AA1641" s="8">
        <f t="shared" si="796"/>
        <v>0.50569675723049956</v>
      </c>
      <c r="AB1641" s="6" t="s">
        <v>8310</v>
      </c>
      <c r="AC1641" s="6" t="str">
        <f t="shared" si="780"/>
        <v>=1.141*100000000</v>
      </c>
      <c r="AD1641" s="1">
        <f>1.141*100000000</f>
        <v>114100000</v>
      </c>
      <c r="AE1641" s="8">
        <f t="shared" si="797"/>
        <v>1.1938088829071332</v>
      </c>
      <c r="AF1641" s="7" t="s">
        <v>15484</v>
      </c>
      <c r="AG1641" s="6" t="str">
        <f t="shared" si="781"/>
        <v>=5201*10000</v>
      </c>
      <c r="AH1641" s="1">
        <f>5201*10000</f>
        <v>52010000</v>
      </c>
      <c r="AI1641" s="8">
        <f t="shared" si="798"/>
        <v>-0.79129213483146066</v>
      </c>
      <c r="AJ1641" s="6" t="s">
        <v>15485</v>
      </c>
      <c r="AK1641" s="6" t="str">
        <f t="shared" si="782"/>
        <v>=2.492*100000000</v>
      </c>
      <c r="AL1641" s="1">
        <f>2.492*100000000</f>
        <v>249200000</v>
      </c>
      <c r="AM1641" s="8">
        <f t="shared" si="799"/>
        <v>0.34339622641509432</v>
      </c>
      <c r="AN1641" s="6" t="s">
        <v>10587</v>
      </c>
      <c r="AO1641" s="6" t="str">
        <f t="shared" si="783"/>
        <v>=1.855*100000000</v>
      </c>
      <c r="AP1641" s="1">
        <f>1.855*100000000</f>
        <v>185500000</v>
      </c>
      <c r="AQ1641" s="8">
        <f t="shared" si="800"/>
        <v>0.49838449111470112</v>
      </c>
      <c r="AR1641" s="6" t="s">
        <v>13121</v>
      </c>
      <c r="AS1641" s="6" t="str">
        <f t="shared" si="784"/>
        <v>=1.238*100000000</v>
      </c>
      <c r="AT1641" s="1">
        <f>1.238*100000000</f>
        <v>123800000</v>
      </c>
      <c r="AU1641" s="8">
        <f t="shared" si="801"/>
        <v>0.79316338354577054</v>
      </c>
      <c r="AV1641" s="7" t="s">
        <v>11205</v>
      </c>
      <c r="AW1641" s="6" t="str">
        <f t="shared" si="785"/>
        <v>=6904*10000</v>
      </c>
      <c r="AX1641" s="1">
        <f>6904*10000</f>
        <v>69040000</v>
      </c>
      <c r="AY1641" s="10">
        <f t="shared" si="802"/>
        <v>-0.66807692307692312</v>
      </c>
      <c r="AZ1641" s="6" t="s">
        <v>8872</v>
      </c>
      <c r="BA1641" s="6" t="str">
        <f t="shared" si="786"/>
        <v>=2.080*100000000</v>
      </c>
      <c r="BB1641" s="1">
        <f>2.08*100000000</f>
        <v>208000000</v>
      </c>
      <c r="BC1641" s="8">
        <f t="shared" si="803"/>
        <v>0.47727272727272729</v>
      </c>
      <c r="BD1641" s="6" t="s">
        <v>8813</v>
      </c>
      <c r="BE1641" s="6" t="str">
        <f t="shared" si="787"/>
        <v>=1.408*100000000</v>
      </c>
      <c r="BF1641" s="1">
        <f>1.408*100000000</f>
        <v>140800000</v>
      </c>
      <c r="BG1641" s="8">
        <f t="shared" si="804"/>
        <v>0.1465798045602606</v>
      </c>
      <c r="BH1641" s="6" t="s">
        <v>15486</v>
      </c>
      <c r="BI1641" s="6" t="str">
        <f t="shared" si="788"/>
        <v>=1.228*100000000</v>
      </c>
      <c r="BJ1641" s="1">
        <f>1.228*100000000</f>
        <v>122800000</v>
      </c>
      <c r="BK1641" s="7" t="s">
        <v>15487</v>
      </c>
      <c r="BL1641" s="1" t="str">
        <f t="shared" si="790"/>
        <v>=6003*10000</v>
      </c>
      <c r="BM1641" s="16">
        <f t="shared" si="805"/>
        <v>1.0456438447442946</v>
      </c>
      <c r="BN1641" s="1">
        <f>6003*10000</f>
        <v>60030000</v>
      </c>
    </row>
    <row r="1642" spans="1:66">
      <c r="A1642" s="17">
        <v>412</v>
      </c>
      <c r="B1642">
        <v>603166</v>
      </c>
      <c r="C1642" t="s">
        <v>31</v>
      </c>
      <c r="D1642" s="6" t="s">
        <v>14146</v>
      </c>
      <c r="E1642" s="7" t="str">
        <f t="shared" si="789"/>
        <v>=18.15*100000000</v>
      </c>
      <c r="F1642" s="1">
        <f>18.15*100000000</f>
        <v>1814999999.9999998</v>
      </c>
      <c r="G1642" s="8">
        <f t="shared" si="791"/>
        <v>0.30107526881720414</v>
      </c>
      <c r="H1642" s="6" t="s">
        <v>11313</v>
      </c>
      <c r="I1642" s="6" t="str">
        <f t="shared" si="775"/>
        <v>=13.95*100000000</v>
      </c>
      <c r="J1642" s="1">
        <f>13.95*100000000</f>
        <v>1395000000</v>
      </c>
      <c r="K1642" s="10">
        <f t="shared" si="792"/>
        <v>0.33110687022900764</v>
      </c>
      <c r="L1642" s="6" t="s">
        <v>2750</v>
      </c>
      <c r="M1642" s="6" t="str">
        <f t="shared" si="776"/>
        <v>=10.48*100000000</v>
      </c>
      <c r="N1642" s="1">
        <f>10.48*100000000</f>
        <v>1048000000</v>
      </c>
      <c r="O1642" s="8">
        <f t="shared" si="793"/>
        <v>0.94831753113961703</v>
      </c>
      <c r="P1642" s="6" t="s">
        <v>6412</v>
      </c>
      <c r="Q1642" s="6" t="str">
        <f t="shared" si="777"/>
        <v>=5.379*100000000</v>
      </c>
      <c r="R1642" s="11">
        <f>5.379*100000000</f>
        <v>537900000</v>
      </c>
      <c r="S1642" s="8">
        <f t="shared" si="794"/>
        <v>-0.6961016949152542</v>
      </c>
      <c r="T1642" s="6" t="s">
        <v>5239</v>
      </c>
      <c r="U1642" s="6" t="str">
        <f t="shared" si="778"/>
        <v>=17.70*100000000</v>
      </c>
      <c r="V1642" s="1">
        <f>17.7*100000000</f>
        <v>1770000000</v>
      </c>
      <c r="W1642" s="8">
        <f t="shared" si="795"/>
        <v>0.40587768069896746</v>
      </c>
      <c r="X1642" s="6" t="s">
        <v>5263</v>
      </c>
      <c r="Y1642" s="6" t="str">
        <f t="shared" si="779"/>
        <v>=12.59*100000000</v>
      </c>
      <c r="Z1642" s="1">
        <f>12.59*100000000</f>
        <v>1259000000</v>
      </c>
      <c r="AA1642" s="8">
        <f t="shared" si="796"/>
        <v>0.56826108619830595</v>
      </c>
      <c r="AB1642" s="6" t="s">
        <v>15260</v>
      </c>
      <c r="AC1642" s="6" t="str">
        <f t="shared" si="780"/>
        <v>=8.028*100000000</v>
      </c>
      <c r="AD1642" s="1">
        <f>8.028*100000000</f>
        <v>802800000</v>
      </c>
      <c r="AE1642" s="8">
        <f t="shared" si="797"/>
        <v>1.6175415715683077</v>
      </c>
      <c r="AF1642" s="6" t="s">
        <v>9519</v>
      </c>
      <c r="AG1642" s="6" t="str">
        <f t="shared" si="781"/>
        <v>=3.067*100000000</v>
      </c>
      <c r="AH1642" s="1">
        <f>3.067*100000000</f>
        <v>306700000</v>
      </c>
      <c r="AI1642" s="8">
        <f t="shared" si="798"/>
        <v>-0.79755775577557753</v>
      </c>
      <c r="AJ1642" s="6" t="s">
        <v>15488</v>
      </c>
      <c r="AK1642" s="6" t="str">
        <f t="shared" si="782"/>
        <v>=15.15*100000000</v>
      </c>
      <c r="AL1642" s="1">
        <f>15.15*100000000</f>
        <v>1515000000</v>
      </c>
      <c r="AM1642" s="8">
        <f t="shared" si="799"/>
        <v>0.41456582633053207</v>
      </c>
      <c r="AN1642" s="6" t="s">
        <v>588</v>
      </c>
      <c r="AO1642" s="6" t="str">
        <f t="shared" si="783"/>
        <v>=10.71*100000000</v>
      </c>
      <c r="AP1642" s="1">
        <f>10.71*100000000</f>
        <v>1071000000.0000001</v>
      </c>
      <c r="AQ1642" s="8">
        <f t="shared" si="800"/>
        <v>0.41835518474374273</v>
      </c>
      <c r="AR1642" s="6" t="s">
        <v>15489</v>
      </c>
      <c r="AS1642" s="6" t="str">
        <f t="shared" si="784"/>
        <v>=7.551*100000000</v>
      </c>
      <c r="AT1642" s="1">
        <f>7.551*100000000</f>
        <v>755100000</v>
      </c>
      <c r="AU1642" s="8">
        <f t="shared" si="801"/>
        <v>0.96999739107748495</v>
      </c>
      <c r="AV1642" s="6" t="s">
        <v>15490</v>
      </c>
      <c r="AW1642" s="6" t="str">
        <f t="shared" si="785"/>
        <v>=3.833*100000000</v>
      </c>
      <c r="AX1642" s="1">
        <f>3.833*100000000</f>
        <v>383300000</v>
      </c>
      <c r="AY1642" s="10">
        <f t="shared" si="802"/>
        <v>-0.72718861209964414</v>
      </c>
      <c r="AZ1642" s="6" t="s">
        <v>1803</v>
      </c>
      <c r="BA1642" s="6" t="str">
        <f t="shared" si="786"/>
        <v>=14.05*100000000</v>
      </c>
      <c r="BB1642" s="1">
        <f>14.05*100000000</f>
        <v>1405000000</v>
      </c>
      <c r="BC1642" s="8">
        <f t="shared" si="803"/>
        <v>0.32173095014110992</v>
      </c>
      <c r="BD1642" s="6" t="s">
        <v>6457</v>
      </c>
      <c r="BE1642" s="6" t="str">
        <f t="shared" si="787"/>
        <v>=10.63*100000000</v>
      </c>
      <c r="BF1642" s="1">
        <f>10.63*100000000</f>
        <v>1063000000.0000001</v>
      </c>
      <c r="BG1642" s="8">
        <f t="shared" si="804"/>
        <v>0.3607270865335383</v>
      </c>
      <c r="BH1642" s="6" t="s">
        <v>15491</v>
      </c>
      <c r="BI1642" s="6" t="str">
        <f t="shared" si="788"/>
        <v>=7.812*100000000</v>
      </c>
      <c r="BJ1642" s="1">
        <f>7.812*100000000</f>
        <v>781200000</v>
      </c>
      <c r="BK1642" s="6" t="s">
        <v>12308</v>
      </c>
      <c r="BL1642" s="1" t="str">
        <f t="shared" si="790"/>
        <v>=3.792*100000000</v>
      </c>
      <c r="BM1642" s="16">
        <f t="shared" si="805"/>
        <v>1.0601265822784811</v>
      </c>
      <c r="BN1642" s="1">
        <f>3.792*100000000</f>
        <v>379200000</v>
      </c>
    </row>
    <row r="1643" spans="1:66">
      <c r="A1643" s="18"/>
      <c r="B1643">
        <v>603166</v>
      </c>
      <c r="C1643" t="s">
        <v>48</v>
      </c>
      <c r="D1643" s="6" t="s">
        <v>11401</v>
      </c>
      <c r="E1643" s="7" t="str">
        <f t="shared" si="789"/>
        <v>=2.472*100000000</v>
      </c>
      <c r="F1643" s="1">
        <f>2.472*100000000</f>
        <v>247200000</v>
      </c>
      <c r="G1643" s="8">
        <f t="shared" si="791"/>
        <v>0.22679900744416873</v>
      </c>
      <c r="H1643" s="6" t="s">
        <v>15492</v>
      </c>
      <c r="I1643" s="6" t="str">
        <f t="shared" si="775"/>
        <v>=2.015*100000000</v>
      </c>
      <c r="J1643" s="1">
        <f>2.015*100000000</f>
        <v>201500000</v>
      </c>
      <c r="K1643" s="10">
        <f t="shared" si="792"/>
        <v>0.26729559748427673</v>
      </c>
      <c r="L1643" s="6" t="s">
        <v>10770</v>
      </c>
      <c r="M1643" s="6" t="str">
        <f t="shared" si="776"/>
        <v>=1.590*100000000</v>
      </c>
      <c r="N1643" s="1">
        <f>1.59*100000000</f>
        <v>159000000</v>
      </c>
      <c r="O1643" s="8">
        <f t="shared" si="793"/>
        <v>1.1571021571021571</v>
      </c>
      <c r="P1643" s="7" t="s">
        <v>15493</v>
      </c>
      <c r="Q1643" s="6" t="str">
        <f t="shared" si="777"/>
        <v>=7371*10000</v>
      </c>
      <c r="R1643" s="11">
        <f>7371*10000</f>
        <v>73710000</v>
      </c>
      <c r="S1643" s="8">
        <f t="shared" si="794"/>
        <v>-0.67685225778167468</v>
      </c>
      <c r="T1643" s="6" t="s">
        <v>6389</v>
      </c>
      <c r="U1643" s="6" t="str">
        <f t="shared" si="778"/>
        <v>=2.281*100000000</v>
      </c>
      <c r="V1643" s="1">
        <f>2.281*100000000</f>
        <v>228100000</v>
      </c>
      <c r="W1643" s="8">
        <f t="shared" si="795"/>
        <v>0.40110565110565111</v>
      </c>
      <c r="X1643" s="6" t="s">
        <v>15494</v>
      </c>
      <c r="Y1643" s="6" t="str">
        <f t="shared" si="779"/>
        <v>=1.628*100000000</v>
      </c>
      <c r="Z1643" s="1">
        <f>1.628*100000000</f>
        <v>162800000</v>
      </c>
      <c r="AA1643" s="8">
        <f t="shared" si="796"/>
        <v>0.55640535372848954</v>
      </c>
      <c r="AB1643" s="6" t="s">
        <v>10249</v>
      </c>
      <c r="AC1643" s="6" t="str">
        <f t="shared" si="780"/>
        <v>=1.046*100000000</v>
      </c>
      <c r="AD1643" s="1">
        <f>1.046*100000000</f>
        <v>104600000</v>
      </c>
      <c r="AE1643" s="8">
        <f t="shared" si="797"/>
        <v>2.1038575667655786</v>
      </c>
      <c r="AF1643" s="7" t="s">
        <v>15495</v>
      </c>
      <c r="AG1643" s="6" t="str">
        <f t="shared" si="781"/>
        <v>=3370*10000</v>
      </c>
      <c r="AH1643" s="1">
        <f>3370*10000</f>
        <v>33700000</v>
      </c>
      <c r="AI1643" s="8">
        <f t="shared" si="798"/>
        <v>-0.76466480446927376</v>
      </c>
      <c r="AJ1643" s="6" t="s">
        <v>12025</v>
      </c>
      <c r="AK1643" s="6" t="str">
        <f t="shared" si="782"/>
        <v>=1.432*100000000</v>
      </c>
      <c r="AL1643" s="1">
        <f>1.432*100000000</f>
        <v>143200000</v>
      </c>
      <c r="AM1643" s="8">
        <f t="shared" si="799"/>
        <v>0.53483386923901388</v>
      </c>
      <c r="AN1643" s="7" t="s">
        <v>15496</v>
      </c>
      <c r="AO1643" s="6" t="str">
        <f t="shared" si="783"/>
        <v>=9330*10000</v>
      </c>
      <c r="AP1643" s="1">
        <f>9330*10000</f>
        <v>93300000</v>
      </c>
      <c r="AQ1643" s="8">
        <f t="shared" si="800"/>
        <v>0.22056514913657771</v>
      </c>
      <c r="AR1643" s="7" t="s">
        <v>15497</v>
      </c>
      <c r="AS1643" s="6" t="str">
        <f t="shared" si="784"/>
        <v>=7644*10000</v>
      </c>
      <c r="AT1643" s="1">
        <f>7644*10000</f>
        <v>76440000</v>
      </c>
      <c r="AU1643" s="8">
        <f t="shared" si="801"/>
        <v>0.46268656716417911</v>
      </c>
      <c r="AV1643" s="7" t="s">
        <v>15498</v>
      </c>
      <c r="AW1643" s="6" t="str">
        <f t="shared" si="785"/>
        <v>=5226*10000</v>
      </c>
      <c r="AX1643" s="1">
        <f>5226*10000</f>
        <v>52260000</v>
      </c>
      <c r="AY1643" s="10">
        <f t="shared" si="802"/>
        <v>-0.55523404255319153</v>
      </c>
      <c r="AZ1643" s="6" t="s">
        <v>5315</v>
      </c>
      <c r="BA1643" s="6" t="str">
        <f t="shared" si="786"/>
        <v>=1.175*100000000</v>
      </c>
      <c r="BB1643" s="1">
        <f>1.175*100000000</f>
        <v>117500000</v>
      </c>
      <c r="BC1643" s="8">
        <f t="shared" si="803"/>
        <v>0.33235060664474431</v>
      </c>
      <c r="BD1643" s="7" t="s">
        <v>15499</v>
      </c>
      <c r="BE1643" s="6" t="str">
        <f t="shared" si="787"/>
        <v>=8819*10000</v>
      </c>
      <c r="BF1643" s="1">
        <f>8819*10000</f>
        <v>88190000</v>
      </c>
      <c r="BG1643" s="8">
        <f t="shared" si="804"/>
        <v>0.1839173043361525</v>
      </c>
      <c r="BH1643" s="7" t="s">
        <v>15500</v>
      </c>
      <c r="BI1643" s="6" t="str">
        <f t="shared" si="788"/>
        <v>=7449*10000</v>
      </c>
      <c r="BJ1643" s="1">
        <f>7449*10000</f>
        <v>74490000</v>
      </c>
      <c r="BK1643" s="7" t="s">
        <v>15501</v>
      </c>
      <c r="BL1643" s="1" t="str">
        <f t="shared" si="790"/>
        <v>=4257*10000</v>
      </c>
      <c r="BM1643" s="16">
        <f t="shared" si="805"/>
        <v>0.74982381959126143</v>
      </c>
      <c r="BN1643" s="1">
        <f>4257*10000</f>
        <v>42570000</v>
      </c>
    </row>
    <row r="1644" spans="1:66">
      <c r="A1644" s="18"/>
      <c r="B1644">
        <v>603166</v>
      </c>
      <c r="C1644" t="s">
        <v>58</v>
      </c>
      <c r="D1644" s="6" t="s">
        <v>11340</v>
      </c>
      <c r="E1644" s="7" t="str">
        <f t="shared" si="789"/>
        <v>=2.251*100000000</v>
      </c>
      <c r="F1644" s="1">
        <f>2.251*100000000</f>
        <v>225100000</v>
      </c>
      <c r="G1644" s="8">
        <f t="shared" si="791"/>
        <v>0.25543781372002233</v>
      </c>
      <c r="H1644" s="6" t="s">
        <v>15502</v>
      </c>
      <c r="I1644" s="6" t="str">
        <f t="shared" si="775"/>
        <v>=1.793*100000000</v>
      </c>
      <c r="J1644" s="1">
        <f>1.793*100000000</f>
        <v>179300000</v>
      </c>
      <c r="K1644" s="10">
        <f t="shared" si="792"/>
        <v>0.29552023121387283</v>
      </c>
      <c r="L1644" s="6" t="s">
        <v>4880</v>
      </c>
      <c r="M1644" s="6" t="str">
        <f t="shared" si="776"/>
        <v>=1.384*100000000</v>
      </c>
      <c r="N1644" s="1">
        <f>1.384*100000000</f>
        <v>138400000</v>
      </c>
      <c r="O1644" s="8">
        <f t="shared" si="793"/>
        <v>0.88658669574700111</v>
      </c>
      <c r="P1644" s="7" t="s">
        <v>12736</v>
      </c>
      <c r="Q1644" s="6" t="str">
        <f t="shared" si="777"/>
        <v>=7336*10000</v>
      </c>
      <c r="R1644" s="11">
        <f>7336*10000</f>
        <v>73360000</v>
      </c>
      <c r="S1644" s="8">
        <f t="shared" si="794"/>
        <v>-0.67235372934345694</v>
      </c>
      <c r="T1644" s="6" t="s">
        <v>103</v>
      </c>
      <c r="U1644" s="6" t="str">
        <f t="shared" si="778"/>
        <v>=2.239*100000000</v>
      </c>
      <c r="V1644" s="1">
        <f>2.239*100000000</f>
        <v>223900000</v>
      </c>
      <c r="W1644" s="8">
        <f t="shared" si="795"/>
        <v>0.40112640801001254</v>
      </c>
      <c r="X1644" s="6" t="s">
        <v>15503</v>
      </c>
      <c r="Y1644" s="6" t="str">
        <f t="shared" si="779"/>
        <v>=1.598*100000000</v>
      </c>
      <c r="Z1644" s="1">
        <f>1.598*100000000</f>
        <v>159800000</v>
      </c>
      <c r="AA1644" s="8">
        <f t="shared" si="796"/>
        <v>0.53506243996157565</v>
      </c>
      <c r="AB1644" s="6" t="s">
        <v>2741</v>
      </c>
      <c r="AC1644" s="6" t="str">
        <f t="shared" si="780"/>
        <v>=1.041*100000000</v>
      </c>
      <c r="AD1644" s="1">
        <f>1.041*100000000</f>
        <v>104099999.99999999</v>
      </c>
      <c r="AE1644" s="8">
        <f t="shared" si="797"/>
        <v>2.123312331233123</v>
      </c>
      <c r="AF1644" s="7" t="s">
        <v>15504</v>
      </c>
      <c r="AG1644" s="6" t="str">
        <f t="shared" si="781"/>
        <v>=3333*10000</v>
      </c>
      <c r="AH1644" s="1">
        <f>3333*10000</f>
        <v>33330000</v>
      </c>
      <c r="AI1644" s="8">
        <f t="shared" si="798"/>
        <v>-0.76724860335195533</v>
      </c>
      <c r="AJ1644" s="6" t="s">
        <v>12025</v>
      </c>
      <c r="AK1644" s="6" t="str">
        <f t="shared" si="782"/>
        <v>=1.432*100000000</v>
      </c>
      <c r="AL1644" s="1">
        <f>1.432*100000000</f>
        <v>143200000</v>
      </c>
      <c r="AM1644" s="8">
        <f t="shared" si="799"/>
        <v>0.53434051216114864</v>
      </c>
      <c r="AN1644" s="7" t="s">
        <v>15505</v>
      </c>
      <c r="AO1644" s="6" t="str">
        <f t="shared" si="783"/>
        <v>=9333*10000</v>
      </c>
      <c r="AP1644" s="1">
        <f>9333*10000</f>
        <v>93330000</v>
      </c>
      <c r="AQ1644" s="8">
        <f t="shared" si="800"/>
        <v>0.22</v>
      </c>
      <c r="AR1644" s="7" t="s">
        <v>15506</v>
      </c>
      <c r="AS1644" s="6" t="str">
        <f t="shared" si="784"/>
        <v>=7650*10000</v>
      </c>
      <c r="AT1644" s="1">
        <f>7650*10000</f>
        <v>76500000</v>
      </c>
      <c r="AU1644" s="8">
        <f t="shared" si="801"/>
        <v>0.46383467278989665</v>
      </c>
      <c r="AV1644" s="7" t="s">
        <v>15498</v>
      </c>
      <c r="AW1644" s="6" t="str">
        <f t="shared" si="785"/>
        <v>=5226*10000</v>
      </c>
      <c r="AX1644" s="1">
        <f>5226*10000</f>
        <v>52260000</v>
      </c>
      <c r="AY1644" s="10">
        <f t="shared" si="802"/>
        <v>-0.55523404255319153</v>
      </c>
      <c r="AZ1644" s="6" t="s">
        <v>5315</v>
      </c>
      <c r="BA1644" s="6" t="str">
        <f t="shared" si="786"/>
        <v>=1.175*100000000</v>
      </c>
      <c r="BB1644" s="1">
        <f>1.175*100000000</f>
        <v>117500000</v>
      </c>
      <c r="BC1644" s="8">
        <f t="shared" si="803"/>
        <v>0.34055904164289791</v>
      </c>
      <c r="BD1644" s="7" t="s">
        <v>15507</v>
      </c>
      <c r="BE1644" s="6" t="str">
        <f t="shared" si="787"/>
        <v>=8765*10000</v>
      </c>
      <c r="BF1644" s="1">
        <f>8765*10000</f>
        <v>87650000</v>
      </c>
      <c r="BG1644" s="8">
        <f t="shared" si="804"/>
        <v>0.18783032931291502</v>
      </c>
      <c r="BH1644" s="7" t="s">
        <v>15508</v>
      </c>
      <c r="BI1644" s="6" t="str">
        <f t="shared" si="788"/>
        <v>=7379*10000</v>
      </c>
      <c r="BJ1644" s="1">
        <f>7379*10000</f>
        <v>73790000</v>
      </c>
      <c r="BK1644" s="7" t="s">
        <v>15509</v>
      </c>
      <c r="BL1644" s="1" t="str">
        <f t="shared" si="790"/>
        <v>=4260*10000</v>
      </c>
      <c r="BM1644" s="16">
        <f t="shared" si="805"/>
        <v>0.73215962441314553</v>
      </c>
      <c r="BN1644" s="1">
        <f>4260*10000</f>
        <v>42600000</v>
      </c>
    </row>
    <row r="1645" spans="1:66">
      <c r="A1645" s="19"/>
      <c r="B1645">
        <v>603166</v>
      </c>
      <c r="C1645" t="s">
        <v>68</v>
      </c>
      <c r="D1645" s="6" t="s">
        <v>8460</v>
      </c>
      <c r="E1645" s="7" t="str">
        <f t="shared" si="789"/>
        <v>=2.083*100000000</v>
      </c>
      <c r="F1645" s="1">
        <f>2.083*100000000</f>
        <v>208300000.00000003</v>
      </c>
      <c r="G1645" s="8">
        <f t="shared" si="791"/>
        <v>0.31171284634760726</v>
      </c>
      <c r="H1645" s="6" t="s">
        <v>2207</v>
      </c>
      <c r="I1645" s="6" t="str">
        <f t="shared" si="775"/>
        <v>=1.588*100000000</v>
      </c>
      <c r="J1645" s="1">
        <f>1.588*100000000</f>
        <v>158800000</v>
      </c>
      <c r="K1645" s="10">
        <f t="shared" si="792"/>
        <v>0.33221476510067116</v>
      </c>
      <c r="L1645" s="6" t="s">
        <v>2162</v>
      </c>
      <c r="M1645" s="6" t="str">
        <f t="shared" si="776"/>
        <v>=1.192*100000000</v>
      </c>
      <c r="N1645" s="1">
        <f>1.192*100000000</f>
        <v>119200000</v>
      </c>
      <c r="O1645" s="8">
        <f t="shared" si="793"/>
        <v>0.91701511740109365</v>
      </c>
      <c r="P1645" s="7" t="s">
        <v>9789</v>
      </c>
      <c r="Q1645" s="6" t="str">
        <f t="shared" si="777"/>
        <v>=6218*10000</v>
      </c>
      <c r="R1645" s="11">
        <f>6218*10000</f>
        <v>62180000</v>
      </c>
      <c r="S1645" s="8">
        <f t="shared" si="794"/>
        <v>-0.69002991026919236</v>
      </c>
      <c r="T1645" s="6" t="s">
        <v>1593</v>
      </c>
      <c r="U1645" s="6" t="str">
        <f t="shared" si="778"/>
        <v>=2.006*100000000</v>
      </c>
      <c r="V1645" s="1">
        <f>2.006*100000000</f>
        <v>200599999.99999997</v>
      </c>
      <c r="W1645" s="8">
        <f t="shared" si="795"/>
        <v>0.51854655563966667</v>
      </c>
      <c r="X1645" s="6" t="s">
        <v>6883</v>
      </c>
      <c r="Y1645" s="6" t="str">
        <f t="shared" si="779"/>
        <v>=1.321*100000000</v>
      </c>
      <c r="Z1645" s="1">
        <f>1.321*100000000</f>
        <v>132100000</v>
      </c>
      <c r="AA1645" s="8">
        <f t="shared" si="796"/>
        <v>0.49214955382356262</v>
      </c>
      <c r="AB1645" s="7" t="s">
        <v>15510</v>
      </c>
      <c r="AC1645" s="6" t="str">
        <f t="shared" si="780"/>
        <v>=8853*10000</v>
      </c>
      <c r="AD1645" s="1">
        <f>8853*10000</f>
        <v>88530000</v>
      </c>
      <c r="AE1645" s="8">
        <f t="shared" si="797"/>
        <v>2</v>
      </c>
      <c r="AF1645" s="7" t="s">
        <v>15309</v>
      </c>
      <c r="AG1645" s="6" t="str">
        <f t="shared" si="781"/>
        <v>=2951*10000</v>
      </c>
      <c r="AH1645" s="1">
        <f>2951*10000</f>
        <v>29510000</v>
      </c>
      <c r="AI1645" s="8">
        <f t="shared" si="798"/>
        <v>-0.77861965491372842</v>
      </c>
      <c r="AJ1645" s="6" t="s">
        <v>4282</v>
      </c>
      <c r="AK1645" s="6" t="str">
        <f t="shared" si="782"/>
        <v>=1.333*100000000</v>
      </c>
      <c r="AL1645" s="1">
        <f>1.333*100000000</f>
        <v>133300000</v>
      </c>
      <c r="AM1645" s="8">
        <f t="shared" si="799"/>
        <v>0.62224656200559814</v>
      </c>
      <c r="AN1645" s="7" t="s">
        <v>15511</v>
      </c>
      <c r="AO1645" s="6" t="str">
        <f t="shared" si="783"/>
        <v>=8217*10000</v>
      </c>
      <c r="AP1645" s="1">
        <f>8217*10000</f>
        <v>82170000</v>
      </c>
      <c r="AQ1645" s="8">
        <f t="shared" si="800"/>
        <v>0.20660792951541851</v>
      </c>
      <c r="AR1645" s="7" t="s">
        <v>15512</v>
      </c>
      <c r="AS1645" s="6" t="str">
        <f t="shared" si="784"/>
        <v>=6810*10000</v>
      </c>
      <c r="AT1645" s="1">
        <f>6810*10000</f>
        <v>68100000</v>
      </c>
      <c r="AU1645" s="8">
        <f t="shared" si="801"/>
        <v>0.47338814366075294</v>
      </c>
      <c r="AV1645" s="7" t="s">
        <v>15513</v>
      </c>
      <c r="AW1645" s="6" t="str">
        <f t="shared" si="785"/>
        <v>=4622*10000</v>
      </c>
      <c r="AX1645" s="1">
        <f>4622*10000</f>
        <v>46220000</v>
      </c>
      <c r="AY1645" s="10">
        <f t="shared" si="802"/>
        <v>-0.58768956289027652</v>
      </c>
      <c r="AZ1645" s="6" t="s">
        <v>3894</v>
      </c>
      <c r="BA1645" s="6" t="str">
        <f t="shared" si="786"/>
        <v>=1.121*100000000</v>
      </c>
      <c r="BB1645" s="1">
        <f>1.121*100000000</f>
        <v>112100000</v>
      </c>
      <c r="BC1645" s="8">
        <f t="shared" si="803"/>
        <v>0.40953099459323528</v>
      </c>
      <c r="BD1645" s="7" t="s">
        <v>7010</v>
      </c>
      <c r="BE1645" s="6" t="str">
        <f t="shared" si="787"/>
        <v>=7953*10000</v>
      </c>
      <c r="BF1645" s="1">
        <f>7953*10000</f>
        <v>79530000</v>
      </c>
      <c r="BG1645" s="8">
        <f t="shared" si="804"/>
        <v>0.18295403837572513</v>
      </c>
      <c r="BH1645" s="7" t="s">
        <v>15514</v>
      </c>
      <c r="BI1645" s="6" t="str">
        <f t="shared" si="788"/>
        <v>=6723*10000</v>
      </c>
      <c r="BJ1645" s="1">
        <f>6723*10000</f>
        <v>67230000</v>
      </c>
      <c r="BK1645" s="7" t="s">
        <v>5961</v>
      </c>
      <c r="BL1645" s="1" t="str">
        <f t="shared" si="790"/>
        <v>=3864*10000</v>
      </c>
      <c r="BM1645" s="16">
        <f t="shared" si="805"/>
        <v>0.7399068322981367</v>
      </c>
      <c r="BN1645" s="1">
        <f>3864*10000</f>
        <v>38640000</v>
      </c>
    </row>
    <row r="1646" spans="1:66">
      <c r="A1646" s="17">
        <v>413</v>
      </c>
      <c r="B1646">
        <v>603167</v>
      </c>
      <c r="C1646" t="s">
        <v>31</v>
      </c>
      <c r="D1646" s="6" t="s">
        <v>8678</v>
      </c>
      <c r="E1646" s="7" t="str">
        <f t="shared" si="789"/>
        <v>=14.01*100000000</v>
      </c>
      <c r="F1646" s="1">
        <f>14.01*100000000</f>
        <v>1401000000</v>
      </c>
      <c r="G1646" s="8">
        <f t="shared" si="791"/>
        <v>0.38850346878097125</v>
      </c>
      <c r="H1646" s="6" t="s">
        <v>340</v>
      </c>
      <c r="I1646" s="6" t="str">
        <f t="shared" si="775"/>
        <v>=10.09*100000000</v>
      </c>
      <c r="J1646" s="1">
        <f>10.09*100000000</f>
        <v>1009000000</v>
      </c>
      <c r="K1646" s="10">
        <f t="shared" si="792"/>
        <v>0.46849075825935088</v>
      </c>
      <c r="L1646" s="6" t="s">
        <v>15515</v>
      </c>
      <c r="M1646" s="6" t="str">
        <f t="shared" si="776"/>
        <v>=6.871*100000000</v>
      </c>
      <c r="N1646" s="1">
        <f>6.871*100000000</f>
        <v>687100000</v>
      </c>
      <c r="O1646" s="8">
        <f t="shared" si="793"/>
        <v>1.2819661242112255</v>
      </c>
      <c r="P1646" s="6" t="s">
        <v>1475</v>
      </c>
      <c r="Q1646" s="6" t="str">
        <f t="shared" si="777"/>
        <v>=3.011*100000000</v>
      </c>
      <c r="R1646" s="11">
        <f>3.011*100000000</f>
        <v>301100000</v>
      </c>
      <c r="S1646" s="8">
        <f t="shared" si="794"/>
        <v>-0.74198800342759208</v>
      </c>
      <c r="T1646" s="6" t="s">
        <v>1549</v>
      </c>
      <c r="U1646" s="6" t="str">
        <f t="shared" si="778"/>
        <v>=11.67*100000000</v>
      </c>
      <c r="V1646" s="1">
        <f>11.67*100000000</f>
        <v>1167000000</v>
      </c>
      <c r="W1646" s="8">
        <f t="shared" si="795"/>
        <v>0.46039294205981729</v>
      </c>
      <c r="X1646" s="6" t="s">
        <v>9113</v>
      </c>
      <c r="Y1646" s="6" t="str">
        <f t="shared" si="779"/>
        <v>=7.991*100000000</v>
      </c>
      <c r="Z1646" s="1">
        <f>7.991*100000000</f>
        <v>799100000</v>
      </c>
      <c r="AA1646" s="8">
        <f t="shared" si="796"/>
        <v>0.60300902708124349</v>
      </c>
      <c r="AB1646" s="6" t="s">
        <v>2068</v>
      </c>
      <c r="AC1646" s="6" t="str">
        <f t="shared" si="780"/>
        <v>=4.985*100000000</v>
      </c>
      <c r="AD1646" s="1">
        <f>4.985*100000000</f>
        <v>498500000.00000006</v>
      </c>
      <c r="AE1646" s="8">
        <f t="shared" si="797"/>
        <v>1.4105415860735013</v>
      </c>
      <c r="AF1646" s="6" t="s">
        <v>2802</v>
      </c>
      <c r="AG1646" s="6" t="str">
        <f t="shared" si="781"/>
        <v>=2.068*100000000</v>
      </c>
      <c r="AH1646" s="1">
        <f>2.068*100000000</f>
        <v>206800000</v>
      </c>
      <c r="AI1646" s="8">
        <f t="shared" si="798"/>
        <v>-0.87564642212868316</v>
      </c>
      <c r="AJ1646" s="6" t="s">
        <v>15516</v>
      </c>
      <c r="AK1646" s="6" t="str">
        <f t="shared" si="782"/>
        <v>=16.63*100000000</v>
      </c>
      <c r="AL1646" s="1">
        <f>16.63*100000000</f>
        <v>1663000000</v>
      </c>
      <c r="AM1646" s="8">
        <f t="shared" si="799"/>
        <v>0.30636292223095052</v>
      </c>
      <c r="AN1646" s="6" t="s">
        <v>1590</v>
      </c>
      <c r="AO1646" s="6" t="str">
        <f t="shared" si="783"/>
        <v>=12.73*100000000</v>
      </c>
      <c r="AP1646" s="1">
        <f>12.73*100000000</f>
        <v>1273000000</v>
      </c>
      <c r="AQ1646" s="8">
        <f t="shared" si="800"/>
        <v>0.56599827777094358</v>
      </c>
      <c r="AR1646" s="6" t="s">
        <v>15517</v>
      </c>
      <c r="AS1646" s="6" t="str">
        <f t="shared" si="784"/>
        <v>=8.129*100000000</v>
      </c>
      <c r="AT1646" s="1">
        <f>8.129*100000000</f>
        <v>812900000</v>
      </c>
      <c r="AU1646" s="8">
        <f t="shared" si="801"/>
        <v>1.1735294117647059</v>
      </c>
      <c r="AV1646" s="6" t="s">
        <v>7506</v>
      </c>
      <c r="AW1646" s="6" t="str">
        <f t="shared" si="785"/>
        <v>=3.740*100000000</v>
      </c>
      <c r="AX1646" s="1">
        <f>3.74*100000000</f>
        <v>374000000</v>
      </c>
      <c r="AY1646" s="10">
        <f t="shared" si="802"/>
        <v>-0.77577937649880091</v>
      </c>
      <c r="AZ1646" s="6" t="s">
        <v>2077</v>
      </c>
      <c r="BA1646" s="6" t="str">
        <f t="shared" si="786"/>
        <v>=16.68*100000000</v>
      </c>
      <c r="BB1646" s="1">
        <f>16.68*100000000</f>
        <v>1668000000</v>
      </c>
      <c r="BC1646" s="8">
        <f t="shared" si="803"/>
        <v>0.30926216640502358</v>
      </c>
      <c r="BD1646" s="6" t="s">
        <v>1106</v>
      </c>
      <c r="BE1646" s="6" t="str">
        <f t="shared" si="787"/>
        <v>=12.74*100000000</v>
      </c>
      <c r="BF1646" s="1">
        <f>12.74*100000000</f>
        <v>1274000000</v>
      </c>
      <c r="BG1646" s="8">
        <f t="shared" si="804"/>
        <v>0.62811501597444086</v>
      </c>
      <c r="BH1646" s="6" t="s">
        <v>15518</v>
      </c>
      <c r="BI1646" s="6" t="str">
        <f t="shared" si="788"/>
        <v>=7.825*100000000</v>
      </c>
      <c r="BJ1646" s="1">
        <f>7.825*100000000</f>
        <v>782500000</v>
      </c>
      <c r="BK1646" s="6" t="s">
        <v>9659</v>
      </c>
      <c r="BL1646" s="1" t="str">
        <f t="shared" si="790"/>
        <v>=3.614*100000000</v>
      </c>
      <c r="BM1646" s="16">
        <f t="shared" si="805"/>
        <v>1.1651909241837299</v>
      </c>
      <c r="BN1646" s="1">
        <f>3.614*100000000</f>
        <v>361400000</v>
      </c>
    </row>
    <row r="1647" spans="1:66">
      <c r="A1647" s="18"/>
      <c r="B1647">
        <v>603167</v>
      </c>
      <c r="C1647" t="s">
        <v>48</v>
      </c>
      <c r="D1647" s="6" t="s">
        <v>3902</v>
      </c>
      <c r="E1647" s="7" t="str">
        <f t="shared" si="789"/>
        <v>=3.546*100000000</v>
      </c>
      <c r="F1647" s="1">
        <f>3.546*100000000</f>
        <v>354600000</v>
      </c>
      <c r="G1647" s="8">
        <f t="shared" si="791"/>
        <v>0.49431099873577733</v>
      </c>
      <c r="H1647" s="6" t="s">
        <v>6365</v>
      </c>
      <c r="I1647" s="6" t="str">
        <f t="shared" si="775"/>
        <v>=2.373*100000000</v>
      </c>
      <c r="J1647" s="1">
        <f>2.373*100000000</f>
        <v>237300000.00000003</v>
      </c>
      <c r="K1647" s="10">
        <f t="shared" si="792"/>
        <v>0.28548212351029267</v>
      </c>
      <c r="L1647" s="6" t="s">
        <v>1570</v>
      </c>
      <c r="M1647" s="6" t="str">
        <f t="shared" si="776"/>
        <v>=1.846*100000000</v>
      </c>
      <c r="N1647" s="1">
        <f>1.846*100000000</f>
        <v>184600000</v>
      </c>
      <c r="O1647" s="8">
        <f t="shared" si="793"/>
        <v>2.160417736688923</v>
      </c>
      <c r="P1647" s="7" t="s">
        <v>9946</v>
      </c>
      <c r="Q1647" s="6" t="str">
        <f t="shared" si="777"/>
        <v>=5841*10000</v>
      </c>
      <c r="R1647" s="11">
        <f>5841*10000</f>
        <v>58410000</v>
      </c>
      <c r="S1647" s="8">
        <f t="shared" si="794"/>
        <v>-0.75218498090793384</v>
      </c>
      <c r="T1647" s="6" t="s">
        <v>9233</v>
      </c>
      <c r="U1647" s="6" t="str">
        <f t="shared" si="778"/>
        <v>=2.357*100000000</v>
      </c>
      <c r="V1647" s="1">
        <f>2.357*100000000</f>
        <v>235700000.00000003</v>
      </c>
      <c r="W1647" s="8">
        <f t="shared" si="795"/>
        <v>0.58827493261455543</v>
      </c>
      <c r="X1647" s="6" t="s">
        <v>8304</v>
      </c>
      <c r="Y1647" s="6" t="str">
        <f t="shared" si="779"/>
        <v>=1.484*100000000</v>
      </c>
      <c r="Z1647" s="1">
        <f>1.484*100000000</f>
        <v>148400000</v>
      </c>
      <c r="AA1647" s="8">
        <f t="shared" si="796"/>
        <v>3.9139072847682117</v>
      </c>
      <c r="AB1647" s="7" t="s">
        <v>15519</v>
      </c>
      <c r="AC1647" s="6" t="str">
        <f t="shared" si="780"/>
        <v>=3020*10000</v>
      </c>
      <c r="AD1647" s="1">
        <f>3020*10000</f>
        <v>30200000</v>
      </c>
      <c r="AE1647" s="8">
        <f t="shared" si="797"/>
        <v>-1.6371308016877637</v>
      </c>
      <c r="AF1647" s="7">
        <f>-4740*10000</f>
        <v>-47400000</v>
      </c>
      <c r="AG1647" s="6" t="str">
        <f t="shared" si="781"/>
        <v>=-47400000</v>
      </c>
      <c r="AH1647" s="1">
        <f>-47400000</f>
        <v>-47400000</v>
      </c>
      <c r="AI1647" s="8">
        <f t="shared" si="798"/>
        <v>-1.0822631030892051</v>
      </c>
      <c r="AJ1647" s="6" t="s">
        <v>11511</v>
      </c>
      <c r="AK1647" s="6" t="str">
        <f t="shared" si="782"/>
        <v>=5.762*100000000</v>
      </c>
      <c r="AL1647" s="1">
        <f>5.762*100000000</f>
        <v>576200000</v>
      </c>
      <c r="AM1647" s="8">
        <f t="shared" si="799"/>
        <v>0.20317394027980804</v>
      </c>
      <c r="AN1647" s="6" t="s">
        <v>15520</v>
      </c>
      <c r="AO1647" s="6" t="str">
        <f t="shared" si="783"/>
        <v>=4.789*100000000</v>
      </c>
      <c r="AP1647" s="1">
        <f>4.789*100000000</f>
        <v>478899999.99999994</v>
      </c>
      <c r="AQ1647" s="8">
        <f t="shared" si="800"/>
        <v>0.30454916916371544</v>
      </c>
      <c r="AR1647" s="6" t="s">
        <v>15521</v>
      </c>
      <c r="AS1647" s="6" t="str">
        <f t="shared" si="784"/>
        <v>=3.671*100000000</v>
      </c>
      <c r="AT1647" s="1">
        <f>3.671*100000000</f>
        <v>367100000</v>
      </c>
      <c r="AU1647" s="8">
        <f t="shared" si="801"/>
        <v>0.4731139646869984</v>
      </c>
      <c r="AV1647" s="6" t="s">
        <v>15485</v>
      </c>
      <c r="AW1647" s="6" t="str">
        <f t="shared" si="785"/>
        <v>=2.492*100000000</v>
      </c>
      <c r="AX1647" s="1">
        <f>2.492*100000000</f>
        <v>249200000</v>
      </c>
      <c r="AY1647" s="10">
        <f t="shared" si="802"/>
        <v>-0.54030621656520939</v>
      </c>
      <c r="AZ1647" s="6" t="s">
        <v>7779</v>
      </c>
      <c r="BA1647" s="6" t="str">
        <f t="shared" si="786"/>
        <v>=5.421*100000000</v>
      </c>
      <c r="BB1647" s="1">
        <f>5.421*100000000</f>
        <v>542100000</v>
      </c>
      <c r="BC1647" s="8">
        <f t="shared" si="803"/>
        <v>0.19484240687679083</v>
      </c>
      <c r="BD1647" s="6" t="s">
        <v>15522</v>
      </c>
      <c r="BE1647" s="6" t="str">
        <f t="shared" si="787"/>
        <v>=4.537*100000000</v>
      </c>
      <c r="BF1647" s="1">
        <f>4.537*100000000</f>
        <v>453700000</v>
      </c>
      <c r="BG1647" s="8">
        <f t="shared" si="804"/>
        <v>0.32505841121495327</v>
      </c>
      <c r="BH1647" s="6" t="s">
        <v>15523</v>
      </c>
      <c r="BI1647" s="6" t="str">
        <f t="shared" si="788"/>
        <v>=3.424*100000000</v>
      </c>
      <c r="BJ1647" s="1">
        <f>3.424*100000000</f>
        <v>342400000</v>
      </c>
      <c r="BK1647" s="6" t="s">
        <v>7911</v>
      </c>
      <c r="BL1647" s="1" t="str">
        <f t="shared" si="790"/>
        <v>=2.156*100000000</v>
      </c>
      <c r="BM1647" s="16">
        <f t="shared" si="805"/>
        <v>0.58812615955473102</v>
      </c>
      <c r="BN1647" s="1">
        <f>2.156*100000000</f>
        <v>215600000</v>
      </c>
    </row>
    <row r="1648" spans="1:66">
      <c r="A1648" s="18"/>
      <c r="B1648">
        <v>603167</v>
      </c>
      <c r="C1648" t="s">
        <v>58</v>
      </c>
      <c r="D1648" s="6" t="s">
        <v>158</v>
      </c>
      <c r="E1648" s="7" t="str">
        <f t="shared" si="789"/>
        <v>=3.171*100000000</v>
      </c>
      <c r="F1648" s="1">
        <f>3.171*100000000</f>
        <v>317100000</v>
      </c>
      <c r="G1648" s="8">
        <f t="shared" si="791"/>
        <v>0.34080338266384763</v>
      </c>
      <c r="H1648" s="6" t="s">
        <v>15524</v>
      </c>
      <c r="I1648" s="6" t="str">
        <f t="shared" si="775"/>
        <v>=2.365*100000000</v>
      </c>
      <c r="J1648" s="1">
        <f>2.365*100000000</f>
        <v>236500000.00000003</v>
      </c>
      <c r="K1648" s="10">
        <f t="shared" si="792"/>
        <v>0.28114842903575316</v>
      </c>
      <c r="L1648" s="6" t="s">
        <v>1570</v>
      </c>
      <c r="M1648" s="6" t="str">
        <f t="shared" si="776"/>
        <v>=1.846*100000000</v>
      </c>
      <c r="N1648" s="1">
        <f>1.846*100000000</f>
        <v>184600000</v>
      </c>
      <c r="O1648" s="8">
        <f t="shared" si="793"/>
        <v>2.1517841898582892</v>
      </c>
      <c r="P1648" s="7" t="s">
        <v>15525</v>
      </c>
      <c r="Q1648" s="6" t="str">
        <f t="shared" si="777"/>
        <v>=5857*10000</v>
      </c>
      <c r="R1648" s="11">
        <f>5857*10000</f>
        <v>58570000</v>
      </c>
      <c r="S1648" s="8">
        <f t="shared" si="794"/>
        <v>-0.7514006791171477</v>
      </c>
      <c r="T1648" s="6" t="s">
        <v>15071</v>
      </c>
      <c r="U1648" s="6" t="str">
        <f t="shared" si="778"/>
        <v>=2.356*100000000</v>
      </c>
      <c r="V1648" s="1">
        <f>2.356*100000000</f>
        <v>235600000</v>
      </c>
      <c r="W1648" s="8">
        <f t="shared" si="795"/>
        <v>0.58760107816711593</v>
      </c>
      <c r="X1648" s="6" t="s">
        <v>8304</v>
      </c>
      <c r="Y1648" s="6" t="str">
        <f t="shared" si="779"/>
        <v>=1.484*100000000</v>
      </c>
      <c r="Z1648" s="1">
        <f>1.484*100000000</f>
        <v>148400000</v>
      </c>
      <c r="AA1648" s="8">
        <f t="shared" si="796"/>
        <v>3.9367930805056552</v>
      </c>
      <c r="AB1648" s="7" t="s">
        <v>4433</v>
      </c>
      <c r="AC1648" s="6" t="str">
        <f t="shared" si="780"/>
        <v>=3006*10000</v>
      </c>
      <c r="AD1648" s="1">
        <f>3006*10000</f>
        <v>30060000</v>
      </c>
      <c r="AE1648" s="8">
        <f t="shared" si="797"/>
        <v>-1.6309823677581865</v>
      </c>
      <c r="AF1648" s="7">
        <f>-4764*10000</f>
        <v>-47640000</v>
      </c>
      <c r="AG1648" s="6" t="str">
        <f t="shared" si="781"/>
        <v>=-47640000</v>
      </c>
      <c r="AH1648" s="1">
        <f>-47640000</f>
        <v>-47640000</v>
      </c>
      <c r="AI1648" s="8">
        <f t="shared" si="798"/>
        <v>-1.0820530485704443</v>
      </c>
      <c r="AJ1648" s="6" t="s">
        <v>7758</v>
      </c>
      <c r="AK1648" s="6" t="str">
        <f t="shared" si="782"/>
        <v>=5.806*100000000</v>
      </c>
      <c r="AL1648" s="1">
        <f>5.806*100000000</f>
        <v>580600000</v>
      </c>
      <c r="AM1648" s="8">
        <f t="shared" si="799"/>
        <v>0.20157284768211919</v>
      </c>
      <c r="AN1648" s="6" t="s">
        <v>2785</v>
      </c>
      <c r="AO1648" s="6" t="str">
        <f t="shared" si="783"/>
        <v>=4.832*100000000</v>
      </c>
      <c r="AP1648" s="1">
        <f>4.832*100000000</f>
        <v>483200000</v>
      </c>
      <c r="AQ1648" s="8">
        <f t="shared" si="800"/>
        <v>0.3020749124225276</v>
      </c>
      <c r="AR1648" s="6" t="s">
        <v>14542</v>
      </c>
      <c r="AS1648" s="6" t="str">
        <f t="shared" si="784"/>
        <v>=3.711*100000000</v>
      </c>
      <c r="AT1648" s="1">
        <f>3.711*100000000</f>
        <v>371100000</v>
      </c>
      <c r="AU1648" s="8">
        <f t="shared" si="801"/>
        <v>0.48380647740903637</v>
      </c>
      <c r="AV1648" s="6" t="s">
        <v>15474</v>
      </c>
      <c r="AW1648" s="6" t="str">
        <f t="shared" si="785"/>
        <v>=2.501*100000000</v>
      </c>
      <c r="AX1648" s="1">
        <f>2.501*100000000</f>
        <v>250100000</v>
      </c>
      <c r="AY1648" s="10">
        <f t="shared" si="802"/>
        <v>-0.54733031674208144</v>
      </c>
      <c r="AZ1648" s="6" t="s">
        <v>15526</v>
      </c>
      <c r="BA1648" s="6" t="str">
        <f t="shared" si="786"/>
        <v>=5.525*100000000</v>
      </c>
      <c r="BB1648" s="1">
        <f>5.525*100000000</f>
        <v>552500000</v>
      </c>
      <c r="BC1648" s="8">
        <f t="shared" si="803"/>
        <v>0.21722846441947583</v>
      </c>
      <c r="BD1648" s="6" t="s">
        <v>13686</v>
      </c>
      <c r="BE1648" s="6" t="str">
        <f t="shared" si="787"/>
        <v>=4.539*100000000</v>
      </c>
      <c r="BF1648" s="1">
        <f>4.539*100000000</f>
        <v>453899999.99999994</v>
      </c>
      <c r="BG1648" s="8">
        <f t="shared" si="804"/>
        <v>0.32486865148861627</v>
      </c>
      <c r="BH1648" s="6" t="s">
        <v>15527</v>
      </c>
      <c r="BI1648" s="6" t="str">
        <f t="shared" si="788"/>
        <v>=3.426*100000000</v>
      </c>
      <c r="BJ1648" s="1">
        <f>3.426*100000000</f>
        <v>342600000</v>
      </c>
      <c r="BK1648" s="6" t="s">
        <v>8271</v>
      </c>
      <c r="BL1648" s="1" t="str">
        <f t="shared" si="790"/>
        <v>=2.158*100000000</v>
      </c>
      <c r="BM1648" s="16">
        <f t="shared" si="805"/>
        <v>0.58758109360518995</v>
      </c>
      <c r="BN1648" s="1">
        <f>2.158*100000000</f>
        <v>215800000</v>
      </c>
    </row>
    <row r="1649" spans="1:66">
      <c r="A1649" s="19"/>
      <c r="B1649">
        <v>603167</v>
      </c>
      <c r="C1649" t="s">
        <v>68</v>
      </c>
      <c r="D1649" s="6" t="s">
        <v>5033</v>
      </c>
      <c r="E1649" s="7" t="str">
        <f t="shared" si="789"/>
        <v>=2.225*100000000</v>
      </c>
      <c r="F1649" s="1">
        <f>2.225*100000000</f>
        <v>222500000</v>
      </c>
      <c r="G1649" s="8">
        <f t="shared" si="791"/>
        <v>0.33713942307692307</v>
      </c>
      <c r="H1649" s="6" t="s">
        <v>2059</v>
      </c>
      <c r="I1649" s="6" t="str">
        <f t="shared" si="775"/>
        <v>=1.664*100000000</v>
      </c>
      <c r="J1649" s="1">
        <f>1.664*100000000</f>
        <v>166400000</v>
      </c>
      <c r="K1649" s="10">
        <f t="shared" si="792"/>
        <v>0.25774754346182915</v>
      </c>
      <c r="L1649" s="6" t="s">
        <v>4431</v>
      </c>
      <c r="M1649" s="6" t="str">
        <f t="shared" si="776"/>
        <v>=1.323*100000000</v>
      </c>
      <c r="N1649" s="1">
        <f>1.323*100000000</f>
        <v>132300000</v>
      </c>
      <c r="O1649" s="8">
        <f t="shared" si="793"/>
        <v>2.2410583047525723</v>
      </c>
      <c r="P1649" s="7" t="s">
        <v>15528</v>
      </c>
      <c r="Q1649" s="6" t="str">
        <f t="shared" si="777"/>
        <v>=4082*10000</v>
      </c>
      <c r="R1649" s="11">
        <f>4082*10000</f>
        <v>40820000</v>
      </c>
      <c r="S1649" s="8">
        <f t="shared" si="794"/>
        <v>-0.74407523510971785</v>
      </c>
      <c r="T1649" s="6" t="s">
        <v>6129</v>
      </c>
      <c r="U1649" s="6" t="str">
        <f t="shared" si="778"/>
        <v>=1.595*100000000</v>
      </c>
      <c r="V1649" s="1">
        <f>1.595*100000000</f>
        <v>159500000</v>
      </c>
      <c r="W1649" s="8">
        <f t="shared" si="795"/>
        <v>0.61192521475492678</v>
      </c>
      <c r="X1649" s="7" t="s">
        <v>15529</v>
      </c>
      <c r="Y1649" s="6" t="str">
        <f t="shared" si="779"/>
        <v>=9895*10000</v>
      </c>
      <c r="Z1649" s="1">
        <f>9895*10000</f>
        <v>98950000</v>
      </c>
      <c r="AA1649" s="8">
        <f t="shared" si="796"/>
        <v>10.762957679505469</v>
      </c>
      <c r="AB1649" s="7" t="s">
        <v>15530</v>
      </c>
      <c r="AC1649" s="6" t="str">
        <f t="shared" si="780"/>
        <v>=841.2*10000</v>
      </c>
      <c r="AD1649" s="1">
        <f>841.2*10000</f>
        <v>8412000</v>
      </c>
      <c r="AE1649" s="8">
        <f t="shared" si="797"/>
        <v>-1.1663107947805458</v>
      </c>
      <c r="AF1649" s="7">
        <f>-5058*10000</f>
        <v>-50580000</v>
      </c>
      <c r="AG1649" s="6" t="str">
        <f t="shared" si="781"/>
        <v>=-50580000</v>
      </c>
      <c r="AH1649" s="1">
        <f>-50580000</f>
        <v>-50580000</v>
      </c>
      <c r="AI1649" s="8">
        <f t="shared" si="798"/>
        <v>-1.1162224264705882</v>
      </c>
      <c r="AJ1649" s="6" t="s">
        <v>1770</v>
      </c>
      <c r="AK1649" s="6" t="str">
        <f t="shared" si="782"/>
        <v>=4.352*100000000</v>
      </c>
      <c r="AL1649" s="1">
        <f>4.352*100000000</f>
        <v>435200000.00000006</v>
      </c>
      <c r="AM1649" s="8">
        <f t="shared" si="799"/>
        <v>0.2085531796723134</v>
      </c>
      <c r="AN1649" s="6" t="s">
        <v>11966</v>
      </c>
      <c r="AO1649" s="6" t="str">
        <f t="shared" si="783"/>
        <v>=3.601*100000000</v>
      </c>
      <c r="AP1649" s="1">
        <f>3.601*100000000</f>
        <v>360100000</v>
      </c>
      <c r="AQ1649" s="8">
        <f t="shared" si="800"/>
        <v>0.27423920736022644</v>
      </c>
      <c r="AR1649" s="6" t="s">
        <v>15531</v>
      </c>
      <c r="AS1649" s="6" t="str">
        <f t="shared" si="784"/>
        <v>=2.826*100000000</v>
      </c>
      <c r="AT1649" s="1">
        <f>2.826*100000000</f>
        <v>282600000</v>
      </c>
      <c r="AU1649" s="8">
        <f t="shared" si="801"/>
        <v>0.4881516587677725</v>
      </c>
      <c r="AV1649" s="6" t="s">
        <v>9429</v>
      </c>
      <c r="AW1649" s="6" t="str">
        <f t="shared" si="785"/>
        <v>=1.899*100000000</v>
      </c>
      <c r="AX1649" s="1">
        <f>1.899*100000000</f>
        <v>189900000</v>
      </c>
      <c r="AY1649" s="10">
        <f t="shared" si="802"/>
        <v>-0.55243931180768335</v>
      </c>
      <c r="AZ1649" s="6" t="s">
        <v>11743</v>
      </c>
      <c r="BA1649" s="6" t="str">
        <f t="shared" si="786"/>
        <v>=4.243*100000000</v>
      </c>
      <c r="BB1649" s="1">
        <f>4.243*100000000</f>
        <v>424300000.00000006</v>
      </c>
      <c r="BC1649" s="8">
        <f t="shared" si="803"/>
        <v>0.22453102453102469</v>
      </c>
      <c r="BD1649" s="6" t="s">
        <v>8382</v>
      </c>
      <c r="BE1649" s="6" t="str">
        <f t="shared" si="787"/>
        <v>=3.465*100000000</v>
      </c>
      <c r="BF1649" s="1">
        <f>3.465*100000000</f>
        <v>346500000</v>
      </c>
      <c r="BG1649" s="8">
        <f t="shared" si="804"/>
        <v>0.28954224041682175</v>
      </c>
      <c r="BH1649" s="6" t="s">
        <v>15532</v>
      </c>
      <c r="BI1649" s="6" t="str">
        <f t="shared" si="788"/>
        <v>=2.687*100000000</v>
      </c>
      <c r="BJ1649" s="1">
        <f>2.687*100000000</f>
        <v>268700000</v>
      </c>
      <c r="BK1649" s="6" t="s">
        <v>15533</v>
      </c>
      <c r="BL1649" s="1" t="str">
        <f t="shared" si="790"/>
        <v>=1.673*100000000</v>
      </c>
      <c r="BM1649" s="16">
        <f t="shared" si="805"/>
        <v>0.6060968320382546</v>
      </c>
      <c r="BN1649" s="1">
        <f>1.673*100000000</f>
        <v>167300000</v>
      </c>
    </row>
    <row r="1650" spans="1:66">
      <c r="A1650" s="17">
        <v>414</v>
      </c>
      <c r="B1650">
        <v>603168</v>
      </c>
      <c r="C1650" t="s">
        <v>31</v>
      </c>
      <c r="D1650" s="6" t="s">
        <v>15534</v>
      </c>
      <c r="E1650" s="7" t="str">
        <f t="shared" si="789"/>
        <v>=6.298*100000000</v>
      </c>
      <c r="F1650" s="1">
        <f>6.298*100000000</f>
        <v>629800000</v>
      </c>
      <c r="G1650" s="8">
        <f t="shared" si="791"/>
        <v>0.33121961530331856</v>
      </c>
      <c r="H1650" s="6" t="s">
        <v>15535</v>
      </c>
      <c r="I1650" s="6" t="str">
        <f t="shared" si="775"/>
        <v>=4.731*100000000</v>
      </c>
      <c r="J1650" s="1">
        <f>4.731*100000000</f>
        <v>473100000</v>
      </c>
      <c r="K1650" s="10">
        <f t="shared" si="792"/>
        <v>0.49384275339437955</v>
      </c>
      <c r="L1650" s="6" t="s">
        <v>3898</v>
      </c>
      <c r="M1650" s="6" t="str">
        <f t="shared" si="776"/>
        <v>=3.167*100000000</v>
      </c>
      <c r="N1650" s="1">
        <f>3.167*100000000</f>
        <v>316700000</v>
      </c>
      <c r="O1650" s="8">
        <f t="shared" si="793"/>
        <v>1.0672323759791122</v>
      </c>
      <c r="P1650" s="6" t="s">
        <v>6728</v>
      </c>
      <c r="Q1650" s="6" t="str">
        <f t="shared" si="777"/>
        <v>=1.532*100000000</v>
      </c>
      <c r="R1650" s="11">
        <f>1.532*100000000</f>
        <v>153200000</v>
      </c>
      <c r="S1650" s="8">
        <f t="shared" si="794"/>
        <v>-0.57230597431602459</v>
      </c>
      <c r="T1650" s="6" t="s">
        <v>2192</v>
      </c>
      <c r="U1650" s="6" t="str">
        <f t="shared" si="778"/>
        <v>=3.582*100000000</v>
      </c>
      <c r="V1650" s="1">
        <f>3.582*100000000</f>
        <v>358200000</v>
      </c>
      <c r="W1650" s="8">
        <f t="shared" si="795"/>
        <v>0.49125728559533721</v>
      </c>
      <c r="X1650" s="6" t="s">
        <v>2570</v>
      </c>
      <c r="Y1650" s="6" t="str">
        <f t="shared" si="779"/>
        <v>=2.402*100000000</v>
      </c>
      <c r="Z1650" s="1">
        <f>2.402*100000000</f>
        <v>240200000</v>
      </c>
      <c r="AA1650" s="8">
        <f t="shared" si="796"/>
        <v>0.74563953488372092</v>
      </c>
      <c r="AB1650" s="6" t="s">
        <v>11291</v>
      </c>
      <c r="AC1650" s="6" t="str">
        <f t="shared" si="780"/>
        <v>=1.376*100000000</v>
      </c>
      <c r="AD1650" s="1">
        <f>1.376*100000000</f>
        <v>137600000</v>
      </c>
      <c r="AE1650" s="8">
        <f t="shared" si="797"/>
        <v>1.026808071880984</v>
      </c>
      <c r="AF1650" s="7" t="s">
        <v>15536</v>
      </c>
      <c r="AG1650" s="6" t="str">
        <f t="shared" si="781"/>
        <v>=6789*10000</v>
      </c>
      <c r="AH1650" s="1">
        <f>6789*10000</f>
        <v>67890000</v>
      </c>
      <c r="AI1650" s="8">
        <f t="shared" si="798"/>
        <v>-0.86843023255813956</v>
      </c>
      <c r="AJ1650" s="6" t="s">
        <v>15537</v>
      </c>
      <c r="AK1650" s="6" t="str">
        <f t="shared" si="782"/>
        <v>=5.160*100000000</v>
      </c>
      <c r="AL1650" s="1">
        <f>5.16*100000000</f>
        <v>516000000</v>
      </c>
      <c r="AM1650" s="8">
        <f t="shared" si="799"/>
        <v>0.27596439169139486</v>
      </c>
      <c r="AN1650" s="6" t="s">
        <v>1747</v>
      </c>
      <c r="AO1650" s="6" t="str">
        <f t="shared" si="783"/>
        <v>=4.044*100000000</v>
      </c>
      <c r="AP1650" s="1">
        <f>4.044*100000000</f>
        <v>404399999.99999994</v>
      </c>
      <c r="AQ1650" s="8">
        <f t="shared" si="800"/>
        <v>0.5306585919757757</v>
      </c>
      <c r="AR1650" s="6" t="s">
        <v>1943</v>
      </c>
      <c r="AS1650" s="6" t="str">
        <f t="shared" si="784"/>
        <v>=2.642*100000000</v>
      </c>
      <c r="AT1650" s="1">
        <f>2.642*100000000</f>
        <v>264200000</v>
      </c>
      <c r="AU1650" s="8">
        <f t="shared" si="801"/>
        <v>0.79850238257317907</v>
      </c>
      <c r="AV1650" s="6" t="s">
        <v>8513</v>
      </c>
      <c r="AW1650" s="6" t="str">
        <f t="shared" si="785"/>
        <v>=1.469*100000000</v>
      </c>
      <c r="AX1650" s="1">
        <f>1.469*100000000</f>
        <v>146900000</v>
      </c>
      <c r="AY1650" s="10">
        <f t="shared" si="802"/>
        <v>-0.75814948962792228</v>
      </c>
      <c r="AZ1650" s="6" t="s">
        <v>2572</v>
      </c>
      <c r="BA1650" s="6" t="str">
        <f t="shared" si="786"/>
        <v>=6.074*100000000</v>
      </c>
      <c r="BB1650" s="1">
        <f>6.074*100000000</f>
        <v>607400000</v>
      </c>
      <c r="BC1650" s="8">
        <f t="shared" si="803"/>
        <v>0.22336354481369586</v>
      </c>
      <c r="BD1650" s="6" t="s">
        <v>12204</v>
      </c>
      <c r="BE1650" s="6" t="str">
        <f t="shared" si="787"/>
        <v>=4.965*100000000</v>
      </c>
      <c r="BF1650" s="1">
        <f>4.965*100000000</f>
        <v>496500000</v>
      </c>
      <c r="BG1650" s="8">
        <f t="shared" si="804"/>
        <v>0.51371951219512191</v>
      </c>
      <c r="BH1650" s="6" t="s">
        <v>4404</v>
      </c>
      <c r="BI1650" s="6" t="str">
        <f t="shared" si="788"/>
        <v>=3.280*100000000</v>
      </c>
      <c r="BJ1650" s="1">
        <f>3.28*100000000</f>
        <v>328000000</v>
      </c>
      <c r="BK1650" s="6" t="s">
        <v>2062</v>
      </c>
      <c r="BL1650" s="1" t="str">
        <f t="shared" si="790"/>
        <v>=1.861*100000000</v>
      </c>
      <c r="BM1650" s="16">
        <f t="shared" si="805"/>
        <v>0.76249328318108545</v>
      </c>
      <c r="BN1650" s="1">
        <f>1.861*100000000</f>
        <v>186100000</v>
      </c>
    </row>
    <row r="1651" spans="1:66">
      <c r="A1651" s="18"/>
      <c r="B1651">
        <v>603168</v>
      </c>
      <c r="C1651" t="s">
        <v>48</v>
      </c>
      <c r="D1651" s="7" t="s">
        <v>3937</v>
      </c>
      <c r="E1651" s="7" t="str">
        <f t="shared" si="789"/>
        <v>=5492*10000</v>
      </c>
      <c r="F1651" s="1">
        <f>5492*10000</f>
        <v>54920000</v>
      </c>
      <c r="G1651" s="8">
        <f t="shared" si="791"/>
        <v>0.1662773412614143</v>
      </c>
      <c r="H1651" s="7" t="s">
        <v>10810</v>
      </c>
      <c r="I1651" s="6" t="str">
        <f t="shared" si="775"/>
        <v>=4709*10000</v>
      </c>
      <c r="J1651" s="1">
        <f>4709*10000</f>
        <v>47090000</v>
      </c>
      <c r="K1651" s="10">
        <f t="shared" si="792"/>
        <v>0.40819377990430622</v>
      </c>
      <c r="L1651" s="7" t="s">
        <v>4180</v>
      </c>
      <c r="M1651" s="6" t="str">
        <f t="shared" si="776"/>
        <v>=3344*10000</v>
      </c>
      <c r="N1651" s="1">
        <f>3344*10000</f>
        <v>33440000</v>
      </c>
      <c r="O1651" s="8">
        <f t="shared" si="793"/>
        <v>0.88500563697857948</v>
      </c>
      <c r="P1651" s="7" t="s">
        <v>15538</v>
      </c>
      <c r="Q1651" s="6" t="str">
        <f t="shared" si="777"/>
        <v>=1774*10000</v>
      </c>
      <c r="R1651" s="11">
        <f>1774*10000</f>
        <v>17740000</v>
      </c>
      <c r="S1651" s="8">
        <f t="shared" si="794"/>
        <v>-1.0889669007021063</v>
      </c>
      <c r="T1651" s="6">
        <f>-1.994*100000000</f>
        <v>-199400000</v>
      </c>
      <c r="U1651" s="6" t="str">
        <f t="shared" si="778"/>
        <v>=-199400000</v>
      </c>
      <c r="V1651" s="1">
        <f>-199400000</f>
        <v>-199400000</v>
      </c>
      <c r="W1651" s="8">
        <f t="shared" si="795"/>
        <v>2.7594268476621417</v>
      </c>
      <c r="X1651" s="7">
        <f>-5304*10000</f>
        <v>-53040000</v>
      </c>
      <c r="Y1651" s="6" t="str">
        <f t="shared" si="779"/>
        <v>=-53040000</v>
      </c>
      <c r="Z1651" s="1">
        <f>-53040000</f>
        <v>-53040000</v>
      </c>
      <c r="AA1651" s="8">
        <f t="shared" si="796"/>
        <v>0.35030549898167007</v>
      </c>
      <c r="AB1651" s="7">
        <f>-3928*10000</f>
        <v>-39280000</v>
      </c>
      <c r="AC1651" s="6" t="str">
        <f t="shared" si="780"/>
        <v>=-39280000</v>
      </c>
      <c r="AD1651" s="1">
        <f>-39280000</f>
        <v>-39280000</v>
      </c>
      <c r="AE1651" s="8">
        <f t="shared" si="797"/>
        <v>0.68294772922022284</v>
      </c>
      <c r="AF1651" s="7">
        <f>-2334*10000</f>
        <v>-23340000</v>
      </c>
      <c r="AG1651" s="6" t="str">
        <f t="shared" si="781"/>
        <v>=-23340000</v>
      </c>
      <c r="AH1651" s="1">
        <f>-23340000</f>
        <v>-23340000</v>
      </c>
      <c r="AI1651" s="8">
        <f t="shared" si="798"/>
        <v>1.0509666080843585</v>
      </c>
      <c r="AJ1651" s="7">
        <f>-1138*10000</f>
        <v>-11380000</v>
      </c>
      <c r="AK1651" s="6" t="str">
        <f t="shared" si="782"/>
        <v>=-11380000</v>
      </c>
      <c r="AL1651" s="1">
        <f>-11380000</f>
        <v>-11380000</v>
      </c>
      <c r="AM1651" s="8">
        <f t="shared" si="799"/>
        <v>-1.3702016916070268</v>
      </c>
      <c r="AN1651" s="7" t="s">
        <v>7571</v>
      </c>
      <c r="AO1651" s="6" t="str">
        <f t="shared" si="783"/>
        <v>=3074*10000</v>
      </c>
      <c r="AP1651" s="1">
        <f>3074*10000</f>
        <v>30740000</v>
      </c>
      <c r="AQ1651" s="8">
        <f t="shared" si="800"/>
        <v>0.21023622047244095</v>
      </c>
      <c r="AR1651" s="7" t="s">
        <v>3771</v>
      </c>
      <c r="AS1651" s="6" t="str">
        <f t="shared" si="784"/>
        <v>=2540*10000</v>
      </c>
      <c r="AT1651" s="1">
        <f>2540*10000</f>
        <v>25400000</v>
      </c>
      <c r="AU1651" s="8">
        <f t="shared" si="801"/>
        <v>2.7508090614886731E-2</v>
      </c>
      <c r="AV1651" s="7" t="s">
        <v>11008</v>
      </c>
      <c r="AW1651" s="6" t="str">
        <f t="shared" si="785"/>
        <v>=2472*10000</v>
      </c>
      <c r="AX1651" s="1">
        <f>2472*10000</f>
        <v>24720000</v>
      </c>
      <c r="AY1651" s="10">
        <f t="shared" si="802"/>
        <v>-1.1897160399079048</v>
      </c>
      <c r="AZ1651" s="6">
        <f>-1.303*100000000</f>
        <v>-130300000</v>
      </c>
      <c r="BA1651" s="6" t="str">
        <f t="shared" si="786"/>
        <v>=-130300000</v>
      </c>
      <c r="BB1651" s="1">
        <f>-130300000</f>
        <v>-130300000</v>
      </c>
      <c r="BC1651" s="8">
        <f t="shared" si="803"/>
        <v>-2.7046049188906331</v>
      </c>
      <c r="BD1651" s="7" t="s">
        <v>15497</v>
      </c>
      <c r="BE1651" s="6" t="str">
        <f t="shared" si="787"/>
        <v>=7644*10000</v>
      </c>
      <c r="BF1651" s="1">
        <f>7644*10000</f>
        <v>76440000</v>
      </c>
      <c r="BG1651" s="8">
        <f t="shared" si="804"/>
        <v>0.21410419313850063</v>
      </c>
      <c r="BH1651" s="7" t="s">
        <v>15539</v>
      </c>
      <c r="BI1651" s="6" t="str">
        <f t="shared" si="788"/>
        <v>=6296*10000</v>
      </c>
      <c r="BJ1651" s="1">
        <f>6296*10000</f>
        <v>62960000</v>
      </c>
      <c r="BK1651" s="7" t="s">
        <v>9112</v>
      </c>
      <c r="BL1651" s="1" t="str">
        <f t="shared" si="790"/>
        <v>=4955*10000</v>
      </c>
      <c r="BM1651" s="16">
        <f t="shared" si="805"/>
        <v>0.27063572149344095</v>
      </c>
      <c r="BN1651" s="1">
        <f>4955*10000</f>
        <v>49550000</v>
      </c>
    </row>
    <row r="1652" spans="1:66">
      <c r="A1652" s="18"/>
      <c r="B1652">
        <v>603168</v>
      </c>
      <c r="C1652" t="s">
        <v>58</v>
      </c>
      <c r="D1652" s="7" t="s">
        <v>15540</v>
      </c>
      <c r="E1652" s="7" t="str">
        <f t="shared" si="789"/>
        <v>=4887*10000</v>
      </c>
      <c r="F1652" s="1">
        <f>4887*10000</f>
        <v>48870000</v>
      </c>
      <c r="G1652" s="8">
        <f t="shared" si="791"/>
        <v>0.13809967396367023</v>
      </c>
      <c r="H1652" s="7" t="s">
        <v>15002</v>
      </c>
      <c r="I1652" s="6" t="str">
        <f t="shared" si="775"/>
        <v>=4294*10000</v>
      </c>
      <c r="J1652" s="1">
        <f>4294*10000</f>
        <v>42940000</v>
      </c>
      <c r="K1652" s="10">
        <f t="shared" si="792"/>
        <v>0.32694684796044499</v>
      </c>
      <c r="L1652" s="7" t="s">
        <v>6542</v>
      </c>
      <c r="M1652" s="6" t="str">
        <f t="shared" si="776"/>
        <v>=3236*10000</v>
      </c>
      <c r="N1652" s="1">
        <f>3236*10000</f>
        <v>32360000</v>
      </c>
      <c r="O1652" s="8">
        <f t="shared" si="793"/>
        <v>0.85550458715596334</v>
      </c>
      <c r="P1652" s="7" t="s">
        <v>3277</v>
      </c>
      <c r="Q1652" s="6" t="str">
        <f t="shared" si="777"/>
        <v>=1744*10000</v>
      </c>
      <c r="R1652" s="11">
        <f>1744*10000</f>
        <v>17440000</v>
      </c>
      <c r="S1652" s="8">
        <f t="shared" si="794"/>
        <v>-1.0988101983002834</v>
      </c>
      <c r="T1652" s="6">
        <f>-1.765*100000000</f>
        <v>-176500000</v>
      </c>
      <c r="U1652" s="6" t="str">
        <f t="shared" si="778"/>
        <v>=-176500000</v>
      </c>
      <c r="V1652" s="1">
        <f>-176500000</f>
        <v>-176500000</v>
      </c>
      <c r="W1652" s="8">
        <f t="shared" si="795"/>
        <v>5.1886395511921455</v>
      </c>
      <c r="X1652" s="7">
        <f>-2852*10000</f>
        <v>-28520000</v>
      </c>
      <c r="Y1652" s="6" t="str">
        <f t="shared" si="779"/>
        <v>=-28520000</v>
      </c>
      <c r="Z1652" s="1">
        <f>-28520000</f>
        <v>-28520000</v>
      </c>
      <c r="AA1652" s="8">
        <f t="shared" si="796"/>
        <v>0.97370242214532876</v>
      </c>
      <c r="AB1652" s="7">
        <f>-1445*10000</f>
        <v>-14450000</v>
      </c>
      <c r="AC1652" s="6" t="str">
        <f t="shared" si="780"/>
        <v>=-14450000</v>
      </c>
      <c r="AD1652" s="1">
        <f>-14450000</f>
        <v>-14450000</v>
      </c>
      <c r="AE1652" s="8">
        <f t="shared" si="797"/>
        <v>-10.192111959287532</v>
      </c>
      <c r="AF1652" s="7" t="s">
        <v>15541</v>
      </c>
      <c r="AG1652" s="6" t="str">
        <f t="shared" si="781"/>
        <v>=157.2*10000</v>
      </c>
      <c r="AH1652" s="1">
        <f>157.2*10000</f>
        <v>1572000</v>
      </c>
      <c r="AI1652" s="8">
        <f t="shared" si="798"/>
        <v>-0.90631704410011915</v>
      </c>
      <c r="AJ1652" s="7" t="s">
        <v>9757</v>
      </c>
      <c r="AK1652" s="6" t="str">
        <f t="shared" si="782"/>
        <v>=1678*10000</v>
      </c>
      <c r="AL1652" s="1">
        <f>1678*10000</f>
        <v>16780000</v>
      </c>
      <c r="AM1652" s="8">
        <f t="shared" si="799"/>
        <v>-0.65387788778877887</v>
      </c>
      <c r="AN1652" s="7" t="s">
        <v>15542</v>
      </c>
      <c r="AO1652" s="6" t="str">
        <f t="shared" si="783"/>
        <v>=4848*10000</v>
      </c>
      <c r="AP1652" s="1">
        <f>4848*10000</f>
        <v>48480000</v>
      </c>
      <c r="AQ1652" s="8">
        <f t="shared" si="800"/>
        <v>0.54591836734693877</v>
      </c>
      <c r="AR1652" s="7" t="s">
        <v>2233</v>
      </c>
      <c r="AS1652" s="6" t="str">
        <f t="shared" si="784"/>
        <v>=3136*10000</v>
      </c>
      <c r="AT1652" s="1">
        <f>3136*10000</f>
        <v>31360000</v>
      </c>
      <c r="AU1652" s="8">
        <f t="shared" si="801"/>
        <v>0.36943231441048036</v>
      </c>
      <c r="AV1652" s="7" t="s">
        <v>2533</v>
      </c>
      <c r="AW1652" s="6" t="str">
        <f t="shared" si="785"/>
        <v>=2290*10000</v>
      </c>
      <c r="AX1652" s="1">
        <f>2290*10000</f>
        <v>22900000</v>
      </c>
      <c r="AY1652" s="10">
        <f t="shared" si="802"/>
        <v>-1.2053811659192826</v>
      </c>
      <c r="AZ1652" s="6">
        <f>-1.115*100000000</f>
        <v>-111500000</v>
      </c>
      <c r="BA1652" s="6" t="str">
        <f t="shared" si="786"/>
        <v>=-111500000</v>
      </c>
      <c r="BB1652" s="1">
        <f>-111500000</f>
        <v>-111500000</v>
      </c>
      <c r="BC1652" s="8">
        <f t="shared" si="803"/>
        <v>-2.169253355704698</v>
      </c>
      <c r="BD1652" s="7" t="s">
        <v>15543</v>
      </c>
      <c r="BE1652" s="6" t="str">
        <f t="shared" si="787"/>
        <v>=9536*10000</v>
      </c>
      <c r="BF1652" s="1">
        <f>9536*10000</f>
        <v>95360000</v>
      </c>
      <c r="BG1652" s="8">
        <f t="shared" si="804"/>
        <v>0.53336549284450874</v>
      </c>
      <c r="BH1652" s="7" t="s">
        <v>15544</v>
      </c>
      <c r="BI1652" s="6" t="str">
        <f t="shared" si="788"/>
        <v>=6219*10000</v>
      </c>
      <c r="BJ1652" s="1">
        <f>6219*10000</f>
        <v>62190000</v>
      </c>
      <c r="BK1652" s="7" t="s">
        <v>8328</v>
      </c>
      <c r="BL1652" s="1" t="str">
        <f t="shared" si="790"/>
        <v>=4953*10000</v>
      </c>
      <c r="BM1652" s="16">
        <f t="shared" si="805"/>
        <v>0.25560266505148393</v>
      </c>
      <c r="BN1652" s="1">
        <f>4953*10000</f>
        <v>49530000</v>
      </c>
    </row>
    <row r="1653" spans="1:66">
      <c r="A1653" s="19"/>
      <c r="B1653">
        <v>603168</v>
      </c>
      <c r="C1653" t="s">
        <v>68</v>
      </c>
      <c r="D1653" s="7" t="s">
        <v>5972</v>
      </c>
      <c r="E1653" s="7" t="str">
        <f t="shared" si="789"/>
        <v>=3566*10000</v>
      </c>
      <c r="F1653" s="1">
        <f>3566*10000</f>
        <v>35660000</v>
      </c>
      <c r="G1653" s="8">
        <f t="shared" si="791"/>
        <v>-1.355463347164592E-2</v>
      </c>
      <c r="H1653" s="7" t="s">
        <v>4608</v>
      </c>
      <c r="I1653" s="6" t="str">
        <f t="shared" si="775"/>
        <v>=3615*10000</v>
      </c>
      <c r="J1653" s="1">
        <f>3615*10000</f>
        <v>36150000</v>
      </c>
      <c r="K1653" s="10">
        <f t="shared" si="792"/>
        <v>0.34087537091988129</v>
      </c>
      <c r="L1653" s="7" t="s">
        <v>7743</v>
      </c>
      <c r="M1653" s="6" t="str">
        <f t="shared" si="776"/>
        <v>=2696*10000</v>
      </c>
      <c r="N1653" s="1">
        <f>2696*10000</f>
        <v>26960000</v>
      </c>
      <c r="O1653" s="8">
        <f t="shared" si="793"/>
        <v>1.5700667302192564</v>
      </c>
      <c r="P1653" s="7" t="s">
        <v>15545</v>
      </c>
      <c r="Q1653" s="6" t="str">
        <f t="shared" si="777"/>
        <v>=1049*10000</v>
      </c>
      <c r="R1653" s="11">
        <f>1049*10000</f>
        <v>10490000</v>
      </c>
      <c r="S1653" s="8">
        <f t="shared" si="794"/>
        <v>-1.0584726867335563</v>
      </c>
      <c r="T1653" s="6">
        <f>-1.794*100000000</f>
        <v>-179400000</v>
      </c>
      <c r="U1653" s="6" t="str">
        <f t="shared" si="778"/>
        <v>=-179400000</v>
      </c>
      <c r="V1653" s="1">
        <f>-179400000</f>
        <v>-179400000</v>
      </c>
      <c r="W1653" s="8">
        <f t="shared" si="795"/>
        <v>5.3934426229508201</v>
      </c>
      <c r="X1653" s="7">
        <f>-2806*10000</f>
        <v>-28060000</v>
      </c>
      <c r="Y1653" s="6" t="str">
        <f t="shared" si="779"/>
        <v>=-28060000</v>
      </c>
      <c r="Z1653" s="1">
        <f>-28060000</f>
        <v>-28060000</v>
      </c>
      <c r="AA1653" s="8">
        <f t="shared" si="796"/>
        <v>0.92719780219780223</v>
      </c>
      <c r="AB1653" s="7">
        <f>-1456*10000</f>
        <v>-14560000</v>
      </c>
      <c r="AC1653" s="6" t="str">
        <f t="shared" si="780"/>
        <v>=-14560000</v>
      </c>
      <c r="AD1653" s="1">
        <f>-14560000</f>
        <v>-14560000</v>
      </c>
      <c r="AE1653" s="8">
        <f t="shared" si="797"/>
        <v>-35.916067146282977</v>
      </c>
      <c r="AF1653" s="7" t="s">
        <v>15546</v>
      </c>
      <c r="AG1653" s="6" t="str">
        <f t="shared" si="781"/>
        <v>=41.70*10000</v>
      </c>
      <c r="AH1653" s="1">
        <f>41.7*10000</f>
        <v>417000</v>
      </c>
      <c r="AI1653" s="8">
        <f t="shared" si="798"/>
        <v>-0.94692630775105002</v>
      </c>
      <c r="AJ1653" s="7" t="s">
        <v>15547</v>
      </c>
      <c r="AK1653" s="6" t="str">
        <f t="shared" si="782"/>
        <v>=785.7*10000</v>
      </c>
      <c r="AL1653" s="1">
        <f>785.7*10000</f>
        <v>7857000</v>
      </c>
      <c r="AM1653" s="8">
        <f t="shared" si="799"/>
        <v>-0.79936159346271707</v>
      </c>
      <c r="AN1653" s="7" t="s">
        <v>3895</v>
      </c>
      <c r="AO1653" s="6" t="str">
        <f t="shared" si="783"/>
        <v>=3916*10000</v>
      </c>
      <c r="AP1653" s="1">
        <f>3916*10000</f>
        <v>39160000</v>
      </c>
      <c r="AQ1653" s="8">
        <f t="shared" si="800"/>
        <v>0.52373540856031131</v>
      </c>
      <c r="AR1653" s="7" t="s">
        <v>15548</v>
      </c>
      <c r="AS1653" s="6" t="str">
        <f t="shared" si="784"/>
        <v>=2570*10000</v>
      </c>
      <c r="AT1653" s="1">
        <f>2570*10000</f>
        <v>25700000</v>
      </c>
      <c r="AU1653" s="8">
        <f t="shared" si="801"/>
        <v>0.3220164609053498</v>
      </c>
      <c r="AV1653" s="7" t="s">
        <v>11597</v>
      </c>
      <c r="AW1653" s="6" t="str">
        <f t="shared" si="785"/>
        <v>=1944*10000</v>
      </c>
      <c r="AX1653" s="1">
        <f>1944*10000</f>
        <v>19440000</v>
      </c>
      <c r="AY1653" s="10">
        <f t="shared" si="802"/>
        <v>-1.1536758893280632</v>
      </c>
      <c r="AZ1653" s="6">
        <f>-1.265*100000000</f>
        <v>-126499999.99999999</v>
      </c>
      <c r="BA1653" s="6" t="str">
        <f t="shared" si="786"/>
        <v>=-126500000</v>
      </c>
      <c r="BB1653" s="1">
        <f>-126500000</f>
        <v>-126500000</v>
      </c>
      <c r="BC1653" s="8">
        <f t="shared" si="803"/>
        <v>-2.623459958932238</v>
      </c>
      <c r="BD1653" s="7" t="s">
        <v>15549</v>
      </c>
      <c r="BE1653" s="6" t="str">
        <f t="shared" si="787"/>
        <v>=7792*10000</v>
      </c>
      <c r="BF1653" s="1">
        <f>7792*10000</f>
        <v>77920000</v>
      </c>
      <c r="BG1653" s="8">
        <f t="shared" si="804"/>
        <v>0.53144654088050314</v>
      </c>
      <c r="BH1653" s="7" t="s">
        <v>15550</v>
      </c>
      <c r="BI1653" s="6" t="str">
        <f t="shared" si="788"/>
        <v>=5088*10000</v>
      </c>
      <c r="BJ1653" s="1">
        <f>5088*10000</f>
        <v>50880000</v>
      </c>
      <c r="BK1653" s="7" t="s">
        <v>15551</v>
      </c>
      <c r="BL1653" s="1" t="str">
        <f t="shared" si="790"/>
        <v>=4085*10000</v>
      </c>
      <c r="BM1653" s="16">
        <f t="shared" si="805"/>
        <v>0.24553243574051409</v>
      </c>
      <c r="BN1653" s="1">
        <f>4085*10000</f>
        <v>40850000</v>
      </c>
    </row>
    <row r="1654" spans="1:66">
      <c r="A1654" s="17">
        <v>415</v>
      </c>
      <c r="B1654">
        <v>603169</v>
      </c>
      <c r="C1654" t="s">
        <v>31</v>
      </c>
      <c r="D1654" s="6" t="s">
        <v>15552</v>
      </c>
      <c r="E1654" s="7" t="str">
        <f t="shared" si="789"/>
        <v>=40.37*100000000</v>
      </c>
      <c r="F1654" s="1">
        <f>40.37*100000000</f>
        <v>4036999999.9999995</v>
      </c>
      <c r="G1654" s="8">
        <f t="shared" si="791"/>
        <v>0.47551169590643255</v>
      </c>
      <c r="H1654" s="6" t="s">
        <v>10505</v>
      </c>
      <c r="I1654" s="6" t="str">
        <f t="shared" si="775"/>
        <v>=27.36*100000000</v>
      </c>
      <c r="J1654" s="1">
        <f>27.36*100000000</f>
        <v>2736000000</v>
      </c>
      <c r="K1654" s="10">
        <f t="shared" si="792"/>
        <v>0.61702127659574446</v>
      </c>
      <c r="L1654" s="6" t="s">
        <v>5083</v>
      </c>
      <c r="M1654" s="6" t="str">
        <f t="shared" si="776"/>
        <v>=16.92*100000000</v>
      </c>
      <c r="N1654" s="1">
        <f>16.92*100000000</f>
        <v>1692000000.0000002</v>
      </c>
      <c r="O1654" s="8">
        <f t="shared" si="793"/>
        <v>1.0925055651743758</v>
      </c>
      <c r="P1654" s="6" t="s">
        <v>13671</v>
      </c>
      <c r="Q1654" s="6" t="str">
        <f t="shared" si="777"/>
        <v>=8.086*100000000</v>
      </c>
      <c r="R1654" s="11">
        <f>8.086*100000000</f>
        <v>808600000</v>
      </c>
      <c r="S1654" s="8">
        <f t="shared" si="794"/>
        <v>-0.72126852809376074</v>
      </c>
      <c r="T1654" s="6" t="s">
        <v>9413</v>
      </c>
      <c r="U1654" s="6" t="str">
        <f t="shared" si="778"/>
        <v>=29.01*100000000</v>
      </c>
      <c r="V1654" s="1">
        <f>29.01*100000000</f>
        <v>2901000000</v>
      </c>
      <c r="W1654" s="8">
        <f t="shared" si="795"/>
        <v>0.56895619253650642</v>
      </c>
      <c r="X1654" s="6" t="s">
        <v>6183</v>
      </c>
      <c r="Y1654" s="6" t="str">
        <f t="shared" si="779"/>
        <v>=18.49*100000000</v>
      </c>
      <c r="Z1654" s="1">
        <f>18.49*100000000</f>
        <v>1848999999.9999998</v>
      </c>
      <c r="AA1654" s="8">
        <f t="shared" si="796"/>
        <v>0.58848797250859086</v>
      </c>
      <c r="AB1654" s="6" t="s">
        <v>2454</v>
      </c>
      <c r="AC1654" s="6" t="str">
        <f t="shared" si="780"/>
        <v>=11.64*100000000</v>
      </c>
      <c r="AD1654" s="1">
        <f>11.64*100000000</f>
        <v>1164000000</v>
      </c>
      <c r="AE1654" s="8">
        <f t="shared" si="797"/>
        <v>0.82359392135359544</v>
      </c>
      <c r="AF1654" s="6" t="s">
        <v>8800</v>
      </c>
      <c r="AG1654" s="6" t="str">
        <f t="shared" si="781"/>
        <v>=6.383*100000000</v>
      </c>
      <c r="AH1654" s="1">
        <f>6.383*100000000</f>
        <v>638300000</v>
      </c>
      <c r="AI1654" s="8">
        <f t="shared" si="798"/>
        <v>-0.81433973240255964</v>
      </c>
      <c r="AJ1654" s="6" t="s">
        <v>6442</v>
      </c>
      <c r="AK1654" s="6" t="str">
        <f t="shared" si="782"/>
        <v>=34.38*100000000</v>
      </c>
      <c r="AL1654" s="1">
        <f>34.38*100000000</f>
        <v>3438000000.0000005</v>
      </c>
      <c r="AM1654" s="8">
        <f t="shared" si="799"/>
        <v>0.42537313432835838</v>
      </c>
      <c r="AN1654" s="6" t="s">
        <v>9106</v>
      </c>
      <c r="AO1654" s="6" t="str">
        <f t="shared" si="783"/>
        <v>=24.12*100000000</v>
      </c>
      <c r="AP1654" s="1">
        <f>24.12*100000000</f>
        <v>2412000000</v>
      </c>
      <c r="AQ1654" s="8">
        <f t="shared" si="800"/>
        <v>0.49072929542645238</v>
      </c>
      <c r="AR1654" s="6" t="s">
        <v>6873</v>
      </c>
      <c r="AS1654" s="6" t="str">
        <f t="shared" si="784"/>
        <v>=16.18*100000000</v>
      </c>
      <c r="AT1654" s="1">
        <f>16.18*100000000</f>
        <v>1618000000</v>
      </c>
      <c r="AU1654" s="8">
        <f t="shared" si="801"/>
        <v>0.87528975428836342</v>
      </c>
      <c r="AV1654" s="6" t="s">
        <v>15553</v>
      </c>
      <c r="AW1654" s="6" t="str">
        <f t="shared" si="785"/>
        <v>=8.628*100000000</v>
      </c>
      <c r="AX1654" s="1">
        <f>8.628*100000000</f>
        <v>862800000</v>
      </c>
      <c r="AY1654" s="10">
        <f t="shared" si="802"/>
        <v>-0.66124852767962305</v>
      </c>
      <c r="AZ1654" s="6" t="s">
        <v>529</v>
      </c>
      <c r="BA1654" s="6" t="str">
        <f t="shared" si="786"/>
        <v>=25.47*100000000</v>
      </c>
      <c r="BB1654" s="1">
        <f>25.47*100000000</f>
        <v>2547000000</v>
      </c>
      <c r="BC1654" s="8">
        <f t="shared" si="803"/>
        <v>0.17916666666666667</v>
      </c>
      <c r="BD1654" s="6" t="s">
        <v>8924</v>
      </c>
      <c r="BE1654" s="6" t="str">
        <f t="shared" si="787"/>
        <v>=21.60*100000000</v>
      </c>
      <c r="BF1654" s="1">
        <f>21.6*100000000</f>
        <v>2160000000</v>
      </c>
      <c r="BG1654" s="8">
        <f t="shared" si="804"/>
        <v>0.58357771260997071</v>
      </c>
      <c r="BH1654" s="6" t="s">
        <v>8915</v>
      </c>
      <c r="BI1654" s="6" t="str">
        <f t="shared" si="788"/>
        <v>=13.64*100000000</v>
      </c>
      <c r="BJ1654" s="1">
        <f>13.64*100000000</f>
        <v>1364000000</v>
      </c>
      <c r="BK1654" s="6" t="s">
        <v>15554</v>
      </c>
      <c r="BL1654" s="1" t="str">
        <f t="shared" si="790"/>
        <v>=6.322*100000000</v>
      </c>
      <c r="BM1654" s="16">
        <f t="shared" si="805"/>
        <v>1.1575450806706737</v>
      </c>
      <c r="BN1654" s="1">
        <f>6.322*100000000</f>
        <v>632200000</v>
      </c>
    </row>
    <row r="1655" spans="1:66">
      <c r="A1655" s="18"/>
      <c r="B1655">
        <v>603169</v>
      </c>
      <c r="C1655" t="s">
        <v>48</v>
      </c>
      <c r="D1655" s="6" t="s">
        <v>1278</v>
      </c>
      <c r="E1655" s="7" t="str">
        <f t="shared" si="789"/>
        <v>=1.242*100000000</v>
      </c>
      <c r="F1655" s="1">
        <f>1.242*100000000</f>
        <v>124200000</v>
      </c>
      <c r="G1655" s="8">
        <f t="shared" si="791"/>
        <v>0.2610417301248858</v>
      </c>
      <c r="H1655" s="7" t="s">
        <v>15555</v>
      </c>
      <c r="I1655" s="6" t="str">
        <f t="shared" si="775"/>
        <v>=9849*10000</v>
      </c>
      <c r="J1655" s="1">
        <f>9849*10000</f>
        <v>98490000</v>
      </c>
      <c r="K1655" s="10">
        <f t="shared" si="792"/>
        <v>0.67813937638439259</v>
      </c>
      <c r="L1655" s="7" t="s">
        <v>5501</v>
      </c>
      <c r="M1655" s="6" t="str">
        <f t="shared" si="776"/>
        <v>=5869*10000</v>
      </c>
      <c r="N1655" s="1">
        <f>5869*10000</f>
        <v>58690000</v>
      </c>
      <c r="O1655" s="8">
        <f t="shared" si="793"/>
        <v>1.1882923191648025</v>
      </c>
      <c r="P1655" s="7" t="s">
        <v>15556</v>
      </c>
      <c r="Q1655" s="6" t="str">
        <f t="shared" si="777"/>
        <v>=2682*10000</v>
      </c>
      <c r="R1655" s="11">
        <f>2682*10000</f>
        <v>26820000</v>
      </c>
      <c r="S1655" s="8">
        <f t="shared" si="794"/>
        <v>-1.1026406429391504</v>
      </c>
      <c r="T1655" s="6">
        <f>-2.613*100000000</f>
        <v>-261300000</v>
      </c>
      <c r="U1655" s="6" t="str">
        <f t="shared" si="778"/>
        <v>=-261300000</v>
      </c>
      <c r="V1655" s="1">
        <f>-261300000</f>
        <v>-261300000</v>
      </c>
      <c r="W1655" s="8">
        <f t="shared" si="795"/>
        <v>3.034275127373784</v>
      </c>
      <c r="X1655" s="7">
        <f>-6477*10000</f>
        <v>-64770000</v>
      </c>
      <c r="Y1655" s="6" t="str">
        <f t="shared" si="779"/>
        <v>=-64770000</v>
      </c>
      <c r="Z1655" s="1">
        <f>-64770000</f>
        <v>-64770000</v>
      </c>
      <c r="AA1655" s="8">
        <f t="shared" si="796"/>
        <v>-0.15664062500000001</v>
      </c>
      <c r="AB1655" s="7">
        <f>-7680*10000</f>
        <v>-76800000</v>
      </c>
      <c r="AC1655" s="6" t="str">
        <f t="shared" si="780"/>
        <v>=-76800000</v>
      </c>
      <c r="AD1655" s="1">
        <f>-76800000</f>
        <v>-76800000</v>
      </c>
      <c r="AE1655" s="8">
        <f t="shared" si="797"/>
        <v>0.66054054054054057</v>
      </c>
      <c r="AF1655" s="7">
        <f>-4625*10000</f>
        <v>-46250000</v>
      </c>
      <c r="AG1655" s="6" t="str">
        <f t="shared" si="781"/>
        <v>=-46250000</v>
      </c>
      <c r="AH1655" s="1">
        <f>-46250000</f>
        <v>-46250000</v>
      </c>
      <c r="AI1655" s="8">
        <f t="shared" si="798"/>
        <v>-1.4995679412400087</v>
      </c>
      <c r="AJ1655" s="7" t="s">
        <v>15557</v>
      </c>
      <c r="AK1655" s="6" t="str">
        <f t="shared" si="782"/>
        <v>=9258*10000</v>
      </c>
      <c r="AL1655" s="1">
        <f>9258*10000</f>
        <v>92580000</v>
      </c>
      <c r="AM1655" s="8">
        <f t="shared" si="799"/>
        <v>0.25464155034557528</v>
      </c>
      <c r="AN1655" s="7" t="s">
        <v>15508</v>
      </c>
      <c r="AO1655" s="6" t="str">
        <f t="shared" si="783"/>
        <v>=7379*10000</v>
      </c>
      <c r="AP1655" s="1">
        <f>7379*10000</f>
        <v>73790000</v>
      </c>
      <c r="AQ1655" s="8">
        <f t="shared" si="800"/>
        <v>0.50992428892981378</v>
      </c>
      <c r="AR1655" s="7" t="s">
        <v>15540</v>
      </c>
      <c r="AS1655" s="6" t="str">
        <f t="shared" si="784"/>
        <v>=4887*10000</v>
      </c>
      <c r="AT1655" s="1">
        <f>4887*10000</f>
        <v>48870000</v>
      </c>
      <c r="AU1655" s="8">
        <f t="shared" si="801"/>
        <v>0.96659959758551306</v>
      </c>
      <c r="AV1655" s="7" t="s">
        <v>15558</v>
      </c>
      <c r="AW1655" s="6" t="str">
        <f t="shared" si="785"/>
        <v>=2485*10000</v>
      </c>
      <c r="AX1655" s="1">
        <f>2485*10000</f>
        <v>24850000</v>
      </c>
      <c r="AY1655" s="10">
        <f t="shared" si="802"/>
        <v>-1.0168703326544468</v>
      </c>
      <c r="AZ1655" s="6">
        <f>-14.73*100000000</f>
        <v>-1473000000</v>
      </c>
      <c r="BA1655" s="6" t="str">
        <f t="shared" si="786"/>
        <v>=-1473000000</v>
      </c>
      <c r="BB1655" s="1">
        <f>-1473000000</f>
        <v>-1473000000</v>
      </c>
      <c r="BC1655" s="8">
        <f t="shared" si="803"/>
        <v>9.5743000717875084</v>
      </c>
      <c r="BD1655" s="6">
        <f>-1.393*100000000</f>
        <v>-139300000</v>
      </c>
      <c r="BE1655" s="6" t="str">
        <f t="shared" si="787"/>
        <v>=-139300000</v>
      </c>
      <c r="BF1655" s="1">
        <f>-139300000</f>
        <v>-139300000</v>
      </c>
      <c r="BG1655" s="8">
        <f t="shared" si="804"/>
        <v>2.9585109406081274</v>
      </c>
      <c r="BH1655" s="7">
        <f>-3519*10000</f>
        <v>-35190000</v>
      </c>
      <c r="BI1655" s="6" t="str">
        <f t="shared" si="788"/>
        <v>=-35190000</v>
      </c>
      <c r="BJ1655" s="1">
        <f>-35190000</f>
        <v>-35190000</v>
      </c>
      <c r="BK1655" s="7">
        <f>-4822*10000</f>
        <v>-48220000</v>
      </c>
      <c r="BL1655" s="1" t="str">
        <f t="shared" si="790"/>
        <v>=-48220000</v>
      </c>
      <c r="BM1655" s="16">
        <f t="shared" si="805"/>
        <v>-0.27021982579842391</v>
      </c>
      <c r="BN1655" s="1">
        <f>-48220000</f>
        <v>-48220000</v>
      </c>
    </row>
    <row r="1656" spans="1:66">
      <c r="A1656" s="18"/>
      <c r="B1656">
        <v>603169</v>
      </c>
      <c r="C1656" t="s">
        <v>58</v>
      </c>
      <c r="D1656" s="6" t="s">
        <v>15559</v>
      </c>
      <c r="E1656" s="7" t="str">
        <f t="shared" si="789"/>
        <v>=1.231*100000000</v>
      </c>
      <c r="F1656" s="1">
        <f>1.231*100000000</f>
        <v>123100000.00000001</v>
      </c>
      <c r="G1656" s="8">
        <f t="shared" si="791"/>
        <v>0.16241737488196425</v>
      </c>
      <c r="H1656" s="6" t="s">
        <v>4908</v>
      </c>
      <c r="I1656" s="6" t="str">
        <f t="shared" si="775"/>
        <v>=1.059*100000000</v>
      </c>
      <c r="J1656" s="1">
        <f>1.059*100000000</f>
        <v>105900000</v>
      </c>
      <c r="K1656" s="10">
        <f t="shared" si="792"/>
        <v>0.44870041039671682</v>
      </c>
      <c r="L1656" s="7" t="s">
        <v>15560</v>
      </c>
      <c r="M1656" s="6" t="str">
        <f t="shared" si="776"/>
        <v>=7310*10000</v>
      </c>
      <c r="N1656" s="1">
        <f>7310*10000</f>
        <v>73100000</v>
      </c>
      <c r="O1656" s="8">
        <f t="shared" si="793"/>
        <v>1.7134372680029695</v>
      </c>
      <c r="P1656" s="7" t="s">
        <v>15561</v>
      </c>
      <c r="Q1656" s="6" t="str">
        <f t="shared" si="777"/>
        <v>=2694*10000</v>
      </c>
      <c r="R1656" s="11">
        <f>2694*10000</f>
        <v>26940000</v>
      </c>
      <c r="S1656" s="8">
        <f t="shared" si="794"/>
        <v>-1.1034562211981567</v>
      </c>
      <c r="T1656" s="6">
        <f>-2.604*100000000</f>
        <v>-260400000</v>
      </c>
      <c r="U1656" s="6" t="str">
        <f t="shared" si="778"/>
        <v>=-260400000</v>
      </c>
      <c r="V1656" s="1">
        <f>-260400000</f>
        <v>-260400000</v>
      </c>
      <c r="W1656" s="8">
        <f t="shared" si="795"/>
        <v>3.0911233307148467</v>
      </c>
      <c r="X1656" s="7">
        <f>-6365*10000</f>
        <v>-63650000</v>
      </c>
      <c r="Y1656" s="6" t="str">
        <f t="shared" si="779"/>
        <v>=-63650000</v>
      </c>
      <c r="Z1656" s="1">
        <f>-63650000</f>
        <v>-63650000</v>
      </c>
      <c r="AA1656" s="8">
        <f t="shared" si="796"/>
        <v>-0.1613965744400527</v>
      </c>
      <c r="AB1656" s="7">
        <f>-7590*10000</f>
        <v>-75900000</v>
      </c>
      <c r="AC1656" s="6" t="str">
        <f t="shared" si="780"/>
        <v>=-75900000</v>
      </c>
      <c r="AD1656" s="1">
        <f>-75900000</f>
        <v>-75900000</v>
      </c>
      <c r="AE1656" s="8">
        <f t="shared" si="797"/>
        <v>0.64606376057254389</v>
      </c>
      <c r="AF1656" s="7">
        <f>-4611*10000</f>
        <v>-46110000</v>
      </c>
      <c r="AG1656" s="6" t="str">
        <f t="shared" si="781"/>
        <v>=-46110000</v>
      </c>
      <c r="AH1656" s="1">
        <f>-46110000</f>
        <v>-46110000</v>
      </c>
      <c r="AI1656" s="8">
        <f t="shared" si="798"/>
        <v>-1.4747245959023989</v>
      </c>
      <c r="AJ1656" s="7" t="s">
        <v>15562</v>
      </c>
      <c r="AK1656" s="6" t="str">
        <f t="shared" si="782"/>
        <v>=9713*10000</v>
      </c>
      <c r="AL1656" s="1">
        <f>9713*10000</f>
        <v>97130000</v>
      </c>
      <c r="AM1656" s="8">
        <f t="shared" si="799"/>
        <v>0.30270922746781115</v>
      </c>
      <c r="AN1656" s="7" t="s">
        <v>15563</v>
      </c>
      <c r="AO1656" s="6" t="str">
        <f t="shared" si="783"/>
        <v>=7456*10000</v>
      </c>
      <c r="AP1656" s="1">
        <f>7456*10000</f>
        <v>74560000</v>
      </c>
      <c r="AQ1656" s="8">
        <f t="shared" si="800"/>
        <v>0.50140958517921874</v>
      </c>
      <c r="AR1656" s="7" t="s">
        <v>15564</v>
      </c>
      <c r="AS1656" s="6" t="str">
        <f t="shared" si="784"/>
        <v>=4966*10000</v>
      </c>
      <c r="AT1656" s="1">
        <f>4966*10000</f>
        <v>49660000</v>
      </c>
      <c r="AU1656" s="8">
        <f t="shared" si="801"/>
        <v>0.97927461139896377</v>
      </c>
      <c r="AV1656" s="7" t="s">
        <v>15565</v>
      </c>
      <c r="AW1656" s="6" t="str">
        <f t="shared" si="785"/>
        <v>=2509*10000</v>
      </c>
      <c r="AX1656" s="1">
        <f>2509*10000</f>
        <v>25090000</v>
      </c>
      <c r="AY1656" s="10">
        <f t="shared" si="802"/>
        <v>-1.017102931152011</v>
      </c>
      <c r="AZ1656" s="6">
        <f>-14.67*100000000</f>
        <v>-1467000000</v>
      </c>
      <c r="BA1656" s="6" t="str">
        <f t="shared" si="786"/>
        <v>=-1467000000</v>
      </c>
      <c r="BB1656" s="1">
        <f>-1467000000</f>
        <v>-1467000000</v>
      </c>
      <c r="BC1656" s="8">
        <f t="shared" si="803"/>
        <v>9.7393850658857986</v>
      </c>
      <c r="BD1656" s="6">
        <f>-1.366*100000000</f>
        <v>-136600000</v>
      </c>
      <c r="BE1656" s="6" t="str">
        <f t="shared" si="787"/>
        <v>=-136600000</v>
      </c>
      <c r="BF1656" s="1">
        <f>-136600000</f>
        <v>-136600000</v>
      </c>
      <c r="BG1656" s="8">
        <f t="shared" si="804"/>
        <v>3.1608285105086811</v>
      </c>
      <c r="BH1656" s="7">
        <f>-3283*10000</f>
        <v>-32830000</v>
      </c>
      <c r="BI1656" s="6" t="str">
        <f t="shared" si="788"/>
        <v>=-32830000</v>
      </c>
      <c r="BJ1656" s="1">
        <f>-32830000</f>
        <v>-32830000</v>
      </c>
      <c r="BK1656" s="7">
        <f>-4712*10000</f>
        <v>-47120000</v>
      </c>
      <c r="BL1656" s="1" t="str">
        <f t="shared" si="790"/>
        <v>=-47120000</v>
      </c>
      <c r="BM1656" s="16">
        <f t="shared" si="805"/>
        <v>-0.30326825127334467</v>
      </c>
      <c r="BN1656" s="1">
        <f>-47120000</f>
        <v>-47120000</v>
      </c>
    </row>
    <row r="1657" spans="1:66">
      <c r="A1657" s="19"/>
      <c r="B1657">
        <v>603169</v>
      </c>
      <c r="C1657" t="s">
        <v>68</v>
      </c>
      <c r="D1657" s="6" t="s">
        <v>4282</v>
      </c>
      <c r="E1657" s="7" t="str">
        <f t="shared" si="789"/>
        <v>=1.333*100000000</v>
      </c>
      <c r="F1657" s="1">
        <f>1.333*100000000</f>
        <v>133300000</v>
      </c>
      <c r="G1657" s="8">
        <f t="shared" si="791"/>
        <v>0.26111636707663199</v>
      </c>
      <c r="H1657" s="6" t="s">
        <v>8494</v>
      </c>
      <c r="I1657" s="6" t="str">
        <f t="shared" si="775"/>
        <v>=1.057*100000000</v>
      </c>
      <c r="J1657" s="1">
        <f>1.057*100000000</f>
        <v>105700000</v>
      </c>
      <c r="K1657" s="10">
        <f t="shared" si="792"/>
        <v>0.4666296656028861</v>
      </c>
      <c r="L1657" s="7" t="s">
        <v>4891</v>
      </c>
      <c r="M1657" s="6" t="str">
        <f t="shared" si="776"/>
        <v>=7207*10000</v>
      </c>
      <c r="N1657" s="1">
        <f>7207*10000</f>
        <v>72070000</v>
      </c>
      <c r="O1657" s="8">
        <f t="shared" si="793"/>
        <v>1.7012743628185907</v>
      </c>
      <c r="P1657" s="7" t="s">
        <v>15566</v>
      </c>
      <c r="Q1657" s="6" t="str">
        <f t="shared" si="777"/>
        <v>=2668*10000</v>
      </c>
      <c r="R1657" s="11">
        <f>2668*10000</f>
        <v>26680000</v>
      </c>
      <c r="S1657" s="8">
        <f t="shared" si="794"/>
        <v>-1.0989614243323442</v>
      </c>
      <c r="T1657" s="6">
        <f>-2.696*100000000</f>
        <v>-269600000</v>
      </c>
      <c r="U1657" s="6" t="str">
        <f t="shared" si="778"/>
        <v>=-269600000</v>
      </c>
      <c r="V1657" s="1">
        <f>-269600000</f>
        <v>-269600000</v>
      </c>
      <c r="W1657" s="8">
        <f t="shared" si="795"/>
        <v>3.0916679314008197</v>
      </c>
      <c r="X1657" s="7">
        <f>-6589*10000</f>
        <v>-65890000</v>
      </c>
      <c r="Y1657" s="6" t="str">
        <f t="shared" si="779"/>
        <v>=-65890000</v>
      </c>
      <c r="Z1657" s="1">
        <f>-65890000</f>
        <v>-65890000</v>
      </c>
      <c r="AA1657" s="8">
        <f t="shared" si="796"/>
        <v>-0.16679312089023773</v>
      </c>
      <c r="AB1657" s="7">
        <f>-7908*10000</f>
        <v>-79080000</v>
      </c>
      <c r="AC1657" s="6" t="str">
        <f t="shared" si="780"/>
        <v>=-79080000</v>
      </c>
      <c r="AD1657" s="1">
        <f>-79080000</f>
        <v>-79080000</v>
      </c>
      <c r="AE1657" s="8">
        <f t="shared" si="797"/>
        <v>0.74801061007957559</v>
      </c>
      <c r="AF1657" s="7">
        <f>-4524*10000</f>
        <v>-45240000</v>
      </c>
      <c r="AG1657" s="6" t="str">
        <f t="shared" si="781"/>
        <v>=-45240000</v>
      </c>
      <c r="AH1657" s="1">
        <f>-45240000</f>
        <v>-45240000</v>
      </c>
      <c r="AI1657" s="8">
        <f t="shared" si="798"/>
        <v>-1.5099763273588096</v>
      </c>
      <c r="AJ1657" s="7" t="s">
        <v>4586</v>
      </c>
      <c r="AK1657" s="6" t="str">
        <f t="shared" si="782"/>
        <v>=8871*10000</v>
      </c>
      <c r="AL1657" s="1">
        <f>8871*10000</f>
        <v>88710000</v>
      </c>
      <c r="AM1657" s="8">
        <f t="shared" si="799"/>
        <v>0.22901080631753948</v>
      </c>
      <c r="AN1657" s="7" t="s">
        <v>15567</v>
      </c>
      <c r="AO1657" s="6" t="str">
        <f t="shared" si="783"/>
        <v>=7218*10000</v>
      </c>
      <c r="AP1657" s="1">
        <f>7218*10000</f>
        <v>72180000</v>
      </c>
      <c r="AQ1657" s="8">
        <f t="shared" si="800"/>
        <v>0.54461801840359514</v>
      </c>
      <c r="AR1657" s="7" t="s">
        <v>15568</v>
      </c>
      <c r="AS1657" s="6" t="str">
        <f t="shared" si="784"/>
        <v>=4673*10000</v>
      </c>
      <c r="AT1657" s="1">
        <f>4673*10000</f>
        <v>46730000</v>
      </c>
      <c r="AU1657" s="8">
        <f t="shared" si="801"/>
        <v>0.92225421637186344</v>
      </c>
      <c r="AV1657" s="7" t="s">
        <v>15569</v>
      </c>
      <c r="AW1657" s="6" t="str">
        <f t="shared" si="785"/>
        <v>=2431*10000</v>
      </c>
      <c r="AX1657" s="1">
        <f>2431*10000</f>
        <v>24310000</v>
      </c>
      <c r="AY1657" s="10">
        <f t="shared" si="802"/>
        <v>-1.0164035087719299</v>
      </c>
      <c r="AZ1657" s="6">
        <f>-14.82*100000000</f>
        <v>-1482000000</v>
      </c>
      <c r="BA1657" s="6" t="str">
        <f t="shared" si="786"/>
        <v>=-1482000000</v>
      </c>
      <c r="BB1657" s="1">
        <f>-1482000000</f>
        <v>-1482000000</v>
      </c>
      <c r="BC1657" s="8">
        <f t="shared" si="803"/>
        <v>9.4292751583391983</v>
      </c>
      <c r="BD1657" s="6">
        <f>-1.421*100000000</f>
        <v>-142100000</v>
      </c>
      <c r="BE1657" s="6" t="str">
        <f t="shared" si="787"/>
        <v>=-142100000</v>
      </c>
      <c r="BF1657" s="1">
        <f>-142100000</f>
        <v>-142100000</v>
      </c>
      <c r="BG1657" s="8">
        <f t="shared" si="804"/>
        <v>2.9395619628500138</v>
      </c>
      <c r="BH1657" s="7">
        <f>-3607*10000</f>
        <v>-36070000</v>
      </c>
      <c r="BI1657" s="6" t="str">
        <f t="shared" si="788"/>
        <v>=-36070000</v>
      </c>
      <c r="BJ1657" s="1">
        <f>-36070000</f>
        <v>-36070000</v>
      </c>
      <c r="BK1657" s="7">
        <f>-4837*10000</f>
        <v>-48370000</v>
      </c>
      <c r="BL1657" s="1" t="str">
        <f t="shared" si="790"/>
        <v>=-48370000</v>
      </c>
      <c r="BM1657" s="16">
        <f t="shared" si="805"/>
        <v>-0.25428984908000829</v>
      </c>
      <c r="BN1657" s="1">
        <f>-48370000</f>
        <v>-48370000</v>
      </c>
    </row>
    <row r="1658" spans="1:66">
      <c r="A1658" s="17">
        <v>416</v>
      </c>
      <c r="B1658">
        <v>603179</v>
      </c>
      <c r="C1658" t="s">
        <v>31</v>
      </c>
      <c r="D1658" s="6" t="s">
        <v>15570</v>
      </c>
      <c r="E1658" s="7" t="str">
        <f t="shared" si="789"/>
        <v>=46.13*100000000</v>
      </c>
      <c r="F1658" s="1">
        <f>46.13*100000000</f>
        <v>4613000000</v>
      </c>
      <c r="G1658" s="8">
        <f t="shared" si="791"/>
        <v>0.41329656862745096</v>
      </c>
      <c r="H1658" s="6" t="s">
        <v>11181</v>
      </c>
      <c r="I1658" s="6" t="str">
        <f t="shared" si="775"/>
        <v>=32.64*100000000</v>
      </c>
      <c r="J1658" s="1">
        <f>32.64*100000000</f>
        <v>3264000000</v>
      </c>
      <c r="K1658" s="10">
        <f t="shared" si="792"/>
        <v>0.44297082228116713</v>
      </c>
      <c r="L1658" s="6" t="s">
        <v>10401</v>
      </c>
      <c r="M1658" s="6" t="str">
        <f t="shared" si="776"/>
        <v>=22.62*100000000</v>
      </c>
      <c r="N1658" s="1">
        <f>22.62*100000000</f>
        <v>2262000000</v>
      </c>
      <c r="O1658" s="8">
        <f t="shared" si="793"/>
        <v>1.0232558139534884</v>
      </c>
      <c r="P1658" s="6" t="s">
        <v>9916</v>
      </c>
      <c r="Q1658" s="6" t="str">
        <f t="shared" si="777"/>
        <v>=11.18*100000000</v>
      </c>
      <c r="R1658" s="11">
        <f>11.18*100000000</f>
        <v>1118000000</v>
      </c>
      <c r="S1658" s="8">
        <f t="shared" si="794"/>
        <v>-0.69619565217391299</v>
      </c>
      <c r="T1658" s="6" t="s">
        <v>12792</v>
      </c>
      <c r="U1658" s="6" t="str">
        <f t="shared" si="778"/>
        <v>=36.80*100000000</v>
      </c>
      <c r="V1658" s="1">
        <f>36.8*100000000</f>
        <v>3679999999.9999995</v>
      </c>
      <c r="W1658" s="8">
        <f t="shared" si="795"/>
        <v>0.43637782982045259</v>
      </c>
      <c r="X1658" s="6" t="s">
        <v>8653</v>
      </c>
      <c r="Y1658" s="6" t="str">
        <f t="shared" si="779"/>
        <v>=25.62*100000000</v>
      </c>
      <c r="Z1658" s="1">
        <f>25.62*100000000</f>
        <v>2562000000</v>
      </c>
      <c r="AA1658" s="8">
        <f t="shared" si="796"/>
        <v>0.63915547024952013</v>
      </c>
      <c r="AB1658" s="6" t="s">
        <v>3144</v>
      </c>
      <c r="AC1658" s="6" t="str">
        <f t="shared" si="780"/>
        <v>=15.63*100000000</v>
      </c>
      <c r="AD1658" s="1">
        <f>15.63*100000000</f>
        <v>1563000000</v>
      </c>
      <c r="AE1658" s="8">
        <f t="shared" si="797"/>
        <v>1.354979659484707</v>
      </c>
      <c r="AF1658" s="6" t="s">
        <v>10808</v>
      </c>
      <c r="AG1658" s="6" t="str">
        <f t="shared" si="781"/>
        <v>=6.637*100000000</v>
      </c>
      <c r="AH1658" s="1">
        <f>6.637*100000000</f>
        <v>663700000</v>
      </c>
      <c r="AI1658" s="8">
        <f t="shared" si="798"/>
        <v>-0.78138998682476946</v>
      </c>
      <c r="AJ1658" s="6" t="s">
        <v>1119</v>
      </c>
      <c r="AK1658" s="6" t="str">
        <f t="shared" si="782"/>
        <v>=30.36*100000000</v>
      </c>
      <c r="AL1658" s="1">
        <f>30.36*100000000</f>
        <v>3036000000</v>
      </c>
      <c r="AM1658" s="8">
        <f t="shared" si="799"/>
        <v>0.41538461538461541</v>
      </c>
      <c r="AN1658" s="6" t="s">
        <v>12300</v>
      </c>
      <c r="AO1658" s="6" t="str">
        <f t="shared" si="783"/>
        <v>=21.45*100000000</v>
      </c>
      <c r="AP1658" s="1">
        <f>21.45*100000000</f>
        <v>2145000000</v>
      </c>
      <c r="AQ1658" s="8">
        <f t="shared" si="800"/>
        <v>0.48135359116022097</v>
      </c>
      <c r="AR1658" s="6" t="s">
        <v>916</v>
      </c>
      <c r="AS1658" s="6" t="str">
        <f t="shared" si="784"/>
        <v>=14.48*100000000</v>
      </c>
      <c r="AT1658" s="1">
        <f>14.48*100000000</f>
        <v>1448000000</v>
      </c>
      <c r="AU1658" s="8">
        <f t="shared" si="801"/>
        <v>0.91966061248839981</v>
      </c>
      <c r="AV1658" s="6" t="s">
        <v>11231</v>
      </c>
      <c r="AW1658" s="6" t="str">
        <f t="shared" si="785"/>
        <v>=7.543*100000000</v>
      </c>
      <c r="AX1658" s="1">
        <f>7.543*100000000</f>
        <v>754300000</v>
      </c>
      <c r="AY1658" s="10">
        <f t="shared" si="802"/>
        <v>-0.77847283406754775</v>
      </c>
      <c r="AZ1658" s="6" t="s">
        <v>8370</v>
      </c>
      <c r="BA1658" s="6" t="str">
        <f t="shared" si="786"/>
        <v>=34.05*100000000</v>
      </c>
      <c r="BB1658" s="1">
        <f>34.05*100000000</f>
        <v>3404999999.9999995</v>
      </c>
      <c r="BC1658" s="8">
        <f t="shared" si="803"/>
        <v>0.29172989377845204</v>
      </c>
      <c r="BD1658" s="6" t="s">
        <v>15571</v>
      </c>
      <c r="BE1658" s="6" t="str">
        <f t="shared" si="787"/>
        <v>=26.36*100000000</v>
      </c>
      <c r="BF1658" s="1">
        <f>26.36*100000000</f>
        <v>2636000000</v>
      </c>
      <c r="BG1658" s="8">
        <f t="shared" si="804"/>
        <v>0.42255801403130061</v>
      </c>
      <c r="BH1658" s="6" t="s">
        <v>6876</v>
      </c>
      <c r="BI1658" s="6" t="str">
        <f t="shared" si="788"/>
        <v>=18.53*100000000</v>
      </c>
      <c r="BJ1658" s="1">
        <f>18.53*100000000</f>
        <v>1853000000</v>
      </c>
      <c r="BK1658" s="6" t="s">
        <v>15572</v>
      </c>
      <c r="BL1658" s="1" t="str">
        <f t="shared" si="790"/>
        <v>=9.724*100000000</v>
      </c>
      <c r="BM1658" s="16">
        <f t="shared" si="805"/>
        <v>0.90559440559440563</v>
      </c>
      <c r="BN1658" s="1">
        <f>9.724*100000000</f>
        <v>972400000</v>
      </c>
    </row>
    <row r="1659" spans="1:66">
      <c r="A1659" s="18"/>
      <c r="B1659">
        <v>603179</v>
      </c>
      <c r="C1659" t="s">
        <v>48</v>
      </c>
      <c r="D1659" s="6" t="s">
        <v>15573</v>
      </c>
      <c r="E1659" s="7" t="str">
        <f t="shared" si="789"/>
        <v>=3.114*100000000</v>
      </c>
      <c r="F1659" s="1">
        <f>3.114*100000000</f>
        <v>311400000</v>
      </c>
      <c r="G1659" s="8">
        <f t="shared" si="791"/>
        <v>0.25010036130068247</v>
      </c>
      <c r="H1659" s="6" t="s">
        <v>2544</v>
      </c>
      <c r="I1659" s="6" t="str">
        <f t="shared" si="775"/>
        <v>=2.491*100000000</v>
      </c>
      <c r="J1659" s="1">
        <f>2.491*100000000</f>
        <v>249100000</v>
      </c>
      <c r="K1659" s="10">
        <f t="shared" si="792"/>
        <v>0.32500000000000001</v>
      </c>
      <c r="L1659" s="6" t="s">
        <v>15574</v>
      </c>
      <c r="M1659" s="6" t="str">
        <f t="shared" si="776"/>
        <v>=1.880*100000000</v>
      </c>
      <c r="N1659" s="1">
        <f>1.88*100000000</f>
        <v>188000000</v>
      </c>
      <c r="O1659" s="8">
        <f t="shared" si="793"/>
        <v>0.6815742397137744</v>
      </c>
      <c r="P1659" s="6" t="s">
        <v>11714</v>
      </c>
      <c r="Q1659" s="6" t="str">
        <f t="shared" si="777"/>
        <v>=1.118*100000000</v>
      </c>
      <c r="R1659" s="11">
        <f>1.118*100000000</f>
        <v>111800000.00000001</v>
      </c>
      <c r="S1659" s="8">
        <f t="shared" si="794"/>
        <v>-0.6118055555555556</v>
      </c>
      <c r="T1659" s="6" t="s">
        <v>2875</v>
      </c>
      <c r="U1659" s="6" t="str">
        <f t="shared" si="778"/>
        <v>=2.880*100000000</v>
      </c>
      <c r="V1659" s="1">
        <f>2.88*100000000</f>
        <v>288000000</v>
      </c>
      <c r="W1659" s="8">
        <f t="shared" si="795"/>
        <v>0.56521739130434778</v>
      </c>
      <c r="X1659" s="6" t="s">
        <v>13849</v>
      </c>
      <c r="Y1659" s="6" t="str">
        <f t="shared" si="779"/>
        <v>=1.840*100000000</v>
      </c>
      <c r="Z1659" s="1">
        <f>1.84*100000000</f>
        <v>184000000</v>
      </c>
      <c r="AA1659" s="8">
        <f t="shared" si="796"/>
        <v>0.68036529680365299</v>
      </c>
      <c r="AB1659" s="6" t="s">
        <v>6533</v>
      </c>
      <c r="AC1659" s="6" t="str">
        <f t="shared" si="780"/>
        <v>=1.095*100000000</v>
      </c>
      <c r="AD1659" s="1">
        <f>1.095*100000000</f>
        <v>109500000</v>
      </c>
      <c r="AE1659" s="8">
        <f t="shared" si="797"/>
        <v>1.9942575881870386</v>
      </c>
      <c r="AF1659" s="7" t="s">
        <v>15575</v>
      </c>
      <c r="AG1659" s="6" t="str">
        <f t="shared" si="781"/>
        <v>=3657*10000</v>
      </c>
      <c r="AH1659" s="1">
        <f>3657*10000</f>
        <v>36570000</v>
      </c>
      <c r="AI1659" s="8">
        <f t="shared" si="798"/>
        <v>-0.81474164133738602</v>
      </c>
      <c r="AJ1659" s="6" t="s">
        <v>2889</v>
      </c>
      <c r="AK1659" s="6" t="str">
        <f t="shared" si="782"/>
        <v>=1.974*100000000</v>
      </c>
      <c r="AL1659" s="1">
        <f>1.974*100000000</f>
        <v>197400000</v>
      </c>
      <c r="AM1659" s="8">
        <f t="shared" si="799"/>
        <v>0.36893203883495146</v>
      </c>
      <c r="AN1659" s="6" t="s">
        <v>2943</v>
      </c>
      <c r="AO1659" s="6" t="str">
        <f t="shared" si="783"/>
        <v>=1.442*100000000</v>
      </c>
      <c r="AP1659" s="1">
        <f>1.442*100000000</f>
        <v>144200000</v>
      </c>
      <c r="AQ1659" s="8">
        <f t="shared" si="800"/>
        <v>0.3905496624879462</v>
      </c>
      <c r="AR1659" s="6" t="s">
        <v>2194</v>
      </c>
      <c r="AS1659" s="6" t="str">
        <f t="shared" si="784"/>
        <v>=1.037*100000000</v>
      </c>
      <c r="AT1659" s="1">
        <f>1.037*100000000</f>
        <v>103699999.99999999</v>
      </c>
      <c r="AU1659" s="8">
        <f t="shared" si="801"/>
        <v>0.71348314606741547</v>
      </c>
      <c r="AV1659" s="7" t="s">
        <v>5492</v>
      </c>
      <c r="AW1659" s="6" t="str">
        <f t="shared" si="785"/>
        <v>=6052*10000</v>
      </c>
      <c r="AX1659" s="1">
        <f>6052*10000</f>
        <v>60520000</v>
      </c>
      <c r="AY1659" s="10">
        <f t="shared" si="802"/>
        <v>-0.81475359657177837</v>
      </c>
      <c r="AZ1659" s="6" t="s">
        <v>15576</v>
      </c>
      <c r="BA1659" s="6" t="str">
        <f t="shared" si="786"/>
        <v>=3.267*100000000</v>
      </c>
      <c r="BB1659" s="1">
        <f>3.267*100000000</f>
        <v>326700000</v>
      </c>
      <c r="BC1659" s="8">
        <f t="shared" si="803"/>
        <v>0.17517985611510792</v>
      </c>
      <c r="BD1659" s="6" t="s">
        <v>1678</v>
      </c>
      <c r="BE1659" s="6" t="str">
        <f t="shared" si="787"/>
        <v>=2.780*100000000</v>
      </c>
      <c r="BF1659" s="1">
        <f>2.78*100000000</f>
        <v>278000000</v>
      </c>
      <c r="BG1659" s="8">
        <f t="shared" si="804"/>
        <v>0.54788418708240538</v>
      </c>
      <c r="BH1659" s="6" t="s">
        <v>15577</v>
      </c>
      <c r="BI1659" s="6" t="str">
        <f t="shared" si="788"/>
        <v>=1.796*100000000</v>
      </c>
      <c r="BJ1659" s="1">
        <f>1.796*100000000</f>
        <v>179600000</v>
      </c>
      <c r="BK1659" s="7" t="s">
        <v>15578</v>
      </c>
      <c r="BL1659" s="1" t="str">
        <f t="shared" si="790"/>
        <v>=9268*10000</v>
      </c>
      <c r="BM1659" s="16">
        <f t="shared" si="805"/>
        <v>0.93785066896849378</v>
      </c>
      <c r="BN1659" s="1">
        <f>9268*10000</f>
        <v>92680000</v>
      </c>
    </row>
    <row r="1660" spans="1:66">
      <c r="A1660" s="18"/>
      <c r="B1660">
        <v>603179</v>
      </c>
      <c r="C1660" t="s">
        <v>58</v>
      </c>
      <c r="D1660" s="6" t="s">
        <v>11967</v>
      </c>
      <c r="E1660" s="7" t="str">
        <f t="shared" si="789"/>
        <v>=3.021*100000000</v>
      </c>
      <c r="F1660" s="1">
        <f>3.021*100000000</f>
        <v>302100000</v>
      </c>
      <c r="G1660" s="8">
        <f t="shared" si="791"/>
        <v>0.22208737864077671</v>
      </c>
      <c r="H1660" s="6" t="s">
        <v>11401</v>
      </c>
      <c r="I1660" s="6" t="str">
        <f t="shared" si="775"/>
        <v>=2.472*100000000</v>
      </c>
      <c r="J1660" s="1">
        <f>2.472*100000000</f>
        <v>247200000</v>
      </c>
      <c r="K1660" s="10">
        <f t="shared" si="792"/>
        <v>0.32475884244372988</v>
      </c>
      <c r="L1660" s="6" t="s">
        <v>11957</v>
      </c>
      <c r="M1660" s="6" t="str">
        <f t="shared" si="776"/>
        <v>=1.866*100000000</v>
      </c>
      <c r="N1660" s="1">
        <f>1.866*100000000</f>
        <v>186600000</v>
      </c>
      <c r="O1660" s="8">
        <f t="shared" si="793"/>
        <v>0.67204301075268791</v>
      </c>
      <c r="P1660" s="6" t="s">
        <v>3880</v>
      </c>
      <c r="Q1660" s="6" t="str">
        <f t="shared" si="777"/>
        <v>=1.116*100000000</v>
      </c>
      <c r="R1660" s="11">
        <f>1.116*100000000</f>
        <v>111600000.00000001</v>
      </c>
      <c r="S1660" s="8">
        <f t="shared" si="794"/>
        <v>-0.61276891047883419</v>
      </c>
      <c r="T1660" s="6" t="s">
        <v>2328</v>
      </c>
      <c r="U1660" s="6" t="str">
        <f t="shared" si="778"/>
        <v>=2.882*100000000</v>
      </c>
      <c r="V1660" s="1">
        <f>2.882*100000000</f>
        <v>288200000</v>
      </c>
      <c r="W1660" s="8">
        <f t="shared" si="795"/>
        <v>0.56460369163952229</v>
      </c>
      <c r="X1660" s="6" t="s">
        <v>12535</v>
      </c>
      <c r="Y1660" s="6" t="str">
        <f t="shared" si="779"/>
        <v>=1.842*100000000</v>
      </c>
      <c r="Z1660" s="1">
        <f>1.842*100000000</f>
        <v>184200000</v>
      </c>
      <c r="AA1660" s="8">
        <f t="shared" si="796"/>
        <v>0.6775956284153003</v>
      </c>
      <c r="AB1660" s="6" t="s">
        <v>4295</v>
      </c>
      <c r="AC1660" s="6" t="str">
        <f t="shared" si="780"/>
        <v>=1.098*100000000</v>
      </c>
      <c r="AD1660" s="1">
        <f>1.098*100000000</f>
        <v>109800000.00000001</v>
      </c>
      <c r="AE1660" s="8">
        <f t="shared" si="797"/>
        <v>1.9853181076672108</v>
      </c>
      <c r="AF1660" s="7" t="s">
        <v>15579</v>
      </c>
      <c r="AG1660" s="6" t="str">
        <f t="shared" si="781"/>
        <v>=3678*10000</v>
      </c>
      <c r="AH1660" s="1">
        <f>3678*10000</f>
        <v>36780000</v>
      </c>
      <c r="AI1660" s="8">
        <f t="shared" si="798"/>
        <v>-0.81253822629969419</v>
      </c>
      <c r="AJ1660" s="6" t="s">
        <v>238</v>
      </c>
      <c r="AK1660" s="6" t="str">
        <f t="shared" si="782"/>
        <v>=1.962*100000000</v>
      </c>
      <c r="AL1660" s="1">
        <f>1.962*100000000</f>
        <v>196200000</v>
      </c>
      <c r="AM1660" s="8">
        <f t="shared" si="799"/>
        <v>0.3653444676409186</v>
      </c>
      <c r="AN1660" s="6" t="s">
        <v>7904</v>
      </c>
      <c r="AO1660" s="6" t="str">
        <f t="shared" si="783"/>
        <v>=1.437*100000000</v>
      </c>
      <c r="AP1660" s="1">
        <f>1.437*100000000</f>
        <v>143700000</v>
      </c>
      <c r="AQ1660" s="8">
        <f t="shared" si="800"/>
        <v>0.38439306358381503</v>
      </c>
      <c r="AR1660" s="6" t="s">
        <v>1576</v>
      </c>
      <c r="AS1660" s="6" t="str">
        <f t="shared" si="784"/>
        <v>=1.038*100000000</v>
      </c>
      <c r="AT1660" s="1">
        <f>1.038*100000000</f>
        <v>103800000</v>
      </c>
      <c r="AU1660" s="8">
        <f t="shared" si="801"/>
        <v>0.70667543571193692</v>
      </c>
      <c r="AV1660" s="7" t="s">
        <v>15580</v>
      </c>
      <c r="AW1660" s="6" t="str">
        <f t="shared" si="785"/>
        <v>=6082*10000</v>
      </c>
      <c r="AX1660" s="1">
        <f>6082*10000</f>
        <v>60820000</v>
      </c>
      <c r="AY1660" s="10">
        <f t="shared" si="802"/>
        <v>-0.81372128637059726</v>
      </c>
      <c r="AZ1660" s="6" t="s">
        <v>15581</v>
      </c>
      <c r="BA1660" s="6" t="str">
        <f t="shared" si="786"/>
        <v>=3.265*100000000</v>
      </c>
      <c r="BB1660" s="1">
        <f>3.265*100000000</f>
        <v>326500000</v>
      </c>
      <c r="BC1660" s="8">
        <f t="shared" si="803"/>
        <v>0.1549345596038203</v>
      </c>
      <c r="BD1660" s="6" t="s">
        <v>15582</v>
      </c>
      <c r="BE1660" s="6" t="str">
        <f t="shared" si="787"/>
        <v>=2.827*100000000</v>
      </c>
      <c r="BF1660" s="1">
        <f>2.827*100000000</f>
        <v>282700000</v>
      </c>
      <c r="BG1660" s="8">
        <f t="shared" si="804"/>
        <v>0.539760348583878</v>
      </c>
      <c r="BH1660" s="6" t="s">
        <v>2297</v>
      </c>
      <c r="BI1660" s="6" t="str">
        <f t="shared" si="788"/>
        <v>=1.836*100000000</v>
      </c>
      <c r="BJ1660" s="1">
        <f>1.836*100000000</f>
        <v>183600000</v>
      </c>
      <c r="BK1660" s="7" t="s">
        <v>15583</v>
      </c>
      <c r="BL1660" s="1" t="str">
        <f t="shared" si="790"/>
        <v>=9557*10000</v>
      </c>
      <c r="BM1660" s="16">
        <f t="shared" si="805"/>
        <v>0.92110494925185726</v>
      </c>
      <c r="BN1660" s="1">
        <f>9557*10000</f>
        <v>95570000</v>
      </c>
    </row>
    <row r="1661" spans="1:66">
      <c r="A1661" s="19"/>
      <c r="B1661">
        <v>603179</v>
      </c>
      <c r="C1661" t="s">
        <v>68</v>
      </c>
      <c r="D1661" s="6" t="s">
        <v>15078</v>
      </c>
      <c r="E1661" s="7" t="str">
        <f t="shared" si="789"/>
        <v>=2.860*100000000</v>
      </c>
      <c r="F1661" s="1">
        <f>2.86*100000000</f>
        <v>286000000</v>
      </c>
      <c r="G1661" s="8">
        <f t="shared" si="791"/>
        <v>0.26380910296067167</v>
      </c>
      <c r="H1661" s="6" t="s">
        <v>11799</v>
      </c>
      <c r="I1661" s="6" t="str">
        <f t="shared" si="775"/>
        <v>=2.263*100000000</v>
      </c>
      <c r="J1661" s="1">
        <f>2.263*100000000</f>
        <v>226300000</v>
      </c>
      <c r="K1661" s="10">
        <f t="shared" si="792"/>
        <v>0.3210741389375365</v>
      </c>
      <c r="L1661" s="6" t="s">
        <v>2968</v>
      </c>
      <c r="M1661" s="6" t="str">
        <f t="shared" si="776"/>
        <v>=1.713*100000000</v>
      </c>
      <c r="N1661" s="1">
        <f>1.713*100000000</f>
        <v>171300000</v>
      </c>
      <c r="O1661" s="8">
        <f t="shared" si="793"/>
        <v>0.69940476190476186</v>
      </c>
      <c r="P1661" s="6" t="s">
        <v>6095</v>
      </c>
      <c r="Q1661" s="6" t="str">
        <f t="shared" si="777"/>
        <v>=1.008*100000000</v>
      </c>
      <c r="R1661" s="11">
        <f>1.008*100000000</f>
        <v>100800000</v>
      </c>
      <c r="S1661" s="8">
        <f t="shared" si="794"/>
        <v>-0.60793465577596273</v>
      </c>
      <c r="T1661" s="6" t="s">
        <v>4739</v>
      </c>
      <c r="U1661" s="6" t="str">
        <f t="shared" si="778"/>
        <v>=2.571*100000000</v>
      </c>
      <c r="V1661" s="1">
        <f>2.571*100000000</f>
        <v>257100000.00000003</v>
      </c>
      <c r="W1661" s="8">
        <f t="shared" si="795"/>
        <v>0.53952095808383249</v>
      </c>
      <c r="X1661" s="6" t="s">
        <v>3435</v>
      </c>
      <c r="Y1661" s="6" t="str">
        <f t="shared" si="779"/>
        <v>=1.670*100000000</v>
      </c>
      <c r="Z1661" s="1">
        <f>1.67*100000000</f>
        <v>167000000</v>
      </c>
      <c r="AA1661" s="8">
        <f t="shared" si="796"/>
        <v>0.73021135515955238</v>
      </c>
      <c r="AB1661" s="7" t="s">
        <v>15584</v>
      </c>
      <c r="AC1661" s="6" t="str">
        <f t="shared" si="780"/>
        <v>=9652*10000</v>
      </c>
      <c r="AD1661" s="1">
        <f>9652*10000</f>
        <v>96520000</v>
      </c>
      <c r="AE1661" s="8">
        <f t="shared" si="797"/>
        <v>1.9882352941176471</v>
      </c>
      <c r="AF1661" s="7" t="s">
        <v>15585</v>
      </c>
      <c r="AG1661" s="6" t="str">
        <f t="shared" si="781"/>
        <v>=3230*10000</v>
      </c>
      <c r="AH1661" s="1">
        <f>3230*10000</f>
        <v>32300000</v>
      </c>
      <c r="AI1661" s="8">
        <f t="shared" si="798"/>
        <v>-0.82085413200221857</v>
      </c>
      <c r="AJ1661" s="6" t="s">
        <v>2975</v>
      </c>
      <c r="AK1661" s="6" t="str">
        <f t="shared" si="782"/>
        <v>=1.803*100000000</v>
      </c>
      <c r="AL1661" s="1">
        <f>1.803*100000000</f>
        <v>180300000</v>
      </c>
      <c r="AM1661" s="8">
        <f t="shared" si="799"/>
        <v>0.39551083591331271</v>
      </c>
      <c r="AN1661" s="6" t="s">
        <v>11080</v>
      </c>
      <c r="AO1661" s="6" t="str">
        <f t="shared" si="783"/>
        <v>=1.292*100000000</v>
      </c>
      <c r="AP1661" s="1">
        <f>1.292*100000000</f>
        <v>129200000</v>
      </c>
      <c r="AQ1661" s="8">
        <f t="shared" si="800"/>
        <v>0.39044339216530349</v>
      </c>
      <c r="AR1661" s="7" t="s">
        <v>9445</v>
      </c>
      <c r="AS1661" s="6" t="str">
        <f t="shared" si="784"/>
        <v>=9292*10000</v>
      </c>
      <c r="AT1661" s="1">
        <f>9292*10000</f>
        <v>92920000</v>
      </c>
      <c r="AU1661" s="8">
        <f t="shared" si="801"/>
        <v>0.70589315219386817</v>
      </c>
      <c r="AV1661" s="7" t="s">
        <v>15586</v>
      </c>
      <c r="AW1661" s="6" t="str">
        <f t="shared" si="785"/>
        <v>=5447*10000</v>
      </c>
      <c r="AX1661" s="1">
        <f>5447*10000</f>
        <v>54470000</v>
      </c>
      <c r="AY1661" s="10">
        <f t="shared" si="802"/>
        <v>-0.80684397163120569</v>
      </c>
      <c r="AZ1661" s="6" t="s">
        <v>15587</v>
      </c>
      <c r="BA1661" s="6" t="str">
        <f t="shared" si="786"/>
        <v>=2.820*100000000</v>
      </c>
      <c r="BB1661" s="1">
        <f>2.82*100000000</f>
        <v>282000000</v>
      </c>
      <c r="BC1661" s="8">
        <f t="shared" si="803"/>
        <v>0.23684210526315805</v>
      </c>
      <c r="BD1661" s="6" t="s">
        <v>2303</v>
      </c>
      <c r="BE1661" s="6" t="str">
        <f t="shared" si="787"/>
        <v>=2.280*100000000</v>
      </c>
      <c r="BF1661" s="1">
        <f>2.28*100000000</f>
        <v>227999999.99999997</v>
      </c>
      <c r="BG1661" s="8">
        <f t="shared" si="804"/>
        <v>0.49999999999999978</v>
      </c>
      <c r="BH1661" s="6" t="s">
        <v>3676</v>
      </c>
      <c r="BI1661" s="6" t="str">
        <f t="shared" si="788"/>
        <v>=1.520*100000000</v>
      </c>
      <c r="BJ1661" s="1">
        <f>1.52*100000000</f>
        <v>152000000</v>
      </c>
      <c r="BK1661" s="7" t="s">
        <v>15588</v>
      </c>
      <c r="BL1661" s="1" t="str">
        <f t="shared" si="790"/>
        <v>=7631*10000</v>
      </c>
      <c r="BM1661" s="16">
        <f t="shared" si="805"/>
        <v>0.99187524570829511</v>
      </c>
      <c r="BN1661" s="1">
        <f>7631*10000</f>
        <v>76310000</v>
      </c>
    </row>
    <row r="1662" spans="1:66">
      <c r="A1662" s="17">
        <v>417</v>
      </c>
      <c r="B1662">
        <v>603180</v>
      </c>
      <c r="C1662" t="s">
        <v>31</v>
      </c>
      <c r="D1662" s="6" t="s">
        <v>15589</v>
      </c>
      <c r="E1662" s="7" t="str">
        <f t="shared" si="789"/>
        <v>=34.48*100000000</v>
      </c>
      <c r="F1662" s="1">
        <f>34.48*100000000</f>
        <v>3447999999.9999995</v>
      </c>
      <c r="G1662" s="8">
        <f t="shared" si="791"/>
        <v>0.55315315315315294</v>
      </c>
      <c r="H1662" s="6" t="s">
        <v>15590</v>
      </c>
      <c r="I1662" s="6" t="str">
        <f t="shared" si="775"/>
        <v>=22.20*100000000</v>
      </c>
      <c r="J1662" s="1">
        <f>22.2*100000000</f>
        <v>2220000000</v>
      </c>
      <c r="K1662" s="10">
        <f t="shared" si="792"/>
        <v>0.67294649585531274</v>
      </c>
      <c r="L1662" s="6" t="s">
        <v>4844</v>
      </c>
      <c r="M1662" s="6" t="str">
        <f t="shared" si="776"/>
        <v>=13.27*100000000</v>
      </c>
      <c r="N1662" s="1">
        <f>13.27*100000000</f>
        <v>1327000000</v>
      </c>
      <c r="O1662" s="8">
        <f t="shared" si="793"/>
        <v>1.735518449804164</v>
      </c>
      <c r="P1662" s="6" t="s">
        <v>15591</v>
      </c>
      <c r="Q1662" s="6" t="str">
        <f t="shared" si="777"/>
        <v>=4.851*100000000</v>
      </c>
      <c r="R1662" s="11">
        <f>4.851*100000000</f>
        <v>485100000</v>
      </c>
      <c r="S1662" s="8">
        <f t="shared" si="794"/>
        <v>-0.81625000000000003</v>
      </c>
      <c r="T1662" s="6" t="s">
        <v>15592</v>
      </c>
      <c r="U1662" s="6" t="str">
        <f t="shared" si="778"/>
        <v>=26.40*100000000</v>
      </c>
      <c r="V1662" s="1">
        <f>26.4*100000000</f>
        <v>2640000000</v>
      </c>
      <c r="W1662" s="8">
        <f t="shared" si="795"/>
        <v>0.63467492260061942</v>
      </c>
      <c r="X1662" s="6" t="s">
        <v>4541</v>
      </c>
      <c r="Y1662" s="6" t="str">
        <f t="shared" si="779"/>
        <v>=16.15*100000000</v>
      </c>
      <c r="Z1662" s="1">
        <f>16.15*100000000</f>
        <v>1614999999.9999998</v>
      </c>
      <c r="AA1662" s="8">
        <f t="shared" si="796"/>
        <v>0.9488355255219012</v>
      </c>
      <c r="AB1662" s="6" t="s">
        <v>15593</v>
      </c>
      <c r="AC1662" s="6" t="str">
        <f t="shared" si="780"/>
        <v>=8.287*100000000</v>
      </c>
      <c r="AD1662" s="1">
        <f>8.287*100000000</f>
        <v>828700000.00000012</v>
      </c>
      <c r="AE1662" s="8">
        <f t="shared" si="797"/>
        <v>2.1014221556886228</v>
      </c>
      <c r="AF1662" s="6" t="s">
        <v>6557</v>
      </c>
      <c r="AG1662" s="6" t="str">
        <f t="shared" si="781"/>
        <v>=2.672*100000000</v>
      </c>
      <c r="AH1662" s="1">
        <f>2.672*100000000</f>
        <v>267200000.00000003</v>
      </c>
      <c r="AI1662" s="8">
        <f t="shared" si="798"/>
        <v>-0.87425882352941175</v>
      </c>
      <c r="AJ1662" s="6" t="s">
        <v>15594</v>
      </c>
      <c r="AK1662" s="6" t="str">
        <f t="shared" si="782"/>
        <v>=21.25*100000000</v>
      </c>
      <c r="AL1662" s="1">
        <f>21.25*100000000</f>
        <v>2125000000</v>
      </c>
      <c r="AM1662" s="8">
        <f t="shared" si="799"/>
        <v>0.53208363374188894</v>
      </c>
      <c r="AN1662" s="6" t="s">
        <v>1193</v>
      </c>
      <c r="AO1662" s="6" t="str">
        <f t="shared" si="783"/>
        <v>=13.87*100000000</v>
      </c>
      <c r="AP1662" s="1">
        <f>13.87*100000000</f>
        <v>1387000000</v>
      </c>
      <c r="AQ1662" s="8">
        <f t="shared" si="800"/>
        <v>0.76597911892029535</v>
      </c>
      <c r="AR1662" s="6" t="s">
        <v>8169</v>
      </c>
      <c r="AS1662" s="6" t="str">
        <f t="shared" si="784"/>
        <v>=7.854*100000000</v>
      </c>
      <c r="AT1662" s="1">
        <f>7.854*100000000</f>
        <v>785400000</v>
      </c>
      <c r="AU1662" s="8">
        <f t="shared" si="801"/>
        <v>1.8241639697950378</v>
      </c>
      <c r="AV1662" s="6" t="s">
        <v>6431</v>
      </c>
      <c r="AW1662" s="6" t="str">
        <f t="shared" si="785"/>
        <v>=2.781*100000000</v>
      </c>
      <c r="AX1662" s="1">
        <f>2.781*100000000</f>
        <v>278100000</v>
      </c>
      <c r="AY1662" s="10">
        <f t="shared" si="802"/>
        <v>-0.83660399529964746</v>
      </c>
      <c r="AZ1662" s="6" t="s">
        <v>1806</v>
      </c>
      <c r="BA1662" s="6" t="str">
        <f t="shared" si="786"/>
        <v>=17.02*100000000</v>
      </c>
      <c r="BB1662" s="1">
        <f>17.02*100000000</f>
        <v>1702000000</v>
      </c>
      <c r="BC1662" s="8">
        <f t="shared" si="803"/>
        <v>0.50619469026548669</v>
      </c>
      <c r="BD1662" s="6" t="s">
        <v>5296</v>
      </c>
      <c r="BE1662" s="6" t="str">
        <f t="shared" si="787"/>
        <v>=11.30*100000000</v>
      </c>
      <c r="BF1662" s="1">
        <f>11.3*100000000</f>
        <v>1130000000</v>
      </c>
      <c r="BG1662" s="8">
        <f t="shared" si="804"/>
        <v>0.75766060040441752</v>
      </c>
      <c r="BH1662" s="6" t="s">
        <v>8147</v>
      </c>
      <c r="BI1662" s="6" t="str">
        <f t="shared" si="788"/>
        <v>=6.429*100000000</v>
      </c>
      <c r="BJ1662" s="1">
        <f>6.429*100000000</f>
        <v>642900000</v>
      </c>
      <c r="BK1662" s="6" t="s">
        <v>2879</v>
      </c>
      <c r="BL1662" s="1" t="str">
        <f t="shared" si="790"/>
        <v>=2.620*100000000</v>
      </c>
      <c r="BM1662" s="16">
        <f t="shared" si="805"/>
        <v>1.4538167938931297</v>
      </c>
      <c r="BN1662" s="1">
        <f>2.62*100000000</f>
        <v>262000000</v>
      </c>
    </row>
    <row r="1663" spans="1:66">
      <c r="A1663" s="18"/>
      <c r="B1663">
        <v>603180</v>
      </c>
      <c r="C1663" t="s">
        <v>48</v>
      </c>
      <c r="D1663" s="6" t="s">
        <v>6540</v>
      </c>
      <c r="E1663" s="7" t="str">
        <f t="shared" si="789"/>
        <v>=3.611*100000000</v>
      </c>
      <c r="F1663" s="1">
        <f>3.611*100000000</f>
        <v>361100000</v>
      </c>
      <c r="G1663" s="8">
        <f t="shared" si="791"/>
        <v>1.1571087216248506</v>
      </c>
      <c r="H1663" s="6" t="s">
        <v>13840</v>
      </c>
      <c r="I1663" s="6" t="str">
        <f t="shared" ref="I1663:I1726" si="806">"="&amp;H1663</f>
        <v>=1.674*100000000</v>
      </c>
      <c r="J1663" s="1">
        <f>1.674*100000000</f>
        <v>167400000</v>
      </c>
      <c r="K1663" s="10">
        <f t="shared" si="792"/>
        <v>0.771241138503862</v>
      </c>
      <c r="L1663" s="7" t="s">
        <v>15595</v>
      </c>
      <c r="M1663" s="6" t="str">
        <f t="shared" ref="M1663:M1726" si="807">"="&amp;L1663</f>
        <v>=9451*10000</v>
      </c>
      <c r="N1663" s="1">
        <f>9451*10000</f>
        <v>94510000</v>
      </c>
      <c r="O1663" s="8">
        <f t="shared" si="793"/>
        <v>1.0298539518900343</v>
      </c>
      <c r="P1663" s="7" t="s">
        <v>2832</v>
      </c>
      <c r="Q1663" s="6" t="str">
        <f t="shared" ref="Q1663:Q1726" si="808">"="&amp;P1663</f>
        <v>=4656*10000</v>
      </c>
      <c r="R1663" s="11">
        <f>4656*10000</f>
        <v>46560000</v>
      </c>
      <c r="S1663" s="8">
        <f t="shared" si="794"/>
        <v>-0.85774518790100829</v>
      </c>
      <c r="T1663" s="6" t="s">
        <v>1224</v>
      </c>
      <c r="U1663" s="6" t="str">
        <f t="shared" ref="U1663:U1726" si="809">"="&amp;T1663</f>
        <v>=3.273*100000000</v>
      </c>
      <c r="V1663" s="1">
        <f>3.273*100000000</f>
        <v>327300000</v>
      </c>
      <c r="W1663" s="8">
        <f t="shared" si="795"/>
        <v>0.96931407942238268</v>
      </c>
      <c r="X1663" s="6" t="s">
        <v>15596</v>
      </c>
      <c r="Y1663" s="6" t="str">
        <f t="shared" ref="Y1663:Y1726" si="810">"="&amp;X1663</f>
        <v>=1.662*100000000</v>
      </c>
      <c r="Z1663" s="1">
        <f>1.662*100000000</f>
        <v>166200000</v>
      </c>
      <c r="AA1663" s="8">
        <f t="shared" si="796"/>
        <v>1.4245076586433261</v>
      </c>
      <c r="AB1663" s="7" t="s">
        <v>4887</v>
      </c>
      <c r="AC1663" s="6" t="str">
        <f t="shared" ref="AC1663:AC1726" si="811">"="&amp;AB1663</f>
        <v>=6855*10000</v>
      </c>
      <c r="AD1663" s="1">
        <f>6855*10000</f>
        <v>68550000</v>
      </c>
      <c r="AE1663" s="8">
        <f t="shared" si="797"/>
        <v>9.8723235527359243</v>
      </c>
      <c r="AF1663" s="7" t="s">
        <v>15597</v>
      </c>
      <c r="AG1663" s="6" t="str">
        <f t="shared" ref="AG1663:AG1726" si="812">"="&amp;AF1663</f>
        <v>=630.5*10000</v>
      </c>
      <c r="AH1663" s="1">
        <f>630.5*10000</f>
        <v>6305000</v>
      </c>
      <c r="AI1663" s="8">
        <f t="shared" si="798"/>
        <v>-0.97695540935672509</v>
      </c>
      <c r="AJ1663" s="6" t="s">
        <v>2296</v>
      </c>
      <c r="AK1663" s="6" t="str">
        <f t="shared" ref="AK1663:AK1726" si="813">"="&amp;AJ1663</f>
        <v>=2.736*100000000</v>
      </c>
      <c r="AL1663" s="1">
        <f>2.736*100000000</f>
        <v>273600000</v>
      </c>
      <c r="AM1663" s="8">
        <f t="shared" si="799"/>
        <v>0.86122448979591837</v>
      </c>
      <c r="AN1663" s="6" t="s">
        <v>10304</v>
      </c>
      <c r="AO1663" s="6" t="str">
        <f t="shared" ref="AO1663:AO1726" si="814">"="&amp;AN1663</f>
        <v>=1.470*100000000</v>
      </c>
      <c r="AP1663" s="1">
        <f>1.47*100000000</f>
        <v>147000000</v>
      </c>
      <c r="AQ1663" s="8">
        <f t="shared" si="800"/>
        <v>0.85793731041456012</v>
      </c>
      <c r="AR1663" s="7" t="s">
        <v>15598</v>
      </c>
      <c r="AS1663" s="6" t="str">
        <f t="shared" ref="AS1663:AS1726" si="815">"="&amp;AR1663</f>
        <v>=7912*10000</v>
      </c>
      <c r="AT1663" s="1">
        <f>7912*10000</f>
        <v>79120000</v>
      </c>
      <c r="AU1663" s="8">
        <f t="shared" si="801"/>
        <v>2.7676190476190476</v>
      </c>
      <c r="AV1663" s="7" t="s">
        <v>15599</v>
      </c>
      <c r="AW1663" s="6" t="str">
        <f t="shared" ref="AW1663:AW1726" si="816">"="&amp;AV1663</f>
        <v>=2100*10000</v>
      </c>
      <c r="AX1663" s="1">
        <f>2100*10000</f>
        <v>21000000</v>
      </c>
      <c r="AY1663" s="10">
        <f t="shared" si="802"/>
        <v>-0.91172761664564939</v>
      </c>
      <c r="AZ1663" s="6" t="s">
        <v>15600</v>
      </c>
      <c r="BA1663" s="6" t="str">
        <f t="shared" ref="BA1663:BA1726" si="817">"="&amp;AZ1663</f>
        <v>=2.379*100000000</v>
      </c>
      <c r="BB1663" s="1">
        <f>2.379*100000000</f>
        <v>237900000</v>
      </c>
      <c r="BC1663" s="8">
        <f t="shared" si="803"/>
        <v>0.82438650306748462</v>
      </c>
      <c r="BD1663" s="6" t="s">
        <v>6899</v>
      </c>
      <c r="BE1663" s="6" t="str">
        <f t="shared" ref="BE1663:BE1726" si="818">"="&amp;BD1663</f>
        <v>=1.304*100000000</v>
      </c>
      <c r="BF1663" s="1">
        <f>1.304*100000000</f>
        <v>130400000</v>
      </c>
      <c r="BG1663" s="8">
        <f t="shared" si="804"/>
        <v>0.82530795072788354</v>
      </c>
      <c r="BH1663" s="7" t="s">
        <v>15601</v>
      </c>
      <c r="BI1663" s="6" t="str">
        <f t="shared" ref="BI1663:BI1726" si="819">"="&amp;BH1663</f>
        <v>=7144*10000</v>
      </c>
      <c r="BJ1663" s="1">
        <f>7144*10000</f>
        <v>71440000</v>
      </c>
      <c r="BK1663" s="7" t="s">
        <v>15602</v>
      </c>
      <c r="BL1663" s="1" t="str">
        <f t="shared" si="790"/>
        <v>=2132*10000</v>
      </c>
      <c r="BM1663" s="16">
        <f t="shared" si="805"/>
        <v>2.3508442776735459</v>
      </c>
      <c r="BN1663" s="1">
        <f>2132*10000</f>
        <v>21320000</v>
      </c>
    </row>
    <row r="1664" spans="1:66">
      <c r="A1664" s="18"/>
      <c r="B1664">
        <v>603180</v>
      </c>
      <c r="C1664" t="s">
        <v>58</v>
      </c>
      <c r="D1664" s="6" t="s">
        <v>3827</v>
      </c>
      <c r="E1664" s="7" t="str">
        <f t="shared" si="789"/>
        <v>=3.679*100000000</v>
      </c>
      <c r="F1664" s="1">
        <f>3.679*100000000</f>
        <v>367900000</v>
      </c>
      <c r="G1664" s="8">
        <f t="shared" si="791"/>
        <v>1.193798449612403</v>
      </c>
      <c r="H1664" s="6" t="s">
        <v>5208</v>
      </c>
      <c r="I1664" s="6" t="str">
        <f t="shared" si="806"/>
        <v>=1.677*100000000</v>
      </c>
      <c r="J1664" s="1">
        <f>1.677*100000000</f>
        <v>167700000</v>
      </c>
      <c r="K1664" s="10">
        <f t="shared" si="792"/>
        <v>0.7595215612212779</v>
      </c>
      <c r="L1664" s="7" t="s">
        <v>15248</v>
      </c>
      <c r="M1664" s="6" t="str">
        <f t="shared" si="807"/>
        <v>=9531*10000</v>
      </c>
      <c r="N1664" s="1">
        <f>9531*10000</f>
        <v>95310000</v>
      </c>
      <c r="O1664" s="8">
        <f t="shared" si="793"/>
        <v>1.0184243964421855</v>
      </c>
      <c r="P1664" s="7" t="s">
        <v>15603</v>
      </c>
      <c r="Q1664" s="6" t="str">
        <f t="shared" si="808"/>
        <v>=4722*10000</v>
      </c>
      <c r="R1664" s="11">
        <f>4722*10000</f>
        <v>47220000</v>
      </c>
      <c r="S1664" s="8">
        <f t="shared" si="794"/>
        <v>-0.85725513905683193</v>
      </c>
      <c r="T1664" s="6" t="s">
        <v>99</v>
      </c>
      <c r="U1664" s="6" t="str">
        <f t="shared" si="809"/>
        <v>=3.308*100000000</v>
      </c>
      <c r="V1664" s="1">
        <f>3.308*100000000</f>
        <v>330800000</v>
      </c>
      <c r="W1664" s="8">
        <f t="shared" si="795"/>
        <v>0.9527744982290437</v>
      </c>
      <c r="X1664" s="6" t="s">
        <v>15395</v>
      </c>
      <c r="Y1664" s="6" t="str">
        <f t="shared" si="810"/>
        <v>=1.694*100000000</v>
      </c>
      <c r="Z1664" s="1">
        <f>1.694*100000000</f>
        <v>169400000</v>
      </c>
      <c r="AA1664" s="8">
        <f t="shared" si="796"/>
        <v>1.4089874857792946</v>
      </c>
      <c r="AB1664" s="7" t="s">
        <v>15604</v>
      </c>
      <c r="AC1664" s="6" t="str">
        <f t="shared" si="811"/>
        <v>=7032*10000</v>
      </c>
      <c r="AD1664" s="1">
        <f>7032*10000</f>
        <v>70320000</v>
      </c>
      <c r="AE1664" s="8">
        <f t="shared" si="797"/>
        <v>8.9886363636363633</v>
      </c>
      <c r="AF1664" s="7" t="s">
        <v>15605</v>
      </c>
      <c r="AG1664" s="6" t="str">
        <f t="shared" si="812"/>
        <v>=704.0*10000</v>
      </c>
      <c r="AH1664" s="1">
        <f>704*10000</f>
        <v>7040000</v>
      </c>
      <c r="AI1664" s="8">
        <f t="shared" si="798"/>
        <v>-0.97440930570701567</v>
      </c>
      <c r="AJ1664" s="6" t="s">
        <v>260</v>
      </c>
      <c r="AK1664" s="6" t="str">
        <f t="shared" si="813"/>
        <v>=2.751*100000000</v>
      </c>
      <c r="AL1664" s="1">
        <f>2.751*100000000</f>
        <v>275100000</v>
      </c>
      <c r="AM1664" s="8">
        <f t="shared" si="799"/>
        <v>0.85627530364372473</v>
      </c>
      <c r="AN1664" s="6" t="s">
        <v>2204</v>
      </c>
      <c r="AO1664" s="6" t="str">
        <f t="shared" si="814"/>
        <v>=1.482*100000000</v>
      </c>
      <c r="AP1664" s="1">
        <f>1.482*100000000</f>
        <v>148200000</v>
      </c>
      <c r="AQ1664" s="8">
        <f t="shared" si="800"/>
        <v>0.85412235706242967</v>
      </c>
      <c r="AR1664" s="7" t="s">
        <v>15087</v>
      </c>
      <c r="AS1664" s="6" t="str">
        <f t="shared" si="815"/>
        <v>=7993*10000</v>
      </c>
      <c r="AT1664" s="1">
        <f>7993*10000</f>
        <v>79930000</v>
      </c>
      <c r="AU1664" s="8">
        <f t="shared" si="801"/>
        <v>2.7455482661668227</v>
      </c>
      <c r="AV1664" s="7" t="s">
        <v>15606</v>
      </c>
      <c r="AW1664" s="6" t="str">
        <f t="shared" si="816"/>
        <v>=2134*10000</v>
      </c>
      <c r="AX1664" s="1">
        <f>2134*10000</f>
        <v>21340000</v>
      </c>
      <c r="AY1664" s="10">
        <f t="shared" si="802"/>
        <v>-0.91059907834101383</v>
      </c>
      <c r="AZ1664" s="6" t="s">
        <v>1681</v>
      </c>
      <c r="BA1664" s="6" t="str">
        <f t="shared" si="817"/>
        <v>=2.387*100000000</v>
      </c>
      <c r="BB1664" s="1">
        <f>2.387*100000000</f>
        <v>238700000</v>
      </c>
      <c r="BC1664" s="8">
        <f t="shared" si="803"/>
        <v>0.82771822358346092</v>
      </c>
      <c r="BD1664" s="6" t="s">
        <v>15607</v>
      </c>
      <c r="BE1664" s="6" t="str">
        <f t="shared" si="818"/>
        <v>=1.306*100000000</v>
      </c>
      <c r="BF1664" s="1">
        <f>1.306*100000000</f>
        <v>130600000</v>
      </c>
      <c r="BG1664" s="8">
        <f t="shared" si="804"/>
        <v>0.82122437595872266</v>
      </c>
      <c r="BH1664" s="7" t="s">
        <v>15608</v>
      </c>
      <c r="BI1664" s="6" t="str">
        <f t="shared" si="819"/>
        <v>=7171*10000</v>
      </c>
      <c r="BJ1664" s="1">
        <f>7171*10000</f>
        <v>71710000</v>
      </c>
      <c r="BK1664" s="7" t="s">
        <v>5707</v>
      </c>
      <c r="BL1664" s="1" t="str">
        <f t="shared" si="790"/>
        <v>=2146*10000</v>
      </c>
      <c r="BM1664" s="16">
        <f t="shared" si="805"/>
        <v>2.3415657036346693</v>
      </c>
      <c r="BN1664" s="1">
        <f>2146*10000</f>
        <v>21460000</v>
      </c>
    </row>
    <row r="1665" spans="1:66">
      <c r="A1665" s="19"/>
      <c r="B1665">
        <v>603180</v>
      </c>
      <c r="C1665" t="s">
        <v>68</v>
      </c>
      <c r="D1665" s="6" t="s">
        <v>3863</v>
      </c>
      <c r="E1665" s="7" t="str">
        <f t="shared" si="789"/>
        <v>=3.348*100000000</v>
      </c>
      <c r="F1665" s="1">
        <f>3.348*100000000</f>
        <v>334800000</v>
      </c>
      <c r="G1665" s="8">
        <f t="shared" si="791"/>
        <v>1.1502890173410405</v>
      </c>
      <c r="H1665" s="6" t="s">
        <v>4897</v>
      </c>
      <c r="I1665" s="6" t="str">
        <f t="shared" si="806"/>
        <v>=1.557*100000000</v>
      </c>
      <c r="J1665" s="1">
        <f>1.557*100000000</f>
        <v>155700000</v>
      </c>
      <c r="K1665" s="10">
        <f t="shared" si="792"/>
        <v>0.82041388986320585</v>
      </c>
      <c r="L1665" s="7" t="s">
        <v>15609</v>
      </c>
      <c r="M1665" s="6" t="str">
        <f t="shared" si="807"/>
        <v>=8553*10000</v>
      </c>
      <c r="N1665" s="1">
        <f>8553*10000</f>
        <v>85530000</v>
      </c>
      <c r="O1665" s="8">
        <f t="shared" si="793"/>
        <v>0.97164591977869985</v>
      </c>
      <c r="P1665" s="7" t="s">
        <v>15254</v>
      </c>
      <c r="Q1665" s="6" t="str">
        <f t="shared" si="808"/>
        <v>=4338*10000</v>
      </c>
      <c r="R1665" s="11">
        <f>4338*10000</f>
        <v>43380000</v>
      </c>
      <c r="S1665" s="8">
        <f t="shared" si="794"/>
        <v>-0.85113246396705555</v>
      </c>
      <c r="T1665" s="6" t="s">
        <v>15610</v>
      </c>
      <c r="U1665" s="6" t="str">
        <f t="shared" si="809"/>
        <v>=2.914*100000000</v>
      </c>
      <c r="V1665" s="1">
        <f>2.914*100000000</f>
        <v>291400000</v>
      </c>
      <c r="W1665" s="8">
        <f t="shared" si="795"/>
        <v>0.97025016903313044</v>
      </c>
      <c r="X1665" s="6" t="s">
        <v>1293</v>
      </c>
      <c r="Y1665" s="6" t="str">
        <f t="shared" si="810"/>
        <v>=1.479*100000000</v>
      </c>
      <c r="Z1665" s="1">
        <f>1.479*100000000</f>
        <v>147900000</v>
      </c>
      <c r="AA1665" s="8">
        <f t="shared" si="796"/>
        <v>1.423795476892822</v>
      </c>
      <c r="AB1665" s="7" t="s">
        <v>15611</v>
      </c>
      <c r="AC1665" s="6" t="str">
        <f t="shared" si="811"/>
        <v>=6102*10000</v>
      </c>
      <c r="AD1665" s="1">
        <f>6102*10000</f>
        <v>61020000</v>
      </c>
      <c r="AE1665" s="8">
        <f t="shared" si="797"/>
        <v>8.8562429332902592</v>
      </c>
      <c r="AF1665" s="7" t="s">
        <v>15612</v>
      </c>
      <c r="AG1665" s="6" t="str">
        <f t="shared" si="812"/>
        <v>=619.1*10000</v>
      </c>
      <c r="AH1665" s="1">
        <f>619.1*10000</f>
        <v>6191000</v>
      </c>
      <c r="AI1665" s="8">
        <f t="shared" si="798"/>
        <v>-0.97441735537190077</v>
      </c>
      <c r="AJ1665" s="6" t="s">
        <v>15613</v>
      </c>
      <c r="AK1665" s="6" t="str">
        <f t="shared" si="813"/>
        <v>=2.420*100000000</v>
      </c>
      <c r="AL1665" s="1">
        <f>2.42*100000000</f>
        <v>242000000</v>
      </c>
      <c r="AM1665" s="8">
        <f t="shared" si="799"/>
        <v>0.83750949126803342</v>
      </c>
      <c r="AN1665" s="6" t="s">
        <v>4310</v>
      </c>
      <c r="AO1665" s="6" t="str">
        <f t="shared" si="814"/>
        <v>=1.317*100000000</v>
      </c>
      <c r="AP1665" s="1">
        <f>1.317*100000000</f>
        <v>131700000</v>
      </c>
      <c r="AQ1665" s="8">
        <f t="shared" si="800"/>
        <v>0.89088298636037333</v>
      </c>
      <c r="AR1665" s="7" t="s">
        <v>15614</v>
      </c>
      <c r="AS1665" s="6" t="str">
        <f t="shared" si="815"/>
        <v>=6965*10000</v>
      </c>
      <c r="AT1665" s="1">
        <f>6965*10000</f>
        <v>69650000</v>
      </c>
      <c r="AU1665" s="8">
        <f t="shared" si="801"/>
        <v>2.6638611257233036</v>
      </c>
      <c r="AV1665" s="7" t="s">
        <v>15615</v>
      </c>
      <c r="AW1665" s="6" t="str">
        <f t="shared" si="816"/>
        <v>=1901*10000</v>
      </c>
      <c r="AX1665" s="1">
        <f>1901*10000</f>
        <v>19010000</v>
      </c>
      <c r="AY1665" s="10">
        <f t="shared" si="802"/>
        <v>-0.90951927653498332</v>
      </c>
      <c r="AZ1665" s="6" t="s">
        <v>15616</v>
      </c>
      <c r="BA1665" s="6" t="str">
        <f t="shared" si="817"/>
        <v>=2.101*100000000</v>
      </c>
      <c r="BB1665" s="1">
        <f>2.101*100000000</f>
        <v>210100000</v>
      </c>
      <c r="BC1665" s="8">
        <f t="shared" si="803"/>
        <v>0.76258389261744963</v>
      </c>
      <c r="BD1665" s="6" t="s">
        <v>2162</v>
      </c>
      <c r="BE1665" s="6" t="str">
        <f t="shared" si="818"/>
        <v>=1.192*100000000</v>
      </c>
      <c r="BF1665" s="1">
        <f>1.192*100000000</f>
        <v>119200000</v>
      </c>
      <c r="BG1665" s="8">
        <f t="shared" si="804"/>
        <v>0.94453507340946163</v>
      </c>
      <c r="BH1665" s="7" t="s">
        <v>15617</v>
      </c>
      <c r="BI1665" s="6" t="str">
        <f t="shared" si="819"/>
        <v>=6130*10000</v>
      </c>
      <c r="BJ1665" s="1">
        <f>6130*10000</f>
        <v>61300000</v>
      </c>
      <c r="BK1665" s="7" t="s">
        <v>15618</v>
      </c>
      <c r="BL1665" s="1" t="str">
        <f t="shared" si="790"/>
        <v>=1859*10000</v>
      </c>
      <c r="BM1665" s="16">
        <f t="shared" si="805"/>
        <v>2.2974717590102207</v>
      </c>
      <c r="BN1665" s="1">
        <f>1859*10000</f>
        <v>18590000</v>
      </c>
    </row>
    <row r="1666" spans="1:66">
      <c r="A1666" s="17">
        <v>418</v>
      </c>
      <c r="B1666">
        <v>603183</v>
      </c>
      <c r="C1666" t="s">
        <v>31</v>
      </c>
      <c r="D1666" s="6" t="s">
        <v>15619</v>
      </c>
      <c r="E1666" s="7" t="str">
        <f t="shared" ref="E1666:E1729" si="820">"="&amp;D1666</f>
        <v>=9.034*100000000</v>
      </c>
      <c r="F1666" s="1">
        <f>9.034*100000000</f>
        <v>903400000.00000012</v>
      </c>
      <c r="G1666" s="8">
        <f t="shared" si="791"/>
        <v>0.61696796133882248</v>
      </c>
      <c r="H1666" s="6" t="s">
        <v>11863</v>
      </c>
      <c r="I1666" s="6" t="str">
        <f t="shared" si="806"/>
        <v>=5.587*100000000</v>
      </c>
      <c r="J1666" s="1">
        <f>5.587*100000000</f>
        <v>558700000</v>
      </c>
      <c r="K1666" s="10">
        <f t="shared" si="792"/>
        <v>0.66180844735276623</v>
      </c>
      <c r="L1666" s="6" t="s">
        <v>5834</v>
      </c>
      <c r="M1666" s="6" t="str">
        <f t="shared" si="807"/>
        <v>=3.362*100000000</v>
      </c>
      <c r="N1666" s="1">
        <f>3.362*100000000</f>
        <v>336200000</v>
      </c>
      <c r="O1666" s="8">
        <f t="shared" si="793"/>
        <v>1.3945868945868947</v>
      </c>
      <c r="P1666" s="6" t="s">
        <v>5578</v>
      </c>
      <c r="Q1666" s="6" t="str">
        <f t="shared" si="808"/>
        <v>=1.404*100000000</v>
      </c>
      <c r="R1666" s="11">
        <f>1.404*100000000</f>
        <v>140400000</v>
      </c>
      <c r="S1666" s="8">
        <f t="shared" si="794"/>
        <v>-0.82135131696144548</v>
      </c>
      <c r="T1666" s="6" t="s">
        <v>15620</v>
      </c>
      <c r="U1666" s="6" t="str">
        <f t="shared" si="809"/>
        <v>=7.859*100000000</v>
      </c>
      <c r="V1666" s="1">
        <f>7.859*100000000</f>
        <v>785900000</v>
      </c>
      <c r="W1666" s="8">
        <f t="shared" si="795"/>
        <v>0.59282529387920546</v>
      </c>
      <c r="X1666" s="6" t="s">
        <v>5155</v>
      </c>
      <c r="Y1666" s="6" t="str">
        <f t="shared" si="810"/>
        <v>=4.934*100000000</v>
      </c>
      <c r="Z1666" s="1">
        <f>4.934*100000000</f>
        <v>493400000</v>
      </c>
      <c r="AA1666" s="8">
        <f t="shared" si="796"/>
        <v>0.7257782441413082</v>
      </c>
      <c r="AB1666" s="6" t="s">
        <v>15621</v>
      </c>
      <c r="AC1666" s="6" t="str">
        <f t="shared" si="811"/>
        <v>=2.859*100000000</v>
      </c>
      <c r="AD1666" s="1">
        <f>2.859*100000000</f>
        <v>285900000</v>
      </c>
      <c r="AE1666" s="8">
        <f t="shared" si="797"/>
        <v>1.6744621141253508</v>
      </c>
      <c r="AF1666" s="6" t="s">
        <v>4278</v>
      </c>
      <c r="AG1666" s="6" t="str">
        <f t="shared" si="812"/>
        <v>=1.069*100000000</v>
      </c>
      <c r="AH1666" s="1">
        <f>1.069*100000000</f>
        <v>106900000</v>
      </c>
      <c r="AI1666" s="8">
        <f t="shared" si="798"/>
        <v>-0.82515538109257447</v>
      </c>
      <c r="AJ1666" s="6" t="s">
        <v>6186</v>
      </c>
      <c r="AK1666" s="6" t="str">
        <f t="shared" si="813"/>
        <v>=6.114*100000000</v>
      </c>
      <c r="AL1666" s="1">
        <f>6.114*100000000</f>
        <v>611400000</v>
      </c>
      <c r="AM1666" s="8">
        <f t="shared" si="799"/>
        <v>0.54121502394756749</v>
      </c>
      <c r="AN1666" s="6" t="s">
        <v>15622</v>
      </c>
      <c r="AO1666" s="6" t="str">
        <f t="shared" si="814"/>
        <v>=3.967*100000000</v>
      </c>
      <c r="AP1666" s="1">
        <f>3.967*100000000</f>
        <v>396700000</v>
      </c>
      <c r="AQ1666" s="8">
        <f t="shared" si="800"/>
        <v>0.49811178247734139</v>
      </c>
      <c r="AR1666" s="6" t="s">
        <v>15623</v>
      </c>
      <c r="AS1666" s="6" t="str">
        <f t="shared" si="815"/>
        <v>=2.648*100000000</v>
      </c>
      <c r="AT1666" s="1">
        <f>2.648*100000000</f>
        <v>264800000</v>
      </c>
      <c r="AU1666" s="8">
        <f t="shared" si="801"/>
        <v>1.5783836416747812</v>
      </c>
      <c r="AV1666" s="6" t="s">
        <v>3884</v>
      </c>
      <c r="AW1666" s="6" t="str">
        <f t="shared" si="816"/>
        <v>=1.027*100000000</v>
      </c>
      <c r="AX1666" s="1">
        <f>1.027*100000000</f>
        <v>102699999.99999999</v>
      </c>
      <c r="AY1666" s="10">
        <f t="shared" si="802"/>
        <v>-0.79235746057420142</v>
      </c>
      <c r="AZ1666" s="6" t="s">
        <v>12503</v>
      </c>
      <c r="BA1666" s="6" t="str">
        <f t="shared" si="817"/>
        <v>=4.946*100000000</v>
      </c>
      <c r="BB1666" s="1">
        <f>4.946*100000000</f>
        <v>494600000</v>
      </c>
      <c r="BC1666" s="8">
        <f t="shared" si="803"/>
        <v>0.51069028711056808</v>
      </c>
      <c r="BD1666" s="6" t="s">
        <v>11697</v>
      </c>
      <c r="BE1666" s="6" t="str">
        <f t="shared" si="818"/>
        <v>=3.274*100000000</v>
      </c>
      <c r="BF1666" s="1">
        <f>3.274*100000000</f>
        <v>327400000</v>
      </c>
      <c r="BG1666" s="8">
        <f t="shared" si="804"/>
        <v>0.53205428170332236</v>
      </c>
      <c r="BH1666" s="6" t="s">
        <v>6902</v>
      </c>
      <c r="BI1666" s="6" t="str">
        <f t="shared" si="819"/>
        <v>=2.137*100000000</v>
      </c>
      <c r="BJ1666" s="1">
        <f>2.137*100000000</f>
        <v>213700000</v>
      </c>
      <c r="BK1666" s="7" t="s">
        <v>15624</v>
      </c>
      <c r="BL1666" s="1" t="str">
        <f t="shared" ref="BL1666:BL1729" si="821">"="&amp;BK1666</f>
        <v>=9402*10000</v>
      </c>
      <c r="BM1666" s="16">
        <f t="shared" si="805"/>
        <v>1.2729206551797489</v>
      </c>
      <c r="BN1666" s="1">
        <f>9402*10000</f>
        <v>94020000</v>
      </c>
    </row>
    <row r="1667" spans="1:66">
      <c r="A1667" s="18"/>
      <c r="B1667">
        <v>603183</v>
      </c>
      <c r="C1667" t="s">
        <v>48</v>
      </c>
      <c r="D1667" s="6" t="s">
        <v>1570</v>
      </c>
      <c r="E1667" s="7" t="str">
        <f t="shared" si="820"/>
        <v>=1.846*100000000</v>
      </c>
      <c r="F1667" s="1">
        <f>1.846*100000000</f>
        <v>184600000</v>
      </c>
      <c r="G1667" s="8">
        <f t="shared" ref="G1667:G1730" si="822">(F1667-J1667)/J1667</f>
        <v>1.3305138240121197</v>
      </c>
      <c r="H1667" s="7" t="s">
        <v>15625</v>
      </c>
      <c r="I1667" s="6" t="str">
        <f t="shared" si="806"/>
        <v>=7921*10000</v>
      </c>
      <c r="J1667" s="1">
        <f>7921*10000</f>
        <v>79210000</v>
      </c>
      <c r="K1667" s="10">
        <f t="shared" ref="K1667:K1730" si="823">(J1667-N1667)/N1667</f>
        <v>0.47340029761904762</v>
      </c>
      <c r="L1667" s="7" t="s">
        <v>15626</v>
      </c>
      <c r="M1667" s="6" t="str">
        <f t="shared" si="807"/>
        <v>=5376*10000</v>
      </c>
      <c r="N1667" s="1">
        <f>5376*10000</f>
        <v>53760000</v>
      </c>
      <c r="O1667" s="8">
        <f t="shared" ref="O1667:O1730" si="824">(N1667-R1667)/R1667</f>
        <v>4.0764872521246458</v>
      </c>
      <c r="P1667" s="7" t="s">
        <v>15627</v>
      </c>
      <c r="Q1667" s="6" t="str">
        <f t="shared" si="808"/>
        <v>=1059*10000</v>
      </c>
      <c r="R1667" s="11">
        <f>1059*10000</f>
        <v>10590000</v>
      </c>
      <c r="S1667" s="8">
        <f t="shared" ref="S1667:S1730" si="825">(R1667-V1667)/V1667</f>
        <v>-0.93215887251761687</v>
      </c>
      <c r="T1667" s="6" t="s">
        <v>14987</v>
      </c>
      <c r="U1667" s="6" t="str">
        <f t="shared" si="809"/>
        <v>=1.561*100000000</v>
      </c>
      <c r="V1667" s="1">
        <f>1.561*100000000</f>
        <v>156100000</v>
      </c>
      <c r="W1667" s="8">
        <f t="shared" ref="W1667:W1730" si="826">(V1667-Z1667)/Z1667</f>
        <v>1.3153366953426282</v>
      </c>
      <c r="X1667" s="7" t="s">
        <v>15628</v>
      </c>
      <c r="Y1667" s="6" t="str">
        <f t="shared" si="810"/>
        <v>=6742*10000</v>
      </c>
      <c r="Z1667" s="1">
        <f>6742*10000</f>
        <v>67420000</v>
      </c>
      <c r="AA1667" s="8">
        <f t="shared" ref="AA1667:AA1730" si="827">(Z1667-AD1667)/AD1667</f>
        <v>0.68381618381618381</v>
      </c>
      <c r="AB1667" s="7" t="s">
        <v>15416</v>
      </c>
      <c r="AC1667" s="6" t="str">
        <f t="shared" si="811"/>
        <v>=4004*10000</v>
      </c>
      <c r="AD1667" s="1">
        <f>4004*10000</f>
        <v>40040000</v>
      </c>
      <c r="AE1667" s="8">
        <f t="shared" ref="AE1667:AE1730" si="828">(AD1667-AH1667)/AH1667</f>
        <v>10.673469387755102</v>
      </c>
      <c r="AF1667" s="7" t="s">
        <v>15629</v>
      </c>
      <c r="AG1667" s="6" t="str">
        <f t="shared" si="812"/>
        <v>=343.0*10000</v>
      </c>
      <c r="AH1667" s="1">
        <f>343*10000</f>
        <v>3430000</v>
      </c>
      <c r="AI1667" s="8">
        <f t="shared" ref="AI1667:AI1730" si="829">(AH1667-AL1667)/AL1667</f>
        <v>-0.96401594628619391</v>
      </c>
      <c r="AJ1667" s="7" t="s">
        <v>15630</v>
      </c>
      <c r="AK1667" s="6" t="str">
        <f t="shared" si="813"/>
        <v>=9532*10000</v>
      </c>
      <c r="AL1667" s="1">
        <f>9532*10000</f>
        <v>95320000</v>
      </c>
      <c r="AM1667" s="8">
        <f t="shared" ref="AM1667:AM1730" si="830">(AL1667-AP1667)/AP1667</f>
        <v>1.1634135270086245</v>
      </c>
      <c r="AN1667" s="7" t="s">
        <v>15631</v>
      </c>
      <c r="AO1667" s="6" t="str">
        <f t="shared" si="814"/>
        <v>=4406*10000</v>
      </c>
      <c r="AP1667" s="1">
        <f>4406*10000</f>
        <v>44060000</v>
      </c>
      <c r="AQ1667" s="8">
        <f t="shared" ref="AQ1667:AQ1730" si="831">(AP1667-AT1667)/AT1667</f>
        <v>0.2211751662971175</v>
      </c>
      <c r="AR1667" s="7" t="s">
        <v>15632</v>
      </c>
      <c r="AS1667" s="6" t="str">
        <f t="shared" si="815"/>
        <v>=3608*10000</v>
      </c>
      <c r="AT1667" s="1">
        <f>3608*10000</f>
        <v>36080000</v>
      </c>
      <c r="AU1667" s="8">
        <f t="shared" ref="AU1667:AU1730" si="832">(AT1667-AX1667)/AX1667</f>
        <v>6.1037605827918879</v>
      </c>
      <c r="AV1667" s="7" t="s">
        <v>15633</v>
      </c>
      <c r="AW1667" s="6" t="str">
        <f t="shared" si="816"/>
        <v>=507.9*10000</v>
      </c>
      <c r="AX1667" s="1">
        <f>507.9*10000</f>
        <v>5079000</v>
      </c>
      <c r="AY1667" s="10">
        <f t="shared" ref="AY1667:AY1730" si="833">(AX1667-BB1667)/BB1667</f>
        <v>-0.93434591520165455</v>
      </c>
      <c r="AZ1667" s="7" t="s">
        <v>9691</v>
      </c>
      <c r="BA1667" s="6" t="str">
        <f t="shared" si="817"/>
        <v>=7736*10000</v>
      </c>
      <c r="BB1667" s="1">
        <f>7736*10000</f>
        <v>77360000</v>
      </c>
      <c r="BC1667" s="8">
        <f t="shared" ref="BC1667:BC1730" si="834">(BB1667-BF1667)/BF1667</f>
        <v>1.0240711669283098</v>
      </c>
      <c r="BD1667" s="7" t="s">
        <v>15634</v>
      </c>
      <c r="BE1667" s="6" t="str">
        <f t="shared" si="818"/>
        <v>=3822*10000</v>
      </c>
      <c r="BF1667" s="1">
        <f>3822*10000</f>
        <v>38220000</v>
      </c>
      <c r="BG1667" s="8">
        <f t="shared" ref="BG1667:BG1730" si="835">(BF1667-BJ1667)/BJ1667</f>
        <v>0.12643678160919541</v>
      </c>
      <c r="BH1667" s="7" t="s">
        <v>14976</v>
      </c>
      <c r="BI1667" s="6" t="str">
        <f t="shared" si="819"/>
        <v>=3393*10000</v>
      </c>
      <c r="BJ1667" s="1">
        <f>3393*10000</f>
        <v>33930000</v>
      </c>
      <c r="BK1667" s="7" t="s">
        <v>15635</v>
      </c>
      <c r="BL1667" s="1" t="str">
        <f t="shared" si="821"/>
        <v>=731.2*10000</v>
      </c>
      <c r="BM1667" s="16">
        <f t="shared" ref="BM1667:BM1730" si="836">(BJ1667-BN1667)/BN1667</f>
        <v>3.640317286652079</v>
      </c>
      <c r="BN1667" s="1">
        <f>731.2*10000</f>
        <v>7312000</v>
      </c>
    </row>
    <row r="1668" spans="1:66">
      <c r="A1668" s="18"/>
      <c r="B1668">
        <v>603183</v>
      </c>
      <c r="C1668" t="s">
        <v>58</v>
      </c>
      <c r="D1668" s="6" t="s">
        <v>5011</v>
      </c>
      <c r="E1668" s="7" t="str">
        <f t="shared" si="820"/>
        <v>=1.851*100000000</v>
      </c>
      <c r="F1668" s="1">
        <f>1.851*100000000</f>
        <v>185100000</v>
      </c>
      <c r="G1668" s="8">
        <f t="shared" si="822"/>
        <v>1.344521849271691</v>
      </c>
      <c r="H1668" s="7" t="s">
        <v>15636</v>
      </c>
      <c r="I1668" s="6" t="str">
        <f t="shared" si="806"/>
        <v>=7895*10000</v>
      </c>
      <c r="J1668" s="1">
        <f>7895*10000</f>
        <v>78950000</v>
      </c>
      <c r="K1668" s="10">
        <f t="shared" si="823"/>
        <v>0.4721238112996457</v>
      </c>
      <c r="L1668" s="7" t="s">
        <v>2479</v>
      </c>
      <c r="M1668" s="6" t="str">
        <f t="shared" si="807"/>
        <v>=5363*10000</v>
      </c>
      <c r="N1668" s="1">
        <f>5363*10000</f>
        <v>53630000</v>
      </c>
      <c r="O1668" s="8">
        <f t="shared" si="824"/>
        <v>4.0979087452471479</v>
      </c>
      <c r="P1668" s="7" t="s">
        <v>15637</v>
      </c>
      <c r="Q1668" s="6" t="str">
        <f t="shared" si="808"/>
        <v>=1052*10000</v>
      </c>
      <c r="R1668" s="11">
        <f>1052*10000</f>
        <v>10520000</v>
      </c>
      <c r="S1668" s="8">
        <f t="shared" si="825"/>
        <v>-0.93303628262253346</v>
      </c>
      <c r="T1668" s="6" t="s">
        <v>6998</v>
      </c>
      <c r="U1668" s="6" t="str">
        <f t="shared" si="809"/>
        <v>=1.571*100000000</v>
      </c>
      <c r="V1668" s="1">
        <f>1.571*100000000</f>
        <v>157100000</v>
      </c>
      <c r="W1668" s="8">
        <f t="shared" si="826"/>
        <v>1.3493345296844623</v>
      </c>
      <c r="X1668" s="7" t="s">
        <v>15638</v>
      </c>
      <c r="Y1668" s="6" t="str">
        <f t="shared" si="810"/>
        <v>=6687*10000</v>
      </c>
      <c r="Z1668" s="1">
        <f>6687*10000</f>
        <v>66870000</v>
      </c>
      <c r="AA1668" s="8">
        <f t="shared" si="827"/>
        <v>0.67804265997490587</v>
      </c>
      <c r="AB1668" s="7" t="s">
        <v>7249</v>
      </c>
      <c r="AC1668" s="6" t="str">
        <f t="shared" si="811"/>
        <v>=3985*10000</v>
      </c>
      <c r="AD1668" s="1">
        <f>3985*10000</f>
        <v>39850000</v>
      </c>
      <c r="AE1668" s="8">
        <f t="shared" si="828"/>
        <v>11.068443367655966</v>
      </c>
      <c r="AF1668" s="7" t="s">
        <v>15639</v>
      </c>
      <c r="AG1668" s="6" t="str">
        <f t="shared" si="812"/>
        <v>=330.2*10000</v>
      </c>
      <c r="AH1668" s="1">
        <f>330.2*10000</f>
        <v>3302000</v>
      </c>
      <c r="AI1668" s="8">
        <f t="shared" si="829"/>
        <v>-0.96536605831760014</v>
      </c>
      <c r="AJ1668" s="7" t="s">
        <v>15640</v>
      </c>
      <c r="AK1668" s="6" t="str">
        <f t="shared" si="813"/>
        <v>=9534*10000</v>
      </c>
      <c r="AL1668" s="1">
        <f>9534*10000</f>
        <v>95340000</v>
      </c>
      <c r="AM1668" s="8">
        <f t="shared" si="830"/>
        <v>1.1550632911392404</v>
      </c>
      <c r="AN1668" s="7" t="s">
        <v>15641</v>
      </c>
      <c r="AO1668" s="6" t="str">
        <f t="shared" si="814"/>
        <v>=4424*10000</v>
      </c>
      <c r="AP1668" s="1">
        <f>4424*10000</f>
        <v>44240000</v>
      </c>
      <c r="AQ1668" s="8">
        <f t="shared" si="831"/>
        <v>0.22718446601941747</v>
      </c>
      <c r="AR1668" s="7" t="s">
        <v>12168</v>
      </c>
      <c r="AS1668" s="6" t="str">
        <f t="shared" si="815"/>
        <v>=3605*10000</v>
      </c>
      <c r="AT1668" s="1">
        <f>3605*10000</f>
        <v>36050000</v>
      </c>
      <c r="AU1668" s="8">
        <f t="shared" si="832"/>
        <v>6.1301424050632916</v>
      </c>
      <c r="AV1668" s="7" t="s">
        <v>15642</v>
      </c>
      <c r="AW1668" s="6" t="str">
        <f t="shared" si="816"/>
        <v>=505.6*10000</v>
      </c>
      <c r="AX1668" s="1">
        <f>505.6*10000</f>
        <v>5056000</v>
      </c>
      <c r="AY1668" s="10">
        <f t="shared" si="833"/>
        <v>-0.93507960965588088</v>
      </c>
      <c r="AZ1668" s="7" t="s">
        <v>15643</v>
      </c>
      <c r="BA1668" s="6" t="str">
        <f t="shared" si="817"/>
        <v>=7788*10000</v>
      </c>
      <c r="BB1668" s="1">
        <f>7788*10000</f>
        <v>77880000</v>
      </c>
      <c r="BC1668" s="8">
        <f t="shared" si="834"/>
        <v>1.0046332046332047</v>
      </c>
      <c r="BD1668" s="7" t="s">
        <v>15644</v>
      </c>
      <c r="BE1668" s="6" t="str">
        <f t="shared" si="818"/>
        <v>=3885*10000</v>
      </c>
      <c r="BF1668" s="1">
        <f>3885*10000</f>
        <v>38850000</v>
      </c>
      <c r="BG1668" s="8">
        <f t="shared" si="835"/>
        <v>0.13199300699300701</v>
      </c>
      <c r="BH1668" s="7" t="s">
        <v>15645</v>
      </c>
      <c r="BI1668" s="6" t="str">
        <f t="shared" si="819"/>
        <v>=3432*10000</v>
      </c>
      <c r="BJ1668" s="1">
        <f>3432*10000</f>
        <v>34320000</v>
      </c>
      <c r="BK1668" s="7" t="s">
        <v>15646</v>
      </c>
      <c r="BL1668" s="1" t="str">
        <f t="shared" si="821"/>
        <v>=798.8*10000</v>
      </c>
      <c r="BM1668" s="16">
        <f t="shared" si="836"/>
        <v>3.2964446670005008</v>
      </c>
      <c r="BN1668" s="1">
        <f>798.8*10000</f>
        <v>7988000</v>
      </c>
    </row>
    <row r="1669" spans="1:66">
      <c r="A1669" s="19"/>
      <c r="B1669">
        <v>603183</v>
      </c>
      <c r="C1669" t="s">
        <v>68</v>
      </c>
      <c r="D1669" s="6" t="s">
        <v>3510</v>
      </c>
      <c r="E1669" s="7" t="str">
        <f t="shared" si="820"/>
        <v>=1.516*100000000</v>
      </c>
      <c r="F1669" s="1">
        <f>1.516*100000000</f>
        <v>151600000</v>
      </c>
      <c r="G1669" s="8">
        <f t="shared" si="822"/>
        <v>1.2807281480367083</v>
      </c>
      <c r="H1669" s="7" t="s">
        <v>15647</v>
      </c>
      <c r="I1669" s="6" t="str">
        <f t="shared" si="806"/>
        <v>=6647*10000</v>
      </c>
      <c r="J1669" s="1">
        <f>6647*10000</f>
        <v>66470000</v>
      </c>
      <c r="K1669" s="10">
        <f t="shared" si="823"/>
        <v>0.4984220018034265</v>
      </c>
      <c r="L1669" s="7" t="s">
        <v>13785</v>
      </c>
      <c r="M1669" s="6" t="str">
        <f t="shared" si="807"/>
        <v>=4436*10000</v>
      </c>
      <c r="N1669" s="1">
        <f>4436*10000</f>
        <v>44360000</v>
      </c>
      <c r="O1669" s="8">
        <f t="shared" si="824"/>
        <v>3.2409177820267687</v>
      </c>
      <c r="P1669" s="7" t="s">
        <v>14995</v>
      </c>
      <c r="Q1669" s="6" t="str">
        <f t="shared" si="808"/>
        <v>=1046*10000</v>
      </c>
      <c r="R1669" s="11">
        <f>1046*10000</f>
        <v>10460000</v>
      </c>
      <c r="S1669" s="8">
        <f t="shared" si="825"/>
        <v>-0.92087745839636914</v>
      </c>
      <c r="T1669" s="6" t="s">
        <v>5195</v>
      </c>
      <c r="U1669" s="6" t="str">
        <f t="shared" si="809"/>
        <v>=1.322*100000000</v>
      </c>
      <c r="V1669" s="1">
        <f>1.322*100000000</f>
        <v>132200000</v>
      </c>
      <c r="W1669" s="8">
        <f t="shared" si="826"/>
        <v>1.3854204258390472</v>
      </c>
      <c r="X1669" s="7" t="s">
        <v>15648</v>
      </c>
      <c r="Y1669" s="6" t="str">
        <f t="shared" si="810"/>
        <v>=5542*10000</v>
      </c>
      <c r="Z1669" s="1">
        <f>5542*10000</f>
        <v>55420000</v>
      </c>
      <c r="AA1669" s="8">
        <f t="shared" si="827"/>
        <v>0.67028330319469565</v>
      </c>
      <c r="AB1669" s="7" t="s">
        <v>15649</v>
      </c>
      <c r="AC1669" s="6" t="str">
        <f t="shared" si="811"/>
        <v>=3318*10000</v>
      </c>
      <c r="AD1669" s="1">
        <f>3318*10000</f>
        <v>33180000</v>
      </c>
      <c r="AE1669" s="8">
        <f t="shared" si="828"/>
        <v>6.1927162367223065</v>
      </c>
      <c r="AF1669" s="7" t="s">
        <v>15650</v>
      </c>
      <c r="AG1669" s="6" t="str">
        <f t="shared" si="812"/>
        <v>=461.3*10000</v>
      </c>
      <c r="AH1669" s="1">
        <f>461.3*10000</f>
        <v>4613000</v>
      </c>
      <c r="AI1669" s="8">
        <f t="shared" si="829"/>
        <v>-0.94472801341960222</v>
      </c>
      <c r="AJ1669" s="7" t="s">
        <v>15651</v>
      </c>
      <c r="AK1669" s="6" t="str">
        <f t="shared" si="813"/>
        <v>=8346*10000</v>
      </c>
      <c r="AL1669" s="1">
        <f>8346*10000</f>
        <v>83460000</v>
      </c>
      <c r="AM1669" s="8">
        <f t="shared" si="830"/>
        <v>1.2333422531442333</v>
      </c>
      <c r="AN1669" s="7" t="s">
        <v>15652</v>
      </c>
      <c r="AO1669" s="6" t="str">
        <f t="shared" si="814"/>
        <v>=3737*10000</v>
      </c>
      <c r="AP1669" s="1">
        <f>3737*10000</f>
        <v>37370000</v>
      </c>
      <c r="AQ1669" s="8">
        <f t="shared" si="831"/>
        <v>0.2877325982081323</v>
      </c>
      <c r="AR1669" s="7" t="s">
        <v>15653</v>
      </c>
      <c r="AS1669" s="6" t="str">
        <f t="shared" si="815"/>
        <v>=2902*10000</v>
      </c>
      <c r="AT1669" s="1">
        <f>2902*10000</f>
        <v>29020000</v>
      </c>
      <c r="AU1669" s="8">
        <f t="shared" si="832"/>
        <v>4.6980168859218532</v>
      </c>
      <c r="AV1669" s="7" t="s">
        <v>15654</v>
      </c>
      <c r="AW1669" s="6" t="str">
        <f t="shared" si="816"/>
        <v>=509.3*10000</v>
      </c>
      <c r="AX1669" s="1">
        <f>509.3*10000</f>
        <v>5093000</v>
      </c>
      <c r="AY1669" s="10">
        <f t="shared" si="833"/>
        <v>-0.91946552814674254</v>
      </c>
      <c r="AZ1669" s="7" t="s">
        <v>15655</v>
      </c>
      <c r="BA1669" s="6" t="str">
        <f t="shared" si="817"/>
        <v>=6324*10000</v>
      </c>
      <c r="BB1669" s="1">
        <f>6324*10000</f>
        <v>63240000</v>
      </c>
      <c r="BC1669" s="8">
        <f t="shared" si="834"/>
        <v>0.83890665891247451</v>
      </c>
      <c r="BD1669" s="7" t="s">
        <v>7750</v>
      </c>
      <c r="BE1669" s="6" t="str">
        <f t="shared" si="818"/>
        <v>=3439*10000</v>
      </c>
      <c r="BF1669" s="1">
        <f>3439*10000</f>
        <v>34390000</v>
      </c>
      <c r="BG1669" s="8">
        <f t="shared" si="835"/>
        <v>0.26806784660766964</v>
      </c>
      <c r="BH1669" s="7" t="s">
        <v>14779</v>
      </c>
      <c r="BI1669" s="6" t="str">
        <f t="shared" si="819"/>
        <v>=2712*10000</v>
      </c>
      <c r="BJ1669" s="1">
        <f>2712*10000</f>
        <v>27120000</v>
      </c>
      <c r="BK1669" s="7" t="s">
        <v>15656</v>
      </c>
      <c r="BL1669" s="1" t="str">
        <f t="shared" si="821"/>
        <v>=805.5*10000</v>
      </c>
      <c r="BM1669" s="16">
        <f t="shared" si="836"/>
        <v>2.366852886405959</v>
      </c>
      <c r="BN1669" s="1">
        <f>805.5*10000</f>
        <v>8055000</v>
      </c>
    </row>
    <row r="1670" spans="1:66">
      <c r="A1670" s="17">
        <v>419</v>
      </c>
      <c r="B1670">
        <v>603186</v>
      </c>
      <c r="C1670" t="s">
        <v>31</v>
      </c>
      <c r="D1670" s="6" t="s">
        <v>703</v>
      </c>
      <c r="E1670" s="7" t="str">
        <f t="shared" si="820"/>
        <v>=36.20*100000000</v>
      </c>
      <c r="F1670" s="1">
        <f>36.2*100000000</f>
        <v>3620000000.0000005</v>
      </c>
      <c r="G1670" s="8">
        <f t="shared" si="822"/>
        <v>0.35125046659201214</v>
      </c>
      <c r="H1670" s="6" t="s">
        <v>12461</v>
      </c>
      <c r="I1670" s="6" t="str">
        <f t="shared" si="806"/>
        <v>=26.79*100000000</v>
      </c>
      <c r="J1670" s="1">
        <f>26.79*100000000</f>
        <v>2679000000</v>
      </c>
      <c r="K1670" s="10">
        <f t="shared" si="823"/>
        <v>0.56758338209479231</v>
      </c>
      <c r="L1670" s="6" t="s">
        <v>14250</v>
      </c>
      <c r="M1670" s="6" t="str">
        <f t="shared" si="807"/>
        <v>=17.09*100000000</v>
      </c>
      <c r="N1670" s="1">
        <f>17.09*100000000</f>
        <v>1709000000</v>
      </c>
      <c r="O1670" s="8">
        <f t="shared" si="824"/>
        <v>1.2206340956340955</v>
      </c>
      <c r="P1670" s="6" t="s">
        <v>15657</v>
      </c>
      <c r="Q1670" s="6" t="str">
        <f t="shared" si="808"/>
        <v>=7.696*100000000</v>
      </c>
      <c r="R1670" s="11">
        <f>7.696*100000000</f>
        <v>769600000</v>
      </c>
      <c r="S1670" s="8">
        <f t="shared" si="825"/>
        <v>-0.66304728546409808</v>
      </c>
      <c r="T1670" s="6" t="s">
        <v>4773</v>
      </c>
      <c r="U1670" s="6" t="str">
        <f t="shared" si="809"/>
        <v>=22.84*100000000</v>
      </c>
      <c r="V1670" s="1">
        <f>22.84*100000000</f>
        <v>2284000000</v>
      </c>
      <c r="W1670" s="8">
        <f t="shared" si="826"/>
        <v>0.46035805626598464</v>
      </c>
      <c r="X1670" s="6" t="s">
        <v>2424</v>
      </c>
      <c r="Y1670" s="6" t="str">
        <f t="shared" si="810"/>
        <v>=15.64*100000000</v>
      </c>
      <c r="Z1670" s="1">
        <f>15.64*100000000</f>
        <v>1564000000</v>
      </c>
      <c r="AA1670" s="8">
        <f t="shared" si="827"/>
        <v>0.65048543689320371</v>
      </c>
      <c r="AB1670" s="6" t="s">
        <v>4090</v>
      </c>
      <c r="AC1670" s="6" t="str">
        <f t="shared" si="811"/>
        <v>=9.476*100000000</v>
      </c>
      <c r="AD1670" s="1">
        <f>9.476*100000000</f>
        <v>947600000.00000012</v>
      </c>
      <c r="AE1670" s="8">
        <f t="shared" si="828"/>
        <v>1.3011170471102476</v>
      </c>
      <c r="AF1670" s="6" t="s">
        <v>8047</v>
      </c>
      <c r="AG1670" s="6" t="str">
        <f t="shared" si="812"/>
        <v>=4.118*100000000</v>
      </c>
      <c r="AH1670" s="1">
        <f>4.118*100000000</f>
        <v>411800000.00000006</v>
      </c>
      <c r="AI1670" s="8">
        <f t="shared" si="829"/>
        <v>-0.79674234945705824</v>
      </c>
      <c r="AJ1670" s="6" t="s">
        <v>5672</v>
      </c>
      <c r="AK1670" s="6" t="str">
        <f t="shared" si="813"/>
        <v>=20.26*100000000</v>
      </c>
      <c r="AL1670" s="1">
        <f>20.26*100000000</f>
        <v>2026000000.0000002</v>
      </c>
      <c r="AM1670" s="8">
        <f t="shared" si="830"/>
        <v>0.36064472800537289</v>
      </c>
      <c r="AN1670" s="6" t="s">
        <v>4273</v>
      </c>
      <c r="AO1670" s="6" t="str">
        <f t="shared" si="814"/>
        <v>=14.89*100000000</v>
      </c>
      <c r="AP1670" s="1">
        <f>14.89*100000000</f>
        <v>1489000000</v>
      </c>
      <c r="AQ1670" s="8">
        <f t="shared" si="831"/>
        <v>0.57283194253723457</v>
      </c>
      <c r="AR1670" s="6" t="s">
        <v>15658</v>
      </c>
      <c r="AS1670" s="6" t="str">
        <f t="shared" si="815"/>
        <v>=9.467*100000000</v>
      </c>
      <c r="AT1670" s="1">
        <f>9.467*100000000</f>
        <v>946700000</v>
      </c>
      <c r="AU1670" s="8">
        <f t="shared" si="832"/>
        <v>1.1418552036199094</v>
      </c>
      <c r="AV1670" s="6" t="s">
        <v>15659</v>
      </c>
      <c r="AW1670" s="6" t="str">
        <f t="shared" si="816"/>
        <v>=4.420*100000000</v>
      </c>
      <c r="AX1670" s="1">
        <f>4.42*100000000</f>
        <v>442000000</v>
      </c>
      <c r="AY1670" s="10">
        <f t="shared" si="833"/>
        <v>-0.74212368728121358</v>
      </c>
      <c r="AZ1670" s="6" t="s">
        <v>5990</v>
      </c>
      <c r="BA1670" s="6" t="str">
        <f t="shared" si="817"/>
        <v>=17.14*100000000</v>
      </c>
      <c r="BB1670" s="1">
        <f>17.14*100000000</f>
        <v>1714000000</v>
      </c>
      <c r="BC1670" s="8">
        <f t="shared" si="834"/>
        <v>0.39010543390105434</v>
      </c>
      <c r="BD1670" s="6" t="s">
        <v>2749</v>
      </c>
      <c r="BE1670" s="6" t="str">
        <f t="shared" si="818"/>
        <v>=12.33*100000000</v>
      </c>
      <c r="BF1670" s="1">
        <f>12.33*100000000</f>
        <v>1233000000</v>
      </c>
      <c r="BG1670" s="8">
        <f t="shared" si="835"/>
        <v>0.60358954350370664</v>
      </c>
      <c r="BH1670" s="6" t="s">
        <v>15660</v>
      </c>
      <c r="BI1670" s="6" t="str">
        <f t="shared" si="819"/>
        <v>=7.689*100000000</v>
      </c>
      <c r="BJ1670" s="1">
        <f>7.689*100000000</f>
        <v>768900000</v>
      </c>
      <c r="BK1670" s="6" t="s">
        <v>3033</v>
      </c>
      <c r="BL1670" s="1" t="str">
        <f t="shared" si="821"/>
        <v>=3.690*100000000</v>
      </c>
      <c r="BM1670" s="16">
        <f t="shared" si="836"/>
        <v>1.083739837398374</v>
      </c>
      <c r="BN1670" s="1">
        <f>3.69*100000000</f>
        <v>369000000</v>
      </c>
    </row>
    <row r="1671" spans="1:66">
      <c r="A1671" s="18"/>
      <c r="B1671">
        <v>603186</v>
      </c>
      <c r="C1671" t="s">
        <v>48</v>
      </c>
      <c r="D1671" s="6" t="s">
        <v>10404</v>
      </c>
      <c r="E1671" s="7" t="str">
        <f t="shared" si="820"/>
        <v>=2.626*100000000</v>
      </c>
      <c r="F1671" s="1">
        <f>2.626*100000000</f>
        <v>262600000</v>
      </c>
      <c r="G1671" s="8">
        <f t="shared" si="822"/>
        <v>7.7996715927750412E-2</v>
      </c>
      <c r="H1671" s="6" t="s">
        <v>15661</v>
      </c>
      <c r="I1671" s="6" t="str">
        <f t="shared" si="806"/>
        <v>=2.436*100000000</v>
      </c>
      <c r="J1671" s="1">
        <f>2.436*100000000</f>
        <v>243600000</v>
      </c>
      <c r="K1671" s="10">
        <f t="shared" si="823"/>
        <v>0.7807017543859649</v>
      </c>
      <c r="L1671" s="6" t="s">
        <v>8130</v>
      </c>
      <c r="M1671" s="6" t="str">
        <f t="shared" si="807"/>
        <v>=1.368*100000000</v>
      </c>
      <c r="N1671" s="1">
        <f>1.368*100000000</f>
        <v>136800000</v>
      </c>
      <c r="O1671" s="8">
        <f t="shared" si="824"/>
        <v>0.90396659707724425</v>
      </c>
      <c r="P1671" s="7" t="s">
        <v>15662</v>
      </c>
      <c r="Q1671" s="6" t="str">
        <f t="shared" si="808"/>
        <v>=7185*10000</v>
      </c>
      <c r="R1671" s="11">
        <f>7185*10000</f>
        <v>71850000</v>
      </c>
      <c r="S1671" s="8">
        <f t="shared" si="825"/>
        <v>-0.48160173160173159</v>
      </c>
      <c r="T1671" s="6" t="s">
        <v>15663</v>
      </c>
      <c r="U1671" s="6" t="str">
        <f t="shared" si="809"/>
        <v>=1.386*100000000</v>
      </c>
      <c r="V1671" s="1">
        <f>1.386*100000000</f>
        <v>138600000</v>
      </c>
      <c r="W1671" s="8">
        <f t="shared" si="826"/>
        <v>0.32758620689655171</v>
      </c>
      <c r="X1671" s="6" t="s">
        <v>10411</v>
      </c>
      <c r="Y1671" s="6" t="str">
        <f t="shared" si="810"/>
        <v>=1.044*100000000</v>
      </c>
      <c r="Z1671" s="1">
        <f>1.044*100000000</f>
        <v>104400000</v>
      </c>
      <c r="AA1671" s="8">
        <f t="shared" si="827"/>
        <v>0.64383561643835618</v>
      </c>
      <c r="AB1671" s="7" t="s">
        <v>2231</v>
      </c>
      <c r="AC1671" s="6" t="str">
        <f t="shared" si="811"/>
        <v>=6351*10000</v>
      </c>
      <c r="AD1671" s="1">
        <f>6351*10000</f>
        <v>63510000</v>
      </c>
      <c r="AE1671" s="8">
        <f t="shared" si="828"/>
        <v>2.3233908948194664</v>
      </c>
      <c r="AF1671" s="7" t="s">
        <v>9678</v>
      </c>
      <c r="AG1671" s="6" t="str">
        <f t="shared" si="812"/>
        <v>=1911*10000</v>
      </c>
      <c r="AH1671" s="1">
        <f>1911*10000</f>
        <v>19110000</v>
      </c>
      <c r="AI1671" s="8">
        <f t="shared" si="829"/>
        <v>-0.81954674220963175</v>
      </c>
      <c r="AJ1671" s="6" t="s">
        <v>4908</v>
      </c>
      <c r="AK1671" s="6" t="str">
        <f t="shared" si="813"/>
        <v>=1.059*100000000</v>
      </c>
      <c r="AL1671" s="1">
        <f>1.059*100000000</f>
        <v>105900000</v>
      </c>
      <c r="AM1671" s="8">
        <f t="shared" si="830"/>
        <v>0.292724609375</v>
      </c>
      <c r="AN1671" s="7" t="s">
        <v>15664</v>
      </c>
      <c r="AO1671" s="6" t="str">
        <f t="shared" si="814"/>
        <v>=8192*10000</v>
      </c>
      <c r="AP1671" s="1">
        <f>8192*10000</f>
        <v>81920000</v>
      </c>
      <c r="AQ1671" s="8">
        <f t="shared" si="831"/>
        <v>0.7199244173840017</v>
      </c>
      <c r="AR1671" s="7" t="s">
        <v>15665</v>
      </c>
      <c r="AS1671" s="6" t="str">
        <f t="shared" si="815"/>
        <v>=4763*10000</v>
      </c>
      <c r="AT1671" s="1">
        <f>4763*10000</f>
        <v>47630000</v>
      </c>
      <c r="AU1671" s="8">
        <f t="shared" si="832"/>
        <v>2.1668882978723403</v>
      </c>
      <c r="AV1671" s="7" t="s">
        <v>15666</v>
      </c>
      <c r="AW1671" s="6" t="str">
        <f t="shared" si="816"/>
        <v>=1504*10000</v>
      </c>
      <c r="AX1671" s="1">
        <f>1504*10000</f>
        <v>15040000</v>
      </c>
      <c r="AY1671" s="10">
        <f t="shared" si="833"/>
        <v>-0.76999541214252942</v>
      </c>
      <c r="AZ1671" s="7" t="s">
        <v>15667</v>
      </c>
      <c r="BA1671" s="6" t="str">
        <f t="shared" si="817"/>
        <v>=6539*10000</v>
      </c>
      <c r="BB1671" s="1">
        <f>6539*10000</f>
        <v>65390000</v>
      </c>
      <c r="BC1671" s="8">
        <f t="shared" si="834"/>
        <v>7.9042904290429039E-2</v>
      </c>
      <c r="BD1671" s="7" t="s">
        <v>15668</v>
      </c>
      <c r="BE1671" s="6" t="str">
        <f t="shared" si="818"/>
        <v>=6060*10000</v>
      </c>
      <c r="BF1671" s="1">
        <f>6060*10000</f>
        <v>60600000</v>
      </c>
      <c r="BG1671" s="8">
        <f t="shared" si="835"/>
        <v>0.74238067855089129</v>
      </c>
      <c r="BH1671" s="7" t="s">
        <v>15669</v>
      </c>
      <c r="BI1671" s="6" t="str">
        <f t="shared" si="819"/>
        <v>=3478*10000</v>
      </c>
      <c r="BJ1671" s="1">
        <f>3478*10000</f>
        <v>34780000</v>
      </c>
      <c r="BK1671" s="7" t="s">
        <v>15670</v>
      </c>
      <c r="BL1671" s="1" t="str">
        <f t="shared" si="821"/>
        <v>=1250*10000</v>
      </c>
      <c r="BM1671" s="16">
        <f t="shared" si="836"/>
        <v>1.7824</v>
      </c>
      <c r="BN1671" s="1">
        <f>1250*10000</f>
        <v>12500000</v>
      </c>
    </row>
    <row r="1672" spans="1:66">
      <c r="A1672" s="18"/>
      <c r="B1672">
        <v>603186</v>
      </c>
      <c r="C1672" t="s">
        <v>58</v>
      </c>
      <c r="D1672" s="6" t="s">
        <v>6344</v>
      </c>
      <c r="E1672" s="7" t="str">
        <f t="shared" si="820"/>
        <v>=2.614*100000000</v>
      </c>
      <c r="F1672" s="1">
        <f>2.614*100000000</f>
        <v>261400000</v>
      </c>
      <c r="G1672" s="8">
        <f t="shared" si="822"/>
        <v>7.9273327828240994E-2</v>
      </c>
      <c r="H1672" s="6" t="s">
        <v>15671</v>
      </c>
      <c r="I1672" s="6" t="str">
        <f t="shared" si="806"/>
        <v>=2.422*100000000</v>
      </c>
      <c r="J1672" s="1">
        <f>2.422*100000000</f>
        <v>242200000.00000003</v>
      </c>
      <c r="K1672" s="10">
        <f t="shared" si="823"/>
        <v>0.77696258253851824</v>
      </c>
      <c r="L1672" s="6" t="s">
        <v>6885</v>
      </c>
      <c r="M1672" s="6" t="str">
        <f t="shared" si="807"/>
        <v>=1.363*100000000</v>
      </c>
      <c r="N1672" s="1">
        <f>1.363*100000000</f>
        <v>136300000</v>
      </c>
      <c r="O1672" s="8">
        <f t="shared" si="824"/>
        <v>0.89991636465012548</v>
      </c>
      <c r="P1672" s="7" t="s">
        <v>15672</v>
      </c>
      <c r="Q1672" s="6" t="str">
        <f t="shared" si="808"/>
        <v>=7174*10000</v>
      </c>
      <c r="R1672" s="11">
        <f>7174*10000</f>
        <v>71740000</v>
      </c>
      <c r="S1672" s="8">
        <f t="shared" si="825"/>
        <v>-0.47288758265980896</v>
      </c>
      <c r="T1672" s="6" t="s">
        <v>10949</v>
      </c>
      <c r="U1672" s="6" t="str">
        <f t="shared" si="809"/>
        <v>=1.361*100000000</v>
      </c>
      <c r="V1672" s="1">
        <f>1.361*100000000</f>
        <v>136100000</v>
      </c>
      <c r="W1672" s="8">
        <f t="shared" si="826"/>
        <v>0.31624758220502902</v>
      </c>
      <c r="X1672" s="6" t="s">
        <v>2179</v>
      </c>
      <c r="Y1672" s="6" t="str">
        <f t="shared" si="810"/>
        <v>=1.034*100000000</v>
      </c>
      <c r="Z1672" s="1">
        <f>1.034*100000000</f>
        <v>103400000</v>
      </c>
      <c r="AA1672" s="8">
        <f t="shared" si="827"/>
        <v>0.64991223871070691</v>
      </c>
      <c r="AB1672" s="7" t="s">
        <v>15673</v>
      </c>
      <c r="AC1672" s="6" t="str">
        <f t="shared" si="811"/>
        <v>=6267*10000</v>
      </c>
      <c r="AD1672" s="1">
        <f>6267*10000</f>
        <v>62670000</v>
      </c>
      <c r="AE1672" s="8">
        <f t="shared" si="828"/>
        <v>2.6246385193753614</v>
      </c>
      <c r="AF1672" s="7" t="s">
        <v>15674</v>
      </c>
      <c r="AG1672" s="6" t="str">
        <f t="shared" si="812"/>
        <v>=1729*10000</v>
      </c>
      <c r="AH1672" s="1">
        <f>1729*10000</f>
        <v>17290000</v>
      </c>
      <c r="AI1672" s="8">
        <f t="shared" si="829"/>
        <v>-0.8359582542694497</v>
      </c>
      <c r="AJ1672" s="6" t="s">
        <v>4444</v>
      </c>
      <c r="AK1672" s="6" t="str">
        <f t="shared" si="813"/>
        <v>=1.054*100000000</v>
      </c>
      <c r="AL1672" s="1">
        <f>1.054*100000000</f>
        <v>105400000</v>
      </c>
      <c r="AM1672" s="8">
        <f t="shared" si="830"/>
        <v>0.29898940103524774</v>
      </c>
      <c r="AN1672" s="7" t="s">
        <v>15675</v>
      </c>
      <c r="AO1672" s="6" t="str">
        <f t="shared" si="814"/>
        <v>=8114*10000</v>
      </c>
      <c r="AP1672" s="1">
        <f>8114*10000</f>
        <v>81140000</v>
      </c>
      <c r="AQ1672" s="8">
        <f t="shared" si="831"/>
        <v>0.72089077412513258</v>
      </c>
      <c r="AR1672" s="7" t="s">
        <v>1707</v>
      </c>
      <c r="AS1672" s="6" t="str">
        <f t="shared" si="815"/>
        <v>=4715*10000</v>
      </c>
      <c r="AT1672" s="1">
        <f>4715*10000</f>
        <v>47150000</v>
      </c>
      <c r="AU1672" s="8">
        <f t="shared" si="832"/>
        <v>2.185810810810811</v>
      </c>
      <c r="AV1672" s="7" t="s">
        <v>15676</v>
      </c>
      <c r="AW1672" s="6" t="str">
        <f t="shared" si="816"/>
        <v>=1480*10000</v>
      </c>
      <c r="AX1672" s="1">
        <f>1480*10000</f>
        <v>14800000</v>
      </c>
      <c r="AY1672" s="10">
        <f t="shared" si="833"/>
        <v>-0.7934115019542155</v>
      </c>
      <c r="AZ1672" s="7" t="s">
        <v>15677</v>
      </c>
      <c r="BA1672" s="6" t="str">
        <f t="shared" si="817"/>
        <v>=7164*10000</v>
      </c>
      <c r="BB1672" s="1">
        <f>7164*10000</f>
        <v>71640000</v>
      </c>
      <c r="BC1672" s="8">
        <f t="shared" si="834"/>
        <v>0.18120362737015663</v>
      </c>
      <c r="BD1672" s="7" t="s">
        <v>12019</v>
      </c>
      <c r="BE1672" s="6" t="str">
        <f t="shared" si="818"/>
        <v>=6065*10000</v>
      </c>
      <c r="BF1672" s="1">
        <f>6065*10000</f>
        <v>60650000</v>
      </c>
      <c r="BG1672" s="8">
        <f t="shared" si="835"/>
        <v>0.74281609195402298</v>
      </c>
      <c r="BH1672" s="7" t="s">
        <v>5938</v>
      </c>
      <c r="BI1672" s="6" t="str">
        <f t="shared" si="819"/>
        <v>=3480*10000</v>
      </c>
      <c r="BJ1672" s="1">
        <f>3480*10000</f>
        <v>34800000</v>
      </c>
      <c r="BK1672" s="7" t="s">
        <v>13780</v>
      </c>
      <c r="BL1672" s="1" t="str">
        <f t="shared" si="821"/>
        <v>=1244*10000</v>
      </c>
      <c r="BM1672" s="16">
        <f t="shared" si="836"/>
        <v>1.797427652733119</v>
      </c>
      <c r="BN1672" s="1">
        <f>1244*10000</f>
        <v>12440000</v>
      </c>
    </row>
    <row r="1673" spans="1:66">
      <c r="A1673" s="19"/>
      <c r="B1673">
        <v>603186</v>
      </c>
      <c r="C1673" t="s">
        <v>68</v>
      </c>
      <c r="D1673" s="6" t="s">
        <v>2570</v>
      </c>
      <c r="E1673" s="7" t="str">
        <f t="shared" si="820"/>
        <v>=2.402*100000000</v>
      </c>
      <c r="F1673" s="1">
        <f>2.402*100000000</f>
        <v>240200000</v>
      </c>
      <c r="G1673" s="8">
        <f t="shared" si="822"/>
        <v>0.10082493125572869</v>
      </c>
      <c r="H1673" s="6" t="s">
        <v>6096</v>
      </c>
      <c r="I1673" s="6" t="str">
        <f t="shared" si="806"/>
        <v>=2.182*100000000</v>
      </c>
      <c r="J1673" s="1">
        <f>2.182*100000000</f>
        <v>218200000</v>
      </c>
      <c r="K1673" s="10">
        <f t="shared" si="823"/>
        <v>0.7826797385620915</v>
      </c>
      <c r="L1673" s="6" t="s">
        <v>11458</v>
      </c>
      <c r="M1673" s="6" t="str">
        <f t="shared" si="807"/>
        <v>=1.224*100000000</v>
      </c>
      <c r="N1673" s="1">
        <f>1.224*100000000</f>
        <v>122400000</v>
      </c>
      <c r="O1673" s="8">
        <f t="shared" si="824"/>
        <v>0.92331866750471403</v>
      </c>
      <c r="P1673" s="7" t="s">
        <v>15678</v>
      </c>
      <c r="Q1673" s="6" t="str">
        <f t="shared" si="808"/>
        <v>=6364*10000</v>
      </c>
      <c r="R1673" s="11">
        <f>6364*10000</f>
        <v>63640000</v>
      </c>
      <c r="S1673" s="8">
        <f t="shared" si="825"/>
        <v>-0.49492063492063493</v>
      </c>
      <c r="T1673" s="6" t="s">
        <v>6386</v>
      </c>
      <c r="U1673" s="6" t="str">
        <f t="shared" si="809"/>
        <v>=1.260*100000000</v>
      </c>
      <c r="V1673" s="1">
        <f>1.26*100000000</f>
        <v>126000000</v>
      </c>
      <c r="W1673" s="8">
        <f t="shared" si="826"/>
        <v>0.33914337336592626</v>
      </c>
      <c r="X1673" s="7" t="s">
        <v>15679</v>
      </c>
      <c r="Y1673" s="6" t="str">
        <f t="shared" si="810"/>
        <v>=9409*10000</v>
      </c>
      <c r="Z1673" s="1">
        <f>9409*10000</f>
        <v>94090000</v>
      </c>
      <c r="AA1673" s="8">
        <f t="shared" si="827"/>
        <v>0.5942053541172484</v>
      </c>
      <c r="AB1673" s="7" t="s">
        <v>15680</v>
      </c>
      <c r="AC1673" s="6" t="str">
        <f t="shared" si="811"/>
        <v>=5902*10000</v>
      </c>
      <c r="AD1673" s="1">
        <f>5902*10000</f>
        <v>59020000</v>
      </c>
      <c r="AE1673" s="8">
        <f t="shared" si="828"/>
        <v>2.3045912653975362</v>
      </c>
      <c r="AF1673" s="7" t="s">
        <v>15681</v>
      </c>
      <c r="AG1673" s="6" t="str">
        <f t="shared" si="812"/>
        <v>=1786*10000</v>
      </c>
      <c r="AH1673" s="1">
        <f>1786*10000</f>
        <v>17860000</v>
      </c>
      <c r="AI1673" s="8">
        <f t="shared" si="829"/>
        <v>-0.82575609756097557</v>
      </c>
      <c r="AJ1673" s="6" t="s">
        <v>11156</v>
      </c>
      <c r="AK1673" s="6" t="str">
        <f t="shared" si="813"/>
        <v>=1.025*100000000</v>
      </c>
      <c r="AL1673" s="1">
        <f>1.025*100000000</f>
        <v>102499999.99999999</v>
      </c>
      <c r="AM1673" s="8">
        <f t="shared" si="830"/>
        <v>0.30407124681933823</v>
      </c>
      <c r="AN1673" s="7" t="s">
        <v>15682</v>
      </c>
      <c r="AO1673" s="6" t="str">
        <f t="shared" si="814"/>
        <v>=7860*10000</v>
      </c>
      <c r="AP1673" s="1">
        <f>7860*10000</f>
        <v>78600000</v>
      </c>
      <c r="AQ1673" s="8">
        <f t="shared" si="831"/>
        <v>0.72709294660514168</v>
      </c>
      <c r="AR1673" s="7" t="s">
        <v>15683</v>
      </c>
      <c r="AS1673" s="6" t="str">
        <f t="shared" si="815"/>
        <v>=4551*10000</v>
      </c>
      <c r="AT1673" s="1">
        <f>4551*10000</f>
        <v>45510000</v>
      </c>
      <c r="AU1673" s="8">
        <f t="shared" si="832"/>
        <v>2.0079312623925976</v>
      </c>
      <c r="AV1673" s="7" t="s">
        <v>11016</v>
      </c>
      <c r="AW1673" s="6" t="str">
        <f t="shared" si="816"/>
        <v>=1513*10000</v>
      </c>
      <c r="AX1673" s="1">
        <f>1513*10000</f>
        <v>15130000</v>
      </c>
      <c r="AY1673" s="10">
        <f t="shared" si="833"/>
        <v>-0.79199890019246633</v>
      </c>
      <c r="AZ1673" s="7" t="s">
        <v>15684</v>
      </c>
      <c r="BA1673" s="6" t="str">
        <f t="shared" si="817"/>
        <v>=7274*10000</v>
      </c>
      <c r="BB1673" s="1">
        <f>7274*10000</f>
        <v>72740000</v>
      </c>
      <c r="BC1673" s="8">
        <f t="shared" si="834"/>
        <v>0.25847750865051905</v>
      </c>
      <c r="BD1673" s="7" t="s">
        <v>15176</v>
      </c>
      <c r="BE1673" s="6" t="str">
        <f t="shared" si="818"/>
        <v>=5780*10000</v>
      </c>
      <c r="BF1673" s="1">
        <f>5780*10000</f>
        <v>57800000</v>
      </c>
      <c r="BG1673" s="8">
        <f t="shared" si="835"/>
        <v>0.84960000000000002</v>
      </c>
      <c r="BH1673" s="7" t="s">
        <v>15685</v>
      </c>
      <c r="BI1673" s="6" t="str">
        <f t="shared" si="819"/>
        <v>=3125*10000</v>
      </c>
      <c r="BJ1673" s="1">
        <f>3125*10000</f>
        <v>31250000</v>
      </c>
      <c r="BK1673" s="7" t="s">
        <v>8738</v>
      </c>
      <c r="BL1673" s="1" t="str">
        <f t="shared" si="821"/>
        <v>=1139*10000</v>
      </c>
      <c r="BM1673" s="16">
        <f t="shared" si="836"/>
        <v>1.7436347673397716</v>
      </c>
      <c r="BN1673" s="1">
        <f>1139*10000</f>
        <v>11390000</v>
      </c>
    </row>
    <row r="1674" spans="1:66">
      <c r="A1674" s="17">
        <v>420</v>
      </c>
      <c r="B1674">
        <v>603199</v>
      </c>
      <c r="C1674" t="s">
        <v>31</v>
      </c>
      <c r="D1674" s="6" t="s">
        <v>15686</v>
      </c>
      <c r="E1674" s="7" t="str">
        <f t="shared" si="820"/>
        <v>=4.257*100000000</v>
      </c>
      <c r="F1674" s="1">
        <f>4.257*100000000</f>
        <v>425699999.99999994</v>
      </c>
      <c r="G1674" s="8">
        <f t="shared" si="822"/>
        <v>0.30662983425414347</v>
      </c>
      <c r="H1674" s="6" t="s">
        <v>10299</v>
      </c>
      <c r="I1674" s="6" t="str">
        <f t="shared" si="806"/>
        <v>=3.258*100000000</v>
      </c>
      <c r="J1674" s="1">
        <f>3.258*100000000</f>
        <v>325800000</v>
      </c>
      <c r="K1674" s="10">
        <f t="shared" si="823"/>
        <v>0.31318016928657799</v>
      </c>
      <c r="L1674" s="6" t="s">
        <v>15687</v>
      </c>
      <c r="M1674" s="6" t="str">
        <f t="shared" si="807"/>
        <v>=2.481*100000000</v>
      </c>
      <c r="N1674" s="1">
        <f>2.481*100000000</f>
        <v>248100000</v>
      </c>
      <c r="O1674" s="8">
        <f t="shared" si="824"/>
        <v>1.4637537239324729</v>
      </c>
      <c r="P1674" s="6" t="s">
        <v>2125</v>
      </c>
      <c r="Q1674" s="6" t="str">
        <f t="shared" si="808"/>
        <v>=1.007*100000000</v>
      </c>
      <c r="R1674" s="11">
        <f>1.007*100000000</f>
        <v>100699999.99999999</v>
      </c>
      <c r="S1674" s="8">
        <f t="shared" si="825"/>
        <v>-0.70469208211143697</v>
      </c>
      <c r="T1674" s="6" t="s">
        <v>11973</v>
      </c>
      <c r="U1674" s="6" t="str">
        <f t="shared" si="809"/>
        <v>=3.410*100000000</v>
      </c>
      <c r="V1674" s="1">
        <f>3.41*100000000</f>
        <v>341000000</v>
      </c>
      <c r="W1674" s="8">
        <f t="shared" si="826"/>
        <v>0.65856031128404668</v>
      </c>
      <c r="X1674" s="6" t="s">
        <v>9236</v>
      </c>
      <c r="Y1674" s="6" t="str">
        <f t="shared" si="810"/>
        <v>=2.056*100000000</v>
      </c>
      <c r="Z1674" s="1">
        <f>2.056*100000000</f>
        <v>205600000</v>
      </c>
      <c r="AA1674" s="8">
        <f t="shared" si="827"/>
        <v>1.6725594696477317</v>
      </c>
      <c r="AB1674" s="7" t="s">
        <v>15688</v>
      </c>
      <c r="AC1674" s="6" t="str">
        <f t="shared" si="811"/>
        <v>=7693*10000</v>
      </c>
      <c r="AD1674" s="1">
        <f>7693*10000</f>
        <v>76930000</v>
      </c>
      <c r="AE1674" s="8">
        <f t="shared" si="828"/>
        <v>2.5864801864801863</v>
      </c>
      <c r="AF1674" s="7" t="s">
        <v>15689</v>
      </c>
      <c r="AG1674" s="6" t="str">
        <f t="shared" si="812"/>
        <v>=2145*10000</v>
      </c>
      <c r="AH1674" s="1">
        <f>2145*10000</f>
        <v>21450000</v>
      </c>
      <c r="AI1674" s="8">
        <f t="shared" si="829"/>
        <v>-0.96007073715562175</v>
      </c>
      <c r="AJ1674" s="6" t="s">
        <v>2568</v>
      </c>
      <c r="AK1674" s="6" t="str">
        <f t="shared" si="813"/>
        <v>=5.372*100000000</v>
      </c>
      <c r="AL1674" s="1">
        <f>5.372*100000000</f>
        <v>537200000</v>
      </c>
      <c r="AM1674" s="8">
        <f t="shared" si="830"/>
        <v>0.28763183125599234</v>
      </c>
      <c r="AN1674" s="6" t="s">
        <v>11955</v>
      </c>
      <c r="AO1674" s="6" t="str">
        <f t="shared" si="814"/>
        <v>=4.172*100000000</v>
      </c>
      <c r="AP1674" s="1">
        <f>4.172*100000000</f>
        <v>417200000</v>
      </c>
      <c r="AQ1674" s="8">
        <f t="shared" si="831"/>
        <v>0.43713399931105751</v>
      </c>
      <c r="AR1674" s="6" t="s">
        <v>122</v>
      </c>
      <c r="AS1674" s="6" t="str">
        <f t="shared" si="815"/>
        <v>=2.903*100000000</v>
      </c>
      <c r="AT1674" s="1">
        <f>2.903*100000000</f>
        <v>290300000</v>
      </c>
      <c r="AU1674" s="8">
        <f t="shared" si="832"/>
        <v>1.1696562032884901</v>
      </c>
      <c r="AV1674" s="6" t="s">
        <v>4863</v>
      </c>
      <c r="AW1674" s="6" t="str">
        <f t="shared" si="816"/>
        <v>=1.338*100000000</v>
      </c>
      <c r="AX1674" s="1">
        <f>1.338*100000000</f>
        <v>133800000.00000001</v>
      </c>
      <c r="AY1674" s="10">
        <f t="shared" si="833"/>
        <v>-0.72429425097877598</v>
      </c>
      <c r="AZ1674" s="6" t="s">
        <v>1277</v>
      </c>
      <c r="BA1674" s="6" t="str">
        <f t="shared" si="817"/>
        <v>=4.853*100000000</v>
      </c>
      <c r="BB1674" s="1">
        <f>4.853*100000000</f>
        <v>485300000</v>
      </c>
      <c r="BC1674" s="8">
        <f t="shared" si="834"/>
        <v>0.33728299807109396</v>
      </c>
      <c r="BD1674" s="6" t="s">
        <v>15690</v>
      </c>
      <c r="BE1674" s="6" t="str">
        <f t="shared" si="818"/>
        <v>=3.629*100000000</v>
      </c>
      <c r="BF1674" s="1">
        <f>3.629*100000000</f>
        <v>362900000</v>
      </c>
      <c r="BG1674" s="8">
        <f t="shared" si="835"/>
        <v>0.47161394971613935</v>
      </c>
      <c r="BH1674" s="6" t="s">
        <v>4876</v>
      </c>
      <c r="BI1674" s="6" t="str">
        <f t="shared" si="819"/>
        <v>=2.466*100000000</v>
      </c>
      <c r="BJ1674" s="1">
        <f>2.466*100000000</f>
        <v>246600000.00000003</v>
      </c>
      <c r="BK1674" s="6" t="s">
        <v>7002</v>
      </c>
      <c r="BL1674" s="1" t="str">
        <f t="shared" si="821"/>
        <v>=1.135*100000000</v>
      </c>
      <c r="BM1674" s="16">
        <f t="shared" si="836"/>
        <v>1.1726872246696038</v>
      </c>
      <c r="BN1674" s="1">
        <f>1.135*100000000</f>
        <v>113500000</v>
      </c>
    </row>
    <row r="1675" spans="1:66">
      <c r="A1675" s="18"/>
      <c r="B1675">
        <v>603199</v>
      </c>
      <c r="C1675" t="s">
        <v>48</v>
      </c>
      <c r="D1675" s="7" t="s">
        <v>15691</v>
      </c>
      <c r="E1675" s="7" t="str">
        <f t="shared" si="820"/>
        <v>=8229*10000</v>
      </c>
      <c r="F1675" s="1">
        <f>8229*10000</f>
        <v>82290000</v>
      </c>
      <c r="G1675" s="8">
        <f t="shared" si="822"/>
        <v>0.16756526674233826</v>
      </c>
      <c r="H1675" s="7" t="s">
        <v>15088</v>
      </c>
      <c r="I1675" s="6" t="str">
        <f t="shared" si="806"/>
        <v>=7048*10000</v>
      </c>
      <c r="J1675" s="1">
        <f>7048*10000</f>
        <v>70480000</v>
      </c>
      <c r="K1675" s="10">
        <f t="shared" si="823"/>
        <v>-3.1335898845519516E-2</v>
      </c>
      <c r="L1675" s="7" t="s">
        <v>15692</v>
      </c>
      <c r="M1675" s="6" t="str">
        <f t="shared" si="807"/>
        <v>=7276*10000</v>
      </c>
      <c r="N1675" s="1">
        <f>7276*10000</f>
        <v>72760000</v>
      </c>
      <c r="O1675" s="8">
        <f t="shared" si="824"/>
        <v>1.9685842513259895</v>
      </c>
      <c r="P1675" s="7" t="s">
        <v>15693</v>
      </c>
      <c r="Q1675" s="6" t="str">
        <f t="shared" si="808"/>
        <v>=2451*10000</v>
      </c>
      <c r="R1675" s="11">
        <f>2451*10000</f>
        <v>24510000</v>
      </c>
      <c r="S1675" s="8">
        <f t="shared" si="825"/>
        <v>-0.67510604453870626</v>
      </c>
      <c r="T1675" s="7" t="s">
        <v>12743</v>
      </c>
      <c r="U1675" s="6" t="str">
        <f t="shared" si="809"/>
        <v>=7544*10000</v>
      </c>
      <c r="V1675" s="1">
        <f>7544*10000</f>
        <v>75440000</v>
      </c>
      <c r="W1675" s="8">
        <f t="shared" si="826"/>
        <v>2.9831045406546992</v>
      </c>
      <c r="X1675" s="7" t="s">
        <v>15694</v>
      </c>
      <c r="Y1675" s="6" t="str">
        <f t="shared" si="810"/>
        <v>=1894*10000</v>
      </c>
      <c r="Z1675" s="1">
        <f>1894*10000</f>
        <v>18940000</v>
      </c>
      <c r="AA1675" s="8">
        <f t="shared" si="827"/>
        <v>-1.4751630707476167</v>
      </c>
      <c r="AB1675" s="7">
        <f>-3986*10000</f>
        <v>-39860000</v>
      </c>
      <c r="AC1675" s="6" t="str">
        <f t="shared" si="811"/>
        <v>=-39860000</v>
      </c>
      <c r="AD1675" s="1">
        <f>-39860000</f>
        <v>-39860000</v>
      </c>
      <c r="AE1675" s="8">
        <f t="shared" si="828"/>
        <v>0.1678874890125989</v>
      </c>
      <c r="AF1675" s="7">
        <f>-3413*10000</f>
        <v>-34130000</v>
      </c>
      <c r="AG1675" s="6" t="str">
        <f t="shared" si="812"/>
        <v>=-34130000</v>
      </c>
      <c r="AH1675" s="1">
        <f>-34130000</f>
        <v>-34130000</v>
      </c>
      <c r="AI1675" s="8">
        <f t="shared" si="829"/>
        <v>-1.2169739351557534</v>
      </c>
      <c r="AJ1675" s="6" t="s">
        <v>11459</v>
      </c>
      <c r="AK1675" s="6" t="str">
        <f t="shared" si="813"/>
        <v>=1.573*100000000</v>
      </c>
      <c r="AL1675" s="1">
        <f>1.573*100000000</f>
        <v>157300000</v>
      </c>
      <c r="AM1675" s="8">
        <f t="shared" si="830"/>
        <v>9.5403899721448471E-2</v>
      </c>
      <c r="AN1675" s="6" t="s">
        <v>7827</v>
      </c>
      <c r="AO1675" s="6" t="str">
        <f t="shared" si="814"/>
        <v>=1.436*100000000</v>
      </c>
      <c r="AP1675" s="1">
        <f>1.436*100000000</f>
        <v>143600000</v>
      </c>
      <c r="AQ1675" s="8">
        <f t="shared" si="831"/>
        <v>0.32962962962962961</v>
      </c>
      <c r="AR1675" s="6" t="s">
        <v>9550</v>
      </c>
      <c r="AS1675" s="6" t="str">
        <f t="shared" si="815"/>
        <v>=1.080*100000000</v>
      </c>
      <c r="AT1675" s="1">
        <f>1.08*100000000</f>
        <v>108000000</v>
      </c>
      <c r="AU1675" s="8">
        <f t="shared" si="832"/>
        <v>1.0697585281717132</v>
      </c>
      <c r="AV1675" s="7" t="s">
        <v>15695</v>
      </c>
      <c r="AW1675" s="6" t="str">
        <f t="shared" si="816"/>
        <v>=5218*10000</v>
      </c>
      <c r="AX1675" s="1">
        <f>5218*10000</f>
        <v>52180000</v>
      </c>
      <c r="AY1675" s="10">
        <f t="shared" si="833"/>
        <v>-0.59234374999999995</v>
      </c>
      <c r="AZ1675" s="6" t="s">
        <v>11690</v>
      </c>
      <c r="BA1675" s="6" t="str">
        <f t="shared" si="817"/>
        <v>=1.280*100000000</v>
      </c>
      <c r="BB1675" s="1">
        <f>1.28*100000000</f>
        <v>128000000</v>
      </c>
      <c r="BC1675" s="8">
        <f t="shared" si="834"/>
        <v>0.18408880666049954</v>
      </c>
      <c r="BD1675" s="6" t="s">
        <v>8532</v>
      </c>
      <c r="BE1675" s="6" t="str">
        <f t="shared" si="818"/>
        <v>=1.081*100000000</v>
      </c>
      <c r="BF1675" s="1">
        <f>1.081*100000000</f>
        <v>108100000</v>
      </c>
      <c r="BG1675" s="8">
        <f t="shared" si="835"/>
        <v>0.33555720286632074</v>
      </c>
      <c r="BH1675" s="7" t="s">
        <v>15696</v>
      </c>
      <c r="BI1675" s="6" t="str">
        <f t="shared" si="819"/>
        <v>=8094*10000</v>
      </c>
      <c r="BJ1675" s="1">
        <f>8094*10000</f>
        <v>80940000</v>
      </c>
      <c r="BK1675" s="7" t="s">
        <v>15697</v>
      </c>
      <c r="BL1675" s="1" t="str">
        <f t="shared" si="821"/>
        <v>=4086*10000</v>
      </c>
      <c r="BM1675" s="16">
        <f t="shared" si="836"/>
        <v>0.98091042584434651</v>
      </c>
      <c r="BN1675" s="1">
        <f>4086*10000</f>
        <v>40860000</v>
      </c>
    </row>
    <row r="1676" spans="1:66">
      <c r="A1676" s="18"/>
      <c r="B1676">
        <v>603199</v>
      </c>
      <c r="C1676" t="s">
        <v>58</v>
      </c>
      <c r="D1676" s="7" t="s">
        <v>15698</v>
      </c>
      <c r="E1676" s="7" t="str">
        <f t="shared" si="820"/>
        <v>=8177*10000</v>
      </c>
      <c r="F1676" s="1">
        <f>8177*10000</f>
        <v>81770000</v>
      </c>
      <c r="G1676" s="8">
        <f t="shared" si="822"/>
        <v>0.16514676546024509</v>
      </c>
      <c r="H1676" s="7" t="s">
        <v>15699</v>
      </c>
      <c r="I1676" s="6" t="str">
        <f t="shared" si="806"/>
        <v>=7018*10000</v>
      </c>
      <c r="J1676" s="1">
        <f>7018*10000</f>
        <v>70180000</v>
      </c>
      <c r="K1676" s="10">
        <f t="shared" si="823"/>
        <v>-3.1331953071083503E-2</v>
      </c>
      <c r="L1676" s="7" t="s">
        <v>15700</v>
      </c>
      <c r="M1676" s="6" t="str">
        <f t="shared" si="807"/>
        <v>=7245*10000</v>
      </c>
      <c r="N1676" s="1">
        <f>7245*10000</f>
        <v>72450000</v>
      </c>
      <c r="O1676" s="8">
        <f t="shared" si="824"/>
        <v>1.9753593429158112</v>
      </c>
      <c r="P1676" s="7" t="s">
        <v>15701</v>
      </c>
      <c r="Q1676" s="6" t="str">
        <f t="shared" si="808"/>
        <v>=2435*10000</v>
      </c>
      <c r="R1676" s="11">
        <f>2435*10000</f>
        <v>24350000</v>
      </c>
      <c r="S1676" s="8">
        <f t="shared" si="825"/>
        <v>-0.67067892886123881</v>
      </c>
      <c r="T1676" s="7" t="s">
        <v>15702</v>
      </c>
      <c r="U1676" s="6" t="str">
        <f t="shared" si="809"/>
        <v>=7394*10000</v>
      </c>
      <c r="V1676" s="1">
        <f>7394*10000</f>
        <v>73940000</v>
      </c>
      <c r="W1676" s="8">
        <f t="shared" si="826"/>
        <v>3.2372492836676217</v>
      </c>
      <c r="X1676" s="7" t="s">
        <v>5939</v>
      </c>
      <c r="Y1676" s="6" t="str">
        <f t="shared" si="810"/>
        <v>=1745*10000</v>
      </c>
      <c r="Z1676" s="1">
        <f>1745*10000</f>
        <v>17450000</v>
      </c>
      <c r="AA1676" s="8">
        <f t="shared" si="827"/>
        <v>-1.4220072551390568</v>
      </c>
      <c r="AB1676" s="7">
        <f>-4135*10000</f>
        <v>-41350000</v>
      </c>
      <c r="AC1676" s="6" t="str">
        <f t="shared" si="811"/>
        <v>=-41350000</v>
      </c>
      <c r="AD1676" s="1">
        <f>-41350000</f>
        <v>-41350000</v>
      </c>
      <c r="AE1676" s="8">
        <f t="shared" si="828"/>
        <v>0.16053887173730003</v>
      </c>
      <c r="AF1676" s="7">
        <f>-3563*10000</f>
        <v>-35630000</v>
      </c>
      <c r="AG1676" s="6" t="str">
        <f t="shared" si="812"/>
        <v>=-35630000</v>
      </c>
      <c r="AH1676" s="1">
        <f>-35630000</f>
        <v>-35630000</v>
      </c>
      <c r="AI1676" s="8">
        <f t="shared" si="829"/>
        <v>-1.2267982176957353</v>
      </c>
      <c r="AJ1676" s="6" t="s">
        <v>6998</v>
      </c>
      <c r="AK1676" s="6" t="str">
        <f t="shared" si="813"/>
        <v>=1.571*100000000</v>
      </c>
      <c r="AL1676" s="1">
        <f>1.571*100000000</f>
        <v>157100000</v>
      </c>
      <c r="AM1676" s="8">
        <f t="shared" si="830"/>
        <v>9.324982602644398E-2</v>
      </c>
      <c r="AN1676" s="6" t="s">
        <v>7904</v>
      </c>
      <c r="AO1676" s="6" t="str">
        <f t="shared" si="814"/>
        <v>=1.437*100000000</v>
      </c>
      <c r="AP1676" s="1">
        <f>1.437*100000000</f>
        <v>143700000</v>
      </c>
      <c r="AQ1676" s="8">
        <f t="shared" si="831"/>
        <v>0.33055555555555555</v>
      </c>
      <c r="AR1676" s="6" t="s">
        <v>9550</v>
      </c>
      <c r="AS1676" s="6" t="str">
        <f t="shared" si="815"/>
        <v>=1.080*100000000</v>
      </c>
      <c r="AT1676" s="1">
        <f>1.08*100000000</f>
        <v>108000000</v>
      </c>
      <c r="AU1676" s="8">
        <f t="shared" si="832"/>
        <v>1.0705521472392638</v>
      </c>
      <c r="AV1676" s="7" t="s">
        <v>5964</v>
      </c>
      <c r="AW1676" s="6" t="str">
        <f t="shared" si="816"/>
        <v>=5216*10000</v>
      </c>
      <c r="AX1676" s="1">
        <f>5216*10000</f>
        <v>52160000</v>
      </c>
      <c r="AY1676" s="10">
        <f t="shared" si="833"/>
        <v>-0.57935483870967741</v>
      </c>
      <c r="AZ1676" s="6" t="s">
        <v>10483</v>
      </c>
      <c r="BA1676" s="6" t="str">
        <f t="shared" si="817"/>
        <v>=1.240*100000000</v>
      </c>
      <c r="BB1676" s="1">
        <f>1.24*100000000</f>
        <v>124000000</v>
      </c>
      <c r="BC1676" s="8">
        <f t="shared" si="834"/>
        <v>0.15134633240482823</v>
      </c>
      <c r="BD1676" s="6" t="s">
        <v>9948</v>
      </c>
      <c r="BE1676" s="6" t="str">
        <f t="shared" si="818"/>
        <v>=1.077*100000000</v>
      </c>
      <c r="BF1676" s="1">
        <f>1.077*100000000</f>
        <v>107700000</v>
      </c>
      <c r="BG1676" s="8">
        <f t="shared" si="835"/>
        <v>0.32962962962962961</v>
      </c>
      <c r="BH1676" s="7" t="s">
        <v>15703</v>
      </c>
      <c r="BI1676" s="6" t="str">
        <f t="shared" si="819"/>
        <v>=8100*10000</v>
      </c>
      <c r="BJ1676" s="1">
        <f>8100*10000</f>
        <v>81000000</v>
      </c>
      <c r="BK1676" s="7" t="s">
        <v>15704</v>
      </c>
      <c r="BL1676" s="1" t="str">
        <f t="shared" si="821"/>
        <v>=4091*10000</v>
      </c>
      <c r="BM1676" s="16">
        <f t="shared" si="836"/>
        <v>0.97995600097775604</v>
      </c>
      <c r="BN1676" s="1">
        <f>4091*10000</f>
        <v>40910000</v>
      </c>
    </row>
    <row r="1677" spans="1:66">
      <c r="A1677" s="19"/>
      <c r="B1677">
        <v>603199</v>
      </c>
      <c r="C1677" t="s">
        <v>68</v>
      </c>
      <c r="D1677" s="7" t="s">
        <v>5492</v>
      </c>
      <c r="E1677" s="7" t="str">
        <f t="shared" si="820"/>
        <v>=6052*10000</v>
      </c>
      <c r="F1677" s="1">
        <f>6052*10000</f>
        <v>60520000</v>
      </c>
      <c r="G1677" s="8">
        <f t="shared" si="822"/>
        <v>0.2007936507936508</v>
      </c>
      <c r="H1677" s="7" t="s">
        <v>15705</v>
      </c>
      <c r="I1677" s="6" t="str">
        <f t="shared" si="806"/>
        <v>=5040*10000</v>
      </c>
      <c r="J1677" s="1">
        <f>5040*10000</f>
        <v>50400000</v>
      </c>
      <c r="K1677" s="10">
        <f t="shared" si="823"/>
        <v>-4.5996592844974447E-2</v>
      </c>
      <c r="L1677" s="7" t="s">
        <v>5444</v>
      </c>
      <c r="M1677" s="6" t="str">
        <f t="shared" si="807"/>
        <v>=5283*10000</v>
      </c>
      <c r="N1677" s="1">
        <f>5283*10000</f>
        <v>52830000</v>
      </c>
      <c r="O1677" s="8">
        <f t="shared" si="824"/>
        <v>2.0119726339794757</v>
      </c>
      <c r="P1677" s="7" t="s">
        <v>15706</v>
      </c>
      <c r="Q1677" s="6" t="str">
        <f t="shared" si="808"/>
        <v>=1754*10000</v>
      </c>
      <c r="R1677" s="11">
        <f>1754*10000</f>
        <v>17540000</v>
      </c>
      <c r="S1677" s="8">
        <f t="shared" si="825"/>
        <v>-0.6784601283226398</v>
      </c>
      <c r="T1677" s="7" t="s">
        <v>4980</v>
      </c>
      <c r="U1677" s="6" t="str">
        <f t="shared" si="809"/>
        <v>=5455*10000</v>
      </c>
      <c r="V1677" s="1">
        <f>5455*10000</f>
        <v>54550000</v>
      </c>
      <c r="W1677" s="8">
        <f t="shared" si="826"/>
        <v>3.3709935897435899</v>
      </c>
      <c r="X1677" s="7" t="s">
        <v>9359</v>
      </c>
      <c r="Y1677" s="6" t="str">
        <f t="shared" si="810"/>
        <v>=1248*10000</v>
      </c>
      <c r="Z1677" s="1">
        <f>1248*10000</f>
        <v>12480000</v>
      </c>
      <c r="AA1677" s="8">
        <f t="shared" si="827"/>
        <v>-1.3968203497615261</v>
      </c>
      <c r="AB1677" s="7">
        <f>-3145*10000</f>
        <v>-31450000</v>
      </c>
      <c r="AC1677" s="6" t="str">
        <f t="shared" si="811"/>
        <v>=-31450000</v>
      </c>
      <c r="AD1677" s="1">
        <f>-31450000</f>
        <v>-31450000</v>
      </c>
      <c r="AE1677" s="8">
        <f t="shared" si="828"/>
        <v>0.16094499815430047</v>
      </c>
      <c r="AF1677" s="7">
        <f>-2709*10000</f>
        <v>-27090000</v>
      </c>
      <c r="AG1677" s="6" t="str">
        <f t="shared" si="812"/>
        <v>=-27090000</v>
      </c>
      <c r="AH1677" s="1">
        <f>-27090000</f>
        <v>-27090000</v>
      </c>
      <c r="AI1677" s="8">
        <f t="shared" si="829"/>
        <v>-1.2315384615384615</v>
      </c>
      <c r="AJ1677" s="6" t="s">
        <v>3552</v>
      </c>
      <c r="AK1677" s="6" t="str">
        <f t="shared" si="813"/>
        <v>=1.170*100000000</v>
      </c>
      <c r="AL1677" s="1">
        <f>1.17*100000000</f>
        <v>117000000</v>
      </c>
      <c r="AM1677" s="8">
        <f t="shared" si="830"/>
        <v>9.1417910447761194E-2</v>
      </c>
      <c r="AN1677" s="6" t="s">
        <v>15707</v>
      </c>
      <c r="AO1677" s="6" t="str">
        <f t="shared" si="814"/>
        <v>=1.072*100000000</v>
      </c>
      <c r="AP1677" s="1">
        <f>1.072*100000000</f>
        <v>107200000</v>
      </c>
      <c r="AQ1677" s="8">
        <f t="shared" si="831"/>
        <v>0.33002481389578164</v>
      </c>
      <c r="AR1677" s="7" t="s">
        <v>15708</v>
      </c>
      <c r="AS1677" s="6" t="str">
        <f t="shared" si="815"/>
        <v>=8060*10000</v>
      </c>
      <c r="AT1677" s="1">
        <f>8060*10000</f>
        <v>80600000</v>
      </c>
      <c r="AU1677" s="8">
        <f t="shared" si="832"/>
        <v>1.08</v>
      </c>
      <c r="AV1677" s="7" t="s">
        <v>4917</v>
      </c>
      <c r="AW1677" s="6" t="str">
        <f t="shared" si="816"/>
        <v>=3875*10000</v>
      </c>
      <c r="AX1677" s="1">
        <f>3875*10000</f>
        <v>38750000</v>
      </c>
      <c r="AY1677" s="10">
        <f t="shared" si="833"/>
        <v>-0.57921598436312305</v>
      </c>
      <c r="AZ1677" s="7" t="s">
        <v>4286</v>
      </c>
      <c r="BA1677" s="6" t="str">
        <f t="shared" si="817"/>
        <v>=9209*10000</v>
      </c>
      <c r="BB1677" s="1">
        <f>9209*10000</f>
        <v>92090000</v>
      </c>
      <c r="BC1677" s="8">
        <f t="shared" si="834"/>
        <v>0.14753894080996885</v>
      </c>
      <c r="BD1677" s="7" t="s">
        <v>15709</v>
      </c>
      <c r="BE1677" s="6" t="str">
        <f t="shared" si="818"/>
        <v>=8025*10000</v>
      </c>
      <c r="BF1677" s="1">
        <f>8025*10000</f>
        <v>80250000</v>
      </c>
      <c r="BG1677" s="8">
        <f t="shared" si="835"/>
        <v>0.33195020746887965</v>
      </c>
      <c r="BH1677" s="7" t="s">
        <v>8117</v>
      </c>
      <c r="BI1677" s="6" t="str">
        <f t="shared" si="819"/>
        <v>=6025*10000</v>
      </c>
      <c r="BJ1677" s="1">
        <f>6025*10000</f>
        <v>60250000</v>
      </c>
      <c r="BK1677" s="7" t="s">
        <v>4287</v>
      </c>
      <c r="BL1677" s="1" t="str">
        <f t="shared" si="821"/>
        <v>=3037*10000</v>
      </c>
      <c r="BM1677" s="16">
        <f t="shared" si="836"/>
        <v>0.98386565689825489</v>
      </c>
      <c r="BN1677" s="1">
        <f>3037*10000</f>
        <v>30370000</v>
      </c>
    </row>
    <row r="1678" spans="1:66">
      <c r="A1678" s="17">
        <v>421</v>
      </c>
      <c r="B1678">
        <v>603222</v>
      </c>
      <c r="C1678" t="s">
        <v>31</v>
      </c>
      <c r="D1678" s="6" t="s">
        <v>2659</v>
      </c>
      <c r="E1678" s="7" t="str">
        <f t="shared" si="820"/>
        <v>=10.98*100000000</v>
      </c>
      <c r="F1678" s="1">
        <f>10.98*100000000</f>
        <v>1098000000</v>
      </c>
      <c r="G1678" s="8">
        <f t="shared" si="822"/>
        <v>0.39605848696757789</v>
      </c>
      <c r="H1678" s="6" t="s">
        <v>4503</v>
      </c>
      <c r="I1678" s="6" t="str">
        <f t="shared" si="806"/>
        <v>=7.865*100000000</v>
      </c>
      <c r="J1678" s="1">
        <f>7.865*100000000</f>
        <v>786500000</v>
      </c>
      <c r="K1678" s="10">
        <f t="shared" si="823"/>
        <v>0.47229502059153894</v>
      </c>
      <c r="L1678" s="6" t="s">
        <v>9767</v>
      </c>
      <c r="M1678" s="6" t="str">
        <f t="shared" si="807"/>
        <v>=5.342*100000000</v>
      </c>
      <c r="N1678" s="1">
        <f>5.342*100000000</f>
        <v>534199999.99999994</v>
      </c>
      <c r="O1678" s="8">
        <f t="shared" si="824"/>
        <v>1.1048069345941687</v>
      </c>
      <c r="P1678" s="6" t="s">
        <v>15710</v>
      </c>
      <c r="Q1678" s="6" t="str">
        <f t="shared" si="808"/>
        <v>=2.538*100000000</v>
      </c>
      <c r="R1678" s="11">
        <f>2.538*100000000</f>
        <v>253799999.99999997</v>
      </c>
      <c r="S1678" s="8">
        <f t="shared" si="825"/>
        <v>-0.71080218778486781</v>
      </c>
      <c r="T1678" s="6" t="s">
        <v>4170</v>
      </c>
      <c r="U1678" s="6" t="str">
        <f t="shared" si="809"/>
        <v>=8.776*100000000</v>
      </c>
      <c r="V1678" s="1">
        <f>8.776*100000000</f>
        <v>877600000</v>
      </c>
      <c r="W1678" s="8">
        <f t="shared" si="826"/>
        <v>0.45033878697735913</v>
      </c>
      <c r="X1678" s="6" t="s">
        <v>15711</v>
      </c>
      <c r="Y1678" s="6" t="str">
        <f t="shared" si="810"/>
        <v>=6.051*100000000</v>
      </c>
      <c r="Z1678" s="1">
        <f>6.051*100000000</f>
        <v>605100000</v>
      </c>
      <c r="AA1678" s="8">
        <f t="shared" si="827"/>
        <v>0.76311188811188813</v>
      </c>
      <c r="AB1678" s="6" t="s">
        <v>15712</v>
      </c>
      <c r="AC1678" s="6" t="str">
        <f t="shared" si="811"/>
        <v>=3.432*100000000</v>
      </c>
      <c r="AD1678" s="1">
        <f>3.432*100000000</f>
        <v>343200000</v>
      </c>
      <c r="AE1678" s="8">
        <f t="shared" si="828"/>
        <v>1.6039453717754173</v>
      </c>
      <c r="AF1678" s="6" t="s">
        <v>10030</v>
      </c>
      <c r="AG1678" s="6" t="str">
        <f t="shared" si="812"/>
        <v>=1.318*100000000</v>
      </c>
      <c r="AH1678" s="1">
        <f>1.318*100000000</f>
        <v>131800000</v>
      </c>
      <c r="AI1678" s="8">
        <f t="shared" si="829"/>
        <v>-0.82911966809283033</v>
      </c>
      <c r="AJ1678" s="6" t="s">
        <v>15713</v>
      </c>
      <c r="AK1678" s="6" t="str">
        <f t="shared" si="813"/>
        <v>=7.713*100000000</v>
      </c>
      <c r="AL1678" s="1">
        <f>7.713*100000000</f>
        <v>771300000</v>
      </c>
      <c r="AM1678" s="8">
        <f t="shared" si="830"/>
        <v>0.33396748529920445</v>
      </c>
      <c r="AN1678" s="6" t="s">
        <v>14314</v>
      </c>
      <c r="AO1678" s="6" t="str">
        <f t="shared" si="814"/>
        <v>=5.782*100000000</v>
      </c>
      <c r="AP1678" s="1">
        <f>5.782*100000000</f>
        <v>578200000</v>
      </c>
      <c r="AQ1678" s="8">
        <f t="shared" si="831"/>
        <v>0.52478902953586493</v>
      </c>
      <c r="AR1678" s="6" t="s">
        <v>12308</v>
      </c>
      <c r="AS1678" s="6" t="str">
        <f t="shared" si="815"/>
        <v>=3.792*100000000</v>
      </c>
      <c r="AT1678" s="1">
        <f>3.792*100000000</f>
        <v>379200000</v>
      </c>
      <c r="AU1678" s="8">
        <f t="shared" si="832"/>
        <v>0.96578538102643852</v>
      </c>
      <c r="AV1678" s="6" t="s">
        <v>15714</v>
      </c>
      <c r="AW1678" s="6" t="str">
        <f t="shared" si="816"/>
        <v>=1.929*100000000</v>
      </c>
      <c r="AX1678" s="1">
        <f>1.929*100000000</f>
        <v>192900000</v>
      </c>
      <c r="AY1678" s="10">
        <f t="shared" si="833"/>
        <v>-0.72355975924333615</v>
      </c>
      <c r="AZ1678" s="6" t="s">
        <v>8206</v>
      </c>
      <c r="BA1678" s="6" t="str">
        <f t="shared" si="817"/>
        <v>=6.978*100000000</v>
      </c>
      <c r="BB1678" s="1">
        <f>6.978*100000000</f>
        <v>697800000</v>
      </c>
      <c r="BC1678" s="8">
        <f t="shared" si="834"/>
        <v>0.29365962180200222</v>
      </c>
      <c r="BD1678" s="6" t="s">
        <v>7934</v>
      </c>
      <c r="BE1678" s="6" t="str">
        <f t="shared" si="818"/>
        <v>=5.394*100000000</v>
      </c>
      <c r="BF1678" s="1">
        <f>5.394*100000000</f>
        <v>539400000</v>
      </c>
      <c r="BG1678" s="8">
        <f t="shared" si="835"/>
        <v>0.5446735395189003</v>
      </c>
      <c r="BH1678" s="6" t="s">
        <v>15715</v>
      </c>
      <c r="BI1678" s="6" t="str">
        <f t="shared" si="819"/>
        <v>=3.492*100000000</v>
      </c>
      <c r="BJ1678" s="1">
        <f>3.492*100000000</f>
        <v>349200000</v>
      </c>
      <c r="BK1678" s="6" t="s">
        <v>1940</v>
      </c>
      <c r="BL1678" s="1" t="str">
        <f t="shared" si="821"/>
        <v>=1.643*100000000</v>
      </c>
      <c r="BM1678" s="16">
        <f t="shared" si="836"/>
        <v>1.1253804017041997</v>
      </c>
      <c r="BN1678" s="1">
        <f>1.643*100000000</f>
        <v>164300000</v>
      </c>
    </row>
    <row r="1679" spans="1:66">
      <c r="A1679" s="18"/>
      <c r="B1679">
        <v>603222</v>
      </c>
      <c r="C1679" t="s">
        <v>48</v>
      </c>
      <c r="D1679" s="6" t="s">
        <v>11969</v>
      </c>
      <c r="E1679" s="7" t="str">
        <f t="shared" si="820"/>
        <v>=1.675*100000000</v>
      </c>
      <c r="F1679" s="1">
        <f>1.675*100000000</f>
        <v>167500000</v>
      </c>
      <c r="G1679" s="8">
        <f t="shared" si="822"/>
        <v>4.2963885429638853E-2</v>
      </c>
      <c r="H1679" s="6" t="s">
        <v>10750</v>
      </c>
      <c r="I1679" s="6" t="str">
        <f t="shared" si="806"/>
        <v>=1.606*100000000</v>
      </c>
      <c r="J1679" s="1">
        <f>1.606*100000000</f>
        <v>160600000</v>
      </c>
      <c r="K1679" s="10">
        <f t="shared" si="823"/>
        <v>0.27764518695306301</v>
      </c>
      <c r="L1679" s="6" t="s">
        <v>6033</v>
      </c>
      <c r="M1679" s="6" t="str">
        <f t="shared" si="807"/>
        <v>=1.257*100000000</v>
      </c>
      <c r="N1679" s="1">
        <f>1.257*100000000</f>
        <v>125699999.99999999</v>
      </c>
      <c r="O1679" s="8">
        <f t="shared" si="824"/>
        <v>1.5512482240714427</v>
      </c>
      <c r="P1679" s="7" t="s">
        <v>15716</v>
      </c>
      <c r="Q1679" s="6" t="str">
        <f t="shared" si="808"/>
        <v>=4927*10000</v>
      </c>
      <c r="R1679" s="11">
        <f>4927*10000</f>
        <v>49270000</v>
      </c>
      <c r="S1679" s="8">
        <f t="shared" si="825"/>
        <v>0.56462369006033664</v>
      </c>
      <c r="T1679" s="7" t="s">
        <v>15717</v>
      </c>
      <c r="U1679" s="6" t="str">
        <f t="shared" si="809"/>
        <v>=3149*10000</v>
      </c>
      <c r="V1679" s="1">
        <f>3149*10000</f>
        <v>31490000</v>
      </c>
      <c r="W1679" s="8">
        <f t="shared" si="826"/>
        <v>-0.46536502546689301</v>
      </c>
      <c r="X1679" s="7" t="s">
        <v>15718</v>
      </c>
      <c r="Y1679" s="6" t="str">
        <f t="shared" si="810"/>
        <v>=5890*10000</v>
      </c>
      <c r="Z1679" s="1">
        <f>5890*10000</f>
        <v>58900000</v>
      </c>
      <c r="AA1679" s="8">
        <f t="shared" si="827"/>
        <v>2.4184561810795127</v>
      </c>
      <c r="AB1679" s="7" t="s">
        <v>3169</v>
      </c>
      <c r="AC1679" s="6" t="str">
        <f t="shared" si="811"/>
        <v>=1723*10000</v>
      </c>
      <c r="AD1679" s="1">
        <f>1723*10000</f>
        <v>17230000</v>
      </c>
      <c r="AE1679" s="8">
        <f t="shared" si="828"/>
        <v>-2.2485507246376812</v>
      </c>
      <c r="AF1679" s="7">
        <f>-1380*10000</f>
        <v>-13800000</v>
      </c>
      <c r="AG1679" s="6" t="str">
        <f t="shared" si="812"/>
        <v>=-13800000</v>
      </c>
      <c r="AH1679" s="1">
        <f>-13800000</f>
        <v>-13800000</v>
      </c>
      <c r="AI1679" s="8">
        <f t="shared" si="829"/>
        <v>-1.1521164021164021</v>
      </c>
      <c r="AJ1679" s="7" t="s">
        <v>6733</v>
      </c>
      <c r="AK1679" s="6" t="str">
        <f t="shared" si="813"/>
        <v>=9072*10000</v>
      </c>
      <c r="AL1679" s="1">
        <f>9072*10000</f>
        <v>90720000</v>
      </c>
      <c r="AM1679" s="8">
        <f t="shared" si="830"/>
        <v>0.48283752860411899</v>
      </c>
      <c r="AN1679" s="7" t="s">
        <v>15719</v>
      </c>
      <c r="AO1679" s="6" t="str">
        <f t="shared" si="814"/>
        <v>=6118*10000</v>
      </c>
      <c r="AP1679" s="1">
        <f>6118*10000</f>
        <v>61180000</v>
      </c>
      <c r="AQ1679" s="8">
        <f t="shared" si="831"/>
        <v>0.65799457994579946</v>
      </c>
      <c r="AR1679" s="7" t="s">
        <v>15720</v>
      </c>
      <c r="AS1679" s="6" t="str">
        <f t="shared" si="815"/>
        <v>=3690*10000</v>
      </c>
      <c r="AT1679" s="1">
        <f>3690*10000</f>
        <v>36900000</v>
      </c>
      <c r="AU1679" s="8">
        <f t="shared" si="832"/>
        <v>1.0386740331491713</v>
      </c>
      <c r="AV1679" s="7" t="s">
        <v>15721</v>
      </c>
      <c r="AW1679" s="6" t="str">
        <f t="shared" si="816"/>
        <v>=1810*10000</v>
      </c>
      <c r="AX1679" s="1">
        <f>1810*10000</f>
        <v>18100000</v>
      </c>
      <c r="AY1679" s="10">
        <f t="shared" si="833"/>
        <v>-0.67156595899110871</v>
      </c>
      <c r="AZ1679" s="7" t="s">
        <v>15722</v>
      </c>
      <c r="BA1679" s="6" t="str">
        <f t="shared" si="817"/>
        <v>=5511*10000</v>
      </c>
      <c r="BB1679" s="1">
        <f>5511*10000</f>
        <v>55110000</v>
      </c>
      <c r="BC1679" s="8">
        <f t="shared" si="834"/>
        <v>-0.13280881195908734</v>
      </c>
      <c r="BD1679" s="7" t="s">
        <v>15723</v>
      </c>
      <c r="BE1679" s="6" t="str">
        <f t="shared" si="818"/>
        <v>=6355*10000</v>
      </c>
      <c r="BF1679" s="1">
        <f>6355*10000</f>
        <v>63550000</v>
      </c>
      <c r="BG1679" s="8">
        <f t="shared" si="835"/>
        <v>0.34015183466891608</v>
      </c>
      <c r="BH1679" s="7" t="s">
        <v>15724</v>
      </c>
      <c r="BI1679" s="6" t="str">
        <f t="shared" si="819"/>
        <v>=4742*10000</v>
      </c>
      <c r="BJ1679" s="1">
        <f>4742*10000</f>
        <v>47420000</v>
      </c>
      <c r="BK1679" s="7" t="s">
        <v>15725</v>
      </c>
      <c r="BL1679" s="1" t="str">
        <f t="shared" si="821"/>
        <v>=1676*10000</v>
      </c>
      <c r="BM1679" s="16">
        <f t="shared" si="836"/>
        <v>1.8293556085918854</v>
      </c>
      <c r="BN1679" s="1">
        <f>1676*10000</f>
        <v>16760000</v>
      </c>
    </row>
    <row r="1680" spans="1:66">
      <c r="A1680" s="18"/>
      <c r="B1680">
        <v>603222</v>
      </c>
      <c r="C1680" t="s">
        <v>58</v>
      </c>
      <c r="D1680" s="6" t="s">
        <v>8302</v>
      </c>
      <c r="E1680" s="7" t="str">
        <f t="shared" si="820"/>
        <v>=1.745*100000000</v>
      </c>
      <c r="F1680" s="1">
        <f>1.745*100000000</f>
        <v>174500000</v>
      </c>
      <c r="G1680" s="8">
        <f t="shared" si="822"/>
        <v>3.4994068801897982E-2</v>
      </c>
      <c r="H1680" s="6" t="s">
        <v>4384</v>
      </c>
      <c r="I1680" s="6" t="str">
        <f t="shared" si="806"/>
        <v>=1.686*100000000</v>
      </c>
      <c r="J1680" s="1">
        <f>1.686*100000000</f>
        <v>168600000</v>
      </c>
      <c r="K1680" s="10">
        <f t="shared" si="823"/>
        <v>0.36628849270664504</v>
      </c>
      <c r="L1680" s="6" t="s">
        <v>6043</v>
      </c>
      <c r="M1680" s="6" t="str">
        <f t="shared" si="807"/>
        <v>=1.234*100000000</v>
      </c>
      <c r="N1680" s="1">
        <f>1.234*100000000</f>
        <v>123400000</v>
      </c>
      <c r="O1680" s="8">
        <f t="shared" si="824"/>
        <v>1.5453795379537953</v>
      </c>
      <c r="P1680" s="7" t="s">
        <v>15542</v>
      </c>
      <c r="Q1680" s="6" t="str">
        <f t="shared" si="808"/>
        <v>=4848*10000</v>
      </c>
      <c r="R1680" s="11">
        <f>4848*10000</f>
        <v>48480000</v>
      </c>
      <c r="S1680" s="8">
        <f t="shared" si="825"/>
        <v>7.8193560123703838</v>
      </c>
      <c r="T1680" s="7" t="s">
        <v>15726</v>
      </c>
      <c r="U1680" s="6" t="str">
        <f t="shared" si="809"/>
        <v>=549.7*10000</v>
      </c>
      <c r="V1680" s="1">
        <f>549.7*10000</f>
        <v>5497000</v>
      </c>
      <c r="W1680" s="8">
        <f t="shared" si="826"/>
        <v>-0.82358793324775348</v>
      </c>
      <c r="X1680" s="7" t="s">
        <v>9438</v>
      </c>
      <c r="Y1680" s="6" t="str">
        <f t="shared" si="810"/>
        <v>=3116*10000</v>
      </c>
      <c r="Z1680" s="1">
        <f>3116*10000</f>
        <v>31160000</v>
      </c>
      <c r="AA1680" s="8">
        <f t="shared" si="827"/>
        <v>-4.7161598091830648</v>
      </c>
      <c r="AB1680" s="7">
        <f>-838.5*10000</f>
        <v>-8385000</v>
      </c>
      <c r="AC1680" s="6" t="str">
        <f t="shared" si="811"/>
        <v>=-8385000</v>
      </c>
      <c r="AD1680" s="1">
        <f>-8385000</f>
        <v>-8385000</v>
      </c>
      <c r="AE1680" s="8">
        <f t="shared" si="828"/>
        <v>-0.39195068890500362</v>
      </c>
      <c r="AF1680" s="7">
        <f>-1379*10000</f>
        <v>-13790000</v>
      </c>
      <c r="AG1680" s="6" t="str">
        <f t="shared" si="812"/>
        <v>=-13790000</v>
      </c>
      <c r="AH1680" s="1">
        <f>-13790000</f>
        <v>-13790000</v>
      </c>
      <c r="AI1680" s="8">
        <f t="shared" si="829"/>
        <v>-1.149891304347826</v>
      </c>
      <c r="AJ1680" s="7" t="s">
        <v>9064</v>
      </c>
      <c r="AK1680" s="6" t="str">
        <f t="shared" si="813"/>
        <v>=9200*10000</v>
      </c>
      <c r="AL1680" s="1">
        <f>9200*10000</f>
        <v>92000000</v>
      </c>
      <c r="AM1680" s="8">
        <f t="shared" si="830"/>
        <v>0.46496815286624205</v>
      </c>
      <c r="AN1680" s="7" t="s">
        <v>15727</v>
      </c>
      <c r="AO1680" s="6" t="str">
        <f t="shared" si="814"/>
        <v>=6280*10000</v>
      </c>
      <c r="AP1680" s="1">
        <f>6280*10000</f>
        <v>62800000</v>
      </c>
      <c r="AQ1680" s="8">
        <f t="shared" si="831"/>
        <v>0.62399793121282643</v>
      </c>
      <c r="AR1680" s="7" t="s">
        <v>15728</v>
      </c>
      <c r="AS1680" s="6" t="str">
        <f t="shared" si="815"/>
        <v>=3867*10000</v>
      </c>
      <c r="AT1680" s="1">
        <f>3867*10000</f>
        <v>38670000</v>
      </c>
      <c r="AU1680" s="8">
        <f t="shared" si="832"/>
        <v>1.143569844789357</v>
      </c>
      <c r="AV1680" s="7" t="s">
        <v>15729</v>
      </c>
      <c r="AW1680" s="6" t="str">
        <f t="shared" si="816"/>
        <v>=1804*10000</v>
      </c>
      <c r="AX1680" s="1">
        <f>1804*10000</f>
        <v>18040000</v>
      </c>
      <c r="AY1680" s="10">
        <f t="shared" si="833"/>
        <v>-0.65859197577592732</v>
      </c>
      <c r="AZ1680" s="7" t="s">
        <v>15730</v>
      </c>
      <c r="BA1680" s="6" t="str">
        <f t="shared" si="817"/>
        <v>=5284*10000</v>
      </c>
      <c r="BB1680" s="1">
        <f>5284*10000</f>
        <v>52840000</v>
      </c>
      <c r="BC1680" s="8">
        <f t="shared" si="834"/>
        <v>-0.1525260625501203</v>
      </c>
      <c r="BD1680" s="7" t="s">
        <v>15731</v>
      </c>
      <c r="BE1680" s="6" t="str">
        <f t="shared" si="818"/>
        <v>=6235*10000</v>
      </c>
      <c r="BF1680" s="1">
        <f>6235*10000</f>
        <v>62350000</v>
      </c>
      <c r="BG1680" s="8">
        <f t="shared" si="835"/>
        <v>0.3382700150246834</v>
      </c>
      <c r="BH1680" s="7" t="s">
        <v>15732</v>
      </c>
      <c r="BI1680" s="6" t="str">
        <f t="shared" si="819"/>
        <v>=4659*10000</v>
      </c>
      <c r="BJ1680" s="1">
        <f>4659*10000</f>
        <v>46590000</v>
      </c>
      <c r="BK1680" s="7" t="s">
        <v>15733</v>
      </c>
      <c r="BL1680" s="1" t="str">
        <f t="shared" si="821"/>
        <v>=1634*10000</v>
      </c>
      <c r="BM1680" s="16">
        <f t="shared" si="836"/>
        <v>1.8512851897184823</v>
      </c>
      <c r="BN1680" s="1">
        <f>1634*10000</f>
        <v>16340000</v>
      </c>
    </row>
    <row r="1681" spans="1:66">
      <c r="A1681" s="19"/>
      <c r="B1681">
        <v>603222</v>
      </c>
      <c r="C1681" t="s">
        <v>68</v>
      </c>
      <c r="D1681" s="6" t="s">
        <v>1479</v>
      </c>
      <c r="E1681" s="7" t="str">
        <f t="shared" si="820"/>
        <v>=1.381*100000000</v>
      </c>
      <c r="F1681" s="1">
        <f>1.381*100000000</f>
        <v>138100000</v>
      </c>
      <c r="G1681" s="8">
        <f t="shared" si="822"/>
        <v>-9.3256814921090381E-3</v>
      </c>
      <c r="H1681" s="6" t="s">
        <v>2000</v>
      </c>
      <c r="I1681" s="6" t="str">
        <f t="shared" si="806"/>
        <v>=1.394*100000000</v>
      </c>
      <c r="J1681" s="1">
        <f>1.394*100000000</f>
        <v>139400000</v>
      </c>
      <c r="K1681" s="10">
        <f t="shared" si="823"/>
        <v>0.33781190019193857</v>
      </c>
      <c r="L1681" s="6" t="s">
        <v>1464</v>
      </c>
      <c r="M1681" s="6" t="str">
        <f t="shared" si="807"/>
        <v>=1.042*100000000</v>
      </c>
      <c r="N1681" s="1">
        <f>1.042*100000000</f>
        <v>104200000</v>
      </c>
      <c r="O1681" s="8">
        <f t="shared" si="824"/>
        <v>1.6194067370537959</v>
      </c>
      <c r="P1681" s="7" t="s">
        <v>11351</v>
      </c>
      <c r="Q1681" s="6" t="str">
        <f t="shared" si="808"/>
        <v>=3978*10000</v>
      </c>
      <c r="R1681" s="11">
        <f>3978*10000</f>
        <v>39780000</v>
      </c>
      <c r="S1681" s="8">
        <f t="shared" si="825"/>
        <v>-6.743574935027433</v>
      </c>
      <c r="T1681" s="7">
        <f>-692.6*10000</f>
        <v>-6926000</v>
      </c>
      <c r="U1681" s="6" t="str">
        <f t="shared" si="809"/>
        <v>=-6926000</v>
      </c>
      <c r="V1681" s="1">
        <f>-6926000</f>
        <v>-6926000</v>
      </c>
      <c r="W1681" s="8">
        <f t="shared" si="826"/>
        <v>-1.248778735632184</v>
      </c>
      <c r="X1681" s="7" t="s">
        <v>15734</v>
      </c>
      <c r="Y1681" s="6" t="str">
        <f t="shared" si="810"/>
        <v>=2784*10000</v>
      </c>
      <c r="Z1681" s="1">
        <f>2784*10000</f>
        <v>27840000</v>
      </c>
      <c r="AA1681" s="8">
        <f t="shared" si="827"/>
        <v>-5.9265616705007966</v>
      </c>
      <c r="AB1681" s="7">
        <f>-565.1*10000</f>
        <v>-5651000</v>
      </c>
      <c r="AC1681" s="6" t="str">
        <f t="shared" si="811"/>
        <v>=-5651000</v>
      </c>
      <c r="AD1681" s="1">
        <f>-5651000</f>
        <v>-5651000</v>
      </c>
      <c r="AE1681" s="8">
        <f t="shared" si="828"/>
        <v>-0.50988725065047702</v>
      </c>
      <c r="AF1681" s="7">
        <f>-1153*10000</f>
        <v>-11530000</v>
      </c>
      <c r="AG1681" s="6" t="str">
        <f t="shared" si="812"/>
        <v>=-11530000</v>
      </c>
      <c r="AH1681" s="1">
        <f>-11530000</f>
        <v>-11530000</v>
      </c>
      <c r="AI1681" s="8">
        <f t="shared" si="829"/>
        <v>-1.1569989106753813</v>
      </c>
      <c r="AJ1681" s="7" t="s">
        <v>15735</v>
      </c>
      <c r="AK1681" s="6" t="str">
        <f t="shared" si="813"/>
        <v>=7344*10000</v>
      </c>
      <c r="AL1681" s="1">
        <f>7344*10000</f>
        <v>73440000</v>
      </c>
      <c r="AM1681" s="8">
        <f t="shared" si="830"/>
        <v>0.48905109489051096</v>
      </c>
      <c r="AN1681" s="7" t="s">
        <v>9900</v>
      </c>
      <c r="AO1681" s="6" t="str">
        <f t="shared" si="814"/>
        <v>=4932*10000</v>
      </c>
      <c r="AP1681" s="1">
        <f>4932*10000</f>
        <v>49320000</v>
      </c>
      <c r="AQ1681" s="8">
        <f t="shared" si="831"/>
        <v>0.65336909151860545</v>
      </c>
      <c r="AR1681" s="7" t="s">
        <v>10811</v>
      </c>
      <c r="AS1681" s="6" t="str">
        <f t="shared" si="815"/>
        <v>=2983*10000</v>
      </c>
      <c r="AT1681" s="1">
        <f>2983*10000</f>
        <v>29830000</v>
      </c>
      <c r="AU1681" s="8">
        <f t="shared" si="832"/>
        <v>1.1933823529411764</v>
      </c>
      <c r="AV1681" s="7" t="s">
        <v>6056</v>
      </c>
      <c r="AW1681" s="6" t="str">
        <f t="shared" si="816"/>
        <v>=1360*10000</v>
      </c>
      <c r="AX1681" s="1">
        <f>1360*10000</f>
        <v>13600000</v>
      </c>
      <c r="AY1681" s="10">
        <f t="shared" si="833"/>
        <v>-0.68401486988847582</v>
      </c>
      <c r="AZ1681" s="7" t="s">
        <v>14538</v>
      </c>
      <c r="BA1681" s="6" t="str">
        <f t="shared" si="817"/>
        <v>=4304*10000</v>
      </c>
      <c r="BB1681" s="1">
        <f>4304*10000</f>
        <v>43040000</v>
      </c>
      <c r="BC1681" s="8">
        <f t="shared" si="834"/>
        <v>-0.11875511875511875</v>
      </c>
      <c r="BD1681" s="7" t="s">
        <v>15736</v>
      </c>
      <c r="BE1681" s="6" t="str">
        <f t="shared" si="818"/>
        <v>=4884*10000</v>
      </c>
      <c r="BF1681" s="1">
        <f>4884*10000</f>
        <v>48840000</v>
      </c>
      <c r="BG1681" s="8">
        <f t="shared" si="835"/>
        <v>0.40952380952380951</v>
      </c>
      <c r="BH1681" s="7" t="s">
        <v>15737</v>
      </c>
      <c r="BI1681" s="6" t="str">
        <f t="shared" si="819"/>
        <v>=3465*10000</v>
      </c>
      <c r="BJ1681" s="1">
        <f>3465*10000</f>
        <v>34650000</v>
      </c>
      <c r="BK1681" s="7" t="s">
        <v>15738</v>
      </c>
      <c r="BL1681" s="1" t="str">
        <f t="shared" si="821"/>
        <v>=1179*10000</v>
      </c>
      <c r="BM1681" s="16">
        <f t="shared" si="836"/>
        <v>1.9389312977099236</v>
      </c>
      <c r="BN1681" s="1">
        <f>1179*10000</f>
        <v>11790000</v>
      </c>
    </row>
    <row r="1682" spans="1:66">
      <c r="A1682" s="17">
        <v>422</v>
      </c>
      <c r="B1682">
        <v>603227</v>
      </c>
      <c r="C1682" t="s">
        <v>31</v>
      </c>
      <c r="D1682" s="6" t="s">
        <v>3615</v>
      </c>
      <c r="E1682" s="7" t="str">
        <f t="shared" si="820"/>
        <v>=26.06*100000000</v>
      </c>
      <c r="F1682" s="1">
        <f>26.06*100000000</f>
        <v>2606000000</v>
      </c>
      <c r="G1682" s="8">
        <f t="shared" si="822"/>
        <v>0.3988191089640365</v>
      </c>
      <c r="H1682" s="6" t="s">
        <v>7110</v>
      </c>
      <c r="I1682" s="6" t="str">
        <f t="shared" si="806"/>
        <v>=18.63*100000000</v>
      </c>
      <c r="J1682" s="1">
        <f>18.63*100000000</f>
        <v>1863000000</v>
      </c>
      <c r="K1682" s="10">
        <f t="shared" si="823"/>
        <v>0.66786034019695617</v>
      </c>
      <c r="L1682" s="6" t="s">
        <v>1597</v>
      </c>
      <c r="M1682" s="6" t="str">
        <f t="shared" si="807"/>
        <v>=11.17*100000000</v>
      </c>
      <c r="N1682" s="1">
        <f>11.17*100000000</f>
        <v>1117000000</v>
      </c>
      <c r="O1682" s="8">
        <f t="shared" si="824"/>
        <v>1.091368657554765</v>
      </c>
      <c r="P1682" s="6" t="s">
        <v>15739</v>
      </c>
      <c r="Q1682" s="6" t="str">
        <f t="shared" si="808"/>
        <v>=5.341*100000000</v>
      </c>
      <c r="R1682" s="11">
        <f>5.341*100000000</f>
        <v>534100000</v>
      </c>
      <c r="S1682" s="8">
        <f t="shared" si="825"/>
        <v>-0.74160619254958882</v>
      </c>
      <c r="T1682" s="6" t="s">
        <v>11575</v>
      </c>
      <c r="U1682" s="6" t="str">
        <f t="shared" si="809"/>
        <v>=20.67*100000000</v>
      </c>
      <c r="V1682" s="1">
        <f>20.67*100000000</f>
        <v>2067000000.0000002</v>
      </c>
      <c r="W1682" s="8">
        <f t="shared" si="826"/>
        <v>0.50655976676384862</v>
      </c>
      <c r="X1682" s="6" t="s">
        <v>9110</v>
      </c>
      <c r="Y1682" s="6" t="str">
        <f t="shared" si="810"/>
        <v>=13.72*100000000</v>
      </c>
      <c r="Z1682" s="1">
        <f>13.72*100000000</f>
        <v>1372000000</v>
      </c>
      <c r="AA1682" s="8">
        <f t="shared" si="827"/>
        <v>1.0262885836656328</v>
      </c>
      <c r="AB1682" s="6" t="s">
        <v>15740</v>
      </c>
      <c r="AC1682" s="6" t="str">
        <f t="shared" si="811"/>
        <v>=6.771*100000000</v>
      </c>
      <c r="AD1682" s="1">
        <f>6.771*100000000</f>
        <v>677100000</v>
      </c>
      <c r="AE1682" s="8">
        <f t="shared" si="828"/>
        <v>3.2398246712586101</v>
      </c>
      <c r="AF1682" s="6" t="s">
        <v>2924</v>
      </c>
      <c r="AG1682" s="6" t="str">
        <f t="shared" si="812"/>
        <v>=1.597*100000000</v>
      </c>
      <c r="AH1682" s="1">
        <f>1.597*100000000</f>
        <v>159700000</v>
      </c>
      <c r="AI1682" s="8">
        <f t="shared" si="829"/>
        <v>-0.92519906323185008</v>
      </c>
      <c r="AJ1682" s="6" t="s">
        <v>15741</v>
      </c>
      <c r="AK1682" s="6" t="str">
        <f t="shared" si="813"/>
        <v>=21.35*100000000</v>
      </c>
      <c r="AL1682" s="1">
        <f>21.35*100000000</f>
        <v>2135000000.0000002</v>
      </c>
      <c r="AM1682" s="8">
        <f t="shared" si="830"/>
        <v>0.32280049566294933</v>
      </c>
      <c r="AN1682" s="6" t="s">
        <v>10757</v>
      </c>
      <c r="AO1682" s="6" t="str">
        <f t="shared" si="814"/>
        <v>=16.14*100000000</v>
      </c>
      <c r="AP1682" s="1">
        <f>16.14*100000000</f>
        <v>1614000000</v>
      </c>
      <c r="AQ1682" s="8">
        <f t="shared" si="831"/>
        <v>0.81266846361185985</v>
      </c>
      <c r="AR1682" s="6" t="s">
        <v>15742</v>
      </c>
      <c r="AS1682" s="6" t="str">
        <f t="shared" si="815"/>
        <v>=8.904*100000000</v>
      </c>
      <c r="AT1682" s="1">
        <f>8.904*100000000</f>
        <v>890400000</v>
      </c>
      <c r="AU1682" s="8">
        <f t="shared" si="832"/>
        <v>1.8275643061289297</v>
      </c>
      <c r="AV1682" s="6" t="s">
        <v>15743</v>
      </c>
      <c r="AW1682" s="6" t="str">
        <f t="shared" si="816"/>
        <v>=3.149*100000000</v>
      </c>
      <c r="AX1682" s="1">
        <f>3.149*100000000</f>
        <v>314900000</v>
      </c>
      <c r="AY1682" s="10">
        <f t="shared" si="833"/>
        <v>-0.84518190757128808</v>
      </c>
      <c r="AZ1682" s="6" t="s">
        <v>14668</v>
      </c>
      <c r="BA1682" s="6" t="str">
        <f t="shared" si="817"/>
        <v>=20.34*100000000</v>
      </c>
      <c r="BB1682" s="1">
        <f>20.34*100000000</f>
        <v>2034000000</v>
      </c>
      <c r="BC1682" s="8">
        <f t="shared" si="834"/>
        <v>0.42536790469516467</v>
      </c>
      <c r="BD1682" s="6" t="s">
        <v>1974</v>
      </c>
      <c r="BE1682" s="6" t="str">
        <f t="shared" si="818"/>
        <v>=14.27*100000000</v>
      </c>
      <c r="BF1682" s="1">
        <f>14.27*100000000</f>
        <v>1427000000</v>
      </c>
      <c r="BG1682" s="8">
        <f t="shared" si="835"/>
        <v>0.68596408317580337</v>
      </c>
      <c r="BH1682" s="6" t="s">
        <v>15744</v>
      </c>
      <c r="BI1682" s="6" t="str">
        <f t="shared" si="819"/>
        <v>=8.464*100000000</v>
      </c>
      <c r="BJ1682" s="1">
        <f>8.464*100000000</f>
        <v>846400000</v>
      </c>
      <c r="BK1682" s="6" t="s">
        <v>2915</v>
      </c>
      <c r="BL1682" s="1" t="str">
        <f t="shared" si="821"/>
        <v>=2.945*100000000</v>
      </c>
      <c r="BM1682" s="16">
        <f t="shared" si="836"/>
        <v>1.8740237691001698</v>
      </c>
      <c r="BN1682" s="1">
        <f>2.945*100000000</f>
        <v>294500000</v>
      </c>
    </row>
    <row r="1683" spans="1:66">
      <c r="A1683" s="18"/>
      <c r="B1683">
        <v>603227</v>
      </c>
      <c r="C1683" t="s">
        <v>48</v>
      </c>
      <c r="D1683" s="6" t="s">
        <v>12064</v>
      </c>
      <c r="E1683" s="7" t="str">
        <f t="shared" si="820"/>
        <v>=2.540*100000000</v>
      </c>
      <c r="F1683" s="1">
        <f>2.54*100000000</f>
        <v>254000000</v>
      </c>
      <c r="G1683" s="8">
        <f t="shared" si="822"/>
        <v>0.28153380423814328</v>
      </c>
      <c r="H1683" s="6" t="s">
        <v>15745</v>
      </c>
      <c r="I1683" s="6" t="str">
        <f t="shared" si="806"/>
        <v>=1.982*100000000</v>
      </c>
      <c r="J1683" s="1">
        <f>1.982*100000000</f>
        <v>198200000</v>
      </c>
      <c r="K1683" s="10">
        <f t="shared" si="823"/>
        <v>0.94695481335952847</v>
      </c>
      <c r="L1683" s="6" t="s">
        <v>2234</v>
      </c>
      <c r="M1683" s="6" t="str">
        <f t="shared" si="807"/>
        <v>=1.018*100000000</v>
      </c>
      <c r="N1683" s="1">
        <f>1.018*100000000</f>
        <v>101800000</v>
      </c>
      <c r="O1683" s="8">
        <f t="shared" si="824"/>
        <v>2.6737639841212557</v>
      </c>
      <c r="P1683" s="7" t="s">
        <v>10840</v>
      </c>
      <c r="Q1683" s="6" t="str">
        <f t="shared" si="808"/>
        <v>=2771*10000</v>
      </c>
      <c r="R1683" s="11">
        <f>2771*10000</f>
        <v>27710000</v>
      </c>
      <c r="S1683" s="8">
        <f t="shared" si="825"/>
        <v>-0.87075559701492533</v>
      </c>
      <c r="T1683" s="6" t="s">
        <v>4884</v>
      </c>
      <c r="U1683" s="6" t="str">
        <f t="shared" si="809"/>
        <v>=2.144*100000000</v>
      </c>
      <c r="V1683" s="1">
        <f>2.144*100000000</f>
        <v>214400000</v>
      </c>
      <c r="W1683" s="8">
        <f t="shared" si="826"/>
        <v>0.32591218305504022</v>
      </c>
      <c r="X1683" s="6" t="s">
        <v>1302</v>
      </c>
      <c r="Y1683" s="6" t="str">
        <f t="shared" si="810"/>
        <v>=1.617*100000000</v>
      </c>
      <c r="Z1683" s="1">
        <f>1.617*100000000</f>
        <v>161700000</v>
      </c>
      <c r="AA1683" s="8">
        <f t="shared" si="827"/>
        <v>2.94775390625</v>
      </c>
      <c r="AB1683" s="7" t="s">
        <v>15746</v>
      </c>
      <c r="AC1683" s="6" t="str">
        <f t="shared" si="811"/>
        <v>=4096*10000</v>
      </c>
      <c r="AD1683" s="1">
        <f>4096*10000</f>
        <v>40960000</v>
      </c>
      <c r="AE1683" s="8">
        <f t="shared" si="828"/>
        <v>-3.0728744939271255</v>
      </c>
      <c r="AF1683" s="7">
        <f>-1976*10000</f>
        <v>-19760000</v>
      </c>
      <c r="AG1683" s="6" t="str">
        <f t="shared" si="812"/>
        <v>=-19760000</v>
      </c>
      <c r="AH1683" s="1">
        <f>-19760000</f>
        <v>-19760000</v>
      </c>
      <c r="AI1683" s="8">
        <f t="shared" si="829"/>
        <v>-1.1073913043478261</v>
      </c>
      <c r="AJ1683" s="6" t="s">
        <v>13849</v>
      </c>
      <c r="AK1683" s="6" t="str">
        <f t="shared" si="813"/>
        <v>=1.840*100000000</v>
      </c>
      <c r="AL1683" s="1">
        <f>1.84*100000000</f>
        <v>184000000</v>
      </c>
      <c r="AM1683" s="8">
        <f t="shared" si="830"/>
        <v>0.26373626373626374</v>
      </c>
      <c r="AN1683" s="6" t="s">
        <v>3879</v>
      </c>
      <c r="AO1683" s="6" t="str">
        <f t="shared" si="814"/>
        <v>=1.456*100000000</v>
      </c>
      <c r="AP1683" s="1">
        <f>1.456*100000000</f>
        <v>145600000</v>
      </c>
      <c r="AQ1683" s="8">
        <f t="shared" si="831"/>
        <v>5.9366364935683658</v>
      </c>
      <c r="AR1683" s="7" t="s">
        <v>15747</v>
      </c>
      <c r="AS1683" s="6" t="str">
        <f t="shared" si="815"/>
        <v>=2099*10000</v>
      </c>
      <c r="AT1683" s="1">
        <f>2099*10000</f>
        <v>20990000</v>
      </c>
      <c r="AU1683" s="8">
        <f t="shared" si="832"/>
        <v>-1.9484862178038862</v>
      </c>
      <c r="AV1683" s="7">
        <f>-2213*10000</f>
        <v>-22130000</v>
      </c>
      <c r="AW1683" s="6" t="str">
        <f t="shared" si="816"/>
        <v>=-22130000</v>
      </c>
      <c r="AX1683" s="1">
        <f>-22130000</f>
        <v>-22130000</v>
      </c>
      <c r="AY1683" s="10">
        <f t="shared" si="833"/>
        <v>-1.1437012987012987</v>
      </c>
      <c r="AZ1683" s="6" t="s">
        <v>12759</v>
      </c>
      <c r="BA1683" s="6" t="str">
        <f t="shared" si="817"/>
        <v>=1.540*100000000</v>
      </c>
      <c r="BB1683" s="1">
        <f>1.54*100000000</f>
        <v>154000000</v>
      </c>
      <c r="BC1683" s="8">
        <f t="shared" si="834"/>
        <v>0.23496391339214098</v>
      </c>
      <c r="BD1683" s="6" t="s">
        <v>12065</v>
      </c>
      <c r="BE1683" s="6" t="str">
        <f t="shared" si="818"/>
        <v>=1.247*100000000</v>
      </c>
      <c r="BF1683" s="1">
        <f>1.247*100000000</f>
        <v>124700000.00000001</v>
      </c>
      <c r="BG1683" s="8">
        <f t="shared" si="835"/>
        <v>2.0289045421423371</v>
      </c>
      <c r="BH1683" s="7" t="s">
        <v>15748</v>
      </c>
      <c r="BI1683" s="6" t="str">
        <f t="shared" si="819"/>
        <v>=4117*10000</v>
      </c>
      <c r="BJ1683" s="1">
        <f>4117*10000</f>
        <v>41170000</v>
      </c>
      <c r="BK1683" s="7">
        <f>-1507*10000</f>
        <v>-15070000</v>
      </c>
      <c r="BL1683" s="1" t="str">
        <f t="shared" si="821"/>
        <v>=-15070000</v>
      </c>
      <c r="BM1683" s="16">
        <f t="shared" si="836"/>
        <v>-3.7319177173191771</v>
      </c>
      <c r="BN1683" s="1">
        <f>-15070000</f>
        <v>-15070000</v>
      </c>
    </row>
    <row r="1684" spans="1:66">
      <c r="A1684" s="18"/>
      <c r="B1684">
        <v>603227</v>
      </c>
      <c r="C1684" t="s">
        <v>58</v>
      </c>
      <c r="D1684" s="6" t="s">
        <v>9641</v>
      </c>
      <c r="E1684" s="7" t="str">
        <f t="shared" si="820"/>
        <v>=2.483*100000000</v>
      </c>
      <c r="F1684" s="1">
        <f>2.483*100000000</f>
        <v>248300000</v>
      </c>
      <c r="G1684" s="8">
        <f t="shared" si="822"/>
        <v>0.27202868852459017</v>
      </c>
      <c r="H1684" s="6" t="s">
        <v>15749</v>
      </c>
      <c r="I1684" s="6" t="str">
        <f t="shared" si="806"/>
        <v>=1.952*100000000</v>
      </c>
      <c r="J1684" s="1">
        <f>1.952*100000000</f>
        <v>195200000</v>
      </c>
      <c r="K1684" s="10">
        <f t="shared" si="823"/>
        <v>0.96516661632940703</v>
      </c>
      <c r="L1684" s="7" t="s">
        <v>15750</v>
      </c>
      <c r="M1684" s="6" t="str">
        <f t="shared" si="807"/>
        <v>=9933*10000</v>
      </c>
      <c r="N1684" s="1">
        <f>9933*10000</f>
        <v>99330000</v>
      </c>
      <c r="O1684" s="8">
        <f t="shared" si="824"/>
        <v>2.597609561752988</v>
      </c>
      <c r="P1684" s="7" t="s">
        <v>15751</v>
      </c>
      <c r="Q1684" s="6" t="str">
        <f t="shared" si="808"/>
        <v>=2761*10000</v>
      </c>
      <c r="R1684" s="11">
        <f>2761*10000</f>
        <v>27610000</v>
      </c>
      <c r="S1684" s="8">
        <f t="shared" si="825"/>
        <v>-0.85991882293252153</v>
      </c>
      <c r="T1684" s="6" t="s">
        <v>4066</v>
      </c>
      <c r="U1684" s="6" t="str">
        <f t="shared" si="809"/>
        <v>=1.971*100000000</v>
      </c>
      <c r="V1684" s="1">
        <f>1.971*100000000</f>
        <v>197100000</v>
      </c>
      <c r="W1684" s="8">
        <f t="shared" si="826"/>
        <v>0.33536585365853661</v>
      </c>
      <c r="X1684" s="6" t="s">
        <v>4451</v>
      </c>
      <c r="Y1684" s="6" t="str">
        <f t="shared" si="810"/>
        <v>=1.476*100000000</v>
      </c>
      <c r="Z1684" s="1">
        <f>1.476*100000000</f>
        <v>147600000</v>
      </c>
      <c r="AA1684" s="8">
        <f t="shared" si="827"/>
        <v>4.2155477031802118</v>
      </c>
      <c r="AB1684" s="7" t="s">
        <v>15752</v>
      </c>
      <c r="AC1684" s="6" t="str">
        <f t="shared" si="811"/>
        <v>=2830*10000</v>
      </c>
      <c r="AD1684" s="1">
        <f>2830*10000</f>
        <v>28300000</v>
      </c>
      <c r="AE1684" s="8">
        <f t="shared" si="828"/>
        <v>-1.8485757121439281</v>
      </c>
      <c r="AF1684" s="7">
        <f>-3335*10000</f>
        <v>-33350000</v>
      </c>
      <c r="AG1684" s="6" t="str">
        <f t="shared" si="812"/>
        <v>=-33350000</v>
      </c>
      <c r="AH1684" s="1">
        <f>-33350000</f>
        <v>-33350000</v>
      </c>
      <c r="AI1684" s="8">
        <f t="shared" si="829"/>
        <v>-1.188737973967176</v>
      </c>
      <c r="AJ1684" s="6" t="s">
        <v>15753</v>
      </c>
      <c r="AK1684" s="6" t="str">
        <f t="shared" si="813"/>
        <v>=1.767*100000000</v>
      </c>
      <c r="AL1684" s="1">
        <f>1.767*100000000</f>
        <v>176700000</v>
      </c>
      <c r="AM1684" s="8">
        <f t="shared" si="830"/>
        <v>0.23307745987438938</v>
      </c>
      <c r="AN1684" s="6" t="s">
        <v>15754</v>
      </c>
      <c r="AO1684" s="6" t="str">
        <f t="shared" si="814"/>
        <v>=1.433*100000000</v>
      </c>
      <c r="AP1684" s="1">
        <f>1.433*100000000</f>
        <v>143300000</v>
      </c>
      <c r="AQ1684" s="8">
        <f t="shared" si="831"/>
        <v>5.8761996161228405</v>
      </c>
      <c r="AR1684" s="7" t="s">
        <v>15755</v>
      </c>
      <c r="AS1684" s="6" t="str">
        <f t="shared" si="815"/>
        <v>=2084*10000</v>
      </c>
      <c r="AT1684" s="1">
        <f>2084*10000</f>
        <v>20840000</v>
      </c>
      <c r="AU1684" s="8">
        <f t="shared" si="832"/>
        <v>-1.9357880556802873</v>
      </c>
      <c r="AV1684" s="7">
        <f>-2227*10000</f>
        <v>-22270000</v>
      </c>
      <c r="AW1684" s="6" t="str">
        <f t="shared" si="816"/>
        <v>=-22270000</v>
      </c>
      <c r="AX1684" s="1">
        <f>-22270000</f>
        <v>-22270000</v>
      </c>
      <c r="AY1684" s="10">
        <f t="shared" si="833"/>
        <v>-1.1505747126436781</v>
      </c>
      <c r="AZ1684" s="6" t="s">
        <v>1293</v>
      </c>
      <c r="BA1684" s="6" t="str">
        <f t="shared" si="817"/>
        <v>=1.479*100000000</v>
      </c>
      <c r="BB1684" s="1">
        <f>1.479*100000000</f>
        <v>147900000</v>
      </c>
      <c r="BC1684" s="8">
        <f t="shared" si="834"/>
        <v>0.24390243902439024</v>
      </c>
      <c r="BD1684" s="6" t="s">
        <v>1130</v>
      </c>
      <c r="BE1684" s="6" t="str">
        <f t="shared" si="818"/>
        <v>=1.189*100000000</v>
      </c>
      <c r="BF1684" s="1">
        <f>1.189*100000000</f>
        <v>118900000</v>
      </c>
      <c r="BG1684" s="8">
        <f t="shared" si="835"/>
        <v>1.9927007299270072</v>
      </c>
      <c r="BH1684" s="7" t="s">
        <v>15756</v>
      </c>
      <c r="BI1684" s="6" t="str">
        <f t="shared" si="819"/>
        <v>=3973*10000</v>
      </c>
      <c r="BJ1684" s="1">
        <f>3973*10000</f>
        <v>39730000</v>
      </c>
      <c r="BK1684" s="7">
        <f>-1523*10000</f>
        <v>-15230000</v>
      </c>
      <c r="BL1684" s="1" t="str">
        <f t="shared" si="821"/>
        <v>=-15230000</v>
      </c>
      <c r="BM1684" s="16">
        <f t="shared" si="836"/>
        <v>-3.608667104399212</v>
      </c>
      <c r="BN1684" s="1">
        <f>-15230000</f>
        <v>-15230000</v>
      </c>
    </row>
    <row r="1685" spans="1:66">
      <c r="A1685" s="19"/>
      <c r="B1685">
        <v>603227</v>
      </c>
      <c r="C1685" t="s">
        <v>68</v>
      </c>
      <c r="D1685" s="6" t="s">
        <v>1992</v>
      </c>
      <c r="E1685" s="7" t="str">
        <f t="shared" si="820"/>
        <v>=1.955*100000000</v>
      </c>
      <c r="F1685" s="1">
        <f>1.955*100000000</f>
        <v>195500000</v>
      </c>
      <c r="G1685" s="8">
        <f t="shared" si="822"/>
        <v>0.20530209617755857</v>
      </c>
      <c r="H1685" s="6" t="s">
        <v>2912</v>
      </c>
      <c r="I1685" s="6" t="str">
        <f t="shared" si="806"/>
        <v>=1.622*100000000</v>
      </c>
      <c r="J1685" s="1">
        <f>1.622*100000000</f>
        <v>162200000</v>
      </c>
      <c r="K1685" s="10">
        <f t="shared" si="823"/>
        <v>1.0206802043104521</v>
      </c>
      <c r="L1685" s="7" t="s">
        <v>15757</v>
      </c>
      <c r="M1685" s="6" t="str">
        <f t="shared" si="807"/>
        <v>=8027*10000</v>
      </c>
      <c r="N1685" s="1">
        <f>8027*10000</f>
        <v>80270000</v>
      </c>
      <c r="O1685" s="8">
        <f t="shared" si="824"/>
        <v>2.9659090909090908</v>
      </c>
      <c r="P1685" s="7" t="s">
        <v>6933</v>
      </c>
      <c r="Q1685" s="6" t="str">
        <f t="shared" si="808"/>
        <v>=2024*10000</v>
      </c>
      <c r="R1685" s="11">
        <f>2024*10000</f>
        <v>20240000</v>
      </c>
      <c r="S1685" s="8">
        <f t="shared" si="825"/>
        <v>-0.8583624912526242</v>
      </c>
      <c r="T1685" s="6" t="s">
        <v>3573</v>
      </c>
      <c r="U1685" s="6" t="str">
        <f t="shared" si="809"/>
        <v>=1.429*100000000</v>
      </c>
      <c r="V1685" s="1">
        <f>1.429*100000000</f>
        <v>142900000</v>
      </c>
      <c r="W1685" s="8">
        <f t="shared" si="826"/>
        <v>0.29909090909090891</v>
      </c>
      <c r="X1685" s="6" t="s">
        <v>3906</v>
      </c>
      <c r="Y1685" s="6" t="str">
        <f t="shared" si="810"/>
        <v>=1.100*100000000</v>
      </c>
      <c r="Z1685" s="1">
        <f>1.1*100000000</f>
        <v>110000000.00000001</v>
      </c>
      <c r="AA1685" s="8">
        <f t="shared" si="827"/>
        <v>7.4485407066052236</v>
      </c>
      <c r="AB1685" s="7" t="s">
        <v>15758</v>
      </c>
      <c r="AC1685" s="6" t="str">
        <f t="shared" si="811"/>
        <v>=1302*10000</v>
      </c>
      <c r="AD1685" s="1">
        <f>1302*10000</f>
        <v>13020000</v>
      </c>
      <c r="AE1685" s="8">
        <f t="shared" si="828"/>
        <v>-1.3406593406593406</v>
      </c>
      <c r="AF1685" s="7">
        <f>-3822*10000</f>
        <v>-38220000</v>
      </c>
      <c r="AG1685" s="6" t="str">
        <f t="shared" si="812"/>
        <v>=-38220000</v>
      </c>
      <c r="AH1685" s="1">
        <f>-38220000</f>
        <v>-38220000</v>
      </c>
      <c r="AI1685" s="8">
        <f t="shared" si="829"/>
        <v>-1.3030927835051549</v>
      </c>
      <c r="AJ1685" s="6" t="s">
        <v>8867</v>
      </c>
      <c r="AK1685" s="6" t="str">
        <f t="shared" si="813"/>
        <v>=1.261*100000000</v>
      </c>
      <c r="AL1685" s="1">
        <f>1.261*100000000</f>
        <v>126099999.99999999</v>
      </c>
      <c r="AM1685" s="8">
        <f t="shared" si="830"/>
        <v>0.16328413284132812</v>
      </c>
      <c r="AN1685" s="6" t="s">
        <v>2094</v>
      </c>
      <c r="AO1685" s="6" t="str">
        <f t="shared" si="814"/>
        <v>=1.084*100000000</v>
      </c>
      <c r="AP1685" s="1">
        <f>1.084*100000000</f>
        <v>108400000.00000001</v>
      </c>
      <c r="AQ1685" s="8">
        <f t="shared" si="831"/>
        <v>8.369057908383752</v>
      </c>
      <c r="AR1685" s="7" t="s">
        <v>15759</v>
      </c>
      <c r="AS1685" s="6" t="str">
        <f t="shared" si="815"/>
        <v>=1157*10000</v>
      </c>
      <c r="AT1685" s="1">
        <f>1157*10000</f>
        <v>11570000</v>
      </c>
      <c r="AU1685" s="8">
        <f t="shared" si="832"/>
        <v>-1.4451712196998845</v>
      </c>
      <c r="AV1685" s="7">
        <f>-2599*10000</f>
        <v>-25990000</v>
      </c>
      <c r="AW1685" s="6" t="str">
        <f t="shared" si="816"/>
        <v>=-25990000</v>
      </c>
      <c r="AX1685" s="1">
        <f>-25990000</f>
        <v>-25990000</v>
      </c>
      <c r="AY1685" s="10">
        <f t="shared" si="833"/>
        <v>-1.2616267364606402</v>
      </c>
      <c r="AZ1685" s="7" t="s">
        <v>8277</v>
      </c>
      <c r="BA1685" s="6" t="str">
        <f t="shared" si="817"/>
        <v>=9934*10000</v>
      </c>
      <c r="BB1685" s="1">
        <f>9934*10000</f>
        <v>99340000</v>
      </c>
      <c r="BC1685" s="8">
        <f t="shared" si="834"/>
        <v>0.1927002041061352</v>
      </c>
      <c r="BD1685" s="7" t="s">
        <v>15346</v>
      </c>
      <c r="BE1685" s="6" t="str">
        <f t="shared" si="818"/>
        <v>=8329*10000</v>
      </c>
      <c r="BF1685" s="1">
        <f>8329*10000</f>
        <v>83290000</v>
      </c>
      <c r="BG1685" s="8">
        <f t="shared" si="835"/>
        <v>2.9737595419847329</v>
      </c>
      <c r="BH1685" s="7" t="s">
        <v>15760</v>
      </c>
      <c r="BI1685" s="6" t="str">
        <f t="shared" si="819"/>
        <v>=2096*10000</v>
      </c>
      <c r="BJ1685" s="1">
        <f>2096*10000</f>
        <v>20960000</v>
      </c>
      <c r="BK1685" s="7">
        <f>-1872*10000</f>
        <v>-18720000</v>
      </c>
      <c r="BL1685" s="1" t="str">
        <f t="shared" si="821"/>
        <v>=-18720000</v>
      </c>
      <c r="BM1685" s="16">
        <f t="shared" si="836"/>
        <v>-2.1196581196581197</v>
      </c>
      <c r="BN1685" s="1">
        <f>-18720000</f>
        <v>-18720000</v>
      </c>
    </row>
    <row r="1686" spans="1:66">
      <c r="A1686" s="17">
        <v>423</v>
      </c>
      <c r="B1686">
        <v>603239</v>
      </c>
      <c r="C1686" t="s">
        <v>31</v>
      </c>
      <c r="D1686" s="6" t="s">
        <v>4131</v>
      </c>
      <c r="E1686" s="7" t="str">
        <f t="shared" si="820"/>
        <v>=7.872*100000000</v>
      </c>
      <c r="F1686" s="1">
        <f>7.872*100000000</f>
        <v>787200000</v>
      </c>
      <c r="G1686" s="8">
        <f t="shared" si="822"/>
        <v>0.42376559956592513</v>
      </c>
      <c r="H1686" s="6" t="s">
        <v>128</v>
      </c>
      <c r="I1686" s="6" t="str">
        <f t="shared" si="806"/>
        <v>=5.529*100000000</v>
      </c>
      <c r="J1686" s="1">
        <f>5.529*100000000</f>
        <v>552900000</v>
      </c>
      <c r="K1686" s="10">
        <f t="shared" si="823"/>
        <v>0.46930640446452299</v>
      </c>
      <c r="L1686" s="6" t="s">
        <v>1519</v>
      </c>
      <c r="M1686" s="6" t="str">
        <f t="shared" si="807"/>
        <v>=3.763*100000000</v>
      </c>
      <c r="N1686" s="1">
        <f>3.763*100000000</f>
        <v>376300000</v>
      </c>
      <c r="O1686" s="8">
        <f t="shared" si="824"/>
        <v>0.90050505050505047</v>
      </c>
      <c r="P1686" s="6" t="s">
        <v>2002</v>
      </c>
      <c r="Q1686" s="6" t="str">
        <f t="shared" si="808"/>
        <v>=1.980*100000000</v>
      </c>
      <c r="R1686" s="11">
        <f>1.98*100000000</f>
        <v>198000000</v>
      </c>
      <c r="S1686" s="8">
        <f t="shared" si="825"/>
        <v>-0.67955979932027832</v>
      </c>
      <c r="T1686" s="6" t="s">
        <v>15761</v>
      </c>
      <c r="U1686" s="6" t="str">
        <f t="shared" si="809"/>
        <v>=6.179*100000000</v>
      </c>
      <c r="V1686" s="1">
        <f>6.179*100000000</f>
        <v>617900000</v>
      </c>
      <c r="W1686" s="8">
        <f t="shared" si="826"/>
        <v>0.50121477162293515</v>
      </c>
      <c r="X1686" s="6" t="s">
        <v>7167</v>
      </c>
      <c r="Y1686" s="6" t="str">
        <f t="shared" si="810"/>
        <v>=4.116*100000000</v>
      </c>
      <c r="Z1686" s="1">
        <f>4.116*100000000</f>
        <v>411599999.99999994</v>
      </c>
      <c r="AA1686" s="8">
        <f t="shared" si="827"/>
        <v>0.55614366729678621</v>
      </c>
      <c r="AB1686" s="6" t="s">
        <v>12024</v>
      </c>
      <c r="AC1686" s="6" t="str">
        <f t="shared" si="811"/>
        <v>=2.645*100000000</v>
      </c>
      <c r="AD1686" s="1">
        <f>2.645*100000000</f>
        <v>264500000</v>
      </c>
      <c r="AE1686" s="8">
        <f t="shared" si="828"/>
        <v>0.88659058487874465</v>
      </c>
      <c r="AF1686" s="6" t="s">
        <v>2543</v>
      </c>
      <c r="AG1686" s="6" t="str">
        <f t="shared" si="812"/>
        <v>=1.402*100000000</v>
      </c>
      <c r="AH1686" s="1">
        <f>1.402*100000000</f>
        <v>140200000</v>
      </c>
      <c r="AI1686" s="8">
        <f t="shared" si="829"/>
        <v>-0.78178988326848253</v>
      </c>
      <c r="AJ1686" s="6" t="s">
        <v>2044</v>
      </c>
      <c r="AK1686" s="6" t="str">
        <f t="shared" si="813"/>
        <v>=6.425*100000000</v>
      </c>
      <c r="AL1686" s="1">
        <f>6.425*100000000</f>
        <v>642500000</v>
      </c>
      <c r="AM1686" s="8">
        <f t="shared" si="830"/>
        <v>0.46823583180987183</v>
      </c>
      <c r="AN1686" s="6" t="s">
        <v>4062</v>
      </c>
      <c r="AO1686" s="6" t="str">
        <f t="shared" si="814"/>
        <v>=4.376*100000000</v>
      </c>
      <c r="AP1686" s="1">
        <f>4.376*100000000</f>
        <v>437600000.00000006</v>
      </c>
      <c r="AQ1686" s="8">
        <f t="shared" si="831"/>
        <v>0.46648793565683666</v>
      </c>
      <c r="AR1686" s="6" t="s">
        <v>15762</v>
      </c>
      <c r="AS1686" s="6" t="str">
        <f t="shared" si="815"/>
        <v>=2.984*100000000</v>
      </c>
      <c r="AT1686" s="1">
        <f>2.984*100000000</f>
        <v>298400000</v>
      </c>
      <c r="AU1686" s="8">
        <f t="shared" si="832"/>
        <v>0.91037131882202305</v>
      </c>
      <c r="AV1686" s="6" t="s">
        <v>7543</v>
      </c>
      <c r="AW1686" s="6" t="str">
        <f t="shared" si="816"/>
        <v>=1.562*100000000</v>
      </c>
      <c r="AX1686" s="1">
        <f>1.562*100000000</f>
        <v>156200000</v>
      </c>
      <c r="AY1686" s="10">
        <f t="shared" si="833"/>
        <v>-0.77828246983676364</v>
      </c>
      <c r="AZ1686" s="6" t="s">
        <v>15763</v>
      </c>
      <c r="BA1686" s="6" t="str">
        <f t="shared" si="817"/>
        <v>=7.045*100000000</v>
      </c>
      <c r="BB1686" s="1">
        <f>7.045*100000000</f>
        <v>704500000</v>
      </c>
      <c r="BC1686" s="8">
        <f t="shared" si="834"/>
        <v>0.31485628966032114</v>
      </c>
      <c r="BD1686" s="6" t="s">
        <v>15764</v>
      </c>
      <c r="BE1686" s="6" t="str">
        <f t="shared" si="818"/>
        <v>=5.358*100000000</v>
      </c>
      <c r="BF1686" s="1">
        <f>5.358*100000000</f>
        <v>535799999.99999994</v>
      </c>
      <c r="BG1686" s="8">
        <f t="shared" si="835"/>
        <v>0.39386056191467206</v>
      </c>
      <c r="BH1686" s="6" t="s">
        <v>15765</v>
      </c>
      <c r="BI1686" s="6" t="str">
        <f t="shared" si="819"/>
        <v>=3.844*100000000</v>
      </c>
      <c r="BJ1686" s="1">
        <f>3.844*100000000</f>
        <v>384400000</v>
      </c>
      <c r="BK1686" s="6" t="s">
        <v>6574</v>
      </c>
      <c r="BL1686" s="1" t="str">
        <f t="shared" si="821"/>
        <v>=1.907*100000000</v>
      </c>
      <c r="BM1686" s="16">
        <f t="shared" si="836"/>
        <v>1.0157315154693236</v>
      </c>
      <c r="BN1686" s="1">
        <f>1.907*100000000</f>
        <v>190700000</v>
      </c>
    </row>
    <row r="1687" spans="1:66">
      <c r="A1687" s="18"/>
      <c r="B1687">
        <v>603239</v>
      </c>
      <c r="C1687" t="s">
        <v>48</v>
      </c>
      <c r="D1687" s="6" t="s">
        <v>5818</v>
      </c>
      <c r="E1687" s="7" t="str">
        <f t="shared" si="820"/>
        <v>=1.626*100000000</v>
      </c>
      <c r="F1687" s="1">
        <f>1.626*100000000</f>
        <v>162600000</v>
      </c>
      <c r="G1687" s="8">
        <f t="shared" si="822"/>
        <v>0.33717105263157893</v>
      </c>
      <c r="H1687" s="6" t="s">
        <v>6536</v>
      </c>
      <c r="I1687" s="6" t="str">
        <f t="shared" si="806"/>
        <v>=1.216*100000000</v>
      </c>
      <c r="J1687" s="1">
        <f>1.216*100000000</f>
        <v>121600000</v>
      </c>
      <c r="K1687" s="10">
        <f t="shared" si="823"/>
        <v>0.26891370134613379</v>
      </c>
      <c r="L1687" s="7" t="s">
        <v>4737</v>
      </c>
      <c r="M1687" s="6" t="str">
        <f t="shared" si="807"/>
        <v>=9583*10000</v>
      </c>
      <c r="N1687" s="1">
        <f>9583*10000</f>
        <v>95830000</v>
      </c>
      <c r="O1687" s="8">
        <f t="shared" si="824"/>
        <v>0.66284921048065248</v>
      </c>
      <c r="P1687" s="7" t="s">
        <v>15766</v>
      </c>
      <c r="Q1687" s="6" t="str">
        <f t="shared" si="808"/>
        <v>=5763*10000</v>
      </c>
      <c r="R1687" s="11">
        <f>5763*10000</f>
        <v>57630000</v>
      </c>
      <c r="S1687" s="8">
        <f t="shared" si="825"/>
        <v>-0.5341147938561035</v>
      </c>
      <c r="T1687" s="6" t="s">
        <v>2393</v>
      </c>
      <c r="U1687" s="6" t="str">
        <f t="shared" si="809"/>
        <v>=1.237*100000000</v>
      </c>
      <c r="V1687" s="1">
        <f>1.237*100000000</f>
        <v>123700000.00000001</v>
      </c>
      <c r="W1687" s="8">
        <f t="shared" si="826"/>
        <v>0.53607351297653072</v>
      </c>
      <c r="X1687" s="7" t="s">
        <v>11471</v>
      </c>
      <c r="Y1687" s="6" t="str">
        <f t="shared" si="810"/>
        <v>=8053*10000</v>
      </c>
      <c r="Z1687" s="1">
        <f>8053*10000</f>
        <v>80530000</v>
      </c>
      <c r="AA1687" s="8">
        <f t="shared" si="827"/>
        <v>0.37446663253114865</v>
      </c>
      <c r="AB1687" s="7" t="s">
        <v>15767</v>
      </c>
      <c r="AC1687" s="6" t="str">
        <f t="shared" si="811"/>
        <v>=5859*10000</v>
      </c>
      <c r="AD1687" s="1">
        <f>5859*10000</f>
        <v>58590000</v>
      </c>
      <c r="AE1687" s="8">
        <f t="shared" si="828"/>
        <v>0.632943143812709</v>
      </c>
      <c r="AF1687" s="7" t="s">
        <v>15768</v>
      </c>
      <c r="AG1687" s="6" t="str">
        <f t="shared" si="812"/>
        <v>=3588*10000</v>
      </c>
      <c r="AH1687" s="1">
        <f>3588*10000</f>
        <v>35880000</v>
      </c>
      <c r="AI1687" s="8">
        <f t="shared" si="829"/>
        <v>-0.68359788359788354</v>
      </c>
      <c r="AJ1687" s="6" t="s">
        <v>10000</v>
      </c>
      <c r="AK1687" s="6" t="str">
        <f t="shared" si="813"/>
        <v>=1.134*100000000</v>
      </c>
      <c r="AL1687" s="1">
        <f>1.134*100000000</f>
        <v>113399999.99999999</v>
      </c>
      <c r="AM1687" s="8">
        <f t="shared" si="830"/>
        <v>0.56868169871351482</v>
      </c>
      <c r="AN1687" s="7" t="s">
        <v>15769</v>
      </c>
      <c r="AO1687" s="6" t="str">
        <f t="shared" si="814"/>
        <v>=7229*10000</v>
      </c>
      <c r="AP1687" s="1">
        <f>7229*10000</f>
        <v>72290000</v>
      </c>
      <c r="AQ1687" s="8">
        <f t="shared" si="831"/>
        <v>0.40368932038834954</v>
      </c>
      <c r="AR1687" s="7" t="s">
        <v>15770</v>
      </c>
      <c r="AS1687" s="6" t="str">
        <f t="shared" si="815"/>
        <v>=5150*10000</v>
      </c>
      <c r="AT1687" s="1">
        <f>5150*10000</f>
        <v>51500000</v>
      </c>
      <c r="AU1687" s="8">
        <f t="shared" si="832"/>
        <v>0.88437614343212589</v>
      </c>
      <c r="AV1687" s="7" t="s">
        <v>15771</v>
      </c>
      <c r="AW1687" s="6" t="str">
        <f t="shared" si="816"/>
        <v>=2733*10000</v>
      </c>
      <c r="AX1687" s="1">
        <f>2733*10000</f>
        <v>27330000</v>
      </c>
      <c r="AY1687" s="10">
        <f t="shared" si="833"/>
        <v>-0.80464617583988562</v>
      </c>
      <c r="AZ1687" s="6" t="s">
        <v>2166</v>
      </c>
      <c r="BA1687" s="6" t="str">
        <f t="shared" si="817"/>
        <v>=1.399*100000000</v>
      </c>
      <c r="BB1687" s="1">
        <f>1.399*100000000</f>
        <v>139900000</v>
      </c>
      <c r="BC1687" s="8">
        <f t="shared" si="834"/>
        <v>0.10331230283911672</v>
      </c>
      <c r="BD1687" s="6" t="s">
        <v>8257</v>
      </c>
      <c r="BE1687" s="6" t="str">
        <f t="shared" si="818"/>
        <v>=1.268*100000000</v>
      </c>
      <c r="BF1687" s="1">
        <f>1.268*100000000</f>
        <v>126800000</v>
      </c>
      <c r="BG1687" s="8">
        <f t="shared" si="835"/>
        <v>0.30345394736842107</v>
      </c>
      <c r="BH1687" s="7" t="s">
        <v>2883</v>
      </c>
      <c r="BI1687" s="6" t="str">
        <f t="shared" si="819"/>
        <v>=9728*10000</v>
      </c>
      <c r="BJ1687" s="1">
        <f>9728*10000</f>
        <v>97280000</v>
      </c>
      <c r="BK1687" s="7" t="s">
        <v>15772</v>
      </c>
      <c r="BL1687" s="1" t="str">
        <f t="shared" si="821"/>
        <v>=4594*10000</v>
      </c>
      <c r="BM1687" s="16">
        <f t="shared" si="836"/>
        <v>1.1175446234218547</v>
      </c>
      <c r="BN1687" s="1">
        <f>4594*10000</f>
        <v>45940000</v>
      </c>
    </row>
    <row r="1688" spans="1:66">
      <c r="A1688" s="18"/>
      <c r="B1688">
        <v>603239</v>
      </c>
      <c r="C1688" t="s">
        <v>58</v>
      </c>
      <c r="D1688" s="6" t="s">
        <v>9037</v>
      </c>
      <c r="E1688" s="7" t="str">
        <f t="shared" si="820"/>
        <v>=1.615*100000000</v>
      </c>
      <c r="F1688" s="1">
        <f>1.615*100000000</f>
        <v>161500000</v>
      </c>
      <c r="G1688" s="8">
        <f t="shared" si="822"/>
        <v>0.34024896265560167</v>
      </c>
      <c r="H1688" s="6" t="s">
        <v>15773</v>
      </c>
      <c r="I1688" s="6" t="str">
        <f t="shared" si="806"/>
        <v>=1.205*100000000</v>
      </c>
      <c r="J1688" s="1">
        <f>1.205*100000000</f>
        <v>120500000</v>
      </c>
      <c r="K1688" s="10">
        <f t="shared" si="823"/>
        <v>0.27123114252558289</v>
      </c>
      <c r="L1688" s="7" t="s">
        <v>15774</v>
      </c>
      <c r="M1688" s="6" t="str">
        <f t="shared" si="807"/>
        <v>=9479*10000</v>
      </c>
      <c r="N1688" s="1">
        <f>9479*10000</f>
        <v>94790000</v>
      </c>
      <c r="O1688" s="8">
        <f t="shared" si="824"/>
        <v>0.64451769604441356</v>
      </c>
      <c r="P1688" s="7" t="s">
        <v>15775</v>
      </c>
      <c r="Q1688" s="6" t="str">
        <f t="shared" si="808"/>
        <v>=5764*10000</v>
      </c>
      <c r="R1688" s="11">
        <f>5764*10000</f>
        <v>57640000</v>
      </c>
      <c r="S1688" s="8">
        <f t="shared" si="825"/>
        <v>-0.52402972749793564</v>
      </c>
      <c r="T1688" s="6" t="s">
        <v>261</v>
      </c>
      <c r="U1688" s="6" t="str">
        <f t="shared" si="809"/>
        <v>=1.211*100000000</v>
      </c>
      <c r="V1688" s="1">
        <f>1.211*100000000</f>
        <v>121100000.00000001</v>
      </c>
      <c r="W1688" s="8">
        <f t="shared" si="826"/>
        <v>0.51318255654129719</v>
      </c>
      <c r="X1688" s="7" t="s">
        <v>15776</v>
      </c>
      <c r="Y1688" s="6" t="str">
        <f t="shared" si="810"/>
        <v>=8003*10000</v>
      </c>
      <c r="Z1688" s="1">
        <f>8003*10000</f>
        <v>80030000</v>
      </c>
      <c r="AA1688" s="8">
        <f t="shared" si="827"/>
        <v>0.37343401407242149</v>
      </c>
      <c r="AB1688" s="7" t="s">
        <v>1461</v>
      </c>
      <c r="AC1688" s="6" t="str">
        <f t="shared" si="811"/>
        <v>=5827*10000</v>
      </c>
      <c r="AD1688" s="1">
        <f>5827*10000</f>
        <v>58270000</v>
      </c>
      <c r="AE1688" s="8">
        <f t="shared" si="828"/>
        <v>0.63496071829405165</v>
      </c>
      <c r="AF1688" s="7" t="s">
        <v>10357</v>
      </c>
      <c r="AG1688" s="6" t="str">
        <f t="shared" si="812"/>
        <v>=3564*10000</v>
      </c>
      <c r="AH1688" s="1">
        <f>3564*10000</f>
        <v>35640000</v>
      </c>
      <c r="AI1688" s="8">
        <f t="shared" si="829"/>
        <v>-0.68235294117647061</v>
      </c>
      <c r="AJ1688" s="6" t="s">
        <v>11388</v>
      </c>
      <c r="AK1688" s="6" t="str">
        <f t="shared" si="813"/>
        <v>=1.122*100000000</v>
      </c>
      <c r="AL1688" s="1">
        <f>1.122*100000000</f>
        <v>112200000.00000001</v>
      </c>
      <c r="AM1688" s="8">
        <f t="shared" si="830"/>
        <v>0.55746807329261538</v>
      </c>
      <c r="AN1688" s="7" t="s">
        <v>15777</v>
      </c>
      <c r="AO1688" s="6" t="str">
        <f t="shared" si="814"/>
        <v>=7204*10000</v>
      </c>
      <c r="AP1688" s="1">
        <f>7204*10000</f>
        <v>72040000</v>
      </c>
      <c r="AQ1688" s="8">
        <f t="shared" si="831"/>
        <v>0.39180834621329214</v>
      </c>
      <c r="AR1688" s="7" t="s">
        <v>15778</v>
      </c>
      <c r="AS1688" s="6" t="str">
        <f t="shared" si="815"/>
        <v>=5176*10000</v>
      </c>
      <c r="AT1688" s="1">
        <f>5176*10000</f>
        <v>51760000</v>
      </c>
      <c r="AU1688" s="8">
        <f t="shared" si="832"/>
        <v>0.62818496382510225</v>
      </c>
      <c r="AV1688" s="7" t="s">
        <v>15779</v>
      </c>
      <c r="AW1688" s="6" t="str">
        <f t="shared" si="816"/>
        <v>=3179*10000</v>
      </c>
      <c r="AX1688" s="1">
        <f>3179*10000</f>
        <v>31790000</v>
      </c>
      <c r="AY1688" s="10">
        <f t="shared" si="833"/>
        <v>-0.77485835694050986</v>
      </c>
      <c r="AZ1688" s="6" t="s">
        <v>6619</v>
      </c>
      <c r="BA1688" s="6" t="str">
        <f t="shared" si="817"/>
        <v>=1.412*100000000</v>
      </c>
      <c r="BB1688" s="1">
        <f>1.412*100000000</f>
        <v>141200000</v>
      </c>
      <c r="BC1688" s="8">
        <f t="shared" si="834"/>
        <v>8.4485407066052232E-2</v>
      </c>
      <c r="BD1688" s="6" t="s">
        <v>4036</v>
      </c>
      <c r="BE1688" s="6" t="str">
        <f t="shared" si="818"/>
        <v>=1.302*100000000</v>
      </c>
      <c r="BF1688" s="1">
        <f>1.302*100000000</f>
        <v>130200000</v>
      </c>
      <c r="BG1688" s="8">
        <f t="shared" si="835"/>
        <v>0.28910891089108909</v>
      </c>
      <c r="BH1688" s="6" t="s">
        <v>908</v>
      </c>
      <c r="BI1688" s="6" t="str">
        <f t="shared" si="819"/>
        <v>=1.010*100000000</v>
      </c>
      <c r="BJ1688" s="1">
        <f>1.01*100000000</f>
        <v>101000000</v>
      </c>
      <c r="BK1688" s="7" t="s">
        <v>15780</v>
      </c>
      <c r="BL1688" s="1" t="str">
        <f t="shared" si="821"/>
        <v>=4580*10000</v>
      </c>
      <c r="BM1688" s="16">
        <f t="shared" si="836"/>
        <v>1.205240174672489</v>
      </c>
      <c r="BN1688" s="1">
        <f>4580*10000</f>
        <v>45800000</v>
      </c>
    </row>
    <row r="1689" spans="1:66">
      <c r="A1689" s="19"/>
      <c r="B1689">
        <v>603239</v>
      </c>
      <c r="C1689" t="s">
        <v>68</v>
      </c>
      <c r="D1689" s="6" t="s">
        <v>15781</v>
      </c>
      <c r="E1689" s="7" t="str">
        <f t="shared" si="820"/>
        <v>=1.418*100000000</v>
      </c>
      <c r="F1689" s="1">
        <f>1.418*100000000</f>
        <v>141800000</v>
      </c>
      <c r="G1689" s="8">
        <f t="shared" si="822"/>
        <v>0.3352165725047081</v>
      </c>
      <c r="H1689" s="6" t="s">
        <v>104</v>
      </c>
      <c r="I1689" s="6" t="str">
        <f t="shared" si="806"/>
        <v>=1.062*100000000</v>
      </c>
      <c r="J1689" s="1">
        <f>1.062*100000000</f>
        <v>106200000</v>
      </c>
      <c r="K1689" s="10">
        <f t="shared" si="823"/>
        <v>0.28198937711250605</v>
      </c>
      <c r="L1689" s="7" t="s">
        <v>15782</v>
      </c>
      <c r="M1689" s="6" t="str">
        <f t="shared" si="807"/>
        <v>=8284*10000</v>
      </c>
      <c r="N1689" s="1">
        <f>8284*10000</f>
        <v>82840000</v>
      </c>
      <c r="O1689" s="8">
        <f t="shared" si="824"/>
        <v>0.69406952965235169</v>
      </c>
      <c r="P1689" s="7" t="s">
        <v>9763</v>
      </c>
      <c r="Q1689" s="6" t="str">
        <f t="shared" si="808"/>
        <v>=4890*10000</v>
      </c>
      <c r="R1689" s="11">
        <f>4890*10000</f>
        <v>48900000</v>
      </c>
      <c r="S1689" s="8">
        <f t="shared" si="825"/>
        <v>-0.5412757973733584</v>
      </c>
      <c r="T1689" s="6" t="s">
        <v>15783</v>
      </c>
      <c r="U1689" s="6" t="str">
        <f t="shared" si="809"/>
        <v>=1.066*100000000</v>
      </c>
      <c r="V1689" s="1">
        <f>1.066*100000000</f>
        <v>106600000</v>
      </c>
      <c r="W1689" s="8">
        <f t="shared" si="826"/>
        <v>0.50884642604387831</v>
      </c>
      <c r="X1689" s="7" t="s">
        <v>15784</v>
      </c>
      <c r="Y1689" s="6" t="str">
        <f t="shared" si="810"/>
        <v>=7065*10000</v>
      </c>
      <c r="Z1689" s="1">
        <f>7065*10000</f>
        <v>70650000</v>
      </c>
      <c r="AA1689" s="8">
        <f t="shared" si="827"/>
        <v>0.37024825446082232</v>
      </c>
      <c r="AB1689" s="7" t="s">
        <v>15785</v>
      </c>
      <c r="AC1689" s="6" t="str">
        <f t="shared" si="811"/>
        <v>=5156*10000</v>
      </c>
      <c r="AD1689" s="1">
        <f>5156*10000</f>
        <v>51560000</v>
      </c>
      <c r="AE1689" s="8">
        <f t="shared" si="828"/>
        <v>0.62444864524259613</v>
      </c>
      <c r="AF1689" s="7" t="s">
        <v>15786</v>
      </c>
      <c r="AG1689" s="6" t="str">
        <f t="shared" si="812"/>
        <v>=3174*10000</v>
      </c>
      <c r="AH1689" s="1">
        <f>3174*10000</f>
        <v>31740000</v>
      </c>
      <c r="AI1689" s="8">
        <f t="shared" si="829"/>
        <v>-0.67409384947119833</v>
      </c>
      <c r="AJ1689" s="7" t="s">
        <v>15787</v>
      </c>
      <c r="AK1689" s="6" t="str">
        <f t="shared" si="813"/>
        <v>=9739*10000</v>
      </c>
      <c r="AL1689" s="1">
        <f>9739*10000</f>
        <v>97390000</v>
      </c>
      <c r="AM1689" s="8">
        <f t="shared" si="830"/>
        <v>0.56676319176319179</v>
      </c>
      <c r="AN1689" s="7" t="s">
        <v>15788</v>
      </c>
      <c r="AO1689" s="6" t="str">
        <f t="shared" si="814"/>
        <v>=6216*10000</v>
      </c>
      <c r="AP1689" s="1">
        <f>6216*10000</f>
        <v>62160000</v>
      </c>
      <c r="AQ1689" s="8">
        <f t="shared" si="831"/>
        <v>0.37006832708838439</v>
      </c>
      <c r="AR1689" s="7" t="s">
        <v>13668</v>
      </c>
      <c r="AS1689" s="6" t="str">
        <f t="shared" si="815"/>
        <v>=4537*10000</v>
      </c>
      <c r="AT1689" s="1">
        <f>4537*10000</f>
        <v>45370000</v>
      </c>
      <c r="AU1689" s="8">
        <f t="shared" si="832"/>
        <v>0.62908438061041294</v>
      </c>
      <c r="AV1689" s="7" t="s">
        <v>10548</v>
      </c>
      <c r="AW1689" s="6" t="str">
        <f t="shared" si="816"/>
        <v>=2785*10000</v>
      </c>
      <c r="AX1689" s="1">
        <f>2785*10000</f>
        <v>27850000</v>
      </c>
      <c r="AY1689" s="10">
        <f t="shared" si="833"/>
        <v>-0.77246732026143794</v>
      </c>
      <c r="AZ1689" s="6" t="s">
        <v>11458</v>
      </c>
      <c r="BA1689" s="6" t="str">
        <f t="shared" si="817"/>
        <v>=1.224*100000000</v>
      </c>
      <c r="BB1689" s="1">
        <f>1.224*100000000</f>
        <v>122400000</v>
      </c>
      <c r="BC1689" s="8">
        <f t="shared" si="834"/>
        <v>7.5571177504393808E-2</v>
      </c>
      <c r="BD1689" s="6" t="s">
        <v>9249</v>
      </c>
      <c r="BE1689" s="6" t="str">
        <f t="shared" si="818"/>
        <v>=1.138*100000000</v>
      </c>
      <c r="BF1689" s="1">
        <f>1.138*100000000</f>
        <v>113799999.99999999</v>
      </c>
      <c r="BG1689" s="8">
        <f t="shared" si="835"/>
        <v>0.27822082444119944</v>
      </c>
      <c r="BH1689" s="7" t="s">
        <v>15789</v>
      </c>
      <c r="BI1689" s="6" t="str">
        <f t="shared" si="819"/>
        <v>=8903*10000</v>
      </c>
      <c r="BJ1689" s="1">
        <f>8903*10000</f>
        <v>89030000</v>
      </c>
      <c r="BK1689" s="7" t="s">
        <v>4917</v>
      </c>
      <c r="BL1689" s="1" t="str">
        <f t="shared" si="821"/>
        <v>=3875*10000</v>
      </c>
      <c r="BM1689" s="16">
        <f t="shared" si="836"/>
        <v>1.2975483870967741</v>
      </c>
      <c r="BN1689" s="1">
        <f>3875*10000</f>
        <v>38750000</v>
      </c>
    </row>
    <row r="1690" spans="1:66">
      <c r="A1690" s="17">
        <v>424</v>
      </c>
      <c r="B1690">
        <v>603258</v>
      </c>
      <c r="C1690" t="s">
        <v>31</v>
      </c>
      <c r="D1690" s="6" t="s">
        <v>15790</v>
      </c>
      <c r="E1690" s="7" t="str">
        <f t="shared" si="820"/>
        <v>=9.963*100000000</v>
      </c>
      <c r="F1690" s="1">
        <f>9.963*100000000</f>
        <v>996299999.99999988</v>
      </c>
      <c r="G1690" s="8">
        <f t="shared" si="822"/>
        <v>0.30184241473931778</v>
      </c>
      <c r="H1690" s="6" t="s">
        <v>15791</v>
      </c>
      <c r="I1690" s="6" t="str">
        <f t="shared" si="806"/>
        <v>=7.653*100000000</v>
      </c>
      <c r="J1690" s="1">
        <f>7.653*100000000</f>
        <v>765300000</v>
      </c>
      <c r="K1690" s="10">
        <f t="shared" si="823"/>
        <v>0.50590318772136955</v>
      </c>
      <c r="L1690" s="6" t="s">
        <v>15792</v>
      </c>
      <c r="M1690" s="6" t="str">
        <f t="shared" si="807"/>
        <v>=5.082*100000000</v>
      </c>
      <c r="N1690" s="1">
        <f>5.082*100000000</f>
        <v>508200000</v>
      </c>
      <c r="O1690" s="8">
        <f t="shared" si="824"/>
        <v>0.93085106382978722</v>
      </c>
      <c r="P1690" s="6" t="s">
        <v>11594</v>
      </c>
      <c r="Q1690" s="6" t="str">
        <f t="shared" si="808"/>
        <v>=2.632*100000000</v>
      </c>
      <c r="R1690" s="11">
        <f>2.632*100000000</f>
        <v>263200000</v>
      </c>
      <c r="S1690" s="8">
        <f t="shared" si="825"/>
        <v>-0.74296874999999996</v>
      </c>
      <c r="T1690" s="6" t="s">
        <v>6314</v>
      </c>
      <c r="U1690" s="6" t="str">
        <f t="shared" si="809"/>
        <v>=10.24*100000000</v>
      </c>
      <c r="V1690" s="1">
        <f>10.24*100000000</f>
        <v>1024000000</v>
      </c>
      <c r="W1690" s="8">
        <f t="shared" si="826"/>
        <v>0.39017105620418135</v>
      </c>
      <c r="X1690" s="6" t="s">
        <v>15793</v>
      </c>
      <c r="Y1690" s="6" t="str">
        <f t="shared" si="810"/>
        <v>=7.366*100000000</v>
      </c>
      <c r="Z1690" s="1">
        <f>7.366*100000000</f>
        <v>736600000</v>
      </c>
      <c r="AA1690" s="8">
        <f t="shared" si="827"/>
        <v>0.55139005897219884</v>
      </c>
      <c r="AB1690" s="6" t="s">
        <v>15794</v>
      </c>
      <c r="AC1690" s="6" t="str">
        <f t="shared" si="811"/>
        <v>=4.748*100000000</v>
      </c>
      <c r="AD1690" s="1">
        <f>4.748*100000000</f>
        <v>474800000</v>
      </c>
      <c r="AE1690" s="8">
        <f t="shared" si="828"/>
        <v>0.95713107996702362</v>
      </c>
      <c r="AF1690" s="6" t="s">
        <v>3498</v>
      </c>
      <c r="AG1690" s="6" t="str">
        <f t="shared" si="812"/>
        <v>=2.426*100000000</v>
      </c>
      <c r="AH1690" s="1">
        <f>2.426*100000000</f>
        <v>242600000.00000003</v>
      </c>
      <c r="AI1690" s="8">
        <f t="shared" si="829"/>
        <v>-0.65178699583751976</v>
      </c>
      <c r="AJ1690" s="6" t="s">
        <v>2852</v>
      </c>
      <c r="AK1690" s="6" t="str">
        <f t="shared" si="813"/>
        <v>=6.967*100000000</v>
      </c>
      <c r="AL1690" s="1">
        <f>6.967*100000000</f>
        <v>696700000</v>
      </c>
      <c r="AM1690" s="8">
        <f t="shared" si="830"/>
        <v>0.43708745874587457</v>
      </c>
      <c r="AN1690" s="6" t="s">
        <v>11742</v>
      </c>
      <c r="AO1690" s="6" t="str">
        <f t="shared" si="814"/>
        <v>=4.848*100000000</v>
      </c>
      <c r="AP1690" s="1">
        <f>4.848*100000000</f>
        <v>484800000</v>
      </c>
      <c r="AQ1690" s="8">
        <f t="shared" si="831"/>
        <v>0.65010211027910147</v>
      </c>
      <c r="AR1690" s="6" t="s">
        <v>15795</v>
      </c>
      <c r="AS1690" s="6" t="str">
        <f t="shared" si="815"/>
        <v>=2.938*100000000</v>
      </c>
      <c r="AT1690" s="1">
        <f>2.938*100000000</f>
        <v>293800000</v>
      </c>
      <c r="AU1690" s="8">
        <f t="shared" si="832"/>
        <v>1.1698670605612997</v>
      </c>
      <c r="AV1690" s="6" t="s">
        <v>1295</v>
      </c>
      <c r="AW1690" s="6" t="str">
        <f t="shared" si="816"/>
        <v>=1.354*100000000</v>
      </c>
      <c r="AX1690" s="1">
        <f>1.354*100000000</f>
        <v>135400000</v>
      </c>
      <c r="AY1690" s="10">
        <f t="shared" si="833"/>
        <v>-0.69803746654772525</v>
      </c>
      <c r="AZ1690" s="6" t="s">
        <v>4845</v>
      </c>
      <c r="BA1690" s="6" t="str">
        <f t="shared" si="817"/>
        <v>=4.484*100000000</v>
      </c>
      <c r="BB1690" s="1">
        <f>4.484*100000000</f>
        <v>448400000</v>
      </c>
      <c r="BC1690" s="8">
        <f t="shared" si="834"/>
        <v>0.40256490459806066</v>
      </c>
      <c r="BD1690" s="6" t="s">
        <v>15796</v>
      </c>
      <c r="BE1690" s="6" t="str">
        <f t="shared" si="818"/>
        <v>=3.197*100000000</v>
      </c>
      <c r="BF1690" s="1">
        <f>3.197*100000000</f>
        <v>319700000</v>
      </c>
      <c r="BG1690" s="8">
        <f t="shared" si="835"/>
        <v>0.67119707266074224</v>
      </c>
      <c r="BH1690" s="6" t="s">
        <v>8116</v>
      </c>
      <c r="BI1690" s="6" t="str">
        <f t="shared" si="819"/>
        <v>=1.913*100000000</v>
      </c>
      <c r="BJ1690" s="1">
        <f>1.913*100000000</f>
        <v>191300000</v>
      </c>
      <c r="BK1690" s="6" t="s">
        <v>8847</v>
      </c>
      <c r="BL1690" s="1" t="str">
        <f t="shared" si="821"/>
        <v>=1.005*100000000</v>
      </c>
      <c r="BM1690" s="16">
        <f t="shared" si="836"/>
        <v>0.90348258706467688</v>
      </c>
      <c r="BN1690" s="1">
        <f>1.005*100000000</f>
        <v>100499999.99999999</v>
      </c>
    </row>
    <row r="1691" spans="1:66">
      <c r="A1691" s="18"/>
      <c r="B1691">
        <v>603258</v>
      </c>
      <c r="C1691" t="s">
        <v>48</v>
      </c>
      <c r="D1691" s="6" t="s">
        <v>9536</v>
      </c>
      <c r="E1691" s="7" t="str">
        <f t="shared" si="820"/>
        <v>=4.073*100000000</v>
      </c>
      <c r="F1691" s="1">
        <f>4.073*100000000</f>
        <v>407300000.00000006</v>
      </c>
      <c r="G1691" s="8">
        <f t="shared" si="822"/>
        <v>0.15677364385117881</v>
      </c>
      <c r="H1691" s="6" t="s">
        <v>15797</v>
      </c>
      <c r="I1691" s="6" t="str">
        <f t="shared" si="806"/>
        <v>=3.521*100000000</v>
      </c>
      <c r="J1691" s="1">
        <f>3.521*100000000</f>
        <v>352100000</v>
      </c>
      <c r="K1691" s="10">
        <f t="shared" si="823"/>
        <v>0.42377678932470686</v>
      </c>
      <c r="L1691" s="6" t="s">
        <v>15798</v>
      </c>
      <c r="M1691" s="6" t="str">
        <f t="shared" si="807"/>
        <v>=2.473*100000000</v>
      </c>
      <c r="N1691" s="1">
        <f>2.473*100000000</f>
        <v>247300000</v>
      </c>
      <c r="O1691" s="8">
        <f t="shared" si="824"/>
        <v>0.94265514532600181</v>
      </c>
      <c r="P1691" s="6" t="s">
        <v>15799</v>
      </c>
      <c r="Q1691" s="6" t="str">
        <f t="shared" si="808"/>
        <v>=1.273*100000000</v>
      </c>
      <c r="R1691" s="11">
        <f>1.273*100000000</f>
        <v>127299999.99999999</v>
      </c>
      <c r="S1691" s="8">
        <f t="shared" si="825"/>
        <v>-0.71444593988335581</v>
      </c>
      <c r="T1691" s="6" t="s">
        <v>5187</v>
      </c>
      <c r="U1691" s="6" t="str">
        <f t="shared" si="809"/>
        <v>=4.458*100000000</v>
      </c>
      <c r="V1691" s="1">
        <f>4.458*100000000</f>
        <v>445800000</v>
      </c>
      <c r="W1691" s="8">
        <f t="shared" si="826"/>
        <v>0.25365579302587177</v>
      </c>
      <c r="X1691" s="6" t="s">
        <v>9827</v>
      </c>
      <c r="Y1691" s="6" t="str">
        <f t="shared" si="810"/>
        <v>=3.556*100000000</v>
      </c>
      <c r="Z1691" s="1">
        <f>3.556*100000000</f>
        <v>355600000</v>
      </c>
      <c r="AA1691" s="8">
        <f t="shared" si="827"/>
        <v>0.40608936338473706</v>
      </c>
      <c r="AB1691" s="6" t="s">
        <v>15800</v>
      </c>
      <c r="AC1691" s="6" t="str">
        <f t="shared" si="811"/>
        <v>=2.529*100000000</v>
      </c>
      <c r="AD1691" s="1">
        <f>2.529*100000000</f>
        <v>252900000</v>
      </c>
      <c r="AE1691" s="8">
        <f t="shared" si="828"/>
        <v>1.1234256926952142</v>
      </c>
      <c r="AF1691" s="6" t="s">
        <v>15801</v>
      </c>
      <c r="AG1691" s="6" t="str">
        <f t="shared" si="812"/>
        <v>=1.191*100000000</v>
      </c>
      <c r="AH1691" s="1">
        <f>1.191*100000000</f>
        <v>119100000</v>
      </c>
      <c r="AI1691" s="8">
        <f t="shared" si="829"/>
        <v>-0.53458382180539277</v>
      </c>
      <c r="AJ1691" s="6" t="s">
        <v>2862</v>
      </c>
      <c r="AK1691" s="6" t="str">
        <f t="shared" si="813"/>
        <v>=2.559*100000000</v>
      </c>
      <c r="AL1691" s="1">
        <f>2.559*100000000</f>
        <v>255900000.00000003</v>
      </c>
      <c r="AM1691" s="8">
        <f t="shared" si="830"/>
        <v>0.57670979667282829</v>
      </c>
      <c r="AN1691" s="6" t="s">
        <v>2574</v>
      </c>
      <c r="AO1691" s="6" t="str">
        <f t="shared" si="814"/>
        <v>=1.623*100000000</v>
      </c>
      <c r="AP1691" s="1">
        <f>1.623*100000000</f>
        <v>162300000</v>
      </c>
      <c r="AQ1691" s="8">
        <f t="shared" si="831"/>
        <v>0.56963249516441006</v>
      </c>
      <c r="AR1691" s="6" t="s">
        <v>2179</v>
      </c>
      <c r="AS1691" s="6" t="str">
        <f t="shared" si="815"/>
        <v>=1.034*100000000</v>
      </c>
      <c r="AT1691" s="1">
        <f>1.034*100000000</f>
        <v>103400000</v>
      </c>
      <c r="AU1691" s="8">
        <f t="shared" si="832"/>
        <v>1.1110657411188241</v>
      </c>
      <c r="AV1691" s="7" t="s">
        <v>15802</v>
      </c>
      <c r="AW1691" s="6" t="str">
        <f t="shared" si="816"/>
        <v>=4898*10000</v>
      </c>
      <c r="AX1691" s="1">
        <f>4898*10000</f>
        <v>48980000</v>
      </c>
      <c r="AY1691" s="10">
        <f t="shared" si="833"/>
        <v>-0.62922028766086302</v>
      </c>
      <c r="AZ1691" s="6" t="s">
        <v>6883</v>
      </c>
      <c r="BA1691" s="6" t="str">
        <f t="shared" si="817"/>
        <v>=1.321*100000000</v>
      </c>
      <c r="BB1691" s="1">
        <f>1.321*100000000</f>
        <v>132100000</v>
      </c>
      <c r="BC1691" s="8">
        <f t="shared" si="834"/>
        <v>0.43415481489523394</v>
      </c>
      <c r="BD1691" s="7" t="s">
        <v>15803</v>
      </c>
      <c r="BE1691" s="6" t="str">
        <f t="shared" si="818"/>
        <v>=9211*10000</v>
      </c>
      <c r="BF1691" s="1">
        <f>9211*10000</f>
        <v>92110000</v>
      </c>
      <c r="BG1691" s="8">
        <f t="shared" si="835"/>
        <v>0.66083663901911283</v>
      </c>
      <c r="BH1691" s="7" t="s">
        <v>15804</v>
      </c>
      <c r="BI1691" s="6" t="str">
        <f t="shared" si="819"/>
        <v>=5546*10000</v>
      </c>
      <c r="BJ1691" s="1">
        <f>5546*10000</f>
        <v>55460000</v>
      </c>
      <c r="BK1691" s="7" t="s">
        <v>15805</v>
      </c>
      <c r="BL1691" s="1" t="str">
        <f t="shared" si="821"/>
        <v>=2656*10000</v>
      </c>
      <c r="BM1691" s="16">
        <f t="shared" si="836"/>
        <v>1.0881024096385543</v>
      </c>
      <c r="BN1691" s="1">
        <f>2656*10000</f>
        <v>26560000</v>
      </c>
    </row>
    <row r="1692" spans="1:66">
      <c r="A1692" s="18"/>
      <c r="B1692">
        <v>603258</v>
      </c>
      <c r="C1692" t="s">
        <v>58</v>
      </c>
      <c r="D1692" s="6" t="s">
        <v>1388</v>
      </c>
      <c r="E1692" s="7" t="str">
        <f t="shared" si="820"/>
        <v>=4.024*100000000</v>
      </c>
      <c r="F1692" s="1">
        <f>4.024*100000000</f>
        <v>402400000</v>
      </c>
      <c r="G1692" s="8">
        <f t="shared" si="822"/>
        <v>0.15598965814421142</v>
      </c>
      <c r="H1692" s="6" t="s">
        <v>15806</v>
      </c>
      <c r="I1692" s="6" t="str">
        <f t="shared" si="806"/>
        <v>=3.481*100000000</v>
      </c>
      <c r="J1692" s="1">
        <f>3.481*100000000</f>
        <v>348100000</v>
      </c>
      <c r="K1692" s="10">
        <f t="shared" si="823"/>
        <v>0.42139648836259713</v>
      </c>
      <c r="L1692" s="6" t="s">
        <v>15807</v>
      </c>
      <c r="M1692" s="6" t="str">
        <f t="shared" si="807"/>
        <v>=2.449*100000000</v>
      </c>
      <c r="N1692" s="1">
        <f>2.449*100000000</f>
        <v>244899999.99999997</v>
      </c>
      <c r="O1692" s="8">
        <f t="shared" si="824"/>
        <v>0.94674085850556411</v>
      </c>
      <c r="P1692" s="6" t="s">
        <v>2102</v>
      </c>
      <c r="Q1692" s="6" t="str">
        <f t="shared" si="808"/>
        <v>=1.258*100000000</v>
      </c>
      <c r="R1692" s="11">
        <f>1.258*100000000</f>
        <v>125800000</v>
      </c>
      <c r="S1692" s="8">
        <f t="shared" si="825"/>
        <v>-0.72302950242184061</v>
      </c>
      <c r="T1692" s="6" t="s">
        <v>5829</v>
      </c>
      <c r="U1692" s="6" t="str">
        <f t="shared" si="809"/>
        <v>=4.542*100000000</v>
      </c>
      <c r="V1692" s="1">
        <f>4.542*100000000</f>
        <v>454200000</v>
      </c>
      <c r="W1692" s="8">
        <f t="shared" si="826"/>
        <v>0.24609053497942388</v>
      </c>
      <c r="X1692" s="6" t="s">
        <v>15808</v>
      </c>
      <c r="Y1692" s="6" t="str">
        <f t="shared" si="810"/>
        <v>=3.645*100000000</v>
      </c>
      <c r="Z1692" s="1">
        <f>3.645*100000000</f>
        <v>364500000</v>
      </c>
      <c r="AA1692" s="8">
        <f t="shared" si="827"/>
        <v>0.44930417495029823</v>
      </c>
      <c r="AB1692" s="6" t="s">
        <v>1957</v>
      </c>
      <c r="AC1692" s="6" t="str">
        <f t="shared" si="811"/>
        <v>=2.515*100000000</v>
      </c>
      <c r="AD1692" s="1">
        <f>2.515*100000000</f>
        <v>251500000</v>
      </c>
      <c r="AE1692" s="8">
        <f t="shared" si="828"/>
        <v>1.1349745331069609</v>
      </c>
      <c r="AF1692" s="6" t="s">
        <v>4587</v>
      </c>
      <c r="AG1692" s="6" t="str">
        <f t="shared" si="812"/>
        <v>=1.178*100000000</v>
      </c>
      <c r="AH1692" s="1">
        <f>1.178*100000000</f>
        <v>117800000</v>
      </c>
      <c r="AI1692" s="8">
        <f t="shared" si="829"/>
        <v>-0.53785798352295022</v>
      </c>
      <c r="AJ1692" s="6" t="s">
        <v>3483</v>
      </c>
      <c r="AK1692" s="6" t="str">
        <f t="shared" si="813"/>
        <v>=2.549*100000000</v>
      </c>
      <c r="AL1692" s="1">
        <f>2.549*100000000</f>
        <v>254900000</v>
      </c>
      <c r="AM1692" s="8">
        <f t="shared" si="830"/>
        <v>0.58519900497512434</v>
      </c>
      <c r="AN1692" s="6" t="s">
        <v>9267</v>
      </c>
      <c r="AO1692" s="6" t="str">
        <f t="shared" si="814"/>
        <v>=1.608*100000000</v>
      </c>
      <c r="AP1692" s="1">
        <f>1.608*100000000</f>
        <v>160800000</v>
      </c>
      <c r="AQ1692" s="8">
        <f t="shared" si="831"/>
        <v>0.57184750733137857</v>
      </c>
      <c r="AR1692" s="6" t="s">
        <v>4951</v>
      </c>
      <c r="AS1692" s="6" t="str">
        <f t="shared" si="815"/>
        <v>=1.023*100000000</v>
      </c>
      <c r="AT1692" s="1">
        <f>1.023*100000000</f>
        <v>102299999.99999999</v>
      </c>
      <c r="AU1692" s="8">
        <f t="shared" si="832"/>
        <v>1.0886075949367087</v>
      </c>
      <c r="AV1692" s="7" t="s">
        <v>15802</v>
      </c>
      <c r="AW1692" s="6" t="str">
        <f t="shared" si="816"/>
        <v>=4898*10000</v>
      </c>
      <c r="AX1692" s="1">
        <f>4898*10000</f>
        <v>48980000</v>
      </c>
      <c r="AY1692" s="10">
        <f t="shared" si="833"/>
        <v>-0.62922028766086302</v>
      </c>
      <c r="AZ1692" s="6" t="s">
        <v>6883</v>
      </c>
      <c r="BA1692" s="6" t="str">
        <f t="shared" si="817"/>
        <v>=1.321*100000000</v>
      </c>
      <c r="BB1692" s="1">
        <f>1.321*100000000</f>
        <v>132100000</v>
      </c>
      <c r="BC1692" s="8">
        <f t="shared" si="834"/>
        <v>0.4336878662904276</v>
      </c>
      <c r="BD1692" s="7" t="s">
        <v>15809</v>
      </c>
      <c r="BE1692" s="6" t="str">
        <f t="shared" si="818"/>
        <v>=9214*10000</v>
      </c>
      <c r="BF1692" s="1">
        <f>9214*10000</f>
        <v>92140000</v>
      </c>
      <c r="BG1692" s="8">
        <f t="shared" si="835"/>
        <v>0.66167718665464381</v>
      </c>
      <c r="BH1692" s="7" t="s">
        <v>15810</v>
      </c>
      <c r="BI1692" s="6" t="str">
        <f t="shared" si="819"/>
        <v>=5545*10000</v>
      </c>
      <c r="BJ1692" s="1">
        <f>5545*10000</f>
        <v>55450000</v>
      </c>
      <c r="BK1692" s="7" t="s">
        <v>15811</v>
      </c>
      <c r="BL1692" s="1" t="str">
        <f t="shared" si="821"/>
        <v>=2657*10000</v>
      </c>
      <c r="BM1692" s="16">
        <f t="shared" si="836"/>
        <v>1.0869401580730147</v>
      </c>
      <c r="BN1692" s="1">
        <f>2657*10000</f>
        <v>26570000</v>
      </c>
    </row>
    <row r="1693" spans="1:66">
      <c r="A1693" s="19"/>
      <c r="B1693">
        <v>603258</v>
      </c>
      <c r="C1693" t="s">
        <v>68</v>
      </c>
      <c r="D1693" s="6" t="s">
        <v>9215</v>
      </c>
      <c r="E1693" s="7" t="str">
        <f t="shared" si="820"/>
        <v>=3.572*100000000</v>
      </c>
      <c r="F1693" s="1">
        <f>3.572*100000000</f>
        <v>357200000</v>
      </c>
      <c r="G1693" s="8">
        <f t="shared" si="822"/>
        <v>0.19345138656866021</v>
      </c>
      <c r="H1693" s="6" t="s">
        <v>9242</v>
      </c>
      <c r="I1693" s="6" t="str">
        <f t="shared" si="806"/>
        <v>=2.993*100000000</v>
      </c>
      <c r="J1693" s="1">
        <f>2.993*100000000</f>
        <v>299300000</v>
      </c>
      <c r="K1693" s="10">
        <f t="shared" si="823"/>
        <v>0.37293577981651355</v>
      </c>
      <c r="L1693" s="6" t="s">
        <v>8175</v>
      </c>
      <c r="M1693" s="6" t="str">
        <f t="shared" si="807"/>
        <v>=2.180*100000000</v>
      </c>
      <c r="N1693" s="1">
        <f>2.18*100000000</f>
        <v>218000000.00000003</v>
      </c>
      <c r="O1693" s="8">
        <f t="shared" si="824"/>
        <v>1.046948356807512</v>
      </c>
      <c r="P1693" s="6" t="s">
        <v>7680</v>
      </c>
      <c r="Q1693" s="6" t="str">
        <f t="shared" si="808"/>
        <v>=1.065*100000000</v>
      </c>
      <c r="R1693" s="11">
        <f>1.065*100000000</f>
        <v>106500000</v>
      </c>
      <c r="S1693" s="8">
        <f t="shared" si="825"/>
        <v>-0.74144209759650404</v>
      </c>
      <c r="T1693" s="6" t="s">
        <v>15812</v>
      </c>
      <c r="U1693" s="6" t="str">
        <f t="shared" si="809"/>
        <v>=4.119*100000000</v>
      </c>
      <c r="V1693" s="1">
        <f>4.119*100000000</f>
        <v>411900000</v>
      </c>
      <c r="W1693" s="8">
        <f t="shared" si="826"/>
        <v>0.29773156899810965</v>
      </c>
      <c r="X1693" s="6" t="s">
        <v>172</v>
      </c>
      <c r="Y1693" s="6" t="str">
        <f t="shared" si="810"/>
        <v>=3.174*100000000</v>
      </c>
      <c r="Z1693" s="1">
        <f>3.174*100000000</f>
        <v>317400000</v>
      </c>
      <c r="AA1693" s="8">
        <f t="shared" si="827"/>
        <v>0.46944444444444444</v>
      </c>
      <c r="AB1693" s="6" t="s">
        <v>15813</v>
      </c>
      <c r="AC1693" s="6" t="str">
        <f t="shared" si="811"/>
        <v>=2.160*100000000</v>
      </c>
      <c r="AD1693" s="1">
        <f>2.16*100000000</f>
        <v>216000000</v>
      </c>
      <c r="AE1693" s="8">
        <f t="shared" si="828"/>
        <v>1.0909970958373671</v>
      </c>
      <c r="AF1693" s="6" t="s">
        <v>2065</v>
      </c>
      <c r="AG1693" s="6" t="str">
        <f t="shared" si="812"/>
        <v>=1.033*100000000</v>
      </c>
      <c r="AH1693" s="1">
        <f>1.033*100000000</f>
        <v>103299999.99999999</v>
      </c>
      <c r="AI1693" s="8">
        <f t="shared" si="829"/>
        <v>-0.54811898512685919</v>
      </c>
      <c r="AJ1693" s="6" t="s">
        <v>15814</v>
      </c>
      <c r="AK1693" s="6" t="str">
        <f t="shared" si="813"/>
        <v>=2.286*100000000</v>
      </c>
      <c r="AL1693" s="1">
        <f>2.286*100000000</f>
        <v>228600000</v>
      </c>
      <c r="AM1693" s="8">
        <f t="shared" si="830"/>
        <v>0.630527817403709</v>
      </c>
      <c r="AN1693" s="6" t="s">
        <v>2543</v>
      </c>
      <c r="AO1693" s="6" t="str">
        <f t="shared" si="814"/>
        <v>=1.402*100000000</v>
      </c>
      <c r="AP1693" s="1">
        <f>1.402*100000000</f>
        <v>140200000</v>
      </c>
      <c r="AQ1693" s="8">
        <f t="shared" si="831"/>
        <v>0.66429249762583098</v>
      </c>
      <c r="AR1693" s="7" t="s">
        <v>15815</v>
      </c>
      <c r="AS1693" s="6" t="str">
        <f t="shared" si="815"/>
        <v>=8424*10000</v>
      </c>
      <c r="AT1693" s="1">
        <f>8424*10000</f>
        <v>84240000</v>
      </c>
      <c r="AU1693" s="8">
        <f t="shared" si="832"/>
        <v>1.1017964071856288</v>
      </c>
      <c r="AV1693" s="7" t="s">
        <v>15816</v>
      </c>
      <c r="AW1693" s="6" t="str">
        <f t="shared" si="816"/>
        <v>=4008*10000</v>
      </c>
      <c r="AX1693" s="1">
        <f>4008*10000</f>
        <v>40080000</v>
      </c>
      <c r="AY1693" s="10">
        <f t="shared" si="833"/>
        <v>-0.66985172981878094</v>
      </c>
      <c r="AZ1693" s="6" t="s">
        <v>4406</v>
      </c>
      <c r="BA1693" s="6" t="str">
        <f t="shared" si="817"/>
        <v>=1.214*100000000</v>
      </c>
      <c r="BB1693" s="1">
        <f>1.214*100000000</f>
        <v>121400000</v>
      </c>
      <c r="BC1693" s="8">
        <f t="shared" si="834"/>
        <v>0.4619460500963391</v>
      </c>
      <c r="BD1693" s="7" t="s">
        <v>15817</v>
      </c>
      <c r="BE1693" s="6" t="str">
        <f t="shared" si="818"/>
        <v>=8304*10000</v>
      </c>
      <c r="BF1693" s="1">
        <f>8304*10000</f>
        <v>83040000</v>
      </c>
      <c r="BG1693" s="8">
        <f t="shared" si="835"/>
        <v>0.72640332640332639</v>
      </c>
      <c r="BH1693" s="7" t="s">
        <v>3769</v>
      </c>
      <c r="BI1693" s="6" t="str">
        <f t="shared" si="819"/>
        <v>=4810*10000</v>
      </c>
      <c r="BJ1693" s="1">
        <f>4810*10000</f>
        <v>48100000</v>
      </c>
      <c r="BK1693" s="7" t="s">
        <v>15818</v>
      </c>
      <c r="BL1693" s="1" t="str">
        <f t="shared" si="821"/>
        <v>=2154*10000</v>
      </c>
      <c r="BM1693" s="16">
        <f t="shared" si="836"/>
        <v>1.2330547818013</v>
      </c>
      <c r="BN1693" s="1">
        <f>2154*10000</f>
        <v>21540000</v>
      </c>
    </row>
    <row r="1694" spans="1:66">
      <c r="A1694" s="17">
        <v>425</v>
      </c>
      <c r="B1694">
        <v>603259</v>
      </c>
      <c r="C1694" t="s">
        <v>31</v>
      </c>
      <c r="D1694" s="6" t="s">
        <v>14855</v>
      </c>
      <c r="E1694" s="7" t="str">
        <f t="shared" si="820"/>
        <v>=229.0*100000000</v>
      </c>
      <c r="F1694" s="1">
        <f>229*100000000</f>
        <v>22900000000</v>
      </c>
      <c r="G1694" s="8">
        <f t="shared" si="822"/>
        <v>0.38619854721549651</v>
      </c>
      <c r="H1694" s="6" t="s">
        <v>15819</v>
      </c>
      <c r="I1694" s="6" t="str">
        <f t="shared" si="806"/>
        <v>=165.2*100000000</v>
      </c>
      <c r="J1694" s="1">
        <f>165.2*100000000</f>
        <v>16519999999.999998</v>
      </c>
      <c r="K1694" s="10">
        <f t="shared" si="823"/>
        <v>0.56736242884250454</v>
      </c>
      <c r="L1694" s="6" t="s">
        <v>9910</v>
      </c>
      <c r="M1694" s="6" t="str">
        <f t="shared" si="807"/>
        <v>=105.4*100000000</v>
      </c>
      <c r="N1694" s="1">
        <f>105.4*100000000</f>
        <v>10540000000</v>
      </c>
      <c r="O1694" s="8">
        <f t="shared" si="824"/>
        <v>1.1292929292929292</v>
      </c>
      <c r="P1694" s="6" t="s">
        <v>15820</v>
      </c>
      <c r="Q1694" s="6" t="str">
        <f t="shared" si="808"/>
        <v>=49.50*100000000</v>
      </c>
      <c r="R1694" s="11">
        <f>49.5*100000000</f>
        <v>4950000000</v>
      </c>
      <c r="S1694" s="8">
        <f t="shared" si="825"/>
        <v>-0.70072551390568316</v>
      </c>
      <c r="T1694" s="6" t="s">
        <v>15821</v>
      </c>
      <c r="U1694" s="6" t="str">
        <f t="shared" si="809"/>
        <v>=165.4*100000000</v>
      </c>
      <c r="V1694" s="1">
        <f>165.4*100000000</f>
        <v>16540000000</v>
      </c>
      <c r="W1694" s="8">
        <f t="shared" si="826"/>
        <v>0.40050804403048262</v>
      </c>
      <c r="X1694" s="6" t="s">
        <v>13874</v>
      </c>
      <c r="Y1694" s="6" t="str">
        <f t="shared" si="810"/>
        <v>=118.1*100000000</v>
      </c>
      <c r="Z1694" s="1">
        <f>118.1*100000000</f>
        <v>11810000000</v>
      </c>
      <c r="AA1694" s="8">
        <f t="shared" si="827"/>
        <v>0.63324574747614437</v>
      </c>
      <c r="AB1694" s="6" t="s">
        <v>15822</v>
      </c>
      <c r="AC1694" s="6" t="str">
        <f t="shared" si="811"/>
        <v>=72.31*100000000</v>
      </c>
      <c r="AD1694" s="1">
        <f>72.31*100000000</f>
        <v>7231000000</v>
      </c>
      <c r="AE1694" s="8">
        <f t="shared" si="828"/>
        <v>1.2681932245922207</v>
      </c>
      <c r="AF1694" s="6" t="s">
        <v>4357</v>
      </c>
      <c r="AG1694" s="6" t="str">
        <f t="shared" si="812"/>
        <v>=31.88*100000000</v>
      </c>
      <c r="AH1694" s="1">
        <f>31.88*100000000</f>
        <v>3188000000</v>
      </c>
      <c r="AI1694" s="8">
        <f t="shared" si="829"/>
        <v>-0.75229215229215229</v>
      </c>
      <c r="AJ1694" s="6" t="s">
        <v>1634</v>
      </c>
      <c r="AK1694" s="6" t="str">
        <f t="shared" si="813"/>
        <v>=128.7*100000000</v>
      </c>
      <c r="AL1694" s="1">
        <f>128.7*100000000</f>
        <v>12869999999.999998</v>
      </c>
      <c r="AM1694" s="8">
        <f t="shared" si="830"/>
        <v>0.38700290979631408</v>
      </c>
      <c r="AN1694" s="6" t="s">
        <v>15823</v>
      </c>
      <c r="AO1694" s="6" t="str">
        <f t="shared" si="814"/>
        <v>=92.79*100000000</v>
      </c>
      <c r="AP1694" s="1">
        <f>92.79*100000000</f>
        <v>9279000000</v>
      </c>
      <c r="AQ1694" s="8">
        <f t="shared" si="831"/>
        <v>0.57431286053613839</v>
      </c>
      <c r="AR1694" s="6" t="s">
        <v>15824</v>
      </c>
      <c r="AS1694" s="6" t="str">
        <f t="shared" si="815"/>
        <v>=58.94*100000000</v>
      </c>
      <c r="AT1694" s="1">
        <f>58.94*100000000</f>
        <v>5894000000</v>
      </c>
      <c r="AU1694" s="8">
        <f t="shared" si="832"/>
        <v>1.1285662694113399</v>
      </c>
      <c r="AV1694" s="6" t="s">
        <v>3347</v>
      </c>
      <c r="AW1694" s="6" t="str">
        <f t="shared" si="816"/>
        <v>=27.69*100000000</v>
      </c>
      <c r="AX1694" s="1">
        <f>27.69*100000000</f>
        <v>2769000000</v>
      </c>
      <c r="AY1694" s="10">
        <f t="shared" si="833"/>
        <v>-0.71198252548366969</v>
      </c>
      <c r="AZ1694" s="6" t="s">
        <v>15825</v>
      </c>
      <c r="BA1694" s="6" t="str">
        <f t="shared" si="817"/>
        <v>=96.14*100000000</v>
      </c>
      <c r="BB1694" s="1">
        <f>96.14*100000000</f>
        <v>9614000000</v>
      </c>
      <c r="BC1694" s="8">
        <f t="shared" si="834"/>
        <v>0.38910562057506159</v>
      </c>
      <c r="BD1694" s="6" t="s">
        <v>6943</v>
      </c>
      <c r="BE1694" s="6" t="str">
        <f t="shared" si="818"/>
        <v>=69.21*100000000</v>
      </c>
      <c r="BF1694" s="1">
        <f>69.21*100000000</f>
        <v>6920999999.999999</v>
      </c>
      <c r="BG1694" s="8">
        <f t="shared" si="835"/>
        <v>0.56974370605579472</v>
      </c>
      <c r="BH1694" s="6" t="s">
        <v>15826</v>
      </c>
      <c r="BI1694" s="6" t="str">
        <f t="shared" si="819"/>
        <v>=44.09*100000000</v>
      </c>
      <c r="BJ1694" s="1">
        <f>44.09*100000000</f>
        <v>4409000000</v>
      </c>
      <c r="BK1694" s="6" t="s">
        <v>7488</v>
      </c>
      <c r="BL1694" s="1" t="str">
        <f t="shared" si="821"/>
        <v>=21.42*100000000</v>
      </c>
      <c r="BM1694" s="16">
        <f t="shared" si="836"/>
        <v>1.0583566760037346</v>
      </c>
      <c r="BN1694" s="1">
        <f>21.42*100000000</f>
        <v>2142000000.0000002</v>
      </c>
    </row>
    <row r="1695" spans="1:66">
      <c r="A1695" s="18"/>
      <c r="B1695">
        <v>603259</v>
      </c>
      <c r="C1695" t="s">
        <v>48</v>
      </c>
      <c r="D1695" s="6" t="s">
        <v>817</v>
      </c>
      <c r="E1695" s="7" t="str">
        <f t="shared" si="820"/>
        <v>=60.38*100000000</v>
      </c>
      <c r="F1695" s="1">
        <f>60.38*100000000</f>
        <v>6038000000</v>
      </c>
      <c r="G1695" s="8">
        <f t="shared" si="822"/>
        <v>0.40353324035332405</v>
      </c>
      <c r="H1695" s="6" t="s">
        <v>2267</v>
      </c>
      <c r="I1695" s="6" t="str">
        <f t="shared" si="806"/>
        <v>=43.02*100000000</v>
      </c>
      <c r="J1695" s="1">
        <f>43.02*100000000</f>
        <v>4302000000</v>
      </c>
      <c r="K1695" s="10">
        <f t="shared" si="823"/>
        <v>0.34985880138060871</v>
      </c>
      <c r="L1695" s="6" t="s">
        <v>5982</v>
      </c>
      <c r="M1695" s="6" t="str">
        <f t="shared" si="807"/>
        <v>=31.87*100000000</v>
      </c>
      <c r="N1695" s="1">
        <f>31.87*100000000</f>
        <v>3187000000</v>
      </c>
      <c r="O1695" s="8">
        <f t="shared" si="824"/>
        <v>0.87691401648998824</v>
      </c>
      <c r="P1695" s="6" t="s">
        <v>1123</v>
      </c>
      <c r="Q1695" s="6" t="str">
        <f t="shared" si="808"/>
        <v>=16.98*100000000</v>
      </c>
      <c r="R1695" s="11">
        <f>16.98*100000000</f>
        <v>1698000000</v>
      </c>
      <c r="S1695" s="8">
        <f t="shared" si="825"/>
        <v>-0.49896724697550898</v>
      </c>
      <c r="T1695" s="6" t="s">
        <v>15827</v>
      </c>
      <c r="U1695" s="6" t="str">
        <f t="shared" si="809"/>
        <v>=33.89*100000000</v>
      </c>
      <c r="V1695" s="1">
        <f>33.89*100000000</f>
        <v>3389000000</v>
      </c>
      <c r="W1695" s="8">
        <f t="shared" si="826"/>
        <v>0.24412628487518356</v>
      </c>
      <c r="X1695" s="6" t="s">
        <v>7425</v>
      </c>
      <c r="Y1695" s="6" t="str">
        <f t="shared" si="810"/>
        <v>=27.24*100000000</v>
      </c>
      <c r="Z1695" s="1">
        <f>27.24*100000000</f>
        <v>2724000000</v>
      </c>
      <c r="AA1695" s="8">
        <f t="shared" si="827"/>
        <v>0.41066804764370812</v>
      </c>
      <c r="AB1695" s="6" t="s">
        <v>15828</v>
      </c>
      <c r="AC1695" s="6" t="str">
        <f t="shared" si="811"/>
        <v>=19.31*100000000</v>
      </c>
      <c r="AD1695" s="1">
        <f>19.31*100000000</f>
        <v>1930999999.9999998</v>
      </c>
      <c r="AE1695" s="8">
        <f t="shared" si="828"/>
        <v>3.5954307472632072</v>
      </c>
      <c r="AF1695" s="6" t="s">
        <v>15829</v>
      </c>
      <c r="AG1695" s="6" t="str">
        <f t="shared" si="812"/>
        <v>=4.202*100000000</v>
      </c>
      <c r="AH1695" s="1">
        <f>4.202*100000000</f>
        <v>420200000</v>
      </c>
      <c r="AI1695" s="8">
        <f t="shared" si="829"/>
        <v>-0.82050405809483129</v>
      </c>
      <c r="AJ1695" s="6" t="s">
        <v>12807</v>
      </c>
      <c r="AK1695" s="6" t="str">
        <f t="shared" si="813"/>
        <v>=23.41*100000000</v>
      </c>
      <c r="AL1695" s="1">
        <f>23.41*100000000</f>
        <v>2341000000</v>
      </c>
      <c r="AM1695" s="8">
        <f t="shared" si="830"/>
        <v>8.8331008833100882E-2</v>
      </c>
      <c r="AN1695" s="6" t="s">
        <v>8362</v>
      </c>
      <c r="AO1695" s="6" t="str">
        <f t="shared" si="814"/>
        <v>=21.51*100000000</v>
      </c>
      <c r="AP1695" s="1">
        <f>21.51*100000000</f>
        <v>2151000000</v>
      </c>
      <c r="AQ1695" s="8">
        <f t="shared" si="831"/>
        <v>0.67132867132867136</v>
      </c>
      <c r="AR1695" s="6" t="s">
        <v>13506</v>
      </c>
      <c r="AS1695" s="6" t="str">
        <f t="shared" si="815"/>
        <v>=12.87*100000000</v>
      </c>
      <c r="AT1695" s="1">
        <f>12.87*100000000</f>
        <v>1287000000</v>
      </c>
      <c r="AU1695" s="8">
        <f t="shared" si="832"/>
        <v>1.5419711633418922</v>
      </c>
      <c r="AV1695" s="6" t="s">
        <v>8922</v>
      </c>
      <c r="AW1695" s="6" t="str">
        <f t="shared" si="816"/>
        <v>=5.063*100000000</v>
      </c>
      <c r="AX1695" s="1">
        <f>5.063*100000000</f>
        <v>506300000</v>
      </c>
      <c r="AY1695" s="10">
        <f t="shared" si="833"/>
        <v>-0.80413926499032884</v>
      </c>
      <c r="AZ1695" s="6" t="s">
        <v>15830</v>
      </c>
      <c r="BA1695" s="6" t="str">
        <f t="shared" si="817"/>
        <v>=25.85*100000000</v>
      </c>
      <c r="BB1695" s="1">
        <f>25.85*100000000</f>
        <v>2585000000</v>
      </c>
      <c r="BC1695" s="8">
        <f t="shared" si="834"/>
        <v>0.1917934532042416</v>
      </c>
      <c r="BD1695" s="6" t="s">
        <v>3538</v>
      </c>
      <c r="BE1695" s="6" t="str">
        <f t="shared" si="818"/>
        <v>=21.69*100000000</v>
      </c>
      <c r="BF1695" s="1">
        <f>21.69*100000000</f>
        <v>2169000000</v>
      </c>
      <c r="BG1695" s="8">
        <f t="shared" si="835"/>
        <v>0.53286219081272079</v>
      </c>
      <c r="BH1695" s="6" t="s">
        <v>6138</v>
      </c>
      <c r="BI1695" s="6" t="str">
        <f t="shared" si="819"/>
        <v>=14.15*100000000</v>
      </c>
      <c r="BJ1695" s="1">
        <f>14.15*100000000</f>
        <v>1415000000</v>
      </c>
      <c r="BK1695" s="6" t="s">
        <v>12400</v>
      </c>
      <c r="BL1695" s="1" t="str">
        <f t="shared" si="821"/>
        <v>=3.653*100000000</v>
      </c>
      <c r="BM1695" s="16">
        <f t="shared" si="836"/>
        <v>2.8735286066246921</v>
      </c>
      <c r="BN1695" s="1">
        <f>3.653*100000000</f>
        <v>365300000</v>
      </c>
    </row>
    <row r="1696" spans="1:66">
      <c r="A1696" s="18"/>
      <c r="B1696">
        <v>603259</v>
      </c>
      <c r="C1696" t="s">
        <v>58</v>
      </c>
      <c r="D1696" s="6" t="s">
        <v>15831</v>
      </c>
      <c r="E1696" s="7" t="str">
        <f t="shared" si="820"/>
        <v>=60.16*100000000</v>
      </c>
      <c r="F1696" s="1">
        <f>60.16*100000000</f>
        <v>6016000000</v>
      </c>
      <c r="G1696" s="8">
        <f t="shared" si="822"/>
        <v>0.4046229278543077</v>
      </c>
      <c r="H1696" s="6" t="s">
        <v>9006</v>
      </c>
      <c r="I1696" s="6" t="str">
        <f t="shared" si="806"/>
        <v>=42.83*100000000</v>
      </c>
      <c r="J1696" s="1">
        <f>42.83*100000000</f>
        <v>4283000000</v>
      </c>
      <c r="K1696" s="10">
        <f t="shared" si="823"/>
        <v>0.34685534591194966</v>
      </c>
      <c r="L1696" s="6" t="s">
        <v>5653</v>
      </c>
      <c r="M1696" s="6" t="str">
        <f t="shared" si="807"/>
        <v>=31.80*100000000</v>
      </c>
      <c r="N1696" s="1">
        <f>31.8*100000000</f>
        <v>3180000000</v>
      </c>
      <c r="O1696" s="8">
        <f t="shared" si="824"/>
        <v>0.875</v>
      </c>
      <c r="P1696" s="6" t="s">
        <v>7490</v>
      </c>
      <c r="Q1696" s="6" t="str">
        <f t="shared" si="808"/>
        <v>=16.96*100000000</v>
      </c>
      <c r="R1696" s="11">
        <f>16.96*100000000</f>
        <v>1696000000</v>
      </c>
      <c r="S1696" s="8">
        <f t="shared" si="825"/>
        <v>-0.49658652419115462</v>
      </c>
      <c r="T1696" s="6" t="s">
        <v>15832</v>
      </c>
      <c r="U1696" s="6" t="str">
        <f t="shared" si="809"/>
        <v>=33.69*100000000</v>
      </c>
      <c r="V1696" s="1">
        <f>33.69*100000000</f>
        <v>3369000000</v>
      </c>
      <c r="W1696" s="8">
        <f t="shared" si="826"/>
        <v>0.24409158050221566</v>
      </c>
      <c r="X1696" s="6" t="s">
        <v>15833</v>
      </c>
      <c r="Y1696" s="6" t="str">
        <f t="shared" si="810"/>
        <v>=27.08*100000000</v>
      </c>
      <c r="Z1696" s="1">
        <f>27.08*100000000</f>
        <v>2708000000</v>
      </c>
      <c r="AA1696" s="8">
        <f t="shared" si="827"/>
        <v>0.40894901144640999</v>
      </c>
      <c r="AB1696" s="6" t="s">
        <v>1884</v>
      </c>
      <c r="AC1696" s="6" t="str">
        <f t="shared" si="811"/>
        <v>=19.22*100000000</v>
      </c>
      <c r="AD1696" s="1">
        <f>19.22*100000000</f>
        <v>1922000000</v>
      </c>
      <c r="AE1696" s="8">
        <f t="shared" si="828"/>
        <v>3.6224146224146221</v>
      </c>
      <c r="AF1696" s="6" t="s">
        <v>15834</v>
      </c>
      <c r="AG1696" s="6" t="str">
        <f t="shared" si="812"/>
        <v>=4.158*100000000</v>
      </c>
      <c r="AH1696" s="1">
        <f>4.158*100000000</f>
        <v>415800000.00000006</v>
      </c>
      <c r="AI1696" s="8">
        <f t="shared" si="829"/>
        <v>-0.82207958921694479</v>
      </c>
      <c r="AJ1696" s="6" t="s">
        <v>152</v>
      </c>
      <c r="AK1696" s="6" t="str">
        <f t="shared" si="813"/>
        <v>=23.37*100000000</v>
      </c>
      <c r="AL1696" s="1">
        <f>23.37*100000000</f>
        <v>2337000000</v>
      </c>
      <c r="AM1696" s="8">
        <f t="shared" si="830"/>
        <v>8.900279589934762E-2</v>
      </c>
      <c r="AN1696" s="6" t="s">
        <v>15835</v>
      </c>
      <c r="AO1696" s="6" t="str">
        <f t="shared" si="814"/>
        <v>=21.46*100000000</v>
      </c>
      <c r="AP1696" s="1">
        <f>21.46*100000000</f>
        <v>2146000000</v>
      </c>
      <c r="AQ1696" s="8">
        <f t="shared" si="831"/>
        <v>0.67525370804059326</v>
      </c>
      <c r="AR1696" s="6" t="s">
        <v>3969</v>
      </c>
      <c r="AS1696" s="6" t="str">
        <f t="shared" si="815"/>
        <v>=12.81*100000000</v>
      </c>
      <c r="AT1696" s="1">
        <f>12.81*100000000</f>
        <v>1281000000</v>
      </c>
      <c r="AU1696" s="8">
        <f t="shared" si="832"/>
        <v>1.5452016689847008</v>
      </c>
      <c r="AV1696" s="6" t="s">
        <v>15836</v>
      </c>
      <c r="AW1696" s="6" t="str">
        <f t="shared" si="816"/>
        <v>=5.033*100000000</v>
      </c>
      <c r="AX1696" s="1">
        <f>5.033*100000000</f>
        <v>503300000.00000006</v>
      </c>
      <c r="AY1696" s="10">
        <f t="shared" si="833"/>
        <v>-0.80499806276636965</v>
      </c>
      <c r="AZ1696" s="6" t="s">
        <v>324</v>
      </c>
      <c r="BA1696" s="6" t="str">
        <f t="shared" si="817"/>
        <v>=25.81*100000000</v>
      </c>
      <c r="BB1696" s="1">
        <f>25.81*100000000</f>
        <v>2581000000</v>
      </c>
      <c r="BC1696" s="8">
        <f t="shared" si="834"/>
        <v>0.18448829738412115</v>
      </c>
      <c r="BD1696" s="6" t="s">
        <v>15837</v>
      </c>
      <c r="BE1696" s="6" t="str">
        <f t="shared" si="818"/>
        <v>=21.79*100000000</v>
      </c>
      <c r="BF1696" s="1">
        <f>21.79*100000000</f>
        <v>2179000000</v>
      </c>
      <c r="BG1696" s="8">
        <f t="shared" si="835"/>
        <v>0.52912280701754388</v>
      </c>
      <c r="BH1696" s="6" t="s">
        <v>8108</v>
      </c>
      <c r="BI1696" s="6" t="str">
        <f t="shared" si="819"/>
        <v>=14.25*100000000</v>
      </c>
      <c r="BJ1696" s="1">
        <f>14.25*100000000</f>
        <v>1425000000</v>
      </c>
      <c r="BK1696" s="6" t="s">
        <v>11709</v>
      </c>
      <c r="BL1696" s="1" t="str">
        <f t="shared" si="821"/>
        <v>=3.660*100000000</v>
      </c>
      <c r="BM1696" s="16">
        <f t="shared" si="836"/>
        <v>2.8934426229508197</v>
      </c>
      <c r="BN1696" s="1">
        <f>3.66*100000000</f>
        <v>366000000</v>
      </c>
    </row>
    <row r="1697" spans="1:66">
      <c r="A1697" s="19"/>
      <c r="B1697">
        <v>603259</v>
      </c>
      <c r="C1697" t="s">
        <v>68</v>
      </c>
      <c r="D1697" s="6" t="s">
        <v>4768</v>
      </c>
      <c r="E1697" s="7" t="str">
        <f t="shared" si="820"/>
        <v>=51.36*100000000</v>
      </c>
      <c r="F1697" s="1">
        <f>51.36*100000000</f>
        <v>5136000000</v>
      </c>
      <c r="G1697" s="8">
        <f t="shared" si="822"/>
        <v>0.43143812709030083</v>
      </c>
      <c r="H1697" s="6" t="s">
        <v>1874</v>
      </c>
      <c r="I1697" s="6" t="str">
        <f t="shared" si="806"/>
        <v>=35.88*100000000</v>
      </c>
      <c r="J1697" s="1">
        <f>35.88*100000000</f>
        <v>3588000000.0000005</v>
      </c>
      <c r="K1697" s="10">
        <f t="shared" si="823"/>
        <v>0.33283803863298678</v>
      </c>
      <c r="L1697" s="6" t="s">
        <v>2643</v>
      </c>
      <c r="M1697" s="6" t="str">
        <f t="shared" si="807"/>
        <v>=26.92*100000000</v>
      </c>
      <c r="N1697" s="1">
        <f>26.92*100000000</f>
        <v>2692000000</v>
      </c>
      <c r="O1697" s="8">
        <f t="shared" si="824"/>
        <v>0.78633045786330458</v>
      </c>
      <c r="P1697" s="6" t="s">
        <v>8659</v>
      </c>
      <c r="Q1697" s="6" t="str">
        <f t="shared" si="808"/>
        <v>=15.07*100000000</v>
      </c>
      <c r="R1697" s="11">
        <f>15.07*100000000</f>
        <v>1507000000</v>
      </c>
      <c r="S1697" s="8">
        <f t="shared" si="825"/>
        <v>-0.49531145344943067</v>
      </c>
      <c r="T1697" s="6" t="s">
        <v>5909</v>
      </c>
      <c r="U1697" s="6" t="str">
        <f t="shared" si="809"/>
        <v>=29.86*100000000</v>
      </c>
      <c r="V1697" s="1">
        <f>29.86*100000000</f>
        <v>2986000000</v>
      </c>
      <c r="W1697" s="8">
        <f t="shared" si="826"/>
        <v>0.25094260578131544</v>
      </c>
      <c r="X1697" s="6" t="s">
        <v>1016</v>
      </c>
      <c r="Y1697" s="6" t="str">
        <f t="shared" si="810"/>
        <v>=23.87*100000000</v>
      </c>
      <c r="Z1697" s="1">
        <f>23.87*100000000</f>
        <v>2387000000</v>
      </c>
      <c r="AA1697" s="8">
        <f t="shared" si="827"/>
        <v>0.38216560509554143</v>
      </c>
      <c r="AB1697" s="6" t="s">
        <v>8760</v>
      </c>
      <c r="AC1697" s="6" t="str">
        <f t="shared" si="811"/>
        <v>=17.27*100000000</v>
      </c>
      <c r="AD1697" s="1">
        <f>17.27*100000000</f>
        <v>1727000000</v>
      </c>
      <c r="AE1697" s="8">
        <f t="shared" si="828"/>
        <v>4.6604392002622088</v>
      </c>
      <c r="AF1697" s="6" t="s">
        <v>15838</v>
      </c>
      <c r="AG1697" s="6" t="str">
        <f t="shared" si="812"/>
        <v>=3.051*100000000</v>
      </c>
      <c r="AH1697" s="1">
        <f>3.051*100000000</f>
        <v>305100000</v>
      </c>
      <c r="AI1697" s="8">
        <f t="shared" si="829"/>
        <v>-0.84034536891679745</v>
      </c>
      <c r="AJ1697" s="6" t="s">
        <v>11172</v>
      </c>
      <c r="AK1697" s="6" t="str">
        <f t="shared" si="813"/>
        <v>=19.11*100000000</v>
      </c>
      <c r="AL1697" s="1">
        <f>19.11*100000000</f>
        <v>1911000000</v>
      </c>
      <c r="AM1697" s="8">
        <f t="shared" si="830"/>
        <v>5.1155115511551157E-2</v>
      </c>
      <c r="AN1697" s="6" t="s">
        <v>1328</v>
      </c>
      <c r="AO1697" s="6" t="str">
        <f t="shared" si="814"/>
        <v>=18.18*100000000</v>
      </c>
      <c r="AP1697" s="1">
        <f>18.18*100000000</f>
        <v>1818000000</v>
      </c>
      <c r="AQ1697" s="8">
        <f t="shared" si="831"/>
        <v>0.64524886877828058</v>
      </c>
      <c r="AR1697" s="6" t="s">
        <v>173</v>
      </c>
      <c r="AS1697" s="6" t="str">
        <f t="shared" si="815"/>
        <v>=11.05*100000000</v>
      </c>
      <c r="AT1697" s="1">
        <f>11.05*100000000</f>
        <v>1105000000</v>
      </c>
      <c r="AU1697" s="8">
        <f t="shared" si="832"/>
        <v>1.6723095525997582</v>
      </c>
      <c r="AV1697" s="6" t="s">
        <v>15839</v>
      </c>
      <c r="AW1697" s="6" t="str">
        <f t="shared" si="816"/>
        <v>=4.135*100000000</v>
      </c>
      <c r="AX1697" s="1">
        <f>4.135*100000000</f>
        <v>413500000</v>
      </c>
      <c r="AY1697" s="10">
        <f t="shared" si="833"/>
        <v>-0.82283633247643528</v>
      </c>
      <c r="AZ1697" s="6" t="s">
        <v>5920</v>
      </c>
      <c r="BA1697" s="6" t="str">
        <f t="shared" si="817"/>
        <v>=23.34*100000000</v>
      </c>
      <c r="BB1697" s="1">
        <f>23.34*100000000</f>
        <v>2334000000</v>
      </c>
      <c r="BC1697" s="8">
        <f t="shared" si="834"/>
        <v>0.17938352703385549</v>
      </c>
      <c r="BD1697" s="6" t="s">
        <v>9258</v>
      </c>
      <c r="BE1697" s="6" t="str">
        <f t="shared" si="818"/>
        <v>=19.79*100000000</v>
      </c>
      <c r="BF1697" s="1">
        <f>19.79*100000000</f>
        <v>1979000000</v>
      </c>
      <c r="BG1697" s="8">
        <f t="shared" si="835"/>
        <v>0.5176380368098159</v>
      </c>
      <c r="BH1697" s="6" t="s">
        <v>4546</v>
      </c>
      <c r="BI1697" s="6" t="str">
        <f t="shared" si="819"/>
        <v>=13.04*100000000</v>
      </c>
      <c r="BJ1697" s="1">
        <f>13.04*100000000</f>
        <v>1304000000</v>
      </c>
      <c r="BK1697" s="6" t="s">
        <v>8603</v>
      </c>
      <c r="BL1697" s="1" t="str">
        <f t="shared" si="821"/>
        <v>=3.042*100000000</v>
      </c>
      <c r="BM1697" s="16">
        <f t="shared" si="836"/>
        <v>3.286653517422748</v>
      </c>
      <c r="BN1697" s="1">
        <f>3.042*100000000</f>
        <v>304200000</v>
      </c>
    </row>
    <row r="1698" spans="1:66">
      <c r="A1698" s="17">
        <v>426</v>
      </c>
      <c r="B1698">
        <v>603268</v>
      </c>
      <c r="C1698" t="s">
        <v>31</v>
      </c>
      <c r="D1698" s="6" t="s">
        <v>667</v>
      </c>
      <c r="E1698" s="7" t="str">
        <f t="shared" si="820"/>
        <v>=4.030*100000000</v>
      </c>
      <c r="F1698" s="1">
        <f>4.03*100000000</f>
        <v>403000000</v>
      </c>
      <c r="G1698" s="8">
        <f t="shared" si="822"/>
        <v>0.41951391334977106</v>
      </c>
      <c r="H1698" s="6" t="s">
        <v>4293</v>
      </c>
      <c r="I1698" s="6" t="str">
        <f t="shared" si="806"/>
        <v>=2.839*100000000</v>
      </c>
      <c r="J1698" s="1">
        <f>2.839*100000000</f>
        <v>283900000</v>
      </c>
      <c r="K1698" s="10">
        <f t="shared" si="823"/>
        <v>0.53045822102425877</v>
      </c>
      <c r="L1698" s="6" t="s">
        <v>10587</v>
      </c>
      <c r="M1698" s="6" t="str">
        <f t="shared" si="807"/>
        <v>=1.855*100000000</v>
      </c>
      <c r="N1698" s="1">
        <f>1.855*100000000</f>
        <v>185500000</v>
      </c>
      <c r="O1698" s="8">
        <f t="shared" si="824"/>
        <v>1.0021586616297895</v>
      </c>
      <c r="P1698" s="7" t="s">
        <v>15840</v>
      </c>
      <c r="Q1698" s="6" t="str">
        <f t="shared" si="808"/>
        <v>=9265*10000</v>
      </c>
      <c r="R1698" s="11">
        <f>9265*10000</f>
        <v>92650000</v>
      </c>
      <c r="S1698" s="8">
        <f t="shared" si="825"/>
        <v>-0.79240421241317505</v>
      </c>
      <c r="T1698" s="6" t="s">
        <v>7123</v>
      </c>
      <c r="U1698" s="6" t="str">
        <f t="shared" si="809"/>
        <v>=4.463*100000000</v>
      </c>
      <c r="V1698" s="1">
        <f>4.463*100000000</f>
        <v>446300000</v>
      </c>
      <c r="W1698" s="8">
        <f t="shared" si="826"/>
        <v>0.55722260990928119</v>
      </c>
      <c r="X1698" s="6" t="s">
        <v>10117</v>
      </c>
      <c r="Y1698" s="6" t="str">
        <f t="shared" si="810"/>
        <v>=2.866*100000000</v>
      </c>
      <c r="Z1698" s="1">
        <f>2.866*100000000</f>
        <v>286600000</v>
      </c>
      <c r="AA1698" s="8">
        <f t="shared" si="827"/>
        <v>0.6858823529411765</v>
      </c>
      <c r="AB1698" s="6" t="s">
        <v>5185</v>
      </c>
      <c r="AC1698" s="6" t="str">
        <f t="shared" si="811"/>
        <v>=1.700*100000000</v>
      </c>
      <c r="AD1698" s="1">
        <f>1.7*100000000</f>
        <v>170000000</v>
      </c>
      <c r="AE1698" s="8">
        <f t="shared" si="828"/>
        <v>1.3548968001108186</v>
      </c>
      <c r="AF1698" s="7" t="s">
        <v>6052</v>
      </c>
      <c r="AG1698" s="6" t="str">
        <f t="shared" si="812"/>
        <v>=7219*10000</v>
      </c>
      <c r="AH1698" s="1">
        <f>7219*10000</f>
        <v>72190000</v>
      </c>
      <c r="AI1698" s="8">
        <f t="shared" si="829"/>
        <v>-0.87562026188835285</v>
      </c>
      <c r="AJ1698" s="6" t="s">
        <v>15841</v>
      </c>
      <c r="AK1698" s="6" t="str">
        <f t="shared" si="813"/>
        <v>=5.804*100000000</v>
      </c>
      <c r="AL1698" s="1">
        <f>5.804*100000000</f>
        <v>580400000</v>
      </c>
      <c r="AM1698" s="8">
        <f t="shared" si="830"/>
        <v>0.35956898571093932</v>
      </c>
      <c r="AN1698" s="6" t="s">
        <v>12492</v>
      </c>
      <c r="AO1698" s="6" t="str">
        <f t="shared" si="814"/>
        <v>=4.269*100000000</v>
      </c>
      <c r="AP1698" s="1">
        <f>4.269*100000000</f>
        <v>426900000</v>
      </c>
      <c r="AQ1698" s="8">
        <f t="shared" si="831"/>
        <v>0.60187617260787996</v>
      </c>
      <c r="AR1698" s="6" t="s">
        <v>8565</v>
      </c>
      <c r="AS1698" s="6" t="str">
        <f t="shared" si="815"/>
        <v>=2.665*100000000</v>
      </c>
      <c r="AT1698" s="1">
        <f>2.665*100000000</f>
        <v>266500000</v>
      </c>
      <c r="AU1698" s="8">
        <f t="shared" si="832"/>
        <v>0.95381231671554256</v>
      </c>
      <c r="AV1698" s="6" t="s">
        <v>15842</v>
      </c>
      <c r="AW1698" s="6" t="str">
        <f t="shared" si="816"/>
        <v>=1.364*100000000</v>
      </c>
      <c r="AX1698" s="1">
        <f>1.364*100000000</f>
        <v>136400000</v>
      </c>
      <c r="AY1698" s="10">
        <f t="shared" si="833"/>
        <v>-0.76920473773265652</v>
      </c>
      <c r="AZ1698" s="6" t="s">
        <v>1032</v>
      </c>
      <c r="BA1698" s="6" t="str">
        <f t="shared" si="817"/>
        <v>=5.910*100000000</v>
      </c>
      <c r="BB1698" s="1">
        <f>5.91*100000000</f>
        <v>591000000</v>
      </c>
      <c r="BC1698" s="8">
        <f t="shared" si="834"/>
        <v>0.38634764250527798</v>
      </c>
      <c r="BD1698" s="6" t="s">
        <v>5688</v>
      </c>
      <c r="BE1698" s="6" t="str">
        <f t="shared" si="818"/>
        <v>=4.263*100000000</v>
      </c>
      <c r="BF1698" s="1">
        <f>4.263*100000000</f>
        <v>426300000</v>
      </c>
      <c r="BG1698" s="8">
        <f t="shared" si="835"/>
        <v>0.59782608695652151</v>
      </c>
      <c r="BH1698" s="6" t="s">
        <v>15843</v>
      </c>
      <c r="BI1698" s="6" t="str">
        <f t="shared" si="819"/>
        <v>=2.668*100000000</v>
      </c>
      <c r="BJ1698" s="1">
        <f>2.668*100000000</f>
        <v>266800000.00000003</v>
      </c>
      <c r="BK1698" s="6" t="s">
        <v>6049</v>
      </c>
      <c r="BL1698" s="1" t="str">
        <f t="shared" si="821"/>
        <v>=1.337*100000000</v>
      </c>
      <c r="BM1698" s="16">
        <f t="shared" si="836"/>
        <v>0.99551234106207953</v>
      </c>
      <c r="BN1698" s="1">
        <f>1.337*100000000</f>
        <v>133700000</v>
      </c>
    </row>
    <row r="1699" spans="1:66">
      <c r="A1699" s="18"/>
      <c r="B1699">
        <v>603268</v>
      </c>
      <c r="C1699" t="s">
        <v>48</v>
      </c>
      <c r="D1699" s="6">
        <f>-3.21*100000000</f>
        <v>-321000000</v>
      </c>
      <c r="E1699" s="7" t="str">
        <f t="shared" si="820"/>
        <v>=-321000000</v>
      </c>
      <c r="F1699" s="1">
        <f>-321000000</f>
        <v>-321000000</v>
      </c>
      <c r="G1699" s="8">
        <f t="shared" si="822"/>
        <v>10.71960569550931</v>
      </c>
      <c r="H1699" s="7">
        <f>-2739*10000</f>
        <v>-27390000</v>
      </c>
      <c r="I1699" s="6" t="str">
        <f t="shared" si="806"/>
        <v>=-27390000</v>
      </c>
      <c r="J1699" s="1">
        <f>-27390000</f>
        <v>-27390000</v>
      </c>
      <c r="K1699" s="10">
        <f t="shared" si="823"/>
        <v>1.2250203086921203</v>
      </c>
      <c r="L1699" s="7">
        <f>-1231*10000</f>
        <v>-12310000</v>
      </c>
      <c r="M1699" s="6" t="str">
        <f t="shared" si="807"/>
        <v>=-12310000</v>
      </c>
      <c r="N1699" s="1">
        <f>-12310000</f>
        <v>-12310000</v>
      </c>
      <c r="O1699" s="8">
        <f t="shared" si="824"/>
        <v>0.63024764931797117</v>
      </c>
      <c r="P1699" s="7">
        <f>-755.1*10000</f>
        <v>-7551000</v>
      </c>
      <c r="Q1699" s="6" t="str">
        <f t="shared" si="808"/>
        <v>=-7551000</v>
      </c>
      <c r="R1699" s="11">
        <f>-7551000</f>
        <v>-7551000</v>
      </c>
      <c r="S1699" s="8">
        <f t="shared" si="825"/>
        <v>-1.3194162436548222</v>
      </c>
      <c r="T1699" s="7" t="s">
        <v>15844</v>
      </c>
      <c r="U1699" s="6" t="str">
        <f t="shared" si="809"/>
        <v>=2364*10000</v>
      </c>
      <c r="V1699" s="1">
        <f>2364*10000</f>
        <v>23640000</v>
      </c>
      <c r="W1699" s="8">
        <f t="shared" si="826"/>
        <v>-8.5493230174081239E-2</v>
      </c>
      <c r="X1699" s="7" t="s">
        <v>15845</v>
      </c>
      <c r="Y1699" s="6" t="str">
        <f t="shared" si="810"/>
        <v>=2585*10000</v>
      </c>
      <c r="Z1699" s="1">
        <f>2585*10000</f>
        <v>25850000</v>
      </c>
      <c r="AA1699" s="8">
        <f t="shared" si="827"/>
        <v>0.78522099447513816</v>
      </c>
      <c r="AB1699" s="7" t="s">
        <v>15846</v>
      </c>
      <c r="AC1699" s="6" t="str">
        <f t="shared" si="811"/>
        <v>=1448*10000</v>
      </c>
      <c r="AD1699" s="1">
        <f>1448*10000</f>
        <v>14480000</v>
      </c>
      <c r="AE1699" s="8">
        <f t="shared" si="828"/>
        <v>9.0416088765603337</v>
      </c>
      <c r="AF1699" s="7" t="s">
        <v>15847</v>
      </c>
      <c r="AG1699" s="6" t="str">
        <f t="shared" si="812"/>
        <v>=144.2*10000</v>
      </c>
      <c r="AH1699" s="1">
        <f>144.2*10000</f>
        <v>1442000</v>
      </c>
      <c r="AI1699" s="8">
        <f t="shared" si="829"/>
        <v>-0.97029254223320971</v>
      </c>
      <c r="AJ1699" s="7" t="s">
        <v>15848</v>
      </c>
      <c r="AK1699" s="6" t="str">
        <f t="shared" si="813"/>
        <v>=4854*10000</v>
      </c>
      <c r="AL1699" s="1">
        <f>4854*10000</f>
        <v>48540000</v>
      </c>
      <c r="AM1699" s="8">
        <f t="shared" si="830"/>
        <v>-4.5427728613569321E-2</v>
      </c>
      <c r="AN1699" s="7" t="s">
        <v>10058</v>
      </c>
      <c r="AO1699" s="6" t="str">
        <f t="shared" si="814"/>
        <v>=5085*10000</v>
      </c>
      <c r="AP1699" s="1">
        <f>5085*10000</f>
        <v>50850000</v>
      </c>
      <c r="AQ1699" s="8">
        <f t="shared" si="831"/>
        <v>0.85178441369264379</v>
      </c>
      <c r="AR1699" s="7" t="s">
        <v>15849</v>
      </c>
      <c r="AS1699" s="6" t="str">
        <f t="shared" si="815"/>
        <v>=2746*10000</v>
      </c>
      <c r="AT1699" s="1">
        <f>2746*10000</f>
        <v>27460000</v>
      </c>
      <c r="AU1699" s="8">
        <f t="shared" si="832"/>
        <v>0.50630828304991771</v>
      </c>
      <c r="AV1699" s="7" t="s">
        <v>15850</v>
      </c>
      <c r="AW1699" s="6" t="str">
        <f t="shared" si="816"/>
        <v>=1823*10000</v>
      </c>
      <c r="AX1699" s="1">
        <f>1823*10000</f>
        <v>18230000</v>
      </c>
      <c r="AY1699" s="10">
        <f t="shared" si="833"/>
        <v>-0.69371639784946237</v>
      </c>
      <c r="AZ1699" s="7" t="s">
        <v>15851</v>
      </c>
      <c r="BA1699" s="6" t="str">
        <f t="shared" si="817"/>
        <v>=5952*10000</v>
      </c>
      <c r="BB1699" s="1">
        <f>5952*10000</f>
        <v>59520000</v>
      </c>
      <c r="BC1699" s="8">
        <f t="shared" si="834"/>
        <v>3.9650655021834062E-2</v>
      </c>
      <c r="BD1699" s="7" t="s">
        <v>10454</v>
      </c>
      <c r="BE1699" s="6" t="str">
        <f t="shared" si="818"/>
        <v>=5725*10000</v>
      </c>
      <c r="BF1699" s="1">
        <f>5725*10000</f>
        <v>57250000</v>
      </c>
      <c r="BG1699" s="8">
        <f t="shared" si="835"/>
        <v>0.53732545649838881</v>
      </c>
      <c r="BH1699" s="7" t="s">
        <v>15852</v>
      </c>
      <c r="BI1699" s="6" t="str">
        <f t="shared" si="819"/>
        <v>=3724*10000</v>
      </c>
      <c r="BJ1699" s="1">
        <f>3724*10000</f>
        <v>37240000</v>
      </c>
      <c r="BK1699" s="7" t="s">
        <v>10962</v>
      </c>
      <c r="BL1699" s="1" t="str">
        <f t="shared" si="821"/>
        <v>=2064*10000</v>
      </c>
      <c r="BM1699" s="16">
        <f t="shared" si="836"/>
        <v>0.80426356589147285</v>
      </c>
      <c r="BN1699" s="1">
        <f>2064*10000</f>
        <v>20640000</v>
      </c>
    </row>
    <row r="1700" spans="1:66">
      <c r="A1700" s="18"/>
      <c r="B1700">
        <v>603268</v>
      </c>
      <c r="C1700" t="s">
        <v>58</v>
      </c>
      <c r="D1700" s="6">
        <f>-3.22*100000000</f>
        <v>-322000000</v>
      </c>
      <c r="E1700" s="7" t="str">
        <f t="shared" si="820"/>
        <v>=-322000000</v>
      </c>
      <c r="F1700" s="1">
        <f>-322000000</f>
        <v>-322000000</v>
      </c>
      <c r="G1700" s="8">
        <f t="shared" si="822"/>
        <v>10.541218637992831</v>
      </c>
      <c r="H1700" s="7">
        <f>-2790*10000</f>
        <v>-27900000</v>
      </c>
      <c r="I1700" s="6" t="str">
        <f t="shared" si="806"/>
        <v>=-27900000</v>
      </c>
      <c r="J1700" s="1">
        <f>-27900000</f>
        <v>-27900000</v>
      </c>
      <c r="K1700" s="10">
        <f t="shared" si="823"/>
        <v>1.1848081440877056</v>
      </c>
      <c r="L1700" s="7">
        <f>-1277*10000</f>
        <v>-12770000</v>
      </c>
      <c r="M1700" s="6" t="str">
        <f t="shared" si="807"/>
        <v>=-12770000</v>
      </c>
      <c r="N1700" s="1">
        <f>-12770000</f>
        <v>-12770000</v>
      </c>
      <c r="O1700" s="8">
        <f t="shared" si="824"/>
        <v>0.61625110745475253</v>
      </c>
      <c r="P1700" s="7">
        <f>-790.1*10000</f>
        <v>-7901000</v>
      </c>
      <c r="Q1700" s="6" t="str">
        <f t="shared" si="808"/>
        <v>=-7901000</v>
      </c>
      <c r="R1700" s="11">
        <f>-7901000</f>
        <v>-7901000</v>
      </c>
      <c r="S1700" s="8">
        <f t="shared" si="825"/>
        <v>-1.3528807503349709</v>
      </c>
      <c r="T1700" s="7" t="s">
        <v>2477</v>
      </c>
      <c r="U1700" s="6" t="str">
        <f t="shared" si="809"/>
        <v>=2239*10000</v>
      </c>
      <c r="V1700" s="1">
        <f>2239*10000</f>
        <v>22390000</v>
      </c>
      <c r="W1700" s="8">
        <f t="shared" si="826"/>
        <v>-0.15636774679728713</v>
      </c>
      <c r="X1700" s="7" t="s">
        <v>15853</v>
      </c>
      <c r="Y1700" s="6" t="str">
        <f t="shared" si="810"/>
        <v>=2654*10000</v>
      </c>
      <c r="Z1700" s="1">
        <f>2654*10000</f>
        <v>26540000</v>
      </c>
      <c r="AA1700" s="8">
        <f t="shared" si="827"/>
        <v>0.76111479761114798</v>
      </c>
      <c r="AB1700" s="7" t="s">
        <v>15854</v>
      </c>
      <c r="AC1700" s="6" t="str">
        <f t="shared" si="811"/>
        <v>=1507*10000</v>
      </c>
      <c r="AD1700" s="1">
        <f>1507*10000</f>
        <v>15070000</v>
      </c>
      <c r="AE1700" s="8">
        <f t="shared" si="828"/>
        <v>6.7005620848237095</v>
      </c>
      <c r="AF1700" s="7" t="s">
        <v>15855</v>
      </c>
      <c r="AG1700" s="6" t="str">
        <f t="shared" si="812"/>
        <v>=195.7*10000</v>
      </c>
      <c r="AH1700" s="1">
        <f>195.7*10000</f>
        <v>1957000</v>
      </c>
      <c r="AI1700" s="8">
        <f t="shared" si="829"/>
        <v>-0.95700790861159934</v>
      </c>
      <c r="AJ1700" s="7" t="s">
        <v>10001</v>
      </c>
      <c r="AK1700" s="6" t="str">
        <f t="shared" si="813"/>
        <v>=4552*10000</v>
      </c>
      <c r="AL1700" s="1">
        <f>4552*10000</f>
        <v>45520000</v>
      </c>
      <c r="AM1700" s="8">
        <f t="shared" si="830"/>
        <v>-5.2850603412401165E-2</v>
      </c>
      <c r="AN1700" s="7" t="s">
        <v>15856</v>
      </c>
      <c r="AO1700" s="6" t="str">
        <f t="shared" si="814"/>
        <v>=4806*10000</v>
      </c>
      <c r="AP1700" s="1">
        <f>4806*10000</f>
        <v>48060000</v>
      </c>
      <c r="AQ1700" s="8">
        <f t="shared" si="831"/>
        <v>0.95207148659626317</v>
      </c>
      <c r="AR1700" s="7" t="s">
        <v>12073</v>
      </c>
      <c r="AS1700" s="6" t="str">
        <f t="shared" si="815"/>
        <v>=2462*10000</v>
      </c>
      <c r="AT1700" s="1">
        <f>2462*10000</f>
        <v>24620000</v>
      </c>
      <c r="AU1700" s="8">
        <f t="shared" si="832"/>
        <v>0.35572687224669602</v>
      </c>
      <c r="AV1700" s="7" t="s">
        <v>15857</v>
      </c>
      <c r="AW1700" s="6" t="str">
        <f t="shared" si="816"/>
        <v>=1816*10000</v>
      </c>
      <c r="AX1700" s="1">
        <f>1816*10000</f>
        <v>18160000</v>
      </c>
      <c r="AY1700" s="10">
        <f t="shared" si="833"/>
        <v>-0.68861454046639237</v>
      </c>
      <c r="AZ1700" s="7" t="s">
        <v>15858</v>
      </c>
      <c r="BA1700" s="6" t="str">
        <f t="shared" si="817"/>
        <v>=5832*10000</v>
      </c>
      <c r="BB1700" s="1">
        <f>5832*10000</f>
        <v>58320000</v>
      </c>
      <c r="BC1700" s="8">
        <f t="shared" si="834"/>
        <v>4.1614574031076976E-2</v>
      </c>
      <c r="BD1700" s="7" t="s">
        <v>15859</v>
      </c>
      <c r="BE1700" s="6" t="str">
        <f t="shared" si="818"/>
        <v>=5599*10000</v>
      </c>
      <c r="BF1700" s="1">
        <f>5599*10000</f>
        <v>55990000</v>
      </c>
      <c r="BG1700" s="8">
        <f t="shared" si="835"/>
        <v>0.52229472539423605</v>
      </c>
      <c r="BH1700" s="7" t="s">
        <v>15579</v>
      </c>
      <c r="BI1700" s="6" t="str">
        <f t="shared" si="819"/>
        <v>=3678*10000</v>
      </c>
      <c r="BJ1700" s="1">
        <f>3678*10000</f>
        <v>36780000</v>
      </c>
      <c r="BK1700" s="7" t="s">
        <v>15860</v>
      </c>
      <c r="BL1700" s="1" t="str">
        <f t="shared" si="821"/>
        <v>=2066*10000</v>
      </c>
      <c r="BM1700" s="16">
        <f t="shared" si="836"/>
        <v>0.78025169409486927</v>
      </c>
      <c r="BN1700" s="1">
        <f>2066*10000</f>
        <v>20660000</v>
      </c>
    </row>
    <row r="1701" spans="1:66">
      <c r="A1701" s="19"/>
      <c r="B1701">
        <v>603268</v>
      </c>
      <c r="C1701" t="s">
        <v>68</v>
      </c>
      <c r="D1701" s="6">
        <f>-3.223*100000000</f>
        <v>-322300000</v>
      </c>
      <c r="E1701" s="7" t="str">
        <f t="shared" si="820"/>
        <v>=-322300000</v>
      </c>
      <c r="F1701" s="1">
        <f>-322300000</f>
        <v>-322300000</v>
      </c>
      <c r="G1701" s="8">
        <f t="shared" si="822"/>
        <v>10.486101211689236</v>
      </c>
      <c r="H1701" s="7">
        <f>-2806*10000</f>
        <v>-28060000</v>
      </c>
      <c r="I1701" s="6" t="str">
        <f t="shared" si="806"/>
        <v>=-28060000</v>
      </c>
      <c r="J1701" s="1">
        <f>-28060000</f>
        <v>-28060000</v>
      </c>
      <c r="K1701" s="10">
        <f t="shared" si="823"/>
        <v>1.0602055800293686</v>
      </c>
      <c r="L1701" s="7">
        <f>-1362*10000</f>
        <v>-13620000</v>
      </c>
      <c r="M1701" s="6" t="str">
        <f t="shared" si="807"/>
        <v>=-13620000</v>
      </c>
      <c r="N1701" s="1">
        <f>-13620000</f>
        <v>-13620000</v>
      </c>
      <c r="O1701" s="8">
        <f t="shared" si="824"/>
        <v>0.61911554921540657</v>
      </c>
      <c r="P1701" s="7">
        <f>-841.2*10000</f>
        <v>-8412000</v>
      </c>
      <c r="Q1701" s="6" t="str">
        <f t="shared" si="808"/>
        <v>=-8412000</v>
      </c>
      <c r="R1701" s="11">
        <f>-8412000</f>
        <v>-8412000</v>
      </c>
      <c r="S1701" s="8">
        <f t="shared" si="825"/>
        <v>-1.3207014868471216</v>
      </c>
      <c r="T1701" s="7" t="s">
        <v>15861</v>
      </c>
      <c r="U1701" s="6" t="str">
        <f t="shared" si="809"/>
        <v>=2623*10000</v>
      </c>
      <c r="V1701" s="1">
        <f>2623*10000</f>
        <v>26230000</v>
      </c>
      <c r="W1701" s="8">
        <f t="shared" si="826"/>
        <v>2.3809523809523808E-2</v>
      </c>
      <c r="X1701" s="7" t="s">
        <v>15862</v>
      </c>
      <c r="Y1701" s="6" t="str">
        <f t="shared" si="810"/>
        <v>=2562*10000</v>
      </c>
      <c r="Z1701" s="1">
        <f>2562*10000</f>
        <v>25620000</v>
      </c>
      <c r="AA1701" s="8">
        <f t="shared" si="827"/>
        <v>0.84715212689257391</v>
      </c>
      <c r="AB1701" s="7" t="s">
        <v>12188</v>
      </c>
      <c r="AC1701" s="6" t="str">
        <f t="shared" si="811"/>
        <v>=1387*10000</v>
      </c>
      <c r="AD1701" s="1">
        <f>1387*10000</f>
        <v>13870000</v>
      </c>
      <c r="AE1701" s="8">
        <f t="shared" si="828"/>
        <v>8.1611624834874501</v>
      </c>
      <c r="AF1701" s="7" t="s">
        <v>15863</v>
      </c>
      <c r="AG1701" s="6" t="str">
        <f t="shared" si="812"/>
        <v>=151.4*10000</v>
      </c>
      <c r="AH1701" s="1">
        <f>151.4*10000</f>
        <v>1514000</v>
      </c>
      <c r="AI1701" s="8">
        <f t="shared" si="829"/>
        <v>-0.96813302462639439</v>
      </c>
      <c r="AJ1701" s="7" t="s">
        <v>15864</v>
      </c>
      <c r="AK1701" s="6" t="str">
        <f t="shared" si="813"/>
        <v>=4751*10000</v>
      </c>
      <c r="AL1701" s="1">
        <f>4751*10000</f>
        <v>47510000</v>
      </c>
      <c r="AM1701" s="8">
        <f t="shared" si="830"/>
        <v>0.11395076201641266</v>
      </c>
      <c r="AN1701" s="7" t="s">
        <v>15865</v>
      </c>
      <c r="AO1701" s="6" t="str">
        <f t="shared" si="814"/>
        <v>=4265*10000</v>
      </c>
      <c r="AP1701" s="1">
        <f>4265*10000</f>
        <v>42650000</v>
      </c>
      <c r="AQ1701" s="8">
        <f t="shared" si="831"/>
        <v>0.9386363636363636</v>
      </c>
      <c r="AR1701" s="7" t="s">
        <v>15866</v>
      </c>
      <c r="AS1701" s="6" t="str">
        <f t="shared" si="815"/>
        <v>=2200*10000</v>
      </c>
      <c r="AT1701" s="1">
        <f>2200*10000</f>
        <v>22000000</v>
      </c>
      <c r="AU1701" s="8">
        <f t="shared" si="832"/>
        <v>0.32850241545893721</v>
      </c>
      <c r="AV1701" s="7" t="s">
        <v>11482</v>
      </c>
      <c r="AW1701" s="6" t="str">
        <f t="shared" si="816"/>
        <v>=1656*10000</v>
      </c>
      <c r="AX1701" s="1">
        <f>1656*10000</f>
        <v>16560000</v>
      </c>
      <c r="AY1701" s="10">
        <f t="shared" si="833"/>
        <v>-0.69923719578641486</v>
      </c>
      <c r="AZ1701" s="7" t="s">
        <v>15867</v>
      </c>
      <c r="BA1701" s="6" t="str">
        <f t="shared" si="817"/>
        <v>=5506*10000</v>
      </c>
      <c r="BB1701" s="1">
        <f>5506*10000</f>
        <v>55060000</v>
      </c>
      <c r="BC1701" s="8">
        <f t="shared" si="834"/>
        <v>9.5285458523970565E-2</v>
      </c>
      <c r="BD1701" s="7" t="s">
        <v>15868</v>
      </c>
      <c r="BE1701" s="6" t="str">
        <f t="shared" si="818"/>
        <v>=5027*10000</v>
      </c>
      <c r="BF1701" s="1">
        <f>5027*10000</f>
        <v>50270000</v>
      </c>
      <c r="BG1701" s="8">
        <f t="shared" si="835"/>
        <v>0.55154320987654326</v>
      </c>
      <c r="BH1701" s="7" t="s">
        <v>15869</v>
      </c>
      <c r="BI1701" s="6" t="str">
        <f t="shared" si="819"/>
        <v>=3240*10000</v>
      </c>
      <c r="BJ1701" s="1">
        <f>3240*10000</f>
        <v>32400000</v>
      </c>
      <c r="BK1701" s="7" t="s">
        <v>15870</v>
      </c>
      <c r="BL1701" s="1" t="str">
        <f t="shared" si="821"/>
        <v>=1891*10000</v>
      </c>
      <c r="BM1701" s="16">
        <f t="shared" si="836"/>
        <v>0.71337916446324701</v>
      </c>
      <c r="BN1701" s="1">
        <f>1891*10000</f>
        <v>18910000</v>
      </c>
    </row>
    <row r="1702" spans="1:66">
      <c r="A1702" s="17">
        <v>427</v>
      </c>
      <c r="B1702">
        <v>603288</v>
      </c>
      <c r="C1702" t="s">
        <v>31</v>
      </c>
      <c r="D1702" s="6" t="s">
        <v>11975</v>
      </c>
      <c r="E1702" s="7" t="str">
        <f t="shared" si="820"/>
        <v>=250.0*100000000</v>
      </c>
      <c r="F1702" s="1">
        <f>250*100000000</f>
        <v>25000000000</v>
      </c>
      <c r="G1702" s="8">
        <f t="shared" si="822"/>
        <v>0.3896609227348527</v>
      </c>
      <c r="H1702" s="6" t="s">
        <v>7415</v>
      </c>
      <c r="I1702" s="6" t="str">
        <f t="shared" si="806"/>
        <v>=179.9*100000000</v>
      </c>
      <c r="J1702" s="1">
        <f>179.9*100000000</f>
        <v>17990000000</v>
      </c>
      <c r="K1702" s="10">
        <f t="shared" si="823"/>
        <v>0.45904298459042986</v>
      </c>
      <c r="L1702" s="6" t="s">
        <v>9420</v>
      </c>
      <c r="M1702" s="6" t="str">
        <f t="shared" si="807"/>
        <v>=123.3*100000000</v>
      </c>
      <c r="N1702" s="1">
        <f>123.3*100000000</f>
        <v>12330000000</v>
      </c>
      <c r="O1702" s="8">
        <f t="shared" si="824"/>
        <v>0.7225481978206203</v>
      </c>
      <c r="P1702" s="6" t="s">
        <v>15871</v>
      </c>
      <c r="Q1702" s="6" t="str">
        <f t="shared" si="808"/>
        <v>=71.58*100000000</v>
      </c>
      <c r="R1702" s="11">
        <f>71.58*100000000</f>
        <v>7158000000</v>
      </c>
      <c r="S1702" s="8">
        <f t="shared" si="825"/>
        <v>-0.68591487494515135</v>
      </c>
      <c r="T1702" s="6" t="s">
        <v>15872</v>
      </c>
      <c r="U1702" s="6" t="str">
        <f t="shared" si="809"/>
        <v>=227.9*100000000</v>
      </c>
      <c r="V1702" s="1">
        <f>227.9*100000000</f>
        <v>22790000000</v>
      </c>
      <c r="W1702" s="8">
        <f t="shared" si="826"/>
        <v>0.33352837916910472</v>
      </c>
      <c r="X1702" s="6" t="s">
        <v>15873</v>
      </c>
      <c r="Y1702" s="6" t="str">
        <f t="shared" si="810"/>
        <v>=170.9*100000000</v>
      </c>
      <c r="Z1702" s="1">
        <f>170.9*100000000</f>
        <v>17090000000</v>
      </c>
      <c r="AA1702" s="8">
        <f t="shared" si="827"/>
        <v>0.47454702329594478</v>
      </c>
      <c r="AB1702" s="6" t="s">
        <v>10197</v>
      </c>
      <c r="AC1702" s="6" t="str">
        <f t="shared" si="811"/>
        <v>=115.9*100000000</v>
      </c>
      <c r="AD1702" s="1">
        <f>115.9*100000000</f>
        <v>11590000000</v>
      </c>
      <c r="AE1702" s="8">
        <f t="shared" si="828"/>
        <v>0.96974847042828005</v>
      </c>
      <c r="AF1702" s="6" t="s">
        <v>13209</v>
      </c>
      <c r="AG1702" s="6" t="str">
        <f t="shared" si="812"/>
        <v>=58.84*100000000</v>
      </c>
      <c r="AH1702" s="1">
        <f>58.84*100000000</f>
        <v>5884000000</v>
      </c>
      <c r="AI1702" s="8">
        <f t="shared" si="829"/>
        <v>-0.7028282828282828</v>
      </c>
      <c r="AJ1702" s="6" t="s">
        <v>7919</v>
      </c>
      <c r="AK1702" s="6" t="str">
        <f t="shared" si="813"/>
        <v>=198.0*100000000</v>
      </c>
      <c r="AL1702" s="1">
        <f>198*100000000</f>
        <v>19800000000</v>
      </c>
      <c r="AM1702" s="8">
        <f t="shared" si="830"/>
        <v>0.33603238866396778</v>
      </c>
      <c r="AN1702" s="6" t="s">
        <v>15874</v>
      </c>
      <c r="AO1702" s="6" t="str">
        <f t="shared" si="814"/>
        <v>=148.2*100000000</v>
      </c>
      <c r="AP1702" s="1">
        <f>148.2*100000000</f>
        <v>14819999999.999998</v>
      </c>
      <c r="AQ1702" s="8">
        <f t="shared" si="831"/>
        <v>0.45866141732283444</v>
      </c>
      <c r="AR1702" s="6" t="s">
        <v>7100</v>
      </c>
      <c r="AS1702" s="6" t="str">
        <f t="shared" si="815"/>
        <v>=101.6*100000000</v>
      </c>
      <c r="AT1702" s="1">
        <f>101.6*100000000</f>
        <v>10160000000</v>
      </c>
      <c r="AU1702" s="8">
        <f t="shared" si="832"/>
        <v>0.85063752276867033</v>
      </c>
      <c r="AV1702" s="6" t="s">
        <v>7952</v>
      </c>
      <c r="AW1702" s="6" t="str">
        <f t="shared" si="816"/>
        <v>=54.90*100000000</v>
      </c>
      <c r="AX1702" s="1">
        <f>54.9*100000000</f>
        <v>5490000000</v>
      </c>
      <c r="AY1702" s="10">
        <f t="shared" si="833"/>
        <v>-0.67762771579565473</v>
      </c>
      <c r="AZ1702" s="6" t="s">
        <v>15875</v>
      </c>
      <c r="BA1702" s="6" t="str">
        <f t="shared" si="817"/>
        <v>=170.3*100000000</v>
      </c>
      <c r="BB1702" s="1">
        <f>170.3*100000000</f>
        <v>17030000000.000002</v>
      </c>
      <c r="BC1702" s="8">
        <f t="shared" si="834"/>
        <v>0.33988985051140846</v>
      </c>
      <c r="BD1702" s="6" t="s">
        <v>14382</v>
      </c>
      <c r="BE1702" s="6" t="str">
        <f t="shared" si="818"/>
        <v>=127.1*100000000</v>
      </c>
      <c r="BF1702" s="1">
        <f>127.1*100000000</f>
        <v>12710000000</v>
      </c>
      <c r="BG1702" s="8">
        <f t="shared" si="835"/>
        <v>0.45756880733944955</v>
      </c>
      <c r="BH1702" s="6" t="s">
        <v>3252</v>
      </c>
      <c r="BI1702" s="6" t="str">
        <f t="shared" si="819"/>
        <v>=87.20*100000000</v>
      </c>
      <c r="BJ1702" s="1">
        <f>87.2*100000000</f>
        <v>8720000000</v>
      </c>
      <c r="BK1702" s="6" t="s">
        <v>15876</v>
      </c>
      <c r="BL1702" s="1" t="str">
        <f t="shared" si="821"/>
        <v>=46.94*100000000</v>
      </c>
      <c r="BM1702" s="16">
        <f t="shared" si="836"/>
        <v>0.8576906689390712</v>
      </c>
      <c r="BN1702" s="1">
        <f>46.94*100000000</f>
        <v>4694000000</v>
      </c>
    </row>
    <row r="1703" spans="1:66">
      <c r="A1703" s="18"/>
      <c r="B1703">
        <v>603288</v>
      </c>
      <c r="C1703" t="s">
        <v>48</v>
      </c>
      <c r="D1703" s="6" t="s">
        <v>15877</v>
      </c>
      <c r="E1703" s="7" t="str">
        <f t="shared" si="820"/>
        <v>=78.20*100000000</v>
      </c>
      <c r="F1703" s="1">
        <f>78.2*100000000</f>
        <v>7820000000</v>
      </c>
      <c r="G1703" s="8">
        <f t="shared" si="822"/>
        <v>0.41282746160794942</v>
      </c>
      <c r="H1703" s="6" t="s">
        <v>15878</v>
      </c>
      <c r="I1703" s="6" t="str">
        <f t="shared" si="806"/>
        <v>=55.35*100000000</v>
      </c>
      <c r="J1703" s="1">
        <f>55.35*100000000</f>
        <v>5535000000</v>
      </c>
      <c r="K1703" s="10">
        <f t="shared" si="823"/>
        <v>0.40803866700585095</v>
      </c>
      <c r="L1703" s="6" t="s">
        <v>15879</v>
      </c>
      <c r="M1703" s="6" t="str">
        <f t="shared" si="807"/>
        <v>=39.31*100000000</v>
      </c>
      <c r="N1703" s="1">
        <f>39.31*100000000</f>
        <v>3931000000</v>
      </c>
      <c r="O1703" s="8">
        <f t="shared" si="824"/>
        <v>0.67991452991452994</v>
      </c>
      <c r="P1703" s="6" t="s">
        <v>9806</v>
      </c>
      <c r="Q1703" s="6" t="str">
        <f t="shared" si="808"/>
        <v>=23.40*100000000</v>
      </c>
      <c r="R1703" s="11">
        <f>23.4*100000000</f>
        <v>2340000000</v>
      </c>
      <c r="S1703" s="8">
        <f t="shared" si="825"/>
        <v>-0.69387755102040816</v>
      </c>
      <c r="T1703" s="6" t="s">
        <v>710</v>
      </c>
      <c r="U1703" s="6" t="str">
        <f t="shared" si="809"/>
        <v>=76.44*100000000</v>
      </c>
      <c r="V1703" s="1">
        <f>76.44*100000000</f>
        <v>7644000000</v>
      </c>
      <c r="W1703" s="8">
        <f t="shared" si="826"/>
        <v>0.4074756030197017</v>
      </c>
      <c r="X1703" s="6" t="s">
        <v>8905</v>
      </c>
      <c r="Y1703" s="6" t="str">
        <f t="shared" si="810"/>
        <v>=54.31*100000000</v>
      </c>
      <c r="Z1703" s="1">
        <f>54.31*100000000</f>
        <v>5431000000</v>
      </c>
      <c r="AA1703" s="8">
        <f t="shared" si="827"/>
        <v>0.41469132586611096</v>
      </c>
      <c r="AB1703" s="6" t="s">
        <v>1176</v>
      </c>
      <c r="AC1703" s="6" t="str">
        <f t="shared" si="811"/>
        <v>=38.39*100000000</v>
      </c>
      <c r="AD1703" s="1">
        <f>38.39*100000000</f>
        <v>3839000000</v>
      </c>
      <c r="AE1703" s="8">
        <f t="shared" si="828"/>
        <v>0.97276464542651597</v>
      </c>
      <c r="AF1703" s="6" t="s">
        <v>2140</v>
      </c>
      <c r="AG1703" s="6" t="str">
        <f t="shared" si="812"/>
        <v>=19.46*100000000</v>
      </c>
      <c r="AH1703" s="1">
        <f>19.46*100000000</f>
        <v>1946000000</v>
      </c>
      <c r="AI1703" s="8">
        <f t="shared" si="829"/>
        <v>-0.69493651042483151</v>
      </c>
      <c r="AJ1703" s="6" t="s">
        <v>13877</v>
      </c>
      <c r="AK1703" s="6" t="str">
        <f t="shared" si="813"/>
        <v>=63.79*100000000</v>
      </c>
      <c r="AL1703" s="1">
        <f>63.79*100000000</f>
        <v>6379000000</v>
      </c>
      <c r="AM1703" s="8">
        <f t="shared" si="830"/>
        <v>0.40197802197802196</v>
      </c>
      <c r="AN1703" s="6" t="s">
        <v>15880</v>
      </c>
      <c r="AO1703" s="6" t="str">
        <f t="shared" si="814"/>
        <v>=45.50*100000000</v>
      </c>
      <c r="AP1703" s="1">
        <f>45.5*100000000</f>
        <v>4550000000</v>
      </c>
      <c r="AQ1703" s="8">
        <f t="shared" si="831"/>
        <v>0.39699109610070615</v>
      </c>
      <c r="AR1703" s="6" t="s">
        <v>3864</v>
      </c>
      <c r="AS1703" s="6" t="str">
        <f t="shared" si="815"/>
        <v>=32.57*100000000</v>
      </c>
      <c r="AT1703" s="1">
        <f>32.57*100000000</f>
        <v>3257000000</v>
      </c>
      <c r="AU1703" s="8">
        <f t="shared" si="832"/>
        <v>0.83596392333709157</v>
      </c>
      <c r="AV1703" s="6" t="s">
        <v>5253</v>
      </c>
      <c r="AW1703" s="6" t="str">
        <f t="shared" si="816"/>
        <v>=17.74*100000000</v>
      </c>
      <c r="AX1703" s="1">
        <f>17.74*100000000</f>
        <v>1773999999.9999998</v>
      </c>
      <c r="AY1703" s="10">
        <f t="shared" si="833"/>
        <v>-0.6615149780576226</v>
      </c>
      <c r="AZ1703" s="6" t="s">
        <v>15881</v>
      </c>
      <c r="BA1703" s="6" t="str">
        <f t="shared" si="817"/>
        <v>=52.41*100000000</v>
      </c>
      <c r="BB1703" s="1">
        <f>52.41*100000000</f>
        <v>5241000000</v>
      </c>
      <c r="BC1703" s="8">
        <f t="shared" si="834"/>
        <v>0.4073576799140709</v>
      </c>
      <c r="BD1703" s="6" t="s">
        <v>14158</v>
      </c>
      <c r="BE1703" s="6" t="str">
        <f t="shared" si="818"/>
        <v>=37.24*100000000</v>
      </c>
      <c r="BF1703" s="1">
        <f>37.24*100000000</f>
        <v>3724000000</v>
      </c>
      <c r="BG1703" s="8">
        <f t="shared" si="835"/>
        <v>0.40052651372696502</v>
      </c>
      <c r="BH1703" s="6" t="s">
        <v>5268</v>
      </c>
      <c r="BI1703" s="6" t="str">
        <f t="shared" si="819"/>
        <v>=26.59*100000000</v>
      </c>
      <c r="BJ1703" s="1">
        <f>26.59*100000000</f>
        <v>2659000000</v>
      </c>
      <c r="BK1703" s="6" t="s">
        <v>6745</v>
      </c>
      <c r="BL1703" s="1" t="str">
        <f t="shared" si="821"/>
        <v>=14.40*100000000</v>
      </c>
      <c r="BM1703" s="16">
        <f t="shared" si="836"/>
        <v>0.84652777777777777</v>
      </c>
      <c r="BN1703" s="1">
        <f>14.4*100000000</f>
        <v>1440000000</v>
      </c>
    </row>
    <row r="1704" spans="1:66">
      <c r="A1704" s="18"/>
      <c r="B1704">
        <v>603288</v>
      </c>
      <c r="C1704" t="s">
        <v>58</v>
      </c>
      <c r="D1704" s="6" t="s">
        <v>15882</v>
      </c>
      <c r="E1704" s="7" t="str">
        <f t="shared" si="820"/>
        <v>=78.21*100000000</v>
      </c>
      <c r="F1704" s="1">
        <f>78.21*100000000</f>
        <v>7820999999.999999</v>
      </c>
      <c r="G1704" s="8">
        <f t="shared" si="822"/>
        <v>0.41198772341577883</v>
      </c>
      <c r="H1704" s="6" t="s">
        <v>15883</v>
      </c>
      <c r="I1704" s="6" t="str">
        <f t="shared" si="806"/>
        <v>=55.39*100000000</v>
      </c>
      <c r="J1704" s="1">
        <f>55.39*100000000</f>
        <v>5539000000</v>
      </c>
      <c r="K1704" s="10">
        <f t="shared" si="823"/>
        <v>0.40405576679340921</v>
      </c>
      <c r="L1704" s="6" t="s">
        <v>15884</v>
      </c>
      <c r="M1704" s="6" t="str">
        <f t="shared" si="807"/>
        <v>=39.45*100000000</v>
      </c>
      <c r="N1704" s="1">
        <f>39.45*100000000</f>
        <v>3945000000.0000005</v>
      </c>
      <c r="O1704" s="8">
        <f t="shared" si="824"/>
        <v>0.67587085811384895</v>
      </c>
      <c r="P1704" s="6" t="s">
        <v>38</v>
      </c>
      <c r="Q1704" s="6" t="str">
        <f t="shared" si="808"/>
        <v>=23.54*100000000</v>
      </c>
      <c r="R1704" s="11">
        <f>23.54*100000000</f>
        <v>2354000000</v>
      </c>
      <c r="S1704" s="8">
        <f t="shared" si="825"/>
        <v>-0.69196545406961529</v>
      </c>
      <c r="T1704" s="6" t="s">
        <v>5893</v>
      </c>
      <c r="U1704" s="6" t="str">
        <f t="shared" si="809"/>
        <v>=76.42*100000000</v>
      </c>
      <c r="V1704" s="1">
        <f>76.42*100000000</f>
        <v>7642000000</v>
      </c>
      <c r="W1704" s="8">
        <f t="shared" si="826"/>
        <v>0.40684830633284241</v>
      </c>
      <c r="X1704" s="6" t="s">
        <v>10225</v>
      </c>
      <c r="Y1704" s="6" t="str">
        <f t="shared" si="810"/>
        <v>=54.32*100000000</v>
      </c>
      <c r="Z1704" s="1">
        <f>54.32*100000000</f>
        <v>5432000000</v>
      </c>
      <c r="AA1704" s="8">
        <f t="shared" si="827"/>
        <v>0.41679707876890959</v>
      </c>
      <c r="AB1704" s="6" t="s">
        <v>13019</v>
      </c>
      <c r="AC1704" s="6" t="str">
        <f t="shared" si="811"/>
        <v>=38.34*100000000</v>
      </c>
      <c r="AD1704" s="1">
        <f>38.34*100000000</f>
        <v>3834000000.0000005</v>
      </c>
      <c r="AE1704" s="8">
        <f t="shared" si="828"/>
        <v>0.97628865979381496</v>
      </c>
      <c r="AF1704" s="6" t="s">
        <v>14083</v>
      </c>
      <c r="AG1704" s="6" t="str">
        <f t="shared" si="812"/>
        <v>=19.40*100000000</v>
      </c>
      <c r="AH1704" s="1">
        <f>19.4*100000000</f>
        <v>1939999999.9999998</v>
      </c>
      <c r="AI1704" s="8">
        <f t="shared" si="829"/>
        <v>-0.69578171554022272</v>
      </c>
      <c r="AJ1704" s="6" t="s">
        <v>15885</v>
      </c>
      <c r="AK1704" s="6" t="str">
        <f t="shared" si="813"/>
        <v>=63.77*100000000</v>
      </c>
      <c r="AL1704" s="1">
        <f>63.77*100000000</f>
        <v>6377000000</v>
      </c>
      <c r="AM1704" s="8">
        <f t="shared" si="830"/>
        <v>0.40215479331574316</v>
      </c>
      <c r="AN1704" s="6" t="s">
        <v>8068</v>
      </c>
      <c r="AO1704" s="6" t="str">
        <f t="shared" si="814"/>
        <v>=45.48*100000000</v>
      </c>
      <c r="AP1704" s="1">
        <f>45.48*100000000</f>
        <v>4548000000</v>
      </c>
      <c r="AQ1704" s="8">
        <f t="shared" si="831"/>
        <v>0.39680589680589679</v>
      </c>
      <c r="AR1704" s="6" t="s">
        <v>8239</v>
      </c>
      <c r="AS1704" s="6" t="str">
        <f t="shared" si="815"/>
        <v>=32.56*100000000</v>
      </c>
      <c r="AT1704" s="1">
        <f>32.56*100000000</f>
        <v>3256000000</v>
      </c>
      <c r="AU1704" s="8">
        <f t="shared" si="832"/>
        <v>0.83436619718309857</v>
      </c>
      <c r="AV1704" s="6" t="s">
        <v>1810</v>
      </c>
      <c r="AW1704" s="6" t="str">
        <f t="shared" si="816"/>
        <v>=17.75*100000000</v>
      </c>
      <c r="AX1704" s="1">
        <f>17.75*100000000</f>
        <v>1775000000</v>
      </c>
      <c r="AY1704" s="10">
        <f t="shared" si="833"/>
        <v>-0.66015699789393067</v>
      </c>
      <c r="AZ1704" s="6" t="s">
        <v>15886</v>
      </c>
      <c r="BA1704" s="6" t="str">
        <f t="shared" si="817"/>
        <v>=52.23*100000000</v>
      </c>
      <c r="BB1704" s="1">
        <f>52.23*100000000</f>
        <v>5223000000</v>
      </c>
      <c r="BC1704" s="8">
        <f t="shared" si="834"/>
        <v>0.40252416756176157</v>
      </c>
      <c r="BD1704" s="6" t="s">
        <v>14158</v>
      </c>
      <c r="BE1704" s="6" t="str">
        <f t="shared" si="818"/>
        <v>=37.24*100000000</v>
      </c>
      <c r="BF1704" s="1">
        <f>37.24*100000000</f>
        <v>3724000000</v>
      </c>
      <c r="BG1704" s="8">
        <f t="shared" si="835"/>
        <v>0.40052651372696502</v>
      </c>
      <c r="BH1704" s="6" t="s">
        <v>5268</v>
      </c>
      <c r="BI1704" s="6" t="str">
        <f t="shared" si="819"/>
        <v>=26.59*100000000</v>
      </c>
      <c r="BJ1704" s="1">
        <f>26.59*100000000</f>
        <v>2659000000</v>
      </c>
      <c r="BK1704" s="6" t="s">
        <v>6745</v>
      </c>
      <c r="BL1704" s="1" t="str">
        <f t="shared" si="821"/>
        <v>=14.40*100000000</v>
      </c>
      <c r="BM1704" s="16">
        <f t="shared" si="836"/>
        <v>0.84652777777777777</v>
      </c>
      <c r="BN1704" s="1">
        <f>14.4*100000000</f>
        <v>1440000000</v>
      </c>
    </row>
    <row r="1705" spans="1:66">
      <c r="A1705" s="19"/>
      <c r="B1705">
        <v>603288</v>
      </c>
      <c r="C1705" t="s">
        <v>68</v>
      </c>
      <c r="D1705" s="6" t="s">
        <v>15887</v>
      </c>
      <c r="E1705" s="7" t="str">
        <f t="shared" si="820"/>
        <v>=66.71*100000000</v>
      </c>
      <c r="F1705" s="1">
        <f>66.71*100000000</f>
        <v>6670999999.999999</v>
      </c>
      <c r="G1705" s="8">
        <f t="shared" si="822"/>
        <v>0.41634819532908685</v>
      </c>
      <c r="H1705" s="6" t="s">
        <v>15888</v>
      </c>
      <c r="I1705" s="6" t="str">
        <f t="shared" si="806"/>
        <v>=47.10*100000000</v>
      </c>
      <c r="J1705" s="1">
        <f>47.1*100000000</f>
        <v>4710000000</v>
      </c>
      <c r="K1705" s="10">
        <f t="shared" si="823"/>
        <v>0.40387481371087947</v>
      </c>
      <c r="L1705" s="6" t="s">
        <v>15889</v>
      </c>
      <c r="M1705" s="6" t="str">
        <f t="shared" si="807"/>
        <v>=33.55*100000000</v>
      </c>
      <c r="N1705" s="1">
        <f>33.55*100000000</f>
        <v>3354999999.9999995</v>
      </c>
      <c r="O1705" s="8">
        <f t="shared" si="824"/>
        <v>0.71523517382413082</v>
      </c>
      <c r="P1705" s="6" t="s">
        <v>2452</v>
      </c>
      <c r="Q1705" s="6" t="str">
        <f t="shared" si="808"/>
        <v>=19.56*100000000</v>
      </c>
      <c r="R1705" s="11">
        <f>19.56*100000000</f>
        <v>1955999999.9999998</v>
      </c>
      <c r="S1705" s="8">
        <f t="shared" si="825"/>
        <v>-0.69480418161959745</v>
      </c>
      <c r="T1705" s="6" t="s">
        <v>15890</v>
      </c>
      <c r="U1705" s="6" t="str">
        <f t="shared" si="809"/>
        <v>=64.09*100000000</v>
      </c>
      <c r="V1705" s="1">
        <f>64.09*100000000</f>
        <v>6409000000</v>
      </c>
      <c r="W1705" s="8">
        <f t="shared" si="826"/>
        <v>0.40026218046755518</v>
      </c>
      <c r="X1705" s="6" t="s">
        <v>13531</v>
      </c>
      <c r="Y1705" s="6" t="str">
        <f t="shared" si="810"/>
        <v>=45.77*100000000</v>
      </c>
      <c r="Z1705" s="1">
        <f>45.77*100000000</f>
        <v>4577000000</v>
      </c>
      <c r="AA1705" s="8">
        <f t="shared" si="827"/>
        <v>0.40571253071253072</v>
      </c>
      <c r="AB1705" s="6" t="s">
        <v>8239</v>
      </c>
      <c r="AC1705" s="6" t="str">
        <f t="shared" si="811"/>
        <v>=32.56*100000000</v>
      </c>
      <c r="AD1705" s="1">
        <f>32.56*100000000</f>
        <v>3256000000</v>
      </c>
      <c r="AE1705" s="8">
        <f t="shared" si="828"/>
        <v>1.0173482032218091</v>
      </c>
      <c r="AF1705" s="6" t="s">
        <v>10757</v>
      </c>
      <c r="AG1705" s="6" t="str">
        <f t="shared" si="812"/>
        <v>=16.14*100000000</v>
      </c>
      <c r="AH1705" s="1">
        <f>16.14*100000000</f>
        <v>1614000000</v>
      </c>
      <c r="AI1705" s="8">
        <f t="shared" si="829"/>
        <v>-0.69865571321882003</v>
      </c>
      <c r="AJ1705" s="6" t="s">
        <v>15891</v>
      </c>
      <c r="AK1705" s="6" t="str">
        <f t="shared" si="813"/>
        <v>=53.56*100000000</v>
      </c>
      <c r="AL1705" s="1">
        <f>53.56*100000000</f>
        <v>5356000000</v>
      </c>
      <c r="AM1705" s="8">
        <f t="shared" si="830"/>
        <v>0.39588219963513177</v>
      </c>
      <c r="AN1705" s="6" t="s">
        <v>5086</v>
      </c>
      <c r="AO1705" s="6" t="str">
        <f t="shared" si="814"/>
        <v>=38.37*100000000</v>
      </c>
      <c r="AP1705" s="1">
        <f>38.37*100000000</f>
        <v>3836999999.9999995</v>
      </c>
      <c r="AQ1705" s="8">
        <f t="shared" si="831"/>
        <v>0.39476553980370754</v>
      </c>
      <c r="AR1705" s="6" t="s">
        <v>11883</v>
      </c>
      <c r="AS1705" s="6" t="str">
        <f t="shared" si="815"/>
        <v>=27.51*100000000</v>
      </c>
      <c r="AT1705" s="1">
        <f>27.51*100000000</f>
        <v>2751000000</v>
      </c>
      <c r="AU1705" s="8">
        <f t="shared" si="832"/>
        <v>0.86129905277401897</v>
      </c>
      <c r="AV1705" s="6" t="s">
        <v>12475</v>
      </c>
      <c r="AW1705" s="6" t="str">
        <f t="shared" si="816"/>
        <v>=14.78*100000000</v>
      </c>
      <c r="AX1705" s="1">
        <f>14.78*100000000</f>
        <v>1478000000</v>
      </c>
      <c r="AY1705" s="10">
        <f t="shared" si="833"/>
        <v>-0.66155255324021067</v>
      </c>
      <c r="AZ1705" s="6" t="s">
        <v>13015</v>
      </c>
      <c r="BA1705" s="6" t="str">
        <f t="shared" si="817"/>
        <v>=43.67*100000000</v>
      </c>
      <c r="BB1705" s="1">
        <f>43.67*100000000</f>
        <v>4367000000</v>
      </c>
      <c r="BC1705" s="8">
        <f t="shared" si="834"/>
        <v>0.39387168847749759</v>
      </c>
      <c r="BD1705" s="6" t="s">
        <v>15892</v>
      </c>
      <c r="BE1705" s="6" t="str">
        <f t="shared" si="818"/>
        <v>=31.33*100000000</v>
      </c>
      <c r="BF1705" s="1">
        <f>31.33*100000000</f>
        <v>3133000000</v>
      </c>
      <c r="BG1705" s="8">
        <f t="shared" si="835"/>
        <v>0.39306358381502893</v>
      </c>
      <c r="BH1705" s="6" t="s">
        <v>336</v>
      </c>
      <c r="BI1705" s="6" t="str">
        <f t="shared" si="819"/>
        <v>=22.49*100000000</v>
      </c>
      <c r="BJ1705" s="1">
        <f>22.49*100000000</f>
        <v>2249000000</v>
      </c>
      <c r="BK1705" s="6" t="s">
        <v>917</v>
      </c>
      <c r="BL1705" s="1" t="str">
        <f t="shared" si="821"/>
        <v>=12.03*100000000</v>
      </c>
      <c r="BM1705" s="16">
        <f t="shared" si="836"/>
        <v>0.86949293433083952</v>
      </c>
      <c r="BN1705" s="1">
        <f>12.03*100000000</f>
        <v>1203000000</v>
      </c>
    </row>
    <row r="1706" spans="1:66">
      <c r="A1706" s="17">
        <v>428</v>
      </c>
      <c r="B1706">
        <v>603289</v>
      </c>
      <c r="C1706" t="s">
        <v>31</v>
      </c>
      <c r="D1706" s="6" t="s">
        <v>2659</v>
      </c>
      <c r="E1706" s="7" t="str">
        <f t="shared" si="820"/>
        <v>=10.98*100000000</v>
      </c>
      <c r="F1706" s="1">
        <f>10.98*100000000</f>
        <v>1098000000</v>
      </c>
      <c r="G1706" s="8">
        <f t="shared" si="822"/>
        <v>0.26936416184971096</v>
      </c>
      <c r="H1706" s="6" t="s">
        <v>9929</v>
      </c>
      <c r="I1706" s="6" t="str">
        <f t="shared" si="806"/>
        <v>=8.650*100000000</v>
      </c>
      <c r="J1706" s="1">
        <f>8.65*100000000</f>
        <v>865000000</v>
      </c>
      <c r="K1706" s="10">
        <f t="shared" si="823"/>
        <v>0.51488616462346759</v>
      </c>
      <c r="L1706" s="6" t="s">
        <v>12166</v>
      </c>
      <c r="M1706" s="6" t="str">
        <f t="shared" si="807"/>
        <v>=5.710*100000000</v>
      </c>
      <c r="N1706" s="1">
        <f>5.71*100000000</f>
        <v>571000000</v>
      </c>
      <c r="O1706" s="8">
        <f t="shared" si="824"/>
        <v>1.375207986688852</v>
      </c>
      <c r="P1706" s="6" t="s">
        <v>4999</v>
      </c>
      <c r="Q1706" s="6" t="str">
        <f t="shared" si="808"/>
        <v>=2.404*100000000</v>
      </c>
      <c r="R1706" s="11">
        <f>2.404*100000000</f>
        <v>240400000</v>
      </c>
      <c r="S1706" s="8">
        <f t="shared" si="825"/>
        <v>-0.72465926010766235</v>
      </c>
      <c r="T1706" s="6" t="s">
        <v>3694</v>
      </c>
      <c r="U1706" s="6" t="str">
        <f t="shared" si="809"/>
        <v>=8.731*100000000</v>
      </c>
      <c r="V1706" s="1">
        <f>8.731*100000000</f>
        <v>873100000</v>
      </c>
      <c r="W1706" s="8">
        <f t="shared" si="826"/>
        <v>0.43413272010512483</v>
      </c>
      <c r="X1706" s="6" t="s">
        <v>1053</v>
      </c>
      <c r="Y1706" s="6" t="str">
        <f t="shared" si="810"/>
        <v>=6.088*100000000</v>
      </c>
      <c r="Z1706" s="1">
        <f>6.088*100000000</f>
        <v>608800000</v>
      </c>
      <c r="AA1706" s="8">
        <f t="shared" si="827"/>
        <v>0.8049214349243996</v>
      </c>
      <c r="AB1706" s="6" t="s">
        <v>9262</v>
      </c>
      <c r="AC1706" s="6" t="str">
        <f t="shared" si="811"/>
        <v>=3.373*100000000</v>
      </c>
      <c r="AD1706" s="1">
        <f>3.373*100000000</f>
        <v>337300000</v>
      </c>
      <c r="AE1706" s="8">
        <f t="shared" si="828"/>
        <v>1.6727416798732171</v>
      </c>
      <c r="AF1706" s="6" t="s">
        <v>7268</v>
      </c>
      <c r="AG1706" s="6" t="str">
        <f t="shared" si="812"/>
        <v>=1.262*100000000</v>
      </c>
      <c r="AH1706" s="1">
        <f>1.262*100000000</f>
        <v>126200000</v>
      </c>
      <c r="AI1706" s="8">
        <f t="shared" si="829"/>
        <v>-0.84293714996888613</v>
      </c>
      <c r="AJ1706" s="6" t="s">
        <v>9513</v>
      </c>
      <c r="AK1706" s="6" t="str">
        <f t="shared" si="813"/>
        <v>=8.035*100000000</v>
      </c>
      <c r="AL1706" s="1">
        <f>8.035*100000000</f>
        <v>803500000</v>
      </c>
      <c r="AM1706" s="8">
        <f t="shared" si="830"/>
        <v>0.40275837988826818</v>
      </c>
      <c r="AN1706" s="6" t="s">
        <v>15049</v>
      </c>
      <c r="AO1706" s="6" t="str">
        <f t="shared" si="814"/>
        <v>=5.728*100000000</v>
      </c>
      <c r="AP1706" s="1">
        <f>5.728*100000000</f>
        <v>572800000</v>
      </c>
      <c r="AQ1706" s="8">
        <f t="shared" si="831"/>
        <v>0.39333495499878374</v>
      </c>
      <c r="AR1706" s="6" t="s">
        <v>3890</v>
      </c>
      <c r="AS1706" s="6" t="str">
        <f t="shared" si="815"/>
        <v>=4.111*100000000</v>
      </c>
      <c r="AT1706" s="1">
        <f>4.111*100000000</f>
        <v>411100000</v>
      </c>
      <c r="AU1706" s="8">
        <f t="shared" si="832"/>
        <v>1.2775623268698062</v>
      </c>
      <c r="AV1706" s="6" t="s">
        <v>13442</v>
      </c>
      <c r="AW1706" s="6" t="str">
        <f t="shared" si="816"/>
        <v>=1.805*100000000</v>
      </c>
      <c r="AX1706" s="1">
        <f>1.805*100000000</f>
        <v>180500000</v>
      </c>
      <c r="AY1706" s="10">
        <f t="shared" si="833"/>
        <v>-0.77218225419664266</v>
      </c>
      <c r="AZ1706" s="6" t="s">
        <v>8162</v>
      </c>
      <c r="BA1706" s="6" t="str">
        <f t="shared" si="817"/>
        <v>=7.923*100000000</v>
      </c>
      <c r="BB1706" s="1">
        <f>7.923*100000000</f>
        <v>792300000</v>
      </c>
      <c r="BC1706" s="8">
        <f t="shared" si="834"/>
        <v>0.41028835884656462</v>
      </c>
      <c r="BD1706" s="6" t="s">
        <v>15893</v>
      </c>
      <c r="BE1706" s="6" t="str">
        <f t="shared" si="818"/>
        <v>=5.618*100000000</v>
      </c>
      <c r="BF1706" s="1">
        <f>5.618*100000000</f>
        <v>561800000</v>
      </c>
      <c r="BG1706" s="8">
        <f t="shared" si="835"/>
        <v>0.39439066765946884</v>
      </c>
      <c r="BH1706" s="6" t="s">
        <v>12422</v>
      </c>
      <c r="BI1706" s="6" t="str">
        <f t="shared" si="819"/>
        <v>=4.029*100000000</v>
      </c>
      <c r="BJ1706" s="1">
        <f>4.029*100000000</f>
        <v>402900000</v>
      </c>
      <c r="BK1706" s="6" t="s">
        <v>15894</v>
      </c>
      <c r="BL1706" s="1" t="str">
        <f t="shared" si="821"/>
        <v>=1.785*100000000</v>
      </c>
      <c r="BM1706" s="16">
        <f t="shared" si="836"/>
        <v>1.2571428571428571</v>
      </c>
      <c r="BN1706" s="1">
        <f>1.785*100000000</f>
        <v>178500000</v>
      </c>
    </row>
    <row r="1707" spans="1:66">
      <c r="A1707" s="18"/>
      <c r="B1707">
        <v>603289</v>
      </c>
      <c r="C1707" t="s">
        <v>48</v>
      </c>
      <c r="D1707" s="6" t="s">
        <v>10152</v>
      </c>
      <c r="E1707" s="7" t="str">
        <f t="shared" si="820"/>
        <v>=1.612*100000000</v>
      </c>
      <c r="F1707" s="1">
        <f>1.612*100000000</f>
        <v>161200000</v>
      </c>
      <c r="G1707" s="8">
        <f t="shared" si="822"/>
        <v>6.8965517241379309E-2</v>
      </c>
      <c r="H1707" s="6" t="s">
        <v>2996</v>
      </c>
      <c r="I1707" s="6" t="str">
        <f t="shared" si="806"/>
        <v>=1.508*100000000</v>
      </c>
      <c r="J1707" s="1">
        <f>1.508*100000000</f>
        <v>150800000</v>
      </c>
      <c r="K1707" s="10">
        <f t="shared" si="823"/>
        <v>0.55656482246077621</v>
      </c>
      <c r="L1707" s="7" t="s">
        <v>15895</v>
      </c>
      <c r="M1707" s="6" t="str">
        <f t="shared" si="807"/>
        <v>=9688*10000</v>
      </c>
      <c r="N1707" s="1">
        <f>9688*10000</f>
        <v>96880000</v>
      </c>
      <c r="O1707" s="8">
        <f t="shared" si="824"/>
        <v>1.1519324744557975</v>
      </c>
      <c r="P1707" s="7" t="s">
        <v>15195</v>
      </c>
      <c r="Q1707" s="6" t="str">
        <f t="shared" si="808"/>
        <v>=4502*10000</v>
      </c>
      <c r="R1707" s="11">
        <f>4502*10000</f>
        <v>45020000</v>
      </c>
      <c r="S1707" s="8">
        <f t="shared" si="825"/>
        <v>-0.54957478739369681</v>
      </c>
      <c r="T1707" s="7" t="s">
        <v>15896</v>
      </c>
      <c r="U1707" s="6" t="str">
        <f t="shared" si="809"/>
        <v>=9995*10000</v>
      </c>
      <c r="V1707" s="1">
        <f>9995*10000</f>
        <v>99950000</v>
      </c>
      <c r="W1707" s="8">
        <f t="shared" si="826"/>
        <v>0.25</v>
      </c>
      <c r="X1707" s="7" t="s">
        <v>15897</v>
      </c>
      <c r="Y1707" s="6" t="str">
        <f t="shared" si="810"/>
        <v>=7996*10000</v>
      </c>
      <c r="Z1707" s="1">
        <f>7996*10000</f>
        <v>79960000</v>
      </c>
      <c r="AA1707" s="8">
        <f t="shared" si="827"/>
        <v>0.8938891520606348</v>
      </c>
      <c r="AB1707" s="7" t="s">
        <v>15898</v>
      </c>
      <c r="AC1707" s="6" t="str">
        <f t="shared" si="811"/>
        <v>=4222*10000</v>
      </c>
      <c r="AD1707" s="1">
        <f>4222*10000</f>
        <v>42220000</v>
      </c>
      <c r="AE1707" s="8">
        <f t="shared" si="828"/>
        <v>1.5854255970606246</v>
      </c>
      <c r="AF1707" s="7" t="s">
        <v>7580</v>
      </c>
      <c r="AG1707" s="6" t="str">
        <f t="shared" si="812"/>
        <v>=1633*10000</v>
      </c>
      <c r="AH1707" s="1">
        <f>1633*10000</f>
        <v>16330000</v>
      </c>
      <c r="AI1707" s="8">
        <f t="shared" si="829"/>
        <v>-0.87813432835820893</v>
      </c>
      <c r="AJ1707" s="6" t="s">
        <v>13729</v>
      </c>
      <c r="AK1707" s="6" t="str">
        <f t="shared" si="813"/>
        <v>=1.340*100000000</v>
      </c>
      <c r="AL1707" s="1">
        <f>1.34*100000000</f>
        <v>134000000.00000001</v>
      </c>
      <c r="AM1707" s="8">
        <f t="shared" si="830"/>
        <v>0.28229665071770349</v>
      </c>
      <c r="AN1707" s="6" t="s">
        <v>9299</v>
      </c>
      <c r="AO1707" s="6" t="str">
        <f t="shared" si="814"/>
        <v>=1.045*100000000</v>
      </c>
      <c r="AP1707" s="1">
        <f>1.045*100000000</f>
        <v>104500000</v>
      </c>
      <c r="AQ1707" s="8">
        <f t="shared" si="831"/>
        <v>0.44237405106970323</v>
      </c>
      <c r="AR1707" s="7" t="s">
        <v>15700</v>
      </c>
      <c r="AS1707" s="6" t="str">
        <f t="shared" si="815"/>
        <v>=7245*10000</v>
      </c>
      <c r="AT1707" s="1">
        <f>7245*10000</f>
        <v>72450000</v>
      </c>
      <c r="AU1707" s="8">
        <f t="shared" si="832"/>
        <v>1.4509472259810554</v>
      </c>
      <c r="AV1707" s="7" t="s">
        <v>3180</v>
      </c>
      <c r="AW1707" s="6" t="str">
        <f t="shared" si="816"/>
        <v>=2956*10000</v>
      </c>
      <c r="AX1707" s="1">
        <f>2956*10000</f>
        <v>29560000</v>
      </c>
      <c r="AY1707" s="10">
        <f t="shared" si="833"/>
        <v>-0.75201342281879191</v>
      </c>
      <c r="AZ1707" s="6" t="s">
        <v>2162</v>
      </c>
      <c r="BA1707" s="6" t="str">
        <f t="shared" si="817"/>
        <v>=1.192*100000000</v>
      </c>
      <c r="BB1707" s="1">
        <f>1.192*100000000</f>
        <v>119200000</v>
      </c>
      <c r="BC1707" s="8">
        <f t="shared" si="834"/>
        <v>0.41299193930772876</v>
      </c>
      <c r="BD1707" s="7" t="s">
        <v>15899</v>
      </c>
      <c r="BE1707" s="6" t="str">
        <f t="shared" si="818"/>
        <v>=8436*10000</v>
      </c>
      <c r="BF1707" s="1">
        <f>8436*10000</f>
        <v>84360000</v>
      </c>
      <c r="BG1707" s="8">
        <f t="shared" si="835"/>
        <v>0.6038022813688213</v>
      </c>
      <c r="BH1707" s="7" t="s">
        <v>3438</v>
      </c>
      <c r="BI1707" s="6" t="str">
        <f t="shared" si="819"/>
        <v>=5260*10000</v>
      </c>
      <c r="BJ1707" s="1">
        <f>5260*10000</f>
        <v>52600000</v>
      </c>
      <c r="BK1707" s="7" t="s">
        <v>4187</v>
      </c>
      <c r="BL1707" s="1" t="str">
        <f t="shared" si="821"/>
        <v>=2463*10000</v>
      </c>
      <c r="BM1707" s="16">
        <f t="shared" si="836"/>
        <v>1.1356069833536337</v>
      </c>
      <c r="BN1707" s="1">
        <f>2463*10000</f>
        <v>24630000</v>
      </c>
    </row>
    <row r="1708" spans="1:66">
      <c r="A1708" s="18"/>
      <c r="B1708">
        <v>603289</v>
      </c>
      <c r="C1708" t="s">
        <v>58</v>
      </c>
      <c r="D1708" s="6" t="s">
        <v>6129</v>
      </c>
      <c r="E1708" s="7" t="str">
        <f t="shared" si="820"/>
        <v>=1.595*100000000</v>
      </c>
      <c r="F1708" s="1">
        <f>1.595*100000000</f>
        <v>159500000</v>
      </c>
      <c r="G1708" s="8">
        <f t="shared" si="822"/>
        <v>6.4753004005340453E-2</v>
      </c>
      <c r="H1708" s="6" t="s">
        <v>1462</v>
      </c>
      <c r="I1708" s="6" t="str">
        <f t="shared" si="806"/>
        <v>=1.498*100000000</v>
      </c>
      <c r="J1708" s="1">
        <f>1.498*100000000</f>
        <v>149800000</v>
      </c>
      <c r="K1708" s="10">
        <f t="shared" si="823"/>
        <v>0.55620195304383957</v>
      </c>
      <c r="L1708" s="7" t="s">
        <v>15900</v>
      </c>
      <c r="M1708" s="6" t="str">
        <f t="shared" si="807"/>
        <v>=9626*10000</v>
      </c>
      <c r="N1708" s="1">
        <f>9626*10000</f>
        <v>96260000</v>
      </c>
      <c r="O1708" s="8">
        <f t="shared" si="824"/>
        <v>1.137685987119698</v>
      </c>
      <c r="P1708" s="7" t="s">
        <v>15901</v>
      </c>
      <c r="Q1708" s="6" t="str">
        <f t="shared" si="808"/>
        <v>=4503*10000</v>
      </c>
      <c r="R1708" s="11">
        <f>4503*10000</f>
        <v>45030000</v>
      </c>
      <c r="S1708" s="8">
        <f t="shared" si="825"/>
        <v>-0.5404164115125536</v>
      </c>
      <c r="T1708" s="7" t="s">
        <v>15902</v>
      </c>
      <c r="U1708" s="6" t="str">
        <f t="shared" si="809"/>
        <v>=9798*10000</v>
      </c>
      <c r="V1708" s="1">
        <f>9798*10000</f>
        <v>97980000</v>
      </c>
      <c r="W1708" s="8">
        <f t="shared" si="826"/>
        <v>0.24878919194494009</v>
      </c>
      <c r="X1708" s="7" t="s">
        <v>15903</v>
      </c>
      <c r="Y1708" s="6" t="str">
        <f t="shared" si="810"/>
        <v>=7846*10000</v>
      </c>
      <c r="Z1708" s="1">
        <f>7846*10000</f>
        <v>78460000</v>
      </c>
      <c r="AA1708" s="8">
        <f t="shared" si="827"/>
        <v>0.90621963070942668</v>
      </c>
      <c r="AB1708" s="7" t="s">
        <v>15904</v>
      </c>
      <c r="AC1708" s="6" t="str">
        <f t="shared" si="811"/>
        <v>=4116*10000</v>
      </c>
      <c r="AD1708" s="1">
        <f>4116*10000</f>
        <v>41160000</v>
      </c>
      <c r="AE1708" s="8">
        <f t="shared" si="828"/>
        <v>1.520514390691978</v>
      </c>
      <c r="AF1708" s="7" t="s">
        <v>7580</v>
      </c>
      <c r="AG1708" s="6" t="str">
        <f t="shared" si="812"/>
        <v>=1633*10000</v>
      </c>
      <c r="AH1708" s="1">
        <f>1633*10000</f>
        <v>16330000</v>
      </c>
      <c r="AI1708" s="8">
        <f t="shared" si="829"/>
        <v>-0.87694046721929164</v>
      </c>
      <c r="AJ1708" s="6" t="s">
        <v>3378</v>
      </c>
      <c r="AK1708" s="6" t="str">
        <f t="shared" si="813"/>
        <v>=1.327*100000000</v>
      </c>
      <c r="AL1708" s="1">
        <f>1.327*100000000</f>
        <v>132700000</v>
      </c>
      <c r="AM1708" s="8">
        <f t="shared" si="830"/>
        <v>0.26743075453677173</v>
      </c>
      <c r="AN1708" s="6" t="s">
        <v>1203</v>
      </c>
      <c r="AO1708" s="6" t="str">
        <f t="shared" si="814"/>
        <v>=1.047*100000000</v>
      </c>
      <c r="AP1708" s="1">
        <f>1.047*100000000</f>
        <v>104700000</v>
      </c>
      <c r="AQ1708" s="8">
        <f t="shared" si="831"/>
        <v>0.44533406957482052</v>
      </c>
      <c r="AR1708" s="7" t="s">
        <v>15905</v>
      </c>
      <c r="AS1708" s="6" t="str">
        <f t="shared" si="815"/>
        <v>=7244*10000</v>
      </c>
      <c r="AT1708" s="1">
        <f>7244*10000</f>
        <v>72440000</v>
      </c>
      <c r="AU1708" s="8">
        <f t="shared" si="832"/>
        <v>1.4506089309878214</v>
      </c>
      <c r="AV1708" s="7" t="s">
        <v>3180</v>
      </c>
      <c r="AW1708" s="6" t="str">
        <f t="shared" si="816"/>
        <v>=2956*10000</v>
      </c>
      <c r="AX1708" s="1">
        <f>2956*10000</f>
        <v>29560000</v>
      </c>
      <c r="AY1708" s="10">
        <f t="shared" si="833"/>
        <v>-0.74317984361424849</v>
      </c>
      <c r="AZ1708" s="6" t="s">
        <v>7907</v>
      </c>
      <c r="BA1708" s="6" t="str">
        <f t="shared" si="817"/>
        <v>=1.151*100000000</v>
      </c>
      <c r="BB1708" s="1">
        <f>1.151*100000000</f>
        <v>115100000</v>
      </c>
      <c r="BC1708" s="8">
        <f t="shared" si="834"/>
        <v>0.41818629866929524</v>
      </c>
      <c r="BD1708" s="7" t="s">
        <v>15906</v>
      </c>
      <c r="BE1708" s="6" t="str">
        <f t="shared" si="818"/>
        <v>=8116*10000</v>
      </c>
      <c r="BF1708" s="1">
        <f>8116*10000</f>
        <v>81160000</v>
      </c>
      <c r="BG1708" s="8">
        <f t="shared" si="835"/>
        <v>0.60205290169759174</v>
      </c>
      <c r="BH1708" s="7" t="s">
        <v>15907</v>
      </c>
      <c r="BI1708" s="6" t="str">
        <f t="shared" si="819"/>
        <v>=5066*10000</v>
      </c>
      <c r="BJ1708" s="1">
        <f>5066*10000</f>
        <v>50660000</v>
      </c>
      <c r="BK1708" s="7" t="s">
        <v>5701</v>
      </c>
      <c r="BL1708" s="1" t="str">
        <f t="shared" si="821"/>
        <v>=2363*10000</v>
      </c>
      <c r="BM1708" s="16">
        <f t="shared" si="836"/>
        <v>1.1438848920863309</v>
      </c>
      <c r="BN1708" s="1">
        <f>2363*10000</f>
        <v>23630000</v>
      </c>
    </row>
    <row r="1709" spans="1:66">
      <c r="A1709" s="19"/>
      <c r="B1709">
        <v>603289</v>
      </c>
      <c r="C1709" t="s">
        <v>68</v>
      </c>
      <c r="D1709" s="6" t="s">
        <v>15908</v>
      </c>
      <c r="E1709" s="7" t="str">
        <f t="shared" si="820"/>
        <v>=1.422*100000000</v>
      </c>
      <c r="F1709" s="1">
        <f>1.422*100000000</f>
        <v>142200000</v>
      </c>
      <c r="G1709" s="8">
        <f t="shared" si="822"/>
        <v>6.6766691672918224E-2</v>
      </c>
      <c r="H1709" s="6" t="s">
        <v>4282</v>
      </c>
      <c r="I1709" s="6" t="str">
        <f t="shared" si="806"/>
        <v>=1.333*100000000</v>
      </c>
      <c r="J1709" s="1">
        <f>1.333*100000000</f>
        <v>133300000</v>
      </c>
      <c r="K1709" s="10">
        <f t="shared" si="823"/>
        <v>0.54730121880441096</v>
      </c>
      <c r="L1709" s="7" t="s">
        <v>15909</v>
      </c>
      <c r="M1709" s="6" t="str">
        <f t="shared" si="807"/>
        <v>=8615*10000</v>
      </c>
      <c r="N1709" s="1">
        <f>8615*10000</f>
        <v>86150000</v>
      </c>
      <c r="O1709" s="8">
        <f t="shared" si="824"/>
        <v>1.197143585819944</v>
      </c>
      <c r="P1709" s="7" t="s">
        <v>15910</v>
      </c>
      <c r="Q1709" s="6" t="str">
        <f t="shared" si="808"/>
        <v>=3921*10000</v>
      </c>
      <c r="R1709" s="11">
        <f>3921*10000</f>
        <v>39210000</v>
      </c>
      <c r="S1709" s="8">
        <f t="shared" si="825"/>
        <v>-0.54775086505190307</v>
      </c>
      <c r="T1709" s="7" t="s">
        <v>2787</v>
      </c>
      <c r="U1709" s="6" t="str">
        <f t="shared" si="809"/>
        <v>=8670*10000</v>
      </c>
      <c r="V1709" s="1">
        <f>8670*10000</f>
        <v>86700000</v>
      </c>
      <c r="W1709" s="8">
        <f t="shared" si="826"/>
        <v>0.28273413226808697</v>
      </c>
      <c r="X1709" s="7" t="s">
        <v>15911</v>
      </c>
      <c r="Y1709" s="6" t="str">
        <f t="shared" si="810"/>
        <v>=6759*10000</v>
      </c>
      <c r="Z1709" s="1">
        <f>6759*10000</f>
        <v>67590000</v>
      </c>
      <c r="AA1709" s="8">
        <f t="shared" si="827"/>
        <v>0.89380778929672178</v>
      </c>
      <c r="AB1709" s="7" t="s">
        <v>15912</v>
      </c>
      <c r="AC1709" s="6" t="str">
        <f t="shared" si="811"/>
        <v>=3569*10000</v>
      </c>
      <c r="AD1709" s="1">
        <f>3569*10000</f>
        <v>35690000</v>
      </c>
      <c r="AE1709" s="8">
        <f t="shared" si="828"/>
        <v>1.5657800143781453</v>
      </c>
      <c r="AF1709" s="7" t="s">
        <v>15913</v>
      </c>
      <c r="AG1709" s="6" t="str">
        <f t="shared" si="812"/>
        <v>=1391*10000</v>
      </c>
      <c r="AH1709" s="1">
        <f>1391*10000</f>
        <v>13910000</v>
      </c>
      <c r="AI1709" s="8">
        <f t="shared" si="829"/>
        <v>-0.87883275261324045</v>
      </c>
      <c r="AJ1709" s="6" t="s">
        <v>13781</v>
      </c>
      <c r="AK1709" s="6" t="str">
        <f t="shared" si="813"/>
        <v>=1.148*100000000</v>
      </c>
      <c r="AL1709" s="1">
        <f>1.148*100000000</f>
        <v>114799999.99999999</v>
      </c>
      <c r="AM1709" s="8">
        <f t="shared" si="830"/>
        <v>0.28239499553172459</v>
      </c>
      <c r="AN1709" s="7" t="s">
        <v>15914</v>
      </c>
      <c r="AO1709" s="6" t="str">
        <f t="shared" si="814"/>
        <v>=8952*10000</v>
      </c>
      <c r="AP1709" s="1">
        <f>8952*10000</f>
        <v>89520000</v>
      </c>
      <c r="AQ1709" s="8">
        <f t="shared" si="831"/>
        <v>0.44433688286544049</v>
      </c>
      <c r="AR1709" s="7" t="s">
        <v>15915</v>
      </c>
      <c r="AS1709" s="6" t="str">
        <f t="shared" si="815"/>
        <v>=6198*10000</v>
      </c>
      <c r="AT1709" s="1">
        <f>6198*10000</f>
        <v>61980000</v>
      </c>
      <c r="AU1709" s="8">
        <f t="shared" si="832"/>
        <v>1.4546534653465346</v>
      </c>
      <c r="AV1709" s="7" t="s">
        <v>2232</v>
      </c>
      <c r="AW1709" s="6" t="str">
        <f t="shared" si="816"/>
        <v>=2525*10000</v>
      </c>
      <c r="AX1709" s="1">
        <f>2525*10000</f>
        <v>25250000</v>
      </c>
      <c r="AY1709" s="10">
        <f t="shared" si="833"/>
        <v>-0.74900596421471177</v>
      </c>
      <c r="AZ1709" s="6" t="s">
        <v>6375</v>
      </c>
      <c r="BA1709" s="6" t="str">
        <f t="shared" si="817"/>
        <v>=1.006*100000000</v>
      </c>
      <c r="BB1709" s="1">
        <f>1.006*100000000</f>
        <v>100600000</v>
      </c>
      <c r="BC1709" s="8">
        <f t="shared" si="834"/>
        <v>0.42857142857142855</v>
      </c>
      <c r="BD1709" s="7" t="s">
        <v>15916</v>
      </c>
      <c r="BE1709" s="6" t="str">
        <f t="shared" si="818"/>
        <v>=7042*10000</v>
      </c>
      <c r="BF1709" s="1">
        <f>7042*10000</f>
        <v>70420000</v>
      </c>
      <c r="BG1709" s="8">
        <f t="shared" si="835"/>
        <v>0.61439706556625406</v>
      </c>
      <c r="BH1709" s="7" t="s">
        <v>6427</v>
      </c>
      <c r="BI1709" s="6" t="str">
        <f t="shared" si="819"/>
        <v>=4362*10000</v>
      </c>
      <c r="BJ1709" s="1">
        <f>4362*10000</f>
        <v>43620000</v>
      </c>
      <c r="BK1709" s="7" t="s">
        <v>15917</v>
      </c>
      <c r="BL1709" s="1" t="str">
        <f t="shared" si="821"/>
        <v>=2034*10000</v>
      </c>
      <c r="BM1709" s="16">
        <f t="shared" si="836"/>
        <v>1.1445427728613569</v>
      </c>
      <c r="BN1709" s="1">
        <f>2034*10000</f>
        <v>20340000</v>
      </c>
    </row>
    <row r="1710" spans="1:66">
      <c r="A1710" s="17">
        <v>429</v>
      </c>
      <c r="B1710">
        <v>603298</v>
      </c>
      <c r="C1710" t="s">
        <v>31</v>
      </c>
      <c r="D1710" s="6" t="s">
        <v>13759</v>
      </c>
      <c r="E1710" s="7" t="str">
        <f t="shared" si="820"/>
        <v>=144.9*100000000</v>
      </c>
      <c r="F1710" s="1">
        <f>144.9*100000000</f>
        <v>14490000000</v>
      </c>
      <c r="G1710" s="8">
        <f t="shared" si="822"/>
        <v>0.31727272727272726</v>
      </c>
      <c r="H1710" s="6" t="s">
        <v>8097</v>
      </c>
      <c r="I1710" s="6" t="str">
        <f t="shared" si="806"/>
        <v>=110.0*100000000</v>
      </c>
      <c r="J1710" s="1">
        <f>110*100000000</f>
        <v>11000000000</v>
      </c>
      <c r="K1710" s="10">
        <f t="shared" si="823"/>
        <v>0.49314510655626442</v>
      </c>
      <c r="L1710" s="6" t="s">
        <v>15918</v>
      </c>
      <c r="M1710" s="6" t="str">
        <f t="shared" si="807"/>
        <v>=73.67*100000000</v>
      </c>
      <c r="N1710" s="1">
        <f>73.67*100000000</f>
        <v>7367000000</v>
      </c>
      <c r="O1710" s="8">
        <f t="shared" si="824"/>
        <v>1.1977923627684961</v>
      </c>
      <c r="P1710" s="6" t="s">
        <v>4145</v>
      </c>
      <c r="Q1710" s="6" t="str">
        <f t="shared" si="808"/>
        <v>=33.52*100000000</v>
      </c>
      <c r="R1710" s="11">
        <f>33.52*100000000</f>
        <v>3352000000.0000005</v>
      </c>
      <c r="S1710" s="8">
        <f t="shared" si="825"/>
        <v>-0.7072489082969432</v>
      </c>
      <c r="T1710" s="6" t="s">
        <v>11832</v>
      </c>
      <c r="U1710" s="6" t="str">
        <f t="shared" si="809"/>
        <v>=114.5*100000000</v>
      </c>
      <c r="V1710" s="1">
        <f>114.5*100000000</f>
        <v>11450000000</v>
      </c>
      <c r="W1710" s="8">
        <f t="shared" si="826"/>
        <v>0.3949805068226121</v>
      </c>
      <c r="X1710" s="6" t="s">
        <v>15919</v>
      </c>
      <c r="Y1710" s="6" t="str">
        <f t="shared" si="810"/>
        <v>=82.08*100000000</v>
      </c>
      <c r="Z1710" s="1">
        <f>82.08*100000000</f>
        <v>8208000000</v>
      </c>
      <c r="AA1710" s="8">
        <f t="shared" si="827"/>
        <v>0.60218621901229752</v>
      </c>
      <c r="AB1710" s="6" t="s">
        <v>8440</v>
      </c>
      <c r="AC1710" s="6" t="str">
        <f t="shared" si="811"/>
        <v>=51.23*100000000</v>
      </c>
      <c r="AD1710" s="1">
        <f>51.23*100000000</f>
        <v>5123000000</v>
      </c>
      <c r="AE1710" s="8">
        <f t="shared" si="828"/>
        <v>1.5051344743276283</v>
      </c>
      <c r="AF1710" s="6" t="s">
        <v>732</v>
      </c>
      <c r="AG1710" s="6" t="str">
        <f t="shared" si="812"/>
        <v>=20.45*100000000</v>
      </c>
      <c r="AH1710" s="1">
        <f>20.45*100000000</f>
        <v>2045000000</v>
      </c>
      <c r="AI1710" s="8">
        <f t="shared" si="829"/>
        <v>-0.76903094646487469</v>
      </c>
      <c r="AJ1710" s="6" t="s">
        <v>15920</v>
      </c>
      <c r="AK1710" s="6" t="str">
        <f t="shared" si="813"/>
        <v>=88.54*100000000</v>
      </c>
      <c r="AL1710" s="1">
        <f>88.54*100000000</f>
        <v>8854000000</v>
      </c>
      <c r="AM1710" s="8">
        <f t="shared" si="830"/>
        <v>0.31170370370370371</v>
      </c>
      <c r="AN1710" s="6" t="s">
        <v>15921</v>
      </c>
      <c r="AO1710" s="6" t="str">
        <f t="shared" si="814"/>
        <v>=67.50*100000000</v>
      </c>
      <c r="AP1710" s="1">
        <f>67.5*100000000</f>
        <v>6750000000</v>
      </c>
      <c r="AQ1710" s="8">
        <f t="shared" si="831"/>
        <v>0.46293888166449937</v>
      </c>
      <c r="AR1710" s="6" t="s">
        <v>15922</v>
      </c>
      <c r="AS1710" s="6" t="str">
        <f t="shared" si="815"/>
        <v>=46.14*100000000</v>
      </c>
      <c r="AT1710" s="1">
        <f>46.14*100000000</f>
        <v>4614000000</v>
      </c>
      <c r="AU1710" s="8">
        <f t="shared" si="832"/>
        <v>1.0830699774266366</v>
      </c>
      <c r="AV1710" s="6" t="s">
        <v>15923</v>
      </c>
      <c r="AW1710" s="6" t="str">
        <f t="shared" si="816"/>
        <v>=22.15*100000000</v>
      </c>
      <c r="AX1710" s="1">
        <f>22.15*100000000</f>
        <v>2215000000</v>
      </c>
      <c r="AY1710" s="10">
        <f t="shared" si="833"/>
        <v>-0.73765249318962456</v>
      </c>
      <c r="AZ1710" s="6" t="s">
        <v>15924</v>
      </c>
      <c r="BA1710" s="6" t="str">
        <f t="shared" si="817"/>
        <v>=84.43*100000000</v>
      </c>
      <c r="BB1710" s="1">
        <f>84.43*100000000</f>
        <v>8443000000.000001</v>
      </c>
      <c r="BC1710" s="8">
        <f t="shared" si="834"/>
        <v>0.30676365887633505</v>
      </c>
      <c r="BD1710" s="6" t="s">
        <v>83</v>
      </c>
      <c r="BE1710" s="6" t="str">
        <f t="shared" si="818"/>
        <v>=64.61*100000000</v>
      </c>
      <c r="BF1710" s="1">
        <f>64.61*100000000</f>
        <v>6461000000</v>
      </c>
      <c r="BG1710" s="8">
        <f t="shared" si="835"/>
        <v>0.48836673577516704</v>
      </c>
      <c r="BH1710" s="6" t="s">
        <v>2822</v>
      </c>
      <c r="BI1710" s="6" t="str">
        <f t="shared" si="819"/>
        <v>=43.41*100000000</v>
      </c>
      <c r="BJ1710" s="1">
        <f>43.41*100000000</f>
        <v>4341000000</v>
      </c>
      <c r="BK1710" s="6" t="s">
        <v>3411</v>
      </c>
      <c r="BL1710" s="1" t="str">
        <f t="shared" si="821"/>
        <v>=18.54*100000000</v>
      </c>
      <c r="BM1710" s="16">
        <f t="shared" si="836"/>
        <v>1.3414239482200647</v>
      </c>
      <c r="BN1710" s="1">
        <f>18.54*100000000</f>
        <v>1854000000</v>
      </c>
    </row>
    <row r="1711" spans="1:66">
      <c r="A1711" s="18"/>
      <c r="B1711">
        <v>603298</v>
      </c>
      <c r="C1711" t="s">
        <v>48</v>
      </c>
      <c r="D1711" s="6" t="s">
        <v>4079</v>
      </c>
      <c r="E1711" s="7" t="str">
        <f t="shared" si="820"/>
        <v>=10.84*100000000</v>
      </c>
      <c r="F1711" s="1">
        <f>10.84*100000000</f>
        <v>1084000000</v>
      </c>
      <c r="G1711" s="8">
        <f t="shared" si="822"/>
        <v>0.21606461745568767</v>
      </c>
      <c r="H1711" s="6" t="s">
        <v>15925</v>
      </c>
      <c r="I1711" s="6" t="str">
        <f t="shared" si="806"/>
        <v>=8.914*100000000</v>
      </c>
      <c r="J1711" s="1">
        <f>8.914*100000000</f>
        <v>891400000</v>
      </c>
      <c r="K1711" s="10">
        <f t="shared" si="823"/>
        <v>0.41987894233832429</v>
      </c>
      <c r="L1711" s="6" t="s">
        <v>15926</v>
      </c>
      <c r="M1711" s="6" t="str">
        <f t="shared" si="807"/>
        <v>=6.278*100000000</v>
      </c>
      <c r="N1711" s="1">
        <f>6.278*100000000</f>
        <v>627800000</v>
      </c>
      <c r="O1711" s="8">
        <f t="shared" si="824"/>
        <v>1.344286781179985</v>
      </c>
      <c r="P1711" s="6" t="s">
        <v>6430</v>
      </c>
      <c r="Q1711" s="6" t="str">
        <f t="shared" si="808"/>
        <v>=2.678*100000000</v>
      </c>
      <c r="R1711" s="11">
        <f>2.678*100000000</f>
        <v>267800000</v>
      </c>
      <c r="S1711" s="8">
        <f t="shared" si="825"/>
        <v>-0.73898635477582841</v>
      </c>
      <c r="T1711" s="6" t="s">
        <v>1683</v>
      </c>
      <c r="U1711" s="6" t="str">
        <f t="shared" si="809"/>
        <v>=10.26*100000000</v>
      </c>
      <c r="V1711" s="1">
        <f>10.26*100000000</f>
        <v>1026000000</v>
      </c>
      <c r="W1711" s="8">
        <f t="shared" si="826"/>
        <v>0.30351924787193496</v>
      </c>
      <c r="X1711" s="6" t="s">
        <v>15927</v>
      </c>
      <c r="Y1711" s="6" t="str">
        <f t="shared" si="810"/>
        <v>=7.871*100000000</v>
      </c>
      <c r="Z1711" s="1">
        <f>7.871*100000000</f>
        <v>787100000</v>
      </c>
      <c r="AA1711" s="8">
        <f t="shared" si="827"/>
        <v>0.53072734344612971</v>
      </c>
      <c r="AB1711" s="6" t="s">
        <v>15928</v>
      </c>
      <c r="AC1711" s="6" t="str">
        <f t="shared" si="811"/>
        <v>=5.142*100000000</v>
      </c>
      <c r="AD1711" s="1">
        <f>5.142*100000000</f>
        <v>514200000.00000006</v>
      </c>
      <c r="AE1711" s="8">
        <f t="shared" si="828"/>
        <v>1.839315295416897</v>
      </c>
      <c r="AF1711" s="6" t="s">
        <v>4454</v>
      </c>
      <c r="AG1711" s="6" t="str">
        <f t="shared" si="812"/>
        <v>=1.811*100000000</v>
      </c>
      <c r="AH1711" s="1">
        <f>1.811*100000000</f>
        <v>181100000</v>
      </c>
      <c r="AI1711" s="8">
        <f t="shared" si="829"/>
        <v>-0.77860635696821512</v>
      </c>
      <c r="AJ1711" s="6" t="s">
        <v>12450</v>
      </c>
      <c r="AK1711" s="6" t="str">
        <f t="shared" si="813"/>
        <v>=8.180*100000000</v>
      </c>
      <c r="AL1711" s="1">
        <f>8.18*100000000</f>
        <v>818000000</v>
      </c>
      <c r="AM1711" s="8">
        <f t="shared" si="830"/>
        <v>0.30296272698311566</v>
      </c>
      <c r="AN1711" s="6" t="s">
        <v>15926</v>
      </c>
      <c r="AO1711" s="6" t="str">
        <f t="shared" si="814"/>
        <v>=6.278*100000000</v>
      </c>
      <c r="AP1711" s="1">
        <f>6.278*100000000</f>
        <v>627800000</v>
      </c>
      <c r="AQ1711" s="8">
        <f t="shared" si="831"/>
        <v>0.36745807013722498</v>
      </c>
      <c r="AR1711" s="6" t="s">
        <v>15929</v>
      </c>
      <c r="AS1711" s="6" t="str">
        <f t="shared" si="815"/>
        <v>=4.591*100000000</v>
      </c>
      <c r="AT1711" s="1">
        <f>4.591*100000000</f>
        <v>459100000</v>
      </c>
      <c r="AU1711" s="8">
        <f t="shared" si="832"/>
        <v>1.5156164383561643</v>
      </c>
      <c r="AV1711" s="6" t="s">
        <v>2009</v>
      </c>
      <c r="AW1711" s="6" t="str">
        <f t="shared" si="816"/>
        <v>=1.825*100000000</v>
      </c>
      <c r="AX1711" s="1">
        <f>1.825*100000000</f>
        <v>182500000</v>
      </c>
      <c r="AY1711" s="10">
        <f t="shared" si="833"/>
        <v>-0.74496925656791502</v>
      </c>
      <c r="AZ1711" s="6" t="s">
        <v>10235</v>
      </c>
      <c r="BA1711" s="6" t="str">
        <f t="shared" si="817"/>
        <v>=7.156*100000000</v>
      </c>
      <c r="BB1711" s="1">
        <f>7.156*100000000</f>
        <v>715600000</v>
      </c>
      <c r="BC1711" s="8">
        <f t="shared" si="834"/>
        <v>0.27059659090909088</v>
      </c>
      <c r="BD1711" s="6" t="s">
        <v>3368</v>
      </c>
      <c r="BE1711" s="6" t="str">
        <f t="shared" si="818"/>
        <v>=5.632*100000000</v>
      </c>
      <c r="BF1711" s="1">
        <f>5.632*100000000</f>
        <v>563200000</v>
      </c>
      <c r="BG1711" s="8">
        <f t="shared" si="835"/>
        <v>0.40099502487562211</v>
      </c>
      <c r="BH1711" s="6" t="s">
        <v>6378</v>
      </c>
      <c r="BI1711" s="6" t="str">
        <f t="shared" si="819"/>
        <v>=4.020*100000000</v>
      </c>
      <c r="BJ1711" s="1">
        <f>4.02*100000000</f>
        <v>401999999.99999994</v>
      </c>
      <c r="BK1711" s="6" t="s">
        <v>2012</v>
      </c>
      <c r="BL1711" s="1" t="str">
        <f t="shared" si="821"/>
        <v>=1.460*100000000</v>
      </c>
      <c r="BM1711" s="16">
        <f t="shared" si="836"/>
        <v>1.7534246575342463</v>
      </c>
      <c r="BN1711" s="1">
        <f>1.46*100000000</f>
        <v>146000000</v>
      </c>
    </row>
    <row r="1712" spans="1:66">
      <c r="A1712" s="18"/>
      <c r="B1712">
        <v>603298</v>
      </c>
      <c r="C1712" t="s">
        <v>58</v>
      </c>
      <c r="D1712" s="6" t="s">
        <v>4527</v>
      </c>
      <c r="E1712" s="7" t="str">
        <f t="shared" si="820"/>
        <v>=10.83*100000000</v>
      </c>
      <c r="F1712" s="1">
        <f>10.83*100000000</f>
        <v>1083000000</v>
      </c>
      <c r="G1712" s="8">
        <f t="shared" si="822"/>
        <v>0.21603413429148888</v>
      </c>
      <c r="H1712" s="6" t="s">
        <v>15930</v>
      </c>
      <c r="I1712" s="6" t="str">
        <f t="shared" si="806"/>
        <v>=8.906*100000000</v>
      </c>
      <c r="J1712" s="1">
        <f>8.906*100000000</f>
        <v>890600000</v>
      </c>
      <c r="K1712" s="10">
        <f t="shared" si="823"/>
        <v>0.41928286852589641</v>
      </c>
      <c r="L1712" s="6" t="s">
        <v>9986</v>
      </c>
      <c r="M1712" s="6" t="str">
        <f t="shared" si="807"/>
        <v>=6.275*100000000</v>
      </c>
      <c r="N1712" s="1">
        <f>6.275*100000000</f>
        <v>627500000</v>
      </c>
      <c r="O1712" s="8">
        <f t="shared" si="824"/>
        <v>1.344041837878222</v>
      </c>
      <c r="P1712" s="6" t="s">
        <v>7444</v>
      </c>
      <c r="Q1712" s="6" t="str">
        <f t="shared" si="808"/>
        <v>=2.677*100000000</v>
      </c>
      <c r="R1712" s="11">
        <f>2.677*100000000</f>
        <v>267700000</v>
      </c>
      <c r="S1712" s="8">
        <f t="shared" si="825"/>
        <v>-0.73908382066276801</v>
      </c>
      <c r="T1712" s="6" t="s">
        <v>1683</v>
      </c>
      <c r="U1712" s="6" t="str">
        <f t="shared" si="809"/>
        <v>=10.26*100000000</v>
      </c>
      <c r="V1712" s="1">
        <f>10.26*100000000</f>
        <v>1026000000</v>
      </c>
      <c r="W1712" s="8">
        <f t="shared" si="826"/>
        <v>0.30401626842907981</v>
      </c>
      <c r="X1712" s="6" t="s">
        <v>181</v>
      </c>
      <c r="Y1712" s="6" t="str">
        <f t="shared" si="810"/>
        <v>=7.868*100000000</v>
      </c>
      <c r="Z1712" s="1">
        <f>7.868*100000000</f>
        <v>786800000</v>
      </c>
      <c r="AA1712" s="8">
        <f t="shared" si="827"/>
        <v>0.53103716676396184</v>
      </c>
      <c r="AB1712" s="6" t="s">
        <v>12509</v>
      </c>
      <c r="AC1712" s="6" t="str">
        <f t="shared" si="811"/>
        <v>=5.139*100000000</v>
      </c>
      <c r="AD1712" s="1">
        <f>5.139*100000000</f>
        <v>513900000</v>
      </c>
      <c r="AE1712" s="8">
        <f t="shared" si="828"/>
        <v>1.8392265193370165</v>
      </c>
      <c r="AF1712" s="6" t="s">
        <v>1269</v>
      </c>
      <c r="AG1712" s="6" t="str">
        <f t="shared" si="812"/>
        <v>=1.810*100000000</v>
      </c>
      <c r="AH1712" s="1">
        <f>1.81*100000000</f>
        <v>181000000</v>
      </c>
      <c r="AI1712" s="8">
        <f t="shared" si="829"/>
        <v>-0.78001944579484683</v>
      </c>
      <c r="AJ1712" s="6" t="s">
        <v>15931</v>
      </c>
      <c r="AK1712" s="6" t="str">
        <f t="shared" si="813"/>
        <v>=8.228*100000000</v>
      </c>
      <c r="AL1712" s="1">
        <f>8.228*100000000</f>
        <v>822800000</v>
      </c>
      <c r="AM1712" s="8">
        <f t="shared" si="830"/>
        <v>0.30499603489294214</v>
      </c>
      <c r="AN1712" s="6" t="s">
        <v>7126</v>
      </c>
      <c r="AO1712" s="6" t="str">
        <f t="shared" si="814"/>
        <v>=6.305*100000000</v>
      </c>
      <c r="AP1712" s="1">
        <f>6.305*100000000</f>
        <v>630500000</v>
      </c>
      <c r="AQ1712" s="8">
        <f t="shared" si="831"/>
        <v>0.36501407231002381</v>
      </c>
      <c r="AR1712" s="6" t="s">
        <v>7855</v>
      </c>
      <c r="AS1712" s="6" t="str">
        <f t="shared" si="815"/>
        <v>=4.619*100000000</v>
      </c>
      <c r="AT1712" s="1">
        <f>4.619*100000000</f>
        <v>461900000</v>
      </c>
      <c r="AU1712" s="8">
        <f t="shared" si="832"/>
        <v>1.5351262349066959</v>
      </c>
      <c r="AV1712" s="6" t="s">
        <v>4814</v>
      </c>
      <c r="AW1712" s="6" t="str">
        <f t="shared" si="816"/>
        <v>=1.822*100000000</v>
      </c>
      <c r="AX1712" s="1">
        <f>1.822*100000000</f>
        <v>182200000</v>
      </c>
      <c r="AY1712" s="10">
        <f t="shared" si="833"/>
        <v>-0.74879360264718042</v>
      </c>
      <c r="AZ1712" s="6" t="s">
        <v>13148</v>
      </c>
      <c r="BA1712" s="6" t="str">
        <f t="shared" si="817"/>
        <v>=7.253*100000000</v>
      </c>
      <c r="BB1712" s="1">
        <f>7.253*100000000</f>
        <v>725300000</v>
      </c>
      <c r="BC1712" s="8">
        <f t="shared" si="834"/>
        <v>0.27200982111539812</v>
      </c>
      <c r="BD1712" s="6" t="s">
        <v>15932</v>
      </c>
      <c r="BE1712" s="6" t="str">
        <f t="shared" si="818"/>
        <v>=5.702*100000000</v>
      </c>
      <c r="BF1712" s="1">
        <f>5.702*100000000</f>
        <v>570200000</v>
      </c>
      <c r="BG1712" s="8">
        <f t="shared" si="835"/>
        <v>0.39005363237445129</v>
      </c>
      <c r="BH1712" s="6" t="s">
        <v>4247</v>
      </c>
      <c r="BI1712" s="6" t="str">
        <f t="shared" si="819"/>
        <v>=4.102*100000000</v>
      </c>
      <c r="BJ1712" s="1">
        <f>4.102*100000000</f>
        <v>410200000.00000006</v>
      </c>
      <c r="BK1712" s="6" t="s">
        <v>15933</v>
      </c>
      <c r="BL1712" s="1" t="str">
        <f t="shared" si="821"/>
        <v>=1.486*100000000</v>
      </c>
      <c r="BM1712" s="16">
        <f t="shared" si="836"/>
        <v>1.7604306864064607</v>
      </c>
      <c r="BN1712" s="1">
        <f>1.486*100000000</f>
        <v>148600000</v>
      </c>
    </row>
    <row r="1713" spans="1:66">
      <c r="A1713" s="19"/>
      <c r="B1713">
        <v>603298</v>
      </c>
      <c r="C1713" t="s">
        <v>68</v>
      </c>
      <c r="D1713" s="6" t="s">
        <v>9297</v>
      </c>
      <c r="E1713" s="7" t="str">
        <f t="shared" si="820"/>
        <v>=9.911*100000000</v>
      </c>
      <c r="F1713" s="1">
        <f>9.911*100000000</f>
        <v>991100000</v>
      </c>
      <c r="G1713" s="8">
        <f t="shared" si="822"/>
        <v>0.24525694182686267</v>
      </c>
      <c r="H1713" s="6" t="s">
        <v>15934</v>
      </c>
      <c r="I1713" s="6" t="str">
        <f t="shared" si="806"/>
        <v>=7.959*100000000</v>
      </c>
      <c r="J1713" s="1">
        <f>7.959*100000000</f>
        <v>795900000</v>
      </c>
      <c r="K1713" s="10">
        <f t="shared" si="823"/>
        <v>0.45876099706744866</v>
      </c>
      <c r="L1713" s="6" t="s">
        <v>10088</v>
      </c>
      <c r="M1713" s="6" t="str">
        <f t="shared" si="807"/>
        <v>=5.456*100000000</v>
      </c>
      <c r="N1713" s="1">
        <f>5.456*100000000</f>
        <v>545600000</v>
      </c>
      <c r="O1713" s="8">
        <f t="shared" si="824"/>
        <v>1.3639514731369153</v>
      </c>
      <c r="P1713" s="6" t="s">
        <v>15935</v>
      </c>
      <c r="Q1713" s="6" t="str">
        <f t="shared" si="808"/>
        <v>=2.308*100000000</v>
      </c>
      <c r="R1713" s="11">
        <f>2.308*100000000</f>
        <v>230799999.99999997</v>
      </c>
      <c r="S1713" s="8">
        <f t="shared" si="825"/>
        <v>-0.75123949126967016</v>
      </c>
      <c r="T1713" s="6" t="s">
        <v>15936</v>
      </c>
      <c r="U1713" s="6" t="str">
        <f t="shared" si="809"/>
        <v>=9.278*100000000</v>
      </c>
      <c r="V1713" s="1">
        <f>9.278*100000000</f>
        <v>927800000</v>
      </c>
      <c r="W1713" s="8">
        <f t="shared" si="826"/>
        <v>0.34991997672050051</v>
      </c>
      <c r="X1713" s="6" t="s">
        <v>15937</v>
      </c>
      <c r="Y1713" s="6" t="str">
        <f t="shared" si="810"/>
        <v>=6.873*100000000</v>
      </c>
      <c r="Z1713" s="1">
        <f>6.873*100000000</f>
        <v>687300000</v>
      </c>
      <c r="AA1713" s="8">
        <f t="shared" si="827"/>
        <v>0.53552278820375332</v>
      </c>
      <c r="AB1713" s="6" t="s">
        <v>7140</v>
      </c>
      <c r="AC1713" s="6" t="str">
        <f t="shared" si="811"/>
        <v>=4.476*100000000</v>
      </c>
      <c r="AD1713" s="1">
        <f>4.476*100000000</f>
        <v>447600000</v>
      </c>
      <c r="AE1713" s="8">
        <f t="shared" si="828"/>
        <v>1.8545918367346939</v>
      </c>
      <c r="AF1713" s="6" t="s">
        <v>617</v>
      </c>
      <c r="AG1713" s="6" t="str">
        <f t="shared" si="812"/>
        <v>=1.568*100000000</v>
      </c>
      <c r="AH1713" s="1">
        <f>1.568*100000000</f>
        <v>156800000</v>
      </c>
      <c r="AI1713" s="8">
        <f t="shared" si="829"/>
        <v>-0.78051511758118697</v>
      </c>
      <c r="AJ1713" s="6" t="s">
        <v>11800</v>
      </c>
      <c r="AK1713" s="6" t="str">
        <f t="shared" si="813"/>
        <v>=7.144*100000000</v>
      </c>
      <c r="AL1713" s="1">
        <f>7.144*100000000</f>
        <v>714400000</v>
      </c>
      <c r="AM1713" s="8">
        <f t="shared" si="830"/>
        <v>0.34487951807228917</v>
      </c>
      <c r="AN1713" s="6" t="s">
        <v>10248</v>
      </c>
      <c r="AO1713" s="6" t="str">
        <f t="shared" si="814"/>
        <v>=5.312*100000000</v>
      </c>
      <c r="AP1713" s="1">
        <f>5.312*100000000</f>
        <v>531200000</v>
      </c>
      <c r="AQ1713" s="8">
        <f t="shared" si="831"/>
        <v>0.36309982037464716</v>
      </c>
      <c r="AR1713" s="6" t="s">
        <v>1207</v>
      </c>
      <c r="AS1713" s="6" t="str">
        <f t="shared" si="815"/>
        <v>=3.897*100000000</v>
      </c>
      <c r="AT1713" s="1">
        <f>3.897*100000000</f>
        <v>389700000</v>
      </c>
      <c r="AU1713" s="8">
        <f t="shared" si="832"/>
        <v>1.5206985769728332</v>
      </c>
      <c r="AV1713" s="6" t="s">
        <v>10544</v>
      </c>
      <c r="AW1713" s="6" t="str">
        <f t="shared" si="816"/>
        <v>=1.546*100000000</v>
      </c>
      <c r="AX1713" s="1">
        <f>1.546*100000000</f>
        <v>154600000</v>
      </c>
      <c r="AY1713" s="10">
        <f t="shared" si="833"/>
        <v>-0.74742689103087734</v>
      </c>
      <c r="AZ1713" s="6" t="s">
        <v>5529</v>
      </c>
      <c r="BA1713" s="6" t="str">
        <f t="shared" si="817"/>
        <v>=6.121*100000000</v>
      </c>
      <c r="BB1713" s="1">
        <f>6.121*100000000</f>
        <v>612100000</v>
      </c>
      <c r="BC1713" s="8">
        <f t="shared" si="834"/>
        <v>0.29572396274343776</v>
      </c>
      <c r="BD1713" s="6" t="s">
        <v>8129</v>
      </c>
      <c r="BE1713" s="6" t="str">
        <f t="shared" si="818"/>
        <v>=4.724*100000000</v>
      </c>
      <c r="BF1713" s="1">
        <f>4.724*100000000</f>
        <v>472400000</v>
      </c>
      <c r="BG1713" s="8">
        <f t="shared" si="835"/>
        <v>0.40972843927185915</v>
      </c>
      <c r="BH1713" s="6" t="s">
        <v>9237</v>
      </c>
      <c r="BI1713" s="6" t="str">
        <f t="shared" si="819"/>
        <v>=3.351*100000000</v>
      </c>
      <c r="BJ1713" s="1">
        <f>3.351*100000000</f>
        <v>335100000</v>
      </c>
      <c r="BK1713" s="6" t="s">
        <v>12023</v>
      </c>
      <c r="BL1713" s="1" t="str">
        <f t="shared" si="821"/>
        <v>=1.177*100000000</v>
      </c>
      <c r="BM1713" s="16">
        <f t="shared" si="836"/>
        <v>1.8470688190314359</v>
      </c>
      <c r="BN1713" s="1">
        <f>1.177*100000000</f>
        <v>117700000</v>
      </c>
    </row>
    <row r="1714" spans="1:66">
      <c r="A1714" s="17">
        <v>430</v>
      </c>
      <c r="B1714">
        <v>603300</v>
      </c>
      <c r="C1714" t="s">
        <v>31</v>
      </c>
      <c r="D1714" s="6" t="s">
        <v>15938</v>
      </c>
      <c r="E1714" s="7" t="str">
        <f t="shared" si="820"/>
        <v>=26.07*100000000</v>
      </c>
      <c r="F1714" s="1">
        <f>26.07*100000000</f>
        <v>2607000000</v>
      </c>
      <c r="G1714" s="8">
        <f t="shared" si="822"/>
        <v>0.45398773006134968</v>
      </c>
      <c r="H1714" s="6" t="s">
        <v>9109</v>
      </c>
      <c r="I1714" s="6" t="str">
        <f t="shared" si="806"/>
        <v>=17.93*100000000</v>
      </c>
      <c r="J1714" s="1">
        <f>17.93*100000000</f>
        <v>1793000000</v>
      </c>
      <c r="K1714" s="10">
        <f t="shared" si="823"/>
        <v>0.68832391713747665</v>
      </c>
      <c r="L1714" s="6" t="s">
        <v>4923</v>
      </c>
      <c r="M1714" s="6" t="str">
        <f t="shared" si="807"/>
        <v>=10.62*100000000</v>
      </c>
      <c r="N1714" s="1">
        <f>10.62*100000000</f>
        <v>1061999999.9999999</v>
      </c>
      <c r="O1714" s="8">
        <f t="shared" si="824"/>
        <v>1.5652173913043481</v>
      </c>
      <c r="P1714" s="6" t="s">
        <v>2982</v>
      </c>
      <c r="Q1714" s="6" t="str">
        <f t="shared" si="808"/>
        <v>=4.140*100000000</v>
      </c>
      <c r="R1714" s="11">
        <f>4.14*100000000</f>
        <v>413999999.99999994</v>
      </c>
      <c r="S1714" s="8">
        <f t="shared" si="825"/>
        <v>-0.72834645669291342</v>
      </c>
      <c r="T1714" s="6" t="s">
        <v>7794</v>
      </c>
      <c r="U1714" s="6" t="str">
        <f t="shared" si="809"/>
        <v>=15.24*100000000</v>
      </c>
      <c r="V1714" s="1">
        <f>15.24*100000000</f>
        <v>1524000000</v>
      </c>
      <c r="W1714" s="8">
        <f t="shared" si="826"/>
        <v>0.52476238119059548</v>
      </c>
      <c r="X1714" s="6" t="s">
        <v>15939</v>
      </c>
      <c r="Y1714" s="6" t="str">
        <f t="shared" si="810"/>
        <v>=9.995*100000000</v>
      </c>
      <c r="Z1714" s="1">
        <f>9.995*100000000</f>
        <v>999499999.99999988</v>
      </c>
      <c r="AA1714" s="8">
        <f t="shared" si="827"/>
        <v>0.65947202390835113</v>
      </c>
      <c r="AB1714" s="6" t="s">
        <v>12458</v>
      </c>
      <c r="AC1714" s="6" t="str">
        <f t="shared" si="811"/>
        <v>=6.023*100000000</v>
      </c>
      <c r="AD1714" s="1">
        <f>6.023*100000000</f>
        <v>602300000</v>
      </c>
      <c r="AE1714" s="8">
        <f t="shared" si="828"/>
        <v>1.9237864077669904</v>
      </c>
      <c r="AF1714" s="6" t="s">
        <v>7522</v>
      </c>
      <c r="AG1714" s="6" t="str">
        <f t="shared" si="812"/>
        <v>=2.060*100000000</v>
      </c>
      <c r="AH1714" s="1">
        <f>2.06*100000000</f>
        <v>206000000</v>
      </c>
      <c r="AI1714" s="8">
        <f t="shared" si="829"/>
        <v>-0.82149046793760827</v>
      </c>
      <c r="AJ1714" s="6" t="s">
        <v>2038</v>
      </c>
      <c r="AK1714" s="6" t="str">
        <f t="shared" si="813"/>
        <v>=11.54*100000000</v>
      </c>
      <c r="AL1714" s="1">
        <f>11.54*100000000</f>
        <v>1154000000</v>
      </c>
      <c r="AM1714" s="8">
        <f t="shared" si="830"/>
        <v>0.41041310193106822</v>
      </c>
      <c r="AN1714" s="6" t="s">
        <v>3270</v>
      </c>
      <c r="AO1714" s="6" t="str">
        <f t="shared" si="814"/>
        <v>=8.182*100000000</v>
      </c>
      <c r="AP1714" s="1">
        <f>8.182*100000000</f>
        <v>818200000</v>
      </c>
      <c r="AQ1714" s="8">
        <f t="shared" si="831"/>
        <v>0.71638346968743427</v>
      </c>
      <c r="AR1714" s="6" t="s">
        <v>15940</v>
      </c>
      <c r="AS1714" s="6" t="str">
        <f t="shared" si="815"/>
        <v>=4.767*100000000</v>
      </c>
      <c r="AT1714" s="1">
        <f>4.767*100000000</f>
        <v>476700000.00000006</v>
      </c>
      <c r="AU1714" s="8">
        <f t="shared" si="832"/>
        <v>1.137668161434978</v>
      </c>
      <c r="AV1714" s="6" t="s">
        <v>5824</v>
      </c>
      <c r="AW1714" s="6" t="str">
        <f t="shared" si="816"/>
        <v>=2.230*100000000</v>
      </c>
      <c r="AX1714" s="1">
        <f>2.23*100000000</f>
        <v>223000000</v>
      </c>
      <c r="AY1714" s="10">
        <f t="shared" si="833"/>
        <v>-0.74876070301937814</v>
      </c>
      <c r="AZ1714" s="6" t="s">
        <v>15941</v>
      </c>
      <c r="BA1714" s="6" t="str">
        <f t="shared" si="817"/>
        <v>=8.876*100000000</v>
      </c>
      <c r="BB1714" s="1">
        <f>8.876*100000000</f>
        <v>887600000</v>
      </c>
      <c r="BC1714" s="8">
        <f t="shared" si="834"/>
        <v>0.34200181433323251</v>
      </c>
      <c r="BD1714" s="6" t="s">
        <v>15942</v>
      </c>
      <c r="BE1714" s="6" t="str">
        <f t="shared" si="818"/>
        <v>=6.614*100000000</v>
      </c>
      <c r="BF1714" s="1">
        <f>6.614*100000000</f>
        <v>661400000</v>
      </c>
      <c r="BG1714" s="8">
        <f t="shared" si="835"/>
        <v>0.75019846520243449</v>
      </c>
      <c r="BH1714" s="6" t="s">
        <v>11757</v>
      </c>
      <c r="BI1714" s="6" t="str">
        <f t="shared" si="819"/>
        <v>=3.779*100000000</v>
      </c>
      <c r="BJ1714" s="1">
        <f>3.779*100000000</f>
        <v>377900000</v>
      </c>
      <c r="BK1714" s="6" t="s">
        <v>15943</v>
      </c>
      <c r="BL1714" s="1" t="str">
        <f t="shared" si="821"/>
        <v>=1.729*100000000</v>
      </c>
      <c r="BM1714" s="16">
        <f t="shared" si="836"/>
        <v>1.1856564488143435</v>
      </c>
      <c r="BN1714" s="1">
        <f>1.729*100000000</f>
        <v>172900000</v>
      </c>
    </row>
    <row r="1715" spans="1:66">
      <c r="A1715" s="18"/>
      <c r="B1715">
        <v>603300</v>
      </c>
      <c r="C1715" t="s">
        <v>48</v>
      </c>
      <c r="D1715" s="6" t="s">
        <v>15944</v>
      </c>
      <c r="E1715" s="7" t="str">
        <f t="shared" si="820"/>
        <v>=6.998*100000000</v>
      </c>
      <c r="F1715" s="1">
        <f>6.998*100000000</f>
        <v>699800000</v>
      </c>
      <c r="G1715" s="8">
        <f t="shared" si="822"/>
        <v>0.45006216328222148</v>
      </c>
      <c r="H1715" s="6" t="s">
        <v>1057</v>
      </c>
      <c r="I1715" s="6" t="str">
        <f t="shared" si="806"/>
        <v>=4.826*100000000</v>
      </c>
      <c r="J1715" s="1">
        <f>4.826*100000000</f>
        <v>482599999.99999994</v>
      </c>
      <c r="K1715" s="10">
        <f t="shared" si="823"/>
        <v>0.68211920529801306</v>
      </c>
      <c r="L1715" s="6" t="s">
        <v>15945</v>
      </c>
      <c r="M1715" s="6" t="str">
        <f t="shared" si="807"/>
        <v>=2.869*100000000</v>
      </c>
      <c r="N1715" s="1">
        <f>2.869*100000000</f>
        <v>286900000</v>
      </c>
      <c r="O1715" s="8">
        <f t="shared" si="824"/>
        <v>1.6345270890725436</v>
      </c>
      <c r="P1715" s="6" t="s">
        <v>7248</v>
      </c>
      <c r="Q1715" s="6" t="str">
        <f t="shared" si="808"/>
        <v>=1.089*100000000</v>
      </c>
      <c r="R1715" s="11">
        <f>1.089*100000000</f>
        <v>108900000</v>
      </c>
      <c r="S1715" s="8">
        <f t="shared" si="825"/>
        <v>-0.77416009954375775</v>
      </c>
      <c r="T1715" s="6" t="s">
        <v>4539</v>
      </c>
      <c r="U1715" s="6" t="str">
        <f t="shared" si="809"/>
        <v>=4.822*100000000</v>
      </c>
      <c r="V1715" s="1">
        <f>4.822*100000000</f>
        <v>482200000</v>
      </c>
      <c r="W1715" s="8">
        <f t="shared" si="826"/>
        <v>1.1459724076546507</v>
      </c>
      <c r="X1715" s="6" t="s">
        <v>8085</v>
      </c>
      <c r="Y1715" s="6" t="str">
        <f t="shared" si="810"/>
        <v>=2.247*100000000</v>
      </c>
      <c r="Z1715" s="1">
        <f>2.247*100000000</f>
        <v>224700000</v>
      </c>
      <c r="AA1715" s="8">
        <f t="shared" si="827"/>
        <v>0.89780405405405406</v>
      </c>
      <c r="AB1715" s="6" t="s">
        <v>9818</v>
      </c>
      <c r="AC1715" s="6" t="str">
        <f t="shared" si="811"/>
        <v>=1.184*100000000</v>
      </c>
      <c r="AD1715" s="1">
        <f>1.184*100000000</f>
        <v>118400000</v>
      </c>
      <c r="AE1715" s="8">
        <f t="shared" si="828"/>
        <v>1.7560521415270018</v>
      </c>
      <c r="AF1715" s="7" t="s">
        <v>15946</v>
      </c>
      <c r="AG1715" s="6" t="str">
        <f t="shared" si="812"/>
        <v>=4296*10000</v>
      </c>
      <c r="AH1715" s="1">
        <f>4296*10000</f>
        <v>42960000</v>
      </c>
      <c r="AI1715" s="8">
        <f t="shared" si="829"/>
        <v>-0.90936708860759496</v>
      </c>
      <c r="AJ1715" s="6" t="s">
        <v>15947</v>
      </c>
      <c r="AK1715" s="6" t="str">
        <f t="shared" si="813"/>
        <v>=4.740*100000000</v>
      </c>
      <c r="AL1715" s="1">
        <f>4.74*100000000</f>
        <v>474000000</v>
      </c>
      <c r="AM1715" s="8">
        <f t="shared" si="830"/>
        <v>0.17123795404002964</v>
      </c>
      <c r="AN1715" s="6" t="s">
        <v>5322</v>
      </c>
      <c r="AO1715" s="6" t="str">
        <f t="shared" si="814"/>
        <v>=4.047*100000000</v>
      </c>
      <c r="AP1715" s="1">
        <f>4.047*100000000</f>
        <v>404700000</v>
      </c>
      <c r="AQ1715" s="8">
        <f t="shared" si="831"/>
        <v>0.66133004926108374</v>
      </c>
      <c r="AR1715" s="6" t="s">
        <v>15661</v>
      </c>
      <c r="AS1715" s="6" t="str">
        <f t="shared" si="815"/>
        <v>=2.436*100000000</v>
      </c>
      <c r="AT1715" s="1">
        <f>2.436*100000000</f>
        <v>243600000</v>
      </c>
      <c r="AU1715" s="8">
        <f t="shared" si="832"/>
        <v>0.83987915407854985</v>
      </c>
      <c r="AV1715" s="6" t="s">
        <v>6882</v>
      </c>
      <c r="AW1715" s="6" t="str">
        <f t="shared" si="816"/>
        <v>=1.324*100000000</v>
      </c>
      <c r="AX1715" s="1">
        <f>1.324*100000000</f>
        <v>132400000</v>
      </c>
      <c r="AY1715" s="10">
        <f t="shared" si="833"/>
        <v>-0.40279657194406854</v>
      </c>
      <c r="AZ1715" s="6" t="s">
        <v>15948</v>
      </c>
      <c r="BA1715" s="6" t="str">
        <f t="shared" si="817"/>
        <v>=2.217*100000000</v>
      </c>
      <c r="BB1715" s="1">
        <f>2.217*100000000</f>
        <v>221700000</v>
      </c>
      <c r="BC1715" s="8">
        <f t="shared" si="834"/>
        <v>0.12366953877344146</v>
      </c>
      <c r="BD1715" s="6" t="s">
        <v>6392</v>
      </c>
      <c r="BE1715" s="6" t="str">
        <f t="shared" si="818"/>
        <v>=1.973*100000000</v>
      </c>
      <c r="BF1715" s="1">
        <f>1.973*100000000</f>
        <v>197300000</v>
      </c>
      <c r="BG1715" s="8">
        <f t="shared" si="835"/>
        <v>0.41738505747126436</v>
      </c>
      <c r="BH1715" s="6" t="s">
        <v>3096</v>
      </c>
      <c r="BI1715" s="6" t="str">
        <f t="shared" si="819"/>
        <v>=1.392*100000000</v>
      </c>
      <c r="BJ1715" s="1">
        <f>1.392*100000000</f>
        <v>139200000</v>
      </c>
      <c r="BK1715" s="7" t="s">
        <v>15949</v>
      </c>
      <c r="BL1715" s="1" t="str">
        <f t="shared" si="821"/>
        <v>=4557*10000</v>
      </c>
      <c r="BM1715" s="16">
        <f t="shared" si="836"/>
        <v>2.0546412113232391</v>
      </c>
      <c r="BN1715" s="1">
        <f>4557*10000</f>
        <v>45570000</v>
      </c>
    </row>
    <row r="1716" spans="1:66">
      <c r="A1716" s="18"/>
      <c r="B1716">
        <v>603300</v>
      </c>
      <c r="C1716" t="s">
        <v>58</v>
      </c>
      <c r="D1716" s="6" t="s">
        <v>9196</v>
      </c>
      <c r="E1716" s="7" t="str">
        <f t="shared" si="820"/>
        <v>=6.987*100000000</v>
      </c>
      <c r="F1716" s="1">
        <f>6.987*100000000</f>
        <v>698700000</v>
      </c>
      <c r="G1716" s="8">
        <f t="shared" si="822"/>
        <v>0.44658385093167702</v>
      </c>
      <c r="H1716" s="6" t="s">
        <v>15950</v>
      </c>
      <c r="I1716" s="6" t="str">
        <f t="shared" si="806"/>
        <v>=4.830*100000000</v>
      </c>
      <c r="J1716" s="1">
        <f>4.83*100000000</f>
        <v>483000000</v>
      </c>
      <c r="K1716" s="10">
        <f t="shared" si="823"/>
        <v>0.68586387434554974</v>
      </c>
      <c r="L1716" s="6" t="s">
        <v>2336</v>
      </c>
      <c r="M1716" s="6" t="str">
        <f t="shared" si="807"/>
        <v>=2.865*100000000</v>
      </c>
      <c r="N1716" s="1">
        <f>2.865*100000000</f>
        <v>286500000</v>
      </c>
      <c r="O1716" s="8">
        <f t="shared" si="824"/>
        <v>1.6381215469613257</v>
      </c>
      <c r="P1716" s="6" t="s">
        <v>12597</v>
      </c>
      <c r="Q1716" s="6" t="str">
        <f t="shared" si="808"/>
        <v>=1.086*100000000</v>
      </c>
      <c r="R1716" s="11">
        <f>1.086*100000000</f>
        <v>108600000.00000001</v>
      </c>
      <c r="S1716" s="8">
        <f t="shared" si="825"/>
        <v>-0.77426730409478284</v>
      </c>
      <c r="T1716" s="6" t="s">
        <v>9528</v>
      </c>
      <c r="U1716" s="6" t="str">
        <f t="shared" si="809"/>
        <v>=4.811*100000000</v>
      </c>
      <c r="V1716" s="1">
        <f>4.811*100000000</f>
        <v>481100000</v>
      </c>
      <c r="W1716" s="8">
        <f t="shared" si="826"/>
        <v>1.1363232682060393</v>
      </c>
      <c r="X1716" s="6" t="s">
        <v>2869</v>
      </c>
      <c r="Y1716" s="6" t="str">
        <f t="shared" si="810"/>
        <v>=2.252*100000000</v>
      </c>
      <c r="Z1716" s="1">
        <f>2.252*100000000</f>
        <v>225199999.99999997</v>
      </c>
      <c r="AA1716" s="8">
        <f t="shared" si="827"/>
        <v>0.90202702702702675</v>
      </c>
      <c r="AB1716" s="6" t="s">
        <v>9818</v>
      </c>
      <c r="AC1716" s="6" t="str">
        <f t="shared" si="811"/>
        <v>=1.184*100000000</v>
      </c>
      <c r="AD1716" s="1">
        <f>1.184*100000000</f>
        <v>118400000</v>
      </c>
      <c r="AE1716" s="8">
        <f t="shared" si="828"/>
        <v>1.7670016358962375</v>
      </c>
      <c r="AF1716" s="7" t="s">
        <v>13453</v>
      </c>
      <c r="AG1716" s="6" t="str">
        <f t="shared" si="812"/>
        <v>=4279*10000</v>
      </c>
      <c r="AH1716" s="1">
        <f>4279*10000</f>
        <v>42790000</v>
      </c>
      <c r="AI1716" s="8">
        <f t="shared" si="829"/>
        <v>-0.90930479016532428</v>
      </c>
      <c r="AJ1716" s="6" t="s">
        <v>15951</v>
      </c>
      <c r="AK1716" s="6" t="str">
        <f t="shared" si="813"/>
        <v>=4.718*100000000</v>
      </c>
      <c r="AL1716" s="1">
        <f>4.718*100000000</f>
        <v>471800000</v>
      </c>
      <c r="AM1716" s="8">
        <f t="shared" si="830"/>
        <v>0.16897918731417261</v>
      </c>
      <c r="AN1716" s="6" t="s">
        <v>9052</v>
      </c>
      <c r="AO1716" s="6" t="str">
        <f t="shared" si="814"/>
        <v>=4.036*100000000</v>
      </c>
      <c r="AP1716" s="1">
        <f>4.036*100000000</f>
        <v>403599999.99999994</v>
      </c>
      <c r="AQ1716" s="8">
        <f t="shared" si="831"/>
        <v>0.65953947368421029</v>
      </c>
      <c r="AR1716" s="6" t="s">
        <v>10539</v>
      </c>
      <c r="AS1716" s="6" t="str">
        <f t="shared" si="815"/>
        <v>=2.432*100000000</v>
      </c>
      <c r="AT1716" s="1">
        <f>2.432*100000000</f>
        <v>243200000</v>
      </c>
      <c r="AU1716" s="8">
        <f t="shared" si="832"/>
        <v>0.8368580060422961</v>
      </c>
      <c r="AV1716" s="6" t="s">
        <v>6882</v>
      </c>
      <c r="AW1716" s="6" t="str">
        <f t="shared" si="816"/>
        <v>=1.324*100000000</v>
      </c>
      <c r="AX1716" s="1">
        <f>1.324*100000000</f>
        <v>132400000</v>
      </c>
      <c r="AY1716" s="10">
        <f t="shared" si="833"/>
        <v>-0.39653600729261623</v>
      </c>
      <c r="AZ1716" s="6" t="s">
        <v>15952</v>
      </c>
      <c r="BA1716" s="6" t="str">
        <f t="shared" si="817"/>
        <v>=2.194*100000000</v>
      </c>
      <c r="BB1716" s="1">
        <f>2.194*100000000</f>
        <v>219400000</v>
      </c>
      <c r="BC1716" s="8">
        <f t="shared" si="834"/>
        <v>9.5904095904096071E-2</v>
      </c>
      <c r="BD1716" s="6" t="s">
        <v>2147</v>
      </c>
      <c r="BE1716" s="6" t="str">
        <f t="shared" si="818"/>
        <v>=2.002*100000000</v>
      </c>
      <c r="BF1716" s="1">
        <f>2.002*100000000</f>
        <v>200199999.99999997</v>
      </c>
      <c r="BG1716" s="8">
        <f t="shared" si="835"/>
        <v>0.43307086614173207</v>
      </c>
      <c r="BH1716" s="6" t="s">
        <v>12775</v>
      </c>
      <c r="BI1716" s="6" t="str">
        <f t="shared" si="819"/>
        <v>=1.397*100000000</v>
      </c>
      <c r="BJ1716" s="1">
        <f>1.397*100000000</f>
        <v>139700000</v>
      </c>
      <c r="BK1716" s="7" t="s">
        <v>15953</v>
      </c>
      <c r="BL1716" s="1" t="str">
        <f t="shared" si="821"/>
        <v>=4873*10000</v>
      </c>
      <c r="BM1716" s="16">
        <f t="shared" si="836"/>
        <v>1.8668171557562077</v>
      </c>
      <c r="BN1716" s="1">
        <f>4873*10000</f>
        <v>48730000</v>
      </c>
    </row>
    <row r="1717" spans="1:66">
      <c r="A1717" s="19"/>
      <c r="B1717">
        <v>603300</v>
      </c>
      <c r="C1717" t="s">
        <v>68</v>
      </c>
      <c r="D1717" s="6" t="s">
        <v>15954</v>
      </c>
      <c r="E1717" s="7" t="str">
        <f t="shared" si="820"/>
        <v>=5.992*100000000</v>
      </c>
      <c r="F1717" s="1">
        <f>5.992*100000000</f>
        <v>599200000</v>
      </c>
      <c r="G1717" s="8">
        <f t="shared" si="822"/>
        <v>0.47187423237533777</v>
      </c>
      <c r="H1717" s="6" t="s">
        <v>189</v>
      </c>
      <c r="I1717" s="6" t="str">
        <f t="shared" si="806"/>
        <v>=4.071*100000000</v>
      </c>
      <c r="J1717" s="1">
        <f>4.071*100000000</f>
        <v>407100000</v>
      </c>
      <c r="K1717" s="10">
        <f t="shared" si="823"/>
        <v>0.69979123173277658</v>
      </c>
      <c r="L1717" s="6" t="s">
        <v>11269</v>
      </c>
      <c r="M1717" s="6" t="str">
        <f t="shared" si="807"/>
        <v>=2.395*100000000</v>
      </c>
      <c r="N1717" s="1">
        <f>2.395*100000000</f>
        <v>239500000</v>
      </c>
      <c r="O1717" s="8">
        <f t="shared" si="824"/>
        <v>1.6709044273447085</v>
      </c>
      <c r="P1717" s="7" t="s">
        <v>15955</v>
      </c>
      <c r="Q1717" s="6" t="str">
        <f t="shared" si="808"/>
        <v>=8967*10000</v>
      </c>
      <c r="R1717" s="11">
        <f>8967*10000</f>
        <v>89670000</v>
      </c>
      <c r="S1717" s="8">
        <f t="shared" si="825"/>
        <v>-0.77520681875156683</v>
      </c>
      <c r="T1717" s="6" t="s">
        <v>15956</v>
      </c>
      <c r="U1717" s="6" t="str">
        <f t="shared" si="809"/>
        <v>=3.989*100000000</v>
      </c>
      <c r="V1717" s="1">
        <f>3.989*100000000</f>
        <v>398900000</v>
      </c>
      <c r="W1717" s="8">
        <f t="shared" si="826"/>
        <v>1.0819415448851775</v>
      </c>
      <c r="X1717" s="6" t="s">
        <v>5160</v>
      </c>
      <c r="Y1717" s="6" t="str">
        <f t="shared" si="810"/>
        <v>=1.916*100000000</v>
      </c>
      <c r="Z1717" s="1">
        <f>1.916*100000000</f>
        <v>191600000</v>
      </c>
      <c r="AA1717" s="8">
        <f t="shared" si="827"/>
        <v>0.87659157688540679</v>
      </c>
      <c r="AB1717" s="6" t="s">
        <v>4430</v>
      </c>
      <c r="AC1717" s="6" t="str">
        <f t="shared" si="811"/>
        <v>=1.021*100000000</v>
      </c>
      <c r="AD1717" s="1">
        <f>1.021*100000000</f>
        <v>102099999.99999999</v>
      </c>
      <c r="AE1717" s="8">
        <f t="shared" si="828"/>
        <v>1.9246634202234312</v>
      </c>
      <c r="AF1717" s="7" t="s">
        <v>15957</v>
      </c>
      <c r="AG1717" s="6" t="str">
        <f t="shared" si="812"/>
        <v>=3491*10000</v>
      </c>
      <c r="AH1717" s="1">
        <f>3491*10000</f>
        <v>34910000</v>
      </c>
      <c r="AI1717" s="8">
        <f t="shared" si="829"/>
        <v>-0.91202116935483868</v>
      </c>
      <c r="AJ1717" s="6" t="s">
        <v>6553</v>
      </c>
      <c r="AK1717" s="6" t="str">
        <f t="shared" si="813"/>
        <v>=3.968*100000000</v>
      </c>
      <c r="AL1717" s="1">
        <f>3.968*100000000</f>
        <v>396800000</v>
      </c>
      <c r="AM1717" s="8">
        <f t="shared" si="830"/>
        <v>0.16023391812865498</v>
      </c>
      <c r="AN1717" s="6" t="s">
        <v>8607</v>
      </c>
      <c r="AO1717" s="6" t="str">
        <f t="shared" si="814"/>
        <v>=3.420*100000000</v>
      </c>
      <c r="AP1717" s="1">
        <f>3.42*100000000</f>
        <v>342000000</v>
      </c>
      <c r="AQ1717" s="8">
        <f t="shared" si="831"/>
        <v>0.60488033786954509</v>
      </c>
      <c r="AR1717" s="6" t="s">
        <v>15958</v>
      </c>
      <c r="AS1717" s="6" t="str">
        <f t="shared" si="815"/>
        <v>=2.131*100000000</v>
      </c>
      <c r="AT1717" s="1">
        <f>2.131*100000000</f>
        <v>213099999.99999997</v>
      </c>
      <c r="AU1717" s="8">
        <f t="shared" si="832"/>
        <v>1.0510105871029836</v>
      </c>
      <c r="AV1717" s="6" t="s">
        <v>15959</v>
      </c>
      <c r="AW1717" s="6" t="str">
        <f t="shared" si="816"/>
        <v>=1.039*100000000</v>
      </c>
      <c r="AX1717" s="1">
        <f>1.039*100000000</f>
        <v>103899999.99999999</v>
      </c>
      <c r="AY1717" s="10">
        <f t="shared" si="833"/>
        <v>-0.21584905660377371</v>
      </c>
      <c r="AZ1717" s="6" t="s">
        <v>6141</v>
      </c>
      <c r="BA1717" s="6" t="str">
        <f t="shared" si="817"/>
        <v>=1.325*100000000</v>
      </c>
      <c r="BB1717" s="1">
        <f>1.325*100000000</f>
        <v>132500000</v>
      </c>
      <c r="BC1717" s="8">
        <f t="shared" si="834"/>
        <v>-0.150096215522771</v>
      </c>
      <c r="BD1717" s="6" t="s">
        <v>2870</v>
      </c>
      <c r="BE1717" s="6" t="str">
        <f t="shared" si="818"/>
        <v>=1.559*100000000</v>
      </c>
      <c r="BF1717" s="1">
        <f>1.559*100000000</f>
        <v>155900000</v>
      </c>
      <c r="BG1717" s="8">
        <f t="shared" si="835"/>
        <v>0.49472674976030678</v>
      </c>
      <c r="BH1717" s="6" t="s">
        <v>10529</v>
      </c>
      <c r="BI1717" s="6" t="str">
        <f t="shared" si="819"/>
        <v>=1.043*100000000</v>
      </c>
      <c r="BJ1717" s="1">
        <f>1.043*100000000</f>
        <v>104300000</v>
      </c>
      <c r="BK1717" s="7" t="s">
        <v>3806</v>
      </c>
      <c r="BL1717" s="1" t="str">
        <f t="shared" si="821"/>
        <v>=3780*10000</v>
      </c>
      <c r="BM1717" s="16">
        <f t="shared" si="836"/>
        <v>1.7592592592592593</v>
      </c>
      <c r="BN1717" s="1">
        <f>3780*10000</f>
        <v>37800000</v>
      </c>
    </row>
    <row r="1718" spans="1:66">
      <c r="A1718" s="17">
        <v>431</v>
      </c>
      <c r="B1718">
        <v>603301</v>
      </c>
      <c r="C1718" t="s">
        <v>31</v>
      </c>
      <c r="D1718" s="6" t="s">
        <v>15960</v>
      </c>
      <c r="E1718" s="7" t="str">
        <f t="shared" si="820"/>
        <v>=50.92*100000000</v>
      </c>
      <c r="F1718" s="1">
        <f>50.92*100000000</f>
        <v>5092000000</v>
      </c>
      <c r="G1718" s="8">
        <f t="shared" si="822"/>
        <v>0.31814651825006457</v>
      </c>
      <c r="H1718" s="6" t="s">
        <v>7073</v>
      </c>
      <c r="I1718" s="6" t="str">
        <f t="shared" si="806"/>
        <v>=38.63*100000000</v>
      </c>
      <c r="J1718" s="1">
        <f>38.63*100000000</f>
        <v>3863000000.0000005</v>
      </c>
      <c r="K1718" s="10">
        <f t="shared" si="823"/>
        <v>0.3265796703296705</v>
      </c>
      <c r="L1718" s="6" t="s">
        <v>8595</v>
      </c>
      <c r="M1718" s="6" t="str">
        <f t="shared" si="807"/>
        <v>=29.12*100000000</v>
      </c>
      <c r="N1718" s="1">
        <f>29.12*100000000</f>
        <v>2912000000</v>
      </c>
      <c r="O1718" s="8">
        <f t="shared" si="824"/>
        <v>0.45964912280701753</v>
      </c>
      <c r="P1718" s="6" t="s">
        <v>12911</v>
      </c>
      <c r="Q1718" s="6" t="str">
        <f t="shared" si="808"/>
        <v>=19.95*100000000</v>
      </c>
      <c r="R1718" s="11">
        <f>19.95*100000000</f>
        <v>1995000000</v>
      </c>
      <c r="S1718" s="8">
        <f t="shared" si="825"/>
        <v>-0.80817307692307694</v>
      </c>
      <c r="T1718" s="6" t="s">
        <v>15961</v>
      </c>
      <c r="U1718" s="6" t="str">
        <f t="shared" si="809"/>
        <v>=104.0*100000000</v>
      </c>
      <c r="V1718" s="1">
        <f>104*100000000</f>
        <v>10400000000</v>
      </c>
      <c r="W1718" s="8">
        <f t="shared" si="826"/>
        <v>0.2812615498336824</v>
      </c>
      <c r="X1718" s="6" t="s">
        <v>9467</v>
      </c>
      <c r="Y1718" s="6" t="str">
        <f t="shared" si="810"/>
        <v>=81.17*100000000</v>
      </c>
      <c r="Z1718" s="1">
        <f>81.17*100000000</f>
        <v>8117000000</v>
      </c>
      <c r="AA1718" s="8">
        <f t="shared" si="827"/>
        <v>1.1248691099476438</v>
      </c>
      <c r="AB1718" s="6" t="s">
        <v>15962</v>
      </c>
      <c r="AC1718" s="6" t="str">
        <f t="shared" si="811"/>
        <v>=38.20*100000000</v>
      </c>
      <c r="AD1718" s="1">
        <f>38.2*100000000</f>
        <v>3820000000.0000005</v>
      </c>
      <c r="AE1718" s="8">
        <f t="shared" si="828"/>
        <v>4.3871104216612613</v>
      </c>
      <c r="AF1718" s="6" t="s">
        <v>1672</v>
      </c>
      <c r="AG1718" s="6" t="str">
        <f t="shared" si="812"/>
        <v>=7.091*100000000</v>
      </c>
      <c r="AH1718" s="1">
        <f>7.091*100000000</f>
        <v>709100000</v>
      </c>
      <c r="AI1718" s="8">
        <f t="shared" si="829"/>
        <v>-0.62039614561027834</v>
      </c>
      <c r="AJ1718" s="6" t="s">
        <v>15963</v>
      </c>
      <c r="AK1718" s="6" t="str">
        <f t="shared" si="813"/>
        <v>=18.68*100000000</v>
      </c>
      <c r="AL1718" s="1">
        <f>18.68*100000000</f>
        <v>1868000000</v>
      </c>
      <c r="AM1718" s="8">
        <f t="shared" si="830"/>
        <v>0.45369649805447471</v>
      </c>
      <c r="AN1718" s="6" t="s">
        <v>11051</v>
      </c>
      <c r="AO1718" s="6" t="str">
        <f t="shared" si="814"/>
        <v>=12.85*100000000</v>
      </c>
      <c r="AP1718" s="1">
        <f>12.85*100000000</f>
        <v>1285000000</v>
      </c>
      <c r="AQ1718" s="8">
        <f t="shared" si="831"/>
        <v>0.68613042907754884</v>
      </c>
      <c r="AR1718" s="6" t="s">
        <v>12339</v>
      </c>
      <c r="AS1718" s="6" t="str">
        <f t="shared" si="815"/>
        <v>=7.621*100000000</v>
      </c>
      <c r="AT1718" s="1">
        <f>7.621*100000000</f>
        <v>762100000</v>
      </c>
      <c r="AU1718" s="8">
        <f t="shared" si="832"/>
        <v>1.2817365269461078</v>
      </c>
      <c r="AV1718" s="6" t="s">
        <v>6974</v>
      </c>
      <c r="AW1718" s="6" t="str">
        <f t="shared" si="816"/>
        <v>=3.340*100000000</v>
      </c>
      <c r="AX1718" s="1">
        <f>3.34*100000000</f>
        <v>334000000</v>
      </c>
      <c r="AY1718" s="10">
        <f t="shared" si="833"/>
        <v>-0.76627011896431074</v>
      </c>
      <c r="AZ1718" s="6" t="s">
        <v>4532</v>
      </c>
      <c r="BA1718" s="6" t="str">
        <f t="shared" si="817"/>
        <v>=14.29*100000000</v>
      </c>
      <c r="BB1718" s="1">
        <f>14.29*100000000</f>
        <v>1429000000</v>
      </c>
      <c r="BC1718" s="8">
        <f t="shared" si="834"/>
        <v>0.39007782101167332</v>
      </c>
      <c r="BD1718" s="6" t="s">
        <v>3466</v>
      </c>
      <c r="BE1718" s="6" t="str">
        <f t="shared" si="818"/>
        <v>=10.28*100000000</v>
      </c>
      <c r="BF1718" s="1">
        <f>10.28*100000000</f>
        <v>1027999999.9999999</v>
      </c>
      <c r="BG1718" s="8">
        <f t="shared" si="835"/>
        <v>0.54563223575402175</v>
      </c>
      <c r="BH1718" s="6" t="s">
        <v>14439</v>
      </c>
      <c r="BI1718" s="6" t="str">
        <f t="shared" si="819"/>
        <v>=6.651*100000000</v>
      </c>
      <c r="BJ1718" s="1">
        <f>6.651*100000000</f>
        <v>665100000</v>
      </c>
      <c r="BK1718" s="6" t="s">
        <v>9894</v>
      </c>
      <c r="BL1718" s="1" t="str">
        <f t="shared" si="821"/>
        <v>=2.800*100000000</v>
      </c>
      <c r="BM1718" s="16">
        <f t="shared" si="836"/>
        <v>1.3753571428571429</v>
      </c>
      <c r="BN1718" s="1">
        <f>2.8*100000000</f>
        <v>280000000</v>
      </c>
    </row>
    <row r="1719" spans="1:66">
      <c r="A1719" s="18"/>
      <c r="B1719">
        <v>603301</v>
      </c>
      <c r="C1719" t="s">
        <v>48</v>
      </c>
      <c r="D1719" s="6" t="s">
        <v>15964</v>
      </c>
      <c r="E1719" s="7" t="str">
        <f t="shared" si="820"/>
        <v>=8.220*100000000</v>
      </c>
      <c r="F1719" s="1">
        <f>8.22*100000000</f>
        <v>822000000.00000012</v>
      </c>
      <c r="G1719" s="8">
        <f t="shared" si="822"/>
        <v>0.22925078510542862</v>
      </c>
      <c r="H1719" s="6" t="s">
        <v>9841</v>
      </c>
      <c r="I1719" s="6" t="str">
        <f t="shared" si="806"/>
        <v>=6.687*100000000</v>
      </c>
      <c r="J1719" s="1">
        <f>6.687*100000000</f>
        <v>668700000</v>
      </c>
      <c r="K1719" s="10">
        <f t="shared" si="823"/>
        <v>0.27907421576128538</v>
      </c>
      <c r="L1719" s="6" t="s">
        <v>9216</v>
      </c>
      <c r="M1719" s="6" t="str">
        <f t="shared" si="807"/>
        <v>=5.228*100000000</v>
      </c>
      <c r="N1719" s="1">
        <f>5.228*100000000</f>
        <v>522800000</v>
      </c>
      <c r="O1719" s="8">
        <f t="shared" si="824"/>
        <v>0.4366584226435834</v>
      </c>
      <c r="P1719" s="6" t="s">
        <v>2377</v>
      </c>
      <c r="Q1719" s="6" t="str">
        <f t="shared" si="808"/>
        <v>=3.639*100000000</v>
      </c>
      <c r="R1719" s="11">
        <f>3.639*100000000</f>
        <v>363900000</v>
      </c>
      <c r="S1719" s="8">
        <f t="shared" si="825"/>
        <v>-0.89711620016963523</v>
      </c>
      <c r="T1719" s="6" t="s">
        <v>13548</v>
      </c>
      <c r="U1719" s="6" t="str">
        <f t="shared" si="809"/>
        <v>=35.37*100000000</v>
      </c>
      <c r="V1719" s="1">
        <f>35.37*100000000</f>
        <v>3536999999.9999995</v>
      </c>
      <c r="W1719" s="8">
        <f t="shared" si="826"/>
        <v>0.21965517241379293</v>
      </c>
      <c r="X1719" s="6" t="s">
        <v>15965</v>
      </c>
      <c r="Y1719" s="6" t="str">
        <f t="shared" si="810"/>
        <v>=29.00*100000000</v>
      </c>
      <c r="Z1719" s="1">
        <f>29*100000000</f>
        <v>2900000000</v>
      </c>
      <c r="AA1719" s="8">
        <f t="shared" si="827"/>
        <v>1.1953065859197578</v>
      </c>
      <c r="AB1719" s="6" t="s">
        <v>4506</v>
      </c>
      <c r="AC1719" s="6" t="str">
        <f t="shared" si="811"/>
        <v>=13.21*100000000</v>
      </c>
      <c r="AD1719" s="1">
        <f>13.21*100000000</f>
        <v>1321000000</v>
      </c>
      <c r="AE1719" s="8">
        <f t="shared" si="828"/>
        <v>11.641148325358852</v>
      </c>
      <c r="AF1719" s="6" t="s">
        <v>9299</v>
      </c>
      <c r="AG1719" s="6" t="str">
        <f t="shared" si="812"/>
        <v>=1.045*100000000</v>
      </c>
      <c r="AH1719" s="1">
        <f>1.045*100000000</f>
        <v>104500000</v>
      </c>
      <c r="AI1719" s="8">
        <f t="shared" si="829"/>
        <v>-0.47828257613579628</v>
      </c>
      <c r="AJ1719" s="6" t="s">
        <v>4805</v>
      </c>
      <c r="AK1719" s="6" t="str">
        <f t="shared" si="813"/>
        <v>=2.003*100000000</v>
      </c>
      <c r="AL1719" s="1">
        <f>2.003*100000000</f>
        <v>200300000</v>
      </c>
      <c r="AM1719" s="8">
        <f t="shared" si="830"/>
        <v>0.64991762767710048</v>
      </c>
      <c r="AN1719" s="6" t="s">
        <v>4406</v>
      </c>
      <c r="AO1719" s="6" t="str">
        <f t="shared" si="814"/>
        <v>=1.214*100000000</v>
      </c>
      <c r="AP1719" s="1">
        <f>1.214*100000000</f>
        <v>121400000</v>
      </c>
      <c r="AQ1719" s="8">
        <f t="shared" si="831"/>
        <v>0.66187542778918551</v>
      </c>
      <c r="AR1719" s="7" t="s">
        <v>15966</v>
      </c>
      <c r="AS1719" s="6" t="str">
        <f t="shared" si="815"/>
        <v>=7305*10000</v>
      </c>
      <c r="AT1719" s="1">
        <f>7305*10000</f>
        <v>73050000</v>
      </c>
      <c r="AU1719" s="8">
        <f t="shared" si="832"/>
        <v>1.0741056218057921</v>
      </c>
      <c r="AV1719" s="7" t="s">
        <v>14548</v>
      </c>
      <c r="AW1719" s="6" t="str">
        <f t="shared" si="816"/>
        <v>=3522*10000</v>
      </c>
      <c r="AX1719" s="1">
        <f>3522*10000</f>
        <v>35220000</v>
      </c>
      <c r="AY1719" s="10">
        <f t="shared" si="833"/>
        <v>-0.7704041720990874</v>
      </c>
      <c r="AZ1719" s="6" t="s">
        <v>2085</v>
      </c>
      <c r="BA1719" s="6" t="str">
        <f t="shared" si="817"/>
        <v>=1.534*100000000</v>
      </c>
      <c r="BB1719" s="1">
        <f>1.534*100000000</f>
        <v>153400000</v>
      </c>
      <c r="BC1719" s="8">
        <f t="shared" si="834"/>
        <v>0.51881188118811883</v>
      </c>
      <c r="BD1719" s="6" t="s">
        <v>908</v>
      </c>
      <c r="BE1719" s="6" t="str">
        <f t="shared" si="818"/>
        <v>=1.010*100000000</v>
      </c>
      <c r="BF1719" s="1">
        <f>1.01*100000000</f>
        <v>101000000</v>
      </c>
      <c r="BG1719" s="8">
        <f t="shared" si="835"/>
        <v>0.60725652450668366</v>
      </c>
      <c r="BH1719" s="7" t="s">
        <v>15967</v>
      </c>
      <c r="BI1719" s="6" t="str">
        <f t="shared" si="819"/>
        <v>=6284*10000</v>
      </c>
      <c r="BJ1719" s="1">
        <f>6284*10000</f>
        <v>62840000</v>
      </c>
      <c r="BK1719" s="7" t="s">
        <v>15968</v>
      </c>
      <c r="BL1719" s="1" t="str">
        <f t="shared" si="821"/>
        <v>=2404*10000</v>
      </c>
      <c r="BM1719" s="16">
        <f t="shared" si="836"/>
        <v>1.6139767054908485</v>
      </c>
      <c r="BN1719" s="1">
        <f>2404*10000</f>
        <v>24040000</v>
      </c>
    </row>
    <row r="1720" spans="1:66">
      <c r="A1720" s="18"/>
      <c r="B1720">
        <v>603301</v>
      </c>
      <c r="C1720" t="s">
        <v>58</v>
      </c>
      <c r="D1720" s="6" t="s">
        <v>15969</v>
      </c>
      <c r="E1720" s="7" t="str">
        <f t="shared" si="820"/>
        <v>=8.199*100000000</v>
      </c>
      <c r="F1720" s="1">
        <f>8.199*100000000</f>
        <v>819900000</v>
      </c>
      <c r="G1720" s="8">
        <f t="shared" si="822"/>
        <v>0.22721149528513696</v>
      </c>
      <c r="H1720" s="6" t="s">
        <v>1307</v>
      </c>
      <c r="I1720" s="6" t="str">
        <f t="shared" si="806"/>
        <v>=6.681*100000000</v>
      </c>
      <c r="J1720" s="1">
        <f>6.681*100000000</f>
        <v>668100000</v>
      </c>
      <c r="K1720" s="10">
        <f t="shared" si="823"/>
        <v>0.28013029315960897</v>
      </c>
      <c r="L1720" s="6" t="s">
        <v>14091</v>
      </c>
      <c r="M1720" s="6" t="str">
        <f t="shared" si="807"/>
        <v>=5.219*100000000</v>
      </c>
      <c r="N1720" s="1">
        <f>5.219*100000000</f>
        <v>521900000.00000006</v>
      </c>
      <c r="O1720" s="8">
        <f t="shared" si="824"/>
        <v>0.43143170597915542</v>
      </c>
      <c r="P1720" s="6" t="s">
        <v>14017</v>
      </c>
      <c r="Q1720" s="6" t="str">
        <f t="shared" si="808"/>
        <v>=3.646*100000000</v>
      </c>
      <c r="R1720" s="11">
        <f>3.646*100000000</f>
        <v>364600000</v>
      </c>
      <c r="S1720" s="8">
        <f t="shared" si="825"/>
        <v>-0.89680158505519392</v>
      </c>
      <c r="T1720" s="6" t="s">
        <v>3234</v>
      </c>
      <c r="U1720" s="6" t="str">
        <f t="shared" si="809"/>
        <v>=35.33*100000000</v>
      </c>
      <c r="V1720" s="1">
        <f>35.33*100000000</f>
        <v>3533000000</v>
      </c>
      <c r="W1720" s="8">
        <f t="shared" si="826"/>
        <v>0.21869610210417384</v>
      </c>
      <c r="X1720" s="6" t="s">
        <v>6446</v>
      </c>
      <c r="Y1720" s="6" t="str">
        <f t="shared" si="810"/>
        <v>=28.99*100000000</v>
      </c>
      <c r="Z1720" s="1">
        <f>28.99*100000000</f>
        <v>2899000000</v>
      </c>
      <c r="AA1720" s="8">
        <f t="shared" si="827"/>
        <v>1.194549583648751</v>
      </c>
      <c r="AB1720" s="6" t="s">
        <v>4506</v>
      </c>
      <c r="AC1720" s="6" t="str">
        <f t="shared" si="811"/>
        <v>=13.21*100000000</v>
      </c>
      <c r="AD1720" s="1">
        <f>13.21*100000000</f>
        <v>1321000000</v>
      </c>
      <c r="AE1720" s="8">
        <f t="shared" si="828"/>
        <v>11.738669238187081</v>
      </c>
      <c r="AF1720" s="6" t="s">
        <v>2194</v>
      </c>
      <c r="AG1720" s="6" t="str">
        <f t="shared" si="812"/>
        <v>=1.037*100000000</v>
      </c>
      <c r="AH1720" s="1">
        <f>1.037*100000000</f>
        <v>103699999.99999999</v>
      </c>
      <c r="AI1720" s="8">
        <f t="shared" si="829"/>
        <v>-0.479417670682731</v>
      </c>
      <c r="AJ1720" s="6" t="s">
        <v>11803</v>
      </c>
      <c r="AK1720" s="6" t="str">
        <f t="shared" si="813"/>
        <v>=1.992*100000000</v>
      </c>
      <c r="AL1720" s="1">
        <f>1.992*100000000</f>
        <v>199200000</v>
      </c>
      <c r="AM1720" s="8">
        <f t="shared" si="830"/>
        <v>0.64085667215815489</v>
      </c>
      <c r="AN1720" s="6" t="s">
        <v>4406</v>
      </c>
      <c r="AO1720" s="6" t="str">
        <f t="shared" si="814"/>
        <v>=1.214*100000000</v>
      </c>
      <c r="AP1720" s="1">
        <f>1.214*100000000</f>
        <v>121400000</v>
      </c>
      <c r="AQ1720" s="8">
        <f t="shared" si="831"/>
        <v>0.66483817882611085</v>
      </c>
      <c r="AR1720" s="7" t="s">
        <v>15970</v>
      </c>
      <c r="AS1720" s="6" t="str">
        <f t="shared" si="815"/>
        <v>=7292*10000</v>
      </c>
      <c r="AT1720" s="1">
        <f>7292*10000</f>
        <v>72920000</v>
      </c>
      <c r="AU1720" s="8">
        <f t="shared" si="832"/>
        <v>1.0668934240362811</v>
      </c>
      <c r="AV1720" s="7" t="s">
        <v>15971</v>
      </c>
      <c r="AW1720" s="6" t="str">
        <f t="shared" si="816"/>
        <v>=3528*10000</v>
      </c>
      <c r="AX1720" s="1">
        <f>3528*10000</f>
        <v>35280000</v>
      </c>
      <c r="AY1720" s="10">
        <f t="shared" si="833"/>
        <v>-0.76728232189973611</v>
      </c>
      <c r="AZ1720" s="6" t="s">
        <v>3510</v>
      </c>
      <c r="BA1720" s="6" t="str">
        <f t="shared" si="817"/>
        <v>=1.516*100000000</v>
      </c>
      <c r="BB1720" s="1">
        <f>1.516*100000000</f>
        <v>151600000</v>
      </c>
      <c r="BC1720" s="8">
        <f t="shared" si="834"/>
        <v>0.50099009900990099</v>
      </c>
      <c r="BD1720" s="6" t="s">
        <v>908</v>
      </c>
      <c r="BE1720" s="6" t="str">
        <f t="shared" si="818"/>
        <v>=1.010*100000000</v>
      </c>
      <c r="BF1720" s="1">
        <f>1.01*100000000</f>
        <v>101000000</v>
      </c>
      <c r="BG1720" s="8">
        <f t="shared" si="835"/>
        <v>0.60317460317460314</v>
      </c>
      <c r="BH1720" s="7" t="s">
        <v>12043</v>
      </c>
      <c r="BI1720" s="6" t="str">
        <f t="shared" si="819"/>
        <v>=6300*10000</v>
      </c>
      <c r="BJ1720" s="1">
        <f>6300*10000</f>
        <v>63000000</v>
      </c>
      <c r="BK1720" s="7" t="s">
        <v>9943</v>
      </c>
      <c r="BL1720" s="1" t="str">
        <f t="shared" si="821"/>
        <v>=2428*10000</v>
      </c>
      <c r="BM1720" s="16">
        <f t="shared" si="836"/>
        <v>1.5947281713344317</v>
      </c>
      <c r="BN1720" s="1">
        <f>2428*10000</f>
        <v>24280000</v>
      </c>
    </row>
    <row r="1721" spans="1:66">
      <c r="A1721" s="19"/>
      <c r="B1721">
        <v>603301</v>
      </c>
      <c r="C1721" t="s">
        <v>68</v>
      </c>
      <c r="D1721" s="6" t="s">
        <v>15972</v>
      </c>
      <c r="E1721" s="7" t="str">
        <f t="shared" si="820"/>
        <v>=7.209*100000000</v>
      </c>
      <c r="F1721" s="1">
        <f>7.209*100000000</f>
        <v>720900000</v>
      </c>
      <c r="G1721" s="8">
        <f t="shared" si="822"/>
        <v>0.23104508196721313</v>
      </c>
      <c r="H1721" s="6" t="s">
        <v>15973</v>
      </c>
      <c r="I1721" s="6" t="str">
        <f t="shared" si="806"/>
        <v>=5.856*100000000</v>
      </c>
      <c r="J1721" s="1">
        <f>5.856*100000000</f>
        <v>585600000</v>
      </c>
      <c r="K1721" s="10">
        <f t="shared" si="823"/>
        <v>0.29271523178807946</v>
      </c>
      <c r="L1721" s="6" t="s">
        <v>15974</v>
      </c>
      <c r="M1721" s="6" t="str">
        <f t="shared" si="807"/>
        <v>=4.530*100000000</v>
      </c>
      <c r="N1721" s="1">
        <f>4.53*100000000</f>
        <v>453000000</v>
      </c>
      <c r="O1721" s="8">
        <f t="shared" si="824"/>
        <v>0.45987753786658075</v>
      </c>
      <c r="P1721" s="6" t="s">
        <v>15975</v>
      </c>
      <c r="Q1721" s="6" t="str">
        <f t="shared" si="808"/>
        <v>=3.103*100000000</v>
      </c>
      <c r="R1721" s="11">
        <f>3.103*100000000</f>
        <v>310300000</v>
      </c>
      <c r="S1721" s="8">
        <f t="shared" si="825"/>
        <v>-0.89559219380888289</v>
      </c>
      <c r="T1721" s="6" t="s">
        <v>10574</v>
      </c>
      <c r="U1721" s="6" t="str">
        <f t="shared" si="809"/>
        <v>=29.72*100000000</v>
      </c>
      <c r="V1721" s="1">
        <f>29.72*100000000</f>
        <v>2972000000</v>
      </c>
      <c r="W1721" s="8">
        <f t="shared" si="826"/>
        <v>0.23319502074688797</v>
      </c>
      <c r="X1721" s="6" t="s">
        <v>3045</v>
      </c>
      <c r="Y1721" s="6" t="str">
        <f t="shared" si="810"/>
        <v>=24.10*100000000</v>
      </c>
      <c r="Z1721" s="1">
        <f>24.1*100000000</f>
        <v>2410000000</v>
      </c>
      <c r="AA1721" s="8">
        <f t="shared" si="827"/>
        <v>1.1829710144927537</v>
      </c>
      <c r="AB1721" s="6" t="s">
        <v>4258</v>
      </c>
      <c r="AC1721" s="6" t="str">
        <f t="shared" si="811"/>
        <v>=11.04*100000000</v>
      </c>
      <c r="AD1721" s="1">
        <f>11.04*100000000</f>
        <v>1104000000</v>
      </c>
      <c r="AE1721" s="8">
        <f t="shared" si="828"/>
        <v>11.754158964879853</v>
      </c>
      <c r="AF1721" s="7" t="s">
        <v>15976</v>
      </c>
      <c r="AG1721" s="6" t="str">
        <f t="shared" si="812"/>
        <v>=8656*10000</v>
      </c>
      <c r="AH1721" s="1">
        <f>8656*10000</f>
        <v>86560000</v>
      </c>
      <c r="AI1721" s="8">
        <f t="shared" si="829"/>
        <v>-0.50985277463193657</v>
      </c>
      <c r="AJ1721" s="6" t="s">
        <v>2181</v>
      </c>
      <c r="AK1721" s="6" t="str">
        <f t="shared" si="813"/>
        <v>=1.766*100000000</v>
      </c>
      <c r="AL1721" s="1">
        <f>1.766*100000000</f>
        <v>176600000</v>
      </c>
      <c r="AM1721" s="8">
        <f t="shared" si="830"/>
        <v>0.69644572526416926</v>
      </c>
      <c r="AN1721" s="6" t="s">
        <v>2741</v>
      </c>
      <c r="AO1721" s="6" t="str">
        <f t="shared" si="814"/>
        <v>=1.041*100000000</v>
      </c>
      <c r="AP1721" s="1">
        <f>1.041*100000000</f>
        <v>104099999.99999999</v>
      </c>
      <c r="AQ1721" s="8">
        <f t="shared" si="831"/>
        <v>0.67228915662650579</v>
      </c>
      <c r="AR1721" s="7" t="s">
        <v>12037</v>
      </c>
      <c r="AS1721" s="6" t="str">
        <f t="shared" si="815"/>
        <v>=6225*10000</v>
      </c>
      <c r="AT1721" s="1">
        <f>6225*10000</f>
        <v>62250000</v>
      </c>
      <c r="AU1721" s="8">
        <f t="shared" si="832"/>
        <v>0.9983948635634029</v>
      </c>
      <c r="AV1721" s="7" t="s">
        <v>15977</v>
      </c>
      <c r="AW1721" s="6" t="str">
        <f t="shared" si="816"/>
        <v>=3115*10000</v>
      </c>
      <c r="AX1721" s="1">
        <f>3115*10000</f>
        <v>31150000</v>
      </c>
      <c r="AY1721" s="10">
        <f t="shared" si="833"/>
        <v>-0.76020015396458818</v>
      </c>
      <c r="AZ1721" s="6" t="s">
        <v>15978</v>
      </c>
      <c r="BA1721" s="6" t="str">
        <f t="shared" si="817"/>
        <v>=1.299*100000000</v>
      </c>
      <c r="BB1721" s="1">
        <f>1.299*100000000</f>
        <v>129900000</v>
      </c>
      <c r="BC1721" s="8">
        <f t="shared" si="834"/>
        <v>0.52268198335482363</v>
      </c>
      <c r="BD1721" s="7" t="s">
        <v>15979</v>
      </c>
      <c r="BE1721" s="6" t="str">
        <f t="shared" si="818"/>
        <v>=8531*10000</v>
      </c>
      <c r="BF1721" s="1">
        <f>8531*10000</f>
        <v>85310000</v>
      </c>
      <c r="BG1721" s="8">
        <f t="shared" si="835"/>
        <v>0.63554447852760731</v>
      </c>
      <c r="BH1721" s="7" t="s">
        <v>5964</v>
      </c>
      <c r="BI1721" s="6" t="str">
        <f t="shared" si="819"/>
        <v>=5216*10000</v>
      </c>
      <c r="BJ1721" s="1">
        <f>5216*10000</f>
        <v>52160000</v>
      </c>
      <c r="BK1721" s="7" t="s">
        <v>15980</v>
      </c>
      <c r="BL1721" s="1" t="str">
        <f t="shared" si="821"/>
        <v>=1972*10000</v>
      </c>
      <c r="BM1721" s="16">
        <f t="shared" si="836"/>
        <v>1.6450304259634889</v>
      </c>
      <c r="BN1721" s="1">
        <f>1972*10000</f>
        <v>19720000</v>
      </c>
    </row>
    <row r="1722" spans="1:66">
      <c r="A1722" s="17">
        <v>432</v>
      </c>
      <c r="B1722">
        <v>603303</v>
      </c>
      <c r="C1722" t="s">
        <v>31</v>
      </c>
      <c r="D1722" s="6" t="s">
        <v>15981</v>
      </c>
      <c r="E1722" s="7" t="str">
        <f t="shared" si="820"/>
        <v>=52.73*100000000</v>
      </c>
      <c r="F1722" s="1">
        <f>52.73*100000000</f>
        <v>5273000000</v>
      </c>
      <c r="G1722" s="8">
        <f t="shared" si="822"/>
        <v>0.42244402481791204</v>
      </c>
      <c r="H1722" s="6" t="s">
        <v>15982</v>
      </c>
      <c r="I1722" s="6" t="str">
        <f t="shared" si="806"/>
        <v>=37.07*100000000</v>
      </c>
      <c r="J1722" s="1">
        <f>37.07*100000000</f>
        <v>3707000000</v>
      </c>
      <c r="K1722" s="10">
        <f t="shared" si="823"/>
        <v>0.50568643379366374</v>
      </c>
      <c r="L1722" s="6" t="s">
        <v>8035</v>
      </c>
      <c r="M1722" s="6" t="str">
        <f t="shared" si="807"/>
        <v>=24.62*100000000</v>
      </c>
      <c r="N1722" s="1">
        <f>24.62*100000000</f>
        <v>2462000000</v>
      </c>
      <c r="O1722" s="8">
        <f t="shared" si="824"/>
        <v>1.0499583680266444</v>
      </c>
      <c r="P1722" s="6" t="s">
        <v>2731</v>
      </c>
      <c r="Q1722" s="6" t="str">
        <f t="shared" si="808"/>
        <v>=12.01*100000000</v>
      </c>
      <c r="R1722" s="11">
        <f>12.01*100000000</f>
        <v>1201000000</v>
      </c>
      <c r="S1722" s="8">
        <f t="shared" si="825"/>
        <v>-0.73358473824312331</v>
      </c>
      <c r="T1722" s="6" t="s">
        <v>15983</v>
      </c>
      <c r="U1722" s="6" t="str">
        <f t="shared" si="809"/>
        <v>=45.08*100000000</v>
      </c>
      <c r="V1722" s="1">
        <f>45.08*100000000</f>
        <v>4508000000</v>
      </c>
      <c r="W1722" s="8">
        <f t="shared" si="826"/>
        <v>0.38835848475515861</v>
      </c>
      <c r="X1722" s="6" t="s">
        <v>658</v>
      </c>
      <c r="Y1722" s="6" t="str">
        <f t="shared" si="810"/>
        <v>=32.47*100000000</v>
      </c>
      <c r="Z1722" s="1">
        <f>32.47*100000000</f>
        <v>3247000000</v>
      </c>
      <c r="AA1722" s="8">
        <f t="shared" si="827"/>
        <v>0.55806142034548945</v>
      </c>
      <c r="AB1722" s="6" t="s">
        <v>9230</v>
      </c>
      <c r="AC1722" s="6" t="str">
        <f t="shared" si="811"/>
        <v>=20.84*100000000</v>
      </c>
      <c r="AD1722" s="1">
        <f>20.84*100000000</f>
        <v>2084000000</v>
      </c>
      <c r="AE1722" s="8">
        <f t="shared" si="828"/>
        <v>1.4949120076619178</v>
      </c>
      <c r="AF1722" s="6" t="s">
        <v>4639</v>
      </c>
      <c r="AG1722" s="6" t="str">
        <f t="shared" si="812"/>
        <v>=8.353*100000000</v>
      </c>
      <c r="AH1722" s="1">
        <f>8.353*100000000</f>
        <v>835300000</v>
      </c>
      <c r="AI1722" s="8">
        <f t="shared" si="829"/>
        <v>-0.80318096135721018</v>
      </c>
      <c r="AJ1722" s="6" t="s">
        <v>15984</v>
      </c>
      <c r="AK1722" s="6" t="str">
        <f t="shared" si="813"/>
        <v>=42.44*100000000</v>
      </c>
      <c r="AL1722" s="1">
        <f>42.44*100000000</f>
        <v>4244000000</v>
      </c>
      <c r="AM1722" s="8">
        <f t="shared" si="830"/>
        <v>0.36375321336760924</v>
      </c>
      <c r="AN1722" s="6" t="s">
        <v>5122</v>
      </c>
      <c r="AO1722" s="6" t="str">
        <f t="shared" si="814"/>
        <v>=31.12*100000000</v>
      </c>
      <c r="AP1722" s="1">
        <f>31.12*100000000</f>
        <v>3112000000</v>
      </c>
      <c r="AQ1722" s="8">
        <f t="shared" si="831"/>
        <v>0.57649442755825753</v>
      </c>
      <c r="AR1722" s="6" t="s">
        <v>13177</v>
      </c>
      <c r="AS1722" s="6" t="str">
        <f t="shared" si="815"/>
        <v>=19.74*100000000</v>
      </c>
      <c r="AT1722" s="1">
        <f>19.74*100000000</f>
        <v>1973999999.9999998</v>
      </c>
      <c r="AU1722" s="8">
        <f t="shared" si="832"/>
        <v>1.2177283451297605</v>
      </c>
      <c r="AV1722" s="6" t="s">
        <v>13431</v>
      </c>
      <c r="AW1722" s="6" t="str">
        <f t="shared" si="816"/>
        <v>=8.901*100000000</v>
      </c>
      <c r="AX1722" s="1">
        <f>8.901*100000000</f>
        <v>890100000</v>
      </c>
      <c r="AY1722" s="10">
        <f t="shared" si="833"/>
        <v>-0.77719649561952442</v>
      </c>
      <c r="AZ1722" s="6" t="s">
        <v>15985</v>
      </c>
      <c r="BA1722" s="6" t="str">
        <f t="shared" si="817"/>
        <v>=39.95*100000000</v>
      </c>
      <c r="BB1722" s="1">
        <f>39.95*100000000</f>
        <v>3995000000.0000005</v>
      </c>
      <c r="BC1722" s="8">
        <f t="shared" si="834"/>
        <v>0.39490223463687169</v>
      </c>
      <c r="BD1722" s="6" t="s">
        <v>12321</v>
      </c>
      <c r="BE1722" s="6" t="str">
        <f t="shared" si="818"/>
        <v>=28.64*100000000</v>
      </c>
      <c r="BF1722" s="1">
        <f>28.64*100000000</f>
        <v>2864000000</v>
      </c>
      <c r="BG1722" s="8">
        <f t="shared" si="835"/>
        <v>0.5340117836100694</v>
      </c>
      <c r="BH1722" s="6" t="s">
        <v>3545</v>
      </c>
      <c r="BI1722" s="6" t="str">
        <f t="shared" si="819"/>
        <v>=18.67*100000000</v>
      </c>
      <c r="BJ1722" s="1">
        <f>18.67*100000000</f>
        <v>1867000000.0000002</v>
      </c>
      <c r="BK1722" s="6" t="s">
        <v>15986</v>
      </c>
      <c r="BL1722" s="1" t="str">
        <f t="shared" si="821"/>
        <v>=8.967*100000000</v>
      </c>
      <c r="BM1722" s="16">
        <f t="shared" si="836"/>
        <v>1.0820787331325976</v>
      </c>
      <c r="BN1722" s="1">
        <f>8.967*100000000</f>
        <v>896700000</v>
      </c>
    </row>
    <row r="1723" spans="1:66">
      <c r="A1723" s="18"/>
      <c r="B1723">
        <v>603303</v>
      </c>
      <c r="C1723" t="s">
        <v>48</v>
      </c>
      <c r="D1723" s="6" t="s">
        <v>15987</v>
      </c>
      <c r="E1723" s="7" t="str">
        <f t="shared" si="820"/>
        <v>=2.952*100000000</v>
      </c>
      <c r="F1723" s="1">
        <f>2.952*100000000</f>
        <v>295200000</v>
      </c>
      <c r="G1723" s="8">
        <f t="shared" si="822"/>
        <v>5.2781740370898715E-2</v>
      </c>
      <c r="H1723" s="6" t="s">
        <v>9613</v>
      </c>
      <c r="I1723" s="6" t="str">
        <f t="shared" si="806"/>
        <v>=2.804*100000000</v>
      </c>
      <c r="J1723" s="1">
        <f>2.804*100000000</f>
        <v>280400000</v>
      </c>
      <c r="K1723" s="10">
        <f t="shared" si="823"/>
        <v>0.46652719665271969</v>
      </c>
      <c r="L1723" s="6" t="s">
        <v>3789</v>
      </c>
      <c r="M1723" s="6" t="str">
        <f t="shared" si="807"/>
        <v>=1.912*100000000</v>
      </c>
      <c r="N1723" s="1">
        <f>1.912*100000000</f>
        <v>191200000</v>
      </c>
      <c r="O1723" s="8">
        <f t="shared" si="824"/>
        <v>0.99062988027069232</v>
      </c>
      <c r="P1723" s="7" t="s">
        <v>15988</v>
      </c>
      <c r="Q1723" s="6" t="str">
        <f t="shared" si="808"/>
        <v>=9605*10000</v>
      </c>
      <c r="R1723" s="11">
        <f>9605*10000</f>
        <v>96050000</v>
      </c>
      <c r="S1723" s="8">
        <f t="shared" si="825"/>
        <v>-0.69974992185057827</v>
      </c>
      <c r="T1723" s="6" t="s">
        <v>15989</v>
      </c>
      <c r="U1723" s="6" t="str">
        <f t="shared" si="809"/>
        <v>=3.199*100000000</v>
      </c>
      <c r="V1723" s="1">
        <f>3.199*100000000</f>
        <v>319900000</v>
      </c>
      <c r="W1723" s="8">
        <f t="shared" si="826"/>
        <v>0.19410227696901841</v>
      </c>
      <c r="X1723" s="6" t="s">
        <v>11971</v>
      </c>
      <c r="Y1723" s="6" t="str">
        <f t="shared" si="810"/>
        <v>=2.679*100000000</v>
      </c>
      <c r="Z1723" s="1">
        <f>2.679*100000000</f>
        <v>267899999.99999997</v>
      </c>
      <c r="AA1723" s="8">
        <f t="shared" si="827"/>
        <v>0.42879999999999985</v>
      </c>
      <c r="AB1723" s="6" t="s">
        <v>15990</v>
      </c>
      <c r="AC1723" s="6" t="str">
        <f t="shared" si="811"/>
        <v>=1.875*100000000</v>
      </c>
      <c r="AD1723" s="1">
        <f>1.875*100000000</f>
        <v>187500000</v>
      </c>
      <c r="AE1723" s="8">
        <f t="shared" si="828"/>
        <v>1.3248605083694978</v>
      </c>
      <c r="AF1723" s="7" t="s">
        <v>10950</v>
      </c>
      <c r="AG1723" s="6" t="str">
        <f t="shared" si="812"/>
        <v>=8065*10000</v>
      </c>
      <c r="AH1723" s="1">
        <f>8065*10000</f>
        <v>80650000</v>
      </c>
      <c r="AI1723" s="8">
        <f t="shared" si="829"/>
        <v>-0.73548704493276484</v>
      </c>
      <c r="AJ1723" s="6" t="s">
        <v>4868</v>
      </c>
      <c r="AK1723" s="6" t="str">
        <f t="shared" si="813"/>
        <v>=3.049*100000000</v>
      </c>
      <c r="AL1723" s="1">
        <f>3.049*100000000</f>
        <v>304900000</v>
      </c>
      <c r="AM1723" s="8">
        <f t="shared" si="830"/>
        <v>0.25628347754429337</v>
      </c>
      <c r="AN1723" s="6" t="s">
        <v>15991</v>
      </c>
      <c r="AO1723" s="6" t="str">
        <f t="shared" si="814"/>
        <v>=2.427*100000000</v>
      </c>
      <c r="AP1723" s="1">
        <f>2.427*100000000</f>
        <v>242700000</v>
      </c>
      <c r="AQ1723" s="8">
        <f t="shared" si="831"/>
        <v>0.80044510385756673</v>
      </c>
      <c r="AR1723" s="6" t="s">
        <v>6508</v>
      </c>
      <c r="AS1723" s="6" t="str">
        <f t="shared" si="815"/>
        <v>=1.348*100000000</v>
      </c>
      <c r="AT1723" s="1">
        <f>1.348*100000000</f>
        <v>134800000</v>
      </c>
      <c r="AU1723" s="8">
        <f t="shared" si="832"/>
        <v>1.8468848996832101</v>
      </c>
      <c r="AV1723" s="7" t="s">
        <v>11137</v>
      </c>
      <c r="AW1723" s="6" t="str">
        <f t="shared" si="816"/>
        <v>=4735*10000</v>
      </c>
      <c r="AX1723" s="1">
        <f>4735*10000</f>
        <v>47350000</v>
      </c>
      <c r="AY1723" s="10">
        <f t="shared" si="833"/>
        <v>-0.80360846121941099</v>
      </c>
      <c r="AZ1723" s="6" t="s">
        <v>6398</v>
      </c>
      <c r="BA1723" s="6" t="str">
        <f t="shared" si="817"/>
        <v>=2.411*100000000</v>
      </c>
      <c r="BB1723" s="1">
        <f>2.411*100000000</f>
        <v>241100000</v>
      </c>
      <c r="BC1723" s="8">
        <f t="shared" si="834"/>
        <v>0.16868637905962175</v>
      </c>
      <c r="BD1723" s="6" t="s">
        <v>9654</v>
      </c>
      <c r="BE1723" s="6" t="str">
        <f t="shared" si="818"/>
        <v>=2.063*100000000</v>
      </c>
      <c r="BF1723" s="1">
        <f>2.063*100000000</f>
        <v>206300000.00000003</v>
      </c>
      <c r="BG1723" s="8">
        <f t="shared" si="835"/>
        <v>0.71630615640599027</v>
      </c>
      <c r="BH1723" s="6" t="s">
        <v>15992</v>
      </c>
      <c r="BI1723" s="6" t="str">
        <f t="shared" si="819"/>
        <v>=1.202*100000000</v>
      </c>
      <c r="BJ1723" s="1">
        <f>1.202*100000000</f>
        <v>120200000</v>
      </c>
      <c r="BK1723" s="7" t="s">
        <v>11135</v>
      </c>
      <c r="BL1723" s="1" t="str">
        <f t="shared" si="821"/>
        <v>=3980*10000</v>
      </c>
      <c r="BM1723" s="16">
        <f t="shared" si="836"/>
        <v>2.0201005025125629</v>
      </c>
      <c r="BN1723" s="1">
        <f>3980*10000</f>
        <v>39800000</v>
      </c>
    </row>
    <row r="1724" spans="1:66">
      <c r="A1724" s="18"/>
      <c r="B1724">
        <v>603303</v>
      </c>
      <c r="C1724" t="s">
        <v>58</v>
      </c>
      <c r="D1724" s="6" t="s">
        <v>15993</v>
      </c>
      <c r="E1724" s="7" t="str">
        <f t="shared" si="820"/>
        <v>=3.651*100000000</v>
      </c>
      <c r="F1724" s="1">
        <f>3.651*100000000</f>
        <v>365100000</v>
      </c>
      <c r="G1724" s="8">
        <f t="shared" si="822"/>
        <v>0.1223486012911159</v>
      </c>
      <c r="H1724" s="6" t="s">
        <v>15994</v>
      </c>
      <c r="I1724" s="6" t="str">
        <f t="shared" si="806"/>
        <v>=3.253*100000000</v>
      </c>
      <c r="J1724" s="1">
        <f>3.253*100000000</f>
        <v>325300000</v>
      </c>
      <c r="K1724" s="10">
        <f t="shared" si="823"/>
        <v>0.57377842283502634</v>
      </c>
      <c r="L1724" s="6" t="s">
        <v>15995</v>
      </c>
      <c r="M1724" s="6" t="str">
        <f t="shared" si="807"/>
        <v>=2.067*100000000</v>
      </c>
      <c r="N1724" s="1">
        <f>2.067*100000000</f>
        <v>206700000.00000003</v>
      </c>
      <c r="O1724" s="8">
        <f t="shared" si="824"/>
        <v>0.89633027522935782</v>
      </c>
      <c r="P1724" s="6" t="s">
        <v>4606</v>
      </c>
      <c r="Q1724" s="6" t="str">
        <f t="shared" si="808"/>
        <v>=1.090*100000000</v>
      </c>
      <c r="R1724" s="11">
        <f>1.09*100000000</f>
        <v>109000000.00000001</v>
      </c>
      <c r="S1724" s="8">
        <f t="shared" si="825"/>
        <v>-0.71739694062743065</v>
      </c>
      <c r="T1724" s="6" t="s">
        <v>15996</v>
      </c>
      <c r="U1724" s="6" t="str">
        <f t="shared" si="809"/>
        <v>=3.857*100000000</v>
      </c>
      <c r="V1724" s="1">
        <f>3.857*100000000</f>
        <v>385700000</v>
      </c>
      <c r="W1724" s="8">
        <f t="shared" si="826"/>
        <v>0.18640418332820671</v>
      </c>
      <c r="X1724" s="6" t="s">
        <v>11765</v>
      </c>
      <c r="Y1724" s="6" t="str">
        <f t="shared" si="810"/>
        <v>=3.251*100000000</v>
      </c>
      <c r="Z1724" s="1">
        <f>3.251*100000000</f>
        <v>325100000</v>
      </c>
      <c r="AA1724" s="8">
        <f t="shared" si="827"/>
        <v>0.69765013054830283</v>
      </c>
      <c r="AB1724" s="6" t="s">
        <v>4162</v>
      </c>
      <c r="AC1724" s="6" t="str">
        <f t="shared" si="811"/>
        <v>=1.915*100000000</v>
      </c>
      <c r="AD1724" s="1">
        <f>1.915*100000000</f>
        <v>191500000</v>
      </c>
      <c r="AE1724" s="8">
        <f t="shared" si="828"/>
        <v>1.363322226335925</v>
      </c>
      <c r="AF1724" s="7" t="s">
        <v>15997</v>
      </c>
      <c r="AG1724" s="6" t="str">
        <f t="shared" si="812"/>
        <v>=8103*10000</v>
      </c>
      <c r="AH1724" s="1">
        <f>8103*10000</f>
        <v>81030000</v>
      </c>
      <c r="AI1724" s="8">
        <f t="shared" si="829"/>
        <v>-0.76513043478260867</v>
      </c>
      <c r="AJ1724" s="6" t="s">
        <v>4025</v>
      </c>
      <c r="AK1724" s="6" t="str">
        <f t="shared" si="813"/>
        <v>=3.450*100000000</v>
      </c>
      <c r="AL1724" s="1">
        <f>3.45*100000000</f>
        <v>345000000</v>
      </c>
      <c r="AM1724" s="8">
        <f t="shared" si="830"/>
        <v>0.25454545454545452</v>
      </c>
      <c r="AN1724" s="6" t="s">
        <v>5843</v>
      </c>
      <c r="AO1724" s="6" t="str">
        <f t="shared" si="814"/>
        <v>=2.750*100000000</v>
      </c>
      <c r="AP1724" s="1">
        <f>2.75*100000000</f>
        <v>275000000</v>
      </c>
      <c r="AQ1724" s="8">
        <f t="shared" si="831"/>
        <v>0.97274031563845054</v>
      </c>
      <c r="AR1724" s="6" t="s">
        <v>2000</v>
      </c>
      <c r="AS1724" s="6" t="str">
        <f t="shared" si="815"/>
        <v>=1.394*100000000</v>
      </c>
      <c r="AT1724" s="1">
        <f>1.394*100000000</f>
        <v>139400000</v>
      </c>
      <c r="AU1724" s="8">
        <f t="shared" si="832"/>
        <v>1.8133198789101916</v>
      </c>
      <c r="AV1724" s="7" t="s">
        <v>9112</v>
      </c>
      <c r="AW1724" s="6" t="str">
        <f t="shared" si="816"/>
        <v>=4955*10000</v>
      </c>
      <c r="AX1724" s="1">
        <f>4955*10000</f>
        <v>49550000</v>
      </c>
      <c r="AY1724" s="10">
        <f t="shared" si="833"/>
        <v>-0.82546671363156043</v>
      </c>
      <c r="AZ1724" s="6" t="s">
        <v>4293</v>
      </c>
      <c r="BA1724" s="6" t="str">
        <f t="shared" si="817"/>
        <v>=2.839*100000000</v>
      </c>
      <c r="BB1724" s="1">
        <f>2.839*100000000</f>
        <v>283900000</v>
      </c>
      <c r="BC1724" s="8">
        <f t="shared" si="834"/>
        <v>0.16400164001640016</v>
      </c>
      <c r="BD1724" s="6" t="s">
        <v>15998</v>
      </c>
      <c r="BE1724" s="6" t="str">
        <f t="shared" si="818"/>
        <v>=2.439*100000000</v>
      </c>
      <c r="BF1724" s="1">
        <f>2.439*100000000</f>
        <v>243900000</v>
      </c>
      <c r="BG1724" s="8">
        <f t="shared" si="835"/>
        <v>0.8589939024390244</v>
      </c>
      <c r="BH1724" s="6" t="s">
        <v>2991</v>
      </c>
      <c r="BI1724" s="6" t="str">
        <f t="shared" si="819"/>
        <v>=1.312*100000000</v>
      </c>
      <c r="BJ1724" s="1">
        <f>1.312*100000000</f>
        <v>131200000</v>
      </c>
      <c r="BK1724" s="7" t="s">
        <v>12094</v>
      </c>
      <c r="BL1724" s="1" t="str">
        <f t="shared" si="821"/>
        <v>=4542*10000</v>
      </c>
      <c r="BM1724" s="16">
        <f t="shared" si="836"/>
        <v>1.8885953324526641</v>
      </c>
      <c r="BN1724" s="1">
        <f>4542*10000</f>
        <v>45420000</v>
      </c>
    </row>
    <row r="1725" spans="1:66">
      <c r="A1725" s="19"/>
      <c r="B1725">
        <v>603303</v>
      </c>
      <c r="C1725" t="s">
        <v>68</v>
      </c>
      <c r="D1725" s="6" t="s">
        <v>15999</v>
      </c>
      <c r="E1725" s="7" t="str">
        <f t="shared" si="820"/>
        <v>=3.279*100000000</v>
      </c>
      <c r="F1725" s="1">
        <f>3.279*100000000</f>
        <v>327900000</v>
      </c>
      <c r="G1725" s="8">
        <f t="shared" si="822"/>
        <v>0.15988680580120268</v>
      </c>
      <c r="H1725" s="6" t="s">
        <v>15582</v>
      </c>
      <c r="I1725" s="6" t="str">
        <f t="shared" si="806"/>
        <v>=2.827*100000000</v>
      </c>
      <c r="J1725" s="1">
        <f>2.827*100000000</f>
        <v>282700000</v>
      </c>
      <c r="K1725" s="10">
        <f t="shared" si="823"/>
        <v>0.55757575757575761</v>
      </c>
      <c r="L1725" s="6" t="s">
        <v>2222</v>
      </c>
      <c r="M1725" s="6" t="str">
        <f t="shared" si="807"/>
        <v>=1.815*100000000</v>
      </c>
      <c r="N1725" s="1">
        <f>1.815*100000000</f>
        <v>181500000</v>
      </c>
      <c r="O1725" s="8">
        <f t="shared" si="824"/>
        <v>0.90052356020942403</v>
      </c>
      <c r="P1725" s="7" t="s">
        <v>3989</v>
      </c>
      <c r="Q1725" s="6" t="str">
        <f t="shared" si="808"/>
        <v>=9550*10000</v>
      </c>
      <c r="R1725" s="11">
        <f>9550*10000</f>
        <v>95500000</v>
      </c>
      <c r="S1725" s="8">
        <f t="shared" si="825"/>
        <v>-0.72197962154294038</v>
      </c>
      <c r="T1725" s="6" t="s">
        <v>10905</v>
      </c>
      <c r="U1725" s="6" t="str">
        <f t="shared" si="809"/>
        <v>=3.435*100000000</v>
      </c>
      <c r="V1725" s="1">
        <f>3.435*100000000</f>
        <v>343500000</v>
      </c>
      <c r="W1725" s="8">
        <f t="shared" si="826"/>
        <v>0.18570935450466</v>
      </c>
      <c r="X1725" s="6" t="s">
        <v>16000</v>
      </c>
      <c r="Y1725" s="6" t="str">
        <f t="shared" si="810"/>
        <v>=2.897*100000000</v>
      </c>
      <c r="Z1725" s="1">
        <f>2.897*100000000</f>
        <v>289700000</v>
      </c>
      <c r="AA1725" s="8">
        <f t="shared" si="827"/>
        <v>0.68332364904125509</v>
      </c>
      <c r="AB1725" s="6" t="s">
        <v>16001</v>
      </c>
      <c r="AC1725" s="6" t="str">
        <f t="shared" si="811"/>
        <v>=1.721*100000000</v>
      </c>
      <c r="AD1725" s="1">
        <f>1.721*100000000</f>
        <v>172100000</v>
      </c>
      <c r="AE1725" s="8">
        <f t="shared" si="828"/>
        <v>1.4642038946162657</v>
      </c>
      <c r="AF1725" s="7" t="s">
        <v>16002</v>
      </c>
      <c r="AG1725" s="6" t="str">
        <f t="shared" si="812"/>
        <v>=6984*10000</v>
      </c>
      <c r="AH1725" s="1">
        <f>6984*10000</f>
        <v>69840000</v>
      </c>
      <c r="AI1725" s="8">
        <f t="shared" si="829"/>
        <v>-0.77572254335260116</v>
      </c>
      <c r="AJ1725" s="6" t="s">
        <v>15573</v>
      </c>
      <c r="AK1725" s="6" t="str">
        <f t="shared" si="813"/>
        <v>=3.114*100000000</v>
      </c>
      <c r="AL1725" s="1">
        <f>3.114*100000000</f>
        <v>311400000</v>
      </c>
      <c r="AM1725" s="8">
        <f t="shared" si="830"/>
        <v>0.29641965029142381</v>
      </c>
      <c r="AN1725" s="6" t="s">
        <v>2570</v>
      </c>
      <c r="AO1725" s="6" t="str">
        <f t="shared" si="814"/>
        <v>=2.402*100000000</v>
      </c>
      <c r="AP1725" s="1">
        <f>2.402*100000000</f>
        <v>240200000</v>
      </c>
      <c r="AQ1725" s="8">
        <f t="shared" si="831"/>
        <v>0.95921696574225124</v>
      </c>
      <c r="AR1725" s="6" t="s">
        <v>4582</v>
      </c>
      <c r="AS1725" s="6" t="str">
        <f t="shared" si="815"/>
        <v>=1.226*100000000</v>
      </c>
      <c r="AT1725" s="1">
        <f>1.226*100000000</f>
        <v>122600000</v>
      </c>
      <c r="AU1725" s="8">
        <f t="shared" si="832"/>
        <v>1.880639097744361</v>
      </c>
      <c r="AV1725" s="7" t="s">
        <v>16003</v>
      </c>
      <c r="AW1725" s="6" t="str">
        <f t="shared" si="816"/>
        <v>=4256*10000</v>
      </c>
      <c r="AX1725" s="1">
        <f>4256*10000</f>
        <v>42560000</v>
      </c>
      <c r="AY1725" s="10">
        <f t="shared" si="833"/>
        <v>-0.82797089733225548</v>
      </c>
      <c r="AZ1725" s="6" t="s">
        <v>4049</v>
      </c>
      <c r="BA1725" s="6" t="str">
        <f t="shared" si="817"/>
        <v>=2.474*100000000</v>
      </c>
      <c r="BB1725" s="1">
        <f>2.474*100000000</f>
        <v>247400000.00000003</v>
      </c>
      <c r="BC1725" s="8">
        <f t="shared" si="834"/>
        <v>0.18373205741626808</v>
      </c>
      <c r="BD1725" s="6" t="s">
        <v>7643</v>
      </c>
      <c r="BE1725" s="6" t="str">
        <f t="shared" si="818"/>
        <v>=2.090*100000000</v>
      </c>
      <c r="BF1725" s="1">
        <f>2.09*100000000</f>
        <v>209000000</v>
      </c>
      <c r="BG1725" s="8">
        <f t="shared" si="835"/>
        <v>0.87780772686433062</v>
      </c>
      <c r="BH1725" s="6" t="s">
        <v>10789</v>
      </c>
      <c r="BI1725" s="6" t="str">
        <f t="shared" si="819"/>
        <v>=1.113*100000000</v>
      </c>
      <c r="BJ1725" s="1">
        <f>1.113*100000000</f>
        <v>111300000</v>
      </c>
      <c r="BK1725" s="7" t="s">
        <v>10394</v>
      </c>
      <c r="BL1725" s="1" t="str">
        <f t="shared" si="821"/>
        <v>=3854*10000</v>
      </c>
      <c r="BM1725" s="16">
        <f t="shared" si="836"/>
        <v>1.8879086663207059</v>
      </c>
      <c r="BN1725" s="1">
        <f>3854*10000</f>
        <v>38540000</v>
      </c>
    </row>
    <row r="1726" spans="1:66">
      <c r="A1726" s="17">
        <v>433</v>
      </c>
      <c r="B1726">
        <v>603305</v>
      </c>
      <c r="C1726" t="s">
        <v>31</v>
      </c>
      <c r="D1726" s="6" t="s">
        <v>16004</v>
      </c>
      <c r="E1726" s="7" t="str">
        <f t="shared" si="820"/>
        <v>=30.23*100000000</v>
      </c>
      <c r="F1726" s="1">
        <f>30.23*100000000</f>
        <v>3023000000</v>
      </c>
      <c r="G1726" s="8">
        <f t="shared" si="822"/>
        <v>0.50248508946322068</v>
      </c>
      <c r="H1726" s="6" t="s">
        <v>2840</v>
      </c>
      <c r="I1726" s="6" t="str">
        <f t="shared" si="806"/>
        <v>=20.12*100000000</v>
      </c>
      <c r="J1726" s="1">
        <f>20.12*100000000</f>
        <v>2012000000</v>
      </c>
      <c r="K1726" s="10">
        <f t="shared" si="823"/>
        <v>0.66143682906688683</v>
      </c>
      <c r="L1726" s="6" t="s">
        <v>2050</v>
      </c>
      <c r="M1726" s="6" t="str">
        <f t="shared" si="807"/>
        <v>=12.11*100000000</v>
      </c>
      <c r="N1726" s="1">
        <f>12.11*100000000</f>
        <v>1211000000</v>
      </c>
      <c r="O1726" s="8">
        <f t="shared" si="824"/>
        <v>1.3975450405860226</v>
      </c>
      <c r="P1726" s="6" t="s">
        <v>12685</v>
      </c>
      <c r="Q1726" s="6" t="str">
        <f t="shared" si="808"/>
        <v>=5.051*100000000</v>
      </c>
      <c r="R1726" s="11">
        <f>5.051*100000000</f>
        <v>505100000</v>
      </c>
      <c r="S1726" s="8">
        <f t="shared" si="825"/>
        <v>-0.6897420147420148</v>
      </c>
      <c r="T1726" s="6" t="s">
        <v>1318</v>
      </c>
      <c r="U1726" s="6" t="str">
        <f t="shared" si="809"/>
        <v>=16.28*100000000</v>
      </c>
      <c r="V1726" s="1">
        <f>16.28*100000000</f>
        <v>1628000000</v>
      </c>
      <c r="W1726" s="8">
        <f t="shared" si="826"/>
        <v>0.47330316742081446</v>
      </c>
      <c r="X1726" s="6" t="s">
        <v>173</v>
      </c>
      <c r="Y1726" s="6" t="str">
        <f t="shared" si="810"/>
        <v>=11.05*100000000</v>
      </c>
      <c r="Z1726" s="1">
        <f>11.05*100000000</f>
        <v>1105000000</v>
      </c>
      <c r="AA1726" s="8">
        <f t="shared" si="827"/>
        <v>0.66315472606863335</v>
      </c>
      <c r="AB1726" s="6" t="s">
        <v>16005</v>
      </c>
      <c r="AC1726" s="6" t="str">
        <f t="shared" si="811"/>
        <v>=6.644*100000000</v>
      </c>
      <c r="AD1726" s="1">
        <f>6.644*100000000</f>
        <v>664400000</v>
      </c>
      <c r="AE1726" s="8">
        <f t="shared" si="828"/>
        <v>1.3061437001041305</v>
      </c>
      <c r="AF1726" s="6" t="s">
        <v>15056</v>
      </c>
      <c r="AG1726" s="6" t="str">
        <f t="shared" si="812"/>
        <v>=2.881*100000000</v>
      </c>
      <c r="AH1726" s="1">
        <f>2.881*100000000</f>
        <v>288100000</v>
      </c>
      <c r="AI1726" s="8">
        <f t="shared" si="829"/>
        <v>-0.73737465815861436</v>
      </c>
      <c r="AJ1726" s="6" t="s">
        <v>373</v>
      </c>
      <c r="AK1726" s="6" t="str">
        <f t="shared" si="813"/>
        <v>=10.97*100000000</v>
      </c>
      <c r="AL1726" s="1">
        <f>10.97*100000000</f>
        <v>1097000000</v>
      </c>
      <c r="AM1726" s="8">
        <f t="shared" si="830"/>
        <v>0.41184041184041181</v>
      </c>
      <c r="AN1726" s="6" t="s">
        <v>4246</v>
      </c>
      <c r="AO1726" s="6" t="str">
        <f t="shared" si="814"/>
        <v>=7.770*100000000</v>
      </c>
      <c r="AP1726" s="1">
        <f>7.77*100000000</f>
        <v>777000000</v>
      </c>
      <c r="AQ1726" s="8">
        <f t="shared" si="831"/>
        <v>0.54442456768038183</v>
      </c>
      <c r="AR1726" s="6" t="s">
        <v>1664</v>
      </c>
      <c r="AS1726" s="6" t="str">
        <f t="shared" si="815"/>
        <v>=5.031*100000000</v>
      </c>
      <c r="AT1726" s="1">
        <f>5.031*100000000</f>
        <v>503099999.99999994</v>
      </c>
      <c r="AU1726" s="8">
        <f t="shared" si="832"/>
        <v>0.99960254372019053</v>
      </c>
      <c r="AV1726" s="6" t="s">
        <v>16006</v>
      </c>
      <c r="AW1726" s="6" t="str">
        <f t="shared" si="816"/>
        <v>=2.516*100000000</v>
      </c>
      <c r="AX1726" s="1">
        <f>2.516*100000000</f>
        <v>251600000</v>
      </c>
      <c r="AY1726" s="10">
        <f t="shared" si="833"/>
        <v>-0.7704379562043796</v>
      </c>
      <c r="AZ1726" s="6" t="s">
        <v>1387</v>
      </c>
      <c r="BA1726" s="6" t="str">
        <f t="shared" si="817"/>
        <v>=10.96*100000000</v>
      </c>
      <c r="BB1726" s="1">
        <f>10.96*100000000</f>
        <v>1096000000</v>
      </c>
      <c r="BC1726" s="8">
        <f t="shared" si="834"/>
        <v>0.329129274799903</v>
      </c>
      <c r="BD1726" s="6" t="s">
        <v>16007</v>
      </c>
      <c r="BE1726" s="6" t="str">
        <f t="shared" si="818"/>
        <v>=8.246*100000000</v>
      </c>
      <c r="BF1726" s="1">
        <f>8.246*100000000</f>
        <v>824600000</v>
      </c>
      <c r="BG1726" s="8">
        <f t="shared" si="835"/>
        <v>0.67431472081218269</v>
      </c>
      <c r="BH1726" s="6" t="s">
        <v>8375</v>
      </c>
      <c r="BI1726" s="6" t="str">
        <f t="shared" si="819"/>
        <v>=4.925*100000000</v>
      </c>
      <c r="BJ1726" s="1">
        <f>4.925*100000000</f>
        <v>492500000</v>
      </c>
      <c r="BK1726" s="6" t="s">
        <v>16008</v>
      </c>
      <c r="BL1726" s="1" t="str">
        <f t="shared" si="821"/>
        <v>=2.146*100000000</v>
      </c>
      <c r="BM1726" s="16">
        <f t="shared" si="836"/>
        <v>1.2949673811742777</v>
      </c>
      <c r="BN1726" s="1">
        <f>2.146*100000000</f>
        <v>214600000</v>
      </c>
    </row>
    <row r="1727" spans="1:66">
      <c r="A1727" s="18"/>
      <c r="B1727">
        <v>603305</v>
      </c>
      <c r="C1727" t="s">
        <v>48</v>
      </c>
      <c r="D1727" s="6" t="s">
        <v>16009</v>
      </c>
      <c r="E1727" s="7" t="str">
        <f t="shared" si="820"/>
        <v>=4.668*100000000</v>
      </c>
      <c r="F1727" s="1">
        <f>4.668*100000000</f>
        <v>466800000</v>
      </c>
      <c r="G1727" s="8">
        <f t="shared" si="822"/>
        <v>0.24181963288108541</v>
      </c>
      <c r="H1727" s="6" t="s">
        <v>16010</v>
      </c>
      <c r="I1727" s="6" t="str">
        <f t="shared" ref="I1727:I1790" si="837">"="&amp;H1727</f>
        <v>=3.759*100000000</v>
      </c>
      <c r="J1727" s="1">
        <f>3.759*100000000</f>
        <v>375900000</v>
      </c>
      <c r="K1727" s="10">
        <f t="shared" si="823"/>
        <v>0.50721732157177213</v>
      </c>
      <c r="L1727" s="6" t="s">
        <v>3475</v>
      </c>
      <c r="M1727" s="6" t="str">
        <f t="shared" ref="M1727:M1790" si="838">"="&amp;L1727</f>
        <v>=2.494*100000000</v>
      </c>
      <c r="N1727" s="1">
        <f>2.494*100000000</f>
        <v>249400000.00000003</v>
      </c>
      <c r="O1727" s="8">
        <f t="shared" si="824"/>
        <v>1.3775023832221165</v>
      </c>
      <c r="P1727" s="6" t="s">
        <v>11322</v>
      </c>
      <c r="Q1727" s="6" t="str">
        <f t="shared" ref="Q1727:Q1790" si="839">"="&amp;P1727</f>
        <v>=1.049*100000000</v>
      </c>
      <c r="R1727" s="11">
        <f>1.049*100000000</f>
        <v>104900000</v>
      </c>
      <c r="S1727" s="8">
        <f t="shared" si="825"/>
        <v>-0.72929032258064519</v>
      </c>
      <c r="T1727" s="6" t="s">
        <v>919</v>
      </c>
      <c r="U1727" s="6" t="str">
        <f t="shared" ref="U1727:U1790" si="840">"="&amp;T1727</f>
        <v>=3.875*100000000</v>
      </c>
      <c r="V1727" s="1">
        <f>3.875*100000000</f>
        <v>387500000</v>
      </c>
      <c r="W1727" s="8">
        <f t="shared" si="826"/>
        <v>0.42306279838413513</v>
      </c>
      <c r="X1727" s="6" t="s">
        <v>16011</v>
      </c>
      <c r="Y1727" s="6" t="str">
        <f t="shared" ref="Y1727:Y1790" si="841">"="&amp;X1727</f>
        <v>=2.723*100000000</v>
      </c>
      <c r="Z1727" s="1">
        <f>2.723*100000000</f>
        <v>272300000</v>
      </c>
      <c r="AA1727" s="8">
        <f t="shared" si="827"/>
        <v>0.63740228502705953</v>
      </c>
      <c r="AB1727" s="6" t="s">
        <v>14005</v>
      </c>
      <c r="AC1727" s="6" t="str">
        <f t="shared" ref="AC1727:AC1790" si="842">"="&amp;AB1727</f>
        <v>=1.663*100000000</v>
      </c>
      <c r="AD1727" s="1">
        <f>1.663*100000000</f>
        <v>166300000</v>
      </c>
      <c r="AE1727" s="8">
        <f t="shared" si="828"/>
        <v>1.774904054730519</v>
      </c>
      <c r="AF1727" s="7" t="s">
        <v>16012</v>
      </c>
      <c r="AG1727" s="6" t="str">
        <f t="shared" ref="AG1727:AG1790" si="843">"="&amp;AF1727</f>
        <v>=5993*10000</v>
      </c>
      <c r="AH1727" s="1">
        <f>5993*10000</f>
        <v>59930000</v>
      </c>
      <c r="AI1727" s="8">
        <f t="shared" si="829"/>
        <v>-0.75101786456169506</v>
      </c>
      <c r="AJ1727" s="6" t="s">
        <v>7661</v>
      </c>
      <c r="AK1727" s="6" t="str">
        <f t="shared" ref="AK1727:AK1790" si="844">"="&amp;AJ1727</f>
        <v>=2.407*100000000</v>
      </c>
      <c r="AL1727" s="1">
        <f>2.407*100000000</f>
        <v>240700000</v>
      </c>
      <c r="AM1727" s="8">
        <f t="shared" si="830"/>
        <v>0.49317617866004965</v>
      </c>
      <c r="AN1727" s="6" t="s">
        <v>10152</v>
      </c>
      <c r="AO1727" s="6" t="str">
        <f t="shared" ref="AO1727:AO1790" si="845">"="&amp;AN1727</f>
        <v>=1.612*100000000</v>
      </c>
      <c r="AP1727" s="1">
        <f>1.612*100000000</f>
        <v>161200000</v>
      </c>
      <c r="AQ1727" s="8">
        <f t="shared" si="831"/>
        <v>0.58349705304518662</v>
      </c>
      <c r="AR1727" s="6" t="s">
        <v>2234</v>
      </c>
      <c r="AS1727" s="6" t="str">
        <f t="shared" ref="AS1727:AS1790" si="846">"="&amp;AR1727</f>
        <v>=1.018*100000000</v>
      </c>
      <c r="AT1727" s="1">
        <f>1.018*100000000</f>
        <v>101800000</v>
      </c>
      <c r="AU1727" s="8">
        <f t="shared" si="832"/>
        <v>1.3157415832575068</v>
      </c>
      <c r="AV1727" s="7" t="s">
        <v>3380</v>
      </c>
      <c r="AW1727" s="6" t="str">
        <f t="shared" ref="AW1727:AW1790" si="847">"="&amp;AV1727</f>
        <v>=4396*10000</v>
      </c>
      <c r="AX1727" s="1">
        <f>4396*10000</f>
        <v>43960000</v>
      </c>
      <c r="AY1727" s="10">
        <f t="shared" si="833"/>
        <v>-0.87149956153171593</v>
      </c>
      <c r="AZ1727" s="6" t="s">
        <v>9234</v>
      </c>
      <c r="BA1727" s="6" t="str">
        <f t="shared" ref="BA1727:BA1790" si="848">"="&amp;AZ1727</f>
        <v>=3.421*100000000</v>
      </c>
      <c r="BB1727" s="1">
        <f>3.421*100000000</f>
        <v>342100000</v>
      </c>
      <c r="BC1727" s="8">
        <f t="shared" si="834"/>
        <v>0.26096572060449685</v>
      </c>
      <c r="BD1727" s="6" t="s">
        <v>15475</v>
      </c>
      <c r="BE1727" s="6" t="str">
        <f t="shared" ref="BE1727:BE1790" si="849">"="&amp;BD1727</f>
        <v>=2.713*100000000</v>
      </c>
      <c r="BF1727" s="1">
        <f>2.713*100000000</f>
        <v>271300000</v>
      </c>
      <c r="BG1727" s="8">
        <f t="shared" si="835"/>
        <v>0.74469453376205785</v>
      </c>
      <c r="BH1727" s="6" t="s">
        <v>16013</v>
      </c>
      <c r="BI1727" s="6" t="str">
        <f t="shared" ref="BI1727:BI1790" si="850">"="&amp;BH1727</f>
        <v>=1.555*100000000</v>
      </c>
      <c r="BJ1727" s="1">
        <f>1.555*100000000</f>
        <v>155500000</v>
      </c>
      <c r="BK1727" s="7" t="s">
        <v>7405</v>
      </c>
      <c r="BL1727" s="1" t="str">
        <f t="shared" si="821"/>
        <v>=6421*10000</v>
      </c>
      <c r="BM1727" s="16">
        <f t="shared" si="836"/>
        <v>1.4217411618128017</v>
      </c>
      <c r="BN1727" s="1">
        <f>6421*10000</f>
        <v>64210000</v>
      </c>
    </row>
    <row r="1728" spans="1:66">
      <c r="A1728" s="18"/>
      <c r="B1728">
        <v>603305</v>
      </c>
      <c r="C1728" t="s">
        <v>58</v>
      </c>
      <c r="D1728" s="6" t="s">
        <v>14167</v>
      </c>
      <c r="E1728" s="7" t="str">
        <f t="shared" si="820"/>
        <v>=4.652*100000000</v>
      </c>
      <c r="F1728" s="1">
        <f>4.652*100000000</f>
        <v>465200000</v>
      </c>
      <c r="G1728" s="8">
        <f t="shared" si="822"/>
        <v>0.24285332620892333</v>
      </c>
      <c r="H1728" s="6" t="s">
        <v>7816</v>
      </c>
      <c r="I1728" s="6" t="str">
        <f t="shared" si="837"/>
        <v>=3.743*100000000</v>
      </c>
      <c r="J1728" s="1">
        <f>3.743*100000000</f>
        <v>374300000</v>
      </c>
      <c r="K1728" s="10">
        <f t="shared" si="823"/>
        <v>0.50563153660498772</v>
      </c>
      <c r="L1728" s="6" t="s">
        <v>11515</v>
      </c>
      <c r="M1728" s="6" t="str">
        <f t="shared" si="838"/>
        <v>=2.486*100000000</v>
      </c>
      <c r="N1728" s="1">
        <f>2.486*100000000</f>
        <v>248600000.00000003</v>
      </c>
      <c r="O1728" s="8">
        <f t="shared" si="824"/>
        <v>1.3698760724499526</v>
      </c>
      <c r="P1728" s="6" t="s">
        <v>11322</v>
      </c>
      <c r="Q1728" s="6" t="str">
        <f t="shared" si="839"/>
        <v>=1.049*100000000</v>
      </c>
      <c r="R1728" s="11">
        <f>1.049*100000000</f>
        <v>104900000</v>
      </c>
      <c r="S1728" s="8">
        <f t="shared" si="825"/>
        <v>-0.72894056847545219</v>
      </c>
      <c r="T1728" s="6" t="s">
        <v>1703</v>
      </c>
      <c r="U1728" s="6" t="str">
        <f t="shared" si="840"/>
        <v>=3.870*100000000</v>
      </c>
      <c r="V1728" s="1">
        <f>3.87*100000000</f>
        <v>387000000</v>
      </c>
      <c r="W1728" s="8">
        <f t="shared" si="826"/>
        <v>0.42279411764705882</v>
      </c>
      <c r="X1728" s="6" t="s">
        <v>1700</v>
      </c>
      <c r="Y1728" s="6" t="str">
        <f t="shared" si="841"/>
        <v>=2.720*100000000</v>
      </c>
      <c r="Z1728" s="1">
        <f>2.72*100000000</f>
        <v>272000000</v>
      </c>
      <c r="AA1728" s="8">
        <f t="shared" si="827"/>
        <v>0.64053075995174913</v>
      </c>
      <c r="AB1728" s="6" t="s">
        <v>2557</v>
      </c>
      <c r="AC1728" s="6" t="str">
        <f t="shared" si="842"/>
        <v>=1.658*100000000</v>
      </c>
      <c r="AD1728" s="1">
        <f>1.658*100000000</f>
        <v>165800000</v>
      </c>
      <c r="AE1728" s="8">
        <f t="shared" si="828"/>
        <v>1.7665609878191224</v>
      </c>
      <c r="AF1728" s="7" t="s">
        <v>16012</v>
      </c>
      <c r="AG1728" s="6" t="str">
        <f t="shared" si="843"/>
        <v>=5993*10000</v>
      </c>
      <c r="AH1728" s="1">
        <f>5993*10000</f>
        <v>59930000</v>
      </c>
      <c r="AI1728" s="8">
        <f t="shared" si="829"/>
        <v>-0.75008340283569641</v>
      </c>
      <c r="AJ1728" s="6" t="s">
        <v>16014</v>
      </c>
      <c r="AK1728" s="6" t="str">
        <f t="shared" si="844"/>
        <v>=2.398*100000000</v>
      </c>
      <c r="AL1728" s="1">
        <f>2.398*100000000</f>
        <v>239800000</v>
      </c>
      <c r="AM1728" s="8">
        <f t="shared" si="830"/>
        <v>0.49501246882793015</v>
      </c>
      <c r="AN1728" s="6" t="s">
        <v>1229</v>
      </c>
      <c r="AO1728" s="6" t="str">
        <f t="shared" si="845"/>
        <v>=1.604*100000000</v>
      </c>
      <c r="AP1728" s="1">
        <f>1.604*100000000</f>
        <v>160400000</v>
      </c>
      <c r="AQ1728" s="8">
        <f t="shared" si="831"/>
        <v>0.5818540433925049</v>
      </c>
      <c r="AR1728" s="6" t="s">
        <v>4298</v>
      </c>
      <c r="AS1728" s="6" t="str">
        <f t="shared" si="846"/>
        <v>=1.014*100000000</v>
      </c>
      <c r="AT1728" s="1">
        <f>1.014*100000000</f>
        <v>101400000</v>
      </c>
      <c r="AU1728" s="8">
        <f t="shared" si="832"/>
        <v>1.3124287343215508</v>
      </c>
      <c r="AV1728" s="7" t="s">
        <v>16015</v>
      </c>
      <c r="AW1728" s="6" t="str">
        <f t="shared" si="847"/>
        <v>=4385*10000</v>
      </c>
      <c r="AX1728" s="1">
        <f>4385*10000</f>
        <v>43850000</v>
      </c>
      <c r="AY1728" s="10">
        <f t="shared" si="833"/>
        <v>-0.87163348946135832</v>
      </c>
      <c r="AZ1728" s="6" t="s">
        <v>16016</v>
      </c>
      <c r="BA1728" s="6" t="str">
        <f t="shared" si="848"/>
        <v>=3.416*100000000</v>
      </c>
      <c r="BB1728" s="1">
        <f>3.416*100000000</f>
        <v>341600000</v>
      </c>
      <c r="BC1728" s="8">
        <f t="shared" si="834"/>
        <v>0.26144756277695719</v>
      </c>
      <c r="BD1728" s="6" t="s">
        <v>16017</v>
      </c>
      <c r="BE1728" s="6" t="str">
        <f t="shared" si="849"/>
        <v>=2.708*100000000</v>
      </c>
      <c r="BF1728" s="1">
        <f>2.708*100000000</f>
        <v>270800000</v>
      </c>
      <c r="BG1728" s="8">
        <f t="shared" si="835"/>
        <v>0.7414790996784566</v>
      </c>
      <c r="BH1728" s="6" t="s">
        <v>16013</v>
      </c>
      <c r="BI1728" s="6" t="str">
        <f t="shared" si="850"/>
        <v>=1.555*100000000</v>
      </c>
      <c r="BJ1728" s="1">
        <f>1.555*100000000</f>
        <v>155500000</v>
      </c>
      <c r="BK1728" s="7" t="s">
        <v>16018</v>
      </c>
      <c r="BL1728" s="1" t="str">
        <f t="shared" si="821"/>
        <v>=6416*10000</v>
      </c>
      <c r="BM1728" s="16">
        <f t="shared" si="836"/>
        <v>1.4236284289276808</v>
      </c>
      <c r="BN1728" s="1">
        <f>6416*10000</f>
        <v>64160000</v>
      </c>
    </row>
    <row r="1729" spans="1:66">
      <c r="A1729" s="19"/>
      <c r="B1729">
        <v>603305</v>
      </c>
      <c r="C1729" t="s">
        <v>68</v>
      </c>
      <c r="D1729" s="6" t="s">
        <v>3431</v>
      </c>
      <c r="E1729" s="7" t="str">
        <f t="shared" si="820"/>
        <v>=4.125*100000000</v>
      </c>
      <c r="F1729" s="1">
        <f>4.125*100000000</f>
        <v>412500000</v>
      </c>
      <c r="G1729" s="8">
        <f t="shared" si="822"/>
        <v>0.24509507998792635</v>
      </c>
      <c r="H1729" s="6" t="s">
        <v>10890</v>
      </c>
      <c r="I1729" s="6" t="str">
        <f t="shared" si="837"/>
        <v>=3.313*100000000</v>
      </c>
      <c r="J1729" s="1">
        <f>3.313*100000000</f>
        <v>331300000</v>
      </c>
      <c r="K1729" s="10">
        <f t="shared" si="823"/>
        <v>0.57312440645773977</v>
      </c>
      <c r="L1729" s="6" t="s">
        <v>16019</v>
      </c>
      <c r="M1729" s="6" t="str">
        <f t="shared" si="838"/>
        <v>=2.106*100000000</v>
      </c>
      <c r="N1729" s="1">
        <f>2.106*100000000</f>
        <v>210600000</v>
      </c>
      <c r="O1729" s="8">
        <f t="shared" si="824"/>
        <v>1.3501841312353533</v>
      </c>
      <c r="P1729" s="7" t="s">
        <v>16020</v>
      </c>
      <c r="Q1729" s="6" t="str">
        <f t="shared" si="839"/>
        <v>=8961*10000</v>
      </c>
      <c r="R1729" s="11">
        <f>8961*10000</f>
        <v>89610000</v>
      </c>
      <c r="S1729" s="8">
        <f t="shared" si="825"/>
        <v>-0.73073918269230764</v>
      </c>
      <c r="T1729" s="6" t="s">
        <v>2306</v>
      </c>
      <c r="U1729" s="6" t="str">
        <f t="shared" si="840"/>
        <v>=3.328*100000000</v>
      </c>
      <c r="V1729" s="1">
        <f>3.328*100000000</f>
        <v>332800000</v>
      </c>
      <c r="W1729" s="8">
        <f t="shared" si="826"/>
        <v>0.44131658726721507</v>
      </c>
      <c r="X1729" s="6" t="s">
        <v>10498</v>
      </c>
      <c r="Y1729" s="6" t="str">
        <f t="shared" si="841"/>
        <v>=2.309*100000000</v>
      </c>
      <c r="Z1729" s="1">
        <f>2.309*100000000</f>
        <v>230900000.00000003</v>
      </c>
      <c r="AA1729" s="8">
        <f t="shared" si="827"/>
        <v>0.64108031272210397</v>
      </c>
      <c r="AB1729" s="6" t="s">
        <v>2210</v>
      </c>
      <c r="AC1729" s="6" t="str">
        <f t="shared" si="842"/>
        <v>=1.407*100000000</v>
      </c>
      <c r="AD1729" s="1">
        <f>1.407*100000000</f>
        <v>140700000</v>
      </c>
      <c r="AE1729" s="8">
        <f t="shared" si="828"/>
        <v>1.7707758960220559</v>
      </c>
      <c r="AF1729" s="7" t="s">
        <v>16021</v>
      </c>
      <c r="AG1729" s="6" t="str">
        <f t="shared" si="843"/>
        <v>=5078*10000</v>
      </c>
      <c r="AH1729" s="1">
        <f>5078*10000</f>
        <v>50780000</v>
      </c>
      <c r="AI1729" s="8">
        <f t="shared" si="829"/>
        <v>-0.75421103581800575</v>
      </c>
      <c r="AJ1729" s="6" t="s">
        <v>10582</v>
      </c>
      <c r="AK1729" s="6" t="str">
        <f t="shared" si="844"/>
        <v>=2.066*100000000</v>
      </c>
      <c r="AL1729" s="1">
        <f>2.066*100000000</f>
        <v>206599999.99999997</v>
      </c>
      <c r="AM1729" s="8">
        <f t="shared" si="830"/>
        <v>0.51800146950771475</v>
      </c>
      <c r="AN1729" s="6" t="s">
        <v>10949</v>
      </c>
      <c r="AO1729" s="6" t="str">
        <f t="shared" si="845"/>
        <v>=1.361*100000000</v>
      </c>
      <c r="AP1729" s="1">
        <f>1.361*100000000</f>
        <v>136100000</v>
      </c>
      <c r="AQ1729" s="8">
        <f t="shared" si="831"/>
        <v>0.60514211581554433</v>
      </c>
      <c r="AR1729" s="7" t="s">
        <v>4447</v>
      </c>
      <c r="AS1729" s="6" t="str">
        <f t="shared" si="846"/>
        <v>=8479*10000</v>
      </c>
      <c r="AT1729" s="1">
        <f>8479*10000</f>
        <v>84790000</v>
      </c>
      <c r="AU1729" s="8">
        <f t="shared" si="832"/>
        <v>1.2395668251452721</v>
      </c>
      <c r="AV1729" s="7" t="s">
        <v>16022</v>
      </c>
      <c r="AW1729" s="6" t="str">
        <f t="shared" si="847"/>
        <v>=3786*10000</v>
      </c>
      <c r="AX1729" s="1">
        <f>3786*10000</f>
        <v>37860000</v>
      </c>
      <c r="AY1729" s="10">
        <f t="shared" si="833"/>
        <v>-0.87109295199182835</v>
      </c>
      <c r="AZ1729" s="6" t="s">
        <v>4492</v>
      </c>
      <c r="BA1729" s="6" t="str">
        <f t="shared" si="848"/>
        <v>=2.937*100000000</v>
      </c>
      <c r="BB1729" s="1">
        <f>2.937*100000000</f>
        <v>293700000</v>
      </c>
      <c r="BC1729" s="8">
        <f t="shared" si="834"/>
        <v>0.27751196172248804</v>
      </c>
      <c r="BD1729" s="6" t="s">
        <v>8270</v>
      </c>
      <c r="BE1729" s="6" t="str">
        <f t="shared" si="849"/>
        <v>=2.299*100000000</v>
      </c>
      <c r="BF1729" s="1">
        <f>2.299*100000000</f>
        <v>229900000</v>
      </c>
      <c r="BG1729" s="8">
        <f t="shared" si="835"/>
        <v>0.73117469879518071</v>
      </c>
      <c r="BH1729" s="6" t="s">
        <v>4979</v>
      </c>
      <c r="BI1729" s="6" t="str">
        <f t="shared" si="850"/>
        <v>=1.328*100000000</v>
      </c>
      <c r="BJ1729" s="1">
        <f>1.328*100000000</f>
        <v>132800000</v>
      </c>
      <c r="BK1729" s="7" t="s">
        <v>16023</v>
      </c>
      <c r="BL1729" s="1" t="str">
        <f t="shared" si="821"/>
        <v>=5465*10000</v>
      </c>
      <c r="BM1729" s="16">
        <f t="shared" si="836"/>
        <v>1.4300091491308327</v>
      </c>
      <c r="BN1729" s="1">
        <f>5465*10000</f>
        <v>54650000</v>
      </c>
    </row>
    <row r="1730" spans="1:66">
      <c r="A1730" s="17">
        <v>434</v>
      </c>
      <c r="B1730">
        <v>603319</v>
      </c>
      <c r="C1730" t="s">
        <v>31</v>
      </c>
      <c r="D1730" s="6" t="s">
        <v>11568</v>
      </c>
      <c r="E1730" s="7" t="str">
        <f t="shared" ref="E1730:E1793" si="851">"="&amp;D1730</f>
        <v>=16.22*100000000</v>
      </c>
      <c r="F1730" s="1">
        <f>16.22*100000000</f>
        <v>1622000000</v>
      </c>
      <c r="G1730" s="8">
        <f t="shared" si="822"/>
        <v>0.2781717888100867</v>
      </c>
      <c r="H1730" s="6" t="s">
        <v>3036</v>
      </c>
      <c r="I1730" s="6" t="str">
        <f t="shared" si="837"/>
        <v>=12.69*100000000</v>
      </c>
      <c r="J1730" s="1">
        <f>12.69*100000000</f>
        <v>1269000000</v>
      </c>
      <c r="K1730" s="10">
        <f t="shared" si="823"/>
        <v>0.48005598320503851</v>
      </c>
      <c r="L1730" s="6" t="s">
        <v>6167</v>
      </c>
      <c r="M1730" s="6" t="str">
        <f t="shared" si="838"/>
        <v>=8.574*100000000</v>
      </c>
      <c r="N1730" s="1">
        <f>8.574*100000000</f>
        <v>857400000</v>
      </c>
      <c r="O1730" s="8">
        <f t="shared" si="824"/>
        <v>0.99860139860139863</v>
      </c>
      <c r="P1730" s="6" t="s">
        <v>6908</v>
      </c>
      <c r="Q1730" s="6" t="str">
        <f t="shared" si="839"/>
        <v>=4.290*100000000</v>
      </c>
      <c r="R1730" s="11">
        <f>4.29*100000000</f>
        <v>429000000</v>
      </c>
      <c r="S1730" s="8">
        <f t="shared" si="825"/>
        <v>-0.69552874378992191</v>
      </c>
      <c r="T1730" s="6" t="s">
        <v>5168</v>
      </c>
      <c r="U1730" s="6" t="str">
        <f t="shared" si="840"/>
        <v>=14.09*100000000</v>
      </c>
      <c r="V1730" s="1">
        <f>14.09*100000000</f>
        <v>1409000000</v>
      </c>
      <c r="W1730" s="8">
        <f t="shared" si="826"/>
        <v>0.46801416961867037</v>
      </c>
      <c r="X1730" s="6" t="s">
        <v>16024</v>
      </c>
      <c r="Y1730" s="6" t="str">
        <f t="shared" si="841"/>
        <v>=9.598*100000000</v>
      </c>
      <c r="Z1730" s="1">
        <f>9.598*100000000</f>
        <v>959800000.00000012</v>
      </c>
      <c r="AA1730" s="8">
        <f t="shared" si="827"/>
        <v>0.66718777140871999</v>
      </c>
      <c r="AB1730" s="6" t="s">
        <v>16025</v>
      </c>
      <c r="AC1730" s="6" t="str">
        <f t="shared" si="842"/>
        <v>=5.757*100000000</v>
      </c>
      <c r="AD1730" s="1">
        <f>5.757*100000000</f>
        <v>575700000</v>
      </c>
      <c r="AE1730" s="8">
        <f t="shared" si="828"/>
        <v>1.429113924050633</v>
      </c>
      <c r="AF1730" s="6" t="s">
        <v>10211</v>
      </c>
      <c r="AG1730" s="6" t="str">
        <f t="shared" si="843"/>
        <v>=2.370*100000000</v>
      </c>
      <c r="AH1730" s="1">
        <f>2.37*100000000</f>
        <v>237000000</v>
      </c>
      <c r="AI1730" s="8">
        <f t="shared" si="829"/>
        <v>-0.76347305389221554</v>
      </c>
      <c r="AJ1730" s="6" t="s">
        <v>5088</v>
      </c>
      <c r="AK1730" s="6" t="str">
        <f t="shared" si="844"/>
        <v>=10.02*100000000</v>
      </c>
      <c r="AL1730" s="1">
        <f>10.02*100000000</f>
        <v>1002000000</v>
      </c>
      <c r="AM1730" s="8">
        <f t="shared" si="830"/>
        <v>0.45915246832678025</v>
      </c>
      <c r="AN1730" s="6" t="s">
        <v>16026</v>
      </c>
      <c r="AO1730" s="6" t="str">
        <f t="shared" si="845"/>
        <v>=6.867*100000000</v>
      </c>
      <c r="AP1730" s="1">
        <f>6.867*100000000</f>
        <v>686700000</v>
      </c>
      <c r="AQ1730" s="8">
        <f t="shared" si="831"/>
        <v>0.45858113848768056</v>
      </c>
      <c r="AR1730" s="6" t="s">
        <v>7879</v>
      </c>
      <c r="AS1730" s="6" t="str">
        <f t="shared" si="846"/>
        <v>=4.708*100000000</v>
      </c>
      <c r="AT1730" s="1">
        <f>4.708*100000000</f>
        <v>470800000</v>
      </c>
      <c r="AU1730" s="8">
        <f t="shared" si="832"/>
        <v>0.84990176817288798</v>
      </c>
      <c r="AV1730" s="6" t="s">
        <v>16027</v>
      </c>
      <c r="AW1730" s="6" t="str">
        <f t="shared" si="847"/>
        <v>=2.545*100000000</v>
      </c>
      <c r="AX1730" s="1">
        <f>2.545*100000000</f>
        <v>254500000</v>
      </c>
      <c r="AY1730" s="10">
        <f t="shared" si="833"/>
        <v>-0.71859796550199029</v>
      </c>
      <c r="AZ1730" s="6" t="s">
        <v>16028</v>
      </c>
      <c r="BA1730" s="6" t="str">
        <f t="shared" si="848"/>
        <v>=9.044*100000000</v>
      </c>
      <c r="BB1730" s="1">
        <f>9.044*100000000</f>
        <v>904400000</v>
      </c>
      <c r="BC1730" s="8">
        <f t="shared" si="834"/>
        <v>0.36947304663840097</v>
      </c>
      <c r="BD1730" s="6" t="s">
        <v>16029</v>
      </c>
      <c r="BE1730" s="6" t="str">
        <f t="shared" si="849"/>
        <v>=6.604*100000000</v>
      </c>
      <c r="BF1730" s="1">
        <f>6.604*100000000</f>
        <v>660400000</v>
      </c>
      <c r="BG1730" s="8">
        <f t="shared" si="835"/>
        <v>0.44792808594606448</v>
      </c>
      <c r="BH1730" s="6" t="s">
        <v>2965</v>
      </c>
      <c r="BI1730" s="6" t="str">
        <f t="shared" si="850"/>
        <v>=4.561*100000000</v>
      </c>
      <c r="BJ1730" s="1">
        <f>4.561*100000000</f>
        <v>456100000</v>
      </c>
      <c r="BK1730" s="6" t="s">
        <v>6096</v>
      </c>
      <c r="BL1730" s="1" t="str">
        <f t="shared" ref="BL1730:BL1793" si="852">"="&amp;BK1730</f>
        <v>=2.182*100000000</v>
      </c>
      <c r="BM1730" s="16">
        <f t="shared" si="836"/>
        <v>1.0902841429880843</v>
      </c>
      <c r="BN1730" s="1">
        <f>2.182*100000000</f>
        <v>218200000</v>
      </c>
    </row>
    <row r="1731" spans="1:66">
      <c r="A1731" s="18"/>
      <c r="B1731">
        <v>603319</v>
      </c>
      <c r="C1731" t="s">
        <v>48</v>
      </c>
      <c r="D1731" s="6" t="s">
        <v>15958</v>
      </c>
      <c r="E1731" s="7" t="str">
        <f t="shared" si="851"/>
        <v>=2.131*100000000</v>
      </c>
      <c r="F1731" s="1">
        <f>2.131*100000000</f>
        <v>213099999.99999997</v>
      </c>
      <c r="G1731" s="8">
        <f t="shared" ref="G1731:G1794" si="853">(F1731-J1731)/J1731</f>
        <v>0.43020134228187901</v>
      </c>
      <c r="H1731" s="6" t="s">
        <v>11541</v>
      </c>
      <c r="I1731" s="6" t="str">
        <f t="shared" si="837"/>
        <v>=1.490*100000000</v>
      </c>
      <c r="J1731" s="1">
        <f>1.49*100000000</f>
        <v>149000000</v>
      </c>
      <c r="K1731" s="10">
        <f t="shared" ref="K1731:K1794" si="854">(J1731-N1731)/N1731</f>
        <v>0.42857142857142855</v>
      </c>
      <c r="L1731" s="6" t="s">
        <v>10529</v>
      </c>
      <c r="M1731" s="6" t="str">
        <f t="shared" si="838"/>
        <v>=1.043*100000000</v>
      </c>
      <c r="N1731" s="1">
        <f>1.043*100000000</f>
        <v>104300000</v>
      </c>
      <c r="O1731" s="8">
        <f t="shared" ref="O1731:O1794" si="855">(N1731-R1731)/R1731</f>
        <v>1.1421236393509961</v>
      </c>
      <c r="P1731" s="7" t="s">
        <v>6566</v>
      </c>
      <c r="Q1731" s="6" t="str">
        <f t="shared" si="839"/>
        <v>=4869*10000</v>
      </c>
      <c r="R1731" s="11">
        <f>4869*10000</f>
        <v>48690000</v>
      </c>
      <c r="S1731" s="8">
        <f t="shared" ref="S1731:S1794" si="856">(R1731-V1731)/V1731</f>
        <v>-0.74614181438998961</v>
      </c>
      <c r="T1731" s="6" t="s">
        <v>14030</v>
      </c>
      <c r="U1731" s="6" t="str">
        <f t="shared" si="840"/>
        <v>=1.918*100000000</v>
      </c>
      <c r="V1731" s="1">
        <f>1.918*100000000</f>
        <v>191800000</v>
      </c>
      <c r="W1731" s="8">
        <f t="shared" ref="W1731:W1794" si="857">(V1731-Z1731)/Z1731</f>
        <v>0.26184210526315788</v>
      </c>
      <c r="X1731" s="6" t="s">
        <v>3676</v>
      </c>
      <c r="Y1731" s="6" t="str">
        <f t="shared" si="841"/>
        <v>=1.520*100000000</v>
      </c>
      <c r="Z1731" s="1">
        <f>1.52*100000000</f>
        <v>152000000</v>
      </c>
      <c r="AA1731" s="8">
        <f t="shared" ref="AA1731:AA1794" si="858">(Z1731-AD1731)/AD1731</f>
        <v>0.49019607843137253</v>
      </c>
      <c r="AB1731" s="6" t="s">
        <v>6550</v>
      </c>
      <c r="AC1731" s="6" t="str">
        <f t="shared" si="842"/>
        <v>=1.020*100000000</v>
      </c>
      <c r="AD1731" s="1">
        <f>1.02*100000000</f>
        <v>102000000</v>
      </c>
      <c r="AE1731" s="8">
        <f t="shared" ref="AE1731:AE1794" si="859">(AD1731-AH1731)/AH1731</f>
        <v>1.4987751102400784</v>
      </c>
      <c r="AF1731" s="7" t="s">
        <v>15528</v>
      </c>
      <c r="AG1731" s="6" t="str">
        <f t="shared" si="843"/>
        <v>=4082*10000</v>
      </c>
      <c r="AH1731" s="1">
        <f>4082*10000</f>
        <v>40820000</v>
      </c>
      <c r="AI1731" s="8">
        <f t="shared" ref="AI1731:AI1794" si="860">(AH1731-AL1731)/AL1731</f>
        <v>-0.62238667900092504</v>
      </c>
      <c r="AJ1731" s="6" t="s">
        <v>8532</v>
      </c>
      <c r="AK1731" s="6" t="str">
        <f t="shared" si="844"/>
        <v>=1.081*100000000</v>
      </c>
      <c r="AL1731" s="1">
        <f>1.081*100000000</f>
        <v>108100000</v>
      </c>
      <c r="AM1731" s="8">
        <f t="shared" ref="AM1731:AM1794" si="861">(AL1731-AP1731)/AP1731</f>
        <v>0.24682814302191464</v>
      </c>
      <c r="AN1731" s="7" t="s">
        <v>2787</v>
      </c>
      <c r="AO1731" s="6" t="str">
        <f t="shared" si="845"/>
        <v>=8670*10000</v>
      </c>
      <c r="AP1731" s="1">
        <f>8670*10000</f>
        <v>86700000</v>
      </c>
      <c r="AQ1731" s="8">
        <f t="shared" ref="AQ1731:AQ1794" si="862">(AP1731-AT1731)/AT1731</f>
        <v>0.36664564943253469</v>
      </c>
      <c r="AR1731" s="7" t="s">
        <v>16030</v>
      </c>
      <c r="AS1731" s="6" t="str">
        <f t="shared" si="846"/>
        <v>=6344*10000</v>
      </c>
      <c r="AT1731" s="1">
        <f>6344*10000</f>
        <v>63440000</v>
      </c>
      <c r="AU1731" s="8">
        <f t="shared" ref="AU1731:AU1794" si="863">(AT1731-AX1731)/AX1731</f>
        <v>0.74862183020948181</v>
      </c>
      <c r="AV1731" s="7" t="s">
        <v>10823</v>
      </c>
      <c r="AW1731" s="6" t="str">
        <f t="shared" si="847"/>
        <v>=3628*10000</v>
      </c>
      <c r="AX1731" s="1">
        <f>3628*10000</f>
        <v>36280000</v>
      </c>
      <c r="AY1731" s="10">
        <f t="shared" ref="AY1731:AY1794" si="864">(AX1731-BB1731)/BB1731</f>
        <v>-0.67256317689530687</v>
      </c>
      <c r="AZ1731" s="6" t="s">
        <v>134</v>
      </c>
      <c r="BA1731" s="6" t="str">
        <f t="shared" si="848"/>
        <v>=1.108*100000000</v>
      </c>
      <c r="BB1731" s="1">
        <f>1.108*100000000</f>
        <v>110800000.00000001</v>
      </c>
      <c r="BC1731" s="8">
        <f t="shared" ref="BC1731:BC1794" si="865">(BB1731-BF1731)/BF1731</f>
        <v>0.28957169459962773</v>
      </c>
      <c r="BD1731" s="7" t="s">
        <v>10532</v>
      </c>
      <c r="BE1731" s="6" t="str">
        <f t="shared" si="849"/>
        <v>=8592*10000</v>
      </c>
      <c r="BF1731" s="1">
        <f>8592*10000</f>
        <v>85920000</v>
      </c>
      <c r="BG1731" s="8">
        <f t="shared" ref="BG1731:BG1794" si="866">(BF1731-BJ1731)/BJ1731</f>
        <v>0.34375977478886455</v>
      </c>
      <c r="BH1731" s="7" t="s">
        <v>5454</v>
      </c>
      <c r="BI1731" s="6" t="str">
        <f t="shared" si="850"/>
        <v>=6394*10000</v>
      </c>
      <c r="BJ1731" s="1">
        <f>6394*10000</f>
        <v>63940000</v>
      </c>
      <c r="BK1731" s="7" t="s">
        <v>16031</v>
      </c>
      <c r="BL1731" s="1" t="str">
        <f t="shared" si="852"/>
        <v>=3145*10000</v>
      </c>
      <c r="BM1731" s="16">
        <f t="shared" ref="BM1731:BM1794" si="867">(BJ1731-BN1731)/BN1731</f>
        <v>1.0330683624801271</v>
      </c>
      <c r="BN1731" s="1">
        <f>3145*10000</f>
        <v>31450000</v>
      </c>
    </row>
    <row r="1732" spans="1:66">
      <c r="A1732" s="18"/>
      <c r="B1732">
        <v>603319</v>
      </c>
      <c r="C1732" t="s">
        <v>58</v>
      </c>
      <c r="D1732" s="6" t="s">
        <v>15110</v>
      </c>
      <c r="E1732" s="7" t="str">
        <f t="shared" si="851"/>
        <v>=2.073*100000000</v>
      </c>
      <c r="F1732" s="1">
        <f>2.073*100000000</f>
        <v>207300000</v>
      </c>
      <c r="G1732" s="8">
        <f t="shared" si="853"/>
        <v>0.42181069958847739</v>
      </c>
      <c r="H1732" s="6" t="s">
        <v>3893</v>
      </c>
      <c r="I1732" s="6" t="str">
        <f t="shared" si="837"/>
        <v>=1.458*100000000</v>
      </c>
      <c r="J1732" s="1">
        <f>1.458*100000000</f>
        <v>145800000</v>
      </c>
      <c r="K1732" s="10">
        <f t="shared" si="854"/>
        <v>0.40733590733590735</v>
      </c>
      <c r="L1732" s="6" t="s">
        <v>344</v>
      </c>
      <c r="M1732" s="6" t="str">
        <f t="shared" si="838"/>
        <v>=1.036*100000000</v>
      </c>
      <c r="N1732" s="1">
        <f>1.036*100000000</f>
        <v>103600000</v>
      </c>
      <c r="O1732" s="8">
        <f t="shared" si="855"/>
        <v>1.131687242798354</v>
      </c>
      <c r="P1732" s="7" t="s">
        <v>16032</v>
      </c>
      <c r="Q1732" s="6" t="str">
        <f t="shared" si="839"/>
        <v>=4860*10000</v>
      </c>
      <c r="R1732" s="11">
        <f>4860*10000</f>
        <v>48600000</v>
      </c>
      <c r="S1732" s="8">
        <f t="shared" si="856"/>
        <v>-0.7456828885400314</v>
      </c>
      <c r="T1732" s="6" t="s">
        <v>10939</v>
      </c>
      <c r="U1732" s="6" t="str">
        <f t="shared" si="840"/>
        <v>=1.911*100000000</v>
      </c>
      <c r="V1732" s="1">
        <f>1.911*100000000</f>
        <v>191100000</v>
      </c>
      <c r="W1732" s="8">
        <f t="shared" si="857"/>
        <v>0.25972313777191824</v>
      </c>
      <c r="X1732" s="6" t="s">
        <v>6592</v>
      </c>
      <c r="Y1732" s="6" t="str">
        <f t="shared" si="841"/>
        <v>=1.517*100000000</v>
      </c>
      <c r="Z1732" s="1">
        <f>1.517*100000000</f>
        <v>151700000</v>
      </c>
      <c r="AA1732" s="8">
        <f t="shared" si="858"/>
        <v>0.50198019801980198</v>
      </c>
      <c r="AB1732" s="6" t="s">
        <v>908</v>
      </c>
      <c r="AC1732" s="6" t="str">
        <f t="shared" si="842"/>
        <v>=1.010*100000000</v>
      </c>
      <c r="AD1732" s="1">
        <f>1.01*100000000</f>
        <v>101000000</v>
      </c>
      <c r="AE1732" s="8">
        <f t="shared" si="859"/>
        <v>1.5212181727408887</v>
      </c>
      <c r="AF1732" s="7" t="s">
        <v>15410</v>
      </c>
      <c r="AG1732" s="6" t="str">
        <f t="shared" si="843"/>
        <v>=4006*10000</v>
      </c>
      <c r="AH1732" s="1">
        <f>4006*10000</f>
        <v>40060000</v>
      </c>
      <c r="AI1732" s="8">
        <f t="shared" si="860"/>
        <v>-0.6307834101382489</v>
      </c>
      <c r="AJ1732" s="6" t="s">
        <v>1995</v>
      </c>
      <c r="AK1732" s="6" t="str">
        <f t="shared" si="844"/>
        <v>=1.085*100000000</v>
      </c>
      <c r="AL1732" s="1">
        <f>1.085*100000000</f>
        <v>108500000</v>
      </c>
      <c r="AM1732" s="8">
        <f t="shared" si="861"/>
        <v>0.25014402580942507</v>
      </c>
      <c r="AN1732" s="7" t="s">
        <v>16033</v>
      </c>
      <c r="AO1732" s="6" t="str">
        <f t="shared" si="845"/>
        <v>=8679*10000</v>
      </c>
      <c r="AP1732" s="1">
        <f>8679*10000</f>
        <v>86790000</v>
      </c>
      <c r="AQ1732" s="8">
        <f t="shared" si="862"/>
        <v>0.36827999369383574</v>
      </c>
      <c r="AR1732" s="7" t="s">
        <v>16034</v>
      </c>
      <c r="AS1732" s="6" t="str">
        <f t="shared" si="846"/>
        <v>=6343*10000</v>
      </c>
      <c r="AT1732" s="1">
        <f>6343*10000</f>
        <v>63430000</v>
      </c>
      <c r="AU1732" s="8">
        <f t="shared" si="863"/>
        <v>0.7488282326992004</v>
      </c>
      <c r="AV1732" s="7" t="s">
        <v>16035</v>
      </c>
      <c r="AW1732" s="6" t="str">
        <f t="shared" si="847"/>
        <v>=3627*10000</v>
      </c>
      <c r="AX1732" s="1">
        <f>3627*10000</f>
        <v>36270000</v>
      </c>
      <c r="AY1732" s="10">
        <f t="shared" si="864"/>
        <v>-0.67057220708446863</v>
      </c>
      <c r="AZ1732" s="6" t="s">
        <v>7720</v>
      </c>
      <c r="BA1732" s="6" t="str">
        <f t="shared" si="848"/>
        <v>=1.101*100000000</v>
      </c>
      <c r="BB1732" s="1">
        <f>1.101*100000000</f>
        <v>110100000</v>
      </c>
      <c r="BC1732" s="8">
        <f t="shared" si="865"/>
        <v>0.288623595505618</v>
      </c>
      <c r="BD1732" s="7" t="s">
        <v>16036</v>
      </c>
      <c r="BE1732" s="6" t="str">
        <f t="shared" si="849"/>
        <v>=8544*10000</v>
      </c>
      <c r="BF1732" s="1">
        <f>8544*10000</f>
        <v>85440000</v>
      </c>
      <c r="BG1732" s="8">
        <f t="shared" si="866"/>
        <v>0.3408662900188324</v>
      </c>
      <c r="BH1732" s="7" t="s">
        <v>16037</v>
      </c>
      <c r="BI1732" s="6" t="str">
        <f t="shared" si="850"/>
        <v>=6372*10000</v>
      </c>
      <c r="BJ1732" s="1">
        <f>6372*10000</f>
        <v>63720000</v>
      </c>
      <c r="BK1732" s="7" t="s">
        <v>16038</v>
      </c>
      <c r="BL1732" s="1" t="str">
        <f t="shared" si="852"/>
        <v>=3129*10000</v>
      </c>
      <c r="BM1732" s="16">
        <f t="shared" si="867"/>
        <v>1.0364333652924258</v>
      </c>
      <c r="BN1732" s="1">
        <f>3129*10000</f>
        <v>31290000</v>
      </c>
    </row>
    <row r="1733" spans="1:66">
      <c r="A1733" s="19"/>
      <c r="B1733">
        <v>603319</v>
      </c>
      <c r="C1733" t="s">
        <v>68</v>
      </c>
      <c r="D1733" s="6" t="s">
        <v>6500</v>
      </c>
      <c r="E1733" s="7" t="str">
        <f t="shared" si="851"/>
        <v>=1.889*100000000</v>
      </c>
      <c r="F1733" s="1">
        <f>1.889*100000000</f>
        <v>188900000</v>
      </c>
      <c r="G1733" s="8">
        <f t="shared" si="853"/>
        <v>0.47233047544816853</v>
      </c>
      <c r="H1733" s="6" t="s">
        <v>16039</v>
      </c>
      <c r="I1733" s="6" t="str">
        <f t="shared" si="837"/>
        <v>=1.283*100000000</v>
      </c>
      <c r="J1733" s="1">
        <f>1.283*100000000</f>
        <v>128299999.99999999</v>
      </c>
      <c r="K1733" s="10">
        <f t="shared" si="854"/>
        <v>0.40341281995187034</v>
      </c>
      <c r="L1733" s="7" t="s">
        <v>16040</v>
      </c>
      <c r="M1733" s="6" t="str">
        <f t="shared" si="838"/>
        <v>=9142*10000</v>
      </c>
      <c r="N1733" s="1">
        <f>9142*10000</f>
        <v>91420000</v>
      </c>
      <c r="O1733" s="8">
        <f t="shared" si="855"/>
        <v>1.1122920517560073</v>
      </c>
      <c r="P1733" s="7" t="s">
        <v>16041</v>
      </c>
      <c r="Q1733" s="6" t="str">
        <f t="shared" si="839"/>
        <v>=4328*10000</v>
      </c>
      <c r="R1733" s="11">
        <f>4328*10000</f>
        <v>43280000</v>
      </c>
      <c r="S1733" s="8">
        <f t="shared" si="856"/>
        <v>-0.74344991108476588</v>
      </c>
      <c r="T1733" s="6" t="s">
        <v>16042</v>
      </c>
      <c r="U1733" s="6" t="str">
        <f t="shared" si="840"/>
        <v>=1.687*100000000</v>
      </c>
      <c r="V1733" s="1">
        <f>1.687*100000000</f>
        <v>168700000</v>
      </c>
      <c r="W1733" s="8">
        <f t="shared" si="857"/>
        <v>0.27803030303030302</v>
      </c>
      <c r="X1733" s="6" t="s">
        <v>5000</v>
      </c>
      <c r="Y1733" s="6" t="str">
        <f t="shared" si="841"/>
        <v>=1.320*100000000</v>
      </c>
      <c r="Z1733" s="1">
        <f>1.32*100000000</f>
        <v>132000000</v>
      </c>
      <c r="AA1733" s="8">
        <f t="shared" si="858"/>
        <v>0.51012469969111085</v>
      </c>
      <c r="AB1733" s="7" t="s">
        <v>16043</v>
      </c>
      <c r="AC1733" s="6" t="str">
        <f t="shared" si="842"/>
        <v>=8741*10000</v>
      </c>
      <c r="AD1733" s="1">
        <f>8741*10000</f>
        <v>87410000</v>
      </c>
      <c r="AE1733" s="8">
        <f t="shared" si="859"/>
        <v>1.4797163120567376</v>
      </c>
      <c r="AF1733" s="7" t="s">
        <v>7391</v>
      </c>
      <c r="AG1733" s="6" t="str">
        <f t="shared" si="843"/>
        <v>=3525*10000</v>
      </c>
      <c r="AH1733" s="1">
        <f>3525*10000</f>
        <v>35250000</v>
      </c>
      <c r="AI1733" s="8">
        <f t="shared" si="860"/>
        <v>-0.62125282045772001</v>
      </c>
      <c r="AJ1733" s="7" t="s">
        <v>1769</v>
      </c>
      <c r="AK1733" s="6" t="str">
        <f t="shared" si="844"/>
        <v>=9307*10000</v>
      </c>
      <c r="AL1733" s="1">
        <f>9307*10000</f>
        <v>93070000</v>
      </c>
      <c r="AM1733" s="8">
        <f t="shared" si="861"/>
        <v>0.20074829054315571</v>
      </c>
      <c r="AN1733" s="7" t="s">
        <v>16044</v>
      </c>
      <c r="AO1733" s="6" t="str">
        <f t="shared" si="845"/>
        <v>=7751*10000</v>
      </c>
      <c r="AP1733" s="1">
        <f>7751*10000</f>
        <v>77510000</v>
      </c>
      <c r="AQ1733" s="8">
        <f t="shared" si="862"/>
        <v>0.37016086264804665</v>
      </c>
      <c r="AR1733" s="7" t="s">
        <v>922</v>
      </c>
      <c r="AS1733" s="6" t="str">
        <f t="shared" si="846"/>
        <v>=5657*10000</v>
      </c>
      <c r="AT1733" s="1">
        <f>5657*10000</f>
        <v>56570000</v>
      </c>
      <c r="AU1733" s="8">
        <f t="shared" si="863"/>
        <v>0.71893041628684295</v>
      </c>
      <c r="AV1733" s="7" t="s">
        <v>16045</v>
      </c>
      <c r="AW1733" s="6" t="str">
        <f t="shared" si="847"/>
        <v>=3291*10000</v>
      </c>
      <c r="AX1733" s="1">
        <f>3291*10000</f>
        <v>32910000</v>
      </c>
      <c r="AY1733" s="10">
        <f t="shared" si="864"/>
        <v>-0.66100123609394312</v>
      </c>
      <c r="AZ1733" s="7" t="s">
        <v>16046</v>
      </c>
      <c r="BA1733" s="6" t="str">
        <f t="shared" si="848"/>
        <v>=9708*10000</v>
      </c>
      <c r="BB1733" s="1">
        <f>9708*10000</f>
        <v>97080000</v>
      </c>
      <c r="BC1733" s="8">
        <f t="shared" si="865"/>
        <v>0.32279602125630197</v>
      </c>
      <c r="BD1733" s="7" t="s">
        <v>16047</v>
      </c>
      <c r="BE1733" s="6" t="str">
        <f t="shared" si="849"/>
        <v>=7339*10000</v>
      </c>
      <c r="BF1733" s="1">
        <f>7339*10000</f>
        <v>73390000</v>
      </c>
      <c r="BG1733" s="8">
        <f t="shared" si="866"/>
        <v>0.3133500357909807</v>
      </c>
      <c r="BH1733" s="7" t="s">
        <v>16048</v>
      </c>
      <c r="BI1733" s="6" t="str">
        <f t="shared" si="850"/>
        <v>=5588*10000</v>
      </c>
      <c r="BJ1733" s="1">
        <f>5588*10000</f>
        <v>55880000</v>
      </c>
      <c r="BK1733" s="7" t="s">
        <v>16049</v>
      </c>
      <c r="BL1733" s="1" t="str">
        <f t="shared" si="852"/>
        <v>=2750*10000</v>
      </c>
      <c r="BM1733" s="16">
        <f t="shared" si="867"/>
        <v>1.032</v>
      </c>
      <c r="BN1733" s="1">
        <f>2750*10000</f>
        <v>27500000</v>
      </c>
    </row>
    <row r="1734" spans="1:66">
      <c r="A1734" s="17">
        <v>435</v>
      </c>
      <c r="B1734">
        <v>603320</v>
      </c>
      <c r="C1734" t="s">
        <v>31</v>
      </c>
      <c r="D1734" s="6" t="s">
        <v>8450</v>
      </c>
      <c r="E1734" s="7" t="str">
        <f t="shared" si="851"/>
        <v>=11.38*100000000</v>
      </c>
      <c r="F1734" s="1">
        <f>11.38*100000000</f>
        <v>1138000000</v>
      </c>
      <c r="G1734" s="8">
        <f t="shared" si="853"/>
        <v>0.34008478568064043</v>
      </c>
      <c r="H1734" s="6" t="s">
        <v>1437</v>
      </c>
      <c r="I1734" s="6" t="str">
        <f t="shared" si="837"/>
        <v>=8.492*100000000</v>
      </c>
      <c r="J1734" s="1">
        <f>8.492*100000000</f>
        <v>849200000.00000012</v>
      </c>
      <c r="K1734" s="10">
        <f t="shared" si="854"/>
        <v>0.51453540217585181</v>
      </c>
      <c r="L1734" s="6" t="s">
        <v>16050</v>
      </c>
      <c r="M1734" s="6" t="str">
        <f t="shared" si="838"/>
        <v>=5.607*100000000</v>
      </c>
      <c r="N1734" s="1">
        <f>5.607*100000000</f>
        <v>560700000</v>
      </c>
      <c r="O1734" s="8">
        <f t="shared" si="855"/>
        <v>1.2988929889298892</v>
      </c>
      <c r="P1734" s="6" t="s">
        <v>15998</v>
      </c>
      <c r="Q1734" s="6" t="str">
        <f t="shared" si="839"/>
        <v>=2.439*100000000</v>
      </c>
      <c r="R1734" s="11">
        <f>2.439*100000000</f>
        <v>243900000</v>
      </c>
      <c r="S1734" s="8">
        <f t="shared" si="856"/>
        <v>-0.66524842163052433</v>
      </c>
      <c r="T1734" s="6" t="s">
        <v>16051</v>
      </c>
      <c r="U1734" s="6" t="str">
        <f t="shared" si="840"/>
        <v>=7.286*100000000</v>
      </c>
      <c r="V1734" s="1">
        <f>7.286*100000000</f>
        <v>728600000</v>
      </c>
      <c r="W1734" s="8">
        <f t="shared" si="857"/>
        <v>0.41723400116708814</v>
      </c>
      <c r="X1734" s="6" t="s">
        <v>14011</v>
      </c>
      <c r="Y1734" s="6" t="str">
        <f t="shared" si="841"/>
        <v>=5.141*100000000</v>
      </c>
      <c r="Z1734" s="1">
        <f>5.141*100000000</f>
        <v>514100000</v>
      </c>
      <c r="AA1734" s="8">
        <f t="shared" si="858"/>
        <v>0.55411124546553814</v>
      </c>
      <c r="AB1734" s="6" t="s">
        <v>99</v>
      </c>
      <c r="AC1734" s="6" t="str">
        <f t="shared" si="842"/>
        <v>=3.308*100000000</v>
      </c>
      <c r="AD1734" s="1">
        <f>3.308*100000000</f>
        <v>330800000</v>
      </c>
      <c r="AE1734" s="8">
        <f t="shared" si="859"/>
        <v>1.5465742879137798</v>
      </c>
      <c r="AF1734" s="6" t="s">
        <v>15978</v>
      </c>
      <c r="AG1734" s="6" t="str">
        <f t="shared" si="843"/>
        <v>=1.299*100000000</v>
      </c>
      <c r="AH1734" s="1">
        <f>1.299*100000000</f>
        <v>129900000</v>
      </c>
      <c r="AI1734" s="8">
        <f t="shared" si="860"/>
        <v>-0.81217466743782529</v>
      </c>
      <c r="AJ1734" s="6" t="s">
        <v>16052</v>
      </c>
      <c r="AK1734" s="6" t="str">
        <f t="shared" si="844"/>
        <v>=6.916*100000000</v>
      </c>
      <c r="AL1734" s="1">
        <f>6.916*100000000</f>
        <v>691600000</v>
      </c>
      <c r="AM1734" s="8">
        <f t="shared" si="861"/>
        <v>0.35315985130111527</v>
      </c>
      <c r="AN1734" s="6" t="s">
        <v>2372</v>
      </c>
      <c r="AO1734" s="6" t="str">
        <f t="shared" si="845"/>
        <v>=5.111*100000000</v>
      </c>
      <c r="AP1734" s="1">
        <f>5.111*100000000</f>
        <v>511100000</v>
      </c>
      <c r="AQ1734" s="8">
        <f t="shared" si="862"/>
        <v>0.47631426920854997</v>
      </c>
      <c r="AR1734" s="6" t="s">
        <v>1091</v>
      </c>
      <c r="AS1734" s="6" t="str">
        <f t="shared" si="846"/>
        <v>=3.462*100000000</v>
      </c>
      <c r="AT1734" s="1">
        <f>3.462*100000000</f>
        <v>346200000</v>
      </c>
      <c r="AU1734" s="8">
        <f t="shared" si="863"/>
        <v>1.0485207100591716</v>
      </c>
      <c r="AV1734" s="6" t="s">
        <v>9509</v>
      </c>
      <c r="AW1734" s="6" t="str">
        <f t="shared" si="847"/>
        <v>=1.690*100000000</v>
      </c>
      <c r="AX1734" s="1">
        <f>1.69*100000000</f>
        <v>169000000</v>
      </c>
      <c r="AY1734" s="10">
        <f t="shared" si="864"/>
        <v>-0.73381634903134352</v>
      </c>
      <c r="AZ1734" s="6" t="s">
        <v>11636</v>
      </c>
      <c r="BA1734" s="6" t="str">
        <f t="shared" si="848"/>
        <v>=6.349*100000000</v>
      </c>
      <c r="BB1734" s="1">
        <f>6.349*100000000</f>
        <v>634900000</v>
      </c>
      <c r="BC1734" s="8">
        <f t="shared" si="865"/>
        <v>0.30503597122302156</v>
      </c>
      <c r="BD1734" s="6" t="s">
        <v>16053</v>
      </c>
      <c r="BE1734" s="6" t="str">
        <f t="shared" si="849"/>
        <v>=4.865*100000000</v>
      </c>
      <c r="BF1734" s="1">
        <f>4.865*100000000</f>
        <v>486500000</v>
      </c>
      <c r="BG1734" s="8">
        <f t="shared" si="866"/>
        <v>0.49876771410967347</v>
      </c>
      <c r="BH1734" s="6" t="s">
        <v>4657</v>
      </c>
      <c r="BI1734" s="6" t="str">
        <f t="shared" si="850"/>
        <v>=3.246*100000000</v>
      </c>
      <c r="BJ1734" s="1">
        <f>3.246*100000000</f>
        <v>324600000</v>
      </c>
      <c r="BK1734" s="6" t="s">
        <v>11459</v>
      </c>
      <c r="BL1734" s="1" t="str">
        <f t="shared" si="852"/>
        <v>=1.573*100000000</v>
      </c>
      <c r="BM1734" s="16">
        <f t="shared" si="867"/>
        <v>1.0635727908455181</v>
      </c>
      <c r="BN1734" s="1">
        <f>1.573*100000000</f>
        <v>157300000</v>
      </c>
    </row>
    <row r="1735" spans="1:66">
      <c r="A1735" s="18"/>
      <c r="B1735">
        <v>603320</v>
      </c>
      <c r="C1735" t="s">
        <v>48</v>
      </c>
      <c r="D1735" s="7" t="s">
        <v>16054</v>
      </c>
      <c r="E1735" s="7" t="str">
        <f t="shared" si="851"/>
        <v>=9087*10000</v>
      </c>
      <c r="F1735" s="1">
        <f>9087*10000</f>
        <v>90870000</v>
      </c>
      <c r="G1735" s="8">
        <f t="shared" si="853"/>
        <v>0.20150733835779452</v>
      </c>
      <c r="H1735" s="7" t="s">
        <v>16055</v>
      </c>
      <c r="I1735" s="6" t="str">
        <f t="shared" si="837"/>
        <v>=7563*10000</v>
      </c>
      <c r="J1735" s="1">
        <f>7563*10000</f>
        <v>75630000</v>
      </c>
      <c r="K1735" s="10">
        <f t="shared" si="854"/>
        <v>0.28295165394402033</v>
      </c>
      <c r="L1735" s="7" t="s">
        <v>16056</v>
      </c>
      <c r="M1735" s="6" t="str">
        <f t="shared" si="838"/>
        <v>=5895*10000</v>
      </c>
      <c r="N1735" s="1">
        <f>5895*10000</f>
        <v>58950000</v>
      </c>
      <c r="O1735" s="8">
        <f t="shared" si="855"/>
        <v>1.792515395547134</v>
      </c>
      <c r="P1735" s="7" t="s">
        <v>16057</v>
      </c>
      <c r="Q1735" s="6" t="str">
        <f t="shared" si="839"/>
        <v>=2111*10000</v>
      </c>
      <c r="R1735" s="11">
        <f>2111*10000</f>
        <v>21110000</v>
      </c>
      <c r="S1735" s="8">
        <f t="shared" si="856"/>
        <v>-0.57465242796695548</v>
      </c>
      <c r="T1735" s="7" t="s">
        <v>12598</v>
      </c>
      <c r="U1735" s="6" t="str">
        <f t="shared" si="840"/>
        <v>=4963*10000</v>
      </c>
      <c r="V1735" s="1">
        <f>4963*10000</f>
        <v>49630000</v>
      </c>
      <c r="W1735" s="8">
        <f t="shared" si="857"/>
        <v>0.30674038967877831</v>
      </c>
      <c r="X1735" s="7" t="s">
        <v>16058</v>
      </c>
      <c r="Y1735" s="6" t="str">
        <f t="shared" si="841"/>
        <v>=3798*10000</v>
      </c>
      <c r="Z1735" s="1">
        <f>3798*10000</f>
        <v>37980000</v>
      </c>
      <c r="AA1735" s="8">
        <f t="shared" si="858"/>
        <v>0.40251107828655835</v>
      </c>
      <c r="AB1735" s="7" t="s">
        <v>16059</v>
      </c>
      <c r="AC1735" s="6" t="str">
        <f t="shared" si="842"/>
        <v>=2708*10000</v>
      </c>
      <c r="AD1735" s="1">
        <f>2708*10000</f>
        <v>27080000</v>
      </c>
      <c r="AE1735" s="8">
        <f t="shared" si="859"/>
        <v>0.57259001161440182</v>
      </c>
      <c r="AF1735" s="7" t="s">
        <v>16060</v>
      </c>
      <c r="AG1735" s="6" t="str">
        <f t="shared" si="843"/>
        <v>=1722*10000</v>
      </c>
      <c r="AH1735" s="1">
        <f>1722*10000</f>
        <v>17220000</v>
      </c>
      <c r="AI1735" s="8">
        <f t="shared" si="860"/>
        <v>-0.63655550865344024</v>
      </c>
      <c r="AJ1735" s="7" t="s">
        <v>16061</v>
      </c>
      <c r="AK1735" s="6" t="str">
        <f t="shared" si="844"/>
        <v>=4738*10000</v>
      </c>
      <c r="AL1735" s="1">
        <f>4738*10000</f>
        <v>47380000</v>
      </c>
      <c r="AM1735" s="8">
        <f t="shared" si="861"/>
        <v>0.20867346938775511</v>
      </c>
      <c r="AN1735" s="7" t="s">
        <v>16062</v>
      </c>
      <c r="AO1735" s="6" t="str">
        <f t="shared" si="845"/>
        <v>=3920*10000</v>
      </c>
      <c r="AP1735" s="1">
        <f>3920*10000</f>
        <v>39200000</v>
      </c>
      <c r="AQ1735" s="8">
        <f t="shared" si="862"/>
        <v>0.55926809864757354</v>
      </c>
      <c r="AR1735" s="7" t="s">
        <v>16063</v>
      </c>
      <c r="AS1735" s="6" t="str">
        <f t="shared" si="846"/>
        <v>=2514*10000</v>
      </c>
      <c r="AT1735" s="1">
        <f>2514*10000</f>
        <v>25140000</v>
      </c>
      <c r="AU1735" s="8">
        <f t="shared" si="863"/>
        <v>0.79699785561115077</v>
      </c>
      <c r="AV1735" s="7" t="s">
        <v>16064</v>
      </c>
      <c r="AW1735" s="6" t="str">
        <f t="shared" si="847"/>
        <v>=1399*10000</v>
      </c>
      <c r="AX1735" s="1">
        <f>1399*10000</f>
        <v>13990000</v>
      </c>
      <c r="AY1735" s="10">
        <f t="shared" si="864"/>
        <v>-0.72070273507686167</v>
      </c>
      <c r="AZ1735" s="7" t="s">
        <v>16065</v>
      </c>
      <c r="BA1735" s="6" t="str">
        <f t="shared" si="848"/>
        <v>=5009*10000</v>
      </c>
      <c r="BB1735" s="1">
        <f>5009*10000</f>
        <v>50090000</v>
      </c>
      <c r="BC1735" s="8">
        <f t="shared" si="865"/>
        <v>0.17060060761860249</v>
      </c>
      <c r="BD1735" s="7" t="s">
        <v>13453</v>
      </c>
      <c r="BE1735" s="6" t="str">
        <f t="shared" si="849"/>
        <v>=4279*10000</v>
      </c>
      <c r="BF1735" s="1">
        <f>4279*10000</f>
        <v>42790000</v>
      </c>
      <c r="BG1735" s="8">
        <f t="shared" si="866"/>
        <v>0.52603423680456496</v>
      </c>
      <c r="BH1735" s="7" t="s">
        <v>16066</v>
      </c>
      <c r="BI1735" s="6" t="str">
        <f t="shared" si="850"/>
        <v>=2804*10000</v>
      </c>
      <c r="BJ1735" s="1">
        <f>2804*10000</f>
        <v>28040000</v>
      </c>
      <c r="BK1735" s="7" t="s">
        <v>15348</v>
      </c>
      <c r="BL1735" s="1" t="str">
        <f t="shared" si="852"/>
        <v>=1232*10000</v>
      </c>
      <c r="BM1735" s="16">
        <f t="shared" si="867"/>
        <v>1.275974025974026</v>
      </c>
      <c r="BN1735" s="1">
        <f>1232*10000</f>
        <v>12320000</v>
      </c>
    </row>
    <row r="1736" spans="1:66">
      <c r="A1736" s="18"/>
      <c r="B1736">
        <v>603320</v>
      </c>
      <c r="C1736" t="s">
        <v>58</v>
      </c>
      <c r="D1736" s="7" t="s">
        <v>16067</v>
      </c>
      <c r="E1736" s="7" t="str">
        <f t="shared" si="851"/>
        <v>=9082*10000</v>
      </c>
      <c r="F1736" s="1">
        <f>9082*10000</f>
        <v>90820000</v>
      </c>
      <c r="G1736" s="8">
        <f t="shared" si="853"/>
        <v>0.20164064567345857</v>
      </c>
      <c r="H1736" s="7" t="s">
        <v>16068</v>
      </c>
      <c r="I1736" s="6" t="str">
        <f t="shared" si="837"/>
        <v>=7558*10000</v>
      </c>
      <c r="J1736" s="1">
        <f>7558*10000</f>
        <v>75580000</v>
      </c>
      <c r="K1736" s="10">
        <f t="shared" si="854"/>
        <v>0.28319185059422752</v>
      </c>
      <c r="L1736" s="7" t="s">
        <v>15718</v>
      </c>
      <c r="M1736" s="6" t="str">
        <f t="shared" si="838"/>
        <v>=5890*10000</v>
      </c>
      <c r="N1736" s="1">
        <f>5890*10000</f>
        <v>58900000</v>
      </c>
      <c r="O1736" s="8">
        <f t="shared" si="855"/>
        <v>1.7901468498342017</v>
      </c>
      <c r="P1736" s="7" t="s">
        <v>16057</v>
      </c>
      <c r="Q1736" s="6" t="str">
        <f t="shared" si="839"/>
        <v>=2111*10000</v>
      </c>
      <c r="R1736" s="11">
        <f>2111*10000</f>
        <v>21110000</v>
      </c>
      <c r="S1736" s="8">
        <f t="shared" si="856"/>
        <v>-0.57387969317723053</v>
      </c>
      <c r="T1736" s="7" t="s">
        <v>16069</v>
      </c>
      <c r="U1736" s="6" t="str">
        <f t="shared" si="840"/>
        <v>=4954*10000</v>
      </c>
      <c r="V1736" s="1">
        <f>4954*10000</f>
        <v>49540000</v>
      </c>
      <c r="W1736" s="8">
        <f t="shared" si="857"/>
        <v>0.30368421052631578</v>
      </c>
      <c r="X1736" s="7" t="s">
        <v>2576</v>
      </c>
      <c r="Y1736" s="6" t="str">
        <f t="shared" si="841"/>
        <v>=3800*10000</v>
      </c>
      <c r="Z1736" s="1">
        <f>3800*10000</f>
        <v>38000000</v>
      </c>
      <c r="AA1736" s="8">
        <f t="shared" si="858"/>
        <v>0.40221402214022139</v>
      </c>
      <c r="AB1736" s="7" t="s">
        <v>6556</v>
      </c>
      <c r="AC1736" s="6" t="str">
        <f t="shared" si="842"/>
        <v>=2710*10000</v>
      </c>
      <c r="AD1736" s="1">
        <f>2710*10000</f>
        <v>27100000</v>
      </c>
      <c r="AE1736" s="8">
        <f t="shared" si="859"/>
        <v>0.57375145180023224</v>
      </c>
      <c r="AF1736" s="7" t="s">
        <v>16060</v>
      </c>
      <c r="AG1736" s="6" t="str">
        <f t="shared" si="843"/>
        <v>=1722*10000</v>
      </c>
      <c r="AH1736" s="1">
        <f>1722*10000</f>
        <v>17220000</v>
      </c>
      <c r="AI1736" s="8">
        <f t="shared" si="860"/>
        <v>-0.63647878404053193</v>
      </c>
      <c r="AJ1736" s="7" t="s">
        <v>4436</v>
      </c>
      <c r="AK1736" s="6" t="str">
        <f t="shared" si="844"/>
        <v>=4737*10000</v>
      </c>
      <c r="AL1736" s="1">
        <f>4737*10000</f>
        <v>47370000</v>
      </c>
      <c r="AM1736" s="8">
        <f t="shared" si="861"/>
        <v>0.21274961597542244</v>
      </c>
      <c r="AN1736" s="7" t="s">
        <v>16070</v>
      </c>
      <c r="AO1736" s="6" t="str">
        <f t="shared" si="845"/>
        <v>=3906*10000</v>
      </c>
      <c r="AP1736" s="1">
        <f>3906*10000</f>
        <v>39060000</v>
      </c>
      <c r="AQ1736" s="8">
        <f t="shared" si="862"/>
        <v>0.56302521008403361</v>
      </c>
      <c r="AR1736" s="7" t="s">
        <v>4761</v>
      </c>
      <c r="AS1736" s="6" t="str">
        <f t="shared" si="846"/>
        <v>=2499*10000</v>
      </c>
      <c r="AT1736" s="1">
        <f>2499*10000</f>
        <v>24990000</v>
      </c>
      <c r="AU1736" s="8">
        <f t="shared" si="863"/>
        <v>0.78627591136526087</v>
      </c>
      <c r="AV1736" s="7" t="s">
        <v>16064</v>
      </c>
      <c r="AW1736" s="6" t="str">
        <f t="shared" si="847"/>
        <v>=1399*10000</v>
      </c>
      <c r="AX1736" s="1">
        <f>1399*10000</f>
        <v>13990000</v>
      </c>
      <c r="AY1736" s="10">
        <f t="shared" si="864"/>
        <v>-0.72081420874077029</v>
      </c>
      <c r="AZ1736" s="7" t="s">
        <v>16071</v>
      </c>
      <c r="BA1736" s="6" t="str">
        <f t="shared" si="848"/>
        <v>=5011*10000</v>
      </c>
      <c r="BB1736" s="1">
        <f>5011*10000</f>
        <v>50110000</v>
      </c>
      <c r="BC1736" s="8">
        <f t="shared" si="865"/>
        <v>0.17052090633029665</v>
      </c>
      <c r="BD1736" s="7" t="s">
        <v>16072</v>
      </c>
      <c r="BE1736" s="6" t="str">
        <f t="shared" si="849"/>
        <v>=4281*10000</v>
      </c>
      <c r="BF1736" s="1">
        <f>4281*10000</f>
        <v>42810000</v>
      </c>
      <c r="BG1736" s="8">
        <f t="shared" si="866"/>
        <v>0.52565930149679263</v>
      </c>
      <c r="BH1736" s="7" t="s">
        <v>16073</v>
      </c>
      <c r="BI1736" s="6" t="str">
        <f t="shared" si="850"/>
        <v>=2806*10000</v>
      </c>
      <c r="BJ1736" s="1">
        <f>2806*10000</f>
        <v>28060000</v>
      </c>
      <c r="BK1736" s="7" t="s">
        <v>16074</v>
      </c>
      <c r="BL1736" s="1" t="str">
        <f t="shared" si="852"/>
        <v>=1234*10000</v>
      </c>
      <c r="BM1736" s="16">
        <f t="shared" si="867"/>
        <v>1.2739059967585089</v>
      </c>
      <c r="BN1736" s="1">
        <f>1234*10000</f>
        <v>12340000</v>
      </c>
    </row>
    <row r="1737" spans="1:66">
      <c r="A1737" s="19"/>
      <c r="B1737">
        <v>603320</v>
      </c>
      <c r="C1737" t="s">
        <v>68</v>
      </c>
      <c r="D1737" s="7" t="s">
        <v>16075</v>
      </c>
      <c r="E1737" s="7" t="str">
        <f t="shared" si="851"/>
        <v>=7872*10000</v>
      </c>
      <c r="F1737" s="1">
        <f>7872*10000</f>
        <v>78720000</v>
      </c>
      <c r="G1737" s="8">
        <f t="shared" si="853"/>
        <v>0.23676355066771407</v>
      </c>
      <c r="H1737" s="7" t="s">
        <v>16076</v>
      </c>
      <c r="I1737" s="6" t="str">
        <f t="shared" si="837"/>
        <v>=6365*10000</v>
      </c>
      <c r="J1737" s="1">
        <f>6365*10000</f>
        <v>63650000</v>
      </c>
      <c r="K1737" s="10">
        <f t="shared" si="854"/>
        <v>0.28456104944500504</v>
      </c>
      <c r="L1737" s="7" t="s">
        <v>9112</v>
      </c>
      <c r="M1737" s="6" t="str">
        <f t="shared" si="838"/>
        <v>=4955*10000</v>
      </c>
      <c r="N1737" s="1">
        <f>4955*10000</f>
        <v>49550000</v>
      </c>
      <c r="O1737" s="8">
        <f t="shared" si="855"/>
        <v>1.7573734001112966</v>
      </c>
      <c r="P1737" s="7" t="s">
        <v>16077</v>
      </c>
      <c r="Q1737" s="6" t="str">
        <f t="shared" si="839"/>
        <v>=1797*10000</v>
      </c>
      <c r="R1737" s="11">
        <f>1797*10000</f>
        <v>17970000</v>
      </c>
      <c r="S1737" s="8">
        <f t="shared" si="856"/>
        <v>-0.57050669216061189</v>
      </c>
      <c r="T1737" s="7" t="s">
        <v>16078</v>
      </c>
      <c r="U1737" s="6" t="str">
        <f t="shared" si="840"/>
        <v>=4184*10000</v>
      </c>
      <c r="V1737" s="1">
        <f>4184*10000</f>
        <v>41840000</v>
      </c>
      <c r="W1737" s="8">
        <f t="shared" si="857"/>
        <v>0.31738035264483627</v>
      </c>
      <c r="X1737" s="7" t="s">
        <v>1986</v>
      </c>
      <c r="Y1737" s="6" t="str">
        <f t="shared" si="841"/>
        <v>=3176*10000</v>
      </c>
      <c r="Z1737" s="1">
        <f>3176*10000</f>
        <v>31760000</v>
      </c>
      <c r="AA1737" s="8">
        <f t="shared" si="858"/>
        <v>0.400352733686067</v>
      </c>
      <c r="AB1737" s="7" t="s">
        <v>16079</v>
      </c>
      <c r="AC1737" s="6" t="str">
        <f t="shared" si="842"/>
        <v>=2268*10000</v>
      </c>
      <c r="AD1737" s="1">
        <f>2268*10000</f>
        <v>22680000</v>
      </c>
      <c r="AE1737" s="8">
        <f t="shared" si="859"/>
        <v>0.59605911330049266</v>
      </c>
      <c r="AF1737" s="7" t="s">
        <v>12764</v>
      </c>
      <c r="AG1737" s="6" t="str">
        <f t="shared" si="843"/>
        <v>=1421*10000</v>
      </c>
      <c r="AH1737" s="1">
        <f>1421*10000</f>
        <v>14210000</v>
      </c>
      <c r="AI1737" s="8">
        <f t="shared" si="860"/>
        <v>-0.65341463414634149</v>
      </c>
      <c r="AJ1737" s="7" t="s">
        <v>5942</v>
      </c>
      <c r="AK1737" s="6" t="str">
        <f t="shared" si="844"/>
        <v>=4100*10000</v>
      </c>
      <c r="AL1737" s="1">
        <f>4100*10000</f>
        <v>41000000</v>
      </c>
      <c r="AM1737" s="8">
        <f t="shared" si="861"/>
        <v>0.20979640011802891</v>
      </c>
      <c r="AN1737" s="7" t="s">
        <v>16080</v>
      </c>
      <c r="AO1737" s="6" t="str">
        <f t="shared" si="845"/>
        <v>=3389*10000</v>
      </c>
      <c r="AP1737" s="1">
        <f>3389*10000</f>
        <v>33890000</v>
      </c>
      <c r="AQ1737" s="8">
        <f t="shared" si="862"/>
        <v>0.53556864521975533</v>
      </c>
      <c r="AR1737" s="7" t="s">
        <v>16081</v>
      </c>
      <c r="AS1737" s="6" t="str">
        <f t="shared" si="846"/>
        <v>=2207*10000</v>
      </c>
      <c r="AT1737" s="1">
        <f>2207*10000</f>
        <v>22070000</v>
      </c>
      <c r="AU1737" s="8">
        <f t="shared" si="863"/>
        <v>0.88310580204778155</v>
      </c>
      <c r="AV1737" s="7" t="s">
        <v>16082</v>
      </c>
      <c r="AW1737" s="6" t="str">
        <f t="shared" si="847"/>
        <v>=1172*10000</v>
      </c>
      <c r="AX1737" s="1">
        <f>1172*10000</f>
        <v>11720000</v>
      </c>
      <c r="AY1737" s="10">
        <f t="shared" si="864"/>
        <v>-0.72636002801774457</v>
      </c>
      <c r="AZ1737" s="7" t="s">
        <v>16083</v>
      </c>
      <c r="BA1737" s="6" t="str">
        <f t="shared" si="848"/>
        <v>=4283*10000</v>
      </c>
      <c r="BB1737" s="1">
        <f>4283*10000</f>
        <v>42830000</v>
      </c>
      <c r="BC1737" s="8">
        <f t="shared" si="865"/>
        <v>0.19436698271054098</v>
      </c>
      <c r="BD1737" s="7" t="s">
        <v>8479</v>
      </c>
      <c r="BE1737" s="6" t="str">
        <f t="shared" si="849"/>
        <v>=3586*10000</v>
      </c>
      <c r="BF1737" s="1">
        <f>3586*10000</f>
        <v>35860000</v>
      </c>
      <c r="BG1737" s="8">
        <f t="shared" si="866"/>
        <v>0.53051643192488263</v>
      </c>
      <c r="BH1737" s="7" t="s">
        <v>8480</v>
      </c>
      <c r="BI1737" s="6" t="str">
        <f t="shared" si="850"/>
        <v>=2343*10000</v>
      </c>
      <c r="BJ1737" s="1">
        <f>2343*10000</f>
        <v>23430000</v>
      </c>
      <c r="BK1737" s="7" t="s">
        <v>12097</v>
      </c>
      <c r="BL1737" s="1" t="str">
        <f t="shared" si="852"/>
        <v>=1006*10000</v>
      </c>
      <c r="BM1737" s="16">
        <f t="shared" si="867"/>
        <v>1.3290258449304175</v>
      </c>
      <c r="BN1737" s="1">
        <f>1006*10000</f>
        <v>10060000</v>
      </c>
    </row>
    <row r="1738" spans="1:66">
      <c r="A1738" s="17">
        <v>436</v>
      </c>
      <c r="B1738">
        <v>603328</v>
      </c>
      <c r="C1738" t="s">
        <v>31</v>
      </c>
      <c r="D1738" s="6" t="s">
        <v>16084</v>
      </c>
      <c r="E1738" s="7" t="str">
        <f t="shared" si="851"/>
        <v>=29.08*100000000</v>
      </c>
      <c r="F1738" s="1">
        <f>29.08*100000000</f>
        <v>2908000000</v>
      </c>
      <c r="G1738" s="8">
        <f t="shared" si="853"/>
        <v>0.44389275074478651</v>
      </c>
      <c r="H1738" s="6" t="s">
        <v>2464</v>
      </c>
      <c r="I1738" s="6" t="str">
        <f t="shared" si="837"/>
        <v>=20.14*100000000</v>
      </c>
      <c r="J1738" s="1">
        <f>20.14*100000000</f>
        <v>2014000000</v>
      </c>
      <c r="K1738" s="10">
        <f t="shared" si="854"/>
        <v>0.53975535168195721</v>
      </c>
      <c r="L1738" s="6" t="s">
        <v>3120</v>
      </c>
      <c r="M1738" s="6" t="str">
        <f t="shared" si="838"/>
        <v>=13.08*100000000</v>
      </c>
      <c r="N1738" s="1">
        <f>13.08*100000000</f>
        <v>1308000000</v>
      </c>
      <c r="O1738" s="8">
        <f t="shared" si="855"/>
        <v>1.1818181818181819</v>
      </c>
      <c r="P1738" s="6" t="s">
        <v>16085</v>
      </c>
      <c r="Q1738" s="6" t="str">
        <f t="shared" si="839"/>
        <v>=5.995*100000000</v>
      </c>
      <c r="R1738" s="11">
        <f>5.995*100000000</f>
        <v>599500000</v>
      </c>
      <c r="S1738" s="8">
        <f t="shared" si="856"/>
        <v>-0.76799535603715174</v>
      </c>
      <c r="T1738" s="6" t="s">
        <v>4621</v>
      </c>
      <c r="U1738" s="6" t="str">
        <f t="shared" si="840"/>
        <v>=25.84*100000000</v>
      </c>
      <c r="V1738" s="1">
        <f>25.84*100000000</f>
        <v>2584000000</v>
      </c>
      <c r="W1738" s="8">
        <f t="shared" si="857"/>
        <v>0.44438233650083847</v>
      </c>
      <c r="X1738" s="6" t="s">
        <v>1900</v>
      </c>
      <c r="Y1738" s="6" t="str">
        <f t="shared" si="841"/>
        <v>=17.89*100000000</v>
      </c>
      <c r="Z1738" s="1">
        <f>17.89*100000000</f>
        <v>1789000000</v>
      </c>
      <c r="AA1738" s="8">
        <f t="shared" si="858"/>
        <v>0.636779505946935</v>
      </c>
      <c r="AB1738" s="6" t="s">
        <v>1379</v>
      </c>
      <c r="AC1738" s="6" t="str">
        <f t="shared" si="842"/>
        <v>=10.93*100000000</v>
      </c>
      <c r="AD1738" s="1">
        <f>10.93*100000000</f>
        <v>1093000000</v>
      </c>
      <c r="AE1738" s="8">
        <f t="shared" si="859"/>
        <v>1.048350824587706</v>
      </c>
      <c r="AF1738" s="6" t="s">
        <v>12778</v>
      </c>
      <c r="AG1738" s="6" t="str">
        <f t="shared" si="843"/>
        <v>=5.336*100000000</v>
      </c>
      <c r="AH1738" s="1">
        <f>5.336*100000000</f>
        <v>533600000.00000006</v>
      </c>
      <c r="AI1738" s="8">
        <f t="shared" si="860"/>
        <v>-0.82278312852872804</v>
      </c>
      <c r="AJ1738" s="6" t="s">
        <v>2466</v>
      </c>
      <c r="AK1738" s="6" t="str">
        <f t="shared" si="844"/>
        <v>=30.11*100000000</v>
      </c>
      <c r="AL1738" s="1">
        <f>30.11*100000000</f>
        <v>3011000000</v>
      </c>
      <c r="AM1738" s="8">
        <f t="shared" si="861"/>
        <v>0.33053468846663719</v>
      </c>
      <c r="AN1738" s="6" t="s">
        <v>7636</v>
      </c>
      <c r="AO1738" s="6" t="str">
        <f t="shared" si="845"/>
        <v>=22.63*100000000</v>
      </c>
      <c r="AP1738" s="1">
        <f>22.63*100000000</f>
        <v>2263000000</v>
      </c>
      <c r="AQ1738" s="8">
        <f t="shared" si="862"/>
        <v>0.5639253628196268</v>
      </c>
      <c r="AR1738" s="6" t="s">
        <v>11310</v>
      </c>
      <c r="AS1738" s="6" t="str">
        <f t="shared" si="846"/>
        <v>=14.47*100000000</v>
      </c>
      <c r="AT1738" s="1">
        <f>14.47*100000000</f>
        <v>1447000000</v>
      </c>
      <c r="AU1738" s="8">
        <f t="shared" si="863"/>
        <v>1.0463866496959411</v>
      </c>
      <c r="AV1738" s="6" t="s">
        <v>6417</v>
      </c>
      <c r="AW1738" s="6" t="str">
        <f t="shared" si="847"/>
        <v>=7.071*100000000</v>
      </c>
      <c r="AX1738" s="1">
        <f>7.071*100000000</f>
        <v>707100000</v>
      </c>
      <c r="AY1738" s="10">
        <f t="shared" si="864"/>
        <v>-0.78759387203364373</v>
      </c>
      <c r="AZ1738" s="6" t="s">
        <v>16086</v>
      </c>
      <c r="BA1738" s="6" t="str">
        <f t="shared" si="848"/>
        <v>=33.29*100000000</v>
      </c>
      <c r="BB1738" s="1">
        <f>33.29*100000000</f>
        <v>3329000000</v>
      </c>
      <c r="BC1738" s="8">
        <f t="shared" si="865"/>
        <v>0.3784679089026915</v>
      </c>
      <c r="BD1738" s="6" t="s">
        <v>15467</v>
      </c>
      <c r="BE1738" s="6" t="str">
        <f t="shared" si="849"/>
        <v>=24.15*100000000</v>
      </c>
      <c r="BF1738" s="1">
        <f>24.15*100000000</f>
        <v>2415000000</v>
      </c>
      <c r="BG1738" s="8">
        <f t="shared" si="866"/>
        <v>0.60039761431411531</v>
      </c>
      <c r="BH1738" s="6" t="s">
        <v>7176</v>
      </c>
      <c r="BI1738" s="6" t="str">
        <f t="shared" si="850"/>
        <v>=15.09*100000000</v>
      </c>
      <c r="BJ1738" s="1">
        <f>15.09*100000000</f>
        <v>1509000000</v>
      </c>
      <c r="BK1738" s="6" t="s">
        <v>13980</v>
      </c>
      <c r="BL1738" s="1" t="str">
        <f t="shared" si="852"/>
        <v>=7.359*100000000</v>
      </c>
      <c r="BM1738" s="16">
        <f t="shared" si="867"/>
        <v>1.0505503465144721</v>
      </c>
      <c r="BN1738" s="1">
        <f>7.359*100000000</f>
        <v>735900000</v>
      </c>
    </row>
    <row r="1739" spans="1:66">
      <c r="A1739" s="18"/>
      <c r="B1739">
        <v>603328</v>
      </c>
      <c r="C1739" t="s">
        <v>48</v>
      </c>
      <c r="D1739" s="6" t="s">
        <v>1772</v>
      </c>
      <c r="E1739" s="7" t="str">
        <f t="shared" si="851"/>
        <v>=1.564*100000000</v>
      </c>
      <c r="F1739" s="1">
        <f>1.564*100000000</f>
        <v>156400000</v>
      </c>
      <c r="G1739" s="8">
        <f t="shared" si="853"/>
        <v>0.10374029640084687</v>
      </c>
      <c r="H1739" s="6" t="s">
        <v>15426</v>
      </c>
      <c r="I1739" s="6" t="str">
        <f t="shared" si="837"/>
        <v>=1.417*100000000</v>
      </c>
      <c r="J1739" s="1">
        <f>1.417*100000000</f>
        <v>141700000</v>
      </c>
      <c r="K1739" s="10">
        <f t="shared" si="854"/>
        <v>0.57918199041569152</v>
      </c>
      <c r="L1739" s="7" t="s">
        <v>16087</v>
      </c>
      <c r="M1739" s="6" t="str">
        <f t="shared" si="838"/>
        <v>=8973*10000</v>
      </c>
      <c r="N1739" s="1">
        <f>8973*10000</f>
        <v>89730000</v>
      </c>
      <c r="O1739" s="8">
        <f t="shared" si="855"/>
        <v>1.2282095852992303</v>
      </c>
      <c r="P1739" s="7" t="s">
        <v>9174</v>
      </c>
      <c r="Q1739" s="6" t="str">
        <f t="shared" si="839"/>
        <v>=4027*10000</v>
      </c>
      <c r="R1739" s="11">
        <f>4027*10000</f>
        <v>40270000</v>
      </c>
      <c r="S1739" s="8">
        <f t="shared" si="856"/>
        <v>-0.84877957191137809</v>
      </c>
      <c r="T1739" s="6" t="s">
        <v>463</v>
      </c>
      <c r="U1739" s="6" t="str">
        <f t="shared" si="840"/>
        <v>=2.663*100000000</v>
      </c>
      <c r="V1739" s="1">
        <f>2.663*100000000</f>
        <v>266299999.99999997</v>
      </c>
      <c r="W1739" s="8">
        <f t="shared" si="857"/>
        <v>0.11843763124737507</v>
      </c>
      <c r="X1739" s="6" t="s">
        <v>16088</v>
      </c>
      <c r="Y1739" s="6" t="str">
        <f t="shared" si="841"/>
        <v>=2.381*100000000</v>
      </c>
      <c r="Z1739" s="1">
        <f>2.381*100000000</f>
        <v>238099999.99999997</v>
      </c>
      <c r="AA1739" s="8">
        <f t="shared" si="858"/>
        <v>0.59370816599732246</v>
      </c>
      <c r="AB1739" s="6" t="s">
        <v>14254</v>
      </c>
      <c r="AC1739" s="6" t="str">
        <f t="shared" si="842"/>
        <v>=1.494*100000000</v>
      </c>
      <c r="AD1739" s="1">
        <f>1.494*100000000</f>
        <v>149400000</v>
      </c>
      <c r="AE1739" s="8">
        <f t="shared" si="859"/>
        <v>0.44907856450048517</v>
      </c>
      <c r="AF1739" s="6" t="s">
        <v>8056</v>
      </c>
      <c r="AG1739" s="6" t="str">
        <f t="shared" si="843"/>
        <v>=1.031*100000000</v>
      </c>
      <c r="AH1739" s="1">
        <f>1.031*100000000</f>
        <v>103099999.99999999</v>
      </c>
      <c r="AI1739" s="8">
        <f t="shared" si="860"/>
        <v>-0.83298234245909608</v>
      </c>
      <c r="AJ1739" s="6" t="s">
        <v>11006</v>
      </c>
      <c r="AK1739" s="6" t="str">
        <f t="shared" si="844"/>
        <v>=6.173*100000000</v>
      </c>
      <c r="AL1739" s="1">
        <f>6.173*100000000</f>
        <v>617300000</v>
      </c>
      <c r="AM1739" s="8">
        <f t="shared" si="861"/>
        <v>0.17760396795116368</v>
      </c>
      <c r="AN1739" s="6" t="s">
        <v>11275</v>
      </c>
      <c r="AO1739" s="6" t="str">
        <f t="shared" si="845"/>
        <v>=5.242*100000000</v>
      </c>
      <c r="AP1739" s="1">
        <f>5.242*100000000</f>
        <v>524200000</v>
      </c>
      <c r="AQ1739" s="8">
        <f t="shared" si="862"/>
        <v>0.65728738539361364</v>
      </c>
      <c r="AR1739" s="6" t="s">
        <v>16089</v>
      </c>
      <c r="AS1739" s="6" t="str">
        <f t="shared" si="846"/>
        <v>=3.163*100000000</v>
      </c>
      <c r="AT1739" s="1">
        <f>3.163*100000000</f>
        <v>316300000</v>
      </c>
      <c r="AU1739" s="8">
        <f t="shared" si="863"/>
        <v>1.3240264511388684</v>
      </c>
      <c r="AV1739" s="6" t="s">
        <v>10949</v>
      </c>
      <c r="AW1739" s="6" t="str">
        <f t="shared" si="847"/>
        <v>=1.361*100000000</v>
      </c>
      <c r="AX1739" s="1">
        <f>1.361*100000000</f>
        <v>136100000</v>
      </c>
      <c r="AY1739" s="10">
        <f t="shared" si="864"/>
        <v>-0.82463600051539754</v>
      </c>
      <c r="AZ1739" s="6" t="s">
        <v>16090</v>
      </c>
      <c r="BA1739" s="6" t="str">
        <f t="shared" si="848"/>
        <v>=7.761*100000000</v>
      </c>
      <c r="BB1739" s="1">
        <f>7.761*100000000</f>
        <v>776100000</v>
      </c>
      <c r="BC1739" s="8">
        <f t="shared" si="865"/>
        <v>0.35350540634809907</v>
      </c>
      <c r="BD1739" s="6" t="s">
        <v>3668</v>
      </c>
      <c r="BE1739" s="6" t="str">
        <f t="shared" si="849"/>
        <v>=5.734*100000000</v>
      </c>
      <c r="BF1739" s="1">
        <f>5.734*100000000</f>
        <v>573400000</v>
      </c>
      <c r="BG1739" s="8">
        <f t="shared" si="866"/>
        <v>0.86471544715447157</v>
      </c>
      <c r="BH1739" s="6" t="s">
        <v>16091</v>
      </c>
      <c r="BI1739" s="6" t="str">
        <f t="shared" si="850"/>
        <v>=3.075*100000000</v>
      </c>
      <c r="BJ1739" s="1">
        <f>3.075*100000000</f>
        <v>307500000</v>
      </c>
      <c r="BK1739" s="6" t="s">
        <v>9151</v>
      </c>
      <c r="BL1739" s="1" t="str">
        <f t="shared" si="852"/>
        <v>=1.028*100000000</v>
      </c>
      <c r="BM1739" s="16">
        <f t="shared" si="867"/>
        <v>1.9912451361867705</v>
      </c>
      <c r="BN1739" s="1">
        <f>1.028*100000000</f>
        <v>102800000</v>
      </c>
    </row>
    <row r="1740" spans="1:66">
      <c r="A1740" s="18"/>
      <c r="B1740">
        <v>603328</v>
      </c>
      <c r="C1740" t="s">
        <v>58</v>
      </c>
      <c r="D1740" s="6" t="s">
        <v>5818</v>
      </c>
      <c r="E1740" s="7" t="str">
        <f t="shared" si="851"/>
        <v>=1.626*100000000</v>
      </c>
      <c r="F1740" s="1">
        <f>1.626*100000000</f>
        <v>162600000</v>
      </c>
      <c r="G1740" s="8">
        <f t="shared" si="853"/>
        <v>0.16559139784946236</v>
      </c>
      <c r="H1740" s="6" t="s">
        <v>2390</v>
      </c>
      <c r="I1740" s="6" t="str">
        <f t="shared" si="837"/>
        <v>=1.395*100000000</v>
      </c>
      <c r="J1740" s="1">
        <f>1.395*100000000</f>
        <v>139500000</v>
      </c>
      <c r="K1740" s="10">
        <f t="shared" si="854"/>
        <v>0.58181199682503681</v>
      </c>
      <c r="L1740" s="7" t="s">
        <v>15499</v>
      </c>
      <c r="M1740" s="6" t="str">
        <f t="shared" si="838"/>
        <v>=8819*10000</v>
      </c>
      <c r="N1740" s="1">
        <f>8819*10000</f>
        <v>88190000</v>
      </c>
      <c r="O1740" s="8">
        <f t="shared" si="855"/>
        <v>1.392566467715681</v>
      </c>
      <c r="P1740" s="7" t="s">
        <v>16092</v>
      </c>
      <c r="Q1740" s="6" t="str">
        <f t="shared" si="839"/>
        <v>=3686*10000</v>
      </c>
      <c r="R1740" s="11">
        <f>3686*10000</f>
        <v>36860000</v>
      </c>
      <c r="S1740" s="8">
        <f t="shared" si="856"/>
        <v>-0.85823076923076924</v>
      </c>
      <c r="T1740" s="6" t="s">
        <v>16093</v>
      </c>
      <c r="U1740" s="6" t="str">
        <f t="shared" si="840"/>
        <v>=2.600*100000000</v>
      </c>
      <c r="V1740" s="1">
        <f>2.6*100000000</f>
        <v>260000000</v>
      </c>
      <c r="W1740" s="8">
        <f t="shared" si="857"/>
        <v>0.1082693947144075</v>
      </c>
      <c r="X1740" s="6" t="s">
        <v>1782</v>
      </c>
      <c r="Y1740" s="6" t="str">
        <f t="shared" si="841"/>
        <v>=2.346*100000000</v>
      </c>
      <c r="Z1740" s="1">
        <f>2.346*100000000</f>
        <v>234600000</v>
      </c>
      <c r="AA1740" s="8">
        <f t="shared" si="858"/>
        <v>0.6013651877133106</v>
      </c>
      <c r="AB1740" s="6" t="s">
        <v>6511</v>
      </c>
      <c r="AC1740" s="6" t="str">
        <f t="shared" si="842"/>
        <v>=1.465*100000000</v>
      </c>
      <c r="AD1740" s="1">
        <f>1.465*100000000</f>
        <v>146500000</v>
      </c>
      <c r="AE1740" s="8">
        <f t="shared" si="859"/>
        <v>0.42095053346265782</v>
      </c>
      <c r="AF1740" s="6" t="s">
        <v>8056</v>
      </c>
      <c r="AG1740" s="6" t="str">
        <f t="shared" si="843"/>
        <v>=1.031*100000000</v>
      </c>
      <c r="AH1740" s="1">
        <f>1.031*100000000</f>
        <v>103099999.99999999</v>
      </c>
      <c r="AI1740" s="8">
        <f t="shared" si="860"/>
        <v>-0.83109436435124506</v>
      </c>
      <c r="AJ1740" s="6" t="s">
        <v>16094</v>
      </c>
      <c r="AK1740" s="6" t="str">
        <f t="shared" si="844"/>
        <v>=6.104*100000000</v>
      </c>
      <c r="AL1740" s="1">
        <f>6.104*100000000</f>
        <v>610400000</v>
      </c>
      <c r="AM1740" s="8">
        <f t="shared" si="861"/>
        <v>0.16510784500858944</v>
      </c>
      <c r="AN1740" s="6" t="s">
        <v>16095</v>
      </c>
      <c r="AO1740" s="6" t="str">
        <f t="shared" si="845"/>
        <v>=5.239*100000000</v>
      </c>
      <c r="AP1740" s="1">
        <f>5.239*100000000</f>
        <v>523900000</v>
      </c>
      <c r="AQ1740" s="8">
        <f t="shared" si="862"/>
        <v>0.65633891874802408</v>
      </c>
      <c r="AR1740" s="6" t="s">
        <v>16089</v>
      </c>
      <c r="AS1740" s="6" t="str">
        <f t="shared" si="846"/>
        <v>=3.163*100000000</v>
      </c>
      <c r="AT1740" s="1">
        <f>3.163*100000000</f>
        <v>316300000</v>
      </c>
      <c r="AU1740" s="8">
        <f t="shared" si="863"/>
        <v>1.3223201174743024</v>
      </c>
      <c r="AV1740" s="6" t="s">
        <v>12484</v>
      </c>
      <c r="AW1740" s="6" t="str">
        <f t="shared" si="847"/>
        <v>=1.362*100000000</v>
      </c>
      <c r="AX1740" s="1">
        <f>1.362*100000000</f>
        <v>136200000</v>
      </c>
      <c r="AY1740" s="10">
        <f t="shared" si="864"/>
        <v>-0.82316281485328491</v>
      </c>
      <c r="AZ1740" s="6" t="s">
        <v>1125</v>
      </c>
      <c r="BA1740" s="6" t="str">
        <f t="shared" si="848"/>
        <v>=7.702*100000000</v>
      </c>
      <c r="BB1740" s="1">
        <f>7.702*100000000</f>
        <v>770200000</v>
      </c>
      <c r="BC1740" s="8">
        <f t="shared" si="865"/>
        <v>0.35622468744497271</v>
      </c>
      <c r="BD1740" s="6" t="s">
        <v>16096</v>
      </c>
      <c r="BE1740" s="6" t="str">
        <f t="shared" si="849"/>
        <v>=5.679*100000000</v>
      </c>
      <c r="BF1740" s="1">
        <f>5.679*100000000</f>
        <v>567900000</v>
      </c>
      <c r="BG1740" s="8">
        <f t="shared" si="866"/>
        <v>0.8420369769704833</v>
      </c>
      <c r="BH1740" s="6" t="s">
        <v>9171</v>
      </c>
      <c r="BI1740" s="6" t="str">
        <f t="shared" si="850"/>
        <v>=3.083*100000000</v>
      </c>
      <c r="BJ1740" s="1">
        <f>3.083*100000000</f>
        <v>308300000</v>
      </c>
      <c r="BK1740" s="6" t="s">
        <v>344</v>
      </c>
      <c r="BL1740" s="1" t="str">
        <f t="shared" si="852"/>
        <v>=1.036*100000000</v>
      </c>
      <c r="BM1740" s="16">
        <f t="shared" si="867"/>
        <v>1.975868725868726</v>
      </c>
      <c r="BN1740" s="1">
        <f>1.036*100000000</f>
        <v>103600000</v>
      </c>
    </row>
    <row r="1741" spans="1:66">
      <c r="A1741" s="19"/>
      <c r="B1741">
        <v>603328</v>
      </c>
      <c r="C1741" t="s">
        <v>68</v>
      </c>
      <c r="D1741" s="6" t="s">
        <v>6284</v>
      </c>
      <c r="E1741" s="7" t="str">
        <f t="shared" si="851"/>
        <v>=1.506*100000000</v>
      </c>
      <c r="F1741" s="1">
        <f>1.506*100000000</f>
        <v>150600000</v>
      </c>
      <c r="G1741" s="8">
        <f t="shared" si="853"/>
        <v>0.27952421410365336</v>
      </c>
      <c r="H1741" s="6" t="s">
        <v>12023</v>
      </c>
      <c r="I1741" s="6" t="str">
        <f t="shared" si="837"/>
        <v>=1.177*100000000</v>
      </c>
      <c r="J1741" s="1">
        <f>1.177*100000000</f>
        <v>117700000</v>
      </c>
      <c r="K1741" s="10">
        <f t="shared" si="854"/>
        <v>0.57838272763846055</v>
      </c>
      <c r="L1741" s="7" t="s">
        <v>16097</v>
      </c>
      <c r="M1741" s="6" t="str">
        <f t="shared" si="838"/>
        <v>=7457*10000</v>
      </c>
      <c r="N1741" s="1">
        <f>7457*10000</f>
        <v>74570000</v>
      </c>
      <c r="O1741" s="8">
        <f t="shared" si="855"/>
        <v>1.4109279017135468</v>
      </c>
      <c r="P1741" s="7" t="s">
        <v>16098</v>
      </c>
      <c r="Q1741" s="6" t="str">
        <f t="shared" si="839"/>
        <v>=3093*10000</v>
      </c>
      <c r="R1741" s="11">
        <f>3093*10000</f>
        <v>30930000</v>
      </c>
      <c r="S1741" s="8">
        <f t="shared" si="856"/>
        <v>-0.86222717149220485</v>
      </c>
      <c r="T1741" s="6" t="s">
        <v>7448</v>
      </c>
      <c r="U1741" s="6" t="str">
        <f t="shared" si="840"/>
        <v>=2.245*100000000</v>
      </c>
      <c r="V1741" s="1">
        <f>2.245*100000000</f>
        <v>224500000</v>
      </c>
      <c r="W1741" s="8">
        <f t="shared" si="857"/>
        <v>0.13959390862944163</v>
      </c>
      <c r="X1741" s="6" t="s">
        <v>10531</v>
      </c>
      <c r="Y1741" s="6" t="str">
        <f t="shared" si="841"/>
        <v>=1.970*100000000</v>
      </c>
      <c r="Z1741" s="1">
        <f>1.97*100000000</f>
        <v>197000000</v>
      </c>
      <c r="AA1741" s="8">
        <f t="shared" si="858"/>
        <v>0.60032493907392348</v>
      </c>
      <c r="AB1741" s="6" t="s">
        <v>15559</v>
      </c>
      <c r="AC1741" s="6" t="str">
        <f t="shared" si="842"/>
        <v>=1.231*100000000</v>
      </c>
      <c r="AD1741" s="1">
        <f>1.231*100000000</f>
        <v>123100000.00000001</v>
      </c>
      <c r="AE1741" s="8">
        <f t="shared" si="859"/>
        <v>0.41477991035513179</v>
      </c>
      <c r="AF1741" s="7" t="s">
        <v>16099</v>
      </c>
      <c r="AG1741" s="6" t="str">
        <f t="shared" si="843"/>
        <v>=8701*10000</v>
      </c>
      <c r="AH1741" s="1">
        <f>8701*10000</f>
        <v>87010000</v>
      </c>
      <c r="AI1741" s="8">
        <f t="shared" si="860"/>
        <v>-0.8321890067502411</v>
      </c>
      <c r="AJ1741" s="6" t="s">
        <v>16100</v>
      </c>
      <c r="AK1741" s="6" t="str">
        <f t="shared" si="844"/>
        <v>=5.185*100000000</v>
      </c>
      <c r="AL1741" s="1">
        <f>5.185*100000000</f>
        <v>518499999.99999994</v>
      </c>
      <c r="AM1741" s="8">
        <f t="shared" si="861"/>
        <v>0.17467149977344815</v>
      </c>
      <c r="AN1741" s="6" t="s">
        <v>4168</v>
      </c>
      <c r="AO1741" s="6" t="str">
        <f t="shared" si="845"/>
        <v>=4.414*100000000</v>
      </c>
      <c r="AP1741" s="1">
        <f>4.414*100000000</f>
        <v>441399999.99999994</v>
      </c>
      <c r="AQ1741" s="8">
        <f t="shared" si="862"/>
        <v>0.65690690690690667</v>
      </c>
      <c r="AR1741" s="6" t="s">
        <v>3145</v>
      </c>
      <c r="AS1741" s="6" t="str">
        <f t="shared" si="846"/>
        <v>=2.664*100000000</v>
      </c>
      <c r="AT1741" s="1">
        <f>2.664*100000000</f>
        <v>266400000</v>
      </c>
      <c r="AU1741" s="8">
        <f t="shared" si="863"/>
        <v>1.332749562171629</v>
      </c>
      <c r="AV1741" s="6" t="s">
        <v>2226</v>
      </c>
      <c r="AW1741" s="6" t="str">
        <f t="shared" si="847"/>
        <v>=1.142*100000000</v>
      </c>
      <c r="AX1741" s="1">
        <f>1.142*100000000</f>
        <v>114199999.99999999</v>
      </c>
      <c r="AY1741" s="10">
        <f t="shared" si="864"/>
        <v>-0.82538226299694195</v>
      </c>
      <c r="AZ1741" s="6" t="s">
        <v>16101</v>
      </c>
      <c r="BA1741" s="6" t="str">
        <f t="shared" si="848"/>
        <v>=6.540*100000000</v>
      </c>
      <c r="BB1741" s="1">
        <f>6.54*100000000</f>
        <v>654000000</v>
      </c>
      <c r="BC1741" s="8">
        <f t="shared" si="865"/>
        <v>0.36648558295027178</v>
      </c>
      <c r="BD1741" s="6" t="s">
        <v>16102</v>
      </c>
      <c r="BE1741" s="6" t="str">
        <f t="shared" si="849"/>
        <v>=4.786*100000000</v>
      </c>
      <c r="BF1741" s="1">
        <f>4.786*100000000</f>
        <v>478599999.99999994</v>
      </c>
      <c r="BG1741" s="8">
        <f t="shared" si="866"/>
        <v>0.84859018926226315</v>
      </c>
      <c r="BH1741" s="6" t="s">
        <v>3480</v>
      </c>
      <c r="BI1741" s="6" t="str">
        <f t="shared" si="850"/>
        <v>=2.589*100000000</v>
      </c>
      <c r="BJ1741" s="1">
        <f>2.589*100000000</f>
        <v>258900000</v>
      </c>
      <c r="BK1741" s="7" t="s">
        <v>16103</v>
      </c>
      <c r="BL1741" s="1" t="str">
        <f t="shared" si="852"/>
        <v>=8586*10000</v>
      </c>
      <c r="BM1741" s="16">
        <f t="shared" si="867"/>
        <v>2.0153738644304684</v>
      </c>
      <c r="BN1741" s="1">
        <f>8586*10000</f>
        <v>85860000</v>
      </c>
    </row>
    <row r="1742" spans="1:66">
      <c r="A1742" s="17">
        <v>437</v>
      </c>
      <c r="B1742">
        <v>603330</v>
      </c>
      <c r="C1742" t="s">
        <v>31</v>
      </c>
      <c r="D1742" s="6" t="s">
        <v>8251</v>
      </c>
      <c r="E1742" s="7" t="str">
        <f t="shared" si="851"/>
        <v>=10.68*100000000</v>
      </c>
      <c r="F1742" s="1">
        <f>10.68*100000000</f>
        <v>1068000000</v>
      </c>
      <c r="G1742" s="8">
        <f t="shared" si="853"/>
        <v>0.44637053087757311</v>
      </c>
      <c r="H1742" s="6" t="s">
        <v>6802</v>
      </c>
      <c r="I1742" s="6" t="str">
        <f t="shared" si="837"/>
        <v>=7.384*100000000</v>
      </c>
      <c r="J1742" s="1">
        <f>7.384*100000000</f>
        <v>738400000</v>
      </c>
      <c r="K1742" s="10">
        <f t="shared" si="854"/>
        <v>0.65264100268576541</v>
      </c>
      <c r="L1742" s="6" t="s">
        <v>6866</v>
      </c>
      <c r="M1742" s="6" t="str">
        <f t="shared" si="838"/>
        <v>=4.468*100000000</v>
      </c>
      <c r="N1742" s="1">
        <f>4.468*100000000</f>
        <v>446800000</v>
      </c>
      <c r="O1742" s="8">
        <f t="shared" si="855"/>
        <v>0.98577777777777775</v>
      </c>
      <c r="P1742" s="6" t="s">
        <v>2995</v>
      </c>
      <c r="Q1742" s="6" t="str">
        <f t="shared" si="839"/>
        <v>=2.250*100000000</v>
      </c>
      <c r="R1742" s="11">
        <f>2.25*100000000</f>
        <v>225000000</v>
      </c>
      <c r="S1742" s="8">
        <f t="shared" si="856"/>
        <v>-0.67815763124016593</v>
      </c>
      <c r="T1742" s="6" t="s">
        <v>8198</v>
      </c>
      <c r="U1742" s="6" t="str">
        <f t="shared" si="840"/>
        <v>=6.991*100000000</v>
      </c>
      <c r="V1742" s="1">
        <f>6.991*100000000</f>
        <v>699100000</v>
      </c>
      <c r="W1742" s="8">
        <f t="shared" si="857"/>
        <v>0.54326710816777046</v>
      </c>
      <c r="X1742" s="6" t="s">
        <v>15974</v>
      </c>
      <c r="Y1742" s="6" t="str">
        <f t="shared" si="841"/>
        <v>=4.530*100000000</v>
      </c>
      <c r="Z1742" s="1">
        <f>4.53*100000000</f>
        <v>453000000</v>
      </c>
      <c r="AA1742" s="8">
        <f t="shared" si="858"/>
        <v>0.75717610550814607</v>
      </c>
      <c r="AB1742" s="6" t="s">
        <v>10071</v>
      </c>
      <c r="AC1742" s="6" t="str">
        <f t="shared" si="842"/>
        <v>=2.578*100000000</v>
      </c>
      <c r="AD1742" s="1">
        <f>2.578*100000000</f>
        <v>257799999.99999997</v>
      </c>
      <c r="AE1742" s="8">
        <f t="shared" si="859"/>
        <v>1.0993485342019542</v>
      </c>
      <c r="AF1742" s="6" t="s">
        <v>15486</v>
      </c>
      <c r="AG1742" s="6" t="str">
        <f t="shared" si="843"/>
        <v>=1.228*100000000</v>
      </c>
      <c r="AH1742" s="1">
        <f>1.228*100000000</f>
        <v>122800000</v>
      </c>
      <c r="AI1742" s="8">
        <f t="shared" si="860"/>
        <v>-0.81365705614567529</v>
      </c>
      <c r="AJ1742" s="6" t="s">
        <v>7775</v>
      </c>
      <c r="AK1742" s="6" t="str">
        <f t="shared" si="844"/>
        <v>=6.590*100000000</v>
      </c>
      <c r="AL1742" s="1">
        <f>6.59*100000000</f>
        <v>659000000</v>
      </c>
      <c r="AM1742" s="8">
        <f t="shared" si="861"/>
        <v>0.37607016078513278</v>
      </c>
      <c r="AN1742" s="6" t="s">
        <v>15520</v>
      </c>
      <c r="AO1742" s="6" t="str">
        <f t="shared" si="845"/>
        <v>=4.789*100000000</v>
      </c>
      <c r="AP1742" s="1">
        <f>4.789*100000000</f>
        <v>478899999.99999994</v>
      </c>
      <c r="AQ1742" s="8">
        <f t="shared" si="862"/>
        <v>0.58523667659715306</v>
      </c>
      <c r="AR1742" s="6" t="s">
        <v>11967</v>
      </c>
      <c r="AS1742" s="6" t="str">
        <f t="shared" si="846"/>
        <v>=3.021*100000000</v>
      </c>
      <c r="AT1742" s="1">
        <f>3.021*100000000</f>
        <v>302100000</v>
      </c>
      <c r="AU1742" s="8">
        <f t="shared" si="863"/>
        <v>1.1986899563318778</v>
      </c>
      <c r="AV1742" s="6" t="s">
        <v>1936</v>
      </c>
      <c r="AW1742" s="6" t="str">
        <f t="shared" si="847"/>
        <v>=1.374*100000000</v>
      </c>
      <c r="AX1742" s="1">
        <f>1.374*100000000</f>
        <v>137400000</v>
      </c>
      <c r="AY1742" s="10">
        <f t="shared" si="864"/>
        <v>-0.75499286733238236</v>
      </c>
      <c r="AZ1742" s="6" t="s">
        <v>1675</v>
      </c>
      <c r="BA1742" s="6" t="str">
        <f t="shared" si="848"/>
        <v>=5.608*100000000</v>
      </c>
      <c r="BB1742" s="1">
        <f>5.608*100000000</f>
        <v>560800000</v>
      </c>
      <c r="BC1742" s="8">
        <f t="shared" si="865"/>
        <v>0.37450980392156863</v>
      </c>
      <c r="BD1742" s="6" t="s">
        <v>10287</v>
      </c>
      <c r="BE1742" s="6" t="str">
        <f t="shared" si="849"/>
        <v>=4.080*100000000</v>
      </c>
      <c r="BF1742" s="1">
        <f>4.08*100000000</f>
        <v>408000000</v>
      </c>
      <c r="BG1742" s="8">
        <f t="shared" si="866"/>
        <v>0.52580403889304417</v>
      </c>
      <c r="BH1742" s="6" t="s">
        <v>4034</v>
      </c>
      <c r="BI1742" s="6" t="str">
        <f t="shared" si="850"/>
        <v>=2.674*100000000</v>
      </c>
      <c r="BJ1742" s="1">
        <f>2.674*100000000</f>
        <v>267400000</v>
      </c>
      <c r="BK1742" s="6" t="s">
        <v>8712</v>
      </c>
      <c r="BL1742" s="1" t="str">
        <f t="shared" si="852"/>
        <v>=1.276*100000000</v>
      </c>
      <c r="BM1742" s="16">
        <f t="shared" si="867"/>
        <v>1.0956112852664577</v>
      </c>
      <c r="BN1742" s="1">
        <f>1.276*100000000</f>
        <v>127600000</v>
      </c>
    </row>
    <row r="1743" spans="1:66">
      <c r="A1743" s="18"/>
      <c r="B1743">
        <v>603330</v>
      </c>
      <c r="C1743" t="s">
        <v>48</v>
      </c>
      <c r="D1743" s="6" t="s">
        <v>2114</v>
      </c>
      <c r="E1743" s="7" t="str">
        <f t="shared" si="851"/>
        <v>=1.146*100000000</v>
      </c>
      <c r="F1743" s="1">
        <f>1.146*100000000</f>
        <v>114599999.99999999</v>
      </c>
      <c r="G1743" s="8">
        <f t="shared" si="853"/>
        <v>3.8984587488667136E-2</v>
      </c>
      <c r="H1743" s="6" t="s">
        <v>2913</v>
      </c>
      <c r="I1743" s="6" t="str">
        <f t="shared" si="837"/>
        <v>=1.103*100000000</v>
      </c>
      <c r="J1743" s="1">
        <f>1.103*100000000</f>
        <v>110300000</v>
      </c>
      <c r="K1743" s="10">
        <f t="shared" si="854"/>
        <v>0.22528327038435902</v>
      </c>
      <c r="L1743" s="7" t="s">
        <v>16104</v>
      </c>
      <c r="M1743" s="6" t="str">
        <f t="shared" si="838"/>
        <v>=9002*10000</v>
      </c>
      <c r="N1743" s="1">
        <f>9002*10000</f>
        <v>90020000</v>
      </c>
      <c r="O1743" s="8">
        <f t="shared" si="855"/>
        <v>2.6984387838948232</v>
      </c>
      <c r="P1743" s="7" t="s">
        <v>3702</v>
      </c>
      <c r="Q1743" s="6" t="str">
        <f t="shared" si="839"/>
        <v>=2434*10000</v>
      </c>
      <c r="R1743" s="11">
        <f>2434*10000</f>
        <v>24340000</v>
      </c>
      <c r="S1743" s="8">
        <f t="shared" si="856"/>
        <v>-0.64688814739590894</v>
      </c>
      <c r="T1743" s="7" t="s">
        <v>2161</v>
      </c>
      <c r="U1743" s="6" t="str">
        <f t="shared" si="840"/>
        <v>=6893*10000</v>
      </c>
      <c r="V1743" s="1">
        <f>6893*10000</f>
        <v>68930000</v>
      </c>
      <c r="W1743" s="8">
        <f t="shared" si="857"/>
        <v>0.53279964420724923</v>
      </c>
      <c r="X1743" s="7" t="s">
        <v>12017</v>
      </c>
      <c r="Y1743" s="6" t="str">
        <f t="shared" si="841"/>
        <v>=4497*10000</v>
      </c>
      <c r="Z1743" s="1">
        <f>4497*10000</f>
        <v>44970000</v>
      </c>
      <c r="AA1743" s="8">
        <f t="shared" si="858"/>
        <v>1.4627601314348302</v>
      </c>
      <c r="AB1743" s="7" t="s">
        <v>16105</v>
      </c>
      <c r="AC1743" s="6" t="str">
        <f t="shared" si="842"/>
        <v>=1826*10000</v>
      </c>
      <c r="AD1743" s="1">
        <f>1826*10000</f>
        <v>18260000</v>
      </c>
      <c r="AE1743" s="8">
        <f t="shared" si="859"/>
        <v>0.95503211991434689</v>
      </c>
      <c r="AF1743" s="7" t="s">
        <v>16106</v>
      </c>
      <c r="AG1743" s="6" t="str">
        <f t="shared" si="843"/>
        <v>=934.0*10000</v>
      </c>
      <c r="AH1743" s="1">
        <f>934*10000</f>
        <v>9340000</v>
      </c>
      <c r="AI1743" s="8">
        <f t="shared" si="860"/>
        <v>-0.69626016260162604</v>
      </c>
      <c r="AJ1743" s="7" t="s">
        <v>10838</v>
      </c>
      <c r="AK1743" s="6" t="str">
        <f t="shared" si="844"/>
        <v>=3075*10000</v>
      </c>
      <c r="AL1743" s="1">
        <f>3075*10000</f>
        <v>30750000</v>
      </c>
      <c r="AM1743" s="8">
        <f t="shared" si="861"/>
        <v>-9.9806825499034121E-3</v>
      </c>
      <c r="AN1743" s="7" t="s">
        <v>12095</v>
      </c>
      <c r="AO1743" s="6" t="str">
        <f t="shared" si="845"/>
        <v>=3106*10000</v>
      </c>
      <c r="AP1743" s="1">
        <f>3106*10000</f>
        <v>31060000</v>
      </c>
      <c r="AQ1743" s="8">
        <f t="shared" si="862"/>
        <v>0.75480225988700567</v>
      </c>
      <c r="AR1743" s="7" t="s">
        <v>16107</v>
      </c>
      <c r="AS1743" s="6" t="str">
        <f t="shared" si="846"/>
        <v>=1770*10000</v>
      </c>
      <c r="AT1743" s="1">
        <f>1770*10000</f>
        <v>17700000</v>
      </c>
      <c r="AU1743" s="8">
        <f t="shared" si="863"/>
        <v>2.1834532374100721</v>
      </c>
      <c r="AV1743" s="7" t="s">
        <v>16108</v>
      </c>
      <c r="AW1743" s="6" t="str">
        <f t="shared" si="847"/>
        <v>=556.0*10000</v>
      </c>
      <c r="AX1743" s="1">
        <f>556*10000</f>
        <v>5560000</v>
      </c>
      <c r="AY1743" s="10">
        <f t="shared" si="864"/>
        <v>-0.86902237926972914</v>
      </c>
      <c r="AZ1743" s="7" t="s">
        <v>11293</v>
      </c>
      <c r="BA1743" s="6" t="str">
        <f t="shared" si="848"/>
        <v>=4245*10000</v>
      </c>
      <c r="BB1743" s="1">
        <f>4245*10000</f>
        <v>42450000</v>
      </c>
      <c r="BC1743" s="8">
        <f t="shared" si="865"/>
        <v>0.11622403365763871</v>
      </c>
      <c r="BD1743" s="7" t="s">
        <v>16109</v>
      </c>
      <c r="BE1743" s="6" t="str">
        <f t="shared" si="849"/>
        <v>=3803*10000</v>
      </c>
      <c r="BF1743" s="1">
        <f>3803*10000</f>
        <v>38030000</v>
      </c>
      <c r="BG1743" s="8">
        <f t="shared" si="866"/>
        <v>0.74209803023362342</v>
      </c>
      <c r="BH1743" s="7" t="s">
        <v>16110</v>
      </c>
      <c r="BI1743" s="6" t="str">
        <f t="shared" si="850"/>
        <v>=2183*10000</v>
      </c>
      <c r="BJ1743" s="1">
        <f>2183*10000</f>
        <v>21830000</v>
      </c>
      <c r="BK1743" s="7" t="s">
        <v>16111</v>
      </c>
      <c r="BL1743" s="1" t="str">
        <f t="shared" si="852"/>
        <v>=731.6*10000</v>
      </c>
      <c r="BM1743" s="16">
        <f t="shared" si="867"/>
        <v>1.9838709677419355</v>
      </c>
      <c r="BN1743" s="1">
        <f>731.6*10000</f>
        <v>7316000</v>
      </c>
    </row>
    <row r="1744" spans="1:66">
      <c r="A1744" s="18"/>
      <c r="B1744">
        <v>603330</v>
      </c>
      <c r="C1744" t="s">
        <v>58</v>
      </c>
      <c r="D1744" s="6" t="s">
        <v>5578</v>
      </c>
      <c r="E1744" s="7" t="str">
        <f t="shared" si="851"/>
        <v>=1.404*100000000</v>
      </c>
      <c r="F1744" s="1">
        <f>1.404*100000000</f>
        <v>140400000</v>
      </c>
      <c r="G1744" s="8">
        <f t="shared" si="853"/>
        <v>0.23049956178790534</v>
      </c>
      <c r="H1744" s="6" t="s">
        <v>8310</v>
      </c>
      <c r="I1744" s="6" t="str">
        <f t="shared" si="837"/>
        <v>=1.141*100000000</v>
      </c>
      <c r="J1744" s="1">
        <f>1.141*100000000</f>
        <v>114100000</v>
      </c>
      <c r="K1744" s="10">
        <f t="shared" si="854"/>
        <v>0.27828814698633209</v>
      </c>
      <c r="L1744" s="7" t="s">
        <v>16112</v>
      </c>
      <c r="M1744" s="6" t="str">
        <f t="shared" si="838"/>
        <v>=8926*10000</v>
      </c>
      <c r="N1744" s="1">
        <f>8926*10000</f>
        <v>89260000</v>
      </c>
      <c r="O1744" s="8">
        <f t="shared" si="855"/>
        <v>2.6702302631578947</v>
      </c>
      <c r="P1744" s="7" t="s">
        <v>5445</v>
      </c>
      <c r="Q1744" s="6" t="str">
        <f t="shared" si="839"/>
        <v>=2432*10000</v>
      </c>
      <c r="R1744" s="11">
        <f>2432*10000</f>
        <v>24320000</v>
      </c>
      <c r="S1744" s="8">
        <f t="shared" si="856"/>
        <v>-0.64172068355922218</v>
      </c>
      <c r="T1744" s="7" t="s">
        <v>16113</v>
      </c>
      <c r="U1744" s="6" t="str">
        <f t="shared" si="840"/>
        <v>=6788*10000</v>
      </c>
      <c r="V1744" s="1">
        <f>6788*10000</f>
        <v>67880000</v>
      </c>
      <c r="W1744" s="8">
        <f t="shared" si="857"/>
        <v>0.53713768115942029</v>
      </c>
      <c r="X1744" s="7" t="s">
        <v>16114</v>
      </c>
      <c r="Y1744" s="6" t="str">
        <f t="shared" si="841"/>
        <v>=4416*10000</v>
      </c>
      <c r="Z1744" s="1">
        <f>4416*10000</f>
        <v>44160000</v>
      </c>
      <c r="AA1744" s="8">
        <f t="shared" si="858"/>
        <v>1.4753363228699552</v>
      </c>
      <c r="AB1744" s="7" t="s">
        <v>16115</v>
      </c>
      <c r="AC1744" s="6" t="str">
        <f t="shared" si="842"/>
        <v>=1784*10000</v>
      </c>
      <c r="AD1744" s="1">
        <f>1784*10000</f>
        <v>17840000</v>
      </c>
      <c r="AE1744" s="8">
        <f t="shared" si="859"/>
        <v>0.97498062659138718</v>
      </c>
      <c r="AF1744" s="7" t="s">
        <v>16116</v>
      </c>
      <c r="AG1744" s="6" t="str">
        <f t="shared" si="843"/>
        <v>=903.3*10000</v>
      </c>
      <c r="AH1744" s="1">
        <f>903.3*10000</f>
        <v>9033000</v>
      </c>
      <c r="AI1744" s="8">
        <f t="shared" si="860"/>
        <v>-0.54925149700598808</v>
      </c>
      <c r="AJ1744" s="7" t="s">
        <v>4054</v>
      </c>
      <c r="AK1744" s="6" t="str">
        <f t="shared" si="844"/>
        <v>=2004*10000</v>
      </c>
      <c r="AL1744" s="1">
        <f>2004*10000</f>
        <v>20040000</v>
      </c>
      <c r="AM1744" s="8">
        <f t="shared" si="861"/>
        <v>-0.13657906074967685</v>
      </c>
      <c r="AN1744" s="7" t="s">
        <v>16117</v>
      </c>
      <c r="AO1744" s="6" t="str">
        <f t="shared" si="845"/>
        <v>=2321*10000</v>
      </c>
      <c r="AP1744" s="1">
        <f>2321*10000</f>
        <v>23210000</v>
      </c>
      <c r="AQ1744" s="8">
        <f t="shared" si="862"/>
        <v>0.47834394904458599</v>
      </c>
      <c r="AR1744" s="7" t="s">
        <v>5449</v>
      </c>
      <c r="AS1744" s="6" t="str">
        <f t="shared" si="846"/>
        <v>=1570*10000</v>
      </c>
      <c r="AT1744" s="1">
        <f>1570*10000</f>
        <v>15700000</v>
      </c>
      <c r="AU1744" s="8">
        <f t="shared" si="863"/>
        <v>1.7940914753514861</v>
      </c>
      <c r="AV1744" s="7" t="s">
        <v>16118</v>
      </c>
      <c r="AW1744" s="6" t="str">
        <f t="shared" si="847"/>
        <v>=561.9*10000</v>
      </c>
      <c r="AX1744" s="1">
        <f>561.9*10000</f>
        <v>5619000</v>
      </c>
      <c r="AY1744" s="10">
        <f t="shared" si="864"/>
        <v>-0.87310298102981032</v>
      </c>
      <c r="AZ1744" s="7" t="s">
        <v>16119</v>
      </c>
      <c r="BA1744" s="6" t="str">
        <f t="shared" si="848"/>
        <v>=4428*10000</v>
      </c>
      <c r="BB1744" s="1">
        <f>4428*10000</f>
        <v>44280000</v>
      </c>
      <c r="BC1744" s="8">
        <f t="shared" si="865"/>
        <v>9.9032017870439318E-2</v>
      </c>
      <c r="BD1744" s="7" t="s">
        <v>11756</v>
      </c>
      <c r="BE1744" s="6" t="str">
        <f t="shared" si="849"/>
        <v>=4029*10000</v>
      </c>
      <c r="BF1744" s="1">
        <f>4029*10000</f>
        <v>40290000</v>
      </c>
      <c r="BG1744" s="8">
        <f t="shared" si="866"/>
        <v>0.66832298136645962</v>
      </c>
      <c r="BH1744" s="7" t="s">
        <v>8332</v>
      </c>
      <c r="BI1744" s="6" t="str">
        <f t="shared" si="850"/>
        <v>=2415*10000</v>
      </c>
      <c r="BJ1744" s="1">
        <f>2415*10000</f>
        <v>24150000</v>
      </c>
      <c r="BK1744" s="7" t="s">
        <v>16120</v>
      </c>
      <c r="BL1744" s="1" t="str">
        <f t="shared" si="852"/>
        <v>=762.9*10000</v>
      </c>
      <c r="BM1744" s="16">
        <f t="shared" si="867"/>
        <v>2.1655524970507276</v>
      </c>
      <c r="BN1744" s="1">
        <f>762.9*10000</f>
        <v>7629000</v>
      </c>
    </row>
    <row r="1745" spans="1:66">
      <c r="A1745" s="19"/>
      <c r="B1745">
        <v>603330</v>
      </c>
      <c r="C1745" t="s">
        <v>68</v>
      </c>
      <c r="D1745" s="6" t="s">
        <v>2864</v>
      </c>
      <c r="E1745" s="7" t="str">
        <f t="shared" si="851"/>
        <v>=1.056*100000000</v>
      </c>
      <c r="F1745" s="1">
        <f>1.056*100000000</f>
        <v>105600000</v>
      </c>
      <c r="G1745" s="8">
        <f t="shared" si="853"/>
        <v>0.26014319809069214</v>
      </c>
      <c r="H1745" s="7" t="s">
        <v>16121</v>
      </c>
      <c r="I1745" s="6" t="str">
        <f t="shared" si="837"/>
        <v>=8380*10000</v>
      </c>
      <c r="J1745" s="1">
        <f>8380*10000</f>
        <v>83800000</v>
      </c>
      <c r="K1745" s="10">
        <f t="shared" si="854"/>
        <v>0.27471858837846058</v>
      </c>
      <c r="L1745" s="7" t="s">
        <v>5504</v>
      </c>
      <c r="M1745" s="6" t="str">
        <f t="shared" si="838"/>
        <v>=6574*10000</v>
      </c>
      <c r="N1745" s="1">
        <f>6574*10000</f>
        <v>65740000</v>
      </c>
      <c r="O1745" s="8">
        <f t="shared" si="855"/>
        <v>2.6849775784753365</v>
      </c>
      <c r="P1745" s="7" t="s">
        <v>16115</v>
      </c>
      <c r="Q1745" s="6" t="str">
        <f t="shared" si="839"/>
        <v>=1784*10000</v>
      </c>
      <c r="R1745" s="11">
        <f>1784*10000</f>
        <v>17840000</v>
      </c>
      <c r="S1745" s="8">
        <f t="shared" si="856"/>
        <v>-0.67302052785923749</v>
      </c>
      <c r="T1745" s="7" t="s">
        <v>3718</v>
      </c>
      <c r="U1745" s="6" t="str">
        <f t="shared" si="840"/>
        <v>=5456*10000</v>
      </c>
      <c r="V1745" s="1">
        <f>5456*10000</f>
        <v>54560000</v>
      </c>
      <c r="W1745" s="8">
        <f t="shared" si="857"/>
        <v>0.67003367003366998</v>
      </c>
      <c r="X1745" s="7" t="s">
        <v>8081</v>
      </c>
      <c r="Y1745" s="6" t="str">
        <f t="shared" si="841"/>
        <v>=3267*10000</v>
      </c>
      <c r="Z1745" s="1">
        <f>3267*10000</f>
        <v>32670000</v>
      </c>
      <c r="AA1745" s="8">
        <f t="shared" si="858"/>
        <v>2.564648117839607</v>
      </c>
      <c r="AB1745" s="7" t="s">
        <v>5291</v>
      </c>
      <c r="AC1745" s="6" t="str">
        <f t="shared" si="842"/>
        <v>=916.5*10000</v>
      </c>
      <c r="AD1745" s="1">
        <f>916.5*10000</f>
        <v>9165000</v>
      </c>
      <c r="AE1745" s="8">
        <f t="shared" si="859"/>
        <v>0.3581802015411974</v>
      </c>
      <c r="AF1745" s="7" t="s">
        <v>16122</v>
      </c>
      <c r="AG1745" s="6" t="str">
        <f t="shared" si="843"/>
        <v>=674.8*10000</v>
      </c>
      <c r="AH1745" s="1">
        <f>674.8*10000</f>
        <v>6748000</v>
      </c>
      <c r="AI1745" s="8">
        <f t="shared" si="860"/>
        <v>-0.59127801332525742</v>
      </c>
      <c r="AJ1745" s="7" t="s">
        <v>16123</v>
      </c>
      <c r="AK1745" s="6" t="str">
        <f t="shared" si="844"/>
        <v>=1651*10000</v>
      </c>
      <c r="AL1745" s="1">
        <f>1651*10000</f>
        <v>16510000</v>
      </c>
      <c r="AM1745" s="8">
        <f t="shared" si="861"/>
        <v>-2.5958702064896755E-2</v>
      </c>
      <c r="AN1745" s="7" t="s">
        <v>9978</v>
      </c>
      <c r="AO1745" s="6" t="str">
        <f t="shared" si="845"/>
        <v>=1695*10000</v>
      </c>
      <c r="AP1745" s="1">
        <f>1695*10000</f>
        <v>16950000</v>
      </c>
      <c r="AQ1745" s="8">
        <f t="shared" si="862"/>
        <v>0.41132389675270609</v>
      </c>
      <c r="AR1745" s="7" t="s">
        <v>16124</v>
      </c>
      <c r="AS1745" s="6" t="str">
        <f t="shared" si="846"/>
        <v>=1201*10000</v>
      </c>
      <c r="AT1745" s="1">
        <f>1201*10000</f>
        <v>12010000</v>
      </c>
      <c r="AU1745" s="8">
        <f t="shared" si="863"/>
        <v>1.528953463887134</v>
      </c>
      <c r="AV1745" s="7" t="s">
        <v>1611</v>
      </c>
      <c r="AW1745" s="6" t="str">
        <f t="shared" si="847"/>
        <v>=474.9*10000</v>
      </c>
      <c r="AX1745" s="1">
        <f>474.9*10000</f>
        <v>4749000</v>
      </c>
      <c r="AY1745" s="10">
        <f t="shared" si="864"/>
        <v>-0.87571316409316935</v>
      </c>
      <c r="AZ1745" s="7" t="s">
        <v>6081</v>
      </c>
      <c r="BA1745" s="6" t="str">
        <f t="shared" si="848"/>
        <v>=3821*10000</v>
      </c>
      <c r="BB1745" s="1">
        <f>3821*10000</f>
        <v>38210000</v>
      </c>
      <c r="BC1745" s="8">
        <f t="shared" si="865"/>
        <v>0.1399164677804296</v>
      </c>
      <c r="BD1745" s="7" t="s">
        <v>4952</v>
      </c>
      <c r="BE1745" s="6" t="str">
        <f t="shared" si="849"/>
        <v>=3352*10000</v>
      </c>
      <c r="BF1745" s="1">
        <f>3352*10000</f>
        <v>33520000</v>
      </c>
      <c r="BG1745" s="8">
        <f t="shared" si="866"/>
        <v>0.65694513099357388</v>
      </c>
      <c r="BH1745" s="7" t="s">
        <v>3286</v>
      </c>
      <c r="BI1745" s="6" t="str">
        <f t="shared" si="850"/>
        <v>=2023*10000</v>
      </c>
      <c r="BJ1745" s="1">
        <f>2023*10000</f>
        <v>20230000</v>
      </c>
      <c r="BK1745" s="7" t="s">
        <v>16125</v>
      </c>
      <c r="BL1745" s="1" t="str">
        <f t="shared" si="852"/>
        <v>=613.1*10000</v>
      </c>
      <c r="BM1745" s="16">
        <f t="shared" si="867"/>
        <v>2.2996248572826619</v>
      </c>
      <c r="BN1745" s="1">
        <f>613.1*10000</f>
        <v>6131000</v>
      </c>
    </row>
    <row r="1746" spans="1:66">
      <c r="A1746" s="17">
        <v>438</v>
      </c>
      <c r="B1746">
        <v>603331</v>
      </c>
      <c r="C1746" t="s">
        <v>31</v>
      </c>
      <c r="D1746" s="6" t="s">
        <v>11056</v>
      </c>
      <c r="E1746" s="7" t="str">
        <f t="shared" si="851"/>
        <v>=12.18*100000000</v>
      </c>
      <c r="F1746" s="1">
        <f>12.18*100000000</f>
        <v>1218000000</v>
      </c>
      <c r="G1746" s="8">
        <f t="shared" si="853"/>
        <v>0.40646651270207851</v>
      </c>
      <c r="H1746" s="6" t="s">
        <v>4158</v>
      </c>
      <c r="I1746" s="6" t="str">
        <f t="shared" si="837"/>
        <v>=8.660*100000000</v>
      </c>
      <c r="J1746" s="1">
        <f>8.66*100000000</f>
        <v>866000000</v>
      </c>
      <c r="K1746" s="10">
        <f t="shared" si="854"/>
        <v>0.43093192333113023</v>
      </c>
      <c r="L1746" s="6" t="s">
        <v>16126</v>
      </c>
      <c r="M1746" s="6" t="str">
        <f t="shared" si="838"/>
        <v>=6.052*100000000</v>
      </c>
      <c r="N1746" s="1">
        <f>6.052*100000000</f>
        <v>605200000</v>
      </c>
      <c r="O1746" s="8">
        <f t="shared" si="855"/>
        <v>1.0281501340482573</v>
      </c>
      <c r="P1746" s="6" t="s">
        <v>15762</v>
      </c>
      <c r="Q1746" s="6" t="str">
        <f t="shared" si="839"/>
        <v>=2.984*100000000</v>
      </c>
      <c r="R1746" s="11">
        <f>2.984*100000000</f>
        <v>298400000</v>
      </c>
      <c r="S1746" s="8">
        <f t="shared" si="856"/>
        <v>-0.69160810252170324</v>
      </c>
      <c r="T1746" s="6" t="s">
        <v>9727</v>
      </c>
      <c r="U1746" s="6" t="str">
        <f t="shared" si="840"/>
        <v>=9.676*100000000</v>
      </c>
      <c r="V1746" s="1">
        <f>9.676*100000000</f>
        <v>967600000</v>
      </c>
      <c r="W1746" s="8">
        <f t="shared" si="857"/>
        <v>0.52305997166692897</v>
      </c>
      <c r="X1746" s="6" t="s">
        <v>5728</v>
      </c>
      <c r="Y1746" s="6" t="str">
        <f t="shared" si="841"/>
        <v>=6.353*100000000</v>
      </c>
      <c r="Z1746" s="1">
        <f>6.353*100000000</f>
        <v>635300000</v>
      </c>
      <c r="AA1746" s="8">
        <f t="shared" si="858"/>
        <v>0.68828062715918148</v>
      </c>
      <c r="AB1746" s="6" t="s">
        <v>1519</v>
      </c>
      <c r="AC1746" s="6" t="str">
        <f t="shared" si="842"/>
        <v>=3.763*100000000</v>
      </c>
      <c r="AD1746" s="1">
        <f>3.763*100000000</f>
        <v>376300000</v>
      </c>
      <c r="AE1746" s="8">
        <f t="shared" si="859"/>
        <v>1.1764025448235975</v>
      </c>
      <c r="AF1746" s="6" t="s">
        <v>15943</v>
      </c>
      <c r="AG1746" s="6" t="str">
        <f t="shared" si="843"/>
        <v>=1.729*100000000</v>
      </c>
      <c r="AH1746" s="1">
        <f>1.729*100000000</f>
        <v>172900000</v>
      </c>
      <c r="AI1746" s="8">
        <f t="shared" si="860"/>
        <v>-0.79708954348081218</v>
      </c>
      <c r="AJ1746" s="6" t="s">
        <v>1541</v>
      </c>
      <c r="AK1746" s="6" t="str">
        <f t="shared" si="844"/>
        <v>=8.521*100000000</v>
      </c>
      <c r="AL1746" s="1">
        <f>8.521*100000000</f>
        <v>852100000.00000012</v>
      </c>
      <c r="AM1746" s="8">
        <f t="shared" si="861"/>
        <v>0.34041214409312587</v>
      </c>
      <c r="AN1746" s="6" t="s">
        <v>16127</v>
      </c>
      <c r="AO1746" s="6" t="str">
        <f t="shared" si="845"/>
        <v>=6.357*100000000</v>
      </c>
      <c r="AP1746" s="1">
        <f>6.357*100000000</f>
        <v>635700000</v>
      </c>
      <c r="AQ1746" s="8">
        <f t="shared" si="862"/>
        <v>0.45903144365389031</v>
      </c>
      <c r="AR1746" s="6" t="s">
        <v>5929</v>
      </c>
      <c r="AS1746" s="6" t="str">
        <f t="shared" si="846"/>
        <v>=4.357*100000000</v>
      </c>
      <c r="AT1746" s="1">
        <f>4.357*100000000</f>
        <v>435700000</v>
      </c>
      <c r="AU1746" s="8">
        <f t="shared" si="863"/>
        <v>1.1171039844509236</v>
      </c>
      <c r="AV1746" s="6" t="s">
        <v>8294</v>
      </c>
      <c r="AW1746" s="6" t="str">
        <f t="shared" si="847"/>
        <v>=2.058*100000000</v>
      </c>
      <c r="AX1746" s="1">
        <f>2.058*100000000</f>
        <v>205799999.99999997</v>
      </c>
      <c r="AY1746" s="10">
        <f t="shared" si="864"/>
        <v>-0.73428018076178181</v>
      </c>
      <c r="AZ1746" s="6" t="s">
        <v>16128</v>
      </c>
      <c r="BA1746" s="6" t="str">
        <f t="shared" si="848"/>
        <v>=7.745*100000000</v>
      </c>
      <c r="BB1746" s="1">
        <f>7.745*100000000</f>
        <v>774500000</v>
      </c>
      <c r="BC1746" s="8">
        <f t="shared" si="865"/>
        <v>0.33718922651933703</v>
      </c>
      <c r="BD1746" s="6" t="s">
        <v>7552</v>
      </c>
      <c r="BE1746" s="6" t="str">
        <f t="shared" si="849"/>
        <v>=5.792*100000000</v>
      </c>
      <c r="BF1746" s="1">
        <f>5.792*100000000</f>
        <v>579200000</v>
      </c>
      <c r="BG1746" s="8">
        <f t="shared" si="866"/>
        <v>0.43829153215793393</v>
      </c>
      <c r="BH1746" s="6" t="s">
        <v>16129</v>
      </c>
      <c r="BI1746" s="6" t="str">
        <f t="shared" si="850"/>
        <v>=4.027*100000000</v>
      </c>
      <c r="BJ1746" s="1">
        <f>4.027*100000000</f>
        <v>402700000</v>
      </c>
      <c r="BK1746" s="6" t="s">
        <v>12210</v>
      </c>
      <c r="BL1746" s="1" t="str">
        <f t="shared" si="852"/>
        <v>=1.932*100000000</v>
      </c>
      <c r="BM1746" s="16">
        <f t="shared" si="867"/>
        <v>1.084368530020704</v>
      </c>
      <c r="BN1746" s="1">
        <f>1.932*100000000</f>
        <v>193200000</v>
      </c>
    </row>
    <row r="1747" spans="1:66">
      <c r="A1747" s="18"/>
      <c r="B1747">
        <v>603331</v>
      </c>
      <c r="C1747" t="s">
        <v>48</v>
      </c>
      <c r="D1747" s="6" t="s">
        <v>5203</v>
      </c>
      <c r="E1747" s="7" t="str">
        <f t="shared" si="851"/>
        <v>=1.061*100000000</v>
      </c>
      <c r="F1747" s="1">
        <f>1.061*100000000</f>
        <v>106100000</v>
      </c>
      <c r="G1747" s="8">
        <f t="shared" si="853"/>
        <v>0.23372093023255813</v>
      </c>
      <c r="H1747" s="7" t="s">
        <v>16130</v>
      </c>
      <c r="I1747" s="6" t="str">
        <f t="shared" si="837"/>
        <v>=8600*10000</v>
      </c>
      <c r="J1747" s="1">
        <f>8600*10000</f>
        <v>86000000</v>
      </c>
      <c r="K1747" s="10">
        <f t="shared" si="854"/>
        <v>0.2893553223388306</v>
      </c>
      <c r="L1747" s="7" t="s">
        <v>6815</v>
      </c>
      <c r="M1747" s="6" t="str">
        <f t="shared" si="838"/>
        <v>=6670*10000</v>
      </c>
      <c r="N1747" s="1">
        <f>6670*10000</f>
        <v>66700000</v>
      </c>
      <c r="O1747" s="8">
        <f t="shared" si="855"/>
        <v>0.88524590163934425</v>
      </c>
      <c r="P1747" s="7" t="s">
        <v>16131</v>
      </c>
      <c r="Q1747" s="6" t="str">
        <f t="shared" si="839"/>
        <v>=3538*10000</v>
      </c>
      <c r="R1747" s="11">
        <f>3538*10000</f>
        <v>35380000</v>
      </c>
      <c r="S1747" s="8">
        <f t="shared" si="856"/>
        <v>-0.6447791164658635</v>
      </c>
      <c r="T1747" s="7" t="s">
        <v>16132</v>
      </c>
      <c r="U1747" s="6" t="str">
        <f t="shared" si="840"/>
        <v>=9960*10000</v>
      </c>
      <c r="V1747" s="1">
        <f>9960*10000</f>
        <v>99600000</v>
      </c>
      <c r="W1747" s="8">
        <f t="shared" si="857"/>
        <v>0.91907514450867056</v>
      </c>
      <c r="X1747" s="7" t="s">
        <v>3195</v>
      </c>
      <c r="Y1747" s="6" t="str">
        <f t="shared" si="841"/>
        <v>=5190*10000</v>
      </c>
      <c r="Z1747" s="1">
        <f>5190*10000</f>
        <v>51900000</v>
      </c>
      <c r="AA1747" s="8">
        <f t="shared" si="858"/>
        <v>1.0587068623562079</v>
      </c>
      <c r="AB1747" s="7" t="s">
        <v>16133</v>
      </c>
      <c r="AC1747" s="6" t="str">
        <f t="shared" si="842"/>
        <v>=2521*10000</v>
      </c>
      <c r="AD1747" s="1">
        <f>2521*10000</f>
        <v>25210000</v>
      </c>
      <c r="AE1747" s="8">
        <f t="shared" si="859"/>
        <v>0.77285513361462732</v>
      </c>
      <c r="AF1747" s="7" t="s">
        <v>16134</v>
      </c>
      <c r="AG1747" s="6" t="str">
        <f t="shared" si="843"/>
        <v>=1422*10000</v>
      </c>
      <c r="AH1747" s="1">
        <f>1422*10000</f>
        <v>14220000</v>
      </c>
      <c r="AI1747" s="8">
        <f t="shared" si="860"/>
        <v>-0.84111731843575421</v>
      </c>
      <c r="AJ1747" s="7" t="s">
        <v>16135</v>
      </c>
      <c r="AK1747" s="6" t="str">
        <f t="shared" si="844"/>
        <v>=8950*10000</v>
      </c>
      <c r="AL1747" s="1">
        <f>8950*10000</f>
        <v>89500000</v>
      </c>
      <c r="AM1747" s="8">
        <f t="shared" si="861"/>
        <v>0.15737747316694686</v>
      </c>
      <c r="AN1747" s="7" t="s">
        <v>16136</v>
      </c>
      <c r="AO1747" s="6" t="str">
        <f t="shared" si="845"/>
        <v>=7733*10000</v>
      </c>
      <c r="AP1747" s="1">
        <f>7733*10000</f>
        <v>77330000</v>
      </c>
      <c r="AQ1747" s="8">
        <f t="shared" si="862"/>
        <v>0.3740227434257285</v>
      </c>
      <c r="AR1747" s="7" t="s">
        <v>5933</v>
      </c>
      <c r="AS1747" s="6" t="str">
        <f t="shared" si="846"/>
        <v>=5628*10000</v>
      </c>
      <c r="AT1747" s="1">
        <f>5628*10000</f>
        <v>56280000</v>
      </c>
      <c r="AU1747" s="8">
        <f t="shared" si="863"/>
        <v>0.91298436437797414</v>
      </c>
      <c r="AV1747" s="7" t="s">
        <v>16137</v>
      </c>
      <c r="AW1747" s="6" t="str">
        <f t="shared" si="847"/>
        <v>=2942*10000</v>
      </c>
      <c r="AX1747" s="1">
        <f>2942*10000</f>
        <v>29420000</v>
      </c>
      <c r="AY1747" s="10">
        <f t="shared" si="864"/>
        <v>-0.66330968184939343</v>
      </c>
      <c r="AZ1747" s="7" t="s">
        <v>16138</v>
      </c>
      <c r="BA1747" s="6" t="str">
        <f t="shared" si="848"/>
        <v>=8738*10000</v>
      </c>
      <c r="BB1747" s="1">
        <f>8738*10000</f>
        <v>87380000</v>
      </c>
      <c r="BC1747" s="8">
        <f t="shared" si="865"/>
        <v>0.22243984331281477</v>
      </c>
      <c r="BD1747" s="7" t="s">
        <v>16139</v>
      </c>
      <c r="BE1747" s="6" t="str">
        <f t="shared" si="849"/>
        <v>=7148*10000</v>
      </c>
      <c r="BF1747" s="1">
        <f>7148*10000</f>
        <v>71480000</v>
      </c>
      <c r="BG1747" s="8">
        <f t="shared" si="866"/>
        <v>0.43017206882753101</v>
      </c>
      <c r="BH1747" s="7" t="s">
        <v>15188</v>
      </c>
      <c r="BI1747" s="6" t="str">
        <f t="shared" si="850"/>
        <v>=4998*10000</v>
      </c>
      <c r="BJ1747" s="1">
        <f>4998*10000</f>
        <v>49980000</v>
      </c>
      <c r="BK1747" s="7" t="s">
        <v>16140</v>
      </c>
      <c r="BL1747" s="1" t="str">
        <f t="shared" si="852"/>
        <v>=2355*10000</v>
      </c>
      <c r="BM1747" s="16">
        <f t="shared" si="867"/>
        <v>1.1222929936305732</v>
      </c>
      <c r="BN1747" s="1">
        <f>2355*10000</f>
        <v>23550000</v>
      </c>
    </row>
    <row r="1748" spans="1:66">
      <c r="A1748" s="18"/>
      <c r="B1748">
        <v>603331</v>
      </c>
      <c r="C1748" t="s">
        <v>58</v>
      </c>
      <c r="D1748" s="6" t="s">
        <v>4870</v>
      </c>
      <c r="E1748" s="7" t="str">
        <f t="shared" si="851"/>
        <v>=1.079*100000000</v>
      </c>
      <c r="F1748" s="1">
        <f>1.079*100000000</f>
        <v>107900000</v>
      </c>
      <c r="G1748" s="8">
        <f t="shared" si="853"/>
        <v>0.25523499302000929</v>
      </c>
      <c r="H1748" s="7" t="s">
        <v>2667</v>
      </c>
      <c r="I1748" s="6" t="str">
        <f t="shared" si="837"/>
        <v>=8596*10000</v>
      </c>
      <c r="J1748" s="1">
        <f>8596*10000</f>
        <v>85960000</v>
      </c>
      <c r="K1748" s="10">
        <f t="shared" si="854"/>
        <v>0.2883693045563549</v>
      </c>
      <c r="L1748" s="7" t="s">
        <v>16141</v>
      </c>
      <c r="M1748" s="6" t="str">
        <f t="shared" si="838"/>
        <v>=6672*10000</v>
      </c>
      <c r="N1748" s="1">
        <f>6672*10000</f>
        <v>66720000</v>
      </c>
      <c r="O1748" s="8">
        <f t="shared" si="855"/>
        <v>0.88581119276427356</v>
      </c>
      <c r="P1748" s="7" t="s">
        <v>16131</v>
      </c>
      <c r="Q1748" s="6" t="str">
        <f t="shared" si="839"/>
        <v>=3538*10000</v>
      </c>
      <c r="R1748" s="11">
        <f>3538*10000</f>
        <v>35380000</v>
      </c>
      <c r="S1748" s="8">
        <f t="shared" si="856"/>
        <v>-0.64150369844969091</v>
      </c>
      <c r="T1748" s="7" t="s">
        <v>16142</v>
      </c>
      <c r="U1748" s="6" t="str">
        <f t="shared" si="840"/>
        <v>=9869*10000</v>
      </c>
      <c r="V1748" s="1">
        <f>9869*10000</f>
        <v>98690000</v>
      </c>
      <c r="W1748" s="8">
        <f t="shared" si="857"/>
        <v>0.93775770665619473</v>
      </c>
      <c r="X1748" s="7" t="s">
        <v>2127</v>
      </c>
      <c r="Y1748" s="6" t="str">
        <f t="shared" si="841"/>
        <v>=5093*10000</v>
      </c>
      <c r="Z1748" s="1">
        <f>5093*10000</f>
        <v>50930000</v>
      </c>
      <c r="AA1748" s="8">
        <f t="shared" si="858"/>
        <v>1.0933004521167282</v>
      </c>
      <c r="AB1748" s="7" t="s">
        <v>16143</v>
      </c>
      <c r="AC1748" s="6" t="str">
        <f t="shared" si="842"/>
        <v>=2433*10000</v>
      </c>
      <c r="AD1748" s="1">
        <f>2433*10000</f>
        <v>24330000</v>
      </c>
      <c r="AE1748" s="8">
        <f t="shared" si="859"/>
        <v>0.82247191011235954</v>
      </c>
      <c r="AF1748" s="7" t="s">
        <v>16144</v>
      </c>
      <c r="AG1748" s="6" t="str">
        <f t="shared" si="843"/>
        <v>=1335*10000</v>
      </c>
      <c r="AH1748" s="1">
        <f>1335*10000</f>
        <v>13350000</v>
      </c>
      <c r="AI1748" s="8">
        <f t="shared" si="860"/>
        <v>-0.85015153215849137</v>
      </c>
      <c r="AJ1748" s="7" t="s">
        <v>16145</v>
      </c>
      <c r="AK1748" s="6" t="str">
        <f t="shared" si="844"/>
        <v>=8909*10000</v>
      </c>
      <c r="AL1748" s="1">
        <f>8909*10000</f>
        <v>89090000</v>
      </c>
      <c r="AM1748" s="8">
        <f t="shared" si="861"/>
        <v>0.15491314493129374</v>
      </c>
      <c r="AN1748" s="7" t="s">
        <v>6054</v>
      </c>
      <c r="AO1748" s="6" t="str">
        <f t="shared" si="845"/>
        <v>=7714*10000</v>
      </c>
      <c r="AP1748" s="1">
        <f>7714*10000</f>
        <v>77140000</v>
      </c>
      <c r="AQ1748" s="8">
        <f t="shared" si="862"/>
        <v>0.37504456327985741</v>
      </c>
      <c r="AR1748" s="7" t="s">
        <v>11337</v>
      </c>
      <c r="AS1748" s="6" t="str">
        <f t="shared" si="846"/>
        <v>=5610*10000</v>
      </c>
      <c r="AT1748" s="1">
        <f>5610*10000</f>
        <v>56100000</v>
      </c>
      <c r="AU1748" s="8">
        <f t="shared" si="863"/>
        <v>0.9068660774983005</v>
      </c>
      <c r="AV1748" s="7" t="s">
        <v>16137</v>
      </c>
      <c r="AW1748" s="6" t="str">
        <f t="shared" si="847"/>
        <v>=2942*10000</v>
      </c>
      <c r="AX1748" s="1">
        <f>2942*10000</f>
        <v>29420000</v>
      </c>
      <c r="AY1748" s="10">
        <f t="shared" si="864"/>
        <v>-0.66098179303987092</v>
      </c>
      <c r="AZ1748" s="7" t="s">
        <v>2201</v>
      </c>
      <c r="BA1748" s="6" t="str">
        <f t="shared" si="848"/>
        <v>=8678*10000</v>
      </c>
      <c r="BB1748" s="1">
        <f>8678*10000</f>
        <v>86780000</v>
      </c>
      <c r="BC1748" s="8">
        <f t="shared" si="865"/>
        <v>0.21099637175551214</v>
      </c>
      <c r="BD1748" s="7" t="s">
        <v>8103</v>
      </c>
      <c r="BE1748" s="6" t="str">
        <f t="shared" si="849"/>
        <v>=7166*10000</v>
      </c>
      <c r="BF1748" s="1">
        <f>7166*10000</f>
        <v>71660000</v>
      </c>
      <c r="BG1748" s="8">
        <f t="shared" si="866"/>
        <v>0.4363599919823612</v>
      </c>
      <c r="BH1748" s="7" t="s">
        <v>16146</v>
      </c>
      <c r="BI1748" s="6" t="str">
        <f t="shared" si="850"/>
        <v>=4989*10000</v>
      </c>
      <c r="BJ1748" s="1">
        <f>4989*10000</f>
        <v>49890000</v>
      </c>
      <c r="BK1748" s="7" t="s">
        <v>16147</v>
      </c>
      <c r="BL1748" s="1" t="str">
        <f t="shared" si="852"/>
        <v>=2354*10000</v>
      </c>
      <c r="BM1748" s="16">
        <f t="shared" si="867"/>
        <v>1.1193712829226847</v>
      </c>
      <c r="BN1748" s="1">
        <f>2354*10000</f>
        <v>23540000</v>
      </c>
    </row>
    <row r="1749" spans="1:66">
      <c r="A1749" s="19"/>
      <c r="B1749">
        <v>603331</v>
      </c>
      <c r="C1749" t="s">
        <v>68</v>
      </c>
      <c r="D1749" s="7" t="s">
        <v>15037</v>
      </c>
      <c r="E1749" s="7" t="str">
        <f t="shared" si="851"/>
        <v>=9078*10000</v>
      </c>
      <c r="F1749" s="1">
        <f>9078*10000</f>
        <v>90780000</v>
      </c>
      <c r="G1749" s="8">
        <f t="shared" si="853"/>
        <v>0.27267629328473292</v>
      </c>
      <c r="H1749" s="7" t="s">
        <v>16148</v>
      </c>
      <c r="I1749" s="6" t="str">
        <f t="shared" si="837"/>
        <v>=7133*10000</v>
      </c>
      <c r="J1749" s="1">
        <f>7133*10000</f>
        <v>71330000</v>
      </c>
      <c r="K1749" s="10">
        <f t="shared" si="854"/>
        <v>0.34356752684121306</v>
      </c>
      <c r="L1749" s="7" t="s">
        <v>11030</v>
      </c>
      <c r="M1749" s="6" t="str">
        <f t="shared" si="838"/>
        <v>=5309*10000</v>
      </c>
      <c r="N1749" s="1">
        <f>5309*10000</f>
        <v>53090000</v>
      </c>
      <c r="O1749" s="8">
        <f t="shared" si="855"/>
        <v>0.83511925337020398</v>
      </c>
      <c r="P1749" s="7" t="s">
        <v>16149</v>
      </c>
      <c r="Q1749" s="6" t="str">
        <f t="shared" si="839"/>
        <v>=2893*10000</v>
      </c>
      <c r="R1749" s="11">
        <f>2893*10000</f>
        <v>28930000</v>
      </c>
      <c r="S1749" s="8">
        <f t="shared" si="856"/>
        <v>-0.64275129661644848</v>
      </c>
      <c r="T1749" s="7" t="s">
        <v>16150</v>
      </c>
      <c r="U1749" s="6" t="str">
        <f t="shared" si="840"/>
        <v>=8098*10000</v>
      </c>
      <c r="V1749" s="1">
        <f>8098*10000</f>
        <v>80980000</v>
      </c>
      <c r="W1749" s="8">
        <f t="shared" si="857"/>
        <v>0.92626070409134154</v>
      </c>
      <c r="X1749" s="7" t="s">
        <v>5498</v>
      </c>
      <c r="Y1749" s="6" t="str">
        <f t="shared" si="841"/>
        <v>=4204*10000</v>
      </c>
      <c r="Z1749" s="1">
        <f>4204*10000</f>
        <v>42040000</v>
      </c>
      <c r="AA1749" s="8">
        <f t="shared" si="858"/>
        <v>1.093625498007968</v>
      </c>
      <c r="AB1749" s="7" t="s">
        <v>16151</v>
      </c>
      <c r="AC1749" s="6" t="str">
        <f t="shared" si="842"/>
        <v>=2008*10000</v>
      </c>
      <c r="AD1749" s="1">
        <f>2008*10000</f>
        <v>20080000</v>
      </c>
      <c r="AE1749" s="8">
        <f t="shared" si="859"/>
        <v>0.90512333965844405</v>
      </c>
      <c r="AF1749" s="7" t="s">
        <v>16152</v>
      </c>
      <c r="AG1749" s="6" t="str">
        <f t="shared" si="843"/>
        <v>=1054*10000</v>
      </c>
      <c r="AH1749" s="1">
        <f>1054*10000</f>
        <v>10540000</v>
      </c>
      <c r="AI1749" s="8">
        <f t="shared" si="860"/>
        <v>-0.85762528704579222</v>
      </c>
      <c r="AJ1749" s="7" t="s">
        <v>16153</v>
      </c>
      <c r="AK1749" s="6" t="str">
        <f t="shared" si="844"/>
        <v>=7403*10000</v>
      </c>
      <c r="AL1749" s="1">
        <f>7403*10000</f>
        <v>74030000</v>
      </c>
      <c r="AM1749" s="8">
        <f t="shared" si="861"/>
        <v>0.18032525510204081</v>
      </c>
      <c r="AN1749" s="7" t="s">
        <v>16154</v>
      </c>
      <c r="AO1749" s="6" t="str">
        <f t="shared" si="845"/>
        <v>=6272*10000</v>
      </c>
      <c r="AP1749" s="1">
        <f>6272*10000</f>
        <v>62720000</v>
      </c>
      <c r="AQ1749" s="8">
        <f t="shared" si="862"/>
        <v>0.36704446381865735</v>
      </c>
      <c r="AR1749" s="7" t="s">
        <v>3193</v>
      </c>
      <c r="AS1749" s="6" t="str">
        <f t="shared" si="846"/>
        <v>=4588*10000</v>
      </c>
      <c r="AT1749" s="1">
        <f>4588*10000</f>
        <v>45880000</v>
      </c>
      <c r="AU1749" s="8">
        <f t="shared" si="863"/>
        <v>0.91326105087572973</v>
      </c>
      <c r="AV1749" s="7" t="s">
        <v>16155</v>
      </c>
      <c r="AW1749" s="6" t="str">
        <f t="shared" si="847"/>
        <v>=2398*10000</v>
      </c>
      <c r="AX1749" s="1">
        <f>2398*10000</f>
        <v>23980000</v>
      </c>
      <c r="AY1749" s="10">
        <f t="shared" si="864"/>
        <v>-0.66129943502824862</v>
      </c>
      <c r="AZ1749" s="7" t="s">
        <v>16156</v>
      </c>
      <c r="BA1749" s="6" t="str">
        <f t="shared" si="848"/>
        <v>=7080*10000</v>
      </c>
      <c r="BB1749" s="1">
        <f>7080*10000</f>
        <v>70800000</v>
      </c>
      <c r="BC1749" s="8">
        <f t="shared" si="865"/>
        <v>0.2135755913609873</v>
      </c>
      <c r="BD1749" s="7" t="s">
        <v>16157</v>
      </c>
      <c r="BE1749" s="6" t="str">
        <f t="shared" si="849"/>
        <v>=5834*10000</v>
      </c>
      <c r="BF1749" s="1">
        <f>5834*10000</f>
        <v>58340000</v>
      </c>
      <c r="BG1749" s="8">
        <f t="shared" si="866"/>
        <v>0.42815177478580169</v>
      </c>
      <c r="BH1749" s="7" t="s">
        <v>15551</v>
      </c>
      <c r="BI1749" s="6" t="str">
        <f t="shared" si="850"/>
        <v>=4085*10000</v>
      </c>
      <c r="BJ1749" s="1">
        <f>4085*10000</f>
        <v>40850000</v>
      </c>
      <c r="BK1749" s="7" t="s">
        <v>16158</v>
      </c>
      <c r="BL1749" s="1" t="str">
        <f t="shared" si="852"/>
        <v>=1955*10000</v>
      </c>
      <c r="BM1749" s="16">
        <f t="shared" si="867"/>
        <v>1.0895140664961638</v>
      </c>
      <c r="BN1749" s="1">
        <f>1955*10000</f>
        <v>19550000</v>
      </c>
    </row>
    <row r="1750" spans="1:66">
      <c r="A1750" s="17">
        <v>439</v>
      </c>
      <c r="B1750">
        <v>603333</v>
      </c>
      <c r="C1750" t="s">
        <v>31</v>
      </c>
      <c r="D1750" s="6" t="s">
        <v>7088</v>
      </c>
      <c r="E1750" s="7" t="str">
        <f t="shared" si="851"/>
        <v>=23.44*100000000</v>
      </c>
      <c r="F1750" s="1">
        <f>23.44*100000000</f>
        <v>2344000000</v>
      </c>
      <c r="G1750" s="8">
        <f t="shared" si="853"/>
        <v>0.32429378531073444</v>
      </c>
      <c r="H1750" s="6" t="s">
        <v>5239</v>
      </c>
      <c r="I1750" s="6" t="str">
        <f t="shared" si="837"/>
        <v>=17.70*100000000</v>
      </c>
      <c r="J1750" s="1">
        <f>17.7*100000000</f>
        <v>1770000000</v>
      </c>
      <c r="K1750" s="10">
        <f t="shared" si="854"/>
        <v>0.76119402985074602</v>
      </c>
      <c r="L1750" s="6" t="s">
        <v>1093</v>
      </c>
      <c r="M1750" s="6" t="str">
        <f t="shared" si="838"/>
        <v>=10.05*100000000</v>
      </c>
      <c r="N1750" s="1">
        <f>10.05*100000000</f>
        <v>1005000000.0000001</v>
      </c>
      <c r="O1750" s="8">
        <f t="shared" si="855"/>
        <v>1.7862489603548659</v>
      </c>
      <c r="P1750" s="6" t="s">
        <v>16159</v>
      </c>
      <c r="Q1750" s="6" t="str">
        <f t="shared" si="839"/>
        <v>=3.607*100000000</v>
      </c>
      <c r="R1750" s="11">
        <f>3.607*100000000</f>
        <v>360700000</v>
      </c>
      <c r="S1750" s="8">
        <f t="shared" si="856"/>
        <v>-0.82231527093596057</v>
      </c>
      <c r="T1750" s="6" t="s">
        <v>16160</v>
      </c>
      <c r="U1750" s="6" t="str">
        <f t="shared" si="840"/>
        <v>=20.30*100000000</v>
      </c>
      <c r="V1750" s="1">
        <f>20.3*100000000</f>
        <v>2030000000</v>
      </c>
      <c r="W1750" s="8">
        <f t="shared" si="857"/>
        <v>0.25852448853068816</v>
      </c>
      <c r="X1750" s="6" t="s">
        <v>8661</v>
      </c>
      <c r="Y1750" s="6" t="str">
        <f t="shared" si="841"/>
        <v>=16.13*100000000</v>
      </c>
      <c r="Z1750" s="1">
        <f>16.13*100000000</f>
        <v>1613000000</v>
      </c>
      <c r="AA1750" s="8">
        <f t="shared" si="858"/>
        <v>0.73964624676445212</v>
      </c>
      <c r="AB1750" s="6" t="s">
        <v>16161</v>
      </c>
      <c r="AC1750" s="6" t="str">
        <f t="shared" si="842"/>
        <v>=9.272*100000000</v>
      </c>
      <c r="AD1750" s="1">
        <f>9.272*100000000</f>
        <v>927200000</v>
      </c>
      <c r="AE1750" s="8">
        <f t="shared" si="859"/>
        <v>3.5031568722680908</v>
      </c>
      <c r="AF1750" s="6" t="s">
        <v>16162</v>
      </c>
      <c r="AG1750" s="6" t="str">
        <f t="shared" si="843"/>
        <v>=2.059*100000000</v>
      </c>
      <c r="AH1750" s="1">
        <f>2.059*100000000</f>
        <v>205900000.00000003</v>
      </c>
      <c r="AI1750" s="8">
        <f t="shared" si="860"/>
        <v>-0.89877089478859395</v>
      </c>
      <c r="AJ1750" s="6" t="s">
        <v>14668</v>
      </c>
      <c r="AK1750" s="6" t="str">
        <f t="shared" si="844"/>
        <v>=20.34*100000000</v>
      </c>
      <c r="AL1750" s="1">
        <f>20.34*100000000</f>
        <v>2034000000</v>
      </c>
      <c r="AM1750" s="8">
        <f t="shared" si="861"/>
        <v>0.42937456078706959</v>
      </c>
      <c r="AN1750" s="6" t="s">
        <v>2134</v>
      </c>
      <c r="AO1750" s="6" t="str">
        <f t="shared" si="845"/>
        <v>=14.23*100000000</v>
      </c>
      <c r="AP1750" s="1">
        <f>14.23*100000000</f>
        <v>1423000000</v>
      </c>
      <c r="AQ1750" s="8">
        <f t="shared" si="862"/>
        <v>0.56631810676939986</v>
      </c>
      <c r="AR1750" s="6" t="s">
        <v>16163</v>
      </c>
      <c r="AS1750" s="6" t="str">
        <f t="shared" si="846"/>
        <v>=9.085*100000000</v>
      </c>
      <c r="AT1750" s="1">
        <f>9.085*100000000</f>
        <v>908500000.00000012</v>
      </c>
      <c r="AU1750" s="8">
        <f t="shared" si="863"/>
        <v>1.0861079219288174</v>
      </c>
      <c r="AV1750" s="6" t="s">
        <v>14684</v>
      </c>
      <c r="AW1750" s="6" t="str">
        <f t="shared" si="847"/>
        <v>=4.355*100000000</v>
      </c>
      <c r="AX1750" s="1">
        <f>4.355*100000000</f>
        <v>435500000.00000006</v>
      </c>
      <c r="AY1750" s="10">
        <f t="shared" si="864"/>
        <v>-0.72349206349206352</v>
      </c>
      <c r="AZ1750" s="6" t="s">
        <v>16164</v>
      </c>
      <c r="BA1750" s="6" t="str">
        <f t="shared" si="848"/>
        <v>=15.75*100000000</v>
      </c>
      <c r="BB1750" s="1">
        <f>15.75*100000000</f>
        <v>1575000000</v>
      </c>
      <c r="BC1750" s="8">
        <f t="shared" si="865"/>
        <v>0.42792384406165007</v>
      </c>
      <c r="BD1750" s="6" t="s">
        <v>12800</v>
      </c>
      <c r="BE1750" s="6" t="str">
        <f t="shared" si="849"/>
        <v>=11.03*100000000</v>
      </c>
      <c r="BF1750" s="1">
        <f>11.03*100000000</f>
        <v>1103000000</v>
      </c>
      <c r="BG1750" s="8">
        <f t="shared" si="866"/>
        <v>0.65169212339023663</v>
      </c>
      <c r="BH1750" s="6" t="s">
        <v>16165</v>
      </c>
      <c r="BI1750" s="6" t="str">
        <f t="shared" si="850"/>
        <v>=6.678*100000000</v>
      </c>
      <c r="BJ1750" s="1">
        <f>6.678*100000000</f>
        <v>667800000</v>
      </c>
      <c r="BK1750" s="6" t="s">
        <v>6096</v>
      </c>
      <c r="BL1750" s="1" t="str">
        <f t="shared" si="852"/>
        <v>=2.182*100000000</v>
      </c>
      <c r="BM1750" s="16">
        <f t="shared" si="867"/>
        <v>2.0604949587534374</v>
      </c>
      <c r="BN1750" s="1">
        <f>2.182*100000000</f>
        <v>218200000</v>
      </c>
    </row>
    <row r="1751" spans="1:66">
      <c r="A1751" s="18"/>
      <c r="B1751">
        <v>603333</v>
      </c>
      <c r="C1751" t="s">
        <v>48</v>
      </c>
      <c r="D1751" s="7">
        <f>-3230*10000</f>
        <v>-32300000</v>
      </c>
      <c r="E1751" s="7" t="str">
        <f t="shared" si="851"/>
        <v>=-32300000</v>
      </c>
      <c r="F1751" s="1">
        <f>-32300000</f>
        <v>-32300000</v>
      </c>
      <c r="G1751" s="8">
        <f t="shared" si="853"/>
        <v>-2.4235345967386515</v>
      </c>
      <c r="H1751" s="7" t="s">
        <v>16166</v>
      </c>
      <c r="I1751" s="6" t="str">
        <f t="shared" si="837"/>
        <v>=2269*10000</v>
      </c>
      <c r="J1751" s="1">
        <f>2269*10000</f>
        <v>22690000</v>
      </c>
      <c r="K1751" s="10">
        <f t="shared" si="854"/>
        <v>0.43154574132492113</v>
      </c>
      <c r="L1751" s="7" t="s">
        <v>16167</v>
      </c>
      <c r="M1751" s="6" t="str">
        <f t="shared" si="838"/>
        <v>=1585*10000</v>
      </c>
      <c r="N1751" s="1">
        <f>1585*10000</f>
        <v>15850000</v>
      </c>
      <c r="O1751" s="8">
        <f t="shared" si="855"/>
        <v>66.303609341825904</v>
      </c>
      <c r="P1751" s="7" t="s">
        <v>16168</v>
      </c>
      <c r="Q1751" s="6" t="str">
        <f t="shared" si="839"/>
        <v>=23.55*10000</v>
      </c>
      <c r="R1751" s="11">
        <f>23.55*10000</f>
        <v>235500</v>
      </c>
      <c r="S1751" s="8">
        <f t="shared" si="856"/>
        <v>-0.98865606936416184</v>
      </c>
      <c r="T1751" s="7" t="s">
        <v>16169</v>
      </c>
      <c r="U1751" s="6" t="str">
        <f t="shared" si="840"/>
        <v>=2076*10000</v>
      </c>
      <c r="V1751" s="1">
        <f>2076*10000</f>
        <v>20760000</v>
      </c>
      <c r="W1751" s="8">
        <f t="shared" si="857"/>
        <v>-0.58111380145278446</v>
      </c>
      <c r="X1751" s="7" t="s">
        <v>16170</v>
      </c>
      <c r="Y1751" s="6" t="str">
        <f t="shared" si="841"/>
        <v>=4956*10000</v>
      </c>
      <c r="Z1751" s="1">
        <f>4956*10000</f>
        <v>49560000</v>
      </c>
      <c r="AA1751" s="8">
        <f t="shared" si="858"/>
        <v>1.4595533498759306</v>
      </c>
      <c r="AB1751" s="7" t="s">
        <v>5305</v>
      </c>
      <c r="AC1751" s="6" t="str">
        <f t="shared" si="842"/>
        <v>=2015*10000</v>
      </c>
      <c r="AD1751" s="1">
        <f>2015*10000</f>
        <v>20150000</v>
      </c>
      <c r="AE1751" s="8">
        <f t="shared" si="859"/>
        <v>-2.651639344262295</v>
      </c>
      <c r="AF1751" s="7">
        <f>-1220*10000</f>
        <v>-12200000</v>
      </c>
      <c r="AG1751" s="6" t="str">
        <f t="shared" si="843"/>
        <v>=-12200000</v>
      </c>
      <c r="AH1751" s="1">
        <f>-12200000</f>
        <v>-12200000</v>
      </c>
      <c r="AI1751" s="8">
        <f t="shared" si="860"/>
        <v>-1.1166347992351817</v>
      </c>
      <c r="AJ1751" s="6" t="s">
        <v>10249</v>
      </c>
      <c r="AK1751" s="6" t="str">
        <f t="shared" si="844"/>
        <v>=1.046*100000000</v>
      </c>
      <c r="AL1751" s="1">
        <f>1.046*100000000</f>
        <v>104600000</v>
      </c>
      <c r="AM1751" s="8">
        <f t="shared" si="861"/>
        <v>0.13387533875338753</v>
      </c>
      <c r="AN1751" s="7" t="s">
        <v>16171</v>
      </c>
      <c r="AO1751" s="6" t="str">
        <f t="shared" si="845"/>
        <v>=9225*10000</v>
      </c>
      <c r="AP1751" s="1">
        <f>9225*10000</f>
        <v>92250000</v>
      </c>
      <c r="AQ1751" s="8">
        <f t="shared" si="862"/>
        <v>0.51452963388606143</v>
      </c>
      <c r="AR1751" s="7" t="s">
        <v>16172</v>
      </c>
      <c r="AS1751" s="6" t="str">
        <f t="shared" si="846"/>
        <v>=6091*10000</v>
      </c>
      <c r="AT1751" s="1">
        <f>6091*10000</f>
        <v>60910000</v>
      </c>
      <c r="AU1751" s="8">
        <f t="shared" si="863"/>
        <v>2.2416178818520489</v>
      </c>
      <c r="AV1751" s="7" t="s">
        <v>3300</v>
      </c>
      <c r="AW1751" s="6" t="str">
        <f t="shared" si="847"/>
        <v>=1879*10000</v>
      </c>
      <c r="AX1751" s="1">
        <f>1879*10000</f>
        <v>18790000</v>
      </c>
      <c r="AY1751" s="10">
        <f t="shared" si="864"/>
        <v>-0.67389795209996528</v>
      </c>
      <c r="AZ1751" s="7" t="s">
        <v>16173</v>
      </c>
      <c r="BA1751" s="6" t="str">
        <f t="shared" si="848"/>
        <v>=5762*10000</v>
      </c>
      <c r="BB1751" s="1">
        <f>5762*10000</f>
        <v>57620000</v>
      </c>
      <c r="BC1751" s="8">
        <f t="shared" si="865"/>
        <v>8.6554780313030363E-2</v>
      </c>
      <c r="BD1751" s="7" t="s">
        <v>16174</v>
      </c>
      <c r="BE1751" s="6" t="str">
        <f t="shared" si="849"/>
        <v>=5303*10000</v>
      </c>
      <c r="BF1751" s="1">
        <f>5303*10000</f>
        <v>53030000</v>
      </c>
      <c r="BG1751" s="8">
        <f t="shared" si="866"/>
        <v>0.82736044107512063</v>
      </c>
      <c r="BH1751" s="7" t="s">
        <v>15653</v>
      </c>
      <c r="BI1751" s="6" t="str">
        <f t="shared" si="850"/>
        <v>=2902*10000</v>
      </c>
      <c r="BJ1751" s="1">
        <f>2902*10000</f>
        <v>29020000</v>
      </c>
      <c r="BK1751" s="7">
        <f>-873.1*10000</f>
        <v>-8731000</v>
      </c>
      <c r="BL1751" s="1" t="str">
        <f t="shared" si="852"/>
        <v>=-8731000</v>
      </c>
      <c r="BM1751" s="16">
        <f t="shared" si="867"/>
        <v>-4.3237887985339594</v>
      </c>
      <c r="BN1751" s="1">
        <f>-8731000</f>
        <v>-8731000</v>
      </c>
    </row>
    <row r="1752" spans="1:66">
      <c r="A1752" s="18"/>
      <c r="B1752">
        <v>603333</v>
      </c>
      <c r="C1752" t="s">
        <v>58</v>
      </c>
      <c r="D1752" s="7">
        <f>-3879*10000</f>
        <v>-38790000</v>
      </c>
      <c r="E1752" s="7" t="str">
        <f t="shared" si="851"/>
        <v>=-38790000</v>
      </c>
      <c r="F1752" s="1">
        <f>-38790000</f>
        <v>-38790000</v>
      </c>
      <c r="G1752" s="8">
        <f t="shared" si="853"/>
        <v>-3.1231527093596059</v>
      </c>
      <c r="H1752" s="7" t="s">
        <v>10549</v>
      </c>
      <c r="I1752" s="6" t="str">
        <f t="shared" si="837"/>
        <v>=1827*10000</v>
      </c>
      <c r="J1752" s="1">
        <f>1827*10000</f>
        <v>18270000</v>
      </c>
      <c r="K1752" s="10">
        <f t="shared" si="854"/>
        <v>8.5561497326203204E-2</v>
      </c>
      <c r="L1752" s="7" t="s">
        <v>16175</v>
      </c>
      <c r="M1752" s="6" t="str">
        <f t="shared" si="838"/>
        <v>=1683*10000</v>
      </c>
      <c r="N1752" s="1">
        <f>1683*10000</f>
        <v>16830000</v>
      </c>
      <c r="O1752" s="8">
        <f t="shared" si="855"/>
        <v>7.0874579529072559</v>
      </c>
      <c r="P1752" s="7" t="s">
        <v>16176</v>
      </c>
      <c r="Q1752" s="6" t="str">
        <f t="shared" si="839"/>
        <v>=208.1*10000</v>
      </c>
      <c r="R1752" s="11">
        <f>208.1*10000</f>
        <v>2081000</v>
      </c>
      <c r="S1752" s="8">
        <f t="shared" si="856"/>
        <v>-0.87538922155688625</v>
      </c>
      <c r="T1752" s="7" t="s">
        <v>16177</v>
      </c>
      <c r="U1752" s="6" t="str">
        <f t="shared" si="840"/>
        <v>=1670*10000</v>
      </c>
      <c r="V1752" s="1">
        <f>1670*10000</f>
        <v>16700000</v>
      </c>
      <c r="W1752" s="8">
        <f t="shared" si="857"/>
        <v>-0.63560986253545715</v>
      </c>
      <c r="X1752" s="7" t="s">
        <v>5870</v>
      </c>
      <c r="Y1752" s="6" t="str">
        <f t="shared" si="841"/>
        <v>=4583*10000</v>
      </c>
      <c r="Z1752" s="1">
        <f>4583*10000</f>
        <v>45830000</v>
      </c>
      <c r="AA1752" s="8">
        <f t="shared" si="858"/>
        <v>1.7792601576713158</v>
      </c>
      <c r="AB1752" s="7" t="s">
        <v>16178</v>
      </c>
      <c r="AC1752" s="6" t="str">
        <f t="shared" si="842"/>
        <v>=1649*10000</v>
      </c>
      <c r="AD1752" s="1">
        <f>1649*10000</f>
        <v>16490000</v>
      </c>
      <c r="AE1752" s="8">
        <f t="shared" si="859"/>
        <v>-2.0280548628428927</v>
      </c>
      <c r="AF1752" s="7">
        <f>-1604*10000</f>
        <v>-16040000</v>
      </c>
      <c r="AG1752" s="6" t="str">
        <f t="shared" si="843"/>
        <v>=-16040000</v>
      </c>
      <c r="AH1752" s="1">
        <f>-16040000</f>
        <v>-16040000</v>
      </c>
      <c r="AI1752" s="8">
        <f t="shared" si="860"/>
        <v>-1.1454215775158658</v>
      </c>
      <c r="AJ1752" s="6" t="s">
        <v>2913</v>
      </c>
      <c r="AK1752" s="6" t="str">
        <f t="shared" si="844"/>
        <v>=1.103*100000000</v>
      </c>
      <c r="AL1752" s="1">
        <f>1.103*100000000</f>
        <v>110300000</v>
      </c>
      <c r="AM1752" s="8">
        <f t="shared" si="861"/>
        <v>0.19230353475299969</v>
      </c>
      <c r="AN1752" s="7" t="s">
        <v>16179</v>
      </c>
      <c r="AO1752" s="6" t="str">
        <f t="shared" si="845"/>
        <v>=9251*10000</v>
      </c>
      <c r="AP1752" s="1">
        <f>9251*10000</f>
        <v>92510000</v>
      </c>
      <c r="AQ1752" s="8">
        <f t="shared" si="862"/>
        <v>0.51506714706845724</v>
      </c>
      <c r="AR1752" s="7" t="s">
        <v>5593</v>
      </c>
      <c r="AS1752" s="6" t="str">
        <f t="shared" si="846"/>
        <v>=6106*10000</v>
      </c>
      <c r="AT1752" s="1">
        <f>6106*10000</f>
        <v>61060000</v>
      </c>
      <c r="AU1752" s="8">
        <f t="shared" si="863"/>
        <v>2.2255678816693081</v>
      </c>
      <c r="AV1752" s="7" t="s">
        <v>4196</v>
      </c>
      <c r="AW1752" s="6" t="str">
        <f t="shared" si="847"/>
        <v>=1893*10000</v>
      </c>
      <c r="AX1752" s="1">
        <f>1893*10000</f>
        <v>18930000</v>
      </c>
      <c r="AY1752" s="10">
        <f t="shared" si="864"/>
        <v>-0.6676615168539326</v>
      </c>
      <c r="AZ1752" s="7" t="s">
        <v>8349</v>
      </c>
      <c r="BA1752" s="6" t="str">
        <f t="shared" si="848"/>
        <v>=5696*10000</v>
      </c>
      <c r="BB1752" s="1">
        <f>5696*10000</f>
        <v>56960000</v>
      </c>
      <c r="BC1752" s="8">
        <f t="shared" si="865"/>
        <v>7.2289156626506021E-2</v>
      </c>
      <c r="BD1752" s="7" t="s">
        <v>5594</v>
      </c>
      <c r="BE1752" s="6" t="str">
        <f t="shared" si="849"/>
        <v>=5312*10000</v>
      </c>
      <c r="BF1752" s="1">
        <f>5312*10000</f>
        <v>53120000</v>
      </c>
      <c r="BG1752" s="8">
        <f t="shared" si="866"/>
        <v>0.82354960521798837</v>
      </c>
      <c r="BH1752" s="7" t="s">
        <v>6505</v>
      </c>
      <c r="BI1752" s="6" t="str">
        <f t="shared" si="850"/>
        <v>=2913*10000</v>
      </c>
      <c r="BJ1752" s="1">
        <f>2913*10000</f>
        <v>29130000</v>
      </c>
      <c r="BK1752" s="7">
        <f>-872.5*10000</f>
        <v>-8725000</v>
      </c>
      <c r="BL1752" s="1" t="str">
        <f t="shared" si="852"/>
        <v>=-8725000</v>
      </c>
      <c r="BM1752" s="16">
        <f t="shared" si="867"/>
        <v>-4.3386819484240684</v>
      </c>
      <c r="BN1752" s="1">
        <f>-8725000</f>
        <v>-8725000</v>
      </c>
    </row>
    <row r="1753" spans="1:66">
      <c r="A1753" s="19"/>
      <c r="B1753">
        <v>603333</v>
      </c>
      <c r="C1753" t="s">
        <v>68</v>
      </c>
      <c r="D1753" s="7">
        <f>-3831*10000</f>
        <v>-38310000</v>
      </c>
      <c r="E1753" s="7" t="str">
        <f t="shared" si="851"/>
        <v>=-38310000</v>
      </c>
      <c r="F1753" s="1">
        <f>-38310000</f>
        <v>-38310000</v>
      </c>
      <c r="G1753" s="8">
        <f t="shared" si="853"/>
        <v>-3.5253790375741594</v>
      </c>
      <c r="H1753" s="7" t="s">
        <v>16180</v>
      </c>
      <c r="I1753" s="6" t="str">
        <f t="shared" si="837"/>
        <v>=1517*10000</v>
      </c>
      <c r="J1753" s="1">
        <f>1517*10000</f>
        <v>15170000</v>
      </c>
      <c r="K1753" s="10">
        <f t="shared" si="854"/>
        <v>0.12872023809523808</v>
      </c>
      <c r="L1753" s="7" t="s">
        <v>16181</v>
      </c>
      <c r="M1753" s="6" t="str">
        <f t="shared" si="838"/>
        <v>=1344*10000</v>
      </c>
      <c r="N1753" s="1">
        <f>1344*10000</f>
        <v>13440000</v>
      </c>
      <c r="O1753" s="8">
        <f t="shared" si="855"/>
        <v>7.0190930787589503</v>
      </c>
      <c r="P1753" s="7" t="s">
        <v>16182</v>
      </c>
      <c r="Q1753" s="6" t="str">
        <f t="shared" si="839"/>
        <v>=167.6*10000</v>
      </c>
      <c r="R1753" s="11">
        <f>167.6*10000</f>
        <v>1676000</v>
      </c>
      <c r="S1753" s="8">
        <f t="shared" si="856"/>
        <v>-0.8867567567567568</v>
      </c>
      <c r="T1753" s="7" t="s">
        <v>15676</v>
      </c>
      <c r="U1753" s="6" t="str">
        <f t="shared" si="840"/>
        <v>=1480*10000</v>
      </c>
      <c r="V1753" s="1">
        <f>1480*10000</f>
        <v>14800000</v>
      </c>
      <c r="W1753" s="8">
        <f t="shared" si="857"/>
        <v>-0.67023172905525852</v>
      </c>
      <c r="X1753" s="7" t="s">
        <v>16183</v>
      </c>
      <c r="Y1753" s="6" t="str">
        <f t="shared" si="841"/>
        <v>=4488*10000</v>
      </c>
      <c r="Z1753" s="1">
        <f>4488*10000</f>
        <v>44880000</v>
      </c>
      <c r="AA1753" s="8">
        <f t="shared" si="858"/>
        <v>1.4391304347826086</v>
      </c>
      <c r="AB1753" s="7" t="s">
        <v>16184</v>
      </c>
      <c r="AC1753" s="6" t="str">
        <f t="shared" si="842"/>
        <v>=1840*10000</v>
      </c>
      <c r="AD1753" s="1">
        <f>1840*10000</f>
        <v>18400000</v>
      </c>
      <c r="AE1753" s="8">
        <f t="shared" si="859"/>
        <v>-2.2073490813648293</v>
      </c>
      <c r="AF1753" s="7">
        <f>-1524*10000</f>
        <v>-15240000</v>
      </c>
      <c r="AG1753" s="6" t="str">
        <f t="shared" si="843"/>
        <v>=-15240000</v>
      </c>
      <c r="AH1753" s="1">
        <f>-15240000</f>
        <v>-15240000</v>
      </c>
      <c r="AI1753" s="8">
        <f t="shared" si="860"/>
        <v>-1.1491193737769081</v>
      </c>
      <c r="AJ1753" s="6" t="s">
        <v>2931</v>
      </c>
      <c r="AK1753" s="6" t="str">
        <f t="shared" si="844"/>
        <v>=1.022*100000000</v>
      </c>
      <c r="AL1753" s="1">
        <f>1.022*100000000</f>
        <v>102200000</v>
      </c>
      <c r="AM1753" s="8">
        <f t="shared" si="861"/>
        <v>9.7862283811365344E-2</v>
      </c>
      <c r="AN1753" s="7" t="s">
        <v>5684</v>
      </c>
      <c r="AO1753" s="6" t="str">
        <f t="shared" si="845"/>
        <v>=9309*10000</v>
      </c>
      <c r="AP1753" s="1">
        <f>9309*10000</f>
        <v>93090000</v>
      </c>
      <c r="AQ1753" s="8">
        <f t="shared" si="862"/>
        <v>0.49446139027131158</v>
      </c>
      <c r="AR1753" s="7" t="s">
        <v>11184</v>
      </c>
      <c r="AS1753" s="6" t="str">
        <f t="shared" si="846"/>
        <v>=6229*10000</v>
      </c>
      <c r="AT1753" s="1">
        <f>6229*10000</f>
        <v>62290000</v>
      </c>
      <c r="AU1753" s="8">
        <f t="shared" si="863"/>
        <v>2.245961438249088</v>
      </c>
      <c r="AV1753" s="7" t="s">
        <v>16185</v>
      </c>
      <c r="AW1753" s="6" t="str">
        <f t="shared" si="847"/>
        <v>=1919*10000</v>
      </c>
      <c r="AX1753" s="1">
        <f>1919*10000</f>
        <v>19190000</v>
      </c>
      <c r="AY1753" s="10">
        <f t="shared" si="864"/>
        <v>-0.66902380131079686</v>
      </c>
      <c r="AZ1753" s="7" t="s">
        <v>16186</v>
      </c>
      <c r="BA1753" s="6" t="str">
        <f t="shared" si="848"/>
        <v>=5798*10000</v>
      </c>
      <c r="BB1753" s="1">
        <f>5798*10000</f>
        <v>57980000</v>
      </c>
      <c r="BC1753" s="8">
        <f t="shared" si="865"/>
        <v>0.12081964044075005</v>
      </c>
      <c r="BD1753" s="7" t="s">
        <v>9865</v>
      </c>
      <c r="BE1753" s="6" t="str">
        <f t="shared" si="849"/>
        <v>=5173*10000</v>
      </c>
      <c r="BF1753" s="1">
        <f>5173*10000</f>
        <v>51730000</v>
      </c>
      <c r="BG1753" s="8">
        <f t="shared" si="866"/>
        <v>0.93890554722638686</v>
      </c>
      <c r="BH1753" s="7" t="s">
        <v>15566</v>
      </c>
      <c r="BI1753" s="6" t="str">
        <f t="shared" si="850"/>
        <v>=2668*10000</v>
      </c>
      <c r="BJ1753" s="1">
        <f>2668*10000</f>
        <v>26680000</v>
      </c>
      <c r="BK1753" s="7">
        <f>-745*10000</f>
        <v>-7450000</v>
      </c>
      <c r="BL1753" s="1" t="str">
        <f t="shared" si="852"/>
        <v>=-7450000</v>
      </c>
      <c r="BM1753" s="16">
        <f t="shared" si="867"/>
        <v>-4.5812080536912756</v>
      </c>
      <c r="BN1753" s="1">
        <f>-7450000</f>
        <v>-7450000</v>
      </c>
    </row>
    <row r="1754" spans="1:66">
      <c r="A1754" s="17">
        <v>440</v>
      </c>
      <c r="B1754">
        <v>603335</v>
      </c>
      <c r="C1754" t="s">
        <v>31</v>
      </c>
      <c r="D1754" s="6" t="s">
        <v>4546</v>
      </c>
      <c r="E1754" s="7" t="str">
        <f t="shared" si="851"/>
        <v>=13.04*100000000</v>
      </c>
      <c r="F1754" s="1">
        <f>13.04*100000000</f>
        <v>1304000000</v>
      </c>
      <c r="G1754" s="8">
        <f t="shared" si="853"/>
        <v>0.42919772029811487</v>
      </c>
      <c r="H1754" s="6" t="s">
        <v>16187</v>
      </c>
      <c r="I1754" s="6" t="str">
        <f t="shared" si="837"/>
        <v>=9.124*100000000</v>
      </c>
      <c r="J1754" s="1">
        <f>9.124*100000000</f>
        <v>912400000</v>
      </c>
      <c r="K1754" s="10">
        <f t="shared" si="854"/>
        <v>0.54304075765262982</v>
      </c>
      <c r="L1754" s="6" t="s">
        <v>11452</v>
      </c>
      <c r="M1754" s="6" t="str">
        <f t="shared" si="838"/>
        <v>=5.913*100000000</v>
      </c>
      <c r="N1754" s="1">
        <f>5.913*100000000</f>
        <v>591300000</v>
      </c>
      <c r="O1754" s="8">
        <f t="shared" si="855"/>
        <v>1.133886683507759</v>
      </c>
      <c r="P1754" s="6" t="s">
        <v>11072</v>
      </c>
      <c r="Q1754" s="6" t="str">
        <f t="shared" si="839"/>
        <v>=2.771*100000000</v>
      </c>
      <c r="R1754" s="11">
        <f>2.771*100000000</f>
        <v>277100000</v>
      </c>
      <c r="S1754" s="8">
        <f t="shared" si="856"/>
        <v>-0.71605697305051752</v>
      </c>
      <c r="T1754" s="6" t="s">
        <v>16188</v>
      </c>
      <c r="U1754" s="6" t="str">
        <f t="shared" si="840"/>
        <v>=9.759*100000000</v>
      </c>
      <c r="V1754" s="1">
        <f>9.759*100000000</f>
        <v>975900000</v>
      </c>
      <c r="W1754" s="8">
        <f t="shared" si="857"/>
        <v>0.29515593895155939</v>
      </c>
      <c r="X1754" s="6" t="s">
        <v>16189</v>
      </c>
      <c r="Y1754" s="6" t="str">
        <f t="shared" si="841"/>
        <v>=7.535*100000000</v>
      </c>
      <c r="Z1754" s="1">
        <f>7.535*100000000</f>
        <v>753500000</v>
      </c>
      <c r="AA1754" s="8">
        <f t="shared" si="858"/>
        <v>0.65932613961682429</v>
      </c>
      <c r="AB1754" s="6" t="s">
        <v>1045</v>
      </c>
      <c r="AC1754" s="6" t="str">
        <f t="shared" si="842"/>
        <v>=4.541*100000000</v>
      </c>
      <c r="AD1754" s="1">
        <f>4.541*100000000</f>
        <v>454100000.00000006</v>
      </c>
      <c r="AE1754" s="8">
        <f t="shared" si="859"/>
        <v>1.3887427669647556</v>
      </c>
      <c r="AF1754" s="6" t="s">
        <v>7442</v>
      </c>
      <c r="AG1754" s="6" t="str">
        <f t="shared" si="843"/>
        <v>=1.901*100000000</v>
      </c>
      <c r="AH1754" s="1">
        <f>1.901*100000000</f>
        <v>190100000</v>
      </c>
      <c r="AI1754" s="8">
        <f t="shared" si="860"/>
        <v>-0.76729097808789326</v>
      </c>
      <c r="AJ1754" s="6" t="s">
        <v>16190</v>
      </c>
      <c r="AK1754" s="6" t="str">
        <f t="shared" si="844"/>
        <v>=8.169*100000000</v>
      </c>
      <c r="AL1754" s="1">
        <f>8.169*100000000</f>
        <v>816900000</v>
      </c>
      <c r="AM1754" s="8">
        <f t="shared" si="861"/>
        <v>0.29934786066486402</v>
      </c>
      <c r="AN1754" s="6" t="s">
        <v>16191</v>
      </c>
      <c r="AO1754" s="6" t="str">
        <f t="shared" si="845"/>
        <v>=6.287*100000000</v>
      </c>
      <c r="AP1754" s="1">
        <f>6.287*100000000</f>
        <v>628700000</v>
      </c>
      <c r="AQ1754" s="8">
        <f t="shared" si="862"/>
        <v>0.42562358276643991</v>
      </c>
      <c r="AR1754" s="6" t="s">
        <v>11550</v>
      </c>
      <c r="AS1754" s="6" t="str">
        <f t="shared" si="846"/>
        <v>=4.410*100000000</v>
      </c>
      <c r="AT1754" s="1">
        <f>4.41*100000000</f>
        <v>441000000</v>
      </c>
      <c r="AU1754" s="8">
        <f t="shared" si="863"/>
        <v>1.0617110799438993</v>
      </c>
      <c r="AV1754" s="6" t="s">
        <v>9925</v>
      </c>
      <c r="AW1754" s="6" t="str">
        <f t="shared" si="847"/>
        <v>=2.139*100000000</v>
      </c>
      <c r="AX1754" s="1">
        <f>2.139*100000000</f>
        <v>213899999.99999997</v>
      </c>
      <c r="AY1754" s="10">
        <f t="shared" si="864"/>
        <v>-0.73121387283236994</v>
      </c>
      <c r="AZ1754" s="6" t="s">
        <v>16192</v>
      </c>
      <c r="BA1754" s="6" t="str">
        <f t="shared" si="848"/>
        <v>=7.958*100000000</v>
      </c>
      <c r="BB1754" s="1">
        <f>7.958*100000000</f>
        <v>795800000</v>
      </c>
      <c r="BC1754" s="8">
        <f t="shared" si="865"/>
        <v>0.28791066515617414</v>
      </c>
      <c r="BD1754" s="6" t="s">
        <v>15761</v>
      </c>
      <c r="BE1754" s="6" t="str">
        <f t="shared" si="849"/>
        <v>=6.179*100000000</v>
      </c>
      <c r="BF1754" s="1">
        <f>6.179*100000000</f>
        <v>617900000</v>
      </c>
      <c r="BG1754" s="8">
        <f t="shared" si="866"/>
        <v>0.49576373759380293</v>
      </c>
      <c r="BH1754" s="6" t="s">
        <v>2970</v>
      </c>
      <c r="BI1754" s="6" t="str">
        <f t="shared" si="850"/>
        <v>=4.131*100000000</v>
      </c>
      <c r="BJ1754" s="1">
        <f>4.131*100000000</f>
        <v>413100000</v>
      </c>
      <c r="BK1754" s="6" t="s">
        <v>16193</v>
      </c>
      <c r="BL1754" s="1" t="str">
        <f t="shared" si="852"/>
        <v>=2.052*100000000</v>
      </c>
      <c r="BM1754" s="16">
        <f t="shared" si="867"/>
        <v>1.013157894736842</v>
      </c>
      <c r="BN1754" s="1">
        <f>2.052*100000000</f>
        <v>205200000</v>
      </c>
    </row>
    <row r="1755" spans="1:66">
      <c r="A1755" s="18"/>
      <c r="B1755">
        <v>603335</v>
      </c>
      <c r="C1755" t="s">
        <v>48</v>
      </c>
      <c r="D1755" s="7" t="s">
        <v>16194</v>
      </c>
      <c r="E1755" s="7" t="str">
        <f t="shared" si="851"/>
        <v>=9782*10000</v>
      </c>
      <c r="F1755" s="1">
        <f>9782*10000</f>
        <v>97820000</v>
      </c>
      <c r="G1755" s="8">
        <f t="shared" si="853"/>
        <v>0.14395977078704245</v>
      </c>
      <c r="H1755" s="7" t="s">
        <v>16195</v>
      </c>
      <c r="I1755" s="6" t="str">
        <f t="shared" si="837"/>
        <v>=8551*10000</v>
      </c>
      <c r="J1755" s="1">
        <f>8551*10000</f>
        <v>85510000</v>
      </c>
      <c r="K1755" s="10">
        <f t="shared" si="854"/>
        <v>0.25197657393850659</v>
      </c>
      <c r="L1755" s="7" t="s">
        <v>15441</v>
      </c>
      <c r="M1755" s="6" t="str">
        <f t="shared" si="838"/>
        <v>=6830*10000</v>
      </c>
      <c r="N1755" s="1">
        <f>6830*10000</f>
        <v>68300000</v>
      </c>
      <c r="O1755" s="8">
        <f t="shared" si="855"/>
        <v>1.4945215485756027</v>
      </c>
      <c r="P1755" s="7" t="s">
        <v>16196</v>
      </c>
      <c r="Q1755" s="6" t="str">
        <f t="shared" si="839"/>
        <v>=2738*10000</v>
      </c>
      <c r="R1755" s="11">
        <f>2738*10000</f>
        <v>27380000</v>
      </c>
      <c r="S1755" s="8">
        <f t="shared" si="856"/>
        <v>-0.72250937468328769</v>
      </c>
      <c r="T1755" s="7" t="s">
        <v>11164</v>
      </c>
      <c r="U1755" s="6" t="str">
        <f t="shared" si="840"/>
        <v>=9867*10000</v>
      </c>
      <c r="V1755" s="1">
        <f>9867*10000</f>
        <v>98670000</v>
      </c>
      <c r="W1755" s="8">
        <f t="shared" si="857"/>
        <v>0.12290884260839877</v>
      </c>
      <c r="X1755" s="7" t="s">
        <v>10380</v>
      </c>
      <c r="Y1755" s="6" t="str">
        <f t="shared" si="841"/>
        <v>=8787*10000</v>
      </c>
      <c r="Z1755" s="1">
        <f>8787*10000</f>
        <v>87870000</v>
      </c>
      <c r="AA1755" s="8">
        <f t="shared" si="858"/>
        <v>0.40862455915357487</v>
      </c>
      <c r="AB1755" s="7" t="s">
        <v>16197</v>
      </c>
      <c r="AC1755" s="6" t="str">
        <f t="shared" si="842"/>
        <v>=6238*10000</v>
      </c>
      <c r="AD1755" s="1">
        <f>6238*10000</f>
        <v>62380000</v>
      </c>
      <c r="AE1755" s="8">
        <f t="shared" si="859"/>
        <v>0.79821274142404153</v>
      </c>
      <c r="AF1755" s="7" t="s">
        <v>16198</v>
      </c>
      <c r="AG1755" s="6" t="str">
        <f t="shared" si="843"/>
        <v>=3469*10000</v>
      </c>
      <c r="AH1755" s="1">
        <f>3469*10000</f>
        <v>34690000</v>
      </c>
      <c r="AI1755" s="8">
        <f t="shared" si="860"/>
        <v>0.73971915747241723</v>
      </c>
      <c r="AJ1755" s="7" t="s">
        <v>12177</v>
      </c>
      <c r="AK1755" s="6" t="str">
        <f t="shared" si="844"/>
        <v>=1994*10000</v>
      </c>
      <c r="AL1755" s="1">
        <f>1994*10000</f>
        <v>19940000</v>
      </c>
      <c r="AM1755" s="8">
        <f t="shared" si="861"/>
        <v>-0.13679653679653681</v>
      </c>
      <c r="AN1755" s="7" t="s">
        <v>16199</v>
      </c>
      <c r="AO1755" s="6" t="str">
        <f t="shared" si="845"/>
        <v>=2310*10000</v>
      </c>
      <c r="AP1755" s="1">
        <f>2310*10000</f>
        <v>23100000</v>
      </c>
      <c r="AQ1755" s="8">
        <f t="shared" si="862"/>
        <v>0.26853377265238881</v>
      </c>
      <c r="AR1755" s="7" t="s">
        <v>16200</v>
      </c>
      <c r="AS1755" s="6" t="str">
        <f t="shared" si="846"/>
        <v>=1821*10000</v>
      </c>
      <c r="AT1755" s="1">
        <f>1821*10000</f>
        <v>18210000</v>
      </c>
      <c r="AU1755" s="8">
        <f t="shared" si="863"/>
        <v>1.8863528292914884</v>
      </c>
      <c r="AV1755" s="7" t="s">
        <v>16201</v>
      </c>
      <c r="AW1755" s="6" t="str">
        <f t="shared" si="847"/>
        <v>=630.9*10000</v>
      </c>
      <c r="AX1755" s="1">
        <f>630.9*10000</f>
        <v>6309000</v>
      </c>
      <c r="AY1755" s="10">
        <f t="shared" si="864"/>
        <v>-0.66225910064239824</v>
      </c>
      <c r="AZ1755" s="7" t="s">
        <v>16202</v>
      </c>
      <c r="BA1755" s="6" t="str">
        <f t="shared" si="848"/>
        <v>=1868*10000</v>
      </c>
      <c r="BB1755" s="1">
        <f>1868*10000</f>
        <v>18680000</v>
      </c>
      <c r="BC1755" s="8">
        <f t="shared" si="865"/>
        <v>-0.37504182000669117</v>
      </c>
      <c r="BD1755" s="7" t="s">
        <v>16203</v>
      </c>
      <c r="BE1755" s="6" t="str">
        <f t="shared" si="849"/>
        <v>=2989*10000</v>
      </c>
      <c r="BF1755" s="1">
        <f>2989*10000</f>
        <v>29890000</v>
      </c>
      <c r="BG1755" s="8">
        <f t="shared" si="866"/>
        <v>0.4152462121212121</v>
      </c>
      <c r="BH1755" s="7" t="s">
        <v>16204</v>
      </c>
      <c r="BI1755" s="6" t="str">
        <f t="shared" si="850"/>
        <v>=2112*10000</v>
      </c>
      <c r="BJ1755" s="1">
        <f>2112*10000</f>
        <v>21120000</v>
      </c>
      <c r="BK1755" s="7" t="s">
        <v>16205</v>
      </c>
      <c r="BL1755" s="1" t="str">
        <f t="shared" si="852"/>
        <v>=637.6*10000</v>
      </c>
      <c r="BM1755" s="16">
        <f t="shared" si="867"/>
        <v>2.3124215809284818</v>
      </c>
      <c r="BN1755" s="1">
        <f>637.6*10000</f>
        <v>6376000</v>
      </c>
    </row>
    <row r="1756" spans="1:66">
      <c r="A1756" s="18"/>
      <c r="B1756">
        <v>603335</v>
      </c>
      <c r="C1756" t="s">
        <v>58</v>
      </c>
      <c r="D1756" s="7" t="s">
        <v>16206</v>
      </c>
      <c r="E1756" s="7" t="str">
        <f t="shared" si="851"/>
        <v>=8818*10000</v>
      </c>
      <c r="F1756" s="1">
        <f>8818*10000</f>
        <v>88180000</v>
      </c>
      <c r="G1756" s="8">
        <f t="shared" si="853"/>
        <v>2.6303538175046555E-2</v>
      </c>
      <c r="H1756" s="7" t="s">
        <v>10532</v>
      </c>
      <c r="I1756" s="6" t="str">
        <f t="shared" si="837"/>
        <v>=8592*10000</v>
      </c>
      <c r="J1756" s="1">
        <f>8592*10000</f>
        <v>85920000</v>
      </c>
      <c r="K1756" s="10">
        <f t="shared" si="854"/>
        <v>0.25229558373414956</v>
      </c>
      <c r="L1756" s="7" t="s">
        <v>16207</v>
      </c>
      <c r="M1756" s="6" t="str">
        <f t="shared" si="838"/>
        <v>=6861*10000</v>
      </c>
      <c r="N1756" s="1">
        <f>6861*10000</f>
        <v>68610000</v>
      </c>
      <c r="O1756" s="8">
        <f t="shared" si="855"/>
        <v>1.4760014435221942</v>
      </c>
      <c r="P1756" s="7" t="s">
        <v>10840</v>
      </c>
      <c r="Q1756" s="6" t="str">
        <f t="shared" si="839"/>
        <v>=2771*10000</v>
      </c>
      <c r="R1756" s="11">
        <f>2771*10000</f>
        <v>27710000</v>
      </c>
      <c r="S1756" s="8">
        <f t="shared" si="856"/>
        <v>-0.71790695306932706</v>
      </c>
      <c r="T1756" s="7" t="s">
        <v>16208</v>
      </c>
      <c r="U1756" s="6" t="str">
        <f t="shared" si="840"/>
        <v>=9823*10000</v>
      </c>
      <c r="V1756" s="1">
        <f>9823*10000</f>
        <v>98230000</v>
      </c>
      <c r="W1756" s="8">
        <f t="shared" si="857"/>
        <v>9.9876833501287648E-2</v>
      </c>
      <c r="X1756" s="7" t="s">
        <v>16209</v>
      </c>
      <c r="Y1756" s="6" t="str">
        <f t="shared" si="841"/>
        <v>=8931*10000</v>
      </c>
      <c r="Z1756" s="1">
        <f>8931*10000</f>
        <v>89310000</v>
      </c>
      <c r="AA1756" s="8">
        <f t="shared" si="858"/>
        <v>0.41290934978642618</v>
      </c>
      <c r="AB1756" s="7" t="s">
        <v>16210</v>
      </c>
      <c r="AC1756" s="6" t="str">
        <f t="shared" si="842"/>
        <v>=6321*10000</v>
      </c>
      <c r="AD1756" s="1">
        <f>6321*10000</f>
        <v>63210000</v>
      </c>
      <c r="AE1756" s="8">
        <f t="shared" si="859"/>
        <v>0.81742380678550897</v>
      </c>
      <c r="AF1756" s="7" t="s">
        <v>15669</v>
      </c>
      <c r="AG1756" s="6" t="str">
        <f t="shared" si="843"/>
        <v>=3478*10000</v>
      </c>
      <c r="AH1756" s="1">
        <f>3478*10000</f>
        <v>34780000</v>
      </c>
      <c r="AI1756" s="8">
        <f t="shared" si="860"/>
        <v>0.73207171314741037</v>
      </c>
      <c r="AJ1756" s="7" t="s">
        <v>16151</v>
      </c>
      <c r="AK1756" s="6" t="str">
        <f t="shared" si="844"/>
        <v>=2008*10000</v>
      </c>
      <c r="AL1756" s="1">
        <f>2008*10000</f>
        <v>20080000</v>
      </c>
      <c r="AM1756" s="8">
        <f t="shared" si="861"/>
        <v>-0.13560051657339647</v>
      </c>
      <c r="AN1756" s="7" t="s">
        <v>10853</v>
      </c>
      <c r="AO1756" s="6" t="str">
        <f t="shared" si="845"/>
        <v>=2323*10000</v>
      </c>
      <c r="AP1756" s="1">
        <f>2323*10000</f>
        <v>23230000</v>
      </c>
      <c r="AQ1756" s="8">
        <f t="shared" si="862"/>
        <v>0.27217962760131437</v>
      </c>
      <c r="AR1756" s="7" t="s">
        <v>16105</v>
      </c>
      <c r="AS1756" s="6" t="str">
        <f t="shared" si="846"/>
        <v>=1826*10000</v>
      </c>
      <c r="AT1756" s="1">
        <f>1826*10000</f>
        <v>18260000</v>
      </c>
      <c r="AU1756" s="8">
        <f t="shared" si="863"/>
        <v>1.8933607986056094</v>
      </c>
      <c r="AV1756" s="7" t="s">
        <v>16211</v>
      </c>
      <c r="AW1756" s="6" t="str">
        <f t="shared" si="847"/>
        <v>=631.1*10000</v>
      </c>
      <c r="AX1756" s="1">
        <f>631.1*10000</f>
        <v>6311000</v>
      </c>
      <c r="AY1756" s="10">
        <f t="shared" si="864"/>
        <v>-0.67027168234064782</v>
      </c>
      <c r="AZ1756" s="7" t="s">
        <v>16212</v>
      </c>
      <c r="BA1756" s="6" t="str">
        <f t="shared" si="848"/>
        <v>=1914*10000</v>
      </c>
      <c r="BB1756" s="1">
        <f>1914*10000</f>
        <v>19140000</v>
      </c>
      <c r="BC1756" s="8">
        <f t="shared" si="865"/>
        <v>-0.3681082865632222</v>
      </c>
      <c r="BD1756" s="7" t="s">
        <v>8329</v>
      </c>
      <c r="BE1756" s="6" t="str">
        <f t="shared" si="849"/>
        <v>=3029*10000</v>
      </c>
      <c r="BF1756" s="1">
        <f>3029*10000</f>
        <v>30290000</v>
      </c>
      <c r="BG1756" s="8">
        <f t="shared" si="866"/>
        <v>0.43147448015122875</v>
      </c>
      <c r="BH1756" s="7" t="s">
        <v>16213</v>
      </c>
      <c r="BI1756" s="6" t="str">
        <f t="shared" si="850"/>
        <v>=2116*10000</v>
      </c>
      <c r="BJ1756" s="1">
        <f>2116*10000</f>
        <v>21160000</v>
      </c>
      <c r="BK1756" s="7" t="s">
        <v>16214</v>
      </c>
      <c r="BL1756" s="1" t="str">
        <f t="shared" si="852"/>
        <v>=693.3*10000</v>
      </c>
      <c r="BM1756" s="16">
        <f t="shared" si="867"/>
        <v>2.0520698110486082</v>
      </c>
      <c r="BN1756" s="1">
        <f>693.3*10000</f>
        <v>6933000</v>
      </c>
    </row>
    <row r="1757" spans="1:66">
      <c r="A1757" s="19"/>
      <c r="B1757">
        <v>603335</v>
      </c>
      <c r="C1757" t="s">
        <v>68</v>
      </c>
      <c r="D1757" s="7" t="s">
        <v>4901</v>
      </c>
      <c r="E1757" s="7" t="str">
        <f t="shared" si="851"/>
        <v>=6120*10000</v>
      </c>
      <c r="F1757" s="1">
        <f>6120*10000</f>
        <v>61200000</v>
      </c>
      <c r="G1757" s="8">
        <f t="shared" si="853"/>
        <v>2.2044088176352707E-2</v>
      </c>
      <c r="H1757" s="7" t="s">
        <v>16215</v>
      </c>
      <c r="I1757" s="6" t="str">
        <f t="shared" si="837"/>
        <v>=5988*10000</v>
      </c>
      <c r="J1757" s="1">
        <f>5988*10000</f>
        <v>59880000</v>
      </c>
      <c r="K1757" s="10">
        <f t="shared" si="854"/>
        <v>0.23693451766164017</v>
      </c>
      <c r="L1757" s="7" t="s">
        <v>16216</v>
      </c>
      <c r="M1757" s="6" t="str">
        <f t="shared" si="838"/>
        <v>=4841*10000</v>
      </c>
      <c r="N1757" s="1">
        <f>4841*10000</f>
        <v>48410000</v>
      </c>
      <c r="O1757" s="8">
        <f t="shared" si="855"/>
        <v>1.181613339342046</v>
      </c>
      <c r="P1757" s="7" t="s">
        <v>16217</v>
      </c>
      <c r="Q1757" s="6" t="str">
        <f t="shared" si="839"/>
        <v>=2219*10000</v>
      </c>
      <c r="R1757" s="11">
        <f>2219*10000</f>
        <v>22190000</v>
      </c>
      <c r="S1757" s="8">
        <f t="shared" si="856"/>
        <v>-0.68860510805500985</v>
      </c>
      <c r="T1757" s="7" t="s">
        <v>16218</v>
      </c>
      <c r="U1757" s="6" t="str">
        <f t="shared" si="840"/>
        <v>=7126*10000</v>
      </c>
      <c r="V1757" s="1">
        <f>7126*10000</f>
        <v>71260000</v>
      </c>
      <c r="W1757" s="8">
        <f t="shared" si="857"/>
        <v>5.7113187954309447E-2</v>
      </c>
      <c r="X1757" s="7" t="s">
        <v>2326</v>
      </c>
      <c r="Y1757" s="6" t="str">
        <f t="shared" si="841"/>
        <v>=6741*10000</v>
      </c>
      <c r="Z1757" s="1">
        <f>6741*10000</f>
        <v>67410000</v>
      </c>
      <c r="AA1757" s="8">
        <f t="shared" si="858"/>
        <v>0.40058175773945565</v>
      </c>
      <c r="AB1757" s="7" t="s">
        <v>3719</v>
      </c>
      <c r="AC1757" s="6" t="str">
        <f t="shared" si="842"/>
        <v>=4813*10000</v>
      </c>
      <c r="AD1757" s="1">
        <f>4813*10000</f>
        <v>48130000</v>
      </c>
      <c r="AE1757" s="8">
        <f t="shared" si="859"/>
        <v>0.7232366630862872</v>
      </c>
      <c r="AF1757" s="7" t="s">
        <v>16219</v>
      </c>
      <c r="AG1757" s="6" t="str">
        <f t="shared" si="843"/>
        <v>=2793*10000</v>
      </c>
      <c r="AH1757" s="1">
        <f>2793*10000</f>
        <v>27930000</v>
      </c>
      <c r="AI1757" s="8">
        <f t="shared" si="860"/>
        <v>1.2254980079681275</v>
      </c>
      <c r="AJ1757" s="7" t="s">
        <v>7320</v>
      </c>
      <c r="AK1757" s="6" t="str">
        <f t="shared" si="844"/>
        <v>=1255*10000</v>
      </c>
      <c r="AL1757" s="1">
        <f>1255*10000</f>
        <v>12550000</v>
      </c>
      <c r="AM1757" s="8">
        <f t="shared" si="861"/>
        <v>-0.24533974744437764</v>
      </c>
      <c r="AN1757" s="7" t="s">
        <v>16220</v>
      </c>
      <c r="AO1757" s="6" t="str">
        <f t="shared" si="845"/>
        <v>=1663*10000</v>
      </c>
      <c r="AP1757" s="1">
        <f>1663*10000</f>
        <v>16630000</v>
      </c>
      <c r="AQ1757" s="8">
        <f t="shared" si="862"/>
        <v>0.24011931394481731</v>
      </c>
      <c r="AR1757" s="7" t="s">
        <v>4177</v>
      </c>
      <c r="AS1757" s="6" t="str">
        <f t="shared" si="846"/>
        <v>=1341*10000</v>
      </c>
      <c r="AT1757" s="1">
        <f>1341*10000</f>
        <v>13410000</v>
      </c>
      <c r="AU1757" s="8">
        <f t="shared" si="863"/>
        <v>1.8447178616885871</v>
      </c>
      <c r="AV1757" s="7" t="s">
        <v>16221</v>
      </c>
      <c r="AW1757" s="6" t="str">
        <f t="shared" si="847"/>
        <v>=471.4*10000</v>
      </c>
      <c r="AX1757" s="1">
        <f>471.4*10000</f>
        <v>4714000</v>
      </c>
      <c r="AY1757" s="10">
        <f t="shared" si="864"/>
        <v>-0.72237926972909305</v>
      </c>
      <c r="AZ1757" s="7" t="s">
        <v>16222</v>
      </c>
      <c r="BA1757" s="6" t="str">
        <f t="shared" si="848"/>
        <v>=1698*10000</v>
      </c>
      <c r="BB1757" s="1">
        <f>1698*10000</f>
        <v>16980000</v>
      </c>
      <c r="BC1757" s="8">
        <f t="shared" si="865"/>
        <v>-0.29747621017790649</v>
      </c>
      <c r="BD1757" s="7" t="s">
        <v>16223</v>
      </c>
      <c r="BE1757" s="6" t="str">
        <f t="shared" si="849"/>
        <v>=2417*10000</v>
      </c>
      <c r="BF1757" s="1">
        <f>2417*10000</f>
        <v>24170000</v>
      </c>
      <c r="BG1757" s="8">
        <f t="shared" si="866"/>
        <v>0.49381953028430159</v>
      </c>
      <c r="BH1757" s="7" t="s">
        <v>16224</v>
      </c>
      <c r="BI1757" s="6" t="str">
        <f t="shared" si="850"/>
        <v>=1618*10000</v>
      </c>
      <c r="BJ1757" s="1">
        <f>1618*10000</f>
        <v>16180000</v>
      </c>
      <c r="BK1757" s="7" t="s">
        <v>16225</v>
      </c>
      <c r="BL1757" s="1" t="str">
        <f t="shared" si="852"/>
        <v>=408.9*10000</v>
      </c>
      <c r="BM1757" s="16">
        <f t="shared" si="867"/>
        <v>2.9569576913670823</v>
      </c>
      <c r="BN1757" s="1">
        <f>408.9*10000</f>
        <v>4089000</v>
      </c>
    </row>
    <row r="1758" spans="1:66">
      <c r="A1758" s="17">
        <v>441</v>
      </c>
      <c r="B1758">
        <v>603356</v>
      </c>
      <c r="C1758" t="s">
        <v>31</v>
      </c>
      <c r="D1758" s="6" t="s">
        <v>6173</v>
      </c>
      <c r="E1758" s="7" t="str">
        <f t="shared" si="851"/>
        <v>=22.34*100000000</v>
      </c>
      <c r="F1758" s="1">
        <f>22.34*100000000</f>
        <v>2234000000</v>
      </c>
      <c r="G1758" s="8">
        <f t="shared" si="853"/>
        <v>0.37139349294045426</v>
      </c>
      <c r="H1758" s="6" t="s">
        <v>11574</v>
      </c>
      <c r="I1758" s="6" t="str">
        <f t="shared" si="837"/>
        <v>=16.29*100000000</v>
      </c>
      <c r="J1758" s="1">
        <f>16.29*100000000</f>
        <v>1629000000</v>
      </c>
      <c r="K1758" s="10">
        <f t="shared" si="854"/>
        <v>0.63603495028623058</v>
      </c>
      <c r="L1758" s="6" t="s">
        <v>16226</v>
      </c>
      <c r="M1758" s="6" t="str">
        <f t="shared" si="838"/>
        <v>=9.957*100000000</v>
      </c>
      <c r="N1758" s="1">
        <f>9.957*100000000</f>
        <v>995700000.00000012</v>
      </c>
      <c r="O1758" s="8">
        <f t="shared" si="855"/>
        <v>1.8367521367521371</v>
      </c>
      <c r="P1758" s="6" t="s">
        <v>7641</v>
      </c>
      <c r="Q1758" s="6" t="str">
        <f t="shared" si="839"/>
        <v>=3.510*100000000</v>
      </c>
      <c r="R1758" s="11">
        <f>3.51*100000000</f>
        <v>351000000</v>
      </c>
      <c r="S1758" s="8">
        <f t="shared" si="856"/>
        <v>-0.81642259414225937</v>
      </c>
      <c r="T1758" s="6" t="s">
        <v>4146</v>
      </c>
      <c r="U1758" s="6" t="str">
        <f t="shared" si="840"/>
        <v>=19.12*100000000</v>
      </c>
      <c r="V1758" s="1">
        <f>19.12*100000000</f>
        <v>1912000000</v>
      </c>
      <c r="W1758" s="8">
        <f t="shared" si="857"/>
        <v>0.37553956834532376</v>
      </c>
      <c r="X1758" s="6" t="s">
        <v>7163</v>
      </c>
      <c r="Y1758" s="6" t="str">
        <f t="shared" si="841"/>
        <v>=13.90*100000000</v>
      </c>
      <c r="Z1758" s="1">
        <f>13.9*100000000</f>
        <v>1390000000</v>
      </c>
      <c r="AA1758" s="8">
        <f t="shared" si="858"/>
        <v>0.87356786628925731</v>
      </c>
      <c r="AB1758" s="6" t="s">
        <v>15106</v>
      </c>
      <c r="AC1758" s="6" t="str">
        <f t="shared" si="842"/>
        <v>=7.419*100000000</v>
      </c>
      <c r="AD1758" s="1">
        <f>7.419*100000000</f>
        <v>741900000</v>
      </c>
      <c r="AE1758" s="8">
        <f t="shared" si="859"/>
        <v>2.6278728606356969</v>
      </c>
      <c r="AF1758" s="6" t="s">
        <v>16227</v>
      </c>
      <c r="AG1758" s="6" t="str">
        <f t="shared" si="843"/>
        <v>=2.045*100000000</v>
      </c>
      <c r="AH1758" s="1">
        <f>2.045*100000000</f>
        <v>204500000</v>
      </c>
      <c r="AI1758" s="8">
        <f t="shared" si="860"/>
        <v>-0.85828135828135832</v>
      </c>
      <c r="AJ1758" s="6" t="s">
        <v>2830</v>
      </c>
      <c r="AK1758" s="6" t="str">
        <f t="shared" si="844"/>
        <v>=14.43*100000000</v>
      </c>
      <c r="AL1758" s="1">
        <f>14.43*100000000</f>
        <v>1443000000</v>
      </c>
      <c r="AM1758" s="8">
        <f t="shared" si="861"/>
        <v>0.41887905604719766</v>
      </c>
      <c r="AN1758" s="6" t="s">
        <v>6860</v>
      </c>
      <c r="AO1758" s="6" t="str">
        <f t="shared" si="845"/>
        <v>=10.17*100000000</v>
      </c>
      <c r="AP1758" s="1">
        <f>10.17*100000000</f>
        <v>1017000000</v>
      </c>
      <c r="AQ1758" s="8">
        <f t="shared" si="862"/>
        <v>0.66639357692937895</v>
      </c>
      <c r="AR1758" s="6" t="s">
        <v>16228</v>
      </c>
      <c r="AS1758" s="6" t="str">
        <f t="shared" si="846"/>
        <v>=6.103*100000000</v>
      </c>
      <c r="AT1758" s="1">
        <f>6.103*100000000</f>
        <v>610300000</v>
      </c>
      <c r="AU1758" s="8">
        <f t="shared" si="863"/>
        <v>1.6148243359040275</v>
      </c>
      <c r="AV1758" s="6" t="s">
        <v>4294</v>
      </c>
      <c r="AW1758" s="6" t="str">
        <f t="shared" si="847"/>
        <v>=2.334*100000000</v>
      </c>
      <c r="AX1758" s="1">
        <f>2.334*100000000</f>
        <v>233400000</v>
      </c>
      <c r="AY1758" s="10">
        <f t="shared" si="864"/>
        <v>-0.7608116417298626</v>
      </c>
      <c r="AZ1758" s="6" t="s">
        <v>4489</v>
      </c>
      <c r="BA1758" s="6" t="str">
        <f t="shared" si="848"/>
        <v>=9.758*100000000</v>
      </c>
      <c r="BB1758" s="1">
        <f>9.758*100000000</f>
        <v>975799999.99999988</v>
      </c>
      <c r="BC1758" s="8">
        <f t="shared" si="865"/>
        <v>0.43774863710033873</v>
      </c>
      <c r="BD1758" s="6" t="s">
        <v>16229</v>
      </c>
      <c r="BE1758" s="6" t="str">
        <f t="shared" si="849"/>
        <v>=6.787*100000000</v>
      </c>
      <c r="BF1758" s="1">
        <f>6.787*100000000</f>
        <v>678700000</v>
      </c>
      <c r="BG1758" s="8">
        <f t="shared" si="866"/>
        <v>0.70142892955627978</v>
      </c>
      <c r="BH1758" s="6" t="s">
        <v>15956</v>
      </c>
      <c r="BI1758" s="6" t="str">
        <f t="shared" si="850"/>
        <v>=3.989*100000000</v>
      </c>
      <c r="BJ1758" s="1">
        <f>3.989*100000000</f>
        <v>398900000</v>
      </c>
      <c r="BK1758" s="6" t="s">
        <v>1944</v>
      </c>
      <c r="BL1758" s="1" t="str">
        <f t="shared" si="852"/>
        <v>=1.525*100000000</v>
      </c>
      <c r="BM1758" s="16">
        <f t="shared" si="867"/>
        <v>1.6157377049180328</v>
      </c>
      <c r="BN1758" s="1">
        <f>1.525*100000000</f>
        <v>152500000</v>
      </c>
    </row>
    <row r="1759" spans="1:66">
      <c r="A1759" s="18"/>
      <c r="B1759">
        <v>603356</v>
      </c>
      <c r="C1759" t="s">
        <v>48</v>
      </c>
      <c r="D1759" s="7">
        <f>-67.05*10000</f>
        <v>-670500</v>
      </c>
      <c r="E1759" s="7" t="str">
        <f t="shared" si="851"/>
        <v>=-670500</v>
      </c>
      <c r="F1759" s="1">
        <f>-670500</f>
        <v>-670500</v>
      </c>
      <c r="G1759" s="8">
        <f t="shared" si="853"/>
        <v>1.2350000000000001</v>
      </c>
      <c r="H1759" s="7">
        <f>-30*10000</f>
        <v>-300000</v>
      </c>
      <c r="I1759" s="6" t="str">
        <f t="shared" si="837"/>
        <v>=-300000</v>
      </c>
      <c r="J1759" s="1">
        <f>-300000</f>
        <v>-300000</v>
      </c>
      <c r="K1759" s="10">
        <f t="shared" si="854"/>
        <v>-0.90396927016645323</v>
      </c>
      <c r="L1759" s="7">
        <f>-312.4*10000</f>
        <v>-3124000</v>
      </c>
      <c r="M1759" s="6" t="str">
        <f t="shared" si="838"/>
        <v>=-3124000</v>
      </c>
      <c r="N1759" s="1">
        <f>-3124000</f>
        <v>-3124000</v>
      </c>
      <c r="O1759" s="8">
        <f t="shared" si="855"/>
        <v>-0.68390164929677222</v>
      </c>
      <c r="P1759" s="7">
        <f>-988.3*10000</f>
        <v>-9883000</v>
      </c>
      <c r="Q1759" s="6" t="str">
        <f t="shared" si="839"/>
        <v>=-9883000</v>
      </c>
      <c r="R1759" s="11">
        <f>-9883000</f>
        <v>-9883000</v>
      </c>
      <c r="S1759" s="8">
        <f t="shared" si="856"/>
        <v>-1.095487922705314</v>
      </c>
      <c r="T1759" s="6" t="s">
        <v>15385</v>
      </c>
      <c r="U1759" s="6" t="str">
        <f t="shared" si="840"/>
        <v>=1.035*100000000</v>
      </c>
      <c r="V1759" s="1">
        <f>1.035*100000000</f>
        <v>103499999.99999999</v>
      </c>
      <c r="W1759" s="8">
        <f t="shared" si="857"/>
        <v>-4.8713235294117911E-2</v>
      </c>
      <c r="X1759" s="6" t="s">
        <v>6254</v>
      </c>
      <c r="Y1759" s="6" t="str">
        <f t="shared" si="841"/>
        <v>=1.088*100000000</v>
      </c>
      <c r="Z1759" s="1">
        <f>1.088*100000000</f>
        <v>108800000.00000001</v>
      </c>
      <c r="AA1759" s="8">
        <f t="shared" si="858"/>
        <v>0.84594502884289136</v>
      </c>
      <c r="AB1759" s="7" t="s">
        <v>16230</v>
      </c>
      <c r="AC1759" s="6" t="str">
        <f t="shared" si="842"/>
        <v>=5894*10000</v>
      </c>
      <c r="AD1759" s="1">
        <f>5894*10000</f>
        <v>58940000</v>
      </c>
      <c r="AE1759" s="8">
        <f t="shared" si="859"/>
        <v>5.3912383430926045</v>
      </c>
      <c r="AF1759" s="7" t="s">
        <v>16231</v>
      </c>
      <c r="AG1759" s="6" t="str">
        <f t="shared" si="843"/>
        <v>=922.2*10000</v>
      </c>
      <c r="AH1759" s="1">
        <f>922.2*10000</f>
        <v>9222000</v>
      </c>
      <c r="AI1759" s="8">
        <f t="shared" si="860"/>
        <v>-0.89162063697261718</v>
      </c>
      <c r="AJ1759" s="7" t="s">
        <v>16232</v>
      </c>
      <c r="AK1759" s="6" t="str">
        <f t="shared" si="844"/>
        <v>=8509*10000</v>
      </c>
      <c r="AL1759" s="1">
        <f>8509*10000</f>
        <v>85090000</v>
      </c>
      <c r="AM1759" s="8">
        <f t="shared" si="861"/>
        <v>8.5054832950777856E-2</v>
      </c>
      <c r="AN1759" s="7" t="s">
        <v>2693</v>
      </c>
      <c r="AO1759" s="6" t="str">
        <f t="shared" si="845"/>
        <v>=7842*10000</v>
      </c>
      <c r="AP1759" s="1">
        <f>7842*10000</f>
        <v>78420000</v>
      </c>
      <c r="AQ1759" s="8">
        <f t="shared" si="862"/>
        <v>0.52035672741372629</v>
      </c>
      <c r="AR1759" s="7" t="s">
        <v>16233</v>
      </c>
      <c r="AS1759" s="6" t="str">
        <f t="shared" si="846"/>
        <v>=5158*10000</v>
      </c>
      <c r="AT1759" s="1">
        <f>5158*10000</f>
        <v>51580000</v>
      </c>
      <c r="AU1759" s="8">
        <f t="shared" si="863"/>
        <v>2.2419861722187302</v>
      </c>
      <c r="AV1759" s="7" t="s">
        <v>16234</v>
      </c>
      <c r="AW1759" s="6" t="str">
        <f t="shared" si="847"/>
        <v>=1591*10000</v>
      </c>
      <c r="AX1759" s="1">
        <f>1591*10000</f>
        <v>15910000</v>
      </c>
      <c r="AY1759" s="10">
        <f t="shared" si="864"/>
        <v>-0.76729559748427678</v>
      </c>
      <c r="AZ1759" s="7" t="s">
        <v>16235</v>
      </c>
      <c r="BA1759" s="6" t="str">
        <f t="shared" si="848"/>
        <v>=6837*10000</v>
      </c>
      <c r="BB1759" s="1">
        <f>6837*10000</f>
        <v>68370000</v>
      </c>
      <c r="BC1759" s="8">
        <f t="shared" si="865"/>
        <v>0.20966029723991508</v>
      </c>
      <c r="BD1759" s="7" t="s">
        <v>16236</v>
      </c>
      <c r="BE1759" s="6" t="str">
        <f t="shared" si="849"/>
        <v>=5652*10000</v>
      </c>
      <c r="BF1759" s="1">
        <f>5652*10000</f>
        <v>56520000</v>
      </c>
      <c r="BG1759" s="8">
        <f t="shared" si="866"/>
        <v>0.70087270538669877</v>
      </c>
      <c r="BH1759" s="7" t="s">
        <v>16237</v>
      </c>
      <c r="BI1759" s="6" t="str">
        <f t="shared" si="850"/>
        <v>=3323*10000</v>
      </c>
      <c r="BJ1759" s="1">
        <f>3323*10000</f>
        <v>33230000</v>
      </c>
      <c r="BK1759" s="7" t="s">
        <v>10484</v>
      </c>
      <c r="BL1759" s="1" t="str">
        <f t="shared" si="852"/>
        <v>=1023*10000</v>
      </c>
      <c r="BM1759" s="16">
        <f t="shared" si="867"/>
        <v>2.2482893450635384</v>
      </c>
      <c r="BN1759" s="1">
        <f>1023*10000</f>
        <v>10230000</v>
      </c>
    </row>
    <row r="1760" spans="1:66">
      <c r="A1760" s="18"/>
      <c r="B1760">
        <v>603356</v>
      </c>
      <c r="C1760" t="s">
        <v>58</v>
      </c>
      <c r="D1760" s="7" t="s">
        <v>16238</v>
      </c>
      <c r="E1760" s="7" t="str">
        <f t="shared" si="851"/>
        <v>=256.8*10000</v>
      </c>
      <c r="F1760" s="1">
        <f>256.8*10000</f>
        <v>2568000</v>
      </c>
      <c r="G1760" s="8">
        <f t="shared" si="853"/>
        <v>-2.9250374812593702</v>
      </c>
      <c r="H1760" s="7">
        <f>-133.4*10000</f>
        <v>-1334000</v>
      </c>
      <c r="I1760" s="6" t="str">
        <f t="shared" si="837"/>
        <v>=-1334000</v>
      </c>
      <c r="J1760" s="1">
        <f>-1334000</f>
        <v>-1334000</v>
      </c>
      <c r="K1760" s="10">
        <f t="shared" si="854"/>
        <v>-0.56031641397495058</v>
      </c>
      <c r="L1760" s="7">
        <f>-303.4*10000</f>
        <v>-3034000</v>
      </c>
      <c r="M1760" s="6" t="str">
        <f t="shared" si="838"/>
        <v>=-3034000</v>
      </c>
      <c r="N1760" s="1">
        <f>-3034000</f>
        <v>-3034000</v>
      </c>
      <c r="O1760" s="8">
        <f t="shared" si="855"/>
        <v>-0.68939393939393945</v>
      </c>
      <c r="P1760" s="7">
        <f>-976.8*10000</f>
        <v>-9768000</v>
      </c>
      <c r="Q1760" s="6" t="str">
        <f t="shared" si="839"/>
        <v>=-9768000</v>
      </c>
      <c r="R1760" s="11">
        <f>-9768000</f>
        <v>-9768000</v>
      </c>
      <c r="S1760" s="8">
        <f t="shared" si="856"/>
        <v>-1.0899447513812155</v>
      </c>
      <c r="T1760" s="6" t="s">
        <v>12597</v>
      </c>
      <c r="U1760" s="6" t="str">
        <f t="shared" si="840"/>
        <v>=1.086*100000000</v>
      </c>
      <c r="V1760" s="1">
        <f>1.086*100000000</f>
        <v>108600000.00000001</v>
      </c>
      <c r="W1760" s="8">
        <f t="shared" si="857"/>
        <v>-1.8382352941176468E-3</v>
      </c>
      <c r="X1760" s="6" t="s">
        <v>6254</v>
      </c>
      <c r="Y1760" s="6" t="str">
        <f t="shared" si="841"/>
        <v>=1.088*100000000</v>
      </c>
      <c r="Z1760" s="1">
        <f>1.088*100000000</f>
        <v>108800000.00000001</v>
      </c>
      <c r="AA1760" s="8">
        <f t="shared" si="858"/>
        <v>0.84813996942415515</v>
      </c>
      <c r="AB1760" s="7" t="s">
        <v>7445</v>
      </c>
      <c r="AC1760" s="6" t="str">
        <f t="shared" si="842"/>
        <v>=5887*10000</v>
      </c>
      <c r="AD1760" s="1">
        <f>5887*10000</f>
        <v>58870000</v>
      </c>
      <c r="AE1760" s="8">
        <f t="shared" si="859"/>
        <v>5.4219482927893532</v>
      </c>
      <c r="AF1760" s="7" t="s">
        <v>16239</v>
      </c>
      <c r="AG1760" s="6" t="str">
        <f t="shared" si="843"/>
        <v>=916.7*10000</v>
      </c>
      <c r="AH1760" s="1">
        <f>916.7*10000</f>
        <v>9167000</v>
      </c>
      <c r="AI1760" s="8">
        <f t="shared" si="860"/>
        <v>-0.8949581757763263</v>
      </c>
      <c r="AJ1760" s="7" t="s">
        <v>7258</v>
      </c>
      <c r="AK1760" s="6" t="str">
        <f t="shared" si="844"/>
        <v>=8727*10000</v>
      </c>
      <c r="AL1760" s="1">
        <f>8727*10000</f>
        <v>87270000</v>
      </c>
      <c r="AM1760" s="8">
        <f t="shared" si="861"/>
        <v>0.11101209420751114</v>
      </c>
      <c r="AN1760" s="7" t="s">
        <v>7598</v>
      </c>
      <c r="AO1760" s="6" t="str">
        <f t="shared" si="845"/>
        <v>=7855*10000</v>
      </c>
      <c r="AP1760" s="1">
        <f>7855*10000</f>
        <v>78550000</v>
      </c>
      <c r="AQ1760" s="8">
        <f t="shared" si="862"/>
        <v>0.52199186204223991</v>
      </c>
      <c r="AR1760" s="7" t="s">
        <v>16240</v>
      </c>
      <c r="AS1760" s="6" t="str">
        <f t="shared" si="846"/>
        <v>=5161*10000</v>
      </c>
      <c r="AT1760" s="1">
        <f>5161*10000</f>
        <v>51610000</v>
      </c>
      <c r="AU1760" s="8">
        <f t="shared" si="863"/>
        <v>2.2643896268184691</v>
      </c>
      <c r="AV1760" s="7" t="s">
        <v>15290</v>
      </c>
      <c r="AW1760" s="6" t="str">
        <f t="shared" si="847"/>
        <v>=1581*10000</v>
      </c>
      <c r="AX1760" s="1">
        <f>1581*10000</f>
        <v>15810000</v>
      </c>
      <c r="AY1760" s="10">
        <f t="shared" si="864"/>
        <v>-0.79298153725284792</v>
      </c>
      <c r="AZ1760" s="7" t="s">
        <v>16241</v>
      </c>
      <c r="BA1760" s="6" t="str">
        <f t="shared" si="848"/>
        <v>=7637*10000</v>
      </c>
      <c r="BB1760" s="1">
        <f>7637*10000</f>
        <v>76370000</v>
      </c>
      <c r="BC1760" s="8">
        <f t="shared" si="865"/>
        <v>0.18073593073593072</v>
      </c>
      <c r="BD1760" s="7" t="s">
        <v>16242</v>
      </c>
      <c r="BE1760" s="6" t="str">
        <f t="shared" si="849"/>
        <v>=6468*10000</v>
      </c>
      <c r="BF1760" s="1">
        <f>6468*10000</f>
        <v>64680000</v>
      </c>
      <c r="BG1760" s="8">
        <f t="shared" si="866"/>
        <v>0.60217983651226159</v>
      </c>
      <c r="BH1760" s="7" t="s">
        <v>12354</v>
      </c>
      <c r="BI1760" s="6" t="str">
        <f t="shared" si="850"/>
        <v>=4037*10000</v>
      </c>
      <c r="BJ1760" s="1">
        <f>4037*10000</f>
        <v>40370000</v>
      </c>
      <c r="BK1760" s="7" t="s">
        <v>7689</v>
      </c>
      <c r="BL1760" s="1" t="str">
        <f t="shared" si="852"/>
        <v>=1481*10000</v>
      </c>
      <c r="BM1760" s="16">
        <f t="shared" si="867"/>
        <v>1.7258609047940581</v>
      </c>
      <c r="BN1760" s="1">
        <f>1481*10000</f>
        <v>14810000</v>
      </c>
    </row>
    <row r="1761" spans="1:66">
      <c r="A1761" s="19"/>
      <c r="B1761">
        <v>603356</v>
      </c>
      <c r="C1761" t="s">
        <v>68</v>
      </c>
      <c r="D1761" s="7" t="s">
        <v>16243</v>
      </c>
      <c r="E1761" s="7" t="str">
        <f t="shared" si="851"/>
        <v>=191.4*10000</v>
      </c>
      <c r="F1761" s="1">
        <f>191.4*10000</f>
        <v>1914000</v>
      </c>
      <c r="G1761" s="8">
        <f t="shared" si="853"/>
        <v>-1.3851881666331254</v>
      </c>
      <c r="H1761" s="7">
        <f>-496.9*10000</f>
        <v>-4969000</v>
      </c>
      <c r="I1761" s="6" t="str">
        <f t="shared" si="837"/>
        <v>=-4969000</v>
      </c>
      <c r="J1761" s="1">
        <f>-4969000</f>
        <v>-4969000</v>
      </c>
      <c r="K1761" s="10">
        <f t="shared" si="854"/>
        <v>-0.24391357273280584</v>
      </c>
      <c r="L1761" s="7">
        <f>-657.2*10000</f>
        <v>-6572000</v>
      </c>
      <c r="M1761" s="6" t="str">
        <f t="shared" si="838"/>
        <v>=-6572000</v>
      </c>
      <c r="N1761" s="1">
        <f>-6572000</f>
        <v>-6572000</v>
      </c>
      <c r="O1761" s="8">
        <f t="shared" si="855"/>
        <v>-0.38406747891283971</v>
      </c>
      <c r="P1761" s="7">
        <f>-1067*10000</f>
        <v>-10670000</v>
      </c>
      <c r="Q1761" s="6" t="str">
        <f t="shared" si="839"/>
        <v>=-10670000</v>
      </c>
      <c r="R1761" s="11">
        <f>-10670000</f>
        <v>-10670000</v>
      </c>
      <c r="S1761" s="8">
        <f t="shared" si="856"/>
        <v>-1.119377936898635</v>
      </c>
      <c r="T1761" s="7" t="s">
        <v>16244</v>
      </c>
      <c r="U1761" s="6" t="str">
        <f t="shared" si="840"/>
        <v>=8938*10000</v>
      </c>
      <c r="V1761" s="1">
        <f>8938*10000</f>
        <v>89380000</v>
      </c>
      <c r="W1761" s="8">
        <f t="shared" si="857"/>
        <v>1.2001811594202898E-2</v>
      </c>
      <c r="X1761" s="7" t="s">
        <v>12395</v>
      </c>
      <c r="Y1761" s="6" t="str">
        <f t="shared" si="841"/>
        <v>=8832*10000</v>
      </c>
      <c r="Z1761" s="1">
        <f>8832*10000</f>
        <v>88320000</v>
      </c>
      <c r="AA1761" s="8">
        <f t="shared" si="858"/>
        <v>0.89568576947842882</v>
      </c>
      <c r="AB1761" s="7" t="s">
        <v>15732</v>
      </c>
      <c r="AC1761" s="6" t="str">
        <f t="shared" si="842"/>
        <v>=4659*10000</v>
      </c>
      <c r="AD1761" s="1">
        <f>4659*10000</f>
        <v>46590000</v>
      </c>
      <c r="AE1761" s="8">
        <f t="shared" si="859"/>
        <v>6.8158027176648215</v>
      </c>
      <c r="AF1761" s="7" t="s">
        <v>16245</v>
      </c>
      <c r="AG1761" s="6" t="str">
        <f t="shared" si="843"/>
        <v>=596.1*10000</v>
      </c>
      <c r="AH1761" s="1">
        <f>596.1*10000</f>
        <v>5961000</v>
      </c>
      <c r="AI1761" s="8">
        <f t="shared" si="860"/>
        <v>-0.91215738284703807</v>
      </c>
      <c r="AJ1761" s="7" t="s">
        <v>16246</v>
      </c>
      <c r="AK1761" s="6" t="str">
        <f t="shared" si="844"/>
        <v>=6786*10000</v>
      </c>
      <c r="AL1761" s="1">
        <f>6786*10000</f>
        <v>67860000</v>
      </c>
      <c r="AM1761" s="8">
        <f t="shared" si="861"/>
        <v>8.5933749399903989E-2</v>
      </c>
      <c r="AN1761" s="7" t="s">
        <v>3192</v>
      </c>
      <c r="AO1761" s="6" t="str">
        <f t="shared" si="845"/>
        <v>=6249*10000</v>
      </c>
      <c r="AP1761" s="1">
        <f>6249*10000</f>
        <v>62490000</v>
      </c>
      <c r="AQ1761" s="8">
        <f t="shared" si="862"/>
        <v>0.53161764705882353</v>
      </c>
      <c r="AR1761" s="7" t="s">
        <v>16247</v>
      </c>
      <c r="AS1761" s="6" t="str">
        <f t="shared" si="846"/>
        <v>=4080*10000</v>
      </c>
      <c r="AT1761" s="1">
        <f>4080*10000</f>
        <v>40800000</v>
      </c>
      <c r="AU1761" s="8">
        <f t="shared" si="863"/>
        <v>2.314378554021121</v>
      </c>
      <c r="AV1761" s="7" t="s">
        <v>16248</v>
      </c>
      <c r="AW1761" s="6" t="str">
        <f t="shared" si="847"/>
        <v>=1231*10000</v>
      </c>
      <c r="AX1761" s="1">
        <f>1231*10000</f>
        <v>12310000</v>
      </c>
      <c r="AY1761" s="10">
        <f t="shared" si="864"/>
        <v>-0.79885620915032685</v>
      </c>
      <c r="AZ1761" s="7" t="s">
        <v>4901</v>
      </c>
      <c r="BA1761" s="6" t="str">
        <f t="shared" si="848"/>
        <v>=6120*10000</v>
      </c>
      <c r="BB1761" s="1">
        <f>6120*10000</f>
        <v>61200000</v>
      </c>
      <c r="BC1761" s="8">
        <f t="shared" si="865"/>
        <v>0.21188118811881188</v>
      </c>
      <c r="BD1761" s="7" t="s">
        <v>5937</v>
      </c>
      <c r="BE1761" s="6" t="str">
        <f t="shared" si="849"/>
        <v>=5050*10000</v>
      </c>
      <c r="BF1761" s="1">
        <f>5050*10000</f>
        <v>50500000</v>
      </c>
      <c r="BG1761" s="8">
        <f t="shared" si="866"/>
        <v>0.57468038665419396</v>
      </c>
      <c r="BH1761" s="7" t="s">
        <v>16249</v>
      </c>
      <c r="BI1761" s="6" t="str">
        <f t="shared" si="850"/>
        <v>=3207*10000</v>
      </c>
      <c r="BJ1761" s="1">
        <f>3207*10000</f>
        <v>32070000</v>
      </c>
      <c r="BK1761" s="7" t="s">
        <v>10417</v>
      </c>
      <c r="BL1761" s="1" t="str">
        <f t="shared" si="852"/>
        <v>=1171*10000</v>
      </c>
      <c r="BM1761" s="16">
        <f t="shared" si="867"/>
        <v>1.7386848847139198</v>
      </c>
      <c r="BN1761" s="1">
        <f>1171*10000</f>
        <v>11710000</v>
      </c>
    </row>
    <row r="1762" spans="1:66">
      <c r="A1762" s="17">
        <v>442</v>
      </c>
      <c r="B1762">
        <v>603357</v>
      </c>
      <c r="C1762" t="s">
        <v>31</v>
      </c>
      <c r="D1762" s="6" t="s">
        <v>11315</v>
      </c>
      <c r="E1762" s="7" t="str">
        <f t="shared" si="851"/>
        <v>=23.57*100000000</v>
      </c>
      <c r="F1762" s="1">
        <f>23.57*100000000</f>
        <v>2357000000</v>
      </c>
      <c r="G1762" s="8">
        <f t="shared" si="853"/>
        <v>0.48238993710691824</v>
      </c>
      <c r="H1762" s="6" t="s">
        <v>8363</v>
      </c>
      <c r="I1762" s="6" t="str">
        <f t="shared" si="837"/>
        <v>=15.90*100000000</v>
      </c>
      <c r="J1762" s="1">
        <f>15.9*100000000</f>
        <v>1590000000</v>
      </c>
      <c r="K1762" s="10">
        <f t="shared" si="854"/>
        <v>0.42857142857142855</v>
      </c>
      <c r="L1762" s="6" t="s">
        <v>2419</v>
      </c>
      <c r="M1762" s="6" t="str">
        <f t="shared" si="838"/>
        <v>=11.13*100000000</v>
      </c>
      <c r="N1762" s="1">
        <f>11.13*100000000</f>
        <v>1113000000</v>
      </c>
      <c r="O1762" s="8">
        <f t="shared" si="855"/>
        <v>1.4618447246184472</v>
      </c>
      <c r="P1762" s="6" t="s">
        <v>7648</v>
      </c>
      <c r="Q1762" s="6" t="str">
        <f t="shared" si="839"/>
        <v>=4.521*100000000</v>
      </c>
      <c r="R1762" s="11">
        <f>4.521*100000000</f>
        <v>452100000</v>
      </c>
      <c r="S1762" s="8">
        <f t="shared" si="856"/>
        <v>-0.76329842931937175</v>
      </c>
      <c r="T1762" s="6" t="s">
        <v>1973</v>
      </c>
      <c r="U1762" s="6" t="str">
        <f t="shared" si="840"/>
        <v>=19.10*100000000</v>
      </c>
      <c r="V1762" s="1">
        <f>19.1*100000000</f>
        <v>1910000000.0000002</v>
      </c>
      <c r="W1762" s="8">
        <f t="shared" si="857"/>
        <v>0.61590524534686997</v>
      </c>
      <c r="X1762" s="6" t="s">
        <v>4221</v>
      </c>
      <c r="Y1762" s="6" t="str">
        <f t="shared" si="841"/>
        <v>=11.82*100000000</v>
      </c>
      <c r="Z1762" s="1">
        <f>11.82*100000000</f>
        <v>1182000000</v>
      </c>
      <c r="AA1762" s="8">
        <f t="shared" si="858"/>
        <v>0.51092931100600791</v>
      </c>
      <c r="AB1762" s="6" t="s">
        <v>16250</v>
      </c>
      <c r="AC1762" s="6" t="str">
        <f t="shared" si="842"/>
        <v>=7.823*100000000</v>
      </c>
      <c r="AD1762" s="1">
        <f>7.823*100000000</f>
        <v>782300000</v>
      </c>
      <c r="AE1762" s="8">
        <f t="shared" si="859"/>
        <v>1.242189739180281</v>
      </c>
      <c r="AF1762" s="6" t="s">
        <v>11860</v>
      </c>
      <c r="AG1762" s="6" t="str">
        <f t="shared" si="843"/>
        <v>=3.489*100000000</v>
      </c>
      <c r="AH1762" s="1">
        <f>3.489*100000000</f>
        <v>348900000</v>
      </c>
      <c r="AI1762" s="8">
        <f t="shared" si="860"/>
        <v>-0.7844966028412601</v>
      </c>
      <c r="AJ1762" s="6" t="s">
        <v>1334</v>
      </c>
      <c r="AK1762" s="6" t="str">
        <f t="shared" si="844"/>
        <v>=16.19*100000000</v>
      </c>
      <c r="AL1762" s="1">
        <f>16.19*100000000</f>
        <v>1619000000.0000002</v>
      </c>
      <c r="AM1762" s="8">
        <f t="shared" si="861"/>
        <v>0.5259189443920832</v>
      </c>
      <c r="AN1762" s="6" t="s">
        <v>166</v>
      </c>
      <c r="AO1762" s="6" t="str">
        <f t="shared" si="845"/>
        <v>=10.61*100000000</v>
      </c>
      <c r="AP1762" s="1">
        <f>10.61*100000000</f>
        <v>1061000000</v>
      </c>
      <c r="AQ1762" s="8">
        <f t="shared" si="862"/>
        <v>0.44235997824904838</v>
      </c>
      <c r="AR1762" s="6" t="s">
        <v>16251</v>
      </c>
      <c r="AS1762" s="6" t="str">
        <f t="shared" si="846"/>
        <v>=7.356*100000000</v>
      </c>
      <c r="AT1762" s="1">
        <f>7.356*100000000</f>
        <v>735600000</v>
      </c>
      <c r="AU1762" s="8">
        <f t="shared" si="863"/>
        <v>0.82757763975155252</v>
      </c>
      <c r="AV1762" s="6" t="s">
        <v>16252</v>
      </c>
      <c r="AW1762" s="6" t="str">
        <f t="shared" si="847"/>
        <v>=4.025*100000000</v>
      </c>
      <c r="AX1762" s="1">
        <f>4.025*100000000</f>
        <v>402500000.00000006</v>
      </c>
      <c r="AY1762" s="10">
        <f t="shared" si="864"/>
        <v>-0.75591267434808973</v>
      </c>
      <c r="AZ1762" s="6" t="s">
        <v>6068</v>
      </c>
      <c r="BA1762" s="6" t="str">
        <f t="shared" si="848"/>
        <v>=16.49*100000000</v>
      </c>
      <c r="BB1762" s="1">
        <f>16.49*100000000</f>
        <v>1648999999.9999998</v>
      </c>
      <c r="BC1762" s="8">
        <f t="shared" si="865"/>
        <v>0.40340425531914875</v>
      </c>
      <c r="BD1762" s="6" t="s">
        <v>9227</v>
      </c>
      <c r="BE1762" s="6" t="str">
        <f t="shared" si="849"/>
        <v>=11.75*100000000</v>
      </c>
      <c r="BF1762" s="1">
        <f>11.75*100000000</f>
        <v>1175000000</v>
      </c>
      <c r="BG1762" s="8">
        <f t="shared" si="866"/>
        <v>0.41600385635092796</v>
      </c>
      <c r="BH1762" s="6" t="s">
        <v>4266</v>
      </c>
      <c r="BI1762" s="6" t="str">
        <f t="shared" si="850"/>
        <v>=8.298*100000000</v>
      </c>
      <c r="BJ1762" s="1">
        <f>8.298*100000000</f>
        <v>829800000</v>
      </c>
      <c r="BK1762" s="6" t="s">
        <v>10903</v>
      </c>
      <c r="BL1762" s="1" t="str">
        <f t="shared" si="852"/>
        <v>=4.155*100000000</v>
      </c>
      <c r="BM1762" s="16">
        <f t="shared" si="867"/>
        <v>0.99711191335740068</v>
      </c>
      <c r="BN1762" s="1">
        <f>4.155*100000000</f>
        <v>415500000</v>
      </c>
    </row>
    <row r="1763" spans="1:66">
      <c r="A1763" s="18"/>
      <c r="B1763">
        <v>603357</v>
      </c>
      <c r="C1763" t="s">
        <v>48</v>
      </c>
      <c r="D1763" s="6" t="s">
        <v>16253</v>
      </c>
      <c r="E1763" s="7" t="str">
        <f t="shared" si="851"/>
        <v>=4.518*100000000</v>
      </c>
      <c r="F1763" s="1">
        <f>4.518*100000000</f>
        <v>451800000</v>
      </c>
      <c r="G1763" s="8">
        <f t="shared" si="853"/>
        <v>0.22009181744531461</v>
      </c>
      <c r="H1763" s="6" t="s">
        <v>1392</v>
      </c>
      <c r="I1763" s="6" t="str">
        <f t="shared" si="837"/>
        <v>=3.703*100000000</v>
      </c>
      <c r="J1763" s="1">
        <f>3.703*100000000</f>
        <v>370300000</v>
      </c>
      <c r="K1763" s="10">
        <f t="shared" si="854"/>
        <v>0.47529880478087666</v>
      </c>
      <c r="L1763" s="6" t="s">
        <v>10390</v>
      </c>
      <c r="M1763" s="6" t="str">
        <f t="shared" si="838"/>
        <v>=2.510*100000000</v>
      </c>
      <c r="N1763" s="1">
        <f>2.51*100000000</f>
        <v>250999999.99999997</v>
      </c>
      <c r="O1763" s="8">
        <f t="shared" si="855"/>
        <v>1.1235194585448389</v>
      </c>
      <c r="P1763" s="6" t="s">
        <v>13786</v>
      </c>
      <c r="Q1763" s="6" t="str">
        <f t="shared" si="839"/>
        <v>=1.182*100000000</v>
      </c>
      <c r="R1763" s="11">
        <f>1.182*100000000</f>
        <v>118200000</v>
      </c>
      <c r="S1763" s="8">
        <f t="shared" si="856"/>
        <v>-0.7242827151854444</v>
      </c>
      <c r="T1763" s="6" t="s">
        <v>16254</v>
      </c>
      <c r="U1763" s="6" t="str">
        <f t="shared" si="840"/>
        <v>=4.287*100000000</v>
      </c>
      <c r="V1763" s="1">
        <f>4.287*100000000</f>
        <v>428700000</v>
      </c>
      <c r="W1763" s="8">
        <f t="shared" si="857"/>
        <v>0.23189655172413792</v>
      </c>
      <c r="X1763" s="6" t="s">
        <v>14447</v>
      </c>
      <c r="Y1763" s="6" t="str">
        <f t="shared" si="841"/>
        <v>=3.480*100000000</v>
      </c>
      <c r="Z1763" s="1">
        <f>3.48*100000000</f>
        <v>348000000</v>
      </c>
      <c r="AA1763" s="8">
        <f t="shared" si="858"/>
        <v>0.44578313253012047</v>
      </c>
      <c r="AB1763" s="6" t="s">
        <v>7661</v>
      </c>
      <c r="AC1763" s="6" t="str">
        <f t="shared" si="842"/>
        <v>=2.407*100000000</v>
      </c>
      <c r="AD1763" s="1">
        <f>2.407*100000000</f>
        <v>240700000</v>
      </c>
      <c r="AE1763" s="8">
        <f t="shared" si="859"/>
        <v>0.99585406301824209</v>
      </c>
      <c r="AF1763" s="6" t="s">
        <v>16255</v>
      </c>
      <c r="AG1763" s="6" t="str">
        <f t="shared" si="843"/>
        <v>=1.206*100000000</v>
      </c>
      <c r="AH1763" s="1">
        <f>1.206*100000000</f>
        <v>120600000</v>
      </c>
      <c r="AI1763" s="8">
        <f t="shared" si="860"/>
        <v>-0.68204587397838123</v>
      </c>
      <c r="AJ1763" s="6" t="s">
        <v>16256</v>
      </c>
      <c r="AK1763" s="6" t="str">
        <f t="shared" si="844"/>
        <v>=3.793*100000000</v>
      </c>
      <c r="AL1763" s="1">
        <f>3.793*100000000</f>
        <v>379300000</v>
      </c>
      <c r="AM1763" s="8">
        <f t="shared" si="861"/>
        <v>0.13562874251497006</v>
      </c>
      <c r="AN1763" s="6" t="s">
        <v>6974</v>
      </c>
      <c r="AO1763" s="6" t="str">
        <f t="shared" si="845"/>
        <v>=3.340*100000000</v>
      </c>
      <c r="AP1763" s="1">
        <f>3.34*100000000</f>
        <v>334000000</v>
      </c>
      <c r="AQ1763" s="8">
        <f t="shared" si="862"/>
        <v>0.29557796741660219</v>
      </c>
      <c r="AR1763" s="6" t="s">
        <v>10071</v>
      </c>
      <c r="AS1763" s="6" t="str">
        <f t="shared" si="846"/>
        <v>=2.578*100000000</v>
      </c>
      <c r="AT1763" s="1">
        <f>2.578*100000000</f>
        <v>257799999.99999997</v>
      </c>
      <c r="AU1763" s="8">
        <f t="shared" si="863"/>
        <v>0.84406294706723872</v>
      </c>
      <c r="AV1763" s="6" t="s">
        <v>108</v>
      </c>
      <c r="AW1763" s="6" t="str">
        <f t="shared" si="847"/>
        <v>=1.398*100000000</v>
      </c>
      <c r="AX1763" s="1">
        <f>1.398*100000000</f>
        <v>139800000</v>
      </c>
      <c r="AY1763" s="10">
        <f t="shared" si="864"/>
        <v>-0.72906976744186047</v>
      </c>
      <c r="AZ1763" s="6" t="s">
        <v>15537</v>
      </c>
      <c r="BA1763" s="6" t="str">
        <f t="shared" si="848"/>
        <v>=5.160*100000000</v>
      </c>
      <c r="BB1763" s="1">
        <f>5.16*100000000</f>
        <v>516000000</v>
      </c>
      <c r="BC1763" s="8">
        <f t="shared" si="865"/>
        <v>0.22886401524172423</v>
      </c>
      <c r="BD1763" s="6" t="s">
        <v>16257</v>
      </c>
      <c r="BE1763" s="6" t="str">
        <f t="shared" si="849"/>
        <v>=4.199*100000000</v>
      </c>
      <c r="BF1763" s="1">
        <f>4.199*100000000</f>
        <v>419900000</v>
      </c>
      <c r="BG1763" s="8">
        <f t="shared" si="866"/>
        <v>0.4258064516129032</v>
      </c>
      <c r="BH1763" s="6" t="s">
        <v>2915</v>
      </c>
      <c r="BI1763" s="6" t="str">
        <f t="shared" si="850"/>
        <v>=2.945*100000000</v>
      </c>
      <c r="BJ1763" s="1">
        <f>2.945*100000000</f>
        <v>294500000</v>
      </c>
      <c r="BK1763" s="6" t="s">
        <v>2200</v>
      </c>
      <c r="BL1763" s="1" t="str">
        <f t="shared" si="852"/>
        <v>=1.367*100000000</v>
      </c>
      <c r="BM1763" s="16">
        <f t="shared" si="867"/>
        <v>1.1543525969275787</v>
      </c>
      <c r="BN1763" s="1">
        <f>1.367*100000000</f>
        <v>136700000</v>
      </c>
    </row>
    <row r="1764" spans="1:66">
      <c r="A1764" s="18"/>
      <c r="B1764">
        <v>603357</v>
      </c>
      <c r="C1764" t="s">
        <v>58</v>
      </c>
      <c r="D1764" s="6" t="s">
        <v>16258</v>
      </c>
      <c r="E1764" s="7" t="str">
        <f t="shared" si="851"/>
        <v>=4.516*100000000</v>
      </c>
      <c r="F1764" s="1">
        <f>4.516*100000000</f>
        <v>451600000</v>
      </c>
      <c r="G1764" s="8">
        <f t="shared" si="853"/>
        <v>0.2195517148258169</v>
      </c>
      <c r="H1764" s="6" t="s">
        <v>1392</v>
      </c>
      <c r="I1764" s="6" t="str">
        <f t="shared" si="837"/>
        <v>=3.703*100000000</v>
      </c>
      <c r="J1764" s="1">
        <f>3.703*100000000</f>
        <v>370300000</v>
      </c>
      <c r="K1764" s="10">
        <f t="shared" si="854"/>
        <v>0.47471127041019512</v>
      </c>
      <c r="L1764" s="6" t="s">
        <v>11405</v>
      </c>
      <c r="M1764" s="6" t="str">
        <f t="shared" si="838"/>
        <v>=2.511*100000000</v>
      </c>
      <c r="N1764" s="1">
        <f>2.511*100000000</f>
        <v>251100000</v>
      </c>
      <c r="O1764" s="8">
        <f t="shared" si="855"/>
        <v>1.1225697379543533</v>
      </c>
      <c r="P1764" s="6" t="s">
        <v>2113</v>
      </c>
      <c r="Q1764" s="6" t="str">
        <f t="shared" si="839"/>
        <v>=1.183*100000000</v>
      </c>
      <c r="R1764" s="11">
        <f>1.183*100000000</f>
        <v>118300000</v>
      </c>
      <c r="S1764" s="8">
        <f t="shared" si="856"/>
        <v>-0.72013248166548383</v>
      </c>
      <c r="T1764" s="6" t="s">
        <v>2665</v>
      </c>
      <c r="U1764" s="6" t="str">
        <f t="shared" si="840"/>
        <v>=4.227*100000000</v>
      </c>
      <c r="V1764" s="1">
        <f>4.227*100000000</f>
        <v>422700000.00000006</v>
      </c>
      <c r="W1764" s="8">
        <f t="shared" si="857"/>
        <v>0.23524254821741689</v>
      </c>
      <c r="X1764" s="6" t="s">
        <v>11227</v>
      </c>
      <c r="Y1764" s="6" t="str">
        <f t="shared" si="841"/>
        <v>=3.422*100000000</v>
      </c>
      <c r="Z1764" s="1">
        <f>3.422*100000000</f>
        <v>342200000</v>
      </c>
      <c r="AA1764" s="8">
        <f t="shared" si="858"/>
        <v>0.45617021276595743</v>
      </c>
      <c r="AB1764" s="6" t="s">
        <v>16259</v>
      </c>
      <c r="AC1764" s="6" t="str">
        <f t="shared" si="842"/>
        <v>=2.350*100000000</v>
      </c>
      <c r="AD1764" s="1">
        <f>2.35*100000000</f>
        <v>235000000</v>
      </c>
      <c r="AE1764" s="8">
        <f t="shared" si="859"/>
        <v>1.0434782608695654</v>
      </c>
      <c r="AF1764" s="6" t="s">
        <v>16260</v>
      </c>
      <c r="AG1764" s="6" t="str">
        <f t="shared" si="843"/>
        <v>=1.150*100000000</v>
      </c>
      <c r="AH1764" s="1">
        <f>1.15*100000000</f>
        <v>114999999.99999999</v>
      </c>
      <c r="AI1764" s="8">
        <f t="shared" si="860"/>
        <v>-0.6971293126152226</v>
      </c>
      <c r="AJ1764" s="6" t="s">
        <v>7669</v>
      </c>
      <c r="AK1764" s="6" t="str">
        <f t="shared" si="844"/>
        <v>=3.797*100000000</v>
      </c>
      <c r="AL1764" s="1">
        <f>3.797*100000000</f>
        <v>379700000</v>
      </c>
      <c r="AM1764" s="8">
        <f t="shared" si="861"/>
        <v>0.13682634730538923</v>
      </c>
      <c r="AN1764" s="6" t="s">
        <v>6974</v>
      </c>
      <c r="AO1764" s="6" t="str">
        <f t="shared" si="845"/>
        <v>=3.340*100000000</v>
      </c>
      <c r="AP1764" s="1">
        <f>3.34*100000000</f>
        <v>334000000</v>
      </c>
      <c r="AQ1764" s="8">
        <f t="shared" si="862"/>
        <v>0.29557796741660219</v>
      </c>
      <c r="AR1764" s="6" t="s">
        <v>10071</v>
      </c>
      <c r="AS1764" s="6" t="str">
        <f t="shared" si="846"/>
        <v>=2.578*100000000</v>
      </c>
      <c r="AT1764" s="1">
        <f>2.578*100000000</f>
        <v>257799999.99999997</v>
      </c>
      <c r="AU1764" s="8">
        <f t="shared" si="863"/>
        <v>0.84142857142857119</v>
      </c>
      <c r="AV1764" s="6" t="s">
        <v>10374</v>
      </c>
      <c r="AW1764" s="6" t="str">
        <f t="shared" si="847"/>
        <v>=1.400*100000000</v>
      </c>
      <c r="AX1764" s="1">
        <f>1.4*100000000</f>
        <v>140000000</v>
      </c>
      <c r="AY1764" s="10">
        <f t="shared" si="864"/>
        <v>-0.72878729174738477</v>
      </c>
      <c r="AZ1764" s="6" t="s">
        <v>13423</v>
      </c>
      <c r="BA1764" s="6" t="str">
        <f t="shared" si="848"/>
        <v>=5.162*100000000</v>
      </c>
      <c r="BB1764" s="1">
        <f>5.162*100000000</f>
        <v>516200000</v>
      </c>
      <c r="BC1764" s="8">
        <f t="shared" si="865"/>
        <v>0.23139312977099236</v>
      </c>
      <c r="BD1764" s="6" t="s">
        <v>9777</v>
      </c>
      <c r="BE1764" s="6" t="str">
        <f t="shared" si="849"/>
        <v>=4.192*100000000</v>
      </c>
      <c r="BF1764" s="1">
        <f>4.192*100000000</f>
        <v>419200000</v>
      </c>
      <c r="BG1764" s="8">
        <f t="shared" si="866"/>
        <v>0.42633548826131334</v>
      </c>
      <c r="BH1764" s="6" t="s">
        <v>9244</v>
      </c>
      <c r="BI1764" s="6" t="str">
        <f t="shared" si="850"/>
        <v>=2.939*100000000</v>
      </c>
      <c r="BJ1764" s="1">
        <f>2.939*100000000</f>
        <v>293900000</v>
      </c>
      <c r="BK1764" s="6" t="s">
        <v>6885</v>
      </c>
      <c r="BL1764" s="1" t="str">
        <f t="shared" si="852"/>
        <v>=1.363*100000000</v>
      </c>
      <c r="BM1764" s="16">
        <f t="shared" si="867"/>
        <v>1.1562729273661041</v>
      </c>
      <c r="BN1764" s="1">
        <f>1.363*100000000</f>
        <v>136300000</v>
      </c>
    </row>
    <row r="1765" spans="1:66">
      <c r="A1765" s="19"/>
      <c r="B1765">
        <v>603357</v>
      </c>
      <c r="C1765" t="s">
        <v>68</v>
      </c>
      <c r="D1765" s="6" t="s">
        <v>2881</v>
      </c>
      <c r="E1765" s="7" t="str">
        <f t="shared" si="851"/>
        <v>=3.904*100000000</v>
      </c>
      <c r="F1765" s="1">
        <f>3.904*100000000</f>
        <v>390400000</v>
      </c>
      <c r="G1765" s="8">
        <f t="shared" si="853"/>
        <v>0.24569240587109126</v>
      </c>
      <c r="H1765" s="6" t="s">
        <v>2638</v>
      </c>
      <c r="I1765" s="6" t="str">
        <f t="shared" si="837"/>
        <v>=3.134*100000000</v>
      </c>
      <c r="J1765" s="1">
        <f>3.134*100000000</f>
        <v>313400000</v>
      </c>
      <c r="K1765" s="10">
        <f t="shared" si="854"/>
        <v>0.47690857681432614</v>
      </c>
      <c r="L1765" s="6" t="s">
        <v>4869</v>
      </c>
      <c r="M1765" s="6" t="str">
        <f t="shared" si="838"/>
        <v>=2.122*100000000</v>
      </c>
      <c r="N1765" s="1">
        <f>2.122*100000000</f>
        <v>212200000</v>
      </c>
      <c r="O1765" s="8">
        <f t="shared" si="855"/>
        <v>1.1456016177957533</v>
      </c>
      <c r="P1765" s="7" t="s">
        <v>16261</v>
      </c>
      <c r="Q1765" s="6" t="str">
        <f t="shared" si="839"/>
        <v>=9890*10000</v>
      </c>
      <c r="R1765" s="11">
        <f>9890*10000</f>
        <v>98900000</v>
      </c>
      <c r="S1765" s="8">
        <f t="shared" si="856"/>
        <v>-0.72822203902170923</v>
      </c>
      <c r="T1765" s="6" t="s">
        <v>2377</v>
      </c>
      <c r="U1765" s="6" t="str">
        <f t="shared" si="840"/>
        <v>=3.639*100000000</v>
      </c>
      <c r="V1765" s="1">
        <f>3.639*100000000</f>
        <v>363900000</v>
      </c>
      <c r="W1765" s="8">
        <f t="shared" si="857"/>
        <v>0.26135181975736571</v>
      </c>
      <c r="X1765" s="6" t="s">
        <v>933</v>
      </c>
      <c r="Y1765" s="6" t="str">
        <f t="shared" si="841"/>
        <v>=2.885*100000000</v>
      </c>
      <c r="Z1765" s="1">
        <f>2.885*100000000</f>
        <v>288500000</v>
      </c>
      <c r="AA1765" s="8">
        <f t="shared" si="858"/>
        <v>0.45633518425037861</v>
      </c>
      <c r="AB1765" s="6" t="s">
        <v>7769</v>
      </c>
      <c r="AC1765" s="6" t="str">
        <f t="shared" si="842"/>
        <v>=1.981*100000000</v>
      </c>
      <c r="AD1765" s="1">
        <f>1.981*100000000</f>
        <v>198100000</v>
      </c>
      <c r="AE1765" s="8">
        <f t="shared" si="859"/>
        <v>1.0628970113506195</v>
      </c>
      <c r="AF1765" s="7" t="s">
        <v>16262</v>
      </c>
      <c r="AG1765" s="6" t="str">
        <f t="shared" si="843"/>
        <v>=9603*10000</v>
      </c>
      <c r="AH1765" s="1">
        <f>9603*10000</f>
        <v>96030000</v>
      </c>
      <c r="AI1765" s="8">
        <f t="shared" si="860"/>
        <v>-0.70452307692307692</v>
      </c>
      <c r="AJ1765" s="6" t="s">
        <v>16263</v>
      </c>
      <c r="AK1765" s="6" t="str">
        <f t="shared" si="844"/>
        <v>=3.250*100000000</v>
      </c>
      <c r="AL1765" s="1">
        <f>3.25*100000000</f>
        <v>325000000</v>
      </c>
      <c r="AM1765" s="8">
        <f t="shared" si="861"/>
        <v>0.15535015997156063</v>
      </c>
      <c r="AN1765" s="6" t="s">
        <v>2891</v>
      </c>
      <c r="AO1765" s="6" t="str">
        <f t="shared" si="845"/>
        <v>=2.813*100000000</v>
      </c>
      <c r="AP1765" s="1">
        <f>2.813*100000000</f>
        <v>281300000</v>
      </c>
      <c r="AQ1765" s="8">
        <f t="shared" si="862"/>
        <v>0.29810798338717137</v>
      </c>
      <c r="AR1765" s="6" t="s">
        <v>7141</v>
      </c>
      <c r="AS1765" s="6" t="str">
        <f t="shared" si="846"/>
        <v>=2.167*100000000</v>
      </c>
      <c r="AT1765" s="1">
        <f>2.167*100000000</f>
        <v>216699999.99999997</v>
      </c>
      <c r="AU1765" s="8">
        <f t="shared" si="863"/>
        <v>0.84739982949701598</v>
      </c>
      <c r="AV1765" s="6" t="s">
        <v>7898</v>
      </c>
      <c r="AW1765" s="6" t="str">
        <f t="shared" si="847"/>
        <v>=1.173*100000000</v>
      </c>
      <c r="AX1765" s="1">
        <f>1.173*100000000</f>
        <v>117300000</v>
      </c>
      <c r="AY1765" s="10">
        <f t="shared" si="864"/>
        <v>-0.73133302794319743</v>
      </c>
      <c r="AZ1765" s="6" t="s">
        <v>1267</v>
      </c>
      <c r="BA1765" s="6" t="str">
        <f t="shared" si="848"/>
        <v>=4.366*100000000</v>
      </c>
      <c r="BB1765" s="1">
        <f>4.366*100000000</f>
        <v>436599999.99999994</v>
      </c>
      <c r="BC1765" s="8">
        <f t="shared" si="865"/>
        <v>0.25387708213670285</v>
      </c>
      <c r="BD1765" s="6" t="s">
        <v>5309</v>
      </c>
      <c r="BE1765" s="6" t="str">
        <f t="shared" si="849"/>
        <v>=3.482*100000000</v>
      </c>
      <c r="BF1765" s="1">
        <f>3.482*100000000</f>
        <v>348200000</v>
      </c>
      <c r="BG1765" s="8">
        <f t="shared" si="866"/>
        <v>0.41544715447154473</v>
      </c>
      <c r="BH1765" s="6" t="s">
        <v>16264</v>
      </c>
      <c r="BI1765" s="6" t="str">
        <f t="shared" si="850"/>
        <v>=2.460*100000000</v>
      </c>
      <c r="BJ1765" s="1">
        <f>2.46*100000000</f>
        <v>246000000</v>
      </c>
      <c r="BK1765" s="6" t="s">
        <v>257</v>
      </c>
      <c r="BL1765" s="1" t="str">
        <f t="shared" si="852"/>
        <v>=1.136*100000000</v>
      </c>
      <c r="BM1765" s="16">
        <f t="shared" si="867"/>
        <v>1.1654929577464792</v>
      </c>
      <c r="BN1765" s="1">
        <f>1.136*100000000</f>
        <v>113599999.99999999</v>
      </c>
    </row>
    <row r="1766" spans="1:66">
      <c r="A1766" s="17">
        <v>443</v>
      </c>
      <c r="B1766">
        <v>603368</v>
      </c>
      <c r="C1766" t="s">
        <v>31</v>
      </c>
      <c r="D1766" s="6" t="s">
        <v>16265</v>
      </c>
      <c r="E1766" s="7" t="str">
        <f t="shared" si="851"/>
        <v>=171.3*100000000</v>
      </c>
      <c r="F1766" s="1">
        <f>171.3*100000000</f>
        <v>17130000000.000002</v>
      </c>
      <c r="G1766" s="8">
        <f t="shared" si="853"/>
        <v>0.32996894409937882</v>
      </c>
      <c r="H1766" s="6" t="s">
        <v>9708</v>
      </c>
      <c r="I1766" s="6" t="str">
        <f t="shared" si="837"/>
        <v>=128.8*100000000</v>
      </c>
      <c r="J1766" s="1">
        <f>128.8*100000000</f>
        <v>12880000000.000002</v>
      </c>
      <c r="K1766" s="10">
        <f t="shared" si="854"/>
        <v>0.5475189234650969</v>
      </c>
      <c r="L1766" s="6" t="s">
        <v>16266</v>
      </c>
      <c r="M1766" s="6" t="str">
        <f t="shared" si="838"/>
        <v>=83.23*100000000</v>
      </c>
      <c r="N1766" s="1">
        <f>83.23*100000000</f>
        <v>8323000000</v>
      </c>
      <c r="O1766" s="8">
        <f t="shared" si="855"/>
        <v>0.9997597308986067</v>
      </c>
      <c r="P1766" s="6" t="s">
        <v>13662</v>
      </c>
      <c r="Q1766" s="6" t="str">
        <f t="shared" si="839"/>
        <v>=41.62*100000000</v>
      </c>
      <c r="R1766" s="11">
        <f>41.62*100000000</f>
        <v>4161999999.9999995</v>
      </c>
      <c r="S1766" s="8">
        <f t="shared" si="856"/>
        <v>-0.73439693682195273</v>
      </c>
      <c r="T1766" s="6" t="s">
        <v>7886</v>
      </c>
      <c r="U1766" s="6" t="str">
        <f t="shared" si="840"/>
        <v>=156.7*100000000</v>
      </c>
      <c r="V1766" s="1">
        <f>156.7*100000000</f>
        <v>15669999999.999998</v>
      </c>
      <c r="W1766" s="8">
        <f t="shared" si="857"/>
        <v>0.33361702127659559</v>
      </c>
      <c r="X1766" s="6" t="s">
        <v>12659</v>
      </c>
      <c r="Y1766" s="6" t="str">
        <f t="shared" si="841"/>
        <v>=117.5*100000000</v>
      </c>
      <c r="Z1766" s="1">
        <f>117.5*100000000</f>
        <v>11750000000</v>
      </c>
      <c r="AA1766" s="8">
        <f t="shared" si="858"/>
        <v>0.55156476957612566</v>
      </c>
      <c r="AB1766" s="6" t="s">
        <v>16267</v>
      </c>
      <c r="AC1766" s="6" t="str">
        <f t="shared" si="842"/>
        <v>=75.73*100000000</v>
      </c>
      <c r="AD1766" s="1">
        <f>75.73*100000000</f>
        <v>7573000000</v>
      </c>
      <c r="AE1766" s="8">
        <f t="shared" si="859"/>
        <v>1.0943030973451331</v>
      </c>
      <c r="AF1766" s="6" t="s">
        <v>16268</v>
      </c>
      <c r="AG1766" s="6" t="str">
        <f t="shared" si="843"/>
        <v>=36.16*100000000</v>
      </c>
      <c r="AH1766" s="1">
        <f>36.16*100000000</f>
        <v>3615999999.9999995</v>
      </c>
      <c r="AI1766" s="8">
        <f t="shared" si="860"/>
        <v>-0.75666218034993271</v>
      </c>
      <c r="AJ1766" s="6" t="s">
        <v>16269</v>
      </c>
      <c r="AK1766" s="6" t="str">
        <f t="shared" si="844"/>
        <v>=148.6*100000000</v>
      </c>
      <c r="AL1766" s="1">
        <f>148.6*100000000</f>
        <v>14860000000</v>
      </c>
      <c r="AM1766" s="8">
        <f t="shared" si="861"/>
        <v>0.33753375337533753</v>
      </c>
      <c r="AN1766" s="6" t="s">
        <v>9421</v>
      </c>
      <c r="AO1766" s="6" t="str">
        <f t="shared" si="845"/>
        <v>=111.1*100000000</v>
      </c>
      <c r="AP1766" s="1">
        <f>111.1*100000000</f>
        <v>11110000000</v>
      </c>
      <c r="AQ1766" s="8">
        <f t="shared" si="862"/>
        <v>0.54369876337362788</v>
      </c>
      <c r="AR1766" s="6" t="s">
        <v>16270</v>
      </c>
      <c r="AS1766" s="6" t="str">
        <f t="shared" si="846"/>
        <v>=71.97*100000000</v>
      </c>
      <c r="AT1766" s="1">
        <f>71.97*100000000</f>
        <v>7197000000</v>
      </c>
      <c r="AU1766" s="8">
        <f t="shared" si="863"/>
        <v>1.1255168340224453</v>
      </c>
      <c r="AV1766" s="6" t="s">
        <v>10781</v>
      </c>
      <c r="AW1766" s="6" t="str">
        <f t="shared" si="847"/>
        <v>=33.86*100000000</v>
      </c>
      <c r="AX1766" s="1">
        <f>33.86*100000000</f>
        <v>3386000000</v>
      </c>
      <c r="AY1766" s="10">
        <f t="shared" si="864"/>
        <v>-0.71084543125533728</v>
      </c>
      <c r="AZ1766" s="6" t="s">
        <v>1259</v>
      </c>
      <c r="BA1766" s="6" t="str">
        <f t="shared" si="848"/>
        <v>=117.1*100000000</v>
      </c>
      <c r="BB1766" s="1">
        <f>117.1*100000000</f>
        <v>11710000000</v>
      </c>
      <c r="BC1766" s="8">
        <f t="shared" si="865"/>
        <v>0.34443168771526983</v>
      </c>
      <c r="BD1766" s="6" t="s">
        <v>14597</v>
      </c>
      <c r="BE1766" s="6" t="str">
        <f t="shared" si="849"/>
        <v>=87.10*100000000</v>
      </c>
      <c r="BF1766" s="1">
        <f>87.1*100000000</f>
        <v>8710000000</v>
      </c>
      <c r="BG1766" s="8">
        <f t="shared" si="866"/>
        <v>0.57904278462654102</v>
      </c>
      <c r="BH1766" s="6" t="s">
        <v>9030</v>
      </c>
      <c r="BI1766" s="6" t="str">
        <f t="shared" si="850"/>
        <v>=55.16*100000000</v>
      </c>
      <c r="BJ1766" s="1">
        <f>55.16*100000000</f>
        <v>5516000000</v>
      </c>
      <c r="BK1766" s="6" t="s">
        <v>16271</v>
      </c>
      <c r="BL1766" s="1" t="str">
        <f t="shared" si="852"/>
        <v>=27.12*100000000</v>
      </c>
      <c r="BM1766" s="16">
        <f t="shared" si="867"/>
        <v>1.0339233038348083</v>
      </c>
      <c r="BN1766" s="1">
        <f>27.12*100000000</f>
        <v>2712000000</v>
      </c>
    </row>
    <row r="1767" spans="1:66">
      <c r="A1767" s="18"/>
      <c r="B1767">
        <v>603368</v>
      </c>
      <c r="C1767" t="s">
        <v>48</v>
      </c>
      <c r="D1767" s="6" t="s">
        <v>7093</v>
      </c>
      <c r="E1767" s="7" t="str">
        <f t="shared" si="851"/>
        <v>=7.531*100000000</v>
      </c>
      <c r="F1767" s="1">
        <f>7.531*100000000</f>
        <v>753100000</v>
      </c>
      <c r="G1767" s="8">
        <f t="shared" si="853"/>
        <v>0.17378428927680797</v>
      </c>
      <c r="H1767" s="6" t="s">
        <v>16272</v>
      </c>
      <c r="I1767" s="6" t="str">
        <f t="shared" si="837"/>
        <v>=6.416*100000000</v>
      </c>
      <c r="J1767" s="1">
        <f>6.416*100000000</f>
        <v>641600000</v>
      </c>
      <c r="K1767" s="10">
        <f t="shared" si="854"/>
        <v>0.49871525344545686</v>
      </c>
      <c r="L1767" s="6" t="s">
        <v>1441</v>
      </c>
      <c r="M1767" s="6" t="str">
        <f t="shared" si="838"/>
        <v>=4.281*100000000</v>
      </c>
      <c r="N1767" s="1">
        <f>4.281*100000000</f>
        <v>428099999.99999994</v>
      </c>
      <c r="O1767" s="8">
        <f t="shared" si="855"/>
        <v>0.62466793168880452</v>
      </c>
      <c r="P1767" s="6" t="s">
        <v>16273</v>
      </c>
      <c r="Q1767" s="6" t="str">
        <f t="shared" si="839"/>
        <v>=2.635*100000000</v>
      </c>
      <c r="R1767" s="11">
        <f>2.635*100000000</f>
        <v>263499999.99999997</v>
      </c>
      <c r="S1767" s="8">
        <f t="shared" si="856"/>
        <v>-0.70871103250055267</v>
      </c>
      <c r="T1767" s="6" t="s">
        <v>14998</v>
      </c>
      <c r="U1767" s="6" t="str">
        <f t="shared" si="840"/>
        <v>=9.046*100000000</v>
      </c>
      <c r="V1767" s="1">
        <f>9.046*100000000</f>
        <v>904599999.99999988</v>
      </c>
      <c r="W1767" s="8">
        <f t="shared" si="857"/>
        <v>0.19403379091869044</v>
      </c>
      <c r="X1767" s="6" t="s">
        <v>16274</v>
      </c>
      <c r="Y1767" s="6" t="str">
        <f t="shared" si="841"/>
        <v>=7.576*100000000</v>
      </c>
      <c r="Z1767" s="1">
        <f>7.576*100000000</f>
        <v>757600000</v>
      </c>
      <c r="AA1767" s="8">
        <f t="shared" si="858"/>
        <v>0.53205257836198183</v>
      </c>
      <c r="AB1767" s="6" t="s">
        <v>1129</v>
      </c>
      <c r="AC1767" s="6" t="str">
        <f t="shared" si="842"/>
        <v>=4.945*100000000</v>
      </c>
      <c r="AD1767" s="1">
        <f>4.945*100000000</f>
        <v>494500000</v>
      </c>
      <c r="AE1767" s="8">
        <f t="shared" si="859"/>
        <v>1.1268817204301071</v>
      </c>
      <c r="AF1767" s="6" t="s">
        <v>10580</v>
      </c>
      <c r="AG1767" s="6" t="str">
        <f t="shared" si="843"/>
        <v>=2.325*100000000</v>
      </c>
      <c r="AH1767" s="1">
        <f>2.325*100000000</f>
        <v>232500000.00000003</v>
      </c>
      <c r="AI1767" s="8">
        <f t="shared" si="860"/>
        <v>-0.74068703992861917</v>
      </c>
      <c r="AJ1767" s="6" t="s">
        <v>6323</v>
      </c>
      <c r="AK1767" s="6" t="str">
        <f t="shared" si="844"/>
        <v>=8.966*100000000</v>
      </c>
      <c r="AL1767" s="1">
        <f>8.966*100000000</f>
        <v>896599999.99999988</v>
      </c>
      <c r="AM1767" s="8">
        <f t="shared" si="861"/>
        <v>0.26406316086282233</v>
      </c>
      <c r="AN1767" s="6" t="s">
        <v>16275</v>
      </c>
      <c r="AO1767" s="6" t="str">
        <f t="shared" si="845"/>
        <v>=7.093*100000000</v>
      </c>
      <c r="AP1767" s="1">
        <f>7.093*100000000</f>
        <v>709300000</v>
      </c>
      <c r="AQ1767" s="8">
        <f t="shared" si="862"/>
        <v>0.5386117136659434</v>
      </c>
      <c r="AR1767" s="6" t="s">
        <v>16276</v>
      </c>
      <c r="AS1767" s="6" t="str">
        <f t="shared" si="846"/>
        <v>=4.610*100000000</v>
      </c>
      <c r="AT1767" s="1">
        <f>4.61*100000000</f>
        <v>461000000.00000006</v>
      </c>
      <c r="AU1767" s="8">
        <f t="shared" si="863"/>
        <v>1.3520408163265309</v>
      </c>
      <c r="AV1767" s="6" t="s">
        <v>4576</v>
      </c>
      <c r="AW1767" s="6" t="str">
        <f t="shared" si="847"/>
        <v>=1.960*100000000</v>
      </c>
      <c r="AX1767" s="1">
        <f>1.96*100000000</f>
        <v>196000000</v>
      </c>
      <c r="AY1767" s="10">
        <f t="shared" si="864"/>
        <v>-0.70583821101605881</v>
      </c>
      <c r="AZ1767" s="6" t="s">
        <v>14896</v>
      </c>
      <c r="BA1767" s="6" t="str">
        <f t="shared" si="848"/>
        <v>=6.663*100000000</v>
      </c>
      <c r="BB1767" s="1">
        <f>6.663*100000000</f>
        <v>666300000</v>
      </c>
      <c r="BC1767" s="8">
        <f t="shared" si="865"/>
        <v>0.37239958805355289</v>
      </c>
      <c r="BD1767" s="6" t="s">
        <v>16277</v>
      </c>
      <c r="BE1767" s="6" t="str">
        <f t="shared" si="849"/>
        <v>=4.855*100000000</v>
      </c>
      <c r="BF1767" s="1">
        <f>4.855*100000000</f>
        <v>485500000.00000006</v>
      </c>
      <c r="BG1767" s="8">
        <f t="shared" si="866"/>
        <v>0.53202903124013901</v>
      </c>
      <c r="BH1767" s="6" t="s">
        <v>16278</v>
      </c>
      <c r="BI1767" s="6" t="str">
        <f t="shared" si="850"/>
        <v>=3.169*100000000</v>
      </c>
      <c r="BJ1767" s="1">
        <f>3.169*100000000</f>
        <v>316900000</v>
      </c>
      <c r="BK1767" s="6" t="s">
        <v>2390</v>
      </c>
      <c r="BL1767" s="1" t="str">
        <f t="shared" si="852"/>
        <v>=1.395*100000000</v>
      </c>
      <c r="BM1767" s="16">
        <f t="shared" si="867"/>
        <v>1.27168458781362</v>
      </c>
      <c r="BN1767" s="1">
        <f>1.395*100000000</f>
        <v>139500000</v>
      </c>
    </row>
    <row r="1768" spans="1:66">
      <c r="A1768" s="18"/>
      <c r="B1768">
        <v>603368</v>
      </c>
      <c r="C1768" t="s">
        <v>58</v>
      </c>
      <c r="D1768" s="6" t="s">
        <v>16279</v>
      </c>
      <c r="E1768" s="7" t="str">
        <f t="shared" si="851"/>
        <v>=7.547*100000000</v>
      </c>
      <c r="F1768" s="1">
        <f>7.547*100000000</f>
        <v>754700000</v>
      </c>
      <c r="G1768" s="8">
        <f t="shared" si="853"/>
        <v>0.17262274704785582</v>
      </c>
      <c r="H1768" s="6" t="s">
        <v>11190</v>
      </c>
      <c r="I1768" s="6" t="str">
        <f t="shared" si="837"/>
        <v>=6.436*100000000</v>
      </c>
      <c r="J1768" s="1">
        <f>6.436*100000000</f>
        <v>643600000</v>
      </c>
      <c r="K1768" s="10">
        <f t="shared" si="854"/>
        <v>0.49604834960483518</v>
      </c>
      <c r="L1768" s="6" t="s">
        <v>4828</v>
      </c>
      <c r="M1768" s="6" t="str">
        <f t="shared" si="838"/>
        <v>=4.302*100000000</v>
      </c>
      <c r="N1768" s="1">
        <f>4.302*100000000</f>
        <v>430199999.99999994</v>
      </c>
      <c r="O1768" s="8">
        <f t="shared" si="855"/>
        <v>0.62033898305084745</v>
      </c>
      <c r="P1768" s="6" t="s">
        <v>16280</v>
      </c>
      <c r="Q1768" s="6" t="str">
        <f t="shared" si="839"/>
        <v>=2.655*100000000</v>
      </c>
      <c r="R1768" s="11">
        <f>2.655*100000000</f>
        <v>265499999.99999997</v>
      </c>
      <c r="S1768" s="8">
        <f t="shared" si="856"/>
        <v>-0.71065823888404533</v>
      </c>
      <c r="T1768" s="6" t="s">
        <v>16281</v>
      </c>
      <c r="U1768" s="6" t="str">
        <f t="shared" si="840"/>
        <v>=9.176*100000000</v>
      </c>
      <c r="V1768" s="1">
        <f>9.176*100000000</f>
        <v>917600000</v>
      </c>
      <c r="W1768" s="8">
        <f t="shared" si="857"/>
        <v>0.20199109248100602</v>
      </c>
      <c r="X1768" s="6" t="s">
        <v>16282</v>
      </c>
      <c r="Y1768" s="6" t="str">
        <f t="shared" si="841"/>
        <v>=7.634*100000000</v>
      </c>
      <c r="Z1768" s="1">
        <f>7.634*100000000</f>
        <v>763400000</v>
      </c>
      <c r="AA1768" s="8">
        <f t="shared" si="858"/>
        <v>0.52649470105978791</v>
      </c>
      <c r="AB1768" s="6" t="s">
        <v>16283</v>
      </c>
      <c r="AC1768" s="6" t="str">
        <f t="shared" si="842"/>
        <v>=5.001*100000000</v>
      </c>
      <c r="AD1768" s="1">
        <f>5.001*100000000</f>
        <v>500100000.00000006</v>
      </c>
      <c r="AE1768" s="8">
        <f t="shared" si="859"/>
        <v>1.1145877378435518</v>
      </c>
      <c r="AF1768" s="6" t="s">
        <v>15524</v>
      </c>
      <c r="AG1768" s="6" t="str">
        <f t="shared" si="843"/>
        <v>=2.365*100000000</v>
      </c>
      <c r="AH1768" s="1">
        <f>2.365*100000000</f>
        <v>236500000.00000003</v>
      </c>
      <c r="AI1768" s="8">
        <f t="shared" si="860"/>
        <v>-0.73855847888569526</v>
      </c>
      <c r="AJ1768" s="6" t="s">
        <v>14998</v>
      </c>
      <c r="AK1768" s="6" t="str">
        <f t="shared" si="844"/>
        <v>=9.046*100000000</v>
      </c>
      <c r="AL1768" s="1">
        <f>9.046*100000000</f>
        <v>904599999.99999988</v>
      </c>
      <c r="AM1768" s="8">
        <f t="shared" si="861"/>
        <v>0.2627024008933555</v>
      </c>
      <c r="AN1768" s="6" t="s">
        <v>16284</v>
      </c>
      <c r="AO1768" s="6" t="str">
        <f t="shared" si="845"/>
        <v>=7.164*100000000</v>
      </c>
      <c r="AP1768" s="1">
        <f>7.164*100000000</f>
        <v>716400000</v>
      </c>
      <c r="AQ1768" s="8">
        <f t="shared" si="862"/>
        <v>0.53207869974337041</v>
      </c>
      <c r="AR1768" s="6" t="s">
        <v>12299</v>
      </c>
      <c r="AS1768" s="6" t="str">
        <f t="shared" si="846"/>
        <v>=4.676*100000000</v>
      </c>
      <c r="AT1768" s="1">
        <f>4.676*100000000</f>
        <v>467600000</v>
      </c>
      <c r="AU1768" s="8">
        <f t="shared" si="863"/>
        <v>1.3114186851211074</v>
      </c>
      <c r="AV1768" s="6" t="s">
        <v>9775</v>
      </c>
      <c r="AW1768" s="6" t="str">
        <f t="shared" si="847"/>
        <v>=2.023*100000000</v>
      </c>
      <c r="AX1768" s="1">
        <f>2.023*100000000</f>
        <v>202300000</v>
      </c>
      <c r="AY1768" s="10">
        <f t="shared" si="864"/>
        <v>-0.69556057185854026</v>
      </c>
      <c r="AZ1768" s="6" t="s">
        <v>1686</v>
      </c>
      <c r="BA1768" s="6" t="str">
        <f t="shared" si="848"/>
        <v>=6.645*100000000</v>
      </c>
      <c r="BB1768" s="1">
        <f>6.645*100000000</f>
        <v>664500000</v>
      </c>
      <c r="BC1768" s="8">
        <f t="shared" si="865"/>
        <v>0.36953833470733699</v>
      </c>
      <c r="BD1768" s="6" t="s">
        <v>16285</v>
      </c>
      <c r="BE1768" s="6" t="str">
        <f t="shared" si="849"/>
        <v>=4.852*100000000</v>
      </c>
      <c r="BF1768" s="1">
        <f>4.852*100000000</f>
        <v>485200000.00000006</v>
      </c>
      <c r="BG1768" s="8">
        <f t="shared" si="866"/>
        <v>0.53204925797284519</v>
      </c>
      <c r="BH1768" s="6" t="s">
        <v>3898</v>
      </c>
      <c r="BI1768" s="6" t="str">
        <f t="shared" si="850"/>
        <v>=3.167*100000000</v>
      </c>
      <c r="BJ1768" s="1">
        <f>3.167*100000000</f>
        <v>316700000</v>
      </c>
      <c r="BK1768" s="6" t="s">
        <v>2808</v>
      </c>
      <c r="BL1768" s="1" t="str">
        <f t="shared" si="852"/>
        <v>=1.393*100000000</v>
      </c>
      <c r="BM1768" s="16">
        <f t="shared" si="867"/>
        <v>1.2735104091888012</v>
      </c>
      <c r="BN1768" s="1">
        <f>1.393*100000000</f>
        <v>139300000</v>
      </c>
    </row>
    <row r="1769" spans="1:66">
      <c r="A1769" s="19"/>
      <c r="B1769">
        <v>603368</v>
      </c>
      <c r="C1769" t="s">
        <v>68</v>
      </c>
      <c r="D1769" s="6" t="s">
        <v>16286</v>
      </c>
      <c r="E1769" s="7" t="str">
        <f t="shared" si="851"/>
        <v>=6.411*100000000</v>
      </c>
      <c r="F1769" s="1">
        <f>6.411*100000000</f>
        <v>641100000</v>
      </c>
      <c r="G1769" s="8">
        <f t="shared" si="853"/>
        <v>0.17074506939371803</v>
      </c>
      <c r="H1769" s="6" t="s">
        <v>16287</v>
      </c>
      <c r="I1769" s="6" t="str">
        <f t="shared" si="837"/>
        <v>=5.476*100000000</v>
      </c>
      <c r="J1769" s="1">
        <f>5.476*100000000</f>
        <v>547600000</v>
      </c>
      <c r="K1769" s="10">
        <f t="shared" si="854"/>
        <v>0.50398242241142543</v>
      </c>
      <c r="L1769" s="6" t="s">
        <v>2078</v>
      </c>
      <c r="M1769" s="6" t="str">
        <f t="shared" si="838"/>
        <v>=3.641*100000000</v>
      </c>
      <c r="N1769" s="1">
        <f>3.641*100000000</f>
        <v>364100000</v>
      </c>
      <c r="O1769" s="8">
        <f t="shared" si="855"/>
        <v>0.62038273253226528</v>
      </c>
      <c r="P1769" s="6" t="s">
        <v>8085</v>
      </c>
      <c r="Q1769" s="6" t="str">
        <f t="shared" si="839"/>
        <v>=2.247*100000000</v>
      </c>
      <c r="R1769" s="11">
        <f>2.247*100000000</f>
        <v>224700000</v>
      </c>
      <c r="S1769" s="8">
        <f t="shared" si="856"/>
        <v>-0.71258633921719106</v>
      </c>
      <c r="T1769" s="6" t="s">
        <v>481</v>
      </c>
      <c r="U1769" s="6" t="str">
        <f t="shared" si="840"/>
        <v>=7.818*100000000</v>
      </c>
      <c r="V1769" s="1">
        <f>7.818*100000000</f>
        <v>781800000</v>
      </c>
      <c r="W1769" s="8">
        <f t="shared" si="857"/>
        <v>0.20258421781264421</v>
      </c>
      <c r="X1769" s="6" t="s">
        <v>10190</v>
      </c>
      <c r="Y1769" s="6" t="str">
        <f t="shared" si="841"/>
        <v>=6.501*100000000</v>
      </c>
      <c r="Z1769" s="1">
        <f>6.501*100000000</f>
        <v>650100000</v>
      </c>
      <c r="AA1769" s="8">
        <f t="shared" si="858"/>
        <v>0.53180961357210177</v>
      </c>
      <c r="AB1769" s="6" t="s">
        <v>16288</v>
      </c>
      <c r="AC1769" s="6" t="str">
        <f t="shared" si="842"/>
        <v>=4.244*100000000</v>
      </c>
      <c r="AD1769" s="1">
        <f>4.244*100000000</f>
        <v>424400000</v>
      </c>
      <c r="AE1769" s="8">
        <f t="shared" si="859"/>
        <v>1.1305220883534137</v>
      </c>
      <c r="AF1769" s="6" t="s">
        <v>11803</v>
      </c>
      <c r="AG1769" s="6" t="str">
        <f t="shared" si="843"/>
        <v>=1.992*100000000</v>
      </c>
      <c r="AH1769" s="1">
        <f>1.992*100000000</f>
        <v>199200000</v>
      </c>
      <c r="AI1769" s="8">
        <f t="shared" si="860"/>
        <v>-0.739573800496797</v>
      </c>
      <c r="AJ1769" s="6" t="s">
        <v>16289</v>
      </c>
      <c r="AK1769" s="6" t="str">
        <f t="shared" si="844"/>
        <v>=7.649*100000000</v>
      </c>
      <c r="AL1769" s="1">
        <f>7.649*100000000</f>
        <v>764900000</v>
      </c>
      <c r="AM1769" s="8">
        <f t="shared" si="861"/>
        <v>0.26346217376940867</v>
      </c>
      <c r="AN1769" s="6" t="s">
        <v>9483</v>
      </c>
      <c r="AO1769" s="6" t="str">
        <f t="shared" si="845"/>
        <v>=6.054*100000000</v>
      </c>
      <c r="AP1769" s="1">
        <f>6.054*100000000</f>
        <v>605400000</v>
      </c>
      <c r="AQ1769" s="8">
        <f t="shared" si="862"/>
        <v>0.53810975609756095</v>
      </c>
      <c r="AR1769" s="6" t="s">
        <v>16290</v>
      </c>
      <c r="AS1769" s="6" t="str">
        <f t="shared" si="846"/>
        <v>=3.936*100000000</v>
      </c>
      <c r="AT1769" s="1">
        <f>3.936*100000000</f>
        <v>393600000</v>
      </c>
      <c r="AU1769" s="8">
        <f t="shared" si="863"/>
        <v>1.2870424171993027</v>
      </c>
      <c r="AV1769" s="6" t="s">
        <v>16001</v>
      </c>
      <c r="AW1769" s="6" t="str">
        <f t="shared" si="847"/>
        <v>=1.721*100000000</v>
      </c>
      <c r="AX1769" s="1">
        <f>1.721*100000000</f>
        <v>172100000</v>
      </c>
      <c r="AY1769" s="10">
        <f t="shared" si="864"/>
        <v>-0.69711369236184439</v>
      </c>
      <c r="AZ1769" s="6" t="s">
        <v>1836</v>
      </c>
      <c r="BA1769" s="6" t="str">
        <f t="shared" si="848"/>
        <v>=5.682*100000000</v>
      </c>
      <c r="BB1769" s="1">
        <f>5.682*100000000</f>
        <v>568200000</v>
      </c>
      <c r="BC1769" s="8">
        <f t="shared" si="865"/>
        <v>0.37412333736396614</v>
      </c>
      <c r="BD1769" s="6" t="s">
        <v>15839</v>
      </c>
      <c r="BE1769" s="6" t="str">
        <f t="shared" si="849"/>
        <v>=4.135*100000000</v>
      </c>
      <c r="BF1769" s="1">
        <f>4.135*100000000</f>
        <v>413500000</v>
      </c>
      <c r="BG1769" s="8">
        <f t="shared" si="866"/>
        <v>0.53489235337787677</v>
      </c>
      <c r="BH1769" s="6" t="s">
        <v>15242</v>
      </c>
      <c r="BI1769" s="6" t="str">
        <f t="shared" si="850"/>
        <v>=2.694*100000000</v>
      </c>
      <c r="BJ1769" s="1">
        <f>2.694*100000000</f>
        <v>269400000</v>
      </c>
      <c r="BK1769" s="6" t="s">
        <v>12028</v>
      </c>
      <c r="BL1769" s="1" t="str">
        <f t="shared" si="852"/>
        <v>=1.180*100000000</v>
      </c>
      <c r="BM1769" s="16">
        <f t="shared" si="867"/>
        <v>1.2830508474576272</v>
      </c>
      <c r="BN1769" s="1">
        <f>1.18*100000000</f>
        <v>118000000</v>
      </c>
    </row>
    <row r="1770" spans="1:66">
      <c r="A1770" s="17">
        <v>444</v>
      </c>
      <c r="B1770">
        <v>603380</v>
      </c>
      <c r="C1770" t="s">
        <v>31</v>
      </c>
      <c r="D1770" s="6" t="s">
        <v>322</v>
      </c>
      <c r="E1770" s="7" t="str">
        <f t="shared" si="851"/>
        <v>=17.52*100000000</v>
      </c>
      <c r="F1770" s="1">
        <f>17.52*100000000</f>
        <v>1752000000</v>
      </c>
      <c r="G1770" s="8">
        <f t="shared" si="853"/>
        <v>0.44435284418796372</v>
      </c>
      <c r="H1770" s="6" t="s">
        <v>598</v>
      </c>
      <c r="I1770" s="6" t="str">
        <f t="shared" si="837"/>
        <v>=12.13*100000000</v>
      </c>
      <c r="J1770" s="1">
        <f>12.13*100000000</f>
        <v>1213000000</v>
      </c>
      <c r="K1770" s="10">
        <f t="shared" si="854"/>
        <v>0.59416480483637801</v>
      </c>
      <c r="L1770" s="6" t="s">
        <v>16291</v>
      </c>
      <c r="M1770" s="6" t="str">
        <f t="shared" si="838"/>
        <v>=7.609*100000000</v>
      </c>
      <c r="N1770" s="1">
        <f>7.609*100000000</f>
        <v>760900000</v>
      </c>
      <c r="O1770" s="8">
        <f t="shared" si="855"/>
        <v>1.0835158817086528</v>
      </c>
      <c r="P1770" s="6" t="s">
        <v>9503</v>
      </c>
      <c r="Q1770" s="6" t="str">
        <f t="shared" si="839"/>
        <v>=3.652*100000000</v>
      </c>
      <c r="R1770" s="11">
        <f>3.652*100000000</f>
        <v>365200000</v>
      </c>
      <c r="S1770" s="8">
        <f t="shared" si="856"/>
        <v>-0.71667959658650116</v>
      </c>
      <c r="T1770" s="6" t="s">
        <v>7765</v>
      </c>
      <c r="U1770" s="6" t="str">
        <f t="shared" si="840"/>
        <v>=12.89*100000000</v>
      </c>
      <c r="V1770" s="1">
        <f>12.89*100000000</f>
        <v>1289000000</v>
      </c>
      <c r="W1770" s="8">
        <f t="shared" si="857"/>
        <v>0.37875708631939242</v>
      </c>
      <c r="X1770" s="6" t="s">
        <v>16292</v>
      </c>
      <c r="Y1770" s="6" t="str">
        <f t="shared" si="841"/>
        <v>=9.349*100000000</v>
      </c>
      <c r="Z1770" s="1">
        <f>9.349*100000000</f>
        <v>934900000</v>
      </c>
      <c r="AA1770" s="8">
        <f t="shared" si="858"/>
        <v>0.5504145936981758</v>
      </c>
      <c r="AB1770" s="6" t="s">
        <v>5096</v>
      </c>
      <c r="AC1770" s="6" t="str">
        <f t="shared" si="842"/>
        <v>=6.030*100000000</v>
      </c>
      <c r="AD1770" s="1">
        <f>6.03*100000000</f>
        <v>603000000</v>
      </c>
      <c r="AE1770" s="8">
        <f t="shared" si="859"/>
        <v>1.5670498084291187</v>
      </c>
      <c r="AF1770" s="6" t="s">
        <v>9539</v>
      </c>
      <c r="AG1770" s="6" t="str">
        <f t="shared" si="843"/>
        <v>=2.349*100000000</v>
      </c>
      <c r="AH1770" s="1">
        <f>2.349*100000000</f>
        <v>234900000.00000003</v>
      </c>
      <c r="AI1770" s="8">
        <f t="shared" si="860"/>
        <v>-0.77127555988315477</v>
      </c>
      <c r="AJ1770" s="6" t="s">
        <v>11069</v>
      </c>
      <c r="AK1770" s="6" t="str">
        <f t="shared" si="844"/>
        <v>=10.27*100000000</v>
      </c>
      <c r="AL1770" s="1">
        <f>10.27*100000000</f>
        <v>1027000000</v>
      </c>
      <c r="AM1770" s="8">
        <f t="shared" si="861"/>
        <v>0.41226622662266227</v>
      </c>
      <c r="AN1770" s="6" t="s">
        <v>10204</v>
      </c>
      <c r="AO1770" s="6" t="str">
        <f t="shared" si="845"/>
        <v>=7.272*100000000</v>
      </c>
      <c r="AP1770" s="1">
        <f>7.272*100000000</f>
        <v>727200000</v>
      </c>
      <c r="AQ1770" s="8">
        <f t="shared" si="862"/>
        <v>0.5074626865671642</v>
      </c>
      <c r="AR1770" s="6" t="s">
        <v>10908</v>
      </c>
      <c r="AS1770" s="6" t="str">
        <f t="shared" si="846"/>
        <v>=4.824*100000000</v>
      </c>
      <c r="AT1770" s="1">
        <f>4.824*100000000</f>
        <v>482400000</v>
      </c>
      <c r="AU1770" s="8">
        <f t="shared" si="863"/>
        <v>1.2017343678685535</v>
      </c>
      <c r="AV1770" s="6" t="s">
        <v>8376</v>
      </c>
      <c r="AW1770" s="6" t="str">
        <f t="shared" si="847"/>
        <v>=2.191*100000000</v>
      </c>
      <c r="AX1770" s="1">
        <f>2.191*100000000</f>
        <v>219099999.99999997</v>
      </c>
      <c r="AY1770" s="10">
        <f t="shared" si="864"/>
        <v>-0.76965937762825909</v>
      </c>
      <c r="AZ1770" s="6" t="s">
        <v>16293</v>
      </c>
      <c r="BA1770" s="6" t="str">
        <f t="shared" si="848"/>
        <v>=9.512*100000000</v>
      </c>
      <c r="BB1770" s="1">
        <f>9.512*100000000</f>
        <v>951200000</v>
      </c>
      <c r="BC1770" s="8">
        <f t="shared" si="865"/>
        <v>0.38175479372457871</v>
      </c>
      <c r="BD1770" s="6" t="s">
        <v>16294</v>
      </c>
      <c r="BE1770" s="6" t="str">
        <f t="shared" si="849"/>
        <v>=6.884*100000000</v>
      </c>
      <c r="BF1770" s="1">
        <f>6.884*100000000</f>
        <v>688400000</v>
      </c>
      <c r="BG1770" s="8">
        <f t="shared" si="866"/>
        <v>0.56490111388952036</v>
      </c>
      <c r="BH1770" s="6" t="s">
        <v>9985</v>
      </c>
      <c r="BI1770" s="6" t="str">
        <f t="shared" si="850"/>
        <v>=4.399*100000000</v>
      </c>
      <c r="BJ1770" s="1">
        <f>4.399*100000000</f>
        <v>439900000</v>
      </c>
      <c r="BK1770" s="6" t="s">
        <v>12788</v>
      </c>
      <c r="BL1770" s="1" t="str">
        <f t="shared" si="852"/>
        <v>=2.008*100000000</v>
      </c>
      <c r="BM1770" s="16">
        <f t="shared" si="867"/>
        <v>1.1907370517928286</v>
      </c>
      <c r="BN1770" s="1">
        <f>2.008*100000000</f>
        <v>200800000</v>
      </c>
    </row>
    <row r="1771" spans="1:66">
      <c r="A1771" s="18"/>
      <c r="B1771">
        <v>603380</v>
      </c>
      <c r="C1771" t="s">
        <v>48</v>
      </c>
      <c r="D1771" s="6" t="s">
        <v>10497</v>
      </c>
      <c r="E1771" s="7" t="str">
        <f t="shared" si="851"/>
        <v>=2.625*100000000</v>
      </c>
      <c r="F1771" s="1">
        <f>2.625*100000000</f>
        <v>262500000</v>
      </c>
      <c r="G1771" s="8">
        <f t="shared" si="853"/>
        <v>0.35239567233384855</v>
      </c>
      <c r="H1771" s="6" t="s">
        <v>6783</v>
      </c>
      <c r="I1771" s="6" t="str">
        <f t="shared" si="837"/>
        <v>=1.941*100000000</v>
      </c>
      <c r="J1771" s="1">
        <f>1.941*100000000</f>
        <v>194100000</v>
      </c>
      <c r="K1771" s="10">
        <f t="shared" si="854"/>
        <v>0.49307692307692308</v>
      </c>
      <c r="L1771" s="6" t="s">
        <v>11758</v>
      </c>
      <c r="M1771" s="6" t="str">
        <f t="shared" si="838"/>
        <v>=1.300*100000000</v>
      </c>
      <c r="N1771" s="1">
        <f>1.3*100000000</f>
        <v>130000000</v>
      </c>
      <c r="O1771" s="8">
        <f t="shared" si="855"/>
        <v>1.5500196155355042</v>
      </c>
      <c r="P1771" s="7" t="s">
        <v>2887</v>
      </c>
      <c r="Q1771" s="6" t="str">
        <f t="shared" si="839"/>
        <v>=5098*10000</v>
      </c>
      <c r="R1771" s="11">
        <f>5098*10000</f>
        <v>50980000</v>
      </c>
      <c r="S1771" s="8">
        <f t="shared" si="856"/>
        <v>-0.7339248434237996</v>
      </c>
      <c r="T1771" s="6" t="s">
        <v>5160</v>
      </c>
      <c r="U1771" s="6" t="str">
        <f t="shared" si="840"/>
        <v>=1.916*100000000</v>
      </c>
      <c r="V1771" s="1">
        <f>1.916*100000000</f>
        <v>191600000</v>
      </c>
      <c r="W1771" s="8">
        <f t="shared" si="857"/>
        <v>0.37249283667621774</v>
      </c>
      <c r="X1771" s="6" t="s">
        <v>3000</v>
      </c>
      <c r="Y1771" s="6" t="str">
        <f t="shared" si="841"/>
        <v>=1.396*100000000</v>
      </c>
      <c r="Z1771" s="1">
        <f>1.396*100000000</f>
        <v>139600000</v>
      </c>
      <c r="AA1771" s="8">
        <f t="shared" si="858"/>
        <v>0.6064441887226697</v>
      </c>
      <c r="AB1771" s="7" t="s">
        <v>9826</v>
      </c>
      <c r="AC1771" s="6" t="str">
        <f t="shared" si="842"/>
        <v>=8690*10000</v>
      </c>
      <c r="AD1771" s="1">
        <f>8690*10000</f>
        <v>86900000</v>
      </c>
      <c r="AE1771" s="8">
        <f t="shared" si="859"/>
        <v>3.0683520599250937</v>
      </c>
      <c r="AF1771" s="7" t="s">
        <v>16295</v>
      </c>
      <c r="AG1771" s="6" t="str">
        <f t="shared" si="843"/>
        <v>=2136*10000</v>
      </c>
      <c r="AH1771" s="1">
        <f>2136*10000</f>
        <v>21360000</v>
      </c>
      <c r="AI1771" s="8">
        <f t="shared" si="860"/>
        <v>-0.85409836065573774</v>
      </c>
      <c r="AJ1771" s="6" t="s">
        <v>2945</v>
      </c>
      <c r="AK1771" s="6" t="str">
        <f t="shared" si="844"/>
        <v>=1.464*100000000</v>
      </c>
      <c r="AL1771" s="1">
        <f>1.464*100000000</f>
        <v>146400000</v>
      </c>
      <c r="AM1771" s="8">
        <f t="shared" si="861"/>
        <v>0.57741622669970905</v>
      </c>
      <c r="AN1771" s="7" t="s">
        <v>16296</v>
      </c>
      <c r="AO1771" s="6" t="str">
        <f t="shared" si="845"/>
        <v>=9281*10000</v>
      </c>
      <c r="AP1771" s="1">
        <f>9281*10000</f>
        <v>92810000</v>
      </c>
      <c r="AQ1771" s="8">
        <f t="shared" si="862"/>
        <v>0.59139231824417005</v>
      </c>
      <c r="AR1771" s="7" t="s">
        <v>15858</v>
      </c>
      <c r="AS1771" s="6" t="str">
        <f t="shared" si="846"/>
        <v>=5832*10000</v>
      </c>
      <c r="AT1771" s="1">
        <f>5832*10000</f>
        <v>58320000</v>
      </c>
      <c r="AU1771" s="8">
        <f t="shared" si="863"/>
        <v>2.3098751418842225</v>
      </c>
      <c r="AV1771" s="7" t="s">
        <v>12158</v>
      </c>
      <c r="AW1771" s="6" t="str">
        <f t="shared" si="847"/>
        <v>=1762*10000</v>
      </c>
      <c r="AX1771" s="1">
        <f>1762*10000</f>
        <v>17620000</v>
      </c>
      <c r="AY1771" s="10">
        <f t="shared" si="864"/>
        <v>-0.84351687388987562</v>
      </c>
      <c r="AZ1771" s="6" t="s">
        <v>3574</v>
      </c>
      <c r="BA1771" s="6" t="str">
        <f t="shared" si="848"/>
        <v>=1.126*100000000</v>
      </c>
      <c r="BB1771" s="1">
        <f>1.126*100000000</f>
        <v>112599999.99999999</v>
      </c>
      <c r="BC1771" s="8">
        <f t="shared" si="865"/>
        <v>0.32704773129051251</v>
      </c>
      <c r="BD1771" s="7" t="s">
        <v>16297</v>
      </c>
      <c r="BE1771" s="6" t="str">
        <f t="shared" si="849"/>
        <v>=8485*10000</v>
      </c>
      <c r="BF1771" s="1">
        <f>8485*10000</f>
        <v>84850000</v>
      </c>
      <c r="BG1771" s="8">
        <f t="shared" si="866"/>
        <v>0.41275391275391277</v>
      </c>
      <c r="BH1771" s="7" t="s">
        <v>16298</v>
      </c>
      <c r="BI1771" s="6" t="str">
        <f t="shared" si="850"/>
        <v>=6006*10000</v>
      </c>
      <c r="BJ1771" s="1">
        <f>6006*10000</f>
        <v>60060000</v>
      </c>
      <c r="BK1771" s="7" t="s">
        <v>16299</v>
      </c>
      <c r="BL1771" s="1" t="str">
        <f t="shared" si="852"/>
        <v>=2539*10000</v>
      </c>
      <c r="BM1771" s="16">
        <f t="shared" si="867"/>
        <v>1.3654982276486807</v>
      </c>
      <c r="BN1771" s="1">
        <f>2539*10000</f>
        <v>25390000</v>
      </c>
    </row>
    <row r="1772" spans="1:66">
      <c r="A1772" s="18"/>
      <c r="B1772">
        <v>603380</v>
      </c>
      <c r="C1772" t="s">
        <v>58</v>
      </c>
      <c r="D1772" s="6" t="s">
        <v>6620</v>
      </c>
      <c r="E1772" s="7" t="str">
        <f t="shared" si="851"/>
        <v>=2.619*100000000</v>
      </c>
      <c r="F1772" s="1">
        <f>2.619*100000000</f>
        <v>261900000.00000003</v>
      </c>
      <c r="G1772" s="8">
        <f t="shared" si="853"/>
        <v>0.35418821096173747</v>
      </c>
      <c r="H1772" s="6" t="s">
        <v>15082</v>
      </c>
      <c r="I1772" s="6" t="str">
        <f t="shared" si="837"/>
        <v>=1.934*100000000</v>
      </c>
      <c r="J1772" s="1">
        <f>1.934*100000000</f>
        <v>193400000</v>
      </c>
      <c r="K1772" s="10">
        <f t="shared" si="854"/>
        <v>0.49113338473400153</v>
      </c>
      <c r="L1772" s="6" t="s">
        <v>10284</v>
      </c>
      <c r="M1772" s="6" t="str">
        <f t="shared" si="838"/>
        <v>=1.297*100000000</v>
      </c>
      <c r="N1772" s="1">
        <f>1.297*100000000</f>
        <v>129700000</v>
      </c>
      <c r="O1772" s="8">
        <f t="shared" si="855"/>
        <v>1.5446340984893074</v>
      </c>
      <c r="P1772" s="7" t="s">
        <v>16300</v>
      </c>
      <c r="Q1772" s="6" t="str">
        <f t="shared" si="839"/>
        <v>=5097*10000</v>
      </c>
      <c r="R1772" s="11">
        <f>5097*10000</f>
        <v>50970000</v>
      </c>
      <c r="S1772" s="8">
        <f t="shared" si="856"/>
        <v>-0.73046007403490221</v>
      </c>
      <c r="T1772" s="6" t="s">
        <v>16301</v>
      </c>
      <c r="U1772" s="6" t="str">
        <f t="shared" si="840"/>
        <v>=1.891*100000000</v>
      </c>
      <c r="V1772" s="1">
        <f>1.891*100000000</f>
        <v>189100000</v>
      </c>
      <c r="W1772" s="8">
        <f t="shared" si="857"/>
        <v>0.37527272727272726</v>
      </c>
      <c r="X1772" s="6" t="s">
        <v>4981</v>
      </c>
      <c r="Y1772" s="6" t="str">
        <f t="shared" si="841"/>
        <v>=1.375*100000000</v>
      </c>
      <c r="Z1772" s="1">
        <f>1.375*100000000</f>
        <v>137500000</v>
      </c>
      <c r="AA1772" s="8">
        <f t="shared" si="858"/>
        <v>0.62031581428234739</v>
      </c>
      <c r="AB1772" s="7" t="s">
        <v>4388</v>
      </c>
      <c r="AC1772" s="6" t="str">
        <f t="shared" si="842"/>
        <v>=8486*10000</v>
      </c>
      <c r="AD1772" s="1">
        <f>8486*10000</f>
        <v>84860000</v>
      </c>
      <c r="AE1772" s="8">
        <f t="shared" si="859"/>
        <v>3.3900672529746507</v>
      </c>
      <c r="AF1772" s="7" t="s">
        <v>16302</v>
      </c>
      <c r="AG1772" s="6" t="str">
        <f t="shared" si="843"/>
        <v>=1933*10000</v>
      </c>
      <c r="AH1772" s="1">
        <f>1933*10000</f>
        <v>19330000</v>
      </c>
      <c r="AI1772" s="8">
        <f t="shared" si="860"/>
        <v>-0.86668965517241381</v>
      </c>
      <c r="AJ1772" s="6" t="s">
        <v>2178</v>
      </c>
      <c r="AK1772" s="6" t="str">
        <f t="shared" si="844"/>
        <v>=1.450*100000000</v>
      </c>
      <c r="AL1772" s="1">
        <f>1.45*100000000</f>
        <v>145000000</v>
      </c>
      <c r="AM1772" s="8">
        <f t="shared" si="861"/>
        <v>0.56233164529684299</v>
      </c>
      <c r="AN1772" s="7" t="s">
        <v>16296</v>
      </c>
      <c r="AO1772" s="6" t="str">
        <f t="shared" si="845"/>
        <v>=9281*10000</v>
      </c>
      <c r="AP1772" s="1">
        <f>9281*10000</f>
        <v>92810000</v>
      </c>
      <c r="AQ1772" s="8">
        <f t="shared" si="862"/>
        <v>0.59303123927222789</v>
      </c>
      <c r="AR1772" s="7" t="s">
        <v>6895</v>
      </c>
      <c r="AS1772" s="6" t="str">
        <f t="shared" si="846"/>
        <v>=5826*10000</v>
      </c>
      <c r="AT1772" s="1">
        <f>5826*10000</f>
        <v>58260000</v>
      </c>
      <c r="AU1772" s="8">
        <f t="shared" si="863"/>
        <v>2.3444316877152698</v>
      </c>
      <c r="AV1772" s="7" t="s">
        <v>2714</v>
      </c>
      <c r="AW1772" s="6" t="str">
        <f t="shared" si="847"/>
        <v>=1742*10000</v>
      </c>
      <c r="AX1772" s="1">
        <f>1742*10000</f>
        <v>17420000</v>
      </c>
      <c r="AY1772" s="10">
        <f t="shared" si="864"/>
        <v>-0.84772727272727266</v>
      </c>
      <c r="AZ1772" s="6" t="s">
        <v>9069</v>
      </c>
      <c r="BA1772" s="6" t="str">
        <f t="shared" si="848"/>
        <v>=1.144*100000000</v>
      </c>
      <c r="BB1772" s="1">
        <f>1.144*100000000</f>
        <v>114399999.99999999</v>
      </c>
      <c r="BC1772" s="8">
        <f t="shared" si="865"/>
        <v>0.34635753795457203</v>
      </c>
      <c r="BD1772" s="7" t="s">
        <v>3567</v>
      </c>
      <c r="BE1772" s="6" t="str">
        <f t="shared" si="849"/>
        <v>=8497*10000</v>
      </c>
      <c r="BF1772" s="1">
        <f>8497*10000</f>
        <v>84970000</v>
      </c>
      <c r="BG1772" s="8">
        <f t="shared" si="866"/>
        <v>0.40958858659588587</v>
      </c>
      <c r="BH1772" s="7" t="s">
        <v>9082</v>
      </c>
      <c r="BI1772" s="6" t="str">
        <f t="shared" si="850"/>
        <v>=6028*10000</v>
      </c>
      <c r="BJ1772" s="1">
        <f>6028*10000</f>
        <v>60280000</v>
      </c>
      <c r="BK1772" s="7" t="s">
        <v>16303</v>
      </c>
      <c r="BL1772" s="1" t="str">
        <f t="shared" si="852"/>
        <v>=2559*10000</v>
      </c>
      <c r="BM1772" s="16">
        <f t="shared" si="867"/>
        <v>1.3556076592418913</v>
      </c>
      <c r="BN1772" s="1">
        <f>2559*10000</f>
        <v>25590000</v>
      </c>
    </row>
    <row r="1773" spans="1:66">
      <c r="A1773" s="19"/>
      <c r="B1773">
        <v>603380</v>
      </c>
      <c r="C1773" t="s">
        <v>68</v>
      </c>
      <c r="D1773" s="6" t="s">
        <v>6276</v>
      </c>
      <c r="E1773" s="7" t="str">
        <f t="shared" si="851"/>
        <v>=2.310*100000000</v>
      </c>
      <c r="F1773" s="1">
        <f>2.31*100000000</f>
        <v>231000000</v>
      </c>
      <c r="G1773" s="8">
        <f t="shared" si="853"/>
        <v>0.33757961783439489</v>
      </c>
      <c r="H1773" s="6" t="s">
        <v>2980</v>
      </c>
      <c r="I1773" s="6" t="str">
        <f t="shared" si="837"/>
        <v>=1.727*100000000</v>
      </c>
      <c r="J1773" s="1">
        <f>1.727*100000000</f>
        <v>172700000</v>
      </c>
      <c r="K1773" s="10">
        <f t="shared" si="854"/>
        <v>0.58150183150183132</v>
      </c>
      <c r="L1773" s="6" t="s">
        <v>2555</v>
      </c>
      <c r="M1773" s="6" t="str">
        <f t="shared" si="838"/>
        <v>=1.092*100000000</v>
      </c>
      <c r="N1773" s="1">
        <f>1.092*100000000</f>
        <v>109200000.00000001</v>
      </c>
      <c r="O1773" s="8">
        <f t="shared" si="855"/>
        <v>1.4857728203960849</v>
      </c>
      <c r="P1773" s="7" t="s">
        <v>16304</v>
      </c>
      <c r="Q1773" s="6" t="str">
        <f t="shared" si="839"/>
        <v>=4393*10000</v>
      </c>
      <c r="R1773" s="11">
        <f>4393*10000</f>
        <v>43930000</v>
      </c>
      <c r="S1773" s="8">
        <f t="shared" si="856"/>
        <v>-0.73552077062010834</v>
      </c>
      <c r="T1773" s="6" t="s">
        <v>5214</v>
      </c>
      <c r="U1773" s="6" t="str">
        <f t="shared" si="840"/>
        <v>=1.661*100000000</v>
      </c>
      <c r="V1773" s="1">
        <f>1.661*100000000</f>
        <v>166100000</v>
      </c>
      <c r="W1773" s="8">
        <f t="shared" si="857"/>
        <v>0.39345637583892618</v>
      </c>
      <c r="X1773" s="6" t="s">
        <v>2162</v>
      </c>
      <c r="Y1773" s="6" t="str">
        <f t="shared" si="841"/>
        <v>=1.192*100000000</v>
      </c>
      <c r="Z1773" s="1">
        <f>1.192*100000000</f>
        <v>119200000</v>
      </c>
      <c r="AA1773" s="8">
        <f t="shared" si="858"/>
        <v>0.62908295749624166</v>
      </c>
      <c r="AB1773" s="7" t="s">
        <v>16305</v>
      </c>
      <c r="AC1773" s="6" t="str">
        <f t="shared" si="842"/>
        <v>=7317*10000</v>
      </c>
      <c r="AD1773" s="1">
        <f>7317*10000</f>
        <v>73170000</v>
      </c>
      <c r="AE1773" s="8">
        <f t="shared" si="859"/>
        <v>3.4917127071823204</v>
      </c>
      <c r="AF1773" s="7" t="s">
        <v>15220</v>
      </c>
      <c r="AG1773" s="6" t="str">
        <f t="shared" si="843"/>
        <v>=1629*10000</v>
      </c>
      <c r="AH1773" s="1">
        <f>1629*10000</f>
        <v>16290000</v>
      </c>
      <c r="AI1773" s="8">
        <f t="shared" si="860"/>
        <v>-0.87243539545810489</v>
      </c>
      <c r="AJ1773" s="6" t="s">
        <v>16306</v>
      </c>
      <c r="AK1773" s="6" t="str">
        <f t="shared" si="844"/>
        <v>=1.277*100000000</v>
      </c>
      <c r="AL1773" s="1">
        <f>1.277*100000000</f>
        <v>127699999.99999999</v>
      </c>
      <c r="AM1773" s="8">
        <f t="shared" si="861"/>
        <v>0.60105315947843507</v>
      </c>
      <c r="AN1773" s="7" t="s">
        <v>11476</v>
      </c>
      <c r="AO1773" s="6" t="str">
        <f t="shared" si="845"/>
        <v>=7976*10000</v>
      </c>
      <c r="AP1773" s="1">
        <f>7976*10000</f>
        <v>79760000</v>
      </c>
      <c r="AQ1773" s="8">
        <f t="shared" si="862"/>
        <v>0.58979469802670914</v>
      </c>
      <c r="AR1773" s="7" t="s">
        <v>6768</v>
      </c>
      <c r="AS1773" s="6" t="str">
        <f t="shared" si="846"/>
        <v>=5017*10000</v>
      </c>
      <c r="AT1773" s="1">
        <f>5017*10000</f>
        <v>50170000</v>
      </c>
      <c r="AU1773" s="8">
        <f t="shared" si="863"/>
        <v>2.2662760416666665</v>
      </c>
      <c r="AV1773" s="7" t="s">
        <v>16307</v>
      </c>
      <c r="AW1773" s="6" t="str">
        <f t="shared" si="847"/>
        <v>=1536*10000</v>
      </c>
      <c r="AX1773" s="1">
        <f>1536*10000</f>
        <v>15360000</v>
      </c>
      <c r="AY1773" s="10">
        <f t="shared" si="864"/>
        <v>-0.84941176470588231</v>
      </c>
      <c r="AZ1773" s="6" t="s">
        <v>6550</v>
      </c>
      <c r="BA1773" s="6" t="str">
        <f t="shared" si="848"/>
        <v>=1.020*100000000</v>
      </c>
      <c r="BB1773" s="1">
        <f>1.02*100000000</f>
        <v>102000000</v>
      </c>
      <c r="BC1773" s="8">
        <f t="shared" si="865"/>
        <v>0.39726027397260272</v>
      </c>
      <c r="BD1773" s="7" t="s">
        <v>16308</v>
      </c>
      <c r="BE1773" s="6" t="str">
        <f t="shared" si="849"/>
        <v>=7300*10000</v>
      </c>
      <c r="BF1773" s="1">
        <f>7300*10000</f>
        <v>73000000</v>
      </c>
      <c r="BG1773" s="8">
        <f t="shared" si="866"/>
        <v>0.40872250096487844</v>
      </c>
      <c r="BH1773" s="7" t="s">
        <v>16309</v>
      </c>
      <c r="BI1773" s="6" t="str">
        <f t="shared" si="850"/>
        <v>=5182*10000</v>
      </c>
      <c r="BJ1773" s="1">
        <f>5182*10000</f>
        <v>51820000</v>
      </c>
      <c r="BK1773" s="7" t="s">
        <v>16310</v>
      </c>
      <c r="BL1773" s="1" t="str">
        <f t="shared" si="852"/>
        <v>=2143*10000</v>
      </c>
      <c r="BM1773" s="16">
        <f t="shared" si="867"/>
        <v>1.4181054596360243</v>
      </c>
      <c r="BN1773" s="1">
        <f>2143*10000</f>
        <v>21430000</v>
      </c>
    </row>
    <row r="1774" spans="1:66">
      <c r="A1774" s="17">
        <v>445</v>
      </c>
      <c r="B1774">
        <v>603383</v>
      </c>
      <c r="C1774" t="s">
        <v>31</v>
      </c>
      <c r="D1774" s="6" t="s">
        <v>14773</v>
      </c>
      <c r="E1774" s="7" t="str">
        <f t="shared" si="851"/>
        <v>=5.029*100000000</v>
      </c>
      <c r="F1774" s="1">
        <f>5.029*100000000</f>
        <v>502900000</v>
      </c>
      <c r="G1774" s="8">
        <f t="shared" si="853"/>
        <v>0.5839370078740157</v>
      </c>
      <c r="H1774" s="6" t="s">
        <v>3437</v>
      </c>
      <c r="I1774" s="6" t="str">
        <f t="shared" si="837"/>
        <v>=3.175*100000000</v>
      </c>
      <c r="J1774" s="1">
        <f>3.175*100000000</f>
        <v>317500000</v>
      </c>
      <c r="K1774" s="10">
        <f t="shared" si="854"/>
        <v>0.61659877800407337</v>
      </c>
      <c r="L1774" s="6" t="s">
        <v>16311</v>
      </c>
      <c r="M1774" s="6" t="str">
        <f t="shared" si="838"/>
        <v>=1.964*100000000</v>
      </c>
      <c r="N1774" s="1">
        <f>1.964*100000000</f>
        <v>196400000</v>
      </c>
      <c r="O1774" s="8">
        <f t="shared" si="855"/>
        <v>1.7460850111856823</v>
      </c>
      <c r="P1774" s="7" t="s">
        <v>3073</v>
      </c>
      <c r="Q1774" s="6" t="str">
        <f t="shared" si="839"/>
        <v>=7152*10000</v>
      </c>
      <c r="R1774" s="11">
        <f>7152*10000</f>
        <v>71520000</v>
      </c>
      <c r="S1774" s="8">
        <f t="shared" si="856"/>
        <v>-0.79565714285714284</v>
      </c>
      <c r="T1774" s="6" t="s">
        <v>16312</v>
      </c>
      <c r="U1774" s="6" t="str">
        <f t="shared" si="840"/>
        <v>=3.500*100000000</v>
      </c>
      <c r="V1774" s="1">
        <f>3.5*100000000</f>
        <v>350000000</v>
      </c>
      <c r="W1774" s="8">
        <f t="shared" si="857"/>
        <v>0.5404929577464791</v>
      </c>
      <c r="X1774" s="6" t="s">
        <v>10778</v>
      </c>
      <c r="Y1774" s="6" t="str">
        <f t="shared" si="841"/>
        <v>=2.272*100000000</v>
      </c>
      <c r="Z1774" s="1">
        <f>2.272*100000000</f>
        <v>227199999.99999997</v>
      </c>
      <c r="AA1774" s="8">
        <f t="shared" si="858"/>
        <v>0.66325036603221066</v>
      </c>
      <c r="AB1774" s="6" t="s">
        <v>8280</v>
      </c>
      <c r="AC1774" s="6" t="str">
        <f t="shared" si="842"/>
        <v>=1.366*100000000</v>
      </c>
      <c r="AD1774" s="1">
        <f>1.366*100000000</f>
        <v>136600000</v>
      </c>
      <c r="AE1774" s="8">
        <f t="shared" si="859"/>
        <v>2.0167844522968199</v>
      </c>
      <c r="AF1774" s="7" t="s">
        <v>16313</v>
      </c>
      <c r="AG1774" s="6" t="str">
        <f t="shared" si="843"/>
        <v>=4528*10000</v>
      </c>
      <c r="AH1774" s="1">
        <f>4528*10000</f>
        <v>45280000</v>
      </c>
      <c r="AI1774" s="8">
        <f t="shared" si="860"/>
        <v>-0.86678434833774642</v>
      </c>
      <c r="AJ1774" s="6" t="s">
        <v>16314</v>
      </c>
      <c r="AK1774" s="6" t="str">
        <f t="shared" si="844"/>
        <v>=3.399*100000000</v>
      </c>
      <c r="AL1774" s="1">
        <f>3.399*100000000</f>
        <v>339900000</v>
      </c>
      <c r="AM1774" s="8">
        <f t="shared" si="861"/>
        <v>0.60709219858156005</v>
      </c>
      <c r="AN1774" s="6" t="s">
        <v>1472</v>
      </c>
      <c r="AO1774" s="6" t="str">
        <f t="shared" si="845"/>
        <v>=2.115*100000000</v>
      </c>
      <c r="AP1774" s="1">
        <f>2.115*100000000</f>
        <v>211500000.00000003</v>
      </c>
      <c r="AQ1774" s="8">
        <f t="shared" si="862"/>
        <v>0.43975493533015675</v>
      </c>
      <c r="AR1774" s="6" t="s">
        <v>8513</v>
      </c>
      <c r="AS1774" s="6" t="str">
        <f t="shared" si="846"/>
        <v>=1.469*100000000</v>
      </c>
      <c r="AT1774" s="1">
        <f>1.469*100000000</f>
        <v>146900000</v>
      </c>
      <c r="AU1774" s="8">
        <f t="shared" si="863"/>
        <v>2.122874149659864</v>
      </c>
      <c r="AV1774" s="7" t="s">
        <v>16315</v>
      </c>
      <c r="AW1774" s="6" t="str">
        <f t="shared" si="847"/>
        <v>=4704*10000</v>
      </c>
      <c r="AX1774" s="1">
        <f>4704*10000</f>
        <v>47040000</v>
      </c>
      <c r="AY1774" s="10">
        <f t="shared" si="864"/>
        <v>-0.8408121827411168</v>
      </c>
      <c r="AZ1774" s="6" t="s">
        <v>11974</v>
      </c>
      <c r="BA1774" s="6" t="str">
        <f t="shared" si="848"/>
        <v>=2.955*100000000</v>
      </c>
      <c r="BB1774" s="1">
        <f>2.955*100000000</f>
        <v>295500000</v>
      </c>
      <c r="BC1774" s="8">
        <f t="shared" si="865"/>
        <v>0.76417910447761195</v>
      </c>
      <c r="BD1774" s="6" t="s">
        <v>11969</v>
      </c>
      <c r="BE1774" s="6" t="str">
        <f t="shared" si="849"/>
        <v>=1.675*100000000</v>
      </c>
      <c r="BF1774" s="1">
        <f>1.675*100000000</f>
        <v>167500000</v>
      </c>
      <c r="BG1774" s="8">
        <f t="shared" si="866"/>
        <v>0.53107861060329042</v>
      </c>
      <c r="BH1774" s="6" t="s">
        <v>5710</v>
      </c>
      <c r="BI1774" s="6" t="str">
        <f t="shared" si="850"/>
        <v>=1.094*100000000</v>
      </c>
      <c r="BJ1774" s="1">
        <f>1.094*100000000</f>
        <v>109400000.00000001</v>
      </c>
      <c r="BK1774" s="7" t="s">
        <v>10851</v>
      </c>
      <c r="BL1774" s="1" t="str">
        <f t="shared" si="852"/>
        <v>=2907*10000</v>
      </c>
      <c r="BM1774" s="16">
        <f t="shared" si="867"/>
        <v>2.7633298933608534</v>
      </c>
      <c r="BN1774" s="1">
        <f>2907*10000</f>
        <v>29070000</v>
      </c>
    </row>
    <row r="1775" spans="1:66">
      <c r="A1775" s="18"/>
      <c r="B1775">
        <v>603383</v>
      </c>
      <c r="C1775" t="s">
        <v>48</v>
      </c>
      <c r="D1775" s="6" t="s">
        <v>2219</v>
      </c>
      <c r="E1775" s="7" t="str">
        <f t="shared" si="851"/>
        <v>=1.485*100000000</v>
      </c>
      <c r="F1775" s="1">
        <f>1.485*100000000</f>
        <v>148500000</v>
      </c>
      <c r="G1775" s="8">
        <f t="shared" si="853"/>
        <v>0.86090225563909772</v>
      </c>
      <c r="H1775" s="7" t="s">
        <v>8608</v>
      </c>
      <c r="I1775" s="6" t="str">
        <f t="shared" si="837"/>
        <v>=7980*10000</v>
      </c>
      <c r="J1775" s="1">
        <f>7980*10000</f>
        <v>79800000</v>
      </c>
      <c r="K1775" s="10">
        <f t="shared" si="854"/>
        <v>0.7190866006031883</v>
      </c>
      <c r="L1775" s="7" t="s">
        <v>16316</v>
      </c>
      <c r="M1775" s="6" t="str">
        <f t="shared" si="838"/>
        <v>=4642*10000</v>
      </c>
      <c r="N1775" s="1">
        <f>4642*10000</f>
        <v>46420000</v>
      </c>
      <c r="O1775" s="8">
        <f t="shared" si="855"/>
        <v>-944.4959349593496</v>
      </c>
      <c r="P1775" s="7">
        <f>-4.92*10000</f>
        <v>-49200</v>
      </c>
      <c r="Q1775" s="6" t="str">
        <f t="shared" si="839"/>
        <v>=-49200</v>
      </c>
      <c r="R1775" s="11">
        <f>-49200</f>
        <v>-49200</v>
      </c>
      <c r="S1775" s="8">
        <f t="shared" si="856"/>
        <v>-1.0004342453662842</v>
      </c>
      <c r="T1775" s="6" t="s">
        <v>12224</v>
      </c>
      <c r="U1775" s="6" t="str">
        <f t="shared" si="840"/>
        <v>=1.133*100000000</v>
      </c>
      <c r="V1775" s="1">
        <f>1.133*100000000</f>
        <v>113300000</v>
      </c>
      <c r="W1775" s="8">
        <f t="shared" si="857"/>
        <v>0.73480324605726532</v>
      </c>
      <c r="X1775" s="7" t="s">
        <v>16317</v>
      </c>
      <c r="Y1775" s="6" t="str">
        <f t="shared" si="841"/>
        <v>=6531*10000</v>
      </c>
      <c r="Z1775" s="1">
        <f>6531*10000</f>
        <v>65310000</v>
      </c>
      <c r="AA1775" s="8">
        <f t="shared" si="858"/>
        <v>0.84231311706629053</v>
      </c>
      <c r="AB1775" s="7" t="s">
        <v>2604</v>
      </c>
      <c r="AC1775" s="6" t="str">
        <f t="shared" si="842"/>
        <v>=3545*10000</v>
      </c>
      <c r="AD1775" s="1">
        <f>3545*10000</f>
        <v>35450000</v>
      </c>
      <c r="AE1775" s="8">
        <f t="shared" si="859"/>
        <v>-161.91693145710394</v>
      </c>
      <c r="AF1775" s="7">
        <f>-22.03*10000</f>
        <v>-220300</v>
      </c>
      <c r="AG1775" s="6" t="str">
        <f t="shared" si="843"/>
        <v>=-220300</v>
      </c>
      <c r="AH1775" s="1">
        <f>-220300</f>
        <v>-220300</v>
      </c>
      <c r="AI1775" s="8">
        <f t="shared" si="860"/>
        <v>-1.001603347889374</v>
      </c>
      <c r="AJ1775" s="6" t="s">
        <v>1936</v>
      </c>
      <c r="AK1775" s="6" t="str">
        <f t="shared" si="844"/>
        <v>=1.374*100000000</v>
      </c>
      <c r="AL1775" s="1">
        <f>1.374*100000000</f>
        <v>137400000</v>
      </c>
      <c r="AM1775" s="8">
        <f t="shared" si="861"/>
        <v>1.1617369414726242</v>
      </c>
      <c r="AN1775" s="7" t="s">
        <v>1443</v>
      </c>
      <c r="AO1775" s="6" t="str">
        <f t="shared" si="845"/>
        <v>=6356*10000</v>
      </c>
      <c r="AP1775" s="1">
        <f>6356*10000</f>
        <v>63560000</v>
      </c>
      <c r="AQ1775" s="8">
        <f t="shared" si="862"/>
        <v>0.60302648171500628</v>
      </c>
      <c r="AR1775" s="7" t="s">
        <v>15341</v>
      </c>
      <c r="AS1775" s="6" t="str">
        <f t="shared" si="846"/>
        <v>=3965*10000</v>
      </c>
      <c r="AT1775" s="1">
        <f>3965*10000</f>
        <v>39650000</v>
      </c>
      <c r="AU1775" s="8">
        <f t="shared" si="863"/>
        <v>7.8346702317290555</v>
      </c>
      <c r="AV1775" s="7" t="s">
        <v>16318</v>
      </c>
      <c r="AW1775" s="6" t="str">
        <f t="shared" si="847"/>
        <v>=448.8*10000</v>
      </c>
      <c r="AX1775" s="1">
        <f>448.8*10000</f>
        <v>4488000</v>
      </c>
      <c r="AY1775" s="10">
        <f t="shared" si="864"/>
        <v>-0.96457774269928964</v>
      </c>
      <c r="AZ1775" s="6" t="s">
        <v>13777</v>
      </c>
      <c r="BA1775" s="6" t="str">
        <f t="shared" si="848"/>
        <v>=1.267*100000000</v>
      </c>
      <c r="BB1775" s="1">
        <f>1.267*100000000</f>
        <v>126699999.99999999</v>
      </c>
      <c r="BC1775" s="8">
        <f t="shared" si="865"/>
        <v>1.2464539007092197</v>
      </c>
      <c r="BD1775" s="7" t="s">
        <v>16319</v>
      </c>
      <c r="BE1775" s="6" t="str">
        <f t="shared" si="849"/>
        <v>=5640*10000</v>
      </c>
      <c r="BF1775" s="1">
        <f>5640*10000</f>
        <v>56400000</v>
      </c>
      <c r="BG1775" s="8">
        <f t="shared" si="866"/>
        <v>0.51572158022037085</v>
      </c>
      <c r="BH1775" s="7" t="s">
        <v>16320</v>
      </c>
      <c r="BI1775" s="6" t="str">
        <f t="shared" si="850"/>
        <v>=3721*10000</v>
      </c>
      <c r="BJ1775" s="1">
        <f>3721*10000</f>
        <v>37210000</v>
      </c>
      <c r="BK1775" s="7" t="s">
        <v>16321</v>
      </c>
      <c r="BL1775" s="1" t="str">
        <f t="shared" si="852"/>
        <v>=200.7*10000</v>
      </c>
      <c r="BM1775" s="16">
        <f t="shared" si="867"/>
        <v>17.5401096163428</v>
      </c>
      <c r="BN1775" s="1">
        <f>200.7*10000</f>
        <v>2007000</v>
      </c>
    </row>
    <row r="1776" spans="1:66">
      <c r="A1776" s="18"/>
      <c r="B1776">
        <v>603383</v>
      </c>
      <c r="C1776" t="s">
        <v>58</v>
      </c>
      <c r="D1776" s="6" t="s">
        <v>1701</v>
      </c>
      <c r="E1776" s="7" t="str">
        <f t="shared" si="851"/>
        <v>=1.480*100000000</v>
      </c>
      <c r="F1776" s="1">
        <f>1.48*100000000</f>
        <v>148000000</v>
      </c>
      <c r="G1776" s="8">
        <f t="shared" si="853"/>
        <v>0.85742971887550201</v>
      </c>
      <c r="H1776" s="7" t="s">
        <v>16322</v>
      </c>
      <c r="I1776" s="6" t="str">
        <f t="shared" si="837"/>
        <v>=7968*10000</v>
      </c>
      <c r="J1776" s="1">
        <f>7968*10000</f>
        <v>79680000</v>
      </c>
      <c r="K1776" s="10">
        <f t="shared" si="854"/>
        <v>0.7209503239740821</v>
      </c>
      <c r="L1776" s="7" t="s">
        <v>16323</v>
      </c>
      <c r="M1776" s="6" t="str">
        <f t="shared" si="838"/>
        <v>=4630*10000</v>
      </c>
      <c r="N1776" s="1">
        <f>4630*10000</f>
        <v>46300000</v>
      </c>
      <c r="O1776" s="8">
        <f t="shared" si="855"/>
        <v>-311.32171581769438</v>
      </c>
      <c r="P1776" s="7">
        <f>-14.92*10000</f>
        <v>-149200</v>
      </c>
      <c r="Q1776" s="6" t="str">
        <f t="shared" si="839"/>
        <v>=-149200</v>
      </c>
      <c r="R1776" s="11">
        <f>-149200</f>
        <v>-149200</v>
      </c>
      <c r="S1776" s="8">
        <f t="shared" si="856"/>
        <v>-1.0013215234720991</v>
      </c>
      <c r="T1776" s="6" t="s">
        <v>6383</v>
      </c>
      <c r="U1776" s="6" t="str">
        <f t="shared" si="840"/>
        <v>=1.129*100000000</v>
      </c>
      <c r="V1776" s="1">
        <f>1.129*100000000</f>
        <v>112900000</v>
      </c>
      <c r="W1776" s="8">
        <f t="shared" si="857"/>
        <v>0.73745767928593409</v>
      </c>
      <c r="X1776" s="7" t="s">
        <v>16324</v>
      </c>
      <c r="Y1776" s="6" t="str">
        <f t="shared" si="841"/>
        <v>=6498*10000</v>
      </c>
      <c r="Z1776" s="1">
        <f>6498*10000</f>
        <v>64980000</v>
      </c>
      <c r="AA1776" s="8">
        <f t="shared" si="858"/>
        <v>0.85233751425313564</v>
      </c>
      <c r="AB1776" s="7" t="s">
        <v>16325</v>
      </c>
      <c r="AC1776" s="6" t="str">
        <f t="shared" si="842"/>
        <v>=3508*10000</v>
      </c>
      <c r="AD1776" s="1">
        <f>3508*10000</f>
        <v>35080000</v>
      </c>
      <c r="AE1776" s="8">
        <f t="shared" si="859"/>
        <v>-90.879579810402248</v>
      </c>
      <c r="AF1776" s="7">
        <f>-39.03*10000</f>
        <v>-390300</v>
      </c>
      <c r="AG1776" s="6" t="str">
        <f t="shared" si="843"/>
        <v>=-390300</v>
      </c>
      <c r="AH1776" s="1">
        <f>-390300</f>
        <v>-390300</v>
      </c>
      <c r="AI1776" s="8">
        <f t="shared" si="860"/>
        <v>-1.0027898498927805</v>
      </c>
      <c r="AJ1776" s="6" t="s">
        <v>2166</v>
      </c>
      <c r="AK1776" s="6" t="str">
        <f t="shared" si="844"/>
        <v>=1.399*100000000</v>
      </c>
      <c r="AL1776" s="1">
        <f>1.399*100000000</f>
        <v>139900000</v>
      </c>
      <c r="AM1776" s="8">
        <f t="shared" si="861"/>
        <v>1.2122074636306135</v>
      </c>
      <c r="AN1776" s="7" t="s">
        <v>15655</v>
      </c>
      <c r="AO1776" s="6" t="str">
        <f t="shared" si="845"/>
        <v>=6324*10000</v>
      </c>
      <c r="AP1776" s="1">
        <f>6324*10000</f>
        <v>63240000</v>
      </c>
      <c r="AQ1776" s="8">
        <f t="shared" si="862"/>
        <v>0.60304182509505699</v>
      </c>
      <c r="AR1776" s="7" t="s">
        <v>16326</v>
      </c>
      <c r="AS1776" s="6" t="str">
        <f t="shared" si="846"/>
        <v>=3945*10000</v>
      </c>
      <c r="AT1776" s="1">
        <f>3945*10000</f>
        <v>39450000</v>
      </c>
      <c r="AU1776" s="8">
        <f t="shared" si="863"/>
        <v>8.2000932835820901</v>
      </c>
      <c r="AV1776" s="7" t="s">
        <v>16327</v>
      </c>
      <c r="AW1776" s="6" t="str">
        <f t="shared" si="847"/>
        <v>=428.8*10000</v>
      </c>
      <c r="AX1776" s="1">
        <f>428.8*10000</f>
        <v>4288000</v>
      </c>
      <c r="AY1776" s="10">
        <f t="shared" si="864"/>
        <v>-0.9660221870047544</v>
      </c>
      <c r="AZ1776" s="6" t="s">
        <v>7268</v>
      </c>
      <c r="BA1776" s="6" t="str">
        <f t="shared" si="848"/>
        <v>=1.262*100000000</v>
      </c>
      <c r="BB1776" s="1">
        <f>1.262*100000000</f>
        <v>126200000</v>
      </c>
      <c r="BC1776" s="8">
        <f t="shared" si="865"/>
        <v>1.2190961842799366</v>
      </c>
      <c r="BD1776" s="7" t="s">
        <v>3941</v>
      </c>
      <c r="BE1776" s="6" t="str">
        <f t="shared" si="849"/>
        <v>=5687*10000</v>
      </c>
      <c r="BF1776" s="1">
        <f>5687*10000</f>
        <v>56870000</v>
      </c>
      <c r="BG1776" s="8">
        <f t="shared" si="866"/>
        <v>0.5193694897141331</v>
      </c>
      <c r="BH1776" s="7" t="s">
        <v>16328</v>
      </c>
      <c r="BI1776" s="6" t="str">
        <f t="shared" si="850"/>
        <v>=3743*10000</v>
      </c>
      <c r="BJ1776" s="1">
        <f>3743*10000</f>
        <v>37430000</v>
      </c>
      <c r="BK1776" s="7" t="s">
        <v>16329</v>
      </c>
      <c r="BL1776" s="1" t="str">
        <f t="shared" si="852"/>
        <v>=219.4*10000</v>
      </c>
      <c r="BM1776" s="16">
        <f t="shared" si="867"/>
        <v>16.060164083865086</v>
      </c>
      <c r="BN1776" s="1">
        <f>219.4*10000</f>
        <v>2194000</v>
      </c>
    </row>
    <row r="1777" spans="1:66">
      <c r="A1777" s="19"/>
      <c r="B1777">
        <v>603383</v>
      </c>
      <c r="C1777" t="s">
        <v>68</v>
      </c>
      <c r="D1777" s="6" t="s">
        <v>2000</v>
      </c>
      <c r="E1777" s="7" t="str">
        <f t="shared" si="851"/>
        <v>=1.394*100000000</v>
      </c>
      <c r="F1777" s="1">
        <f>1.394*100000000</f>
        <v>139400000</v>
      </c>
      <c r="G1777" s="8">
        <f t="shared" si="853"/>
        <v>0.83953549749274214</v>
      </c>
      <c r="H1777" s="7" t="s">
        <v>3379</v>
      </c>
      <c r="I1777" s="6" t="str">
        <f t="shared" si="837"/>
        <v>=7578*10000</v>
      </c>
      <c r="J1777" s="1">
        <f>7578*10000</f>
        <v>75780000</v>
      </c>
      <c r="K1777" s="10">
        <f t="shared" si="854"/>
        <v>0.72462448793809742</v>
      </c>
      <c r="L1777" s="7" t="s">
        <v>1780</v>
      </c>
      <c r="M1777" s="6" t="str">
        <f t="shared" si="838"/>
        <v>=4394*10000</v>
      </c>
      <c r="N1777" s="1">
        <f>4394*10000</f>
        <v>43940000</v>
      </c>
      <c r="O1777" s="8">
        <f t="shared" si="855"/>
        <v>28.470154258886652</v>
      </c>
      <c r="P1777" s="7" t="s">
        <v>16330</v>
      </c>
      <c r="Q1777" s="6" t="str">
        <f t="shared" si="839"/>
        <v>=149.1*10000</v>
      </c>
      <c r="R1777" s="11">
        <f>149.1*10000</f>
        <v>1491000</v>
      </c>
      <c r="S1777" s="8">
        <f t="shared" si="856"/>
        <v>-0.98630853994490353</v>
      </c>
      <c r="T1777" s="6" t="s">
        <v>7248</v>
      </c>
      <c r="U1777" s="6" t="str">
        <f t="shared" si="840"/>
        <v>=1.089*100000000</v>
      </c>
      <c r="V1777" s="1">
        <f>1.089*100000000</f>
        <v>108900000</v>
      </c>
      <c r="W1777" s="8">
        <f t="shared" si="857"/>
        <v>0.77970256577872199</v>
      </c>
      <c r="X1777" s="7" t="s">
        <v>16331</v>
      </c>
      <c r="Y1777" s="6" t="str">
        <f t="shared" si="841"/>
        <v>=6119*10000</v>
      </c>
      <c r="Z1777" s="1">
        <f>6119*10000</f>
        <v>61190000</v>
      </c>
      <c r="AA1777" s="8">
        <f t="shared" si="858"/>
        <v>0.82058911038381432</v>
      </c>
      <c r="AB1777" s="7" t="s">
        <v>16332</v>
      </c>
      <c r="AC1777" s="6" t="str">
        <f t="shared" si="842"/>
        <v>=3361*10000</v>
      </c>
      <c r="AD1777" s="1">
        <f>3361*10000</f>
        <v>33610000</v>
      </c>
      <c r="AE1777" s="8">
        <f t="shared" si="859"/>
        <v>34.230607966457022</v>
      </c>
      <c r="AF1777" s="7" t="s">
        <v>16333</v>
      </c>
      <c r="AG1777" s="6" t="str">
        <f t="shared" si="843"/>
        <v>=95.40*10000</v>
      </c>
      <c r="AH1777" s="1">
        <f>95.4*10000</f>
        <v>954000</v>
      </c>
      <c r="AI1777" s="8">
        <f t="shared" si="860"/>
        <v>-0.99256430241621196</v>
      </c>
      <c r="AJ1777" s="6" t="s">
        <v>16039</v>
      </c>
      <c r="AK1777" s="6" t="str">
        <f t="shared" si="844"/>
        <v>=1.283*100000000</v>
      </c>
      <c r="AL1777" s="1">
        <f>1.283*100000000</f>
        <v>128299999.99999999</v>
      </c>
      <c r="AM1777" s="8">
        <f t="shared" si="861"/>
        <v>1.1897934801160606</v>
      </c>
      <c r="AN1777" s="7" t="s">
        <v>15767</v>
      </c>
      <c r="AO1777" s="6" t="str">
        <f t="shared" si="845"/>
        <v>=5859*10000</v>
      </c>
      <c r="AP1777" s="1">
        <f>5859*10000</f>
        <v>58590000</v>
      </c>
      <c r="AQ1777" s="8">
        <f t="shared" si="862"/>
        <v>0.60432639649507114</v>
      </c>
      <c r="AR1777" s="7" t="s">
        <v>16334</v>
      </c>
      <c r="AS1777" s="6" t="str">
        <f t="shared" si="846"/>
        <v>=3652*10000</v>
      </c>
      <c r="AT1777" s="1">
        <f>3652*10000</f>
        <v>36520000</v>
      </c>
      <c r="AU1777" s="8">
        <f t="shared" si="863"/>
        <v>6.8268324046292328</v>
      </c>
      <c r="AV1777" s="7" t="s">
        <v>16335</v>
      </c>
      <c r="AW1777" s="6" t="str">
        <f t="shared" si="847"/>
        <v>=466.6*10000</v>
      </c>
      <c r="AX1777" s="1">
        <f>466.6*10000</f>
        <v>4666000</v>
      </c>
      <c r="AY1777" s="10">
        <f t="shared" si="864"/>
        <v>-0.96015371477369771</v>
      </c>
      <c r="AZ1777" s="6" t="s">
        <v>16336</v>
      </c>
      <c r="BA1777" s="6" t="str">
        <f t="shared" si="848"/>
        <v>=1.171*100000000</v>
      </c>
      <c r="BB1777" s="1">
        <f>1.171*100000000</f>
        <v>117100000</v>
      </c>
      <c r="BC1777" s="8">
        <f t="shared" si="865"/>
        <v>1.1709306637004078</v>
      </c>
      <c r="BD1777" s="7" t="s">
        <v>16337</v>
      </c>
      <c r="BE1777" s="6" t="str">
        <f t="shared" si="849"/>
        <v>=5394*10000</v>
      </c>
      <c r="BF1777" s="1">
        <f>5394*10000</f>
        <v>53940000</v>
      </c>
      <c r="BG1777" s="8">
        <f t="shared" si="866"/>
        <v>0.54866494401378119</v>
      </c>
      <c r="BH1777" s="7" t="s">
        <v>10558</v>
      </c>
      <c r="BI1777" s="6" t="str">
        <f t="shared" si="850"/>
        <v>=3483*10000</v>
      </c>
      <c r="BJ1777" s="1">
        <f>3483*10000</f>
        <v>34830000</v>
      </c>
      <c r="BK1777" s="7" t="s">
        <v>16338</v>
      </c>
      <c r="BL1777" s="1" t="str">
        <f t="shared" si="852"/>
        <v>=232.6*10000</v>
      </c>
      <c r="BM1777" s="16">
        <f t="shared" si="867"/>
        <v>13.97420464316423</v>
      </c>
      <c r="BN1777" s="1">
        <f>232.6*10000</f>
        <v>2326000</v>
      </c>
    </row>
    <row r="1778" spans="1:66">
      <c r="A1778" s="17">
        <v>446</v>
      </c>
      <c r="B1778">
        <v>603393</v>
      </c>
      <c r="C1778" t="s">
        <v>31</v>
      </c>
      <c r="D1778" s="6" t="s">
        <v>3043</v>
      </c>
      <c r="E1778" s="7" t="str">
        <f t="shared" si="851"/>
        <v>=26.17*100000000</v>
      </c>
      <c r="F1778" s="1">
        <f>26.17*100000000</f>
        <v>2617000000</v>
      </c>
      <c r="G1778" s="8">
        <f t="shared" si="853"/>
        <v>0.54031783402001199</v>
      </c>
      <c r="H1778" s="6" t="s">
        <v>16339</v>
      </c>
      <c r="I1778" s="6" t="str">
        <f t="shared" si="837"/>
        <v>=16.99*100000000</v>
      </c>
      <c r="J1778" s="1">
        <f>16.99*100000000</f>
        <v>1698999999.9999998</v>
      </c>
      <c r="K1778" s="10">
        <f t="shared" si="854"/>
        <v>0.4995586937334508</v>
      </c>
      <c r="L1778" s="6" t="s">
        <v>6992</v>
      </c>
      <c r="M1778" s="6" t="str">
        <f t="shared" si="838"/>
        <v>=11.33*100000000</v>
      </c>
      <c r="N1778" s="1">
        <f>11.33*100000000</f>
        <v>1133000000</v>
      </c>
      <c r="O1778" s="8">
        <f t="shared" si="855"/>
        <v>0.72240802675585281</v>
      </c>
      <c r="P1778" s="6" t="s">
        <v>16340</v>
      </c>
      <c r="Q1778" s="6" t="str">
        <f t="shared" si="839"/>
        <v>=6.578*100000000</v>
      </c>
      <c r="R1778" s="11">
        <f>6.578*100000000</f>
        <v>657800000</v>
      </c>
      <c r="S1778" s="8">
        <f t="shared" si="856"/>
        <v>-0.68854166666666672</v>
      </c>
      <c r="T1778" s="6" t="s">
        <v>6945</v>
      </c>
      <c r="U1778" s="6" t="str">
        <f t="shared" si="840"/>
        <v>=21.12*100000000</v>
      </c>
      <c r="V1778" s="1">
        <f>21.12*100000000</f>
        <v>2112000000</v>
      </c>
      <c r="W1778" s="8">
        <f t="shared" si="857"/>
        <v>0.53154459753444527</v>
      </c>
      <c r="X1778" s="6" t="s">
        <v>1864</v>
      </c>
      <c r="Y1778" s="6" t="str">
        <f t="shared" si="841"/>
        <v>=13.79*100000000</v>
      </c>
      <c r="Z1778" s="1">
        <f>13.79*100000000</f>
        <v>1379000000</v>
      </c>
      <c r="AA1778" s="8">
        <f t="shared" si="858"/>
        <v>0.4406602590890098</v>
      </c>
      <c r="AB1778" s="6" t="s">
        <v>5044</v>
      </c>
      <c r="AC1778" s="6" t="str">
        <f t="shared" si="842"/>
        <v>=9.572*100000000</v>
      </c>
      <c r="AD1778" s="1">
        <f>9.572*100000000</f>
        <v>957199999.99999988</v>
      </c>
      <c r="AE1778" s="8">
        <f t="shared" si="859"/>
        <v>0.80501602866302069</v>
      </c>
      <c r="AF1778" s="6" t="s">
        <v>482</v>
      </c>
      <c r="AG1778" s="6" t="str">
        <f t="shared" si="843"/>
        <v>=5.303*100000000</v>
      </c>
      <c r="AH1778" s="1">
        <f>5.303*100000000</f>
        <v>530300000</v>
      </c>
      <c r="AI1778" s="8">
        <f t="shared" si="860"/>
        <v>-0.76903310104529621</v>
      </c>
      <c r="AJ1778" s="6" t="s">
        <v>16341</v>
      </c>
      <c r="AK1778" s="6" t="str">
        <f t="shared" si="844"/>
        <v>=22.96*100000000</v>
      </c>
      <c r="AL1778" s="1">
        <f>22.96*100000000</f>
        <v>2296000000</v>
      </c>
      <c r="AM1778" s="8">
        <f t="shared" si="861"/>
        <v>0.29425028184892915</v>
      </c>
      <c r="AN1778" s="6" t="s">
        <v>5253</v>
      </c>
      <c r="AO1778" s="6" t="str">
        <f t="shared" si="845"/>
        <v>=17.74*100000000</v>
      </c>
      <c r="AP1778" s="1">
        <f>17.74*100000000</f>
        <v>1773999999.9999998</v>
      </c>
      <c r="AQ1778" s="8">
        <f t="shared" si="862"/>
        <v>0.4540983606557375</v>
      </c>
      <c r="AR1778" s="6" t="s">
        <v>13696</v>
      </c>
      <c r="AS1778" s="6" t="str">
        <f t="shared" si="846"/>
        <v>=12.20*100000000</v>
      </c>
      <c r="AT1778" s="1">
        <f>12.2*100000000</f>
        <v>1220000000</v>
      </c>
      <c r="AU1778" s="8">
        <f t="shared" si="863"/>
        <v>0.75590097869890616</v>
      </c>
      <c r="AV1778" s="6" t="s">
        <v>3070</v>
      </c>
      <c r="AW1778" s="6" t="str">
        <f t="shared" si="847"/>
        <v>=6.948*100000000</v>
      </c>
      <c r="AX1778" s="1">
        <f>6.948*100000000</f>
        <v>694800000</v>
      </c>
      <c r="AY1778" s="10">
        <f t="shared" si="864"/>
        <v>-0.5742647058823529</v>
      </c>
      <c r="AZ1778" s="6" t="s">
        <v>6209</v>
      </c>
      <c r="BA1778" s="6" t="str">
        <f t="shared" si="848"/>
        <v>=16.32*100000000</v>
      </c>
      <c r="BB1778" s="1">
        <f>16.32*100000000</f>
        <v>1632000000</v>
      </c>
      <c r="BC1778" s="8">
        <f t="shared" si="865"/>
        <v>0.88757807078417739</v>
      </c>
      <c r="BD1778" s="6" t="s">
        <v>16342</v>
      </c>
      <c r="BE1778" s="6" t="str">
        <f t="shared" si="849"/>
        <v>=8.646*100000000</v>
      </c>
      <c r="BF1778" s="1">
        <f>8.646*100000000</f>
        <v>864600000.00000012</v>
      </c>
      <c r="BG1778" s="8">
        <f t="shared" si="866"/>
        <v>0.6197077557137507</v>
      </c>
      <c r="BH1778" s="6" t="s">
        <v>4806</v>
      </c>
      <c r="BI1778" s="6" t="str">
        <f t="shared" si="850"/>
        <v>=5.338*100000000</v>
      </c>
      <c r="BJ1778" s="1">
        <f>5.338*100000000</f>
        <v>533800000</v>
      </c>
      <c r="BK1778" s="6" t="s">
        <v>16343</v>
      </c>
      <c r="BL1778" s="1" t="str">
        <f t="shared" si="852"/>
        <v>=3.293*100000000</v>
      </c>
      <c r="BM1778" s="16">
        <f t="shared" si="867"/>
        <v>0.62101427269966591</v>
      </c>
      <c r="BN1778" s="1">
        <f>3.293*100000000</f>
        <v>329300000</v>
      </c>
    </row>
    <row r="1779" spans="1:66">
      <c r="A1779" s="18"/>
      <c r="B1779">
        <v>603393</v>
      </c>
      <c r="C1779" t="s">
        <v>48</v>
      </c>
      <c r="D1779" s="6" t="s">
        <v>7281</v>
      </c>
      <c r="E1779" s="7" t="str">
        <f t="shared" si="851"/>
        <v>=18.13*100000000</v>
      </c>
      <c r="F1779" s="1">
        <f>18.13*100000000</f>
        <v>1813000000</v>
      </c>
      <c r="G1779" s="8">
        <f t="shared" si="853"/>
        <v>0.28947368421052633</v>
      </c>
      <c r="H1779" s="6" t="s">
        <v>3141</v>
      </c>
      <c r="I1779" s="6" t="str">
        <f t="shared" si="837"/>
        <v>=14.06*100000000</v>
      </c>
      <c r="J1779" s="1">
        <f>14.06*100000000</f>
        <v>1406000000</v>
      </c>
      <c r="K1779" s="10">
        <f t="shared" si="854"/>
        <v>0.21311475409836064</v>
      </c>
      <c r="L1779" s="6" t="s">
        <v>2788</v>
      </c>
      <c r="M1779" s="6" t="str">
        <f t="shared" si="838"/>
        <v>=11.59*100000000</v>
      </c>
      <c r="N1779" s="1">
        <f>11.59*100000000</f>
        <v>1159000000</v>
      </c>
      <c r="O1779" s="8">
        <f t="shared" si="855"/>
        <v>0.43121758458878712</v>
      </c>
      <c r="P1779" s="6" t="s">
        <v>16344</v>
      </c>
      <c r="Q1779" s="6" t="str">
        <f t="shared" si="839"/>
        <v>=8.098*100000000</v>
      </c>
      <c r="R1779" s="11">
        <f>8.098*100000000</f>
        <v>809800000.00000012</v>
      </c>
      <c r="S1779" s="8">
        <f t="shared" si="856"/>
        <v>-4.5384887421902491E-2</v>
      </c>
      <c r="T1779" s="6" t="s">
        <v>16345</v>
      </c>
      <c r="U1779" s="6" t="str">
        <f t="shared" si="840"/>
        <v>=8.483*100000000</v>
      </c>
      <c r="V1779" s="1">
        <f>8.483*100000000</f>
        <v>848300000</v>
      </c>
      <c r="W1779" s="8">
        <f t="shared" si="857"/>
        <v>0.50755287009063443</v>
      </c>
      <c r="X1779" s="6" t="s">
        <v>8826</v>
      </c>
      <c r="Y1779" s="6" t="str">
        <f t="shared" si="841"/>
        <v>=5.627*100000000</v>
      </c>
      <c r="Z1779" s="1">
        <f>5.627*100000000</f>
        <v>562700000</v>
      </c>
      <c r="AA1779" s="8">
        <f t="shared" si="858"/>
        <v>0.29923805125836972</v>
      </c>
      <c r="AB1779" s="6" t="s">
        <v>16346</v>
      </c>
      <c r="AC1779" s="6" t="str">
        <f t="shared" si="842"/>
        <v>=4.331*100000000</v>
      </c>
      <c r="AD1779" s="1">
        <f>4.331*100000000</f>
        <v>433100000.00000006</v>
      </c>
      <c r="AE1779" s="8">
        <f t="shared" si="859"/>
        <v>1.1451213472015853</v>
      </c>
      <c r="AF1779" s="6" t="s">
        <v>8485</v>
      </c>
      <c r="AG1779" s="6" t="str">
        <f t="shared" si="843"/>
        <v>=2.019*100000000</v>
      </c>
      <c r="AH1779" s="1">
        <f>2.019*100000000</f>
        <v>201900000</v>
      </c>
      <c r="AI1779" s="8">
        <f t="shared" si="860"/>
        <v>-0.80916824196597359</v>
      </c>
      <c r="AJ1779" s="6" t="s">
        <v>1383</v>
      </c>
      <c r="AK1779" s="6" t="str">
        <f t="shared" si="844"/>
        <v>=10.58*100000000</v>
      </c>
      <c r="AL1779" s="1">
        <f>10.58*100000000</f>
        <v>1058000000</v>
      </c>
      <c r="AM1779" s="8">
        <f t="shared" si="861"/>
        <v>0.41519529159978596</v>
      </c>
      <c r="AN1779" s="6" t="s">
        <v>16347</v>
      </c>
      <c r="AO1779" s="6" t="str">
        <f t="shared" si="845"/>
        <v>=7.476*100000000</v>
      </c>
      <c r="AP1779" s="1">
        <f>7.476*100000000</f>
        <v>747600000</v>
      </c>
      <c r="AQ1779" s="8">
        <f t="shared" si="862"/>
        <v>0.60947255113024779</v>
      </c>
      <c r="AR1779" s="6" t="s">
        <v>5149</v>
      </c>
      <c r="AS1779" s="6" t="str">
        <f t="shared" si="846"/>
        <v>=4.645*100000000</v>
      </c>
      <c r="AT1779" s="1">
        <f>4.645*100000000</f>
        <v>464499999.99999994</v>
      </c>
      <c r="AU1779" s="8">
        <f t="shared" si="863"/>
        <v>1.0328227571115971</v>
      </c>
      <c r="AV1779" s="6" t="s">
        <v>16348</v>
      </c>
      <c r="AW1779" s="6" t="str">
        <f t="shared" si="847"/>
        <v>=2.285*100000000</v>
      </c>
      <c r="AX1779" s="1">
        <f>2.285*100000000</f>
        <v>228500000</v>
      </c>
      <c r="AY1779" s="10">
        <f t="shared" si="864"/>
        <v>-0.31750298685782558</v>
      </c>
      <c r="AZ1779" s="6" t="s">
        <v>3863</v>
      </c>
      <c r="BA1779" s="6" t="str">
        <f t="shared" si="848"/>
        <v>=3.348*100000000</v>
      </c>
      <c r="BB1779" s="1">
        <f>3.348*100000000</f>
        <v>334800000</v>
      </c>
      <c r="BC1779" s="8">
        <f t="shared" si="865"/>
        <v>0.70642201834862384</v>
      </c>
      <c r="BD1779" s="6" t="s">
        <v>238</v>
      </c>
      <c r="BE1779" s="6" t="str">
        <f t="shared" si="849"/>
        <v>=1.962*100000000</v>
      </c>
      <c r="BF1779" s="1">
        <f>1.962*100000000</f>
        <v>196200000</v>
      </c>
      <c r="BG1779" s="8">
        <f t="shared" si="866"/>
        <v>0.56334661354581694</v>
      </c>
      <c r="BH1779" s="6" t="s">
        <v>16349</v>
      </c>
      <c r="BI1779" s="6" t="str">
        <f t="shared" si="850"/>
        <v>=1.255*100000000</v>
      </c>
      <c r="BJ1779" s="1">
        <f>1.255*100000000</f>
        <v>125499999.99999999</v>
      </c>
      <c r="BK1779" s="7" t="s">
        <v>16350</v>
      </c>
      <c r="BL1779" s="1" t="str">
        <f t="shared" si="852"/>
        <v>=8625*10000</v>
      </c>
      <c r="BM1779" s="16">
        <f t="shared" si="867"/>
        <v>0.45507246376811578</v>
      </c>
      <c r="BN1779" s="1">
        <f>8625*10000</f>
        <v>86250000</v>
      </c>
    </row>
    <row r="1780" spans="1:66">
      <c r="A1780" s="18"/>
      <c r="B1780">
        <v>603393</v>
      </c>
      <c r="C1780" t="s">
        <v>58</v>
      </c>
      <c r="D1780" s="6" t="s">
        <v>16351</v>
      </c>
      <c r="E1780" s="7" t="str">
        <f t="shared" si="851"/>
        <v>=18.12*100000000</v>
      </c>
      <c r="F1780" s="1">
        <f>18.12*100000000</f>
        <v>1812000000</v>
      </c>
      <c r="G1780" s="8">
        <f t="shared" si="853"/>
        <v>0.28693181818181818</v>
      </c>
      <c r="H1780" s="6" t="s">
        <v>14085</v>
      </c>
      <c r="I1780" s="6" t="str">
        <f t="shared" si="837"/>
        <v>=14.08*100000000</v>
      </c>
      <c r="J1780" s="1">
        <f>14.08*100000000</f>
        <v>1408000000</v>
      </c>
      <c r="K1780" s="10">
        <f t="shared" si="854"/>
        <v>0.21379310344827587</v>
      </c>
      <c r="L1780" s="6" t="s">
        <v>5356</v>
      </c>
      <c r="M1780" s="6" t="str">
        <f t="shared" si="838"/>
        <v>=11.60*100000000</v>
      </c>
      <c r="N1780" s="1">
        <f>11.6*100000000</f>
        <v>1160000000</v>
      </c>
      <c r="O1780" s="8">
        <f t="shared" si="855"/>
        <v>0.43245245739688792</v>
      </c>
      <c r="P1780" s="6" t="s">
        <v>16344</v>
      </c>
      <c r="Q1780" s="6" t="str">
        <f t="shared" si="839"/>
        <v>=8.098*100000000</v>
      </c>
      <c r="R1780" s="11">
        <f>8.098*100000000</f>
        <v>809800000.00000012</v>
      </c>
      <c r="S1780" s="8">
        <f t="shared" si="856"/>
        <v>-6.2948391576023929E-2</v>
      </c>
      <c r="T1780" s="6" t="s">
        <v>16352</v>
      </c>
      <c r="U1780" s="6" t="str">
        <f t="shared" si="840"/>
        <v>=8.642*100000000</v>
      </c>
      <c r="V1780" s="1">
        <f>8.642*100000000</f>
        <v>864200000</v>
      </c>
      <c r="W1780" s="8">
        <f t="shared" si="857"/>
        <v>0.52174678640605743</v>
      </c>
      <c r="X1780" s="6" t="s">
        <v>16096</v>
      </c>
      <c r="Y1780" s="6" t="str">
        <f t="shared" si="841"/>
        <v>=5.679*100000000</v>
      </c>
      <c r="Z1780" s="1">
        <f>5.679*100000000</f>
        <v>567900000</v>
      </c>
      <c r="AA1780" s="8">
        <f t="shared" si="858"/>
        <v>0.29776051188299801</v>
      </c>
      <c r="AB1780" s="6" t="s">
        <v>4062</v>
      </c>
      <c r="AC1780" s="6" t="str">
        <f t="shared" si="842"/>
        <v>=4.376*100000000</v>
      </c>
      <c r="AD1780" s="1">
        <f>4.376*100000000</f>
        <v>437600000.00000006</v>
      </c>
      <c r="AE1780" s="8">
        <f t="shared" si="859"/>
        <v>1.1749502982107358</v>
      </c>
      <c r="AF1780" s="6" t="s">
        <v>13051</v>
      </c>
      <c r="AG1780" s="6" t="str">
        <f t="shared" si="843"/>
        <v>=2.012*100000000</v>
      </c>
      <c r="AH1780" s="1">
        <f>2.012*100000000</f>
        <v>201200000</v>
      </c>
      <c r="AI1780" s="8">
        <f t="shared" si="860"/>
        <v>-0.8100094428706327</v>
      </c>
      <c r="AJ1780" s="6" t="s">
        <v>369</v>
      </c>
      <c r="AK1780" s="6" t="str">
        <f t="shared" si="844"/>
        <v>=10.59*100000000</v>
      </c>
      <c r="AL1780" s="1">
        <f>10.59*100000000</f>
        <v>1059000000</v>
      </c>
      <c r="AM1780" s="8">
        <f t="shared" si="861"/>
        <v>0.41558615158401285</v>
      </c>
      <c r="AN1780" s="6" t="s">
        <v>16353</v>
      </c>
      <c r="AO1780" s="6" t="str">
        <f t="shared" si="845"/>
        <v>=7.481*100000000</v>
      </c>
      <c r="AP1780" s="1">
        <f>7.481*100000000</f>
        <v>748100000</v>
      </c>
      <c r="AQ1780" s="8">
        <f t="shared" si="862"/>
        <v>0.61020232458028412</v>
      </c>
      <c r="AR1780" s="6" t="s">
        <v>5135</v>
      </c>
      <c r="AS1780" s="6" t="str">
        <f t="shared" si="846"/>
        <v>=4.646*100000000</v>
      </c>
      <c r="AT1780" s="1">
        <f>4.646*100000000</f>
        <v>464600000</v>
      </c>
      <c r="AU1780" s="8">
        <f t="shared" si="863"/>
        <v>1.0332603938730853</v>
      </c>
      <c r="AV1780" s="6" t="s">
        <v>16348</v>
      </c>
      <c r="AW1780" s="6" t="str">
        <f t="shared" si="847"/>
        <v>=2.285*100000000</v>
      </c>
      <c r="AX1780" s="1">
        <f>2.285*100000000</f>
        <v>228500000</v>
      </c>
      <c r="AY1780" s="10">
        <f t="shared" si="864"/>
        <v>-0.58011760382212418</v>
      </c>
      <c r="AZ1780" s="6" t="s">
        <v>5729</v>
      </c>
      <c r="BA1780" s="6" t="str">
        <f t="shared" si="848"/>
        <v>=5.442*100000000</v>
      </c>
      <c r="BB1780" s="1">
        <f>5.442*100000000</f>
        <v>544200000</v>
      </c>
      <c r="BC1780" s="8">
        <f t="shared" si="865"/>
        <v>1.7429435483870968</v>
      </c>
      <c r="BD1780" s="6" t="s">
        <v>5137</v>
      </c>
      <c r="BE1780" s="6" t="str">
        <f t="shared" si="849"/>
        <v>=1.984*100000000</v>
      </c>
      <c r="BF1780" s="1">
        <f>1.984*100000000</f>
        <v>198400000</v>
      </c>
      <c r="BG1780" s="8">
        <f t="shared" si="866"/>
        <v>0.58087649402390462</v>
      </c>
      <c r="BH1780" s="6" t="s">
        <v>16349</v>
      </c>
      <c r="BI1780" s="6" t="str">
        <f t="shared" si="850"/>
        <v>=1.255*100000000</v>
      </c>
      <c r="BJ1780" s="1">
        <f>1.255*100000000</f>
        <v>125499999.99999999</v>
      </c>
      <c r="BK1780" s="7" t="s">
        <v>16354</v>
      </c>
      <c r="BL1780" s="1" t="str">
        <f t="shared" si="852"/>
        <v>=8620*10000</v>
      </c>
      <c r="BM1780" s="16">
        <f t="shared" si="867"/>
        <v>0.45591647331786528</v>
      </c>
      <c r="BN1780" s="1">
        <f>8620*10000</f>
        <v>86200000</v>
      </c>
    </row>
    <row r="1781" spans="1:66">
      <c r="A1781" s="19"/>
      <c r="B1781">
        <v>603393</v>
      </c>
      <c r="C1781" t="s">
        <v>68</v>
      </c>
      <c r="D1781" s="6" t="s">
        <v>4340</v>
      </c>
      <c r="E1781" s="7" t="str">
        <f t="shared" si="851"/>
        <v>=14.32*100000000</v>
      </c>
      <c r="F1781" s="1">
        <f>14.32*100000000</f>
        <v>1432000000</v>
      </c>
      <c r="G1781" s="8">
        <f t="shared" si="853"/>
        <v>0.19532554257095158</v>
      </c>
      <c r="H1781" s="6" t="s">
        <v>9617</v>
      </c>
      <c r="I1781" s="6" t="str">
        <f t="shared" si="837"/>
        <v>=11.98*100000000</v>
      </c>
      <c r="J1781" s="1">
        <f>11.98*100000000</f>
        <v>1198000000</v>
      </c>
      <c r="K1781" s="10">
        <f t="shared" si="854"/>
        <v>0.17797443461160276</v>
      </c>
      <c r="L1781" s="6" t="s">
        <v>6860</v>
      </c>
      <c r="M1781" s="6" t="str">
        <f t="shared" si="838"/>
        <v>=10.17*100000000</v>
      </c>
      <c r="N1781" s="1">
        <f>10.17*100000000</f>
        <v>1017000000</v>
      </c>
      <c r="O1781" s="8">
        <f t="shared" si="855"/>
        <v>0.37525354969574037</v>
      </c>
      <c r="P1781" s="6" t="s">
        <v>16355</v>
      </c>
      <c r="Q1781" s="6" t="str">
        <f t="shared" si="839"/>
        <v>=7.395*100000000</v>
      </c>
      <c r="R1781" s="11">
        <f>7.395*100000000</f>
        <v>739500000</v>
      </c>
      <c r="S1781" s="8">
        <f t="shared" si="856"/>
        <v>0.22820129546586945</v>
      </c>
      <c r="T1781" s="6" t="s">
        <v>16356</v>
      </c>
      <c r="U1781" s="6" t="str">
        <f t="shared" si="840"/>
        <v>=6.021*100000000</v>
      </c>
      <c r="V1781" s="1">
        <f>6.021*100000000</f>
        <v>602100000</v>
      </c>
      <c r="W1781" s="8">
        <f t="shared" si="857"/>
        <v>0.45014450867052025</v>
      </c>
      <c r="X1781" s="6" t="s">
        <v>16357</v>
      </c>
      <c r="Y1781" s="6" t="str">
        <f t="shared" si="841"/>
        <v>=4.152*100000000</v>
      </c>
      <c r="Z1781" s="1">
        <f>4.152*100000000</f>
        <v>415200000</v>
      </c>
      <c r="AA1781" s="8">
        <f t="shared" si="858"/>
        <v>0.26972477064220185</v>
      </c>
      <c r="AB1781" s="6" t="s">
        <v>2994</v>
      </c>
      <c r="AC1781" s="6" t="str">
        <f t="shared" si="842"/>
        <v>=3.270*100000000</v>
      </c>
      <c r="AD1781" s="1">
        <f>3.27*100000000</f>
        <v>327000000</v>
      </c>
      <c r="AE1781" s="8">
        <f t="shared" si="859"/>
        <v>1.0501567398119123</v>
      </c>
      <c r="AF1781" s="6" t="s">
        <v>6129</v>
      </c>
      <c r="AG1781" s="6" t="str">
        <f t="shared" si="843"/>
        <v>=1.595*100000000</v>
      </c>
      <c r="AH1781" s="1">
        <f>1.595*100000000</f>
        <v>159500000</v>
      </c>
      <c r="AI1781" s="8">
        <f t="shared" si="860"/>
        <v>-0.79569617010375304</v>
      </c>
      <c r="AJ1781" s="6" t="s">
        <v>16358</v>
      </c>
      <c r="AK1781" s="6" t="str">
        <f t="shared" si="844"/>
        <v>=7.807*100000000</v>
      </c>
      <c r="AL1781" s="1">
        <f>7.807*100000000</f>
        <v>780700000</v>
      </c>
      <c r="AM1781" s="8">
        <f t="shared" si="861"/>
        <v>0.43987458502397642</v>
      </c>
      <c r="AN1781" s="6" t="s">
        <v>16359</v>
      </c>
      <c r="AO1781" s="6" t="str">
        <f t="shared" si="845"/>
        <v>=5.422*100000000</v>
      </c>
      <c r="AP1781" s="1">
        <f>5.422*100000000</f>
        <v>542200000</v>
      </c>
      <c r="AQ1781" s="8">
        <f t="shared" si="862"/>
        <v>0.66779452476161183</v>
      </c>
      <c r="AR1781" s="6" t="s">
        <v>11765</v>
      </c>
      <c r="AS1781" s="6" t="str">
        <f t="shared" si="846"/>
        <v>=3.251*100000000</v>
      </c>
      <c r="AT1781" s="1">
        <f>3.251*100000000</f>
        <v>325100000</v>
      </c>
      <c r="AU1781" s="8">
        <f t="shared" si="863"/>
        <v>0.97509113001215064</v>
      </c>
      <c r="AV1781" s="6" t="s">
        <v>2045</v>
      </c>
      <c r="AW1781" s="6" t="str">
        <f t="shared" si="847"/>
        <v>=1.646*100000000</v>
      </c>
      <c r="AX1781" s="1">
        <f>1.646*100000000</f>
        <v>164600000</v>
      </c>
      <c r="AY1781" s="10">
        <f t="shared" si="864"/>
        <v>-0.60828177058543553</v>
      </c>
      <c r="AZ1781" s="6" t="s">
        <v>15829</v>
      </c>
      <c r="BA1781" s="6" t="str">
        <f t="shared" si="848"/>
        <v>=4.202*100000000</v>
      </c>
      <c r="BB1781" s="1">
        <f>4.202*100000000</f>
        <v>420200000</v>
      </c>
      <c r="BC1781" s="8">
        <f t="shared" si="865"/>
        <v>1.9200833912439195</v>
      </c>
      <c r="BD1781" s="6" t="s">
        <v>3551</v>
      </c>
      <c r="BE1781" s="6" t="str">
        <f t="shared" si="849"/>
        <v>=1.439*100000000</v>
      </c>
      <c r="BF1781" s="1">
        <f>1.439*100000000</f>
        <v>143900000</v>
      </c>
      <c r="BG1781" s="8">
        <f t="shared" si="866"/>
        <v>0.40390243902439044</v>
      </c>
      <c r="BH1781" s="6" t="s">
        <v>11156</v>
      </c>
      <c r="BI1781" s="6" t="str">
        <f t="shared" si="850"/>
        <v>=1.025*100000000</v>
      </c>
      <c r="BJ1781" s="1">
        <f>1.025*100000000</f>
        <v>102499999.99999999</v>
      </c>
      <c r="BK1781" s="7" t="s">
        <v>16360</v>
      </c>
      <c r="BL1781" s="1" t="str">
        <f t="shared" si="852"/>
        <v>=7370*10000</v>
      </c>
      <c r="BM1781" s="16">
        <f t="shared" si="867"/>
        <v>0.39077340569877861</v>
      </c>
      <c r="BN1781" s="1">
        <f>7370*10000</f>
        <v>73700000</v>
      </c>
    </row>
    <row r="1782" spans="1:66">
      <c r="A1782" s="17">
        <v>447</v>
      </c>
      <c r="B1782">
        <v>603444</v>
      </c>
      <c r="C1782" t="s">
        <v>31</v>
      </c>
      <c r="D1782" s="6" t="s">
        <v>8062</v>
      </c>
      <c r="E1782" s="7" t="str">
        <f t="shared" si="851"/>
        <v>=46.19*100000000</v>
      </c>
      <c r="F1782" s="1">
        <f>46.19*100000000</f>
        <v>4619000000</v>
      </c>
      <c r="G1782" s="8">
        <f t="shared" si="853"/>
        <v>0.32539454806312768</v>
      </c>
      <c r="H1782" s="6" t="s">
        <v>16361</v>
      </c>
      <c r="I1782" s="6" t="str">
        <f t="shared" si="837"/>
        <v>=34.85*100000000</v>
      </c>
      <c r="J1782" s="1">
        <f>34.85*100000000</f>
        <v>3485000000</v>
      </c>
      <c r="K1782" s="10">
        <f t="shared" si="854"/>
        <v>0.45999162128194387</v>
      </c>
      <c r="L1782" s="6" t="s">
        <v>1016</v>
      </c>
      <c r="M1782" s="6" t="str">
        <f t="shared" si="838"/>
        <v>=23.87*100000000</v>
      </c>
      <c r="N1782" s="1">
        <f>23.87*100000000</f>
        <v>2387000000</v>
      </c>
      <c r="O1782" s="8">
        <f t="shared" si="855"/>
        <v>1.1350626118067979</v>
      </c>
      <c r="P1782" s="6" t="s">
        <v>9916</v>
      </c>
      <c r="Q1782" s="6" t="str">
        <f t="shared" si="839"/>
        <v>=11.18*100000000</v>
      </c>
      <c r="R1782" s="11">
        <f>11.18*100000000</f>
        <v>1118000000</v>
      </c>
      <c r="S1782" s="8">
        <f t="shared" si="856"/>
        <v>-0.59226841721371259</v>
      </c>
      <c r="T1782" s="6" t="s">
        <v>16362</v>
      </c>
      <c r="U1782" s="6" t="str">
        <f t="shared" si="840"/>
        <v>=27.42*100000000</v>
      </c>
      <c r="V1782" s="1">
        <f>27.42*100000000</f>
        <v>2742000000</v>
      </c>
      <c r="W1782" s="8">
        <f t="shared" si="857"/>
        <v>0.33756097560975612</v>
      </c>
      <c r="X1782" s="6" t="s">
        <v>4476</v>
      </c>
      <c r="Y1782" s="6" t="str">
        <f t="shared" si="841"/>
        <v>=20.50*100000000</v>
      </c>
      <c r="Z1782" s="1">
        <f>20.5*100000000</f>
        <v>2050000000</v>
      </c>
      <c r="AA1782" s="8">
        <f t="shared" si="858"/>
        <v>0.45493257629524486</v>
      </c>
      <c r="AB1782" s="6" t="s">
        <v>5168</v>
      </c>
      <c r="AC1782" s="6" t="str">
        <f t="shared" si="842"/>
        <v>=14.09*100000000</v>
      </c>
      <c r="AD1782" s="1">
        <f>14.09*100000000</f>
        <v>1409000000</v>
      </c>
      <c r="AE1782" s="8">
        <f t="shared" si="859"/>
        <v>0.90456880237902137</v>
      </c>
      <c r="AF1782" s="6" t="s">
        <v>16363</v>
      </c>
      <c r="AG1782" s="6" t="str">
        <f t="shared" si="843"/>
        <v>=7.398*100000000</v>
      </c>
      <c r="AH1782" s="1">
        <f>7.398*100000000</f>
        <v>739800000</v>
      </c>
      <c r="AI1782" s="8">
        <f t="shared" si="860"/>
        <v>-0.6590783410138249</v>
      </c>
      <c r="AJ1782" s="6" t="s">
        <v>2277</v>
      </c>
      <c r="AK1782" s="6" t="str">
        <f t="shared" si="844"/>
        <v>=21.70*100000000</v>
      </c>
      <c r="AL1782" s="1">
        <f>21.7*100000000</f>
        <v>2170000000</v>
      </c>
      <c r="AM1782" s="8">
        <f t="shared" si="861"/>
        <v>0.39549839228295819</v>
      </c>
      <c r="AN1782" s="6" t="s">
        <v>7354</v>
      </c>
      <c r="AO1782" s="6" t="str">
        <f t="shared" si="845"/>
        <v>=15.55*100000000</v>
      </c>
      <c r="AP1782" s="1">
        <f>15.55*100000000</f>
        <v>1555000000</v>
      </c>
      <c r="AQ1782" s="8">
        <f t="shared" si="862"/>
        <v>0.45191409897292234</v>
      </c>
      <c r="AR1782" s="6" t="s">
        <v>588</v>
      </c>
      <c r="AS1782" s="6" t="str">
        <f t="shared" si="846"/>
        <v>=10.71*100000000</v>
      </c>
      <c r="AT1782" s="1">
        <f>10.71*100000000</f>
        <v>1071000000.0000001</v>
      </c>
      <c r="AU1782" s="8">
        <f t="shared" si="863"/>
        <v>1.1178564366225032</v>
      </c>
      <c r="AV1782" s="6" t="s">
        <v>16364</v>
      </c>
      <c r="AW1782" s="6" t="str">
        <f t="shared" si="847"/>
        <v>=5.057*100000000</v>
      </c>
      <c r="AX1782" s="1">
        <f>5.057*100000000</f>
        <v>505700000.00000006</v>
      </c>
      <c r="AY1782" s="10">
        <f t="shared" si="864"/>
        <v>-0.69444108761329304</v>
      </c>
      <c r="AZ1782" s="6" t="s">
        <v>4919</v>
      </c>
      <c r="BA1782" s="6" t="str">
        <f t="shared" si="848"/>
        <v>=16.55*100000000</v>
      </c>
      <c r="BB1782" s="1">
        <f>16.55*100000000</f>
        <v>1655000000</v>
      </c>
      <c r="BC1782" s="8">
        <f t="shared" si="865"/>
        <v>0.42672413793103448</v>
      </c>
      <c r="BD1782" s="6" t="s">
        <v>5356</v>
      </c>
      <c r="BE1782" s="6" t="str">
        <f t="shared" si="849"/>
        <v>=11.60*100000000</v>
      </c>
      <c r="BF1782" s="1">
        <f>11.6*100000000</f>
        <v>1160000000</v>
      </c>
      <c r="BG1782" s="8">
        <f t="shared" si="866"/>
        <v>0.49176954732510286</v>
      </c>
      <c r="BH1782" s="6" t="s">
        <v>16365</v>
      </c>
      <c r="BI1782" s="6" t="str">
        <f t="shared" si="850"/>
        <v>=7.776*100000000</v>
      </c>
      <c r="BJ1782" s="1">
        <f>7.776*100000000</f>
        <v>777600000</v>
      </c>
      <c r="BK1782" s="6" t="s">
        <v>16366</v>
      </c>
      <c r="BL1782" s="1" t="str">
        <f t="shared" si="852"/>
        <v>=3.800*100000000</v>
      </c>
      <c r="BM1782" s="16">
        <f t="shared" si="867"/>
        <v>1.0463157894736843</v>
      </c>
      <c r="BN1782" s="1">
        <f>3.8*100000000</f>
        <v>380000000</v>
      </c>
    </row>
    <row r="1783" spans="1:66">
      <c r="A1783" s="18"/>
      <c r="B1783">
        <v>603444</v>
      </c>
      <c r="C1783" t="s">
        <v>48</v>
      </c>
      <c r="D1783" s="6" t="s">
        <v>558</v>
      </c>
      <c r="E1783" s="7" t="str">
        <f t="shared" si="851"/>
        <v>=21.32*100000000</v>
      </c>
      <c r="F1783" s="1">
        <f>21.32*100000000</f>
        <v>2132000000</v>
      </c>
      <c r="G1783" s="8">
        <f t="shared" si="853"/>
        <v>0.23023658395845373</v>
      </c>
      <c r="H1783" s="6" t="s">
        <v>6008</v>
      </c>
      <c r="I1783" s="6" t="str">
        <f t="shared" si="837"/>
        <v>=17.33*100000000</v>
      </c>
      <c r="J1783" s="1">
        <f>17.33*100000000</f>
        <v>1732999999.9999998</v>
      </c>
      <c r="K1783" s="10">
        <f t="shared" si="854"/>
        <v>0.37539682539682523</v>
      </c>
      <c r="L1783" s="6" t="s">
        <v>4377</v>
      </c>
      <c r="M1783" s="6" t="str">
        <f t="shared" si="838"/>
        <v>=12.60*100000000</v>
      </c>
      <c r="N1783" s="1">
        <f>12.6*100000000</f>
        <v>1260000000</v>
      </c>
      <c r="O1783" s="8">
        <f t="shared" si="855"/>
        <v>1.3217247097844114</v>
      </c>
      <c r="P1783" s="6" t="s">
        <v>16367</v>
      </c>
      <c r="Q1783" s="6" t="str">
        <f t="shared" si="839"/>
        <v>=5.427*100000000</v>
      </c>
      <c r="R1783" s="11">
        <f>5.427*100000000</f>
        <v>542700000</v>
      </c>
      <c r="S1783" s="8">
        <f t="shared" si="856"/>
        <v>-0.65256081946222788</v>
      </c>
      <c r="T1783" s="6" t="s">
        <v>1833</v>
      </c>
      <c r="U1783" s="6" t="str">
        <f t="shared" si="840"/>
        <v>=15.62*100000000</v>
      </c>
      <c r="V1783" s="1">
        <f>15.62*100000000</f>
        <v>1562000000</v>
      </c>
      <c r="W1783" s="8">
        <f t="shared" si="857"/>
        <v>0.33049403747870526</v>
      </c>
      <c r="X1783" s="6" t="s">
        <v>11504</v>
      </c>
      <c r="Y1783" s="6" t="str">
        <f t="shared" si="841"/>
        <v>=11.74*100000000</v>
      </c>
      <c r="Z1783" s="1">
        <f>11.74*100000000</f>
        <v>1174000000</v>
      </c>
      <c r="AA1783" s="8">
        <f t="shared" si="858"/>
        <v>0.37680309604784823</v>
      </c>
      <c r="AB1783" s="6" t="s">
        <v>16368</v>
      </c>
      <c r="AC1783" s="6" t="str">
        <f t="shared" si="842"/>
        <v>=8.527*100000000</v>
      </c>
      <c r="AD1783" s="1">
        <f>8.527*100000000</f>
        <v>852699999.99999988</v>
      </c>
      <c r="AE1783" s="8">
        <f t="shared" si="859"/>
        <v>0.71396984924623108</v>
      </c>
      <c r="AF1783" s="6" t="s">
        <v>16369</v>
      </c>
      <c r="AG1783" s="6" t="str">
        <f t="shared" si="843"/>
        <v>=4.975*100000000</v>
      </c>
      <c r="AH1783" s="1">
        <f>4.975*100000000</f>
        <v>497499999.99999994</v>
      </c>
      <c r="AI1783" s="8">
        <f t="shared" si="860"/>
        <v>-0.59552845528455289</v>
      </c>
      <c r="AJ1783" s="6" t="s">
        <v>11050</v>
      </c>
      <c r="AK1783" s="6" t="str">
        <f t="shared" si="844"/>
        <v>=12.30*100000000</v>
      </c>
      <c r="AL1783" s="1">
        <f>12.3*100000000</f>
        <v>1230000000</v>
      </c>
      <c r="AM1783" s="8">
        <f t="shared" si="861"/>
        <v>0.25382262996941896</v>
      </c>
      <c r="AN1783" s="6" t="s">
        <v>3744</v>
      </c>
      <c r="AO1783" s="6" t="str">
        <f t="shared" si="845"/>
        <v>=9.810*100000000</v>
      </c>
      <c r="AP1783" s="1">
        <f>9.81*100000000</f>
        <v>981000000</v>
      </c>
      <c r="AQ1783" s="8">
        <f t="shared" si="862"/>
        <v>0.41640196361536241</v>
      </c>
      <c r="AR1783" s="6" t="s">
        <v>8542</v>
      </c>
      <c r="AS1783" s="6" t="str">
        <f t="shared" si="846"/>
        <v>=6.926*100000000</v>
      </c>
      <c r="AT1783" s="1">
        <f>6.926*100000000</f>
        <v>692600000</v>
      </c>
      <c r="AU1783" s="8">
        <f t="shared" si="863"/>
        <v>1.1862373737373737</v>
      </c>
      <c r="AV1783" s="6" t="s">
        <v>4833</v>
      </c>
      <c r="AW1783" s="6" t="str">
        <f t="shared" si="847"/>
        <v>=3.168*100000000</v>
      </c>
      <c r="AX1783" s="1">
        <f>3.168*100000000</f>
        <v>316800000</v>
      </c>
      <c r="AY1783" s="10">
        <f t="shared" si="864"/>
        <v>-0.70253521126760565</v>
      </c>
      <c r="AZ1783" s="6" t="s">
        <v>3146</v>
      </c>
      <c r="BA1783" s="6" t="str">
        <f t="shared" si="848"/>
        <v>=10.65*100000000</v>
      </c>
      <c r="BB1783" s="1">
        <f>10.65*100000000</f>
        <v>1065000000</v>
      </c>
      <c r="BC1783" s="8">
        <f t="shared" si="865"/>
        <v>0.35668789808917195</v>
      </c>
      <c r="BD1783" s="6" t="s">
        <v>16370</v>
      </c>
      <c r="BE1783" s="6" t="str">
        <f t="shared" si="849"/>
        <v>=7.850*100000000</v>
      </c>
      <c r="BF1783" s="1">
        <f>7.85*100000000</f>
        <v>785000000</v>
      </c>
      <c r="BG1783" s="8">
        <f t="shared" si="866"/>
        <v>0.5090349865436371</v>
      </c>
      <c r="BH1783" s="6" t="s">
        <v>16371</v>
      </c>
      <c r="BI1783" s="6" t="str">
        <f t="shared" si="850"/>
        <v>=5.202*100000000</v>
      </c>
      <c r="BJ1783" s="1">
        <f>5.202*100000000</f>
        <v>520200000</v>
      </c>
      <c r="BK1783" s="6" t="s">
        <v>9066</v>
      </c>
      <c r="BL1783" s="1" t="str">
        <f t="shared" si="852"/>
        <v>=2.301*100000000</v>
      </c>
      <c r="BM1783" s="16">
        <f t="shared" si="867"/>
        <v>1.2607561929595825</v>
      </c>
      <c r="BN1783" s="1">
        <f>2.301*100000000</f>
        <v>230100000.00000003</v>
      </c>
    </row>
    <row r="1784" spans="1:66">
      <c r="A1784" s="18"/>
      <c r="B1784">
        <v>603444</v>
      </c>
      <c r="C1784" t="s">
        <v>58</v>
      </c>
      <c r="D1784" s="6" t="s">
        <v>15594</v>
      </c>
      <c r="E1784" s="7" t="str">
        <f t="shared" si="851"/>
        <v>=21.25*100000000</v>
      </c>
      <c r="F1784" s="1">
        <f>21.25*100000000</f>
        <v>2125000000</v>
      </c>
      <c r="G1784" s="8">
        <f t="shared" si="853"/>
        <v>0.23045744064852344</v>
      </c>
      <c r="H1784" s="6" t="s">
        <v>8760</v>
      </c>
      <c r="I1784" s="6" t="str">
        <f t="shared" si="837"/>
        <v>=17.27*100000000</v>
      </c>
      <c r="J1784" s="1">
        <f>17.27*100000000</f>
        <v>1727000000</v>
      </c>
      <c r="K1784" s="10">
        <f t="shared" si="854"/>
        <v>0.37172359015091344</v>
      </c>
      <c r="L1784" s="6" t="s">
        <v>5263</v>
      </c>
      <c r="M1784" s="6" t="str">
        <f t="shared" si="838"/>
        <v>=12.59*100000000</v>
      </c>
      <c r="N1784" s="1">
        <f>12.59*100000000</f>
        <v>1259000000</v>
      </c>
      <c r="O1784" s="8">
        <f t="shared" si="855"/>
        <v>1.3237356958287192</v>
      </c>
      <c r="P1784" s="6" t="s">
        <v>2937</v>
      </c>
      <c r="Q1784" s="6" t="str">
        <f t="shared" si="839"/>
        <v>=5.418*100000000</v>
      </c>
      <c r="R1784" s="11">
        <f>5.418*100000000</f>
        <v>541800000</v>
      </c>
      <c r="S1784" s="8">
        <f t="shared" si="856"/>
        <v>-0.6522464698331194</v>
      </c>
      <c r="T1784" s="6" t="s">
        <v>4157</v>
      </c>
      <c r="U1784" s="6" t="str">
        <f t="shared" si="840"/>
        <v>=15.58*100000000</v>
      </c>
      <c r="V1784" s="1">
        <f>15.58*100000000</f>
        <v>1558000000</v>
      </c>
      <c r="W1784" s="8">
        <f t="shared" si="857"/>
        <v>0.33276304533789564</v>
      </c>
      <c r="X1784" s="6" t="s">
        <v>6852</v>
      </c>
      <c r="Y1784" s="6" t="str">
        <f t="shared" si="841"/>
        <v>=11.69*100000000</v>
      </c>
      <c r="Z1784" s="1">
        <f>11.69*100000000</f>
        <v>1169000000</v>
      </c>
      <c r="AA1784" s="8">
        <f t="shared" si="858"/>
        <v>0.37772539776075426</v>
      </c>
      <c r="AB1784" s="6" t="s">
        <v>16372</v>
      </c>
      <c r="AC1784" s="6" t="str">
        <f t="shared" si="842"/>
        <v>=8.485*100000000</v>
      </c>
      <c r="AD1784" s="1">
        <f>8.485*100000000</f>
        <v>848500000</v>
      </c>
      <c r="AE1784" s="8">
        <f t="shared" si="859"/>
        <v>0.72004865193594159</v>
      </c>
      <c r="AF1784" s="6" t="s">
        <v>16373</v>
      </c>
      <c r="AG1784" s="6" t="str">
        <f t="shared" si="843"/>
        <v>=4.933*100000000</v>
      </c>
      <c r="AH1784" s="1">
        <f>4.933*100000000</f>
        <v>493300000</v>
      </c>
      <c r="AI1784" s="8">
        <f t="shared" si="860"/>
        <v>-0.59894308943089436</v>
      </c>
      <c r="AJ1784" s="6" t="s">
        <v>11050</v>
      </c>
      <c r="AK1784" s="6" t="str">
        <f t="shared" si="844"/>
        <v>=12.30*100000000</v>
      </c>
      <c r="AL1784" s="1">
        <f>12.3*100000000</f>
        <v>1230000000</v>
      </c>
      <c r="AM1784" s="8">
        <f t="shared" si="861"/>
        <v>0.25382262996941896</v>
      </c>
      <c r="AN1784" s="6" t="s">
        <v>3744</v>
      </c>
      <c r="AO1784" s="6" t="str">
        <f t="shared" si="845"/>
        <v>=9.810*100000000</v>
      </c>
      <c r="AP1784" s="1">
        <f>9.81*100000000</f>
        <v>981000000</v>
      </c>
      <c r="AQ1784" s="8">
        <f t="shared" si="862"/>
        <v>0.41640196361536241</v>
      </c>
      <c r="AR1784" s="6" t="s">
        <v>8542</v>
      </c>
      <c r="AS1784" s="6" t="str">
        <f t="shared" si="846"/>
        <v>=6.926*100000000</v>
      </c>
      <c r="AT1784" s="1">
        <f>6.926*100000000</f>
        <v>692600000</v>
      </c>
      <c r="AU1784" s="8">
        <f t="shared" si="863"/>
        <v>1.1869276918219134</v>
      </c>
      <c r="AV1784" s="6" t="s">
        <v>3898</v>
      </c>
      <c r="AW1784" s="6" t="str">
        <f t="shared" si="847"/>
        <v>=3.167*100000000</v>
      </c>
      <c r="AX1784" s="1">
        <f>3.167*100000000</f>
        <v>316700000</v>
      </c>
      <c r="AY1784" s="10">
        <f t="shared" si="864"/>
        <v>-0.70262910798122069</v>
      </c>
      <c r="AZ1784" s="6" t="s">
        <v>3146</v>
      </c>
      <c r="BA1784" s="6" t="str">
        <f t="shared" si="848"/>
        <v>=10.65*100000000</v>
      </c>
      <c r="BB1784" s="1">
        <f>10.65*100000000</f>
        <v>1065000000</v>
      </c>
      <c r="BC1784" s="8">
        <f t="shared" si="865"/>
        <v>0.35686074659192252</v>
      </c>
      <c r="BD1784" s="6" t="s">
        <v>16374</v>
      </c>
      <c r="BE1784" s="6" t="str">
        <f t="shared" si="849"/>
        <v>=7.849*100000000</v>
      </c>
      <c r="BF1784" s="1">
        <f>7.849*100000000</f>
        <v>784900000</v>
      </c>
      <c r="BG1784" s="8">
        <f t="shared" si="866"/>
        <v>0.50884275278738944</v>
      </c>
      <c r="BH1784" s="6" t="s">
        <v>16371</v>
      </c>
      <c r="BI1784" s="6" t="str">
        <f t="shared" si="850"/>
        <v>=5.202*100000000</v>
      </c>
      <c r="BJ1784" s="1">
        <f>5.202*100000000</f>
        <v>520200000</v>
      </c>
      <c r="BK1784" s="6" t="s">
        <v>9066</v>
      </c>
      <c r="BL1784" s="1" t="str">
        <f t="shared" si="852"/>
        <v>=2.301*100000000</v>
      </c>
      <c r="BM1784" s="16">
        <f t="shared" si="867"/>
        <v>1.2607561929595825</v>
      </c>
      <c r="BN1784" s="1">
        <f>2.301*100000000</f>
        <v>230100000.00000003</v>
      </c>
    </row>
    <row r="1785" spans="1:66">
      <c r="A1785" s="19"/>
      <c r="B1785">
        <v>603444</v>
      </c>
      <c r="C1785" t="s">
        <v>68</v>
      </c>
      <c r="D1785" s="6" t="s">
        <v>5119</v>
      </c>
      <c r="E1785" s="7" t="str">
        <f t="shared" si="851"/>
        <v>=17.53*100000000</v>
      </c>
      <c r="F1785" s="1">
        <f>17.53*100000000</f>
        <v>1753000000</v>
      </c>
      <c r="G1785" s="8">
        <f t="shared" si="853"/>
        <v>0.22160278745644599</v>
      </c>
      <c r="H1785" s="6" t="s">
        <v>9609</v>
      </c>
      <c r="I1785" s="6" t="str">
        <f t="shared" si="837"/>
        <v>=14.35*100000000</v>
      </c>
      <c r="J1785" s="1">
        <f>14.35*100000000</f>
        <v>1435000000</v>
      </c>
      <c r="K1785" s="10">
        <f t="shared" si="854"/>
        <v>0.36277302943969625</v>
      </c>
      <c r="L1785" s="6" t="s">
        <v>8469</v>
      </c>
      <c r="M1785" s="6" t="str">
        <f t="shared" si="838"/>
        <v>=10.53*100000000</v>
      </c>
      <c r="N1785" s="1">
        <f>10.53*100000000</f>
        <v>1052999999.9999999</v>
      </c>
      <c r="O1785" s="8">
        <f t="shared" si="855"/>
        <v>1.3748308525033828</v>
      </c>
      <c r="P1785" s="6" t="s">
        <v>8613</v>
      </c>
      <c r="Q1785" s="6" t="str">
        <f t="shared" si="839"/>
        <v>=4.434*100000000</v>
      </c>
      <c r="R1785" s="11">
        <f>4.434*100000000</f>
        <v>443400000</v>
      </c>
      <c r="S1785" s="8">
        <f t="shared" si="856"/>
        <v>-0.66711711711711708</v>
      </c>
      <c r="T1785" s="6" t="s">
        <v>2898</v>
      </c>
      <c r="U1785" s="6" t="str">
        <f t="shared" si="840"/>
        <v>=13.32*100000000</v>
      </c>
      <c r="V1785" s="1">
        <f>13.32*100000000</f>
        <v>1332000000</v>
      </c>
      <c r="W1785" s="8">
        <f t="shared" si="857"/>
        <v>0.33694670280036149</v>
      </c>
      <c r="X1785" s="6" t="s">
        <v>15790</v>
      </c>
      <c r="Y1785" s="6" t="str">
        <f t="shared" si="841"/>
        <v>=9.963*100000000</v>
      </c>
      <c r="Z1785" s="1">
        <f>9.963*100000000</f>
        <v>996299999.99999988</v>
      </c>
      <c r="AA1785" s="8">
        <f t="shared" si="858"/>
        <v>0.37915282392026561</v>
      </c>
      <c r="AB1785" s="6" t="s">
        <v>8199</v>
      </c>
      <c r="AC1785" s="6" t="str">
        <f t="shared" si="842"/>
        <v>=7.224*100000000</v>
      </c>
      <c r="AD1785" s="1">
        <f>7.224*100000000</f>
        <v>722400000</v>
      </c>
      <c r="AE1785" s="8">
        <f t="shared" si="859"/>
        <v>0.72287145242070139</v>
      </c>
      <c r="AF1785" s="6" t="s">
        <v>16375</v>
      </c>
      <c r="AG1785" s="6" t="str">
        <f t="shared" si="843"/>
        <v>=4.193*100000000</v>
      </c>
      <c r="AH1785" s="1">
        <f>4.193*100000000</f>
        <v>419299999.99999994</v>
      </c>
      <c r="AI1785" s="8">
        <f t="shared" si="860"/>
        <v>-0.60666041275797378</v>
      </c>
      <c r="AJ1785" s="6" t="s">
        <v>1413</v>
      </c>
      <c r="AK1785" s="6" t="str">
        <f t="shared" si="844"/>
        <v>=10.66*100000000</v>
      </c>
      <c r="AL1785" s="1">
        <f>10.66*100000000</f>
        <v>1066000000</v>
      </c>
      <c r="AM1785" s="8">
        <f t="shared" si="861"/>
        <v>0.2368024132730015</v>
      </c>
      <c r="AN1785" s="6" t="s">
        <v>16376</v>
      </c>
      <c r="AO1785" s="6" t="str">
        <f t="shared" si="845"/>
        <v>=8.619*100000000</v>
      </c>
      <c r="AP1785" s="1">
        <f>8.619*100000000</f>
        <v>861900000</v>
      </c>
      <c r="AQ1785" s="8">
        <f t="shared" si="862"/>
        <v>0.43745830553702469</v>
      </c>
      <c r="AR1785" s="6" t="s">
        <v>9478</v>
      </c>
      <c r="AS1785" s="6" t="str">
        <f t="shared" si="846"/>
        <v>=5.996*100000000</v>
      </c>
      <c r="AT1785" s="1">
        <f>5.996*100000000</f>
        <v>599600000</v>
      </c>
      <c r="AU1785" s="8">
        <f t="shared" si="863"/>
        <v>1.2133628645256551</v>
      </c>
      <c r="AV1785" s="6" t="s">
        <v>5303</v>
      </c>
      <c r="AW1785" s="6" t="str">
        <f t="shared" si="847"/>
        <v>=2.709*100000000</v>
      </c>
      <c r="AX1785" s="1">
        <f>2.709*100000000</f>
        <v>270900000</v>
      </c>
      <c r="AY1785" s="10">
        <f t="shared" si="864"/>
        <v>-0.70503048780487798</v>
      </c>
      <c r="AZ1785" s="6" t="s">
        <v>16377</v>
      </c>
      <c r="BA1785" s="6" t="str">
        <f t="shared" si="848"/>
        <v>=9.184*100000000</v>
      </c>
      <c r="BB1785" s="1">
        <f>9.184*100000000</f>
        <v>918399999.99999988</v>
      </c>
      <c r="BC1785" s="8">
        <f t="shared" si="865"/>
        <v>0.43792077657742268</v>
      </c>
      <c r="BD1785" s="6" t="s">
        <v>10118</v>
      </c>
      <c r="BE1785" s="6" t="str">
        <f t="shared" si="849"/>
        <v>=6.387*100000000</v>
      </c>
      <c r="BF1785" s="1">
        <f>6.387*100000000</f>
        <v>638700000</v>
      </c>
      <c r="BG1785" s="8">
        <f t="shared" si="866"/>
        <v>0.51602183717066219</v>
      </c>
      <c r="BH1785" s="6" t="s">
        <v>245</v>
      </c>
      <c r="BI1785" s="6" t="str">
        <f t="shared" si="850"/>
        <v>=4.213*100000000</v>
      </c>
      <c r="BJ1785" s="1">
        <f>4.213*100000000</f>
        <v>421300000</v>
      </c>
      <c r="BK1785" s="6" t="s">
        <v>5749</v>
      </c>
      <c r="BL1785" s="1" t="str">
        <f t="shared" si="852"/>
        <v>=1.879*100000000</v>
      </c>
      <c r="BM1785" s="16">
        <f t="shared" si="867"/>
        <v>1.2421500798296967</v>
      </c>
      <c r="BN1785" s="1">
        <f>1.879*100000000</f>
        <v>187900000</v>
      </c>
    </row>
    <row r="1786" spans="1:66">
      <c r="A1786" s="17">
        <v>448</v>
      </c>
      <c r="B1786">
        <v>603458</v>
      </c>
      <c r="C1786" t="s">
        <v>31</v>
      </c>
      <c r="D1786" s="6" t="s">
        <v>10432</v>
      </c>
      <c r="E1786" s="7" t="str">
        <f t="shared" si="851"/>
        <v>=30.39*100000000</v>
      </c>
      <c r="F1786" s="1">
        <f>30.39*100000000</f>
        <v>3039000000</v>
      </c>
      <c r="G1786" s="8">
        <f t="shared" si="853"/>
        <v>0.38136363636363635</v>
      </c>
      <c r="H1786" s="6" t="s">
        <v>16378</v>
      </c>
      <c r="I1786" s="6" t="str">
        <f t="shared" si="837"/>
        <v>=22.00*100000000</v>
      </c>
      <c r="J1786" s="1">
        <f>22*100000000</f>
        <v>2200000000</v>
      </c>
      <c r="K1786" s="10">
        <f t="shared" si="854"/>
        <v>0.46179401993355484</v>
      </c>
      <c r="L1786" s="6" t="s">
        <v>4122</v>
      </c>
      <c r="M1786" s="6" t="str">
        <f t="shared" si="838"/>
        <v>=15.05*100000000</v>
      </c>
      <c r="N1786" s="1">
        <f>15.05*100000000</f>
        <v>1505000000</v>
      </c>
      <c r="O1786" s="8">
        <f t="shared" si="855"/>
        <v>1.1224086870681145</v>
      </c>
      <c r="P1786" s="6" t="s">
        <v>1672</v>
      </c>
      <c r="Q1786" s="6" t="str">
        <f t="shared" si="839"/>
        <v>=7.091*100000000</v>
      </c>
      <c r="R1786" s="11">
        <f>7.091*100000000</f>
        <v>709100000</v>
      </c>
      <c r="S1786" s="8">
        <f t="shared" si="856"/>
        <v>-0.74656897784131526</v>
      </c>
      <c r="T1786" s="6" t="s">
        <v>887</v>
      </c>
      <c r="U1786" s="6" t="str">
        <f t="shared" si="840"/>
        <v>=27.98*100000000</v>
      </c>
      <c r="V1786" s="1">
        <f>27.98*100000000</f>
        <v>2798000000</v>
      </c>
      <c r="W1786" s="8">
        <f t="shared" si="857"/>
        <v>0.71761817065684474</v>
      </c>
      <c r="X1786" s="6" t="s">
        <v>11574</v>
      </c>
      <c r="Y1786" s="6" t="str">
        <f t="shared" si="841"/>
        <v>=16.29*100000000</v>
      </c>
      <c r="Z1786" s="1">
        <f>16.29*100000000</f>
        <v>1629000000</v>
      </c>
      <c r="AA1786" s="8">
        <f t="shared" si="858"/>
        <v>0.67094060929326083</v>
      </c>
      <c r="AB1786" s="6" t="s">
        <v>16379</v>
      </c>
      <c r="AC1786" s="6" t="str">
        <f t="shared" si="842"/>
        <v>=9.749*100000000</v>
      </c>
      <c r="AD1786" s="1">
        <f>9.749*100000000</f>
        <v>974900000</v>
      </c>
      <c r="AE1786" s="8">
        <f t="shared" si="859"/>
        <v>1.3140280085449798</v>
      </c>
      <c r="AF1786" s="6" t="s">
        <v>245</v>
      </c>
      <c r="AG1786" s="6" t="str">
        <f t="shared" si="843"/>
        <v>=4.213*100000000</v>
      </c>
      <c r="AH1786" s="1">
        <f>4.213*100000000</f>
        <v>421300000</v>
      </c>
      <c r="AI1786" s="8">
        <f t="shared" si="860"/>
        <v>-0.83562231759656658</v>
      </c>
      <c r="AJ1786" s="6" t="s">
        <v>454</v>
      </c>
      <c r="AK1786" s="6" t="str">
        <f t="shared" si="844"/>
        <v>=25.63*100000000</v>
      </c>
      <c r="AL1786" s="1">
        <f>25.63*100000000</f>
        <v>2563000000</v>
      </c>
      <c r="AM1786" s="8">
        <f t="shared" si="861"/>
        <v>0.58209876543209882</v>
      </c>
      <c r="AN1786" s="6" t="s">
        <v>2453</v>
      </c>
      <c r="AO1786" s="6" t="str">
        <f t="shared" si="845"/>
        <v>=16.20*100000000</v>
      </c>
      <c r="AP1786" s="1">
        <f>16.2*100000000</f>
        <v>1620000000</v>
      </c>
      <c r="AQ1786" s="8">
        <f t="shared" si="862"/>
        <v>0.80200222469410454</v>
      </c>
      <c r="AR1786" s="6" t="s">
        <v>4536</v>
      </c>
      <c r="AS1786" s="6" t="str">
        <f t="shared" si="846"/>
        <v>=8.990*100000000</v>
      </c>
      <c r="AT1786" s="1">
        <f>8.99*100000000</f>
        <v>899000000</v>
      </c>
      <c r="AU1786" s="8">
        <f t="shared" si="863"/>
        <v>1.0666666666666669</v>
      </c>
      <c r="AV1786" s="6" t="s">
        <v>2081</v>
      </c>
      <c r="AW1786" s="6" t="str">
        <f t="shared" si="847"/>
        <v>=4.350*100000000</v>
      </c>
      <c r="AX1786" s="1">
        <f>4.35*100000000</f>
        <v>434999999.99999994</v>
      </c>
      <c r="AY1786" s="10">
        <f t="shared" si="864"/>
        <v>-0.79786245353159846</v>
      </c>
      <c r="AZ1786" s="6" t="s">
        <v>16380</v>
      </c>
      <c r="BA1786" s="6" t="str">
        <f t="shared" si="848"/>
        <v>=21.52*100000000</v>
      </c>
      <c r="BB1786" s="1">
        <f>21.52*100000000</f>
        <v>2152000000</v>
      </c>
      <c r="BC1786" s="8">
        <f t="shared" si="865"/>
        <v>0.50489510489510492</v>
      </c>
      <c r="BD1786" s="6" t="s">
        <v>2791</v>
      </c>
      <c r="BE1786" s="6" t="str">
        <f t="shared" si="849"/>
        <v>=14.30*100000000</v>
      </c>
      <c r="BF1786" s="1">
        <f>14.3*100000000</f>
        <v>1430000000</v>
      </c>
      <c r="BG1786" s="8">
        <f t="shared" si="866"/>
        <v>0.43401524267950259</v>
      </c>
      <c r="BH1786" s="6" t="s">
        <v>16381</v>
      </c>
      <c r="BI1786" s="6" t="str">
        <f t="shared" si="850"/>
        <v>=9.972*100000000</v>
      </c>
      <c r="BJ1786" s="1">
        <f>9.972*100000000</f>
        <v>997200000</v>
      </c>
      <c r="BK1786" s="6" t="s">
        <v>4168</v>
      </c>
      <c r="BL1786" s="1" t="str">
        <f t="shared" si="852"/>
        <v>=4.414*100000000</v>
      </c>
      <c r="BM1786" s="16">
        <f t="shared" si="867"/>
        <v>1.2591753511554147</v>
      </c>
      <c r="BN1786" s="1">
        <f>4.414*100000000</f>
        <v>441399999.99999994</v>
      </c>
    </row>
    <row r="1787" spans="1:66">
      <c r="A1787" s="18"/>
      <c r="B1787">
        <v>603458</v>
      </c>
      <c r="C1787" t="s">
        <v>48</v>
      </c>
      <c r="D1787" s="6" t="s">
        <v>7020</v>
      </c>
      <c r="E1787" s="7" t="str">
        <f t="shared" si="851"/>
        <v>=4.214*100000000</v>
      </c>
      <c r="F1787" s="1">
        <f>4.214*100000000</f>
        <v>421400000.00000006</v>
      </c>
      <c r="G1787" s="8">
        <f t="shared" si="853"/>
        <v>0.20537757437070955</v>
      </c>
      <c r="H1787" s="6" t="s">
        <v>16382</v>
      </c>
      <c r="I1787" s="6" t="str">
        <f t="shared" si="837"/>
        <v>=3.496*100000000</v>
      </c>
      <c r="J1787" s="1">
        <f>3.496*100000000</f>
        <v>349600000</v>
      </c>
      <c r="K1787" s="10">
        <f t="shared" si="854"/>
        <v>0.90725586470267316</v>
      </c>
      <c r="L1787" s="6" t="s">
        <v>5432</v>
      </c>
      <c r="M1787" s="6" t="str">
        <f t="shared" si="838"/>
        <v>=1.833*100000000</v>
      </c>
      <c r="N1787" s="1">
        <f>1.833*100000000</f>
        <v>183300000</v>
      </c>
      <c r="O1787" s="8">
        <f t="shared" si="855"/>
        <v>0.98656117914815211</v>
      </c>
      <c r="P1787" s="7" t="s">
        <v>16383</v>
      </c>
      <c r="Q1787" s="6" t="str">
        <f t="shared" si="839"/>
        <v>=9227*10000</v>
      </c>
      <c r="R1787" s="11">
        <f>9227*10000</f>
        <v>92270000</v>
      </c>
      <c r="S1787" s="8">
        <f t="shared" si="856"/>
        <v>-0.84819019414281016</v>
      </c>
      <c r="T1787" s="6" t="s">
        <v>16384</v>
      </c>
      <c r="U1787" s="6" t="str">
        <f t="shared" si="840"/>
        <v>=6.078*100000000</v>
      </c>
      <c r="V1787" s="1">
        <f>6.078*100000000</f>
        <v>607800000</v>
      </c>
      <c r="W1787" s="8">
        <f t="shared" si="857"/>
        <v>0.74705375107789596</v>
      </c>
      <c r="X1787" s="6" t="s">
        <v>16385</v>
      </c>
      <c r="Y1787" s="6" t="str">
        <f t="shared" si="841"/>
        <v>=3.479*100000000</v>
      </c>
      <c r="Z1787" s="1">
        <f>3.479*100000000</f>
        <v>347900000</v>
      </c>
      <c r="AA1787" s="8">
        <f t="shared" si="858"/>
        <v>0.90839275918815143</v>
      </c>
      <c r="AB1787" s="6" t="s">
        <v>3396</v>
      </c>
      <c r="AC1787" s="6" t="str">
        <f t="shared" si="842"/>
        <v>=1.823*100000000</v>
      </c>
      <c r="AD1787" s="1">
        <f>1.823*100000000</f>
        <v>182300000</v>
      </c>
      <c r="AE1787" s="8">
        <f t="shared" si="859"/>
        <v>1.2313341493268053</v>
      </c>
      <c r="AF1787" s="7" t="s">
        <v>16386</v>
      </c>
      <c r="AG1787" s="6" t="str">
        <f t="shared" si="843"/>
        <v>=8170*10000</v>
      </c>
      <c r="AH1787" s="1">
        <f>8170*10000</f>
        <v>81700000</v>
      </c>
      <c r="AI1787" s="8">
        <f t="shared" si="860"/>
        <v>-0.83936295713723952</v>
      </c>
      <c r="AJ1787" s="6" t="s">
        <v>16387</v>
      </c>
      <c r="AK1787" s="6" t="str">
        <f t="shared" si="844"/>
        <v>=5.086*100000000</v>
      </c>
      <c r="AL1787" s="1">
        <f>5.086*100000000</f>
        <v>508600000.00000006</v>
      </c>
      <c r="AM1787" s="8">
        <f t="shared" si="861"/>
        <v>0.73406068871462682</v>
      </c>
      <c r="AN1787" s="6" t="s">
        <v>1561</v>
      </c>
      <c r="AO1787" s="6" t="str">
        <f t="shared" si="845"/>
        <v>=2.933*100000000</v>
      </c>
      <c r="AP1787" s="1">
        <f>2.933*100000000</f>
        <v>293300000</v>
      </c>
      <c r="AQ1787" s="8">
        <f t="shared" si="862"/>
        <v>0.89961139896373055</v>
      </c>
      <c r="AR1787" s="6" t="s">
        <v>1439</v>
      </c>
      <c r="AS1787" s="6" t="str">
        <f t="shared" si="846"/>
        <v>=1.544*100000000</v>
      </c>
      <c r="AT1787" s="1">
        <f>1.544*100000000</f>
        <v>154400000</v>
      </c>
      <c r="AU1787" s="8">
        <f t="shared" si="863"/>
        <v>0.81753972925250151</v>
      </c>
      <c r="AV1787" s="7" t="s">
        <v>5786</v>
      </c>
      <c r="AW1787" s="6" t="str">
        <f t="shared" si="847"/>
        <v>=8495*10000</v>
      </c>
      <c r="AX1787" s="1">
        <f>8495*10000</f>
        <v>84950000</v>
      </c>
      <c r="AY1787" s="10">
        <f t="shared" si="864"/>
        <v>-0.79618522072936659</v>
      </c>
      <c r="AZ1787" s="6" t="s">
        <v>16388</v>
      </c>
      <c r="BA1787" s="6" t="str">
        <f t="shared" si="848"/>
        <v>=4.168*100000000</v>
      </c>
      <c r="BB1787" s="1">
        <f>4.168*100000000</f>
        <v>416800000</v>
      </c>
      <c r="BC1787" s="8">
        <f t="shared" si="865"/>
        <v>0.56868648852088821</v>
      </c>
      <c r="BD1787" s="6" t="s">
        <v>6227</v>
      </c>
      <c r="BE1787" s="6" t="str">
        <f t="shared" si="849"/>
        <v>=2.657*100000000</v>
      </c>
      <c r="BF1787" s="1">
        <f>2.657*100000000</f>
        <v>265700000</v>
      </c>
      <c r="BG1787" s="8">
        <f t="shared" si="866"/>
        <v>0.27129186602870814</v>
      </c>
      <c r="BH1787" s="6" t="s">
        <v>7643</v>
      </c>
      <c r="BI1787" s="6" t="str">
        <f t="shared" si="850"/>
        <v>=2.090*100000000</v>
      </c>
      <c r="BJ1787" s="1">
        <f>2.09*100000000</f>
        <v>209000000</v>
      </c>
      <c r="BK1787" s="7" t="s">
        <v>16389</v>
      </c>
      <c r="BL1787" s="1" t="str">
        <f t="shared" si="852"/>
        <v>=7040*10000</v>
      </c>
      <c r="BM1787" s="16">
        <f t="shared" si="867"/>
        <v>1.96875</v>
      </c>
      <c r="BN1787" s="1">
        <f>7040*10000</f>
        <v>70400000</v>
      </c>
    </row>
    <row r="1788" spans="1:66">
      <c r="A1788" s="18"/>
      <c r="B1788">
        <v>603458</v>
      </c>
      <c r="C1788" t="s">
        <v>58</v>
      </c>
      <c r="D1788" s="6" t="s">
        <v>2816</v>
      </c>
      <c r="E1788" s="7" t="str">
        <f t="shared" si="851"/>
        <v>=4.204*100000000</v>
      </c>
      <c r="F1788" s="1">
        <f>4.204*100000000</f>
        <v>420400000</v>
      </c>
      <c r="G1788" s="8">
        <f t="shared" si="853"/>
        <v>0.20389461626575028</v>
      </c>
      <c r="H1788" s="6" t="s">
        <v>15715</v>
      </c>
      <c r="I1788" s="6" t="str">
        <f t="shared" si="837"/>
        <v>=3.492*100000000</v>
      </c>
      <c r="J1788" s="1">
        <f>3.492*100000000</f>
        <v>349200000</v>
      </c>
      <c r="K1788" s="10">
        <f t="shared" si="854"/>
        <v>0.90715456034953579</v>
      </c>
      <c r="L1788" s="6" t="s">
        <v>4409</v>
      </c>
      <c r="M1788" s="6" t="str">
        <f t="shared" si="838"/>
        <v>=1.831*100000000</v>
      </c>
      <c r="N1788" s="1">
        <f>1.831*100000000</f>
        <v>183100000</v>
      </c>
      <c r="O1788" s="8">
        <f t="shared" si="855"/>
        <v>0.98482384823848235</v>
      </c>
      <c r="P1788" s="7" t="s">
        <v>16171</v>
      </c>
      <c r="Q1788" s="6" t="str">
        <f t="shared" si="839"/>
        <v>=9225*10000</v>
      </c>
      <c r="R1788" s="11">
        <f>9225*10000</f>
        <v>92250000</v>
      </c>
      <c r="S1788" s="8">
        <f t="shared" si="856"/>
        <v>-0.84799802273850722</v>
      </c>
      <c r="T1788" s="6" t="s">
        <v>16390</v>
      </c>
      <c r="U1788" s="6" t="str">
        <f t="shared" si="840"/>
        <v>=6.069*100000000</v>
      </c>
      <c r="V1788" s="1">
        <f>6.069*100000000</f>
        <v>606900000</v>
      </c>
      <c r="W1788" s="8">
        <f t="shared" si="857"/>
        <v>0.75050475915777326</v>
      </c>
      <c r="X1788" s="6" t="s">
        <v>11862</v>
      </c>
      <c r="Y1788" s="6" t="str">
        <f t="shared" si="841"/>
        <v>=3.467*100000000</v>
      </c>
      <c r="Z1788" s="1">
        <f>3.467*100000000</f>
        <v>346700000</v>
      </c>
      <c r="AA1788" s="8">
        <f t="shared" si="858"/>
        <v>0.91019283746556479</v>
      </c>
      <c r="AB1788" s="6" t="s">
        <v>2222</v>
      </c>
      <c r="AC1788" s="6" t="str">
        <f t="shared" si="842"/>
        <v>=1.815*100000000</v>
      </c>
      <c r="AD1788" s="1">
        <f>1.815*100000000</f>
        <v>181500000</v>
      </c>
      <c r="AE1788" s="8">
        <f t="shared" si="859"/>
        <v>1.2215422276621788</v>
      </c>
      <c r="AF1788" s="7" t="s">
        <v>16386</v>
      </c>
      <c r="AG1788" s="6" t="str">
        <f t="shared" si="843"/>
        <v>=8170*10000</v>
      </c>
      <c r="AH1788" s="1">
        <f>8170*10000</f>
        <v>81700000</v>
      </c>
      <c r="AI1788" s="8">
        <f t="shared" si="860"/>
        <v>-0.8380895759017043</v>
      </c>
      <c r="AJ1788" s="6" t="s">
        <v>9103</v>
      </c>
      <c r="AK1788" s="6" t="str">
        <f t="shared" si="844"/>
        <v>=5.046*100000000</v>
      </c>
      <c r="AL1788" s="1">
        <f>5.046*100000000</f>
        <v>504600000</v>
      </c>
      <c r="AM1788" s="8">
        <f t="shared" si="861"/>
        <v>0.73880082701585115</v>
      </c>
      <c r="AN1788" s="6" t="s">
        <v>15035</v>
      </c>
      <c r="AO1788" s="6" t="str">
        <f t="shared" si="845"/>
        <v>=2.902*100000000</v>
      </c>
      <c r="AP1788" s="1">
        <f>2.902*100000000</f>
        <v>290200000</v>
      </c>
      <c r="AQ1788" s="8">
        <f t="shared" si="862"/>
        <v>0.8905537459283388</v>
      </c>
      <c r="AR1788" s="6" t="s">
        <v>14686</v>
      </c>
      <c r="AS1788" s="6" t="str">
        <f t="shared" si="846"/>
        <v>=1.535*100000000</v>
      </c>
      <c r="AT1788" s="1">
        <f>1.535*100000000</f>
        <v>153500000</v>
      </c>
      <c r="AU1788" s="8">
        <f t="shared" si="863"/>
        <v>0.80822240546589708</v>
      </c>
      <c r="AV1788" s="7" t="s">
        <v>16391</v>
      </c>
      <c r="AW1788" s="6" t="str">
        <f t="shared" si="847"/>
        <v>=8489*10000</v>
      </c>
      <c r="AX1788" s="1">
        <f>8489*10000</f>
        <v>84890000</v>
      </c>
      <c r="AY1788" s="10">
        <f t="shared" si="864"/>
        <v>-0.79613352545629201</v>
      </c>
      <c r="AZ1788" s="6" t="s">
        <v>8039</v>
      </c>
      <c r="BA1788" s="6" t="str">
        <f t="shared" si="848"/>
        <v>=4.164*100000000</v>
      </c>
      <c r="BB1788" s="1">
        <f>4.164*100000000</f>
        <v>416399999.99999994</v>
      </c>
      <c r="BC1788" s="8">
        <f t="shared" si="865"/>
        <v>0.5689525244913336</v>
      </c>
      <c r="BD1788" s="6" t="s">
        <v>9533</v>
      </c>
      <c r="BE1788" s="6" t="str">
        <f t="shared" si="849"/>
        <v>=2.654*100000000</v>
      </c>
      <c r="BF1788" s="1">
        <f>2.654*100000000</f>
        <v>265400000</v>
      </c>
      <c r="BG1788" s="8">
        <f t="shared" si="866"/>
        <v>0.27107279693486591</v>
      </c>
      <c r="BH1788" s="6" t="s">
        <v>16392</v>
      </c>
      <c r="BI1788" s="6" t="str">
        <f t="shared" si="850"/>
        <v>=2.088*100000000</v>
      </c>
      <c r="BJ1788" s="1">
        <f>2.088*100000000</f>
        <v>208800000</v>
      </c>
      <c r="BK1788" s="7" t="s">
        <v>16389</v>
      </c>
      <c r="BL1788" s="1" t="str">
        <f t="shared" si="852"/>
        <v>=7040*10000</v>
      </c>
      <c r="BM1788" s="16">
        <f t="shared" si="867"/>
        <v>1.9659090909090908</v>
      </c>
      <c r="BN1788" s="1">
        <f>7040*10000</f>
        <v>70400000</v>
      </c>
    </row>
    <row r="1789" spans="1:66">
      <c r="A1789" s="19"/>
      <c r="B1789">
        <v>603458</v>
      </c>
      <c r="C1789" t="s">
        <v>68</v>
      </c>
      <c r="D1789" s="6" t="s">
        <v>3610</v>
      </c>
      <c r="E1789" s="7" t="str">
        <f t="shared" si="851"/>
        <v>=3.511*100000000</v>
      </c>
      <c r="F1789" s="1">
        <f>3.511*100000000</f>
        <v>351100000</v>
      </c>
      <c r="G1789" s="8">
        <f t="shared" si="853"/>
        <v>0.19911202185792351</v>
      </c>
      <c r="H1789" s="6" t="s">
        <v>12235</v>
      </c>
      <c r="I1789" s="6" t="str">
        <f t="shared" si="837"/>
        <v>=2.928*100000000</v>
      </c>
      <c r="J1789" s="1">
        <f>2.928*100000000</f>
        <v>292800000</v>
      </c>
      <c r="K1789" s="10">
        <f t="shared" si="854"/>
        <v>0.92</v>
      </c>
      <c r="L1789" s="6" t="s">
        <v>1944</v>
      </c>
      <c r="M1789" s="6" t="str">
        <f t="shared" si="838"/>
        <v>=1.525*100000000</v>
      </c>
      <c r="N1789" s="1">
        <f>1.525*100000000</f>
        <v>152500000</v>
      </c>
      <c r="O1789" s="8">
        <f t="shared" si="855"/>
        <v>0.96596622405569166</v>
      </c>
      <c r="P1789" s="7" t="s">
        <v>16393</v>
      </c>
      <c r="Q1789" s="6" t="str">
        <f t="shared" si="839"/>
        <v>=7757*10000</v>
      </c>
      <c r="R1789" s="11">
        <f>7757*10000</f>
        <v>77570000</v>
      </c>
      <c r="S1789" s="8">
        <f t="shared" si="856"/>
        <v>-0.84984514130855593</v>
      </c>
      <c r="T1789" s="6" t="s">
        <v>16394</v>
      </c>
      <c r="U1789" s="6" t="str">
        <f t="shared" si="840"/>
        <v>=5.166*100000000</v>
      </c>
      <c r="V1789" s="1">
        <f>5.166*100000000</f>
        <v>516600000.00000006</v>
      </c>
      <c r="W1789" s="8">
        <f t="shared" si="857"/>
        <v>0.7875432525951559</v>
      </c>
      <c r="X1789" s="6" t="s">
        <v>16395</v>
      </c>
      <c r="Y1789" s="6" t="str">
        <f t="shared" si="841"/>
        <v>=2.890*100000000</v>
      </c>
      <c r="Z1789" s="1">
        <f>2.89*100000000</f>
        <v>289000000</v>
      </c>
      <c r="AA1789" s="8">
        <f t="shared" si="858"/>
        <v>0.91899070385126158</v>
      </c>
      <c r="AB1789" s="6" t="s">
        <v>6284</v>
      </c>
      <c r="AC1789" s="6" t="str">
        <f t="shared" si="842"/>
        <v>=1.506*100000000</v>
      </c>
      <c r="AD1789" s="1">
        <f>1.506*100000000</f>
        <v>150600000</v>
      </c>
      <c r="AE1789" s="8">
        <f t="shared" si="859"/>
        <v>1.295381801554641</v>
      </c>
      <c r="AF1789" s="7" t="s">
        <v>9871</v>
      </c>
      <c r="AG1789" s="6" t="str">
        <f t="shared" si="843"/>
        <v>=6561*10000</v>
      </c>
      <c r="AH1789" s="1">
        <f>6561*10000</f>
        <v>65610000</v>
      </c>
      <c r="AI1789" s="8">
        <f t="shared" si="860"/>
        <v>-0.84830057803468206</v>
      </c>
      <c r="AJ1789" s="6" t="s">
        <v>10736</v>
      </c>
      <c r="AK1789" s="6" t="str">
        <f t="shared" si="844"/>
        <v>=4.325*100000000</v>
      </c>
      <c r="AL1789" s="1">
        <f>4.325*100000000</f>
        <v>432500000</v>
      </c>
      <c r="AM1789" s="8">
        <f t="shared" si="861"/>
        <v>0.77691043549712391</v>
      </c>
      <c r="AN1789" s="6" t="s">
        <v>16396</v>
      </c>
      <c r="AO1789" s="6" t="str">
        <f t="shared" si="845"/>
        <v>=2.434*100000000</v>
      </c>
      <c r="AP1789" s="1">
        <f>2.434*100000000</f>
        <v>243400000.00000003</v>
      </c>
      <c r="AQ1789" s="8">
        <f t="shared" si="862"/>
        <v>0.88244392884764133</v>
      </c>
      <c r="AR1789" s="6" t="s">
        <v>2013</v>
      </c>
      <c r="AS1789" s="6" t="str">
        <f t="shared" si="846"/>
        <v>=1.293*100000000</v>
      </c>
      <c r="AT1789" s="1">
        <f>1.293*100000000</f>
        <v>129300000</v>
      </c>
      <c r="AU1789" s="8">
        <f t="shared" si="863"/>
        <v>0.87038912194416318</v>
      </c>
      <c r="AV1789" s="7" t="s">
        <v>16397</v>
      </c>
      <c r="AW1789" s="6" t="str">
        <f t="shared" si="847"/>
        <v>=6913*10000</v>
      </c>
      <c r="AX1789" s="1">
        <f>6913*10000</f>
        <v>69130000</v>
      </c>
      <c r="AY1789" s="10">
        <f t="shared" si="864"/>
        <v>-0.80410881269481438</v>
      </c>
      <c r="AZ1789" s="6" t="s">
        <v>1445</v>
      </c>
      <c r="BA1789" s="6" t="str">
        <f t="shared" si="848"/>
        <v>=3.529*100000000</v>
      </c>
      <c r="BB1789" s="1">
        <f>3.529*100000000</f>
        <v>352900000</v>
      </c>
      <c r="BC1789" s="8">
        <f t="shared" si="865"/>
        <v>0.61068005476951182</v>
      </c>
      <c r="BD1789" s="6" t="s">
        <v>8376</v>
      </c>
      <c r="BE1789" s="6" t="str">
        <f t="shared" si="849"/>
        <v>=2.191*100000000</v>
      </c>
      <c r="BF1789" s="1">
        <f>2.191*100000000</f>
        <v>219099999.99999997</v>
      </c>
      <c r="BG1789" s="8">
        <f t="shared" si="866"/>
        <v>0.26720647773279332</v>
      </c>
      <c r="BH1789" s="6" t="s">
        <v>15943</v>
      </c>
      <c r="BI1789" s="6" t="str">
        <f t="shared" si="850"/>
        <v>=1.729*100000000</v>
      </c>
      <c r="BJ1789" s="1">
        <f>1.729*100000000</f>
        <v>172900000</v>
      </c>
      <c r="BK1789" s="7" t="s">
        <v>16398</v>
      </c>
      <c r="BL1789" s="1" t="str">
        <f t="shared" si="852"/>
        <v>=5679*10000</v>
      </c>
      <c r="BM1789" s="16">
        <f t="shared" si="867"/>
        <v>2.0445500968480368</v>
      </c>
      <c r="BN1789" s="1">
        <f>5679*10000</f>
        <v>56790000</v>
      </c>
    </row>
    <row r="1790" spans="1:66">
      <c r="A1790" s="17">
        <v>449</v>
      </c>
      <c r="B1790">
        <v>603477</v>
      </c>
      <c r="C1790" t="s">
        <v>31</v>
      </c>
      <c r="D1790" s="6" t="s">
        <v>5989</v>
      </c>
      <c r="E1790" s="7" t="str">
        <f t="shared" si="851"/>
        <v>=29.83*100000000</v>
      </c>
      <c r="F1790" s="1">
        <f>29.83*100000000</f>
        <v>2983000000</v>
      </c>
      <c r="G1790" s="8">
        <f t="shared" si="853"/>
        <v>0.43138195777351246</v>
      </c>
      <c r="H1790" s="6" t="s">
        <v>9230</v>
      </c>
      <c r="I1790" s="6" t="str">
        <f t="shared" si="837"/>
        <v>=20.84*100000000</v>
      </c>
      <c r="J1790" s="1">
        <f>20.84*100000000</f>
        <v>2084000000</v>
      </c>
      <c r="K1790" s="10">
        <f t="shared" si="854"/>
        <v>0.43328748280605228</v>
      </c>
      <c r="L1790" s="6" t="s">
        <v>16399</v>
      </c>
      <c r="M1790" s="6" t="str">
        <f t="shared" si="838"/>
        <v>=14.54*100000000</v>
      </c>
      <c r="N1790" s="1">
        <f>14.54*100000000</f>
        <v>1454000000</v>
      </c>
      <c r="O1790" s="8">
        <f t="shared" si="855"/>
        <v>1.0188836434323798</v>
      </c>
      <c r="P1790" s="6" t="s">
        <v>16400</v>
      </c>
      <c r="Q1790" s="6" t="str">
        <f t="shared" si="839"/>
        <v>=7.202*100000000</v>
      </c>
      <c r="R1790" s="11">
        <f>7.202*100000000</f>
        <v>720200000</v>
      </c>
      <c r="S1790" s="8">
        <f t="shared" si="856"/>
        <v>-0.49951355107713691</v>
      </c>
      <c r="T1790" s="6" t="s">
        <v>8386</v>
      </c>
      <c r="U1790" s="6" t="str">
        <f t="shared" si="840"/>
        <v>=14.39*100000000</v>
      </c>
      <c r="V1790" s="1">
        <f>14.39*100000000</f>
        <v>1439000000</v>
      </c>
      <c r="W1790" s="8">
        <f t="shared" si="857"/>
        <v>0.77347793936406184</v>
      </c>
      <c r="X1790" s="6" t="s">
        <v>16401</v>
      </c>
      <c r="Y1790" s="6" t="str">
        <f t="shared" si="841"/>
        <v>=8.114*100000000</v>
      </c>
      <c r="Z1790" s="1">
        <f>8.114*100000000</f>
        <v>811400000.00000012</v>
      </c>
      <c r="AA1790" s="8">
        <f t="shared" si="858"/>
        <v>4.0523038605230397</v>
      </c>
      <c r="AB1790" s="6" t="s">
        <v>10750</v>
      </c>
      <c r="AC1790" s="6" t="str">
        <f t="shared" si="842"/>
        <v>=1.606*100000000</v>
      </c>
      <c r="AD1790" s="1">
        <f>1.606*100000000</f>
        <v>160600000</v>
      </c>
      <c r="AE1790" s="8">
        <f t="shared" si="859"/>
        <v>1.0610882956878851</v>
      </c>
      <c r="AF1790" s="7" t="s">
        <v>15549</v>
      </c>
      <c r="AG1790" s="6" t="str">
        <f t="shared" si="843"/>
        <v>=7792*10000</v>
      </c>
      <c r="AH1790" s="1">
        <f>7792*10000</f>
        <v>77920000</v>
      </c>
      <c r="AI1790" s="8">
        <f t="shared" si="860"/>
        <v>-0.85975521958243339</v>
      </c>
      <c r="AJ1790" s="6" t="s">
        <v>5294</v>
      </c>
      <c r="AK1790" s="6" t="str">
        <f t="shared" si="844"/>
        <v>=5.556*100000000</v>
      </c>
      <c r="AL1790" s="1">
        <f>5.556*100000000</f>
        <v>555600000</v>
      </c>
      <c r="AM1790" s="8">
        <f t="shared" si="861"/>
        <v>0.33301343570057579</v>
      </c>
      <c r="AN1790" s="6" t="s">
        <v>16388</v>
      </c>
      <c r="AO1790" s="6" t="str">
        <f t="shared" si="845"/>
        <v>=4.168*100000000</v>
      </c>
      <c r="AP1790" s="1">
        <f>4.168*100000000</f>
        <v>416800000</v>
      </c>
      <c r="AQ1790" s="8">
        <f t="shared" si="862"/>
        <v>0.4696755994358251</v>
      </c>
      <c r="AR1790" s="6" t="s">
        <v>4516</v>
      </c>
      <c r="AS1790" s="6" t="str">
        <f t="shared" si="846"/>
        <v>=2.836*100000000</v>
      </c>
      <c r="AT1790" s="1">
        <f>2.836*100000000</f>
        <v>283600000</v>
      </c>
      <c r="AU1790" s="8">
        <f t="shared" si="863"/>
        <v>1.2225705329153604</v>
      </c>
      <c r="AV1790" s="6" t="s">
        <v>8712</v>
      </c>
      <c r="AW1790" s="6" t="str">
        <f t="shared" si="847"/>
        <v>=1.276*100000000</v>
      </c>
      <c r="AX1790" s="1">
        <f>1.276*100000000</f>
        <v>127600000</v>
      </c>
      <c r="AY1790" s="10">
        <f t="shared" si="864"/>
        <v>-0.79382775892712876</v>
      </c>
      <c r="AZ1790" s="6" t="s">
        <v>5311</v>
      </c>
      <c r="BA1790" s="6" t="str">
        <f t="shared" si="848"/>
        <v>=6.189*100000000</v>
      </c>
      <c r="BB1790" s="1">
        <f>6.189*100000000</f>
        <v>618900000</v>
      </c>
      <c r="BC1790" s="8">
        <f t="shared" si="865"/>
        <v>0.29694048616932106</v>
      </c>
      <c r="BD1790" s="6" t="s">
        <v>14654</v>
      </c>
      <c r="BE1790" s="6" t="str">
        <f t="shared" si="849"/>
        <v>=4.772*100000000</v>
      </c>
      <c r="BF1790" s="1">
        <f>4.772*100000000</f>
        <v>477200000</v>
      </c>
      <c r="BG1790" s="8">
        <f t="shared" si="866"/>
        <v>0.51829462297168305</v>
      </c>
      <c r="BH1790" s="6" t="s">
        <v>1530</v>
      </c>
      <c r="BI1790" s="6" t="str">
        <f t="shared" si="850"/>
        <v>=3.143*100000000</v>
      </c>
      <c r="BJ1790" s="1">
        <f>3.143*100000000</f>
        <v>314300000</v>
      </c>
      <c r="BK1790" s="6" t="s">
        <v>9663</v>
      </c>
      <c r="BL1790" s="1" t="str">
        <f t="shared" si="852"/>
        <v>=1.248*100000000</v>
      </c>
      <c r="BM1790" s="16">
        <f t="shared" si="867"/>
        <v>1.5184294871794872</v>
      </c>
      <c r="BN1790" s="1">
        <f>1.248*100000000</f>
        <v>124800000</v>
      </c>
    </row>
    <row r="1791" spans="1:66">
      <c r="A1791" s="18"/>
      <c r="B1791">
        <v>603477</v>
      </c>
      <c r="C1791" t="s">
        <v>48</v>
      </c>
      <c r="D1791" s="6" t="s">
        <v>13693</v>
      </c>
      <c r="E1791" s="7" t="str">
        <f t="shared" si="851"/>
        <v>=2.964*100000000</v>
      </c>
      <c r="F1791" s="1">
        <f>2.964*100000000</f>
        <v>296400000</v>
      </c>
      <c r="G1791" s="8">
        <f t="shared" si="853"/>
        <v>0.27758620689655189</v>
      </c>
      <c r="H1791" s="6" t="s">
        <v>7655</v>
      </c>
      <c r="I1791" s="6" t="str">
        <f t="shared" ref="I1791:I1854" si="868">"="&amp;H1791</f>
        <v>=2.320*100000000</v>
      </c>
      <c r="J1791" s="1">
        <f>2.32*100000000</f>
        <v>231999999.99999997</v>
      </c>
      <c r="K1791" s="10">
        <f t="shared" si="854"/>
        <v>-0.25233644859813092</v>
      </c>
      <c r="L1791" s="6" t="s">
        <v>15975</v>
      </c>
      <c r="M1791" s="6" t="str">
        <f t="shared" ref="M1791:M1854" si="869">"="&amp;L1791</f>
        <v>=3.103*100000000</v>
      </c>
      <c r="N1791" s="1">
        <f>3.103*100000000</f>
        <v>310300000</v>
      </c>
      <c r="O1791" s="8">
        <f t="shared" si="855"/>
        <v>0.29237817576010011</v>
      </c>
      <c r="P1791" s="6" t="s">
        <v>1925</v>
      </c>
      <c r="Q1791" s="6" t="str">
        <f t="shared" ref="Q1791:Q1854" si="870">"="&amp;P1791</f>
        <v>=2.401*100000000</v>
      </c>
      <c r="R1791" s="11">
        <f>2.401*100000000</f>
        <v>240099999.99999997</v>
      </c>
      <c r="S1791" s="8">
        <f t="shared" si="856"/>
        <v>-0.13539791141519636</v>
      </c>
      <c r="T1791" s="6" t="s">
        <v>9036</v>
      </c>
      <c r="U1791" s="6" t="str">
        <f t="shared" ref="U1791:U1854" si="871">"="&amp;T1791</f>
        <v>=2.777*100000000</v>
      </c>
      <c r="V1791" s="1">
        <f>2.777*100000000</f>
        <v>277700000</v>
      </c>
      <c r="W1791" s="8">
        <f t="shared" si="857"/>
        <v>0.84518272425249175</v>
      </c>
      <c r="X1791" s="6" t="s">
        <v>8283</v>
      </c>
      <c r="Y1791" s="6" t="str">
        <f t="shared" ref="Y1791:Y1854" si="872">"="&amp;X1791</f>
        <v>=1.505*100000000</v>
      </c>
      <c r="Z1791" s="1">
        <f>1.505*100000000</f>
        <v>150500000</v>
      </c>
      <c r="AA1791" s="8">
        <f t="shared" si="858"/>
        <v>-7.3960900977475559</v>
      </c>
      <c r="AB1791" s="7">
        <f>-2353*10000</f>
        <v>-23530000</v>
      </c>
      <c r="AC1791" s="6" t="str">
        <f t="shared" ref="AC1791:AC1854" si="873">"="&amp;AB1791</f>
        <v>=-23530000</v>
      </c>
      <c r="AD1791" s="1">
        <f>-23530000</f>
        <v>-23530000</v>
      </c>
      <c r="AE1791" s="8">
        <f t="shared" si="859"/>
        <v>5.3974986405655248</v>
      </c>
      <c r="AF1791" s="7">
        <f>-367.8*10000</f>
        <v>-3678000</v>
      </c>
      <c r="AG1791" s="6" t="str">
        <f t="shared" ref="AG1791:AG1854" si="874">"="&amp;AF1791</f>
        <v>=-3678000</v>
      </c>
      <c r="AH1791" s="1">
        <f>-3678000</f>
        <v>-3678000</v>
      </c>
      <c r="AI1791" s="8">
        <f t="shared" si="860"/>
        <v>-1.0813177094848552</v>
      </c>
      <c r="AJ1791" s="7" t="s">
        <v>4448</v>
      </c>
      <c r="AK1791" s="6" t="str">
        <f t="shared" ref="AK1791:AK1854" si="875">"="&amp;AJ1791</f>
        <v>=4523*10000</v>
      </c>
      <c r="AL1791" s="1">
        <f>4523*10000</f>
        <v>45230000</v>
      </c>
      <c r="AM1791" s="8">
        <f t="shared" si="861"/>
        <v>6.6745283018867924E-2</v>
      </c>
      <c r="AN1791" s="7" t="s">
        <v>15246</v>
      </c>
      <c r="AO1791" s="6" t="str">
        <f t="shared" ref="AO1791:AO1854" si="876">"="&amp;AN1791</f>
        <v>=4240*10000</v>
      </c>
      <c r="AP1791" s="1">
        <f>4240*10000</f>
        <v>42400000</v>
      </c>
      <c r="AQ1791" s="8">
        <f t="shared" si="862"/>
        <v>0.55197657393850663</v>
      </c>
      <c r="AR1791" s="7" t="s">
        <v>15442</v>
      </c>
      <c r="AS1791" s="6" t="str">
        <f t="shared" ref="AS1791:AS1854" si="877">"="&amp;AR1791</f>
        <v>=2732*10000</v>
      </c>
      <c r="AT1791" s="1">
        <f>2732*10000</f>
        <v>27320000</v>
      </c>
      <c r="AU1791" s="8">
        <f t="shared" si="863"/>
        <v>1.1891025641025641</v>
      </c>
      <c r="AV1791" s="7" t="s">
        <v>9359</v>
      </c>
      <c r="AW1791" s="6" t="str">
        <f t="shared" ref="AW1791:AW1854" si="878">"="&amp;AV1791</f>
        <v>=1248*10000</v>
      </c>
      <c r="AX1791" s="1">
        <f>1248*10000</f>
        <v>12480000</v>
      </c>
      <c r="AY1791" s="10">
        <f t="shared" si="864"/>
        <v>-0.81810231744643636</v>
      </c>
      <c r="AZ1791" s="7" t="s">
        <v>16207</v>
      </c>
      <c r="BA1791" s="6" t="str">
        <f t="shared" ref="BA1791:BA1854" si="879">"="&amp;AZ1791</f>
        <v>=6861*10000</v>
      </c>
      <c r="BB1791" s="1">
        <f>6861*10000</f>
        <v>68610000</v>
      </c>
      <c r="BC1791" s="8">
        <f t="shared" si="865"/>
        <v>0.21047988708539167</v>
      </c>
      <c r="BD1791" s="7" t="s">
        <v>16402</v>
      </c>
      <c r="BE1791" s="6" t="str">
        <f t="shared" ref="BE1791:BE1854" si="880">"="&amp;BD1791</f>
        <v>=5668*10000</v>
      </c>
      <c r="BF1791" s="1">
        <f>5668*10000</f>
        <v>56680000</v>
      </c>
      <c r="BG1791" s="8">
        <f t="shared" si="866"/>
        <v>0.74346354967702244</v>
      </c>
      <c r="BH1791" s="7" t="s">
        <v>16403</v>
      </c>
      <c r="BI1791" s="6" t="str">
        <f t="shared" ref="BI1791:BI1854" si="881">"="&amp;BH1791</f>
        <v>=3251*10000</v>
      </c>
      <c r="BJ1791" s="1">
        <f>3251*10000</f>
        <v>32510000</v>
      </c>
      <c r="BK1791" s="7" t="s">
        <v>13780</v>
      </c>
      <c r="BL1791" s="1" t="str">
        <f t="shared" si="852"/>
        <v>=1244*10000</v>
      </c>
      <c r="BM1791" s="16">
        <f t="shared" si="867"/>
        <v>1.6133440514469453</v>
      </c>
      <c r="BN1791" s="1">
        <f>1244*10000</f>
        <v>12440000</v>
      </c>
    </row>
    <row r="1792" spans="1:66">
      <c r="A1792" s="18"/>
      <c r="B1792">
        <v>603477</v>
      </c>
      <c r="C1792" t="s">
        <v>58</v>
      </c>
      <c r="D1792" s="6" t="s">
        <v>5313</v>
      </c>
      <c r="E1792" s="7" t="str">
        <f t="shared" si="851"/>
        <v>=2.776*100000000</v>
      </c>
      <c r="F1792" s="1">
        <f>2.776*100000000</f>
        <v>277600000</v>
      </c>
      <c r="G1792" s="8">
        <f t="shared" si="853"/>
        <v>0.26181818181818167</v>
      </c>
      <c r="H1792" s="6" t="s">
        <v>7788</v>
      </c>
      <c r="I1792" s="6" t="str">
        <f t="shared" si="868"/>
        <v>=2.200*100000000</v>
      </c>
      <c r="J1792" s="1">
        <f>2.2*100000000</f>
        <v>220000000.00000003</v>
      </c>
      <c r="K1792" s="10">
        <f t="shared" si="854"/>
        <v>-0.2793973141172616</v>
      </c>
      <c r="L1792" s="6" t="s">
        <v>1573</v>
      </c>
      <c r="M1792" s="6" t="str">
        <f t="shared" si="869"/>
        <v>=3.053*100000000</v>
      </c>
      <c r="N1792" s="1">
        <f>3.053*100000000</f>
        <v>305300000</v>
      </c>
      <c r="O1792" s="8">
        <f t="shared" si="855"/>
        <v>0.27901131126937578</v>
      </c>
      <c r="P1792" s="6" t="s">
        <v>1681</v>
      </c>
      <c r="Q1792" s="6" t="str">
        <f t="shared" si="870"/>
        <v>=2.387*100000000</v>
      </c>
      <c r="R1792" s="11">
        <f>2.387*100000000</f>
        <v>238700000</v>
      </c>
      <c r="S1792" s="8">
        <f t="shared" si="856"/>
        <v>1.1959521619135234</v>
      </c>
      <c r="T1792" s="6" t="s">
        <v>4290</v>
      </c>
      <c r="U1792" s="6" t="str">
        <f t="shared" si="871"/>
        <v>=1.087*100000000</v>
      </c>
      <c r="V1792" s="1">
        <f>1.087*100000000</f>
        <v>108700000</v>
      </c>
      <c r="W1792" s="8">
        <f t="shared" si="857"/>
        <v>222.84678747940691</v>
      </c>
      <c r="X1792" s="7" t="s">
        <v>16404</v>
      </c>
      <c r="Y1792" s="6" t="str">
        <f t="shared" si="872"/>
        <v>=48.56*10000</v>
      </c>
      <c r="Z1792" s="1">
        <f>48.56*10000</f>
        <v>485600</v>
      </c>
      <c r="AA1792" s="8">
        <f t="shared" si="858"/>
        <v>-1.0206287170773152</v>
      </c>
      <c r="AB1792" s="7">
        <f>-2354*10000</f>
        <v>-23540000</v>
      </c>
      <c r="AC1792" s="6" t="str">
        <f t="shared" si="873"/>
        <v>=-23540000</v>
      </c>
      <c r="AD1792" s="1">
        <f>-23540000</f>
        <v>-23540000</v>
      </c>
      <c r="AE1792" s="8">
        <f t="shared" si="859"/>
        <v>5.4002175095160414</v>
      </c>
      <c r="AF1792" s="7">
        <f>-367.8*10000</f>
        <v>-3678000</v>
      </c>
      <c r="AG1792" s="6" t="str">
        <f t="shared" si="874"/>
        <v>=-3678000</v>
      </c>
      <c r="AH1792" s="1">
        <f>-3678000</f>
        <v>-3678000</v>
      </c>
      <c r="AI1792" s="8">
        <f t="shared" si="860"/>
        <v>-1.079748482220295</v>
      </c>
      <c r="AJ1792" s="7" t="s">
        <v>2594</v>
      </c>
      <c r="AK1792" s="6" t="str">
        <f t="shared" si="875"/>
        <v>=4612*10000</v>
      </c>
      <c r="AL1792" s="1">
        <f>4612*10000</f>
        <v>46120000</v>
      </c>
      <c r="AM1792" s="8">
        <f t="shared" si="861"/>
        <v>6.7592592592592593E-2</v>
      </c>
      <c r="AN1792" s="7" t="s">
        <v>16405</v>
      </c>
      <c r="AO1792" s="6" t="str">
        <f t="shared" si="876"/>
        <v>=4320*10000</v>
      </c>
      <c r="AP1792" s="1">
        <f>4320*10000</f>
        <v>43200000</v>
      </c>
      <c r="AQ1792" s="8">
        <f t="shared" si="862"/>
        <v>0.5362731152204836</v>
      </c>
      <c r="AR1792" s="7" t="s">
        <v>16406</v>
      </c>
      <c r="AS1792" s="6" t="str">
        <f t="shared" si="877"/>
        <v>=2812*10000</v>
      </c>
      <c r="AT1792" s="1">
        <f>2812*10000</f>
        <v>28120000</v>
      </c>
      <c r="AU1792" s="8">
        <f t="shared" si="863"/>
        <v>1.1174698795180722</v>
      </c>
      <c r="AV1792" s="7" t="s">
        <v>16407</v>
      </c>
      <c r="AW1792" s="6" t="str">
        <f t="shared" si="878"/>
        <v>=1328*10000</v>
      </c>
      <c r="AX1792" s="1">
        <f>1328*10000</f>
        <v>13280000</v>
      </c>
      <c r="AY1792" s="10">
        <f t="shared" si="864"/>
        <v>-0.81374474053295931</v>
      </c>
      <c r="AZ1792" s="7" t="s">
        <v>16408</v>
      </c>
      <c r="BA1792" s="6" t="str">
        <f t="shared" si="879"/>
        <v>=7130*10000</v>
      </c>
      <c r="BB1792" s="1">
        <f>7130*10000</f>
        <v>71300000</v>
      </c>
      <c r="BC1792" s="8">
        <f t="shared" si="865"/>
        <v>0.23207188526006567</v>
      </c>
      <c r="BD1792" s="7" t="s">
        <v>1204</v>
      </c>
      <c r="BE1792" s="6" t="str">
        <f t="shared" si="880"/>
        <v>=5787*10000</v>
      </c>
      <c r="BF1792" s="1">
        <f>5787*10000</f>
        <v>57870000</v>
      </c>
      <c r="BG1792" s="8">
        <f t="shared" si="866"/>
        <v>0.71670127558587959</v>
      </c>
      <c r="BH1792" s="7" t="s">
        <v>16409</v>
      </c>
      <c r="BI1792" s="6" t="str">
        <f t="shared" si="881"/>
        <v>=3371*10000</v>
      </c>
      <c r="BJ1792" s="1">
        <f>3371*10000</f>
        <v>33710000</v>
      </c>
      <c r="BK1792" s="7" t="s">
        <v>16410</v>
      </c>
      <c r="BL1792" s="1" t="str">
        <f t="shared" si="852"/>
        <v>=1261*10000</v>
      </c>
      <c r="BM1792" s="16">
        <f t="shared" si="867"/>
        <v>1.6732751784298177</v>
      </c>
      <c r="BN1792" s="1">
        <f>1261*10000</f>
        <v>12610000</v>
      </c>
    </row>
    <row r="1793" spans="1:66">
      <c r="A1793" s="19"/>
      <c r="B1793">
        <v>603477</v>
      </c>
      <c r="C1793" t="s">
        <v>68</v>
      </c>
      <c r="D1793" s="6" t="s">
        <v>16411</v>
      </c>
      <c r="E1793" s="7" t="str">
        <f t="shared" si="851"/>
        <v>=2.666*100000000</v>
      </c>
      <c r="F1793" s="1">
        <f>2.666*100000000</f>
        <v>266600000</v>
      </c>
      <c r="G1793" s="8">
        <f t="shared" si="853"/>
        <v>0.26530612244897939</v>
      </c>
      <c r="H1793" s="6" t="s">
        <v>14680</v>
      </c>
      <c r="I1793" s="6" t="str">
        <f t="shared" si="868"/>
        <v>=2.107*100000000</v>
      </c>
      <c r="J1793" s="1">
        <f>2.107*100000000</f>
        <v>210700000.00000003</v>
      </c>
      <c r="K1793" s="10">
        <f t="shared" si="854"/>
        <v>-0.28961564396493583</v>
      </c>
      <c r="L1793" s="6" t="s">
        <v>16412</v>
      </c>
      <c r="M1793" s="6" t="str">
        <f t="shared" si="869"/>
        <v>=2.966*100000000</v>
      </c>
      <c r="N1793" s="1">
        <f>2.966*100000000</f>
        <v>296600000</v>
      </c>
      <c r="O1793" s="8">
        <f t="shared" si="855"/>
        <v>0.25253378378378377</v>
      </c>
      <c r="P1793" s="6" t="s">
        <v>16413</v>
      </c>
      <c r="Q1793" s="6" t="str">
        <f t="shared" si="870"/>
        <v>=2.368*100000000</v>
      </c>
      <c r="R1793" s="11">
        <f>2.368*100000000</f>
        <v>236800000</v>
      </c>
      <c r="S1793" s="8">
        <f t="shared" si="856"/>
        <v>0.7737827715355805</v>
      </c>
      <c r="T1793" s="6" t="s">
        <v>14565</v>
      </c>
      <c r="U1793" s="6" t="str">
        <f t="shared" si="871"/>
        <v>=1.335*100000000</v>
      </c>
      <c r="V1793" s="1">
        <f>1.335*100000000</f>
        <v>133500000</v>
      </c>
      <c r="W1793" s="8">
        <f t="shared" si="857"/>
        <v>2.7457912457912457</v>
      </c>
      <c r="X1793" s="7" t="s">
        <v>10357</v>
      </c>
      <c r="Y1793" s="6" t="str">
        <f t="shared" si="872"/>
        <v>=3564*10000</v>
      </c>
      <c r="Z1793" s="1">
        <f>3564*10000</f>
        <v>35640000</v>
      </c>
      <c r="AA1793" s="8">
        <f t="shared" si="858"/>
        <v>-2.7548005908419499</v>
      </c>
      <c r="AB1793" s="7">
        <f>-2031*10000</f>
        <v>-20310000</v>
      </c>
      <c r="AC1793" s="6" t="str">
        <f t="shared" si="873"/>
        <v>=-20310000</v>
      </c>
      <c r="AD1793" s="1">
        <f>-20310000</f>
        <v>-20310000</v>
      </c>
      <c r="AE1793" s="8">
        <f t="shared" si="859"/>
        <v>5.3667711598746077</v>
      </c>
      <c r="AF1793" s="7">
        <f>-319*10000</f>
        <v>-3190000</v>
      </c>
      <c r="AG1793" s="6" t="str">
        <f t="shared" si="874"/>
        <v>=-3190000</v>
      </c>
      <c r="AH1793" s="1">
        <f>-3190000</f>
        <v>-3190000</v>
      </c>
      <c r="AI1793" s="8">
        <f t="shared" si="860"/>
        <v>-1.0804134106377616</v>
      </c>
      <c r="AJ1793" s="7" t="s">
        <v>16414</v>
      </c>
      <c r="AK1793" s="6" t="str">
        <f t="shared" si="875"/>
        <v>=3967*10000</v>
      </c>
      <c r="AL1793" s="1">
        <f>3967*10000</f>
        <v>39670000</v>
      </c>
      <c r="AM1793" s="8">
        <f t="shared" si="861"/>
        <v>7.0715249662618079E-2</v>
      </c>
      <c r="AN1793" s="7" t="s">
        <v>16415</v>
      </c>
      <c r="AO1793" s="6" t="str">
        <f t="shared" si="876"/>
        <v>=3705*10000</v>
      </c>
      <c r="AP1793" s="1">
        <f>3705*10000</f>
        <v>37050000</v>
      </c>
      <c r="AQ1793" s="8">
        <f t="shared" si="862"/>
        <v>0.53734439834024894</v>
      </c>
      <c r="AR1793" s="7" t="s">
        <v>16416</v>
      </c>
      <c r="AS1793" s="6" t="str">
        <f t="shared" si="877"/>
        <v>=2410*10000</v>
      </c>
      <c r="AT1793" s="1">
        <f>2410*10000</f>
        <v>24100000</v>
      </c>
      <c r="AU1793" s="8">
        <f t="shared" si="863"/>
        <v>1.1614349775784754</v>
      </c>
      <c r="AV1793" s="7" t="s">
        <v>16417</v>
      </c>
      <c r="AW1793" s="6" t="str">
        <f t="shared" si="878"/>
        <v>=1115*10000</v>
      </c>
      <c r="AX1793" s="1">
        <f>1115*10000</f>
        <v>11150000</v>
      </c>
      <c r="AY1793" s="10">
        <f t="shared" si="864"/>
        <v>-0.8140737035184259</v>
      </c>
      <c r="AZ1793" s="7" t="s">
        <v>16418</v>
      </c>
      <c r="BA1793" s="6" t="str">
        <f t="shared" si="879"/>
        <v>=5997*10000</v>
      </c>
      <c r="BB1793" s="1">
        <f>5997*10000</f>
        <v>59970000</v>
      </c>
      <c r="BC1793" s="8">
        <f t="shared" si="865"/>
        <v>0.22262996941896024</v>
      </c>
      <c r="BD1793" s="7" t="s">
        <v>16419</v>
      </c>
      <c r="BE1793" s="6" t="str">
        <f t="shared" si="880"/>
        <v>=4905*10000</v>
      </c>
      <c r="BF1793" s="1">
        <f>4905*10000</f>
        <v>49050000</v>
      </c>
      <c r="BG1793" s="8">
        <f t="shared" si="866"/>
        <v>0.73936170212765961</v>
      </c>
      <c r="BH1793" s="7" t="s">
        <v>16420</v>
      </c>
      <c r="BI1793" s="6" t="str">
        <f t="shared" si="881"/>
        <v>=2820*10000</v>
      </c>
      <c r="BJ1793" s="1">
        <f>2820*10000</f>
        <v>28200000</v>
      </c>
      <c r="BK1793" s="7" t="s">
        <v>16421</v>
      </c>
      <c r="BL1793" s="1" t="str">
        <f t="shared" si="852"/>
        <v>=1066*10000</v>
      </c>
      <c r="BM1793" s="16">
        <f t="shared" si="867"/>
        <v>1.6454033771106942</v>
      </c>
      <c r="BN1793" s="1">
        <f>1066*10000</f>
        <v>10660000</v>
      </c>
    </row>
    <row r="1794" spans="1:66">
      <c r="A1794" s="17">
        <v>450</v>
      </c>
      <c r="B1794">
        <v>603505</v>
      </c>
      <c r="C1794" t="s">
        <v>31</v>
      </c>
      <c r="D1794" s="6" t="s">
        <v>251</v>
      </c>
      <c r="E1794" s="7" t="str">
        <f t="shared" ref="E1794:E1857" si="882">"="&amp;D1794</f>
        <v>=10.43*100000000</v>
      </c>
      <c r="F1794" s="1">
        <f>10.43*100000000</f>
        <v>1043000000</v>
      </c>
      <c r="G1794" s="8">
        <f t="shared" si="853"/>
        <v>0.61981674173008228</v>
      </c>
      <c r="H1794" s="6" t="s">
        <v>5996</v>
      </c>
      <c r="I1794" s="6" t="str">
        <f t="shared" si="868"/>
        <v>=6.439*100000000</v>
      </c>
      <c r="J1794" s="1">
        <f>6.439*100000000</f>
        <v>643900000</v>
      </c>
      <c r="K1794" s="10">
        <f t="shared" si="854"/>
        <v>0.54523638108951289</v>
      </c>
      <c r="L1794" s="6" t="s">
        <v>11637</v>
      </c>
      <c r="M1794" s="6" t="str">
        <f t="shared" si="869"/>
        <v>=4.167*100000000</v>
      </c>
      <c r="N1794" s="1">
        <f>4.167*100000000</f>
        <v>416700000</v>
      </c>
      <c r="O1794" s="8">
        <f t="shared" si="855"/>
        <v>1.4686018957345972</v>
      </c>
      <c r="P1794" s="6" t="s">
        <v>6971</v>
      </c>
      <c r="Q1794" s="6" t="str">
        <f t="shared" si="870"/>
        <v>=1.688*100000000</v>
      </c>
      <c r="R1794" s="11">
        <f>1.688*100000000</f>
        <v>168800000</v>
      </c>
      <c r="S1794" s="8">
        <f t="shared" si="856"/>
        <v>-0.80802911406800859</v>
      </c>
      <c r="T1794" s="6" t="s">
        <v>16422</v>
      </c>
      <c r="U1794" s="6" t="str">
        <f t="shared" si="871"/>
        <v>=8.793*100000000</v>
      </c>
      <c r="V1794" s="1">
        <f>8.793*100000000</f>
        <v>879299999.99999988</v>
      </c>
      <c r="W1794" s="8">
        <f t="shared" si="857"/>
        <v>0.57298747763864022</v>
      </c>
      <c r="X1794" s="6" t="s">
        <v>6171</v>
      </c>
      <c r="Y1794" s="6" t="str">
        <f t="shared" si="872"/>
        <v>=5.590*100000000</v>
      </c>
      <c r="Z1794" s="1">
        <f>5.59*100000000</f>
        <v>559000000</v>
      </c>
      <c r="AA1794" s="8">
        <f t="shared" si="858"/>
        <v>0.72637430512662138</v>
      </c>
      <c r="AB1794" s="6" t="s">
        <v>16423</v>
      </c>
      <c r="AC1794" s="6" t="str">
        <f t="shared" si="873"/>
        <v>=3.238*100000000</v>
      </c>
      <c r="AD1794" s="1">
        <f>3.238*100000000</f>
        <v>323800000</v>
      </c>
      <c r="AE1794" s="8">
        <f t="shared" si="859"/>
        <v>1.6760330578512397</v>
      </c>
      <c r="AF1794" s="6" t="s">
        <v>16424</v>
      </c>
      <c r="AG1794" s="6" t="str">
        <f t="shared" si="874"/>
        <v>=1.210*100000000</v>
      </c>
      <c r="AH1794" s="1">
        <f>1.21*100000000</f>
        <v>121000000</v>
      </c>
      <c r="AI1794" s="8">
        <f t="shared" si="860"/>
        <v>-0.85039564787339261</v>
      </c>
      <c r="AJ1794" s="6" t="s">
        <v>16425</v>
      </c>
      <c r="AK1794" s="6" t="str">
        <f t="shared" si="875"/>
        <v>=8.088*100000000</v>
      </c>
      <c r="AL1794" s="1">
        <f>8.088*100000000</f>
        <v>808799999.99999988</v>
      </c>
      <c r="AM1794" s="8">
        <f t="shared" si="861"/>
        <v>0.48813247470101173</v>
      </c>
      <c r="AN1794" s="6" t="s">
        <v>1510</v>
      </c>
      <c r="AO1794" s="6" t="str">
        <f t="shared" si="876"/>
        <v>=5.435*100000000</v>
      </c>
      <c r="AP1794" s="1">
        <f>5.435*100000000</f>
        <v>543500000</v>
      </c>
      <c r="AQ1794" s="8">
        <f t="shared" si="862"/>
        <v>0.51900503074343207</v>
      </c>
      <c r="AR1794" s="6" t="s">
        <v>10027</v>
      </c>
      <c r="AS1794" s="6" t="str">
        <f t="shared" si="877"/>
        <v>=3.578*100000000</v>
      </c>
      <c r="AT1794" s="1">
        <f>3.578*100000000</f>
        <v>357800000</v>
      </c>
      <c r="AU1794" s="8">
        <f t="shared" si="863"/>
        <v>1.7167805618830676</v>
      </c>
      <c r="AV1794" s="6" t="s">
        <v>4310</v>
      </c>
      <c r="AW1794" s="6" t="str">
        <f t="shared" si="878"/>
        <v>=1.317*100000000</v>
      </c>
      <c r="AX1794" s="1">
        <f>1.317*100000000</f>
        <v>131700000</v>
      </c>
      <c r="AY1794" s="10">
        <f t="shared" si="864"/>
        <v>-0.77586793737236215</v>
      </c>
      <c r="AZ1794" s="6" t="s">
        <v>3836</v>
      </c>
      <c r="BA1794" s="6" t="str">
        <f t="shared" si="879"/>
        <v>=5.876*100000000</v>
      </c>
      <c r="BB1794" s="1">
        <f>5.876*100000000</f>
        <v>587600000</v>
      </c>
      <c r="BC1794" s="8">
        <f t="shared" si="865"/>
        <v>0.59630535180657429</v>
      </c>
      <c r="BD1794" s="6" t="s">
        <v>5719</v>
      </c>
      <c r="BE1794" s="6" t="str">
        <f t="shared" si="880"/>
        <v>=3.681*100000000</v>
      </c>
      <c r="BF1794" s="1">
        <f>3.681*100000000</f>
        <v>368100000</v>
      </c>
      <c r="BG1794" s="8">
        <f t="shared" si="866"/>
        <v>0.67470427661510468</v>
      </c>
      <c r="BH1794" s="6" t="s">
        <v>16426</v>
      </c>
      <c r="BI1794" s="6" t="str">
        <f t="shared" si="881"/>
        <v>=2.198*100000000</v>
      </c>
      <c r="BJ1794" s="1">
        <f>2.198*100000000</f>
        <v>219800000</v>
      </c>
      <c r="BK1794" s="7" t="s">
        <v>15529</v>
      </c>
      <c r="BL1794" s="1" t="str">
        <f t="shared" ref="BL1794:BL1857" si="883">"="&amp;BK1794</f>
        <v>=9895*10000</v>
      </c>
      <c r="BM1794" s="16">
        <f t="shared" si="867"/>
        <v>1.2213239009600809</v>
      </c>
      <c r="BN1794" s="1">
        <f>9895*10000</f>
        <v>98950000</v>
      </c>
    </row>
    <row r="1795" spans="1:66">
      <c r="A1795" s="18"/>
      <c r="B1795">
        <v>603505</v>
      </c>
      <c r="C1795" t="s">
        <v>48</v>
      </c>
      <c r="D1795" s="6" t="s">
        <v>5789</v>
      </c>
      <c r="E1795" s="7" t="str">
        <f t="shared" si="882"/>
        <v>=3.068*100000000</v>
      </c>
      <c r="F1795" s="1">
        <f>3.068*100000000</f>
        <v>306800000</v>
      </c>
      <c r="G1795" s="8">
        <f t="shared" ref="G1795:G1858" si="884">(F1795-J1795)/J1795</f>
        <v>0.44172932330827069</v>
      </c>
      <c r="H1795" s="6" t="s">
        <v>16427</v>
      </c>
      <c r="I1795" s="6" t="str">
        <f t="shared" si="868"/>
        <v>=2.128*100000000</v>
      </c>
      <c r="J1795" s="1">
        <f>2.128*100000000</f>
        <v>212800000</v>
      </c>
      <c r="K1795" s="10">
        <f t="shared" ref="K1795:K1858" si="885">(J1795-N1795)/N1795</f>
        <v>0.64324324324324322</v>
      </c>
      <c r="L1795" s="6" t="s">
        <v>10489</v>
      </c>
      <c r="M1795" s="6" t="str">
        <f t="shared" si="869"/>
        <v>=1.295*100000000</v>
      </c>
      <c r="N1795" s="1">
        <f>1.295*100000000</f>
        <v>129500000</v>
      </c>
      <c r="O1795" s="8">
        <f t="shared" ref="O1795:O1858" si="886">(N1795-R1795)/R1795</f>
        <v>1.4690181124880839</v>
      </c>
      <c r="P1795" s="7" t="s">
        <v>16428</v>
      </c>
      <c r="Q1795" s="6" t="str">
        <f t="shared" si="870"/>
        <v>=5245*10000</v>
      </c>
      <c r="R1795" s="11">
        <f>5245*10000</f>
        <v>52450000</v>
      </c>
      <c r="S1795" s="8">
        <f t="shared" ref="S1795:S1858" si="887">(R1795-V1795)/V1795</f>
        <v>-0.82147719537100072</v>
      </c>
      <c r="T1795" s="6" t="s">
        <v>15795</v>
      </c>
      <c r="U1795" s="6" t="str">
        <f t="shared" si="871"/>
        <v>=2.938*100000000</v>
      </c>
      <c r="V1795" s="1">
        <f>2.938*100000000</f>
        <v>293800000</v>
      </c>
      <c r="W1795" s="8">
        <f t="shared" ref="W1795:W1858" si="888">(V1795-Z1795)/Z1795</f>
        <v>0.40843720038350911</v>
      </c>
      <c r="X1795" s="6" t="s">
        <v>3665</v>
      </c>
      <c r="Y1795" s="6" t="str">
        <f t="shared" si="872"/>
        <v>=2.086*100000000</v>
      </c>
      <c r="Z1795" s="1">
        <f>2.086*100000000</f>
        <v>208600000</v>
      </c>
      <c r="AA1795" s="8">
        <f t="shared" ref="AA1795:AA1858" si="889">(Z1795-AD1795)/AD1795</f>
        <v>0.81549173194081814</v>
      </c>
      <c r="AB1795" s="6" t="s">
        <v>7782</v>
      </c>
      <c r="AC1795" s="6" t="str">
        <f t="shared" si="873"/>
        <v>=1.149*100000000</v>
      </c>
      <c r="AD1795" s="1">
        <f>1.149*100000000</f>
        <v>114900000</v>
      </c>
      <c r="AE1795" s="8">
        <f t="shared" ref="AE1795:AE1858" si="890">(AD1795-AH1795)/AH1795</f>
        <v>1.5641597857621066</v>
      </c>
      <c r="AF1795" s="7" t="s">
        <v>16429</v>
      </c>
      <c r="AG1795" s="6" t="str">
        <f t="shared" si="874"/>
        <v>=4481*10000</v>
      </c>
      <c r="AH1795" s="1">
        <f>4481*10000</f>
        <v>44810000</v>
      </c>
      <c r="AI1795" s="8">
        <f t="shared" ref="AI1795:AI1858" si="891">(AH1795-AL1795)/AL1795</f>
        <v>-0.85132714001327137</v>
      </c>
      <c r="AJ1795" s="6" t="s">
        <v>9644</v>
      </c>
      <c r="AK1795" s="6" t="str">
        <f t="shared" si="875"/>
        <v>=3.014*100000000</v>
      </c>
      <c r="AL1795" s="1">
        <f>3.014*100000000</f>
        <v>301400000</v>
      </c>
      <c r="AM1795" s="8">
        <f t="shared" ref="AM1795:AM1858" si="892">(AL1795-AP1795)/AP1795</f>
        <v>0.31500872600349056</v>
      </c>
      <c r="AN1795" s="6" t="s">
        <v>8172</v>
      </c>
      <c r="AO1795" s="6" t="str">
        <f t="shared" si="876"/>
        <v>=2.292*100000000</v>
      </c>
      <c r="AP1795" s="1">
        <f>2.292*100000000</f>
        <v>229199999.99999997</v>
      </c>
      <c r="AQ1795" s="8">
        <f t="shared" ref="AQ1795:AQ1858" si="893">(AP1795-AT1795)/AT1795</f>
        <v>0.51087673038892534</v>
      </c>
      <c r="AR1795" s="6" t="s">
        <v>6592</v>
      </c>
      <c r="AS1795" s="6" t="str">
        <f t="shared" si="877"/>
        <v>=1.517*100000000</v>
      </c>
      <c r="AT1795" s="1">
        <f>1.517*100000000</f>
        <v>151700000</v>
      </c>
      <c r="AU1795" s="8">
        <f t="shared" ref="AU1795:AU1858" si="894">(AT1795-AX1795)/AX1795</f>
        <v>1.6623376623376624</v>
      </c>
      <c r="AV1795" s="7" t="s">
        <v>16430</v>
      </c>
      <c r="AW1795" s="6" t="str">
        <f t="shared" si="878"/>
        <v>=5698*10000</v>
      </c>
      <c r="AX1795" s="1">
        <f>5698*10000</f>
        <v>56980000</v>
      </c>
      <c r="AY1795" s="10">
        <f t="shared" ref="AY1795:AY1858" si="895">(AX1795-BB1795)/BB1795</f>
        <v>-0.70073529411764701</v>
      </c>
      <c r="AZ1795" s="6" t="s">
        <v>16431</v>
      </c>
      <c r="BA1795" s="6" t="str">
        <f t="shared" si="879"/>
        <v>=1.904*100000000</v>
      </c>
      <c r="BB1795" s="1">
        <f>1.904*100000000</f>
        <v>190400000</v>
      </c>
      <c r="BC1795" s="8">
        <f t="shared" ref="BC1795:BC1858" si="896">(BB1795-BF1795)/BF1795</f>
        <v>0.94147037830121338</v>
      </c>
      <c r="BD1795" s="7" t="s">
        <v>16432</v>
      </c>
      <c r="BE1795" s="6" t="str">
        <f t="shared" si="880"/>
        <v>=9807*10000</v>
      </c>
      <c r="BF1795" s="1">
        <f>9807*10000</f>
        <v>98070000</v>
      </c>
      <c r="BG1795" s="8">
        <f t="shared" ref="BG1795:BG1858" si="897">(BF1795-BJ1795)/BJ1795</f>
        <v>0.64851235501765003</v>
      </c>
      <c r="BH1795" s="7" t="s">
        <v>16433</v>
      </c>
      <c r="BI1795" s="6" t="str">
        <f t="shared" si="881"/>
        <v>=5949*10000</v>
      </c>
      <c r="BJ1795" s="1">
        <f>5949*10000</f>
        <v>59490000</v>
      </c>
      <c r="BK1795" s="7" t="s">
        <v>16434</v>
      </c>
      <c r="BL1795" s="1" t="str">
        <f t="shared" si="883"/>
        <v>=2886*10000</v>
      </c>
      <c r="BM1795" s="16">
        <f t="shared" ref="BM1795:BM1858" si="898">(BJ1795-BN1795)/BN1795</f>
        <v>1.0613305613305613</v>
      </c>
      <c r="BN1795" s="1">
        <f>2886*10000</f>
        <v>28860000</v>
      </c>
    </row>
    <row r="1796" spans="1:66">
      <c r="A1796" s="18"/>
      <c r="B1796">
        <v>603505</v>
      </c>
      <c r="C1796" t="s">
        <v>58</v>
      </c>
      <c r="D1796" s="6" t="s">
        <v>9238</v>
      </c>
      <c r="E1796" s="7" t="str">
        <f t="shared" si="882"/>
        <v>=3.013*100000000</v>
      </c>
      <c r="F1796" s="1">
        <f>3.013*100000000</f>
        <v>301300000</v>
      </c>
      <c r="G1796" s="8">
        <f t="shared" si="884"/>
        <v>0.45415057915057916</v>
      </c>
      <c r="H1796" s="6" t="s">
        <v>1446</v>
      </c>
      <c r="I1796" s="6" t="str">
        <f t="shared" si="868"/>
        <v>=2.072*100000000</v>
      </c>
      <c r="J1796" s="1">
        <f>2.072*100000000</f>
        <v>207200000</v>
      </c>
      <c r="K1796" s="10">
        <f t="shared" si="885"/>
        <v>0.65759999999999996</v>
      </c>
      <c r="L1796" s="6" t="s">
        <v>2838</v>
      </c>
      <c r="M1796" s="6" t="str">
        <f t="shared" si="869"/>
        <v>=1.250*100000000</v>
      </c>
      <c r="N1796" s="1">
        <f>1.25*100000000</f>
        <v>125000000</v>
      </c>
      <c r="O1796" s="8">
        <f t="shared" si="886"/>
        <v>1.4777006937561943</v>
      </c>
      <c r="P1796" s="7" t="s">
        <v>16435</v>
      </c>
      <c r="Q1796" s="6" t="str">
        <f t="shared" si="870"/>
        <v>=5045*10000</v>
      </c>
      <c r="R1796" s="11">
        <f>5045*10000</f>
        <v>50450000</v>
      </c>
      <c r="S1796" s="8">
        <f t="shared" si="887"/>
        <v>-0.8268702814001373</v>
      </c>
      <c r="T1796" s="6" t="s">
        <v>15610</v>
      </c>
      <c r="U1796" s="6" t="str">
        <f t="shared" si="871"/>
        <v>=2.914*100000000</v>
      </c>
      <c r="V1796" s="1">
        <f>2.914*100000000</f>
        <v>291400000</v>
      </c>
      <c r="W1796" s="8">
        <f t="shared" si="888"/>
        <v>0.40163540163540146</v>
      </c>
      <c r="X1796" s="6" t="s">
        <v>16436</v>
      </c>
      <c r="Y1796" s="6" t="str">
        <f t="shared" si="872"/>
        <v>=2.079*100000000</v>
      </c>
      <c r="Z1796" s="1">
        <f>2.079*100000000</f>
        <v>207900000.00000003</v>
      </c>
      <c r="AA1796" s="8">
        <f t="shared" si="889"/>
        <v>0.81730769230769285</v>
      </c>
      <c r="AB1796" s="6" t="s">
        <v>9069</v>
      </c>
      <c r="AC1796" s="6" t="str">
        <f t="shared" si="873"/>
        <v>=1.144*100000000</v>
      </c>
      <c r="AD1796" s="1">
        <f>1.144*100000000</f>
        <v>114399999.99999999</v>
      </c>
      <c r="AE1796" s="8">
        <f t="shared" si="890"/>
        <v>1.5754164790634846</v>
      </c>
      <c r="AF1796" s="7" t="s">
        <v>16437</v>
      </c>
      <c r="AG1796" s="6" t="str">
        <f t="shared" si="874"/>
        <v>=4442*10000</v>
      </c>
      <c r="AH1796" s="1">
        <f>4442*10000</f>
        <v>44420000</v>
      </c>
      <c r="AI1796" s="8">
        <f t="shared" si="891"/>
        <v>-0.85068907563025209</v>
      </c>
      <c r="AJ1796" s="6" t="s">
        <v>13163</v>
      </c>
      <c r="AK1796" s="6" t="str">
        <f t="shared" si="875"/>
        <v>=2.975*100000000</v>
      </c>
      <c r="AL1796" s="1">
        <f>2.975*100000000</f>
        <v>297500000</v>
      </c>
      <c r="AM1796" s="8">
        <f t="shared" si="892"/>
        <v>0.31695440460380697</v>
      </c>
      <c r="AN1796" s="6" t="s">
        <v>7145</v>
      </c>
      <c r="AO1796" s="6" t="str">
        <f t="shared" si="876"/>
        <v>=2.259*100000000</v>
      </c>
      <c r="AP1796" s="1">
        <f>2.259*100000000</f>
        <v>225900000</v>
      </c>
      <c r="AQ1796" s="8">
        <f t="shared" si="893"/>
        <v>0.49108910891089108</v>
      </c>
      <c r="AR1796" s="6" t="s">
        <v>4027</v>
      </c>
      <c r="AS1796" s="6" t="str">
        <f t="shared" si="877"/>
        <v>=1.515*100000000</v>
      </c>
      <c r="AT1796" s="1">
        <f>1.515*100000000</f>
        <v>151500000</v>
      </c>
      <c r="AU1796" s="8">
        <f t="shared" si="894"/>
        <v>1.6625659050966608</v>
      </c>
      <c r="AV1796" s="7" t="s">
        <v>16438</v>
      </c>
      <c r="AW1796" s="6" t="str">
        <f t="shared" si="878"/>
        <v>=5690*10000</v>
      </c>
      <c r="AX1796" s="1">
        <f>5690*10000</f>
        <v>56900000</v>
      </c>
      <c r="AY1796" s="10">
        <f t="shared" si="895"/>
        <v>-0.69620928990923647</v>
      </c>
      <c r="AZ1796" s="6" t="s">
        <v>12245</v>
      </c>
      <c r="BA1796" s="6" t="str">
        <f t="shared" si="879"/>
        <v>=1.873*100000000</v>
      </c>
      <c r="BB1796" s="1">
        <f>1.873*100000000</f>
        <v>187300000</v>
      </c>
      <c r="BC1796" s="8">
        <f t="shared" si="896"/>
        <v>0.94395433316035293</v>
      </c>
      <c r="BD1796" s="7" t="s">
        <v>16439</v>
      </c>
      <c r="BE1796" s="6" t="str">
        <f t="shared" si="880"/>
        <v>=9635*10000</v>
      </c>
      <c r="BF1796" s="1">
        <f>9635*10000</f>
        <v>96350000</v>
      </c>
      <c r="BG1796" s="8">
        <f t="shared" si="897"/>
        <v>0.63972089857045611</v>
      </c>
      <c r="BH1796" s="7" t="s">
        <v>16440</v>
      </c>
      <c r="BI1796" s="6" t="str">
        <f t="shared" si="881"/>
        <v>=5876*10000</v>
      </c>
      <c r="BJ1796" s="1">
        <f>5876*10000</f>
        <v>58760000</v>
      </c>
      <c r="BK1796" s="7" t="s">
        <v>15752</v>
      </c>
      <c r="BL1796" s="1" t="str">
        <f t="shared" si="883"/>
        <v>=2830*10000</v>
      </c>
      <c r="BM1796" s="16">
        <f t="shared" si="898"/>
        <v>1.0763250883392226</v>
      </c>
      <c r="BN1796" s="1">
        <f>2830*10000</f>
        <v>28300000</v>
      </c>
    </row>
    <row r="1797" spans="1:66">
      <c r="A1797" s="19"/>
      <c r="B1797">
        <v>603505</v>
      </c>
      <c r="C1797" t="s">
        <v>68</v>
      </c>
      <c r="D1797" s="6" t="s">
        <v>15478</v>
      </c>
      <c r="E1797" s="7" t="str">
        <f t="shared" si="882"/>
        <v>=2.507*100000000</v>
      </c>
      <c r="F1797" s="1">
        <f>2.507*100000000</f>
        <v>250700000</v>
      </c>
      <c r="G1797" s="8">
        <f t="shared" si="884"/>
        <v>0.43667621776504301</v>
      </c>
      <c r="H1797" s="6" t="s">
        <v>8302</v>
      </c>
      <c r="I1797" s="6" t="str">
        <f t="shared" si="868"/>
        <v>=1.745*100000000</v>
      </c>
      <c r="J1797" s="1">
        <f>1.745*100000000</f>
        <v>174500000</v>
      </c>
      <c r="K1797" s="10">
        <f t="shared" si="885"/>
        <v>0.7041015625</v>
      </c>
      <c r="L1797" s="6" t="s">
        <v>16441</v>
      </c>
      <c r="M1797" s="6" t="str">
        <f t="shared" si="869"/>
        <v>=1.024*100000000</v>
      </c>
      <c r="N1797" s="1">
        <f>1.024*100000000</f>
        <v>102400000</v>
      </c>
      <c r="O1797" s="8">
        <f t="shared" si="886"/>
        <v>1.3567318757192175</v>
      </c>
      <c r="P1797" s="7" t="s">
        <v>10449</v>
      </c>
      <c r="Q1797" s="6" t="str">
        <f t="shared" si="870"/>
        <v>=4345*10000</v>
      </c>
      <c r="R1797" s="11">
        <f>4345*10000</f>
        <v>43450000</v>
      </c>
      <c r="S1797" s="8">
        <f t="shared" si="887"/>
        <v>-0.82351746547522342</v>
      </c>
      <c r="T1797" s="6" t="s">
        <v>10035</v>
      </c>
      <c r="U1797" s="6" t="str">
        <f t="shared" si="871"/>
        <v>=2.462*100000000</v>
      </c>
      <c r="V1797" s="1">
        <f>2.462*100000000</f>
        <v>246200000.00000003</v>
      </c>
      <c r="W1797" s="8">
        <f t="shared" si="888"/>
        <v>0.41902017291066301</v>
      </c>
      <c r="X1797" s="6" t="s">
        <v>16442</v>
      </c>
      <c r="Y1797" s="6" t="str">
        <f t="shared" si="872"/>
        <v>=1.735*100000000</v>
      </c>
      <c r="Z1797" s="1">
        <f>1.735*100000000</f>
        <v>173500000</v>
      </c>
      <c r="AA1797" s="8">
        <f t="shared" si="889"/>
        <v>0.85482146675219162</v>
      </c>
      <c r="AB1797" s="7" t="s">
        <v>16443</v>
      </c>
      <c r="AC1797" s="6" t="str">
        <f t="shared" si="873"/>
        <v>=9354*10000</v>
      </c>
      <c r="AD1797" s="1">
        <f>9354*10000</f>
        <v>93540000</v>
      </c>
      <c r="AE1797" s="8">
        <f t="shared" si="890"/>
        <v>1.7081644470179502</v>
      </c>
      <c r="AF1797" s="7" t="s">
        <v>16444</v>
      </c>
      <c r="AG1797" s="6" t="str">
        <f t="shared" si="874"/>
        <v>=3454*10000</v>
      </c>
      <c r="AH1797" s="1">
        <f>3454*10000</f>
        <v>34540000</v>
      </c>
      <c r="AI1797" s="8">
        <f t="shared" si="891"/>
        <v>-0.84662522202486679</v>
      </c>
      <c r="AJ1797" s="6" t="s">
        <v>2869</v>
      </c>
      <c r="AK1797" s="6" t="str">
        <f t="shared" si="875"/>
        <v>=2.252*100000000</v>
      </c>
      <c r="AL1797" s="1">
        <f>2.252*100000000</f>
        <v>225199999.99999997</v>
      </c>
      <c r="AM1797" s="8">
        <f t="shared" si="892"/>
        <v>0.34688995215310986</v>
      </c>
      <c r="AN1797" s="6" t="s">
        <v>6408</v>
      </c>
      <c r="AO1797" s="6" t="str">
        <f t="shared" si="876"/>
        <v>=1.672*100000000</v>
      </c>
      <c r="AP1797" s="1">
        <f>1.672*100000000</f>
        <v>167200000</v>
      </c>
      <c r="AQ1797" s="8">
        <f t="shared" si="893"/>
        <v>0.50089766606822239</v>
      </c>
      <c r="AR1797" s="6" t="s">
        <v>5210</v>
      </c>
      <c r="AS1797" s="6" t="str">
        <f t="shared" si="877"/>
        <v>=1.114*100000000</v>
      </c>
      <c r="AT1797" s="1">
        <f>1.114*100000000</f>
        <v>111400000.00000001</v>
      </c>
      <c r="AU1797" s="8">
        <f t="shared" si="894"/>
        <v>1.6695422957105204</v>
      </c>
      <c r="AV1797" s="7" t="s">
        <v>16445</v>
      </c>
      <c r="AW1797" s="6" t="str">
        <f t="shared" si="878"/>
        <v>=4173*10000</v>
      </c>
      <c r="AX1797" s="1">
        <f>4173*10000</f>
        <v>41730000</v>
      </c>
      <c r="AY1797" s="10">
        <f t="shared" si="895"/>
        <v>-0.69650909090909086</v>
      </c>
      <c r="AZ1797" s="6" t="s">
        <v>4981</v>
      </c>
      <c r="BA1797" s="6" t="str">
        <f t="shared" si="879"/>
        <v>=1.375*100000000</v>
      </c>
      <c r="BB1797" s="1">
        <f>1.375*100000000</f>
        <v>137500000</v>
      </c>
      <c r="BC1797" s="8">
        <f t="shared" si="896"/>
        <v>0.94236474078259647</v>
      </c>
      <c r="BD1797" s="7" t="s">
        <v>7613</v>
      </c>
      <c r="BE1797" s="6" t="str">
        <f t="shared" si="880"/>
        <v>=7079*10000</v>
      </c>
      <c r="BF1797" s="1">
        <f>7079*10000</f>
        <v>70790000</v>
      </c>
      <c r="BG1797" s="8">
        <f t="shared" si="897"/>
        <v>0.67589962121212122</v>
      </c>
      <c r="BH1797" s="7" t="s">
        <v>16446</v>
      </c>
      <c r="BI1797" s="6" t="str">
        <f t="shared" si="881"/>
        <v>=4224*10000</v>
      </c>
      <c r="BJ1797" s="1">
        <f>4224*10000</f>
        <v>42240000</v>
      </c>
      <c r="BK1797" s="7" t="s">
        <v>16447</v>
      </c>
      <c r="BL1797" s="1" t="str">
        <f t="shared" si="883"/>
        <v>=2031*10000</v>
      </c>
      <c r="BM1797" s="16">
        <f t="shared" si="898"/>
        <v>1.0797636632200887</v>
      </c>
      <c r="BN1797" s="1">
        <f>2031*10000</f>
        <v>20310000</v>
      </c>
    </row>
    <row r="1798" spans="1:66">
      <c r="A1798" s="17">
        <v>451</v>
      </c>
      <c r="B1798">
        <v>603527</v>
      </c>
      <c r="C1798" t="s">
        <v>31</v>
      </c>
      <c r="D1798" s="6" t="s">
        <v>9001</v>
      </c>
      <c r="E1798" s="7" t="str">
        <f t="shared" si="882"/>
        <v>=67.80*100000000</v>
      </c>
      <c r="F1798" s="1">
        <f>67.8*100000000</f>
        <v>6780000000</v>
      </c>
      <c r="G1798" s="8">
        <f t="shared" si="884"/>
        <v>0.3936279547790339</v>
      </c>
      <c r="H1798" s="6" t="s">
        <v>16448</v>
      </c>
      <c r="I1798" s="6" t="str">
        <f t="shared" si="868"/>
        <v>=48.65*100000000</v>
      </c>
      <c r="J1798" s="1">
        <f>48.65*100000000</f>
        <v>4865000000</v>
      </c>
      <c r="K1798" s="10">
        <f t="shared" si="885"/>
        <v>0.57087504036164027</v>
      </c>
      <c r="L1798" s="6" t="s">
        <v>5081</v>
      </c>
      <c r="M1798" s="6" t="str">
        <f t="shared" si="869"/>
        <v>=30.97*100000000</v>
      </c>
      <c r="N1798" s="1">
        <f>30.97*100000000</f>
        <v>3097000000</v>
      </c>
      <c r="O1798" s="8">
        <f t="shared" si="886"/>
        <v>1.351556567957479</v>
      </c>
      <c r="P1798" s="6" t="s">
        <v>1823</v>
      </c>
      <c r="Q1798" s="6" t="str">
        <f t="shared" si="870"/>
        <v>=13.17*100000000</v>
      </c>
      <c r="R1798" s="11">
        <f>13.17*100000000</f>
        <v>1317000000</v>
      </c>
      <c r="S1798" s="8">
        <f t="shared" si="887"/>
        <v>-0.65667361835245042</v>
      </c>
      <c r="T1798" s="6" t="s">
        <v>5240</v>
      </c>
      <c r="U1798" s="6" t="str">
        <f t="shared" si="871"/>
        <v>=38.36*100000000</v>
      </c>
      <c r="V1798" s="1">
        <f>38.36*100000000</f>
        <v>3836000000</v>
      </c>
      <c r="W1798" s="8">
        <f t="shared" si="888"/>
        <v>0.47481737793156481</v>
      </c>
      <c r="X1798" s="6" t="s">
        <v>1325</v>
      </c>
      <c r="Y1798" s="6" t="str">
        <f t="shared" si="872"/>
        <v>=26.01*100000000</v>
      </c>
      <c r="Z1798" s="1">
        <f>26.01*100000000</f>
        <v>2601000000</v>
      </c>
      <c r="AA1798" s="8">
        <f t="shared" si="889"/>
        <v>0.68349514563106795</v>
      </c>
      <c r="AB1798" s="6" t="s">
        <v>362</v>
      </c>
      <c r="AC1798" s="6" t="str">
        <f t="shared" si="873"/>
        <v>=15.45*100000000</v>
      </c>
      <c r="AD1798" s="1">
        <f>15.45*100000000</f>
        <v>1545000000</v>
      </c>
      <c r="AE1798" s="8">
        <f t="shared" si="890"/>
        <v>1.3660030627871362</v>
      </c>
      <c r="AF1798" s="6" t="s">
        <v>5307</v>
      </c>
      <c r="AG1798" s="6" t="str">
        <f t="shared" si="874"/>
        <v>=6.530*100000000</v>
      </c>
      <c r="AH1798" s="1">
        <f>6.53*100000000</f>
        <v>653000000</v>
      </c>
      <c r="AI1798" s="8">
        <f t="shared" si="891"/>
        <v>-0.79745657568238215</v>
      </c>
      <c r="AJ1798" s="6" t="s">
        <v>16449</v>
      </c>
      <c r="AK1798" s="6" t="str">
        <f t="shared" si="875"/>
        <v>=32.24*100000000</v>
      </c>
      <c r="AL1798" s="1">
        <f>32.24*100000000</f>
        <v>3224000000</v>
      </c>
      <c r="AM1798" s="8">
        <f t="shared" si="892"/>
        <v>0.35008375209380233</v>
      </c>
      <c r="AN1798" s="6" t="s">
        <v>16450</v>
      </c>
      <c r="AO1798" s="6" t="str">
        <f t="shared" si="876"/>
        <v>=23.88*100000000</v>
      </c>
      <c r="AP1798" s="1">
        <f>23.88*100000000</f>
        <v>2388000000</v>
      </c>
      <c r="AQ1798" s="8">
        <f t="shared" si="893"/>
        <v>0.53076923076923077</v>
      </c>
      <c r="AR1798" s="6" t="s">
        <v>357</v>
      </c>
      <c r="AS1798" s="6" t="str">
        <f t="shared" si="877"/>
        <v>=15.60*100000000</v>
      </c>
      <c r="AT1798" s="1">
        <f>15.6*100000000</f>
        <v>1560000000</v>
      </c>
      <c r="AU1798" s="8">
        <f t="shared" si="894"/>
        <v>1.1103896103896105</v>
      </c>
      <c r="AV1798" s="6" t="s">
        <v>8305</v>
      </c>
      <c r="AW1798" s="6" t="str">
        <f t="shared" si="878"/>
        <v>=7.392*100000000</v>
      </c>
      <c r="AX1798" s="1">
        <f>7.392*100000000</f>
        <v>739200000</v>
      </c>
      <c r="AY1798" s="10">
        <f t="shared" si="895"/>
        <v>-0.76964786537862262</v>
      </c>
      <c r="AZ1798" s="6" t="s">
        <v>16451</v>
      </c>
      <c r="BA1798" s="6" t="str">
        <f t="shared" si="879"/>
        <v>=32.09*100000000</v>
      </c>
      <c r="BB1798" s="1">
        <f>32.09*100000000</f>
        <v>3209000000.0000005</v>
      </c>
      <c r="BC1798" s="8">
        <f t="shared" si="896"/>
        <v>0.32877846790890292</v>
      </c>
      <c r="BD1798" s="6" t="s">
        <v>15467</v>
      </c>
      <c r="BE1798" s="6" t="str">
        <f t="shared" si="880"/>
        <v>=24.15*100000000</v>
      </c>
      <c r="BF1798" s="1">
        <f>24.15*100000000</f>
        <v>2415000000</v>
      </c>
      <c r="BG1798" s="8">
        <f t="shared" si="897"/>
        <v>0.52462121212121215</v>
      </c>
      <c r="BH1798" s="6" t="s">
        <v>8286</v>
      </c>
      <c r="BI1798" s="6" t="str">
        <f t="shared" si="881"/>
        <v>=15.84*100000000</v>
      </c>
      <c r="BJ1798" s="1">
        <f>15.84*100000000</f>
        <v>1584000000</v>
      </c>
      <c r="BK1798" s="6" t="s">
        <v>16452</v>
      </c>
      <c r="BL1798" s="1" t="str">
        <f t="shared" si="883"/>
        <v>=7.604*100000000</v>
      </c>
      <c r="BM1798" s="16">
        <f t="shared" si="898"/>
        <v>1.0831141504471331</v>
      </c>
      <c r="BN1798" s="1">
        <f>7.604*100000000</f>
        <v>760400000</v>
      </c>
    </row>
    <row r="1799" spans="1:66">
      <c r="A1799" s="18"/>
      <c r="B1799">
        <v>603527</v>
      </c>
      <c r="C1799" t="s">
        <v>48</v>
      </c>
      <c r="D1799" s="6" t="s">
        <v>1525</v>
      </c>
      <c r="E1799" s="7" t="str">
        <f t="shared" si="882"/>
        <v>=1.671*100000000</v>
      </c>
      <c r="F1799" s="1">
        <f>1.671*100000000</f>
        <v>167100000</v>
      </c>
      <c r="G1799" s="8">
        <f t="shared" si="884"/>
        <v>0.27557251908396946</v>
      </c>
      <c r="H1799" s="6" t="s">
        <v>7649</v>
      </c>
      <c r="I1799" s="6" t="str">
        <f t="shared" si="868"/>
        <v>=1.310*100000000</v>
      </c>
      <c r="J1799" s="1">
        <f>1.31*100000000</f>
        <v>131000000</v>
      </c>
      <c r="K1799" s="10">
        <f t="shared" si="885"/>
        <v>0.8455903071287687</v>
      </c>
      <c r="L1799" s="7" t="s">
        <v>16453</v>
      </c>
      <c r="M1799" s="6" t="str">
        <f t="shared" si="869"/>
        <v>=7098*10000</v>
      </c>
      <c r="N1799" s="1">
        <f>7098*10000</f>
        <v>70980000</v>
      </c>
      <c r="O1799" s="8">
        <f t="shared" si="886"/>
        <v>1.881851400730816</v>
      </c>
      <c r="P1799" s="7" t="s">
        <v>4187</v>
      </c>
      <c r="Q1799" s="6" t="str">
        <f t="shared" si="870"/>
        <v>=2463*10000</v>
      </c>
      <c r="R1799" s="11">
        <f>2463*10000</f>
        <v>24630000</v>
      </c>
      <c r="S1799" s="8">
        <f t="shared" si="887"/>
        <v>-0.66770102536427411</v>
      </c>
      <c r="T1799" s="7" t="s">
        <v>16454</v>
      </c>
      <c r="U1799" s="6" t="str">
        <f t="shared" si="871"/>
        <v>=7412*10000</v>
      </c>
      <c r="V1799" s="1">
        <f>7412*10000</f>
        <v>74120000</v>
      </c>
      <c r="W1799" s="8">
        <f t="shared" si="888"/>
        <v>0.25691029336950993</v>
      </c>
      <c r="X1799" s="7" t="s">
        <v>16455</v>
      </c>
      <c r="Y1799" s="6" t="str">
        <f t="shared" si="872"/>
        <v>=5897*10000</v>
      </c>
      <c r="Z1799" s="1">
        <f>5897*10000</f>
        <v>58970000</v>
      </c>
      <c r="AA1799" s="8">
        <f t="shared" si="889"/>
        <v>0.69746689694876218</v>
      </c>
      <c r="AB1799" s="7" t="s">
        <v>16456</v>
      </c>
      <c r="AC1799" s="6" t="str">
        <f t="shared" si="873"/>
        <v>=3474*10000</v>
      </c>
      <c r="AD1799" s="1">
        <f>3474*10000</f>
        <v>34740000</v>
      </c>
      <c r="AE1799" s="8">
        <f t="shared" si="890"/>
        <v>0.39967767929089443</v>
      </c>
      <c r="AF1799" s="7" t="s">
        <v>15133</v>
      </c>
      <c r="AG1799" s="6" t="str">
        <f t="shared" si="874"/>
        <v>=2482*10000</v>
      </c>
      <c r="AH1799" s="1">
        <f>2482*10000</f>
        <v>24820000</v>
      </c>
      <c r="AI1799" s="8">
        <f t="shared" si="891"/>
        <v>-0.76451612903225807</v>
      </c>
      <c r="AJ1799" s="6" t="s">
        <v>4444</v>
      </c>
      <c r="AK1799" s="6" t="str">
        <f t="shared" si="875"/>
        <v>=1.054*100000000</v>
      </c>
      <c r="AL1799" s="1">
        <f>1.054*100000000</f>
        <v>105400000</v>
      </c>
      <c r="AM1799" s="8">
        <f t="shared" si="892"/>
        <v>0.39510258107213764</v>
      </c>
      <c r="AN1799" s="7" t="s">
        <v>16457</v>
      </c>
      <c r="AO1799" s="6" t="str">
        <f t="shared" si="876"/>
        <v>=7555*10000</v>
      </c>
      <c r="AP1799" s="1">
        <f>7555*10000</f>
        <v>75550000</v>
      </c>
      <c r="AQ1799" s="8">
        <f t="shared" si="893"/>
        <v>0.58918805216659653</v>
      </c>
      <c r="AR1799" s="7" t="s">
        <v>5956</v>
      </c>
      <c r="AS1799" s="6" t="str">
        <f t="shared" si="877"/>
        <v>=4754*10000</v>
      </c>
      <c r="AT1799" s="1">
        <f>4754*10000</f>
        <v>47540000</v>
      </c>
      <c r="AU1799" s="8">
        <f t="shared" si="894"/>
        <v>2.6207159177456205</v>
      </c>
      <c r="AV1799" s="7" t="s">
        <v>16458</v>
      </c>
      <c r="AW1799" s="6" t="str">
        <f t="shared" si="878"/>
        <v>=1313*10000</v>
      </c>
      <c r="AX1799" s="1">
        <f>1313*10000</f>
        <v>13130000</v>
      </c>
      <c r="AY1799" s="10">
        <f t="shared" si="895"/>
        <v>-0.87542694497153695</v>
      </c>
      <c r="AZ1799" s="6" t="s">
        <v>4444</v>
      </c>
      <c r="BA1799" s="6" t="str">
        <f t="shared" si="879"/>
        <v>=1.054*100000000</v>
      </c>
      <c r="BB1799" s="1">
        <f>1.054*100000000</f>
        <v>105400000</v>
      </c>
      <c r="BC1799" s="8">
        <f t="shared" si="896"/>
        <v>0.28662109375</v>
      </c>
      <c r="BD1799" s="7" t="s">
        <v>15664</v>
      </c>
      <c r="BE1799" s="6" t="str">
        <f t="shared" si="880"/>
        <v>=8192*10000</v>
      </c>
      <c r="BF1799" s="1">
        <f>8192*10000</f>
        <v>81920000</v>
      </c>
      <c r="BG1799" s="8">
        <f t="shared" si="897"/>
        <v>0.62121511973085297</v>
      </c>
      <c r="BH1799" s="7" t="s">
        <v>9942</v>
      </c>
      <c r="BI1799" s="6" t="str">
        <f t="shared" si="881"/>
        <v>=5053*10000</v>
      </c>
      <c r="BJ1799" s="1">
        <f>5053*10000</f>
        <v>50530000</v>
      </c>
      <c r="BK1799" s="7" t="s">
        <v>6646</v>
      </c>
      <c r="BL1799" s="1" t="str">
        <f t="shared" si="883"/>
        <v>=2416*10000</v>
      </c>
      <c r="BM1799" s="16">
        <f t="shared" si="898"/>
        <v>1.0914735099337749</v>
      </c>
      <c r="BN1799" s="1">
        <f>2416*10000</f>
        <v>24160000</v>
      </c>
    </row>
    <row r="1800" spans="1:66">
      <c r="A1800" s="18"/>
      <c r="B1800">
        <v>603527</v>
      </c>
      <c r="C1800" t="s">
        <v>58</v>
      </c>
      <c r="D1800" s="6" t="s">
        <v>6818</v>
      </c>
      <c r="E1800" s="7" t="str">
        <f t="shared" si="882"/>
        <v>=1.665*100000000</v>
      </c>
      <c r="F1800" s="1">
        <f>1.665*100000000</f>
        <v>166500000</v>
      </c>
      <c r="G1800" s="8">
        <f t="shared" si="884"/>
        <v>0.27293577981651373</v>
      </c>
      <c r="H1800" s="6" t="s">
        <v>6057</v>
      </c>
      <c r="I1800" s="6" t="str">
        <f t="shared" si="868"/>
        <v>=1.308*100000000</v>
      </c>
      <c r="J1800" s="1">
        <f>1.308*100000000</f>
        <v>130800000</v>
      </c>
      <c r="K1800" s="10">
        <f t="shared" si="885"/>
        <v>0.84303226715513602</v>
      </c>
      <c r="L1800" s="7" t="s">
        <v>10085</v>
      </c>
      <c r="M1800" s="6" t="str">
        <f t="shared" si="869"/>
        <v>=7097*10000</v>
      </c>
      <c r="N1800" s="1">
        <f>7097*10000</f>
        <v>70970000</v>
      </c>
      <c r="O1800" s="8">
        <f t="shared" si="886"/>
        <v>1.8814453917986196</v>
      </c>
      <c r="P1800" s="7" t="s">
        <v>4187</v>
      </c>
      <c r="Q1800" s="6" t="str">
        <f t="shared" si="870"/>
        <v>=2463*10000</v>
      </c>
      <c r="R1800" s="11">
        <f>2463*10000</f>
        <v>24630000</v>
      </c>
      <c r="S1800" s="8">
        <f t="shared" si="887"/>
        <v>-0.66635058249796808</v>
      </c>
      <c r="T1800" s="7" t="s">
        <v>16459</v>
      </c>
      <c r="U1800" s="6" t="str">
        <f t="shared" si="871"/>
        <v>=7382*10000</v>
      </c>
      <c r="V1800" s="1">
        <f>7382*10000</f>
        <v>73820000</v>
      </c>
      <c r="W1800" s="8">
        <f t="shared" si="888"/>
        <v>0.2189564068692206</v>
      </c>
      <c r="X1800" s="7" t="s">
        <v>16460</v>
      </c>
      <c r="Y1800" s="6" t="str">
        <f t="shared" si="872"/>
        <v>=6056*10000</v>
      </c>
      <c r="Z1800" s="1">
        <f>6056*10000</f>
        <v>60560000</v>
      </c>
      <c r="AA1800" s="8">
        <f t="shared" si="889"/>
        <v>0.69020373988277983</v>
      </c>
      <c r="AB1800" s="7" t="s">
        <v>16461</v>
      </c>
      <c r="AC1800" s="6" t="str">
        <f t="shared" si="873"/>
        <v>=3583*10000</v>
      </c>
      <c r="AD1800" s="1">
        <f>3583*10000</f>
        <v>35830000</v>
      </c>
      <c r="AE1800" s="8">
        <f t="shared" si="890"/>
        <v>0.48057851239669419</v>
      </c>
      <c r="AF1800" s="7" t="s">
        <v>16462</v>
      </c>
      <c r="AG1800" s="6" t="str">
        <f t="shared" si="874"/>
        <v>=2420*10000</v>
      </c>
      <c r="AH1800" s="1">
        <f>2420*10000</f>
        <v>24200000</v>
      </c>
      <c r="AI1800" s="8">
        <f t="shared" si="891"/>
        <v>-0.78237410071942448</v>
      </c>
      <c r="AJ1800" s="6" t="s">
        <v>12234</v>
      </c>
      <c r="AK1800" s="6" t="str">
        <f t="shared" si="875"/>
        <v>=1.112*100000000</v>
      </c>
      <c r="AL1800" s="1">
        <f>1.112*100000000</f>
        <v>111200000.00000001</v>
      </c>
      <c r="AM1800" s="8">
        <f t="shared" si="892"/>
        <v>0.36642909805849122</v>
      </c>
      <c r="AN1800" s="7" t="s">
        <v>7939</v>
      </c>
      <c r="AO1800" s="6" t="str">
        <f t="shared" si="876"/>
        <v>=8138*10000</v>
      </c>
      <c r="AP1800" s="1">
        <f>8138*10000</f>
        <v>81380000</v>
      </c>
      <c r="AQ1800" s="8">
        <f t="shared" si="893"/>
        <v>0.53056234718826401</v>
      </c>
      <c r="AR1800" s="7" t="s">
        <v>16463</v>
      </c>
      <c r="AS1800" s="6" t="str">
        <f t="shared" si="877"/>
        <v>=5317*10000</v>
      </c>
      <c r="AT1800" s="1">
        <f>5317*10000</f>
        <v>53170000</v>
      </c>
      <c r="AU1800" s="8">
        <f t="shared" si="894"/>
        <v>2.5282017252820173</v>
      </c>
      <c r="AV1800" s="7" t="s">
        <v>15854</v>
      </c>
      <c r="AW1800" s="6" t="str">
        <f t="shared" si="878"/>
        <v>=1507*10000</v>
      </c>
      <c r="AX1800" s="1">
        <f>1507*10000</f>
        <v>15070000</v>
      </c>
      <c r="AY1800" s="10">
        <f t="shared" si="895"/>
        <v>-0.86826923076923079</v>
      </c>
      <c r="AZ1800" s="6" t="s">
        <v>9069</v>
      </c>
      <c r="BA1800" s="6" t="str">
        <f t="shared" si="879"/>
        <v>=1.144*100000000</v>
      </c>
      <c r="BB1800" s="1">
        <f>1.144*100000000</f>
        <v>114399999.99999999</v>
      </c>
      <c r="BC1800" s="8">
        <f t="shared" si="896"/>
        <v>0.30103491413624456</v>
      </c>
      <c r="BD1800" s="7" t="s">
        <v>16464</v>
      </c>
      <c r="BE1800" s="6" t="str">
        <f t="shared" si="880"/>
        <v>=8793*10000</v>
      </c>
      <c r="BF1800" s="1">
        <f>8793*10000</f>
        <v>87930000</v>
      </c>
      <c r="BG1800" s="8">
        <f t="shared" si="897"/>
        <v>0.64786356821589208</v>
      </c>
      <c r="BH1800" s="7" t="s">
        <v>16465</v>
      </c>
      <c r="BI1800" s="6" t="str">
        <f t="shared" si="881"/>
        <v>=5336*10000</v>
      </c>
      <c r="BJ1800" s="1">
        <f>5336*10000</f>
        <v>53360000</v>
      </c>
      <c r="BK1800" s="7" t="s">
        <v>6723</v>
      </c>
      <c r="BL1800" s="1" t="str">
        <f t="shared" si="883"/>
        <v>=2664*10000</v>
      </c>
      <c r="BM1800" s="16">
        <f t="shared" si="898"/>
        <v>1.003003003003003</v>
      </c>
      <c r="BN1800" s="1">
        <f>2664*10000</f>
        <v>26640000</v>
      </c>
    </row>
    <row r="1801" spans="1:66">
      <c r="A1801" s="19"/>
      <c r="B1801">
        <v>603527</v>
      </c>
      <c r="C1801" t="s">
        <v>68</v>
      </c>
      <c r="D1801" s="6" t="s">
        <v>10313</v>
      </c>
      <c r="E1801" s="7" t="str">
        <f t="shared" si="882"/>
        <v>=1.370*100000000</v>
      </c>
      <c r="F1801" s="1">
        <f>1.37*100000000</f>
        <v>137000000</v>
      </c>
      <c r="G1801" s="8">
        <f t="shared" si="884"/>
        <v>0.27917833800186742</v>
      </c>
      <c r="H1801" s="6" t="s">
        <v>4283</v>
      </c>
      <c r="I1801" s="6" t="str">
        <f t="shared" si="868"/>
        <v>=1.071*100000000</v>
      </c>
      <c r="J1801" s="1">
        <f>1.071*100000000</f>
        <v>107100000</v>
      </c>
      <c r="K1801" s="10">
        <f t="shared" si="885"/>
        <v>0.78559519839946645</v>
      </c>
      <c r="L1801" s="7" t="s">
        <v>16466</v>
      </c>
      <c r="M1801" s="6" t="str">
        <f t="shared" si="869"/>
        <v>=5998*10000</v>
      </c>
      <c r="N1801" s="1">
        <f>5998*10000</f>
        <v>59980000</v>
      </c>
      <c r="O1801" s="8">
        <f t="shared" si="886"/>
        <v>1.8067384183434723</v>
      </c>
      <c r="P1801" s="7" t="s">
        <v>4213</v>
      </c>
      <c r="Q1801" s="6" t="str">
        <f t="shared" si="870"/>
        <v>=2137*10000</v>
      </c>
      <c r="R1801" s="11">
        <f>2137*10000</f>
        <v>21370000</v>
      </c>
      <c r="S1801" s="8">
        <f t="shared" si="887"/>
        <v>-0.65736732403399067</v>
      </c>
      <c r="T1801" s="7" t="s">
        <v>16467</v>
      </c>
      <c r="U1801" s="6" t="str">
        <f t="shared" si="871"/>
        <v>=6237*10000</v>
      </c>
      <c r="V1801" s="1">
        <f>6237*10000</f>
        <v>62370000</v>
      </c>
      <c r="W1801" s="8">
        <f t="shared" si="888"/>
        <v>0.22246177969423755</v>
      </c>
      <c r="X1801" s="7" t="s">
        <v>3700</v>
      </c>
      <c r="Y1801" s="6" t="str">
        <f t="shared" si="872"/>
        <v>=5102*10000</v>
      </c>
      <c r="Z1801" s="1">
        <f>5102*10000</f>
        <v>51020000</v>
      </c>
      <c r="AA1801" s="8">
        <f t="shared" si="889"/>
        <v>0.68549719193921377</v>
      </c>
      <c r="AB1801" s="7" t="s">
        <v>16468</v>
      </c>
      <c r="AC1801" s="6" t="str">
        <f t="shared" si="873"/>
        <v>=3027*10000</v>
      </c>
      <c r="AD1801" s="1">
        <f>3027*10000</f>
        <v>30270000</v>
      </c>
      <c r="AE1801" s="8">
        <f t="shared" si="890"/>
        <v>0.58315899581589958</v>
      </c>
      <c r="AF1801" s="7" t="s">
        <v>16469</v>
      </c>
      <c r="AG1801" s="6" t="str">
        <f t="shared" si="874"/>
        <v>=1912*10000</v>
      </c>
      <c r="AH1801" s="1">
        <f>1912*10000</f>
        <v>19120000</v>
      </c>
      <c r="AI1801" s="8">
        <f t="shared" si="891"/>
        <v>-0.79389888972728251</v>
      </c>
      <c r="AJ1801" s="7" t="s">
        <v>16470</v>
      </c>
      <c r="AK1801" s="6" t="str">
        <f t="shared" si="875"/>
        <v>=9277*10000</v>
      </c>
      <c r="AL1801" s="1">
        <f>9277*10000</f>
        <v>92770000</v>
      </c>
      <c r="AM1801" s="8">
        <f t="shared" si="892"/>
        <v>0.36406410821937951</v>
      </c>
      <c r="AN1801" s="7" t="s">
        <v>16471</v>
      </c>
      <c r="AO1801" s="6" t="str">
        <f t="shared" si="876"/>
        <v>=6801*10000</v>
      </c>
      <c r="AP1801" s="1">
        <f>6801*10000</f>
        <v>68010000</v>
      </c>
      <c r="AQ1801" s="8">
        <f t="shared" si="893"/>
        <v>0.53072248480756246</v>
      </c>
      <c r="AR1801" s="7" t="s">
        <v>8710</v>
      </c>
      <c r="AS1801" s="6" t="str">
        <f t="shared" si="877"/>
        <v>=4443*10000</v>
      </c>
      <c r="AT1801" s="1">
        <f>4443*10000</f>
        <v>44430000</v>
      </c>
      <c r="AU1801" s="8">
        <f t="shared" si="894"/>
        <v>2.3406015037593986</v>
      </c>
      <c r="AV1801" s="7" t="s">
        <v>16472</v>
      </c>
      <c r="AW1801" s="6" t="str">
        <f t="shared" si="878"/>
        <v>=1330*10000</v>
      </c>
      <c r="AX1801" s="1">
        <f>1330*10000</f>
        <v>13300000</v>
      </c>
      <c r="AY1801" s="10">
        <f t="shared" si="895"/>
        <v>-0.85784523300555793</v>
      </c>
      <c r="AZ1801" s="7" t="s">
        <v>16473</v>
      </c>
      <c r="BA1801" s="6" t="str">
        <f t="shared" si="879"/>
        <v>=9356*10000</v>
      </c>
      <c r="BB1801" s="1">
        <f>9356*10000</f>
        <v>93560000</v>
      </c>
      <c r="BC1801" s="8">
        <f t="shared" si="896"/>
        <v>0.31330713082537898</v>
      </c>
      <c r="BD1801" s="7" t="s">
        <v>16474</v>
      </c>
      <c r="BE1801" s="6" t="str">
        <f t="shared" si="880"/>
        <v>=7124*10000</v>
      </c>
      <c r="BF1801" s="1">
        <f>7124*10000</f>
        <v>71240000</v>
      </c>
      <c r="BG1801" s="8">
        <f t="shared" si="897"/>
        <v>0.65251681744374856</v>
      </c>
      <c r="BH1801" s="7" t="s">
        <v>16475</v>
      </c>
      <c r="BI1801" s="6" t="str">
        <f t="shared" si="881"/>
        <v>=4311*10000</v>
      </c>
      <c r="BJ1801" s="1">
        <f>4311*10000</f>
        <v>43110000</v>
      </c>
      <c r="BK1801" s="7" t="s">
        <v>16476</v>
      </c>
      <c r="BL1801" s="1" t="str">
        <f t="shared" si="883"/>
        <v>=2149*10000</v>
      </c>
      <c r="BM1801" s="16">
        <f t="shared" si="898"/>
        <v>1.0060493252675664</v>
      </c>
      <c r="BN1801" s="1">
        <f>2149*10000</f>
        <v>21490000</v>
      </c>
    </row>
    <row r="1802" spans="1:66">
      <c r="A1802" s="17">
        <v>452</v>
      </c>
      <c r="B1802">
        <v>603535</v>
      </c>
      <c r="C1802" t="s">
        <v>31</v>
      </c>
      <c r="D1802" s="6" t="s">
        <v>3036</v>
      </c>
      <c r="E1802" s="7" t="str">
        <f t="shared" si="882"/>
        <v>=12.69*100000000</v>
      </c>
      <c r="F1802" s="1">
        <f>12.69*100000000</f>
        <v>1269000000</v>
      </c>
      <c r="G1802" s="8">
        <f t="shared" si="884"/>
        <v>0.36996653352045772</v>
      </c>
      <c r="H1802" s="6" t="s">
        <v>16477</v>
      </c>
      <c r="I1802" s="6" t="str">
        <f t="shared" si="868"/>
        <v>=9.263*100000000</v>
      </c>
      <c r="J1802" s="1">
        <f>9.263*100000000</f>
        <v>926300000</v>
      </c>
      <c r="K1802" s="10">
        <f t="shared" si="885"/>
        <v>0.5531522468142186</v>
      </c>
      <c r="L1802" s="6" t="s">
        <v>67</v>
      </c>
      <c r="M1802" s="6" t="str">
        <f t="shared" si="869"/>
        <v>=5.964*100000000</v>
      </c>
      <c r="N1802" s="1">
        <f>5.964*100000000</f>
        <v>596400000</v>
      </c>
      <c r="O1802" s="8">
        <f t="shared" si="886"/>
        <v>1.3827407111466241</v>
      </c>
      <c r="P1802" s="6" t="s">
        <v>5317</v>
      </c>
      <c r="Q1802" s="6" t="str">
        <f t="shared" si="870"/>
        <v>=2.503*100000000</v>
      </c>
      <c r="R1802" s="11">
        <f>2.503*100000000</f>
        <v>250300000</v>
      </c>
      <c r="S1802" s="8">
        <f t="shared" si="887"/>
        <v>-0.78253692441355338</v>
      </c>
      <c r="T1802" s="6" t="s">
        <v>15283</v>
      </c>
      <c r="U1802" s="6" t="str">
        <f t="shared" si="871"/>
        <v>=11.51*100000000</v>
      </c>
      <c r="V1802" s="1">
        <f>11.51*100000000</f>
        <v>1151000000</v>
      </c>
      <c r="W1802" s="8">
        <f t="shared" si="888"/>
        <v>0.40024330900243288</v>
      </c>
      <c r="X1802" s="6" t="s">
        <v>15964</v>
      </c>
      <c r="Y1802" s="6" t="str">
        <f t="shared" si="872"/>
        <v>=8.220*100000000</v>
      </c>
      <c r="Z1802" s="1">
        <f>8.22*100000000</f>
        <v>822000000.00000012</v>
      </c>
      <c r="AA1802" s="8">
        <f t="shared" si="889"/>
        <v>0.64993978321959078</v>
      </c>
      <c r="AB1802" s="6" t="s">
        <v>16478</v>
      </c>
      <c r="AC1802" s="6" t="str">
        <f t="shared" si="873"/>
        <v>=4.982*100000000</v>
      </c>
      <c r="AD1802" s="1">
        <f>4.982*100000000</f>
        <v>498200000</v>
      </c>
      <c r="AE1802" s="8">
        <f t="shared" si="890"/>
        <v>2.1874600127959054</v>
      </c>
      <c r="AF1802" s="6" t="s">
        <v>6794</v>
      </c>
      <c r="AG1802" s="6" t="str">
        <f t="shared" si="874"/>
        <v>=1.563*100000000</v>
      </c>
      <c r="AH1802" s="1">
        <f>1.563*100000000</f>
        <v>156300000</v>
      </c>
      <c r="AI1802" s="8">
        <f t="shared" si="891"/>
        <v>-0.86909547738693471</v>
      </c>
      <c r="AJ1802" s="6" t="s">
        <v>8646</v>
      </c>
      <c r="AK1802" s="6" t="str">
        <f t="shared" si="875"/>
        <v>=11.94*100000000</v>
      </c>
      <c r="AL1802" s="1">
        <f>11.94*100000000</f>
        <v>1194000000</v>
      </c>
      <c r="AM1802" s="8">
        <f t="shared" si="892"/>
        <v>0.39469688120546664</v>
      </c>
      <c r="AN1802" s="6" t="s">
        <v>16479</v>
      </c>
      <c r="AO1802" s="6" t="str">
        <f t="shared" si="876"/>
        <v>=8.561*100000000</v>
      </c>
      <c r="AP1802" s="1">
        <f>8.561*100000000</f>
        <v>856100000</v>
      </c>
      <c r="AQ1802" s="8">
        <f t="shared" si="893"/>
        <v>0.59779768570362091</v>
      </c>
      <c r="AR1802" s="6" t="s">
        <v>15764</v>
      </c>
      <c r="AS1802" s="6" t="str">
        <f t="shared" si="877"/>
        <v>=5.358*100000000</v>
      </c>
      <c r="AT1802" s="1">
        <f>5.358*100000000</f>
        <v>535799999.99999994</v>
      </c>
      <c r="AU1802" s="8">
        <f t="shared" si="894"/>
        <v>1.4354545454545447</v>
      </c>
      <c r="AV1802" s="6" t="s">
        <v>7788</v>
      </c>
      <c r="AW1802" s="6" t="str">
        <f t="shared" si="878"/>
        <v>=2.200*100000000</v>
      </c>
      <c r="AX1802" s="1">
        <f>2.2*100000000</f>
        <v>220000000.00000003</v>
      </c>
      <c r="AY1802" s="10">
        <f t="shared" si="895"/>
        <v>-0.80286738351254483</v>
      </c>
      <c r="AZ1802" s="6" t="s">
        <v>5042</v>
      </c>
      <c r="BA1802" s="6" t="str">
        <f t="shared" si="879"/>
        <v>=11.16*100000000</v>
      </c>
      <c r="BB1802" s="1">
        <f>11.16*100000000</f>
        <v>1116000000</v>
      </c>
      <c r="BC1802" s="8">
        <f t="shared" si="896"/>
        <v>0.43536977491961415</v>
      </c>
      <c r="BD1802" s="6" t="s">
        <v>154</v>
      </c>
      <c r="BE1802" s="6" t="str">
        <f t="shared" si="880"/>
        <v>=7.775*100000000</v>
      </c>
      <c r="BF1802" s="1">
        <f>7.775*100000000</f>
        <v>777500000</v>
      </c>
      <c r="BG1802" s="8">
        <f t="shared" si="897"/>
        <v>0.5386898871957253</v>
      </c>
      <c r="BH1802" s="6" t="s">
        <v>13986</v>
      </c>
      <c r="BI1802" s="6" t="str">
        <f t="shared" si="881"/>
        <v>=5.053*100000000</v>
      </c>
      <c r="BJ1802" s="1">
        <f>5.053*100000000</f>
        <v>505300000</v>
      </c>
      <c r="BK1802" s="6" t="s">
        <v>2172</v>
      </c>
      <c r="BL1802" s="1" t="str">
        <f t="shared" si="883"/>
        <v>=2.065*100000000</v>
      </c>
      <c r="BM1802" s="16">
        <f t="shared" si="898"/>
        <v>1.4469733656174335</v>
      </c>
      <c r="BN1802" s="1">
        <f>2.065*100000000</f>
        <v>206500000</v>
      </c>
    </row>
    <row r="1803" spans="1:66">
      <c r="A1803" s="18"/>
      <c r="B1803">
        <v>603535</v>
      </c>
      <c r="C1803" t="s">
        <v>48</v>
      </c>
      <c r="D1803" s="6" t="s">
        <v>8148</v>
      </c>
      <c r="E1803" s="7" t="str">
        <f t="shared" si="882"/>
        <v>=1.986*100000000</v>
      </c>
      <c r="F1803" s="1">
        <f>1.986*100000000</f>
        <v>198600000</v>
      </c>
      <c r="G1803" s="8">
        <f t="shared" si="884"/>
        <v>6.4308681672025719E-2</v>
      </c>
      <c r="H1803" s="6" t="s">
        <v>11957</v>
      </c>
      <c r="I1803" s="6" t="str">
        <f t="shared" si="868"/>
        <v>=1.866*100000000</v>
      </c>
      <c r="J1803" s="1">
        <f>1.866*100000000</f>
        <v>186600000</v>
      </c>
      <c r="K1803" s="10">
        <f t="shared" si="885"/>
        <v>0.60309278350515483</v>
      </c>
      <c r="L1803" s="6" t="s">
        <v>16480</v>
      </c>
      <c r="M1803" s="6" t="str">
        <f t="shared" si="869"/>
        <v>=1.164*100000000</v>
      </c>
      <c r="N1803" s="1">
        <f>1.164*100000000</f>
        <v>116399999.99999999</v>
      </c>
      <c r="O1803" s="8">
        <f t="shared" si="886"/>
        <v>1.555994729907773</v>
      </c>
      <c r="P1803" s="7" t="s">
        <v>16481</v>
      </c>
      <c r="Q1803" s="6" t="str">
        <f t="shared" si="870"/>
        <v>=4554*10000</v>
      </c>
      <c r="R1803" s="11">
        <f>4554*10000</f>
        <v>45540000</v>
      </c>
      <c r="S1803" s="8">
        <f t="shared" si="887"/>
        <v>-0.76440765649249875</v>
      </c>
      <c r="T1803" s="6" t="s">
        <v>16482</v>
      </c>
      <c r="U1803" s="6" t="str">
        <f t="shared" si="871"/>
        <v>=1.933*100000000</v>
      </c>
      <c r="V1803" s="1">
        <f>1.933*100000000</f>
        <v>193300000</v>
      </c>
      <c r="W1803" s="8">
        <f t="shared" si="888"/>
        <v>0.20286247666459239</v>
      </c>
      <c r="X1803" s="6" t="s">
        <v>621</v>
      </c>
      <c r="Y1803" s="6" t="str">
        <f t="shared" si="872"/>
        <v>=1.607*100000000</v>
      </c>
      <c r="Z1803" s="1">
        <f>1.607*100000000</f>
        <v>160700000</v>
      </c>
      <c r="AA1803" s="8">
        <f t="shared" si="889"/>
        <v>0.59900497512437834</v>
      </c>
      <c r="AB1803" s="6" t="s">
        <v>8847</v>
      </c>
      <c r="AC1803" s="6" t="str">
        <f t="shared" si="873"/>
        <v>=1.005*100000000</v>
      </c>
      <c r="AD1803" s="1">
        <f>1.005*100000000</f>
        <v>100499999.99999999</v>
      </c>
      <c r="AE1803" s="8">
        <f t="shared" si="890"/>
        <v>1.3124712379199259</v>
      </c>
      <c r="AF1803" s="7" t="s">
        <v>7049</v>
      </c>
      <c r="AG1803" s="6" t="str">
        <f t="shared" si="874"/>
        <v>=4346*10000</v>
      </c>
      <c r="AH1803" s="1">
        <f>4346*10000</f>
        <v>43460000</v>
      </c>
      <c r="AI1803" s="8">
        <f t="shared" si="891"/>
        <v>-0.69155429382540812</v>
      </c>
      <c r="AJ1803" s="6" t="s">
        <v>6147</v>
      </c>
      <c r="AK1803" s="6" t="str">
        <f t="shared" si="875"/>
        <v>=1.409*100000000</v>
      </c>
      <c r="AL1803" s="1">
        <f>1.409*100000000</f>
        <v>140900000</v>
      </c>
      <c r="AM1803" s="8">
        <f t="shared" si="892"/>
        <v>0.13263665594855306</v>
      </c>
      <c r="AN1803" s="6" t="s">
        <v>9639</v>
      </c>
      <c r="AO1803" s="6" t="str">
        <f t="shared" si="876"/>
        <v>=1.244*100000000</v>
      </c>
      <c r="AP1803" s="1">
        <f>1.244*100000000</f>
        <v>124400000</v>
      </c>
      <c r="AQ1803" s="8">
        <f t="shared" si="893"/>
        <v>0.59099629108581664</v>
      </c>
      <c r="AR1803" s="7" t="s">
        <v>16483</v>
      </c>
      <c r="AS1803" s="6" t="str">
        <f t="shared" si="877"/>
        <v>=7819*10000</v>
      </c>
      <c r="AT1803" s="1">
        <f>7819*10000</f>
        <v>78190000</v>
      </c>
      <c r="AU1803" s="8">
        <f t="shared" si="894"/>
        <v>1.2301768397033657</v>
      </c>
      <c r="AV1803" s="7" t="s">
        <v>2112</v>
      </c>
      <c r="AW1803" s="6" t="str">
        <f t="shared" si="878"/>
        <v>=3506*10000</v>
      </c>
      <c r="AX1803" s="1">
        <f>3506*10000</f>
        <v>35060000</v>
      </c>
      <c r="AY1803" s="10">
        <f t="shared" si="895"/>
        <v>-0.77039947609692205</v>
      </c>
      <c r="AZ1803" s="6" t="s">
        <v>2536</v>
      </c>
      <c r="BA1803" s="6" t="str">
        <f t="shared" si="879"/>
        <v>=1.527*100000000</v>
      </c>
      <c r="BB1803" s="1">
        <f>1.527*100000000</f>
        <v>152700000</v>
      </c>
      <c r="BC1803" s="8">
        <f t="shared" si="896"/>
        <v>0.35733333333333334</v>
      </c>
      <c r="BD1803" s="6" t="s">
        <v>4588</v>
      </c>
      <c r="BE1803" s="6" t="str">
        <f t="shared" si="880"/>
        <v>=1.125*100000000</v>
      </c>
      <c r="BF1803" s="1">
        <f>1.125*100000000</f>
        <v>112500000</v>
      </c>
      <c r="BG1803" s="8">
        <f t="shared" si="897"/>
        <v>0.51108126259234388</v>
      </c>
      <c r="BH1803" s="7" t="s">
        <v>16484</v>
      </c>
      <c r="BI1803" s="6" t="str">
        <f t="shared" si="881"/>
        <v>=7445*10000</v>
      </c>
      <c r="BJ1803" s="1">
        <f>7445*10000</f>
        <v>74450000</v>
      </c>
      <c r="BK1803" s="7" t="s">
        <v>2687</v>
      </c>
      <c r="BL1803" s="1" t="str">
        <f t="shared" si="883"/>
        <v>=3345*10000</v>
      </c>
      <c r="BM1803" s="16">
        <f t="shared" si="898"/>
        <v>1.2257100149476832</v>
      </c>
      <c r="BN1803" s="1">
        <f>3345*10000</f>
        <v>33450000</v>
      </c>
    </row>
    <row r="1804" spans="1:66">
      <c r="A1804" s="18"/>
      <c r="B1804">
        <v>603535</v>
      </c>
      <c r="C1804" t="s">
        <v>58</v>
      </c>
      <c r="D1804" s="6" t="s">
        <v>4896</v>
      </c>
      <c r="E1804" s="7" t="str">
        <f t="shared" si="882"/>
        <v>=2.143*100000000</v>
      </c>
      <c r="F1804" s="1">
        <f>2.143*100000000</f>
        <v>214299999.99999997</v>
      </c>
      <c r="G1804" s="8">
        <f t="shared" si="884"/>
        <v>0.12257726558407528</v>
      </c>
      <c r="H1804" s="6" t="s">
        <v>16485</v>
      </c>
      <c r="I1804" s="6" t="str">
        <f t="shared" si="868"/>
        <v>=1.909*100000000</v>
      </c>
      <c r="J1804" s="1">
        <f>1.909*100000000</f>
        <v>190900000</v>
      </c>
      <c r="K1804" s="10">
        <f t="shared" si="885"/>
        <v>0.58160729080364537</v>
      </c>
      <c r="L1804" s="6" t="s">
        <v>16486</v>
      </c>
      <c r="M1804" s="6" t="str">
        <f t="shared" si="869"/>
        <v>=1.207*100000000</v>
      </c>
      <c r="N1804" s="1">
        <f>1.207*100000000</f>
        <v>120700000</v>
      </c>
      <c r="O1804" s="8">
        <f t="shared" si="886"/>
        <v>1.6359467132561694</v>
      </c>
      <c r="P1804" s="7" t="s">
        <v>6281</v>
      </c>
      <c r="Q1804" s="6" t="str">
        <f t="shared" si="870"/>
        <v>=4579*10000</v>
      </c>
      <c r="R1804" s="11">
        <f>4579*10000</f>
        <v>45790000</v>
      </c>
      <c r="S1804" s="8">
        <f t="shared" si="887"/>
        <v>-0.76384734399174836</v>
      </c>
      <c r="T1804" s="6" t="s">
        <v>5300</v>
      </c>
      <c r="U1804" s="6" t="str">
        <f t="shared" si="871"/>
        <v>=1.939*100000000</v>
      </c>
      <c r="V1804" s="1">
        <f>1.939*100000000</f>
        <v>193900000</v>
      </c>
      <c r="W1804" s="8">
        <f t="shared" si="888"/>
        <v>0.2058457711442786</v>
      </c>
      <c r="X1804" s="6" t="s">
        <v>9267</v>
      </c>
      <c r="Y1804" s="6" t="str">
        <f t="shared" si="872"/>
        <v>=1.608*100000000</v>
      </c>
      <c r="Z1804" s="1">
        <f>1.608*100000000</f>
        <v>160800000</v>
      </c>
      <c r="AA1804" s="8">
        <f t="shared" si="889"/>
        <v>0.59840954274353875</v>
      </c>
      <c r="AB1804" s="6" t="s">
        <v>6375</v>
      </c>
      <c r="AC1804" s="6" t="str">
        <f t="shared" si="873"/>
        <v>=1.006*100000000</v>
      </c>
      <c r="AD1804" s="1">
        <f>1.006*100000000</f>
        <v>100600000</v>
      </c>
      <c r="AE1804" s="8">
        <f t="shared" si="890"/>
        <v>1.3179723502304148</v>
      </c>
      <c r="AF1804" s="7" t="s">
        <v>16487</v>
      </c>
      <c r="AG1804" s="6" t="str">
        <f t="shared" si="874"/>
        <v>=4340*10000</v>
      </c>
      <c r="AH1804" s="1">
        <f>4340*10000</f>
        <v>43400000</v>
      </c>
      <c r="AI1804" s="8">
        <f t="shared" si="891"/>
        <v>-0.69306930693069302</v>
      </c>
      <c r="AJ1804" s="6" t="s">
        <v>10801</v>
      </c>
      <c r="AK1804" s="6" t="str">
        <f t="shared" si="875"/>
        <v>=1.414*100000000</v>
      </c>
      <c r="AL1804" s="1">
        <f>1.414*100000000</f>
        <v>141400000</v>
      </c>
      <c r="AM1804" s="8">
        <f t="shared" si="892"/>
        <v>0.1375703942075622</v>
      </c>
      <c r="AN1804" s="6" t="s">
        <v>11387</v>
      </c>
      <c r="AO1804" s="6" t="str">
        <f t="shared" si="876"/>
        <v>=1.243*100000000</v>
      </c>
      <c r="AP1804" s="1">
        <f>1.243*100000000</f>
        <v>124300000.00000001</v>
      </c>
      <c r="AQ1804" s="8">
        <f t="shared" si="893"/>
        <v>0.57901422764227661</v>
      </c>
      <c r="AR1804" s="7" t="s">
        <v>16075</v>
      </c>
      <c r="AS1804" s="6" t="str">
        <f t="shared" si="877"/>
        <v>=7872*10000</v>
      </c>
      <c r="AT1804" s="1">
        <f>7872*10000</f>
        <v>78720000</v>
      </c>
      <c r="AU1804" s="8">
        <f t="shared" si="894"/>
        <v>1.2452937820878494</v>
      </c>
      <c r="AV1804" s="7" t="s">
        <v>2112</v>
      </c>
      <c r="AW1804" s="6" t="str">
        <f t="shared" si="878"/>
        <v>=3506*10000</v>
      </c>
      <c r="AX1804" s="1">
        <f>3506*10000</f>
        <v>35060000</v>
      </c>
      <c r="AY1804" s="10">
        <f t="shared" si="895"/>
        <v>-0.77767913760304375</v>
      </c>
      <c r="AZ1804" s="6" t="s">
        <v>1705</v>
      </c>
      <c r="BA1804" s="6" t="str">
        <f t="shared" si="879"/>
        <v>=1.577*100000000</v>
      </c>
      <c r="BB1804" s="1">
        <f>1.577*100000000</f>
        <v>157700000</v>
      </c>
      <c r="BC1804" s="8">
        <f t="shared" si="896"/>
        <v>0.36300777873811579</v>
      </c>
      <c r="BD1804" s="6" t="s">
        <v>2098</v>
      </c>
      <c r="BE1804" s="6" t="str">
        <f t="shared" si="880"/>
        <v>=1.157*100000000</v>
      </c>
      <c r="BF1804" s="1">
        <f>1.157*100000000</f>
        <v>115700000</v>
      </c>
      <c r="BG1804" s="8">
        <f t="shared" si="897"/>
        <v>0.48906048906048905</v>
      </c>
      <c r="BH1804" s="7" t="s">
        <v>16488</v>
      </c>
      <c r="BI1804" s="6" t="str">
        <f t="shared" si="881"/>
        <v>=7770*10000</v>
      </c>
      <c r="BJ1804" s="1">
        <f>7770*10000</f>
        <v>77700000</v>
      </c>
      <c r="BK1804" s="7" t="s">
        <v>16489</v>
      </c>
      <c r="BL1804" s="1" t="str">
        <f t="shared" si="883"/>
        <v>=3340*10000</v>
      </c>
      <c r="BM1804" s="16">
        <f t="shared" si="898"/>
        <v>1.3263473053892216</v>
      </c>
      <c r="BN1804" s="1">
        <f>3340*10000</f>
        <v>33400000</v>
      </c>
    </row>
    <row r="1805" spans="1:66">
      <c r="A1805" s="19"/>
      <c r="B1805">
        <v>603535</v>
      </c>
      <c r="C1805" t="s">
        <v>68</v>
      </c>
      <c r="D1805" s="6" t="s">
        <v>5847</v>
      </c>
      <c r="E1805" s="7" t="str">
        <f t="shared" si="882"/>
        <v>=1.827*100000000</v>
      </c>
      <c r="F1805" s="1">
        <f>1.827*100000000</f>
        <v>182700000</v>
      </c>
      <c r="G1805" s="8">
        <f t="shared" si="884"/>
        <v>0.13690105787181084</v>
      </c>
      <c r="H1805" s="6" t="s">
        <v>621</v>
      </c>
      <c r="I1805" s="6" t="str">
        <f t="shared" si="868"/>
        <v>=1.607*100000000</v>
      </c>
      <c r="J1805" s="1">
        <f>1.607*100000000</f>
        <v>160700000</v>
      </c>
      <c r="K1805" s="10">
        <f t="shared" si="885"/>
        <v>0.5879446640316206</v>
      </c>
      <c r="L1805" s="6" t="s">
        <v>7654</v>
      </c>
      <c r="M1805" s="6" t="str">
        <f t="shared" si="869"/>
        <v>=1.012*100000000</v>
      </c>
      <c r="N1805" s="1">
        <f>1.012*100000000</f>
        <v>101200000</v>
      </c>
      <c r="O1805" s="8">
        <f t="shared" si="886"/>
        <v>1.5895598771750257</v>
      </c>
      <c r="P1805" s="7" t="s">
        <v>16490</v>
      </c>
      <c r="Q1805" s="6" t="str">
        <f t="shared" si="870"/>
        <v>=3908*10000</v>
      </c>
      <c r="R1805" s="11">
        <f>3908*10000</f>
        <v>39080000</v>
      </c>
      <c r="S1805" s="8">
        <f t="shared" si="887"/>
        <v>-0.75906288532675714</v>
      </c>
      <c r="T1805" s="6" t="s">
        <v>2912</v>
      </c>
      <c r="U1805" s="6" t="str">
        <f t="shared" si="871"/>
        <v>=1.622*100000000</v>
      </c>
      <c r="V1805" s="1">
        <f>1.622*100000000</f>
        <v>162200000</v>
      </c>
      <c r="W1805" s="8">
        <f t="shared" si="888"/>
        <v>0.22692889561270801</v>
      </c>
      <c r="X1805" s="6" t="s">
        <v>5195</v>
      </c>
      <c r="Y1805" s="6" t="str">
        <f t="shared" si="872"/>
        <v>=1.322*100000000</v>
      </c>
      <c r="Z1805" s="1">
        <f>1.322*100000000</f>
        <v>132200000</v>
      </c>
      <c r="AA1805" s="8">
        <f t="shared" si="889"/>
        <v>0.61712538226299696</v>
      </c>
      <c r="AB1805" s="7" t="s">
        <v>16491</v>
      </c>
      <c r="AC1805" s="6" t="str">
        <f t="shared" si="873"/>
        <v>=8175*10000</v>
      </c>
      <c r="AD1805" s="1">
        <f>8175*10000</f>
        <v>81750000</v>
      </c>
      <c r="AE1805" s="8">
        <f t="shared" si="890"/>
        <v>1.3484630853203103</v>
      </c>
      <c r="AF1805" s="7" t="s">
        <v>3727</v>
      </c>
      <c r="AG1805" s="6" t="str">
        <f t="shared" si="874"/>
        <v>=3481*10000</v>
      </c>
      <c r="AH1805" s="1">
        <f>3481*10000</f>
        <v>34810000</v>
      </c>
      <c r="AI1805" s="8">
        <f t="shared" si="891"/>
        <v>-0.72910505836575867</v>
      </c>
      <c r="AJ1805" s="6" t="s">
        <v>2086</v>
      </c>
      <c r="AK1805" s="6" t="str">
        <f t="shared" si="875"/>
        <v>=1.285*100000000</v>
      </c>
      <c r="AL1805" s="1">
        <f>1.285*100000000</f>
        <v>128499999.99999999</v>
      </c>
      <c r="AM1805" s="8">
        <f t="shared" si="892"/>
        <v>0.18215271389144422</v>
      </c>
      <c r="AN1805" s="6" t="s">
        <v>4290</v>
      </c>
      <c r="AO1805" s="6" t="str">
        <f t="shared" si="876"/>
        <v>=1.087*100000000</v>
      </c>
      <c r="AP1805" s="1">
        <f>1.087*100000000</f>
        <v>108700000</v>
      </c>
      <c r="AQ1805" s="8">
        <f t="shared" si="893"/>
        <v>0.52134359692092369</v>
      </c>
      <c r="AR1805" s="7" t="s">
        <v>10982</v>
      </c>
      <c r="AS1805" s="6" t="str">
        <f t="shared" si="877"/>
        <v>=7145*10000</v>
      </c>
      <c r="AT1805" s="1">
        <f>7145*10000</f>
        <v>71450000</v>
      </c>
      <c r="AU1805" s="8">
        <f t="shared" si="894"/>
        <v>1.3303979125896934</v>
      </c>
      <c r="AV1805" s="7" t="s">
        <v>16492</v>
      </c>
      <c r="AW1805" s="6" t="str">
        <f t="shared" si="878"/>
        <v>=3066*10000</v>
      </c>
      <c r="AX1805" s="1">
        <f>3066*10000</f>
        <v>30660000</v>
      </c>
      <c r="AY1805" s="10">
        <f t="shared" si="895"/>
        <v>-0.7775036284470247</v>
      </c>
      <c r="AZ1805" s="6" t="s">
        <v>11776</v>
      </c>
      <c r="BA1805" s="6" t="str">
        <f t="shared" si="879"/>
        <v>=1.378*100000000</v>
      </c>
      <c r="BB1805" s="1">
        <f>1.378*100000000</f>
        <v>137800000</v>
      </c>
      <c r="BC1805" s="8">
        <f t="shared" si="896"/>
        <v>0.33397870280735742</v>
      </c>
      <c r="BD1805" s="6" t="s">
        <v>2065</v>
      </c>
      <c r="BE1805" s="6" t="str">
        <f t="shared" si="880"/>
        <v>=1.033*100000000</v>
      </c>
      <c r="BF1805" s="1">
        <f>1.033*100000000</f>
        <v>103299999.99999999</v>
      </c>
      <c r="BG1805" s="8">
        <f t="shared" si="897"/>
        <v>0.62013801756587184</v>
      </c>
      <c r="BH1805" s="7" t="s">
        <v>4439</v>
      </c>
      <c r="BI1805" s="6" t="str">
        <f t="shared" si="881"/>
        <v>=6376*10000</v>
      </c>
      <c r="BJ1805" s="1">
        <f>6376*10000</f>
        <v>63760000</v>
      </c>
      <c r="BK1805" s="7" t="s">
        <v>16493</v>
      </c>
      <c r="BL1805" s="1" t="str">
        <f t="shared" si="883"/>
        <v>=2709*10000</v>
      </c>
      <c r="BM1805" s="16">
        <f t="shared" si="898"/>
        <v>1.3536360280546327</v>
      </c>
      <c r="BN1805" s="1">
        <f>2709*10000</f>
        <v>27090000</v>
      </c>
    </row>
    <row r="1806" spans="1:66">
      <c r="A1806" s="17">
        <v>453</v>
      </c>
      <c r="B1806">
        <v>603555</v>
      </c>
      <c r="C1806" t="s">
        <v>31</v>
      </c>
      <c r="D1806" s="6" t="s">
        <v>12438</v>
      </c>
      <c r="E1806" s="7" t="str">
        <f t="shared" si="882"/>
        <v>=14.19*100000000</v>
      </c>
      <c r="F1806" s="1">
        <f>14.19*100000000</f>
        <v>1419000000</v>
      </c>
      <c r="G1806" s="8">
        <f t="shared" si="884"/>
        <v>0.62264150943396246</v>
      </c>
      <c r="H1806" s="6" t="s">
        <v>8782</v>
      </c>
      <c r="I1806" s="6" t="str">
        <f t="shared" si="868"/>
        <v>=8.745*100000000</v>
      </c>
      <c r="J1806" s="1">
        <f>8.745*100000000</f>
        <v>874499999.99999988</v>
      </c>
      <c r="K1806" s="10">
        <f t="shared" si="885"/>
        <v>0.65031137950556672</v>
      </c>
      <c r="L1806" s="6" t="s">
        <v>6675</v>
      </c>
      <c r="M1806" s="6" t="str">
        <f t="shared" si="869"/>
        <v>=5.299*100000000</v>
      </c>
      <c r="N1806" s="1">
        <f>5.299*100000000</f>
        <v>529900000.00000006</v>
      </c>
      <c r="O1806" s="8">
        <f t="shared" si="886"/>
        <v>1.5089962121212124</v>
      </c>
      <c r="P1806" s="6" t="s">
        <v>8486</v>
      </c>
      <c r="Q1806" s="6" t="str">
        <f t="shared" si="870"/>
        <v>=2.112*100000000</v>
      </c>
      <c r="R1806" s="11">
        <f>2.112*100000000</f>
        <v>211200000</v>
      </c>
      <c r="S1806" s="8">
        <f t="shared" si="887"/>
        <v>-0.82222222222222219</v>
      </c>
      <c r="T1806" s="6" t="s">
        <v>342</v>
      </c>
      <c r="U1806" s="6" t="str">
        <f t="shared" si="871"/>
        <v>=11.88*100000000</v>
      </c>
      <c r="V1806" s="1">
        <f>11.88*100000000</f>
        <v>1188000000</v>
      </c>
      <c r="W1806" s="8">
        <f t="shared" si="888"/>
        <v>0.4025974025974024</v>
      </c>
      <c r="X1806" s="6" t="s">
        <v>16494</v>
      </c>
      <c r="Y1806" s="6" t="str">
        <f t="shared" si="872"/>
        <v>=8.470*100000000</v>
      </c>
      <c r="Z1806" s="1">
        <f>8.47*100000000</f>
        <v>847000000.00000012</v>
      </c>
      <c r="AA1806" s="8">
        <f t="shared" si="889"/>
        <v>0.53192258998010511</v>
      </c>
      <c r="AB1806" s="6" t="s">
        <v>128</v>
      </c>
      <c r="AC1806" s="6" t="str">
        <f t="shared" si="873"/>
        <v>=5.529*100000000</v>
      </c>
      <c r="AD1806" s="1">
        <f>5.529*100000000</f>
        <v>552900000</v>
      </c>
      <c r="AE1806" s="8">
        <f t="shared" si="890"/>
        <v>2.2033603707995364</v>
      </c>
      <c r="AF1806" s="6" t="s">
        <v>2366</v>
      </c>
      <c r="AG1806" s="6" t="str">
        <f t="shared" si="874"/>
        <v>=1.726*100000000</v>
      </c>
      <c r="AH1806" s="1">
        <f>1.726*100000000</f>
        <v>172600000</v>
      </c>
      <c r="AI1806" s="8">
        <f t="shared" si="891"/>
        <v>-0.89082858950031629</v>
      </c>
      <c r="AJ1806" s="6" t="s">
        <v>248</v>
      </c>
      <c r="AK1806" s="6" t="str">
        <f t="shared" si="875"/>
        <v>=15.81*100000000</v>
      </c>
      <c r="AL1806" s="1">
        <f>15.81*100000000</f>
        <v>1581000000</v>
      </c>
      <c r="AM1806" s="8">
        <f t="shared" si="892"/>
        <v>0.35243798118049613</v>
      </c>
      <c r="AN1806" s="6" t="s">
        <v>6852</v>
      </c>
      <c r="AO1806" s="6" t="str">
        <f t="shared" si="876"/>
        <v>=11.69*100000000</v>
      </c>
      <c r="AP1806" s="1">
        <f>11.69*100000000</f>
        <v>1169000000</v>
      </c>
      <c r="AQ1806" s="8">
        <f t="shared" si="893"/>
        <v>0.44303172447845923</v>
      </c>
      <c r="AR1806" s="6" t="s">
        <v>1264</v>
      </c>
      <c r="AS1806" s="6" t="str">
        <f t="shared" si="877"/>
        <v>=8.101*100000000</v>
      </c>
      <c r="AT1806" s="1">
        <f>8.101*100000000</f>
        <v>810100000.00000012</v>
      </c>
      <c r="AU1806" s="8">
        <f t="shared" si="894"/>
        <v>0.55251054043694925</v>
      </c>
      <c r="AV1806" s="6" t="s">
        <v>16495</v>
      </c>
      <c r="AW1806" s="6" t="str">
        <f t="shared" si="878"/>
        <v>=5.218*100000000</v>
      </c>
      <c r="AX1806" s="1">
        <f>5.218*100000000</f>
        <v>521800000</v>
      </c>
      <c r="AY1806" s="10">
        <f t="shared" si="895"/>
        <v>-0.81443812233285917</v>
      </c>
      <c r="AZ1806" s="6" t="s">
        <v>16496</v>
      </c>
      <c r="BA1806" s="6" t="str">
        <f t="shared" si="879"/>
        <v>=28.12*100000000</v>
      </c>
      <c r="BB1806" s="1">
        <f>28.12*100000000</f>
        <v>2812000000</v>
      </c>
      <c r="BC1806" s="8">
        <f t="shared" si="896"/>
        <v>0.22154648132059079</v>
      </c>
      <c r="BD1806" s="6" t="s">
        <v>3025</v>
      </c>
      <c r="BE1806" s="6" t="str">
        <f t="shared" si="880"/>
        <v>=23.02*100000000</v>
      </c>
      <c r="BF1806" s="1">
        <f>23.02*100000000</f>
        <v>2302000000</v>
      </c>
      <c r="BG1806" s="8">
        <f t="shared" si="897"/>
        <v>0.49869791666666669</v>
      </c>
      <c r="BH1806" s="6" t="s">
        <v>4548</v>
      </c>
      <c r="BI1806" s="6" t="str">
        <f t="shared" si="881"/>
        <v>=15.36*100000000</v>
      </c>
      <c r="BJ1806" s="1">
        <f>15.36*100000000</f>
        <v>1536000000</v>
      </c>
      <c r="BK1806" s="6" t="s">
        <v>16497</v>
      </c>
      <c r="BL1806" s="1" t="str">
        <f t="shared" si="883"/>
        <v>=8.334*100000000</v>
      </c>
      <c r="BM1806" s="16">
        <f t="shared" si="898"/>
        <v>0.8430525557955364</v>
      </c>
      <c r="BN1806" s="1">
        <f>8.334*100000000</f>
        <v>833400000</v>
      </c>
    </row>
    <row r="1807" spans="1:66">
      <c r="A1807" s="18"/>
      <c r="B1807">
        <v>603555</v>
      </c>
      <c r="C1807" t="s">
        <v>48</v>
      </c>
      <c r="D1807" s="6" t="s">
        <v>10735</v>
      </c>
      <c r="E1807" s="7" t="str">
        <f t="shared" si="882"/>
        <v>=4.004*100000000</v>
      </c>
      <c r="F1807" s="1">
        <f>4.004*100000000</f>
        <v>400399999.99999994</v>
      </c>
      <c r="G1807" s="8">
        <f t="shared" si="884"/>
        <v>-2.5079133187241441E-2</v>
      </c>
      <c r="H1807" s="6" t="s">
        <v>16498</v>
      </c>
      <c r="I1807" s="6" t="str">
        <f t="shared" si="868"/>
        <v>=4.107*100000000</v>
      </c>
      <c r="J1807" s="1">
        <f>4.107*100000000</f>
        <v>410700000</v>
      </c>
      <c r="K1807" s="10">
        <f t="shared" si="885"/>
        <v>3.6859378944710933E-2</v>
      </c>
      <c r="L1807" s="6" t="s">
        <v>16499</v>
      </c>
      <c r="M1807" s="6" t="str">
        <f t="shared" si="869"/>
        <v>=3.961*100000000</v>
      </c>
      <c r="N1807" s="1">
        <f>3.961*100000000</f>
        <v>396100000</v>
      </c>
      <c r="O1807" s="8">
        <f t="shared" si="886"/>
        <v>-8.0081387119603686</v>
      </c>
      <c r="P1807" s="7">
        <f>-5652*10000</f>
        <v>-56520000</v>
      </c>
      <c r="Q1807" s="6" t="str">
        <f t="shared" si="870"/>
        <v>=-56520000</v>
      </c>
      <c r="R1807" s="11">
        <f>-56520000</f>
        <v>-56520000</v>
      </c>
      <c r="S1807" s="8">
        <f t="shared" si="887"/>
        <v>-0.84548933843630403</v>
      </c>
      <c r="T1807" s="6">
        <f>-3.658*100000000</f>
        <v>-365800000</v>
      </c>
      <c r="U1807" s="6" t="str">
        <f t="shared" si="871"/>
        <v>=-365800000</v>
      </c>
      <c r="V1807" s="1">
        <f>-365800000</f>
        <v>-365800000</v>
      </c>
      <c r="W1807" s="8">
        <f t="shared" si="888"/>
        <v>0.46672012830793908</v>
      </c>
      <c r="X1807" s="6">
        <f>-2.494*100000000</f>
        <v>-249400000.00000003</v>
      </c>
      <c r="Y1807" s="6" t="str">
        <f t="shared" si="872"/>
        <v>=-249400000</v>
      </c>
      <c r="Z1807" s="1">
        <f>-249400000</f>
        <v>-249400000</v>
      </c>
      <c r="AA1807" s="8">
        <f t="shared" si="889"/>
        <v>0.61528497409326421</v>
      </c>
      <c r="AB1807" s="6">
        <f>-1.544*100000000</f>
        <v>-154400000</v>
      </c>
      <c r="AC1807" s="6" t="str">
        <f t="shared" si="873"/>
        <v>=-154400000</v>
      </c>
      <c r="AD1807" s="1">
        <f>-154400000</f>
        <v>-154400000</v>
      </c>
      <c r="AE1807" s="8">
        <f t="shared" si="890"/>
        <v>-0.22528850978424486</v>
      </c>
      <c r="AF1807" s="6">
        <f>-1.993*100000000</f>
        <v>-199300000</v>
      </c>
      <c r="AG1807" s="6" t="str">
        <f t="shared" si="874"/>
        <v>=-199300000</v>
      </c>
      <c r="AH1807" s="1">
        <f>-199300000</f>
        <v>-199300000</v>
      </c>
      <c r="AI1807" s="8">
        <f t="shared" si="891"/>
        <v>-0.81391223155929038</v>
      </c>
      <c r="AJ1807" s="6">
        <f>-10.71*100000000</f>
        <v>-1071000000.0000001</v>
      </c>
      <c r="AK1807" s="6" t="str">
        <f t="shared" si="875"/>
        <v>=-1071000000</v>
      </c>
      <c r="AL1807" s="1">
        <f>-1071000000</f>
        <v>-1071000000</v>
      </c>
      <c r="AM1807" s="8">
        <f t="shared" si="892"/>
        <v>6.19758064516129</v>
      </c>
      <c r="AN1807" s="6">
        <f>-1.488*100000000</f>
        <v>-148800000</v>
      </c>
      <c r="AO1807" s="6" t="str">
        <f t="shared" si="876"/>
        <v>=-148800000</v>
      </c>
      <c r="AP1807" s="1">
        <f>-148800000</f>
        <v>-148800000</v>
      </c>
      <c r="AQ1807" s="8">
        <f t="shared" si="893"/>
        <v>2.0145867098865478</v>
      </c>
      <c r="AR1807" s="7">
        <f>-4936*10000</f>
        <v>-49360000</v>
      </c>
      <c r="AS1807" s="6" t="str">
        <f t="shared" si="877"/>
        <v>=-49360000</v>
      </c>
      <c r="AT1807" s="1">
        <f>-49360000</f>
        <v>-49360000</v>
      </c>
      <c r="AU1807" s="8">
        <f t="shared" si="894"/>
        <v>-3.439940682155215</v>
      </c>
      <c r="AV1807" s="7" t="s">
        <v>3286</v>
      </c>
      <c r="AW1807" s="6" t="str">
        <f t="shared" si="878"/>
        <v>=2023*10000</v>
      </c>
      <c r="AX1807" s="1">
        <f>2023*10000</f>
        <v>20230000</v>
      </c>
      <c r="AY1807" s="10">
        <f t="shared" si="895"/>
        <v>-1.0322390438247011</v>
      </c>
      <c r="AZ1807" s="6">
        <f>-6.275*100000000</f>
        <v>-627500000</v>
      </c>
      <c r="BA1807" s="6" t="str">
        <f t="shared" si="879"/>
        <v>=-627500000</v>
      </c>
      <c r="BB1807" s="1">
        <f>-627500000</f>
        <v>-627500000</v>
      </c>
      <c r="BC1807" s="8">
        <f t="shared" si="896"/>
        <v>-25.636827640361208</v>
      </c>
      <c r="BD1807" s="7" t="s">
        <v>9276</v>
      </c>
      <c r="BE1807" s="6" t="str">
        <f t="shared" si="880"/>
        <v>=2547*10000</v>
      </c>
      <c r="BF1807" s="1">
        <f>2547*10000</f>
        <v>25470000</v>
      </c>
      <c r="BG1807" s="8">
        <f t="shared" si="897"/>
        <v>-0.59306598498162644</v>
      </c>
      <c r="BH1807" s="7" t="s">
        <v>16500</v>
      </c>
      <c r="BI1807" s="6" t="str">
        <f t="shared" si="881"/>
        <v>=6259*10000</v>
      </c>
      <c r="BJ1807" s="1">
        <f>6259*10000</f>
        <v>62590000</v>
      </c>
      <c r="BK1807" s="6" t="s">
        <v>6899</v>
      </c>
      <c r="BL1807" s="1" t="str">
        <f t="shared" si="883"/>
        <v>=1.304*100000000</v>
      </c>
      <c r="BM1807" s="16">
        <f t="shared" si="898"/>
        <v>-0.52001533742331285</v>
      </c>
      <c r="BN1807" s="1">
        <f>1.304*100000000</f>
        <v>130400000</v>
      </c>
    </row>
    <row r="1808" spans="1:66">
      <c r="A1808" s="18"/>
      <c r="B1808">
        <v>603555</v>
      </c>
      <c r="C1808" t="s">
        <v>58</v>
      </c>
      <c r="D1808" s="6" t="s">
        <v>2388</v>
      </c>
      <c r="E1808" s="7" t="str">
        <f t="shared" si="882"/>
        <v>=3.755*100000000</v>
      </c>
      <c r="F1808" s="1">
        <f>3.755*100000000</f>
        <v>375500000</v>
      </c>
      <c r="G1808" s="8">
        <f t="shared" si="884"/>
        <v>-8.0783353733170138E-2</v>
      </c>
      <c r="H1808" s="6" t="s">
        <v>16501</v>
      </c>
      <c r="I1808" s="6" t="str">
        <f t="shared" si="868"/>
        <v>=4.085*100000000</v>
      </c>
      <c r="J1808" s="1">
        <f>4.085*100000000</f>
        <v>408500000</v>
      </c>
      <c r="K1808" s="10">
        <f t="shared" si="885"/>
        <v>3.7328593194514981E-2</v>
      </c>
      <c r="L1808" s="6" t="s">
        <v>4977</v>
      </c>
      <c r="M1808" s="6" t="str">
        <f t="shared" si="869"/>
        <v>=3.938*100000000</v>
      </c>
      <c r="N1808" s="1">
        <f>3.938*100000000</f>
        <v>393800000</v>
      </c>
      <c r="O1808" s="8">
        <f t="shared" si="886"/>
        <v>-7.9502294387575008</v>
      </c>
      <c r="P1808" s="7">
        <f>-5666*10000</f>
        <v>-56660000</v>
      </c>
      <c r="Q1808" s="6" t="str">
        <f t="shared" si="870"/>
        <v>=-56660000</v>
      </c>
      <c r="R1808" s="11">
        <f>-56660000</f>
        <v>-56660000</v>
      </c>
      <c r="S1808" s="8">
        <f t="shared" si="887"/>
        <v>-0.8451066156369601</v>
      </c>
      <c r="T1808" s="6">
        <f>-3.658*100000000</f>
        <v>-365800000</v>
      </c>
      <c r="U1808" s="6" t="str">
        <f t="shared" si="871"/>
        <v>=-365800000</v>
      </c>
      <c r="V1808" s="1">
        <f>-365800000</f>
        <v>-365800000</v>
      </c>
      <c r="W1808" s="8">
        <f t="shared" si="888"/>
        <v>0.47144006436041835</v>
      </c>
      <c r="X1808" s="6">
        <f>-2.486*100000000</f>
        <v>-248600000.00000003</v>
      </c>
      <c r="Y1808" s="6" t="str">
        <f t="shared" si="872"/>
        <v>=-248600000</v>
      </c>
      <c r="Z1808" s="1">
        <f>-248600000</f>
        <v>-248600000</v>
      </c>
      <c r="AA1808" s="8">
        <f t="shared" si="889"/>
        <v>0.61743656473649966</v>
      </c>
      <c r="AB1808" s="6">
        <f>-1.537*100000000</f>
        <v>-153700000</v>
      </c>
      <c r="AC1808" s="6" t="str">
        <f t="shared" si="873"/>
        <v>=-153700000</v>
      </c>
      <c r="AD1808" s="1">
        <f>-153700000</f>
        <v>-153700000</v>
      </c>
      <c r="AE1808" s="8">
        <f t="shared" si="890"/>
        <v>-0.2284136546184739</v>
      </c>
      <c r="AF1808" s="6">
        <f>-1.992*100000000</f>
        <v>-199200000</v>
      </c>
      <c r="AG1808" s="6" t="str">
        <f t="shared" si="874"/>
        <v>=-199200000</v>
      </c>
      <c r="AH1808" s="1">
        <f>-199200000</f>
        <v>-199200000</v>
      </c>
      <c r="AI1808" s="8">
        <f t="shared" si="891"/>
        <v>-0.81486988847583641</v>
      </c>
      <c r="AJ1808" s="6">
        <f>-10.76*100000000</f>
        <v>-1076000000</v>
      </c>
      <c r="AK1808" s="6" t="str">
        <f t="shared" si="875"/>
        <v>=-1076000000</v>
      </c>
      <c r="AL1808" s="1">
        <f>-1076000000</f>
        <v>-1076000000</v>
      </c>
      <c r="AM1808" s="8">
        <f t="shared" si="892"/>
        <v>6.1211118464592982</v>
      </c>
      <c r="AN1808" s="6">
        <f>-1.511*100000000</f>
        <v>-151100000</v>
      </c>
      <c r="AO1808" s="6" t="str">
        <f t="shared" si="876"/>
        <v>=-151100000</v>
      </c>
      <c r="AP1808" s="1">
        <f>-151100000</f>
        <v>-151100000</v>
      </c>
      <c r="AQ1808" s="8">
        <f t="shared" si="893"/>
        <v>1.951171875</v>
      </c>
      <c r="AR1808" s="7">
        <f>-5120*10000</f>
        <v>-51200000</v>
      </c>
      <c r="AS1808" s="6" t="str">
        <f t="shared" si="877"/>
        <v>=-51200000</v>
      </c>
      <c r="AT1808" s="1">
        <f>-51200000</f>
        <v>-51200000</v>
      </c>
      <c r="AU1808" s="8">
        <f t="shared" si="894"/>
        <v>-3.7133015368309485</v>
      </c>
      <c r="AV1808" s="7" t="s">
        <v>16502</v>
      </c>
      <c r="AW1808" s="6" t="str">
        <f t="shared" si="878"/>
        <v>=1887*10000</v>
      </c>
      <c r="AX1808" s="1">
        <f>1887*10000</f>
        <v>18870000</v>
      </c>
      <c r="AY1808" s="10">
        <f t="shared" si="895"/>
        <v>-1.0300286441756843</v>
      </c>
      <c r="AZ1808" s="6">
        <f>-6.284*100000000</f>
        <v>-628400000</v>
      </c>
      <c r="BA1808" s="6" t="str">
        <f t="shared" si="879"/>
        <v>=-628400000</v>
      </c>
      <c r="BB1808" s="1">
        <f>-628400000</f>
        <v>-628400000</v>
      </c>
      <c r="BC1808" s="8">
        <f t="shared" si="896"/>
        <v>-26.359160613397901</v>
      </c>
      <c r="BD1808" s="7" t="s">
        <v>16503</v>
      </c>
      <c r="BE1808" s="6" t="str">
        <f t="shared" si="880"/>
        <v>=2478*10000</v>
      </c>
      <c r="BF1808" s="1">
        <f>2478*10000</f>
        <v>24780000</v>
      </c>
      <c r="BG1808" s="8">
        <f t="shared" si="897"/>
        <v>-0.60012909472325315</v>
      </c>
      <c r="BH1808" s="7" t="s">
        <v>16504</v>
      </c>
      <c r="BI1808" s="6" t="str">
        <f t="shared" si="881"/>
        <v>=6197*10000</v>
      </c>
      <c r="BJ1808" s="1">
        <f>6197*10000</f>
        <v>61970000</v>
      </c>
      <c r="BK1808" s="6" t="s">
        <v>10581</v>
      </c>
      <c r="BL1808" s="1" t="str">
        <f t="shared" si="883"/>
        <v>=1.298*100000000</v>
      </c>
      <c r="BM1808" s="16">
        <f t="shared" si="898"/>
        <v>-0.52257318952234211</v>
      </c>
      <c r="BN1808" s="1">
        <f>1.298*100000000</f>
        <v>129800000</v>
      </c>
    </row>
    <row r="1809" spans="1:66">
      <c r="A1809" s="19"/>
      <c r="B1809">
        <v>603555</v>
      </c>
      <c r="C1809" t="s">
        <v>68</v>
      </c>
      <c r="D1809" s="6" t="s">
        <v>6217</v>
      </c>
      <c r="E1809" s="7" t="str">
        <f t="shared" si="882"/>
        <v>=3.630*100000000</v>
      </c>
      <c r="F1809" s="1">
        <f>3.63*100000000</f>
        <v>363000000</v>
      </c>
      <c r="G1809" s="8">
        <f t="shared" si="884"/>
        <v>-9.5665171898355758E-2</v>
      </c>
      <c r="H1809" s="6" t="s">
        <v>4242</v>
      </c>
      <c r="I1809" s="6" t="str">
        <f t="shared" si="868"/>
        <v>=4.014*100000000</v>
      </c>
      <c r="J1809" s="1">
        <f>4.014*100000000</f>
        <v>401400000</v>
      </c>
      <c r="K1809" s="10">
        <f t="shared" si="885"/>
        <v>3.8819875776397512E-2</v>
      </c>
      <c r="L1809" s="6" t="s">
        <v>13048</v>
      </c>
      <c r="M1809" s="6" t="str">
        <f t="shared" si="869"/>
        <v>=3.864*100000000</v>
      </c>
      <c r="N1809" s="1">
        <f>3.864*100000000</f>
        <v>386400000</v>
      </c>
      <c r="O1809" s="8">
        <f t="shared" si="886"/>
        <v>-7.5747830525778461</v>
      </c>
      <c r="P1809" s="7">
        <f>-5877*10000</f>
        <v>-58770000</v>
      </c>
      <c r="Q1809" s="6" t="str">
        <f t="shared" si="870"/>
        <v>=-58770000</v>
      </c>
      <c r="R1809" s="11">
        <f>-58770000</f>
        <v>-58770000</v>
      </c>
      <c r="S1809" s="8">
        <f t="shared" si="887"/>
        <v>-0.84542346133613888</v>
      </c>
      <c r="T1809" s="6">
        <f>-3.802*100000000</f>
        <v>-380200000</v>
      </c>
      <c r="U1809" s="6" t="str">
        <f t="shared" si="871"/>
        <v>=-380200000</v>
      </c>
      <c r="V1809" s="1">
        <f>-380200000</f>
        <v>-380200000</v>
      </c>
      <c r="W1809" s="8">
        <f t="shared" si="888"/>
        <v>0.4793774319066148</v>
      </c>
      <c r="X1809" s="6">
        <f>-2.57*100000000</f>
        <v>-256999999.99999997</v>
      </c>
      <c r="Y1809" s="6" t="str">
        <f t="shared" si="872"/>
        <v>=-257000000</v>
      </c>
      <c r="Z1809" s="1">
        <f>-257000000</f>
        <v>-257000000</v>
      </c>
      <c r="AA1809" s="8">
        <f t="shared" si="889"/>
        <v>0.61128526645768022</v>
      </c>
      <c r="AB1809" s="6">
        <f>-1.595*100000000</f>
        <v>-159500000</v>
      </c>
      <c r="AC1809" s="6" t="str">
        <f t="shared" si="873"/>
        <v>=-159500000</v>
      </c>
      <c r="AD1809" s="1">
        <f>-159500000</f>
        <v>-159500000</v>
      </c>
      <c r="AE1809" s="8">
        <f t="shared" si="890"/>
        <v>-0.20528151469855505</v>
      </c>
      <c r="AF1809" s="6">
        <f>-2.007*100000000</f>
        <v>-200700000</v>
      </c>
      <c r="AG1809" s="6" t="str">
        <f t="shared" si="874"/>
        <v>=-200700000</v>
      </c>
      <c r="AH1809" s="1">
        <f>-200700000</f>
        <v>-200700000</v>
      </c>
      <c r="AI1809" s="8">
        <f t="shared" si="891"/>
        <v>-0.81687956204379564</v>
      </c>
      <c r="AJ1809" s="6">
        <f>-10.96*100000000</f>
        <v>-1096000000</v>
      </c>
      <c r="AK1809" s="6" t="str">
        <f t="shared" si="875"/>
        <v>=-1096000000</v>
      </c>
      <c r="AL1809" s="1">
        <f>-1096000000</f>
        <v>-1096000000</v>
      </c>
      <c r="AM1809" s="8">
        <f t="shared" si="892"/>
        <v>5.5786314525810328</v>
      </c>
      <c r="AN1809" s="6">
        <f>-1.666*100000000</f>
        <v>-166600000</v>
      </c>
      <c r="AO1809" s="6" t="str">
        <f t="shared" si="876"/>
        <v>=-166600000</v>
      </c>
      <c r="AP1809" s="1">
        <f>-166600000</f>
        <v>-166600000</v>
      </c>
      <c r="AQ1809" s="8">
        <f t="shared" si="893"/>
        <v>1.8405797101449275</v>
      </c>
      <c r="AR1809" s="7">
        <f>-5865*10000</f>
        <v>-58650000</v>
      </c>
      <c r="AS1809" s="6" t="str">
        <f t="shared" si="877"/>
        <v>=-58650000</v>
      </c>
      <c r="AT1809" s="1">
        <f>-58650000</f>
        <v>-58650000</v>
      </c>
      <c r="AU1809" s="8">
        <f t="shared" si="894"/>
        <v>-5.2685589519650655</v>
      </c>
      <c r="AV1809" s="7" t="s">
        <v>16505</v>
      </c>
      <c r="AW1809" s="6" t="str">
        <f t="shared" si="878"/>
        <v>=1374*10000</v>
      </c>
      <c r="AX1809" s="1">
        <f>1374*10000</f>
        <v>13740000</v>
      </c>
      <c r="AY1809" s="10">
        <f t="shared" si="895"/>
        <v>-1.0198096885813148</v>
      </c>
      <c r="AZ1809" s="6">
        <f>-6.936*100000000</f>
        <v>-693600000</v>
      </c>
      <c r="BA1809" s="6" t="str">
        <f t="shared" si="879"/>
        <v>=-693600000</v>
      </c>
      <c r="BB1809" s="1">
        <f>-693600000</f>
        <v>-693600000</v>
      </c>
      <c r="BC1809" s="8">
        <f t="shared" si="896"/>
        <v>-25.133611691022963</v>
      </c>
      <c r="BD1809" s="7" t="s">
        <v>7706</v>
      </c>
      <c r="BE1809" s="6" t="str">
        <f t="shared" si="880"/>
        <v>=2874*10000</v>
      </c>
      <c r="BF1809" s="1">
        <f>2874*10000</f>
        <v>28740000</v>
      </c>
      <c r="BG1809" s="8">
        <f t="shared" si="897"/>
        <v>-0.3481515082785212</v>
      </c>
      <c r="BH1809" s="7" t="s">
        <v>16506</v>
      </c>
      <c r="BI1809" s="6" t="str">
        <f t="shared" si="881"/>
        <v>=4409*10000</v>
      </c>
      <c r="BJ1809" s="1">
        <f>4409*10000</f>
        <v>44090000</v>
      </c>
      <c r="BK1809" s="6" t="s">
        <v>4298</v>
      </c>
      <c r="BL1809" s="1" t="str">
        <f t="shared" si="883"/>
        <v>=1.014*100000000</v>
      </c>
      <c r="BM1809" s="16">
        <f t="shared" si="898"/>
        <v>-0.5651873767258383</v>
      </c>
      <c r="BN1809" s="1">
        <f>1.014*100000000</f>
        <v>101400000</v>
      </c>
    </row>
    <row r="1810" spans="1:66">
      <c r="A1810" s="17">
        <v>454</v>
      </c>
      <c r="B1810">
        <v>603577</v>
      </c>
      <c r="C1810" t="s">
        <v>31</v>
      </c>
      <c r="D1810" s="6" t="s">
        <v>16507</v>
      </c>
      <c r="E1810" s="7" t="str">
        <f t="shared" si="882"/>
        <v>=24.98*100000000</v>
      </c>
      <c r="F1810" s="1">
        <f>24.98*100000000</f>
        <v>2498000000</v>
      </c>
      <c r="G1810" s="8">
        <f t="shared" si="884"/>
        <v>0.41690300623936472</v>
      </c>
      <c r="H1810" s="6" t="s">
        <v>9524</v>
      </c>
      <c r="I1810" s="6" t="str">
        <f t="shared" si="868"/>
        <v>=17.63*100000000</v>
      </c>
      <c r="J1810" s="1">
        <f>17.63*100000000</f>
        <v>1763000000</v>
      </c>
      <c r="K1810" s="10">
        <f t="shared" si="885"/>
        <v>0.65074906367041196</v>
      </c>
      <c r="L1810" s="6" t="s">
        <v>8251</v>
      </c>
      <c r="M1810" s="6" t="str">
        <f t="shared" si="869"/>
        <v>=10.68*100000000</v>
      </c>
      <c r="N1810" s="1">
        <f>10.68*100000000</f>
        <v>1068000000</v>
      </c>
      <c r="O1810" s="8">
        <f t="shared" si="886"/>
        <v>1.1270663214499104</v>
      </c>
      <c r="P1810" s="6" t="s">
        <v>11005</v>
      </c>
      <c r="Q1810" s="6" t="str">
        <f t="shared" si="870"/>
        <v>=5.021*100000000</v>
      </c>
      <c r="R1810" s="11">
        <f>5.021*100000000</f>
        <v>502100000</v>
      </c>
      <c r="S1810" s="8">
        <f t="shared" si="887"/>
        <v>-0.74078471863706763</v>
      </c>
      <c r="T1810" s="6" t="s">
        <v>4376</v>
      </c>
      <c r="U1810" s="6" t="str">
        <f t="shared" si="871"/>
        <v>=19.37*100000000</v>
      </c>
      <c r="V1810" s="1">
        <f>19.37*100000000</f>
        <v>1937000000</v>
      </c>
      <c r="W1810" s="8">
        <f t="shared" si="888"/>
        <v>0.24246311738293777</v>
      </c>
      <c r="X1810" s="6" t="s">
        <v>339</v>
      </c>
      <c r="Y1810" s="6" t="str">
        <f t="shared" si="872"/>
        <v>=15.59*100000000</v>
      </c>
      <c r="Z1810" s="1">
        <f>15.59*100000000</f>
        <v>1559000000</v>
      </c>
      <c r="AA1810" s="8">
        <f t="shared" si="889"/>
        <v>0.46660395108184366</v>
      </c>
      <c r="AB1810" s="6" t="s">
        <v>6457</v>
      </c>
      <c r="AC1810" s="6" t="str">
        <f t="shared" si="873"/>
        <v>=10.63*100000000</v>
      </c>
      <c r="AD1810" s="1">
        <f>10.63*100000000</f>
        <v>1063000000.0000001</v>
      </c>
      <c r="AE1810" s="8">
        <f t="shared" si="890"/>
        <v>1.2679752506934074</v>
      </c>
      <c r="AF1810" s="6" t="s">
        <v>16508</v>
      </c>
      <c r="AG1810" s="6" t="str">
        <f t="shared" si="874"/>
        <v>=4.687*100000000</v>
      </c>
      <c r="AH1810" s="1">
        <f>4.687*100000000</f>
        <v>468700000</v>
      </c>
      <c r="AI1810" s="8">
        <f t="shared" si="891"/>
        <v>-0.71032138442521631</v>
      </c>
      <c r="AJ1810" s="6" t="s">
        <v>6873</v>
      </c>
      <c r="AK1810" s="6" t="str">
        <f t="shared" si="875"/>
        <v>=16.18*100000000</v>
      </c>
      <c r="AL1810" s="1">
        <f>16.18*100000000</f>
        <v>1618000000</v>
      </c>
      <c r="AM1810" s="8">
        <f t="shared" si="892"/>
        <v>0.53074739829706719</v>
      </c>
      <c r="AN1810" s="6" t="s">
        <v>930</v>
      </c>
      <c r="AO1810" s="6" t="str">
        <f t="shared" si="876"/>
        <v>=10.57*100000000</v>
      </c>
      <c r="AP1810" s="1">
        <f>10.57*100000000</f>
        <v>1057000000</v>
      </c>
      <c r="AQ1810" s="8">
        <f t="shared" si="893"/>
        <v>0.50355618776671407</v>
      </c>
      <c r="AR1810" s="6" t="s">
        <v>16509</v>
      </c>
      <c r="AS1810" s="6" t="str">
        <f t="shared" si="877"/>
        <v>=7.030*100000000</v>
      </c>
      <c r="AT1810" s="1">
        <f>7.03*100000000</f>
        <v>703000000</v>
      </c>
      <c r="AU1810" s="8">
        <f t="shared" si="894"/>
        <v>1.3163097199341021</v>
      </c>
      <c r="AV1810" s="6" t="s">
        <v>10013</v>
      </c>
      <c r="AW1810" s="6" t="str">
        <f t="shared" si="878"/>
        <v>=3.035*100000000</v>
      </c>
      <c r="AX1810" s="1">
        <f>3.035*100000000</f>
        <v>303500000</v>
      </c>
      <c r="AY1810" s="10">
        <f t="shared" si="895"/>
        <v>-0.68326027969108749</v>
      </c>
      <c r="AZ1810" s="6" t="s">
        <v>941</v>
      </c>
      <c r="BA1810" s="6" t="str">
        <f t="shared" si="879"/>
        <v>=9.582*100000000</v>
      </c>
      <c r="BB1810" s="1">
        <f>9.582*100000000</f>
        <v>958200000.00000012</v>
      </c>
      <c r="BC1810" s="8">
        <f t="shared" si="896"/>
        <v>0.49882684185828269</v>
      </c>
      <c r="BD1810" s="6" t="s">
        <v>6324</v>
      </c>
      <c r="BE1810" s="6" t="str">
        <f t="shared" si="880"/>
        <v>=6.393*100000000</v>
      </c>
      <c r="BF1810" s="1">
        <f>6.393*100000000</f>
        <v>639300000</v>
      </c>
      <c r="BG1810" s="8">
        <f t="shared" si="897"/>
        <v>0.53235858101629918</v>
      </c>
      <c r="BH1810" s="6" t="s">
        <v>11955</v>
      </c>
      <c r="BI1810" s="6" t="str">
        <f t="shared" si="881"/>
        <v>=4.172*100000000</v>
      </c>
      <c r="BJ1810" s="1">
        <f>4.172*100000000</f>
        <v>417200000</v>
      </c>
      <c r="BK1810" s="6" t="s">
        <v>6792</v>
      </c>
      <c r="BL1810" s="1" t="str">
        <f t="shared" si="883"/>
        <v>=1.949*100000000</v>
      </c>
      <c r="BM1810" s="16">
        <f t="shared" si="898"/>
        <v>1.1405849153412007</v>
      </c>
      <c r="BN1810" s="1">
        <f>1.949*100000000</f>
        <v>194900000</v>
      </c>
    </row>
    <row r="1811" spans="1:66">
      <c r="A1811" s="18"/>
      <c r="B1811">
        <v>603577</v>
      </c>
      <c r="C1811" t="s">
        <v>48</v>
      </c>
      <c r="D1811" s="7" t="s">
        <v>16510</v>
      </c>
      <c r="E1811" s="7" t="str">
        <f t="shared" si="882"/>
        <v>=6538*10000</v>
      </c>
      <c r="F1811" s="1">
        <f>6538*10000</f>
        <v>65380000</v>
      </c>
      <c r="G1811" s="8">
        <f t="shared" si="884"/>
        <v>-0.12896349586997069</v>
      </c>
      <c r="H1811" s="7" t="s">
        <v>12763</v>
      </c>
      <c r="I1811" s="6" t="str">
        <f t="shared" si="868"/>
        <v>=7506*10000</v>
      </c>
      <c r="J1811" s="1">
        <f>7506*10000</f>
        <v>75060000</v>
      </c>
      <c r="K1811" s="10">
        <f t="shared" si="885"/>
        <v>0.39932885906040266</v>
      </c>
      <c r="L1811" s="7" t="s">
        <v>7278</v>
      </c>
      <c r="M1811" s="6" t="str">
        <f t="shared" si="869"/>
        <v>=5364*10000</v>
      </c>
      <c r="N1811" s="1">
        <f>5364*10000</f>
        <v>53640000</v>
      </c>
      <c r="O1811" s="8">
        <f t="shared" si="886"/>
        <v>0.91298145506419404</v>
      </c>
      <c r="P1811" s="7" t="s">
        <v>16066</v>
      </c>
      <c r="Q1811" s="6" t="str">
        <f t="shared" si="870"/>
        <v>=2804*10000</v>
      </c>
      <c r="R1811" s="11">
        <f>2804*10000</f>
        <v>28040000</v>
      </c>
      <c r="S1811" s="8">
        <f t="shared" si="887"/>
        <v>-0.76095481670929244</v>
      </c>
      <c r="T1811" s="6" t="s">
        <v>7898</v>
      </c>
      <c r="U1811" s="6" t="str">
        <f t="shared" si="871"/>
        <v>=1.173*100000000</v>
      </c>
      <c r="V1811" s="1">
        <f>1.173*100000000</f>
        <v>117300000</v>
      </c>
      <c r="W1811" s="8">
        <f t="shared" si="888"/>
        <v>0.11820781696854146</v>
      </c>
      <c r="X1811" s="6" t="s">
        <v>11322</v>
      </c>
      <c r="Y1811" s="6" t="str">
        <f t="shared" si="872"/>
        <v>=1.049*100000000</v>
      </c>
      <c r="Z1811" s="1">
        <f>1.049*100000000</f>
        <v>104900000</v>
      </c>
      <c r="AA1811" s="8">
        <f t="shared" si="889"/>
        <v>0.56567164179104479</v>
      </c>
      <c r="AB1811" s="7" t="s">
        <v>16511</v>
      </c>
      <c r="AC1811" s="6" t="str">
        <f t="shared" si="873"/>
        <v>=6700*10000</v>
      </c>
      <c r="AD1811" s="1">
        <f>6700*10000</f>
        <v>67000000</v>
      </c>
      <c r="AE1811" s="8">
        <f t="shared" si="890"/>
        <v>1.5197442647611885</v>
      </c>
      <c r="AF1811" s="7" t="s">
        <v>2092</v>
      </c>
      <c r="AG1811" s="6" t="str">
        <f t="shared" si="874"/>
        <v>=2659*10000</v>
      </c>
      <c r="AH1811" s="1">
        <f>2659*10000</f>
        <v>26590000</v>
      </c>
      <c r="AI1811" s="8">
        <f t="shared" si="891"/>
        <v>-0.5765923566878981</v>
      </c>
      <c r="AJ1811" s="7" t="s">
        <v>15727</v>
      </c>
      <c r="AK1811" s="6" t="str">
        <f t="shared" si="875"/>
        <v>=6280*10000</v>
      </c>
      <c r="AL1811" s="1">
        <f>6280*10000</f>
        <v>62800000</v>
      </c>
      <c r="AM1811" s="8">
        <f t="shared" si="892"/>
        <v>0.29725263375335675</v>
      </c>
      <c r="AN1811" s="7" t="s">
        <v>16216</v>
      </c>
      <c r="AO1811" s="6" t="str">
        <f t="shared" si="876"/>
        <v>=4841*10000</v>
      </c>
      <c r="AP1811" s="1">
        <f>4841*10000</f>
        <v>48410000</v>
      </c>
      <c r="AQ1811" s="8">
        <f t="shared" si="893"/>
        <v>0.54467134652201654</v>
      </c>
      <c r="AR1811" s="7" t="s">
        <v>16512</v>
      </c>
      <c r="AS1811" s="6" t="str">
        <f t="shared" si="877"/>
        <v>=3134*10000</v>
      </c>
      <c r="AT1811" s="1">
        <f>3134*10000</f>
        <v>31340000</v>
      </c>
      <c r="AU1811" s="8">
        <f t="shared" si="894"/>
        <v>1.8991674375578169</v>
      </c>
      <c r="AV1811" s="7" t="s">
        <v>6932</v>
      </c>
      <c r="AW1811" s="6" t="str">
        <f t="shared" si="878"/>
        <v>=1081*10000</v>
      </c>
      <c r="AX1811" s="1">
        <f>1081*10000</f>
        <v>10810000</v>
      </c>
      <c r="AY1811" s="10">
        <f t="shared" si="895"/>
        <v>-0.66891271056661561</v>
      </c>
      <c r="AZ1811" s="7" t="s">
        <v>4971</v>
      </c>
      <c r="BA1811" s="6" t="str">
        <f t="shared" si="879"/>
        <v>=3265*10000</v>
      </c>
      <c r="BB1811" s="1">
        <f>3265*10000</f>
        <v>32650000</v>
      </c>
      <c r="BC1811" s="8">
        <f t="shared" si="896"/>
        <v>0.16732213085448694</v>
      </c>
      <c r="BD1811" s="7" t="s">
        <v>16513</v>
      </c>
      <c r="BE1811" s="6" t="str">
        <f t="shared" si="880"/>
        <v>=2797*10000</v>
      </c>
      <c r="BF1811" s="1">
        <f>2797*10000</f>
        <v>27970000</v>
      </c>
      <c r="BG1811" s="8">
        <f t="shared" si="897"/>
        <v>5.3483992467043315E-2</v>
      </c>
      <c r="BH1811" s="7" t="s">
        <v>10839</v>
      </c>
      <c r="BI1811" s="6" t="str">
        <f t="shared" si="881"/>
        <v>=2655*10000</v>
      </c>
      <c r="BJ1811" s="1">
        <f>2655*10000</f>
        <v>26550000</v>
      </c>
      <c r="BK1811" s="7" t="s">
        <v>7577</v>
      </c>
      <c r="BL1811" s="1" t="str">
        <f t="shared" si="883"/>
        <v>=1069*10000</v>
      </c>
      <c r="BM1811" s="16">
        <f t="shared" si="898"/>
        <v>1.4836295603367633</v>
      </c>
      <c r="BN1811" s="1">
        <f>1069*10000</f>
        <v>10690000</v>
      </c>
    </row>
    <row r="1812" spans="1:66">
      <c r="A1812" s="18"/>
      <c r="B1812">
        <v>603577</v>
      </c>
      <c r="C1812" t="s">
        <v>58</v>
      </c>
      <c r="D1812" s="7" t="s">
        <v>16514</v>
      </c>
      <c r="E1812" s="7" t="str">
        <f t="shared" si="882"/>
        <v>=6476*10000</v>
      </c>
      <c r="F1812" s="1">
        <f>6476*10000</f>
        <v>64760000</v>
      </c>
      <c r="G1812" s="8">
        <f t="shared" si="884"/>
        <v>-0.1319034852546917</v>
      </c>
      <c r="H1812" s="7" t="s">
        <v>16515</v>
      </c>
      <c r="I1812" s="6" t="str">
        <f t="shared" si="868"/>
        <v>=7460*10000</v>
      </c>
      <c r="J1812" s="1">
        <f>7460*10000</f>
        <v>74600000</v>
      </c>
      <c r="K1812" s="10">
        <f t="shared" si="885"/>
        <v>0.40146533909449561</v>
      </c>
      <c r="L1812" s="7" t="s">
        <v>10089</v>
      </c>
      <c r="M1812" s="6" t="str">
        <f t="shared" si="869"/>
        <v>=5323*10000</v>
      </c>
      <c r="N1812" s="1">
        <f>5323*10000</f>
        <v>53230000</v>
      </c>
      <c r="O1812" s="8">
        <f t="shared" si="886"/>
        <v>0.90175062522329408</v>
      </c>
      <c r="P1812" s="7" t="s">
        <v>3176</v>
      </c>
      <c r="Q1812" s="6" t="str">
        <f t="shared" si="870"/>
        <v>=2799*10000</v>
      </c>
      <c r="R1812" s="11">
        <f>2799*10000</f>
        <v>27990000</v>
      </c>
      <c r="S1812" s="8">
        <f t="shared" si="887"/>
        <v>-0.75787197231833903</v>
      </c>
      <c r="T1812" s="6" t="s">
        <v>16516</v>
      </c>
      <c r="U1812" s="6" t="str">
        <f t="shared" si="871"/>
        <v>=1.156*100000000</v>
      </c>
      <c r="V1812" s="1">
        <f>1.156*100000000</f>
        <v>115599999.99999999</v>
      </c>
      <c r="W1812" s="8">
        <f t="shared" si="888"/>
        <v>0.12015503875968978</v>
      </c>
      <c r="X1812" s="6" t="s">
        <v>16517</v>
      </c>
      <c r="Y1812" s="6" t="str">
        <f t="shared" si="872"/>
        <v>=1.032*100000000</v>
      </c>
      <c r="Z1812" s="1">
        <f>1.032*100000000</f>
        <v>103200000</v>
      </c>
      <c r="AA1812" s="8">
        <f t="shared" si="889"/>
        <v>0.59579403123550334</v>
      </c>
      <c r="AB1812" s="7" t="s">
        <v>16518</v>
      </c>
      <c r="AC1812" s="6" t="str">
        <f t="shared" si="873"/>
        <v>=6467*10000</v>
      </c>
      <c r="AD1812" s="1">
        <f>6467*10000</f>
        <v>64670000</v>
      </c>
      <c r="AE1812" s="8">
        <f t="shared" si="890"/>
        <v>1.5027089783281733</v>
      </c>
      <c r="AF1812" s="7" t="s">
        <v>7385</v>
      </c>
      <c r="AG1812" s="6" t="str">
        <f t="shared" si="874"/>
        <v>=2584*10000</v>
      </c>
      <c r="AH1812" s="1">
        <f>2584*10000</f>
        <v>25840000</v>
      </c>
      <c r="AI1812" s="8">
        <f t="shared" si="891"/>
        <v>-0.5956181533646322</v>
      </c>
      <c r="AJ1812" s="7" t="s">
        <v>16519</v>
      </c>
      <c r="AK1812" s="6" t="str">
        <f t="shared" si="875"/>
        <v>=6390*10000</v>
      </c>
      <c r="AL1812" s="1">
        <f>6390*10000</f>
        <v>63900000</v>
      </c>
      <c r="AM1812" s="8">
        <f t="shared" si="892"/>
        <v>0.29509525739764897</v>
      </c>
      <c r="AN1812" s="7" t="s">
        <v>16520</v>
      </c>
      <c r="AO1812" s="6" t="str">
        <f t="shared" si="876"/>
        <v>=4934*10000</v>
      </c>
      <c r="AP1812" s="1">
        <f>4934*10000</f>
        <v>49340000</v>
      </c>
      <c r="AQ1812" s="8">
        <f t="shared" si="893"/>
        <v>0.52850061957868655</v>
      </c>
      <c r="AR1812" s="7" t="s">
        <v>16521</v>
      </c>
      <c r="AS1812" s="6" t="str">
        <f t="shared" si="877"/>
        <v>=3228*10000</v>
      </c>
      <c r="AT1812" s="1">
        <f>3228*10000</f>
        <v>32280000</v>
      </c>
      <c r="AU1812" s="8">
        <f t="shared" si="894"/>
        <v>1.9398907103825136</v>
      </c>
      <c r="AV1812" s="7" t="s">
        <v>15160</v>
      </c>
      <c r="AW1812" s="6" t="str">
        <f t="shared" si="878"/>
        <v>=1098*10000</v>
      </c>
      <c r="AX1812" s="1">
        <f>1098*10000</f>
        <v>10980000</v>
      </c>
      <c r="AY1812" s="10">
        <f t="shared" si="895"/>
        <v>-0.66967509025270755</v>
      </c>
      <c r="AZ1812" s="7" t="s">
        <v>16522</v>
      </c>
      <c r="BA1812" s="6" t="str">
        <f t="shared" si="879"/>
        <v>=3324*10000</v>
      </c>
      <c r="BB1812" s="1">
        <f>3324*10000</f>
        <v>33240000</v>
      </c>
      <c r="BC1812" s="8">
        <f t="shared" si="896"/>
        <v>0.1573816155988858</v>
      </c>
      <c r="BD1812" s="7" t="s">
        <v>1451</v>
      </c>
      <c r="BE1812" s="6" t="str">
        <f t="shared" si="880"/>
        <v>=2872*10000</v>
      </c>
      <c r="BF1812" s="1">
        <f>2872*10000</f>
        <v>28720000</v>
      </c>
      <c r="BG1812" s="8">
        <f t="shared" si="897"/>
        <v>6.1345158906134518E-2</v>
      </c>
      <c r="BH1812" s="7" t="s">
        <v>13120</v>
      </c>
      <c r="BI1812" s="6" t="str">
        <f t="shared" si="881"/>
        <v>=2706*10000</v>
      </c>
      <c r="BJ1812" s="1">
        <f>2706*10000</f>
        <v>27060000</v>
      </c>
      <c r="BK1812" s="7" t="s">
        <v>16523</v>
      </c>
      <c r="BL1812" s="1" t="str">
        <f t="shared" si="883"/>
        <v>=1039*10000</v>
      </c>
      <c r="BM1812" s="16">
        <f t="shared" si="898"/>
        <v>1.6044273339749759</v>
      </c>
      <c r="BN1812" s="1">
        <f>1039*10000</f>
        <v>10390000</v>
      </c>
    </row>
    <row r="1813" spans="1:66">
      <c r="A1813" s="19"/>
      <c r="B1813">
        <v>603577</v>
      </c>
      <c r="C1813" t="s">
        <v>68</v>
      </c>
      <c r="D1813" s="7" t="s">
        <v>16524</v>
      </c>
      <c r="E1813" s="7" t="str">
        <f t="shared" si="882"/>
        <v>=6684*10000</v>
      </c>
      <c r="F1813" s="1">
        <f>6684*10000</f>
        <v>66840000</v>
      </c>
      <c r="G1813" s="8">
        <f t="shared" si="884"/>
        <v>-8.0605226960110035E-2</v>
      </c>
      <c r="H1813" s="7" t="s">
        <v>16525</v>
      </c>
      <c r="I1813" s="6" t="str">
        <f t="shared" si="868"/>
        <v>=7270*10000</v>
      </c>
      <c r="J1813" s="1">
        <f>7270*10000</f>
        <v>72700000</v>
      </c>
      <c r="K1813" s="10">
        <f t="shared" si="885"/>
        <v>0.39005736137667302</v>
      </c>
      <c r="L1813" s="7" t="s">
        <v>16526</v>
      </c>
      <c r="M1813" s="6" t="str">
        <f t="shared" si="869"/>
        <v>=5230*10000</v>
      </c>
      <c r="N1813" s="1">
        <f>5230*10000</f>
        <v>52300000</v>
      </c>
      <c r="O1813" s="8">
        <f t="shared" si="886"/>
        <v>0.90389515835456857</v>
      </c>
      <c r="P1813" s="7" t="s">
        <v>9952</v>
      </c>
      <c r="Q1813" s="6" t="str">
        <f t="shared" si="870"/>
        <v>=2747*10000</v>
      </c>
      <c r="R1813" s="11">
        <f>2747*10000</f>
        <v>27470000</v>
      </c>
      <c r="S1813" s="8">
        <f t="shared" si="887"/>
        <v>-0.74084905660377354</v>
      </c>
      <c r="T1813" s="6" t="s">
        <v>16527</v>
      </c>
      <c r="U1813" s="6" t="str">
        <f t="shared" si="871"/>
        <v>=1.060*100000000</v>
      </c>
      <c r="V1813" s="1">
        <f>1.06*100000000</f>
        <v>106000000</v>
      </c>
      <c r="W1813" s="8">
        <f t="shared" si="888"/>
        <v>0.13746110097649963</v>
      </c>
      <c r="X1813" s="7" t="s">
        <v>16528</v>
      </c>
      <c r="Y1813" s="6" t="str">
        <f t="shared" si="872"/>
        <v>=9319*10000</v>
      </c>
      <c r="Z1813" s="1">
        <f>9319*10000</f>
        <v>93190000</v>
      </c>
      <c r="AA1813" s="8">
        <f t="shared" si="889"/>
        <v>0.58432505950357017</v>
      </c>
      <c r="AB1813" s="7" t="s">
        <v>16529</v>
      </c>
      <c r="AC1813" s="6" t="str">
        <f t="shared" si="873"/>
        <v>=5882*10000</v>
      </c>
      <c r="AD1813" s="1">
        <f>5882*10000</f>
        <v>58820000</v>
      </c>
      <c r="AE1813" s="8">
        <f t="shared" si="890"/>
        <v>1.5136752136752136</v>
      </c>
      <c r="AF1813" s="7" t="s">
        <v>16530</v>
      </c>
      <c r="AG1813" s="6" t="str">
        <f t="shared" si="874"/>
        <v>=2340*10000</v>
      </c>
      <c r="AH1813" s="1">
        <f>2340*10000</f>
        <v>23400000</v>
      </c>
      <c r="AI1813" s="8">
        <f t="shared" si="891"/>
        <v>-0.60895721925133695</v>
      </c>
      <c r="AJ1813" s="7" t="s">
        <v>16531</v>
      </c>
      <c r="AK1813" s="6" t="str">
        <f t="shared" si="875"/>
        <v>=5984*10000</v>
      </c>
      <c r="AL1813" s="1">
        <f>5984*10000</f>
        <v>59840000</v>
      </c>
      <c r="AM1813" s="8">
        <f t="shared" si="892"/>
        <v>0.31545394592218068</v>
      </c>
      <c r="AN1813" s="7" t="s">
        <v>10347</v>
      </c>
      <c r="AO1813" s="6" t="str">
        <f t="shared" si="876"/>
        <v>=4549*10000</v>
      </c>
      <c r="AP1813" s="1">
        <f>4549*10000</f>
        <v>45490000</v>
      </c>
      <c r="AQ1813" s="8">
        <f t="shared" si="893"/>
        <v>0.53682432432432436</v>
      </c>
      <c r="AR1813" s="7" t="s">
        <v>16532</v>
      </c>
      <c r="AS1813" s="6" t="str">
        <f t="shared" si="877"/>
        <v>=2960*10000</v>
      </c>
      <c r="AT1813" s="1">
        <f>2960*10000</f>
        <v>29600000</v>
      </c>
      <c r="AU1813" s="8">
        <f t="shared" si="894"/>
        <v>1.9570429570429571</v>
      </c>
      <c r="AV1813" s="7" t="s">
        <v>7963</v>
      </c>
      <c r="AW1813" s="6" t="str">
        <f t="shared" si="878"/>
        <v>=1001*10000</v>
      </c>
      <c r="AX1813" s="1">
        <f>1001*10000</f>
        <v>10010000</v>
      </c>
      <c r="AY1813" s="10">
        <f t="shared" si="895"/>
        <v>-0.68070175438596492</v>
      </c>
      <c r="AZ1813" s="7" t="s">
        <v>8269</v>
      </c>
      <c r="BA1813" s="6" t="str">
        <f t="shared" si="879"/>
        <v>=3135*10000</v>
      </c>
      <c r="BB1813" s="1">
        <f>3135*10000</f>
        <v>31350000</v>
      </c>
      <c r="BC1813" s="8">
        <f t="shared" si="896"/>
        <v>0.21984435797665369</v>
      </c>
      <c r="BD1813" s="7" t="s">
        <v>15548</v>
      </c>
      <c r="BE1813" s="6" t="str">
        <f t="shared" si="880"/>
        <v>=2570*10000</v>
      </c>
      <c r="BF1813" s="1">
        <f>2570*10000</f>
        <v>25700000</v>
      </c>
      <c r="BG1813" s="8">
        <f t="shared" si="897"/>
        <v>8.9444679949130981E-2</v>
      </c>
      <c r="BH1813" s="7" t="s">
        <v>16533</v>
      </c>
      <c r="BI1813" s="6" t="str">
        <f t="shared" si="881"/>
        <v>=2359*10000</v>
      </c>
      <c r="BJ1813" s="1">
        <f>2359*10000</f>
        <v>23590000</v>
      </c>
      <c r="BK1813" s="7" t="s">
        <v>16534</v>
      </c>
      <c r="BL1813" s="1" t="str">
        <f t="shared" si="883"/>
        <v>=867.8*10000</v>
      </c>
      <c r="BM1813" s="16">
        <f t="shared" si="898"/>
        <v>1.7183682876238764</v>
      </c>
      <c r="BN1813" s="1">
        <f>867.8*10000</f>
        <v>8678000</v>
      </c>
    </row>
    <row r="1814" spans="1:66">
      <c r="A1814" s="17">
        <v>455</v>
      </c>
      <c r="B1814">
        <v>603578</v>
      </c>
      <c r="C1814" t="s">
        <v>31</v>
      </c>
      <c r="D1814" s="6" t="s">
        <v>16535</v>
      </c>
      <c r="E1814" s="7" t="str">
        <f t="shared" si="882"/>
        <v>=8.259*100000000</v>
      </c>
      <c r="F1814" s="1">
        <f>8.259*100000000</f>
        <v>825900000</v>
      </c>
      <c r="G1814" s="8">
        <f t="shared" si="884"/>
        <v>0.35928242264647797</v>
      </c>
      <c r="H1814" s="6" t="s">
        <v>5364</v>
      </c>
      <c r="I1814" s="6" t="str">
        <f t="shared" si="868"/>
        <v>=6.076*100000000</v>
      </c>
      <c r="J1814" s="1">
        <f>6.076*100000000</f>
        <v>607600000</v>
      </c>
      <c r="K1814" s="10">
        <f t="shared" si="885"/>
        <v>0.64171845447176434</v>
      </c>
      <c r="L1814" s="6" t="s">
        <v>1968</v>
      </c>
      <c r="M1814" s="6" t="str">
        <f t="shared" si="869"/>
        <v>=3.701*100000000</v>
      </c>
      <c r="N1814" s="1">
        <f>3.701*100000000</f>
        <v>370100000</v>
      </c>
      <c r="O1814" s="8">
        <f t="shared" si="886"/>
        <v>1.3409234661606577</v>
      </c>
      <c r="P1814" s="6" t="s">
        <v>8264</v>
      </c>
      <c r="Q1814" s="6" t="str">
        <f t="shared" si="870"/>
        <v>=1.581*100000000</v>
      </c>
      <c r="R1814" s="11">
        <f>1.581*100000000</f>
        <v>158100000</v>
      </c>
      <c r="S1814" s="8">
        <f t="shared" si="887"/>
        <v>-0.72528236316246741</v>
      </c>
      <c r="T1814" s="6" t="s">
        <v>16536</v>
      </c>
      <c r="U1814" s="6" t="str">
        <f t="shared" si="871"/>
        <v>=5.755*100000000</v>
      </c>
      <c r="V1814" s="1">
        <f>5.755*100000000</f>
        <v>575500000</v>
      </c>
      <c r="W1814" s="8">
        <f t="shared" si="888"/>
        <v>0.35763151686718564</v>
      </c>
      <c r="X1814" s="6" t="s">
        <v>16537</v>
      </c>
      <c r="Y1814" s="6" t="str">
        <f t="shared" si="872"/>
        <v>=4.239*100000000</v>
      </c>
      <c r="Z1814" s="1">
        <f>4.239*100000000</f>
        <v>423900000</v>
      </c>
      <c r="AA1814" s="8">
        <f t="shared" si="889"/>
        <v>1.1184407796101949</v>
      </c>
      <c r="AB1814" s="6" t="s">
        <v>6230</v>
      </c>
      <c r="AC1814" s="6" t="str">
        <f t="shared" si="873"/>
        <v>=2.001*100000000</v>
      </c>
      <c r="AD1814" s="1">
        <f>2.001*100000000</f>
        <v>200100000</v>
      </c>
      <c r="AE1814" s="8">
        <f t="shared" si="890"/>
        <v>1.365807519508158</v>
      </c>
      <c r="AF1814" s="7" t="s">
        <v>16538</v>
      </c>
      <c r="AG1814" s="6" t="str">
        <f t="shared" si="874"/>
        <v>=8458*10000</v>
      </c>
      <c r="AH1814" s="1">
        <f>8458*10000</f>
        <v>84580000</v>
      </c>
      <c r="AI1814" s="8">
        <f t="shared" si="891"/>
        <v>-0.75123529411764711</v>
      </c>
      <c r="AJ1814" s="6" t="s">
        <v>2383</v>
      </c>
      <c r="AK1814" s="6" t="str">
        <f t="shared" si="875"/>
        <v>=3.400*100000000</v>
      </c>
      <c r="AL1814" s="1">
        <f>3.4*100000000</f>
        <v>340000000</v>
      </c>
      <c r="AM1814" s="8">
        <f t="shared" si="892"/>
        <v>0.37096774193548387</v>
      </c>
      <c r="AN1814" s="6" t="s">
        <v>7617</v>
      </c>
      <c r="AO1814" s="6" t="str">
        <f t="shared" si="876"/>
        <v>=2.480*100000000</v>
      </c>
      <c r="AP1814" s="1">
        <f>2.48*100000000</f>
        <v>248000000</v>
      </c>
      <c r="AQ1814" s="8">
        <f t="shared" si="893"/>
        <v>0.30457653866386114</v>
      </c>
      <c r="AR1814" s="6" t="s">
        <v>7442</v>
      </c>
      <c r="AS1814" s="6" t="str">
        <f t="shared" si="877"/>
        <v>=1.901*100000000</v>
      </c>
      <c r="AT1814" s="1">
        <f>1.901*100000000</f>
        <v>190100000</v>
      </c>
      <c r="AU1814" s="8">
        <f t="shared" si="894"/>
        <v>0.96343730634166491</v>
      </c>
      <c r="AV1814" s="7" t="s">
        <v>16539</v>
      </c>
      <c r="AW1814" s="6" t="str">
        <f t="shared" si="878"/>
        <v>=9682*10000</v>
      </c>
      <c r="AX1814" s="1">
        <f>9682*10000</f>
        <v>96820000</v>
      </c>
      <c r="AY1814" s="10">
        <f t="shared" si="895"/>
        <v>-0.70364248546066732</v>
      </c>
      <c r="AZ1814" s="6" t="s">
        <v>15576</v>
      </c>
      <c r="BA1814" s="6" t="str">
        <f t="shared" si="879"/>
        <v>=3.267*100000000</v>
      </c>
      <c r="BB1814" s="1">
        <f>3.267*100000000</f>
        <v>326700000</v>
      </c>
      <c r="BC1814" s="8">
        <f t="shared" si="896"/>
        <v>0.2613899613899614</v>
      </c>
      <c r="BD1814" s="6" t="s">
        <v>96</v>
      </c>
      <c r="BE1814" s="6" t="str">
        <f t="shared" si="880"/>
        <v>=2.590*100000000</v>
      </c>
      <c r="BF1814" s="1">
        <f>2.59*100000000</f>
        <v>259000000</v>
      </c>
      <c r="BG1814" s="8">
        <f t="shared" si="897"/>
        <v>0.32956878850102672</v>
      </c>
      <c r="BH1814" s="6" t="s">
        <v>16540</v>
      </c>
      <c r="BI1814" s="6" t="str">
        <f t="shared" si="881"/>
        <v>=1.948*100000000</v>
      </c>
      <c r="BJ1814" s="1">
        <f>1.948*100000000</f>
        <v>194800000</v>
      </c>
      <c r="BK1814" s="7" t="s">
        <v>16541</v>
      </c>
      <c r="BL1814" s="1" t="str">
        <f t="shared" si="883"/>
        <v>=8580*10000</v>
      </c>
      <c r="BM1814" s="16">
        <f t="shared" si="898"/>
        <v>1.2703962703962703</v>
      </c>
      <c r="BN1814" s="1">
        <f>8580*10000</f>
        <v>85800000</v>
      </c>
    </row>
    <row r="1815" spans="1:66">
      <c r="A1815" s="18"/>
      <c r="B1815">
        <v>603578</v>
      </c>
      <c r="C1815" t="s">
        <v>48</v>
      </c>
      <c r="D1815" s="6" t="s">
        <v>15783</v>
      </c>
      <c r="E1815" s="7" t="str">
        <f t="shared" si="882"/>
        <v>=1.066*100000000</v>
      </c>
      <c r="F1815" s="1">
        <f>1.066*100000000</f>
        <v>106600000</v>
      </c>
      <c r="G1815" s="8">
        <f t="shared" si="884"/>
        <v>0.15180983252296057</v>
      </c>
      <c r="H1815" s="7" t="s">
        <v>16542</v>
      </c>
      <c r="I1815" s="6" t="str">
        <f t="shared" si="868"/>
        <v>=9255*10000</v>
      </c>
      <c r="J1815" s="1">
        <f>9255*10000</f>
        <v>92550000</v>
      </c>
      <c r="K1815" s="10">
        <f t="shared" si="885"/>
        <v>0.26763457060676621</v>
      </c>
      <c r="L1815" s="7" t="s">
        <v>16543</v>
      </c>
      <c r="M1815" s="6" t="str">
        <f t="shared" si="869"/>
        <v>=7301*10000</v>
      </c>
      <c r="N1815" s="1">
        <f>7301*10000</f>
        <v>73010000</v>
      </c>
      <c r="O1815" s="8">
        <f t="shared" si="886"/>
        <v>1.6529796511627908</v>
      </c>
      <c r="P1815" s="7" t="s">
        <v>16544</v>
      </c>
      <c r="Q1815" s="6" t="str">
        <f t="shared" si="870"/>
        <v>=2752*10000</v>
      </c>
      <c r="R1815" s="11">
        <f>2752*10000</f>
        <v>27520000</v>
      </c>
      <c r="S1815" s="8">
        <f t="shared" si="887"/>
        <v>-0.69788121637940503</v>
      </c>
      <c r="T1815" s="7" t="s">
        <v>16545</v>
      </c>
      <c r="U1815" s="6" t="str">
        <f t="shared" si="871"/>
        <v>=9109*10000</v>
      </c>
      <c r="V1815" s="1">
        <f>9109*10000</f>
        <v>91090000</v>
      </c>
      <c r="W1815" s="8">
        <f t="shared" si="888"/>
        <v>0.20841071902361369</v>
      </c>
      <c r="X1815" s="7" t="s">
        <v>16546</v>
      </c>
      <c r="Y1815" s="6" t="str">
        <f t="shared" si="872"/>
        <v>=7538*10000</v>
      </c>
      <c r="Z1815" s="1">
        <f>7538*10000</f>
        <v>75380000</v>
      </c>
      <c r="AA1815" s="8">
        <f t="shared" si="889"/>
        <v>0.49890634320938554</v>
      </c>
      <c r="AB1815" s="7" t="s">
        <v>16547</v>
      </c>
      <c r="AC1815" s="6" t="str">
        <f t="shared" si="873"/>
        <v>=5029*10000</v>
      </c>
      <c r="AD1815" s="1">
        <f>5029*10000</f>
        <v>50290000</v>
      </c>
      <c r="AE1815" s="8">
        <f t="shared" si="890"/>
        <v>1.5032354405176704</v>
      </c>
      <c r="AF1815" s="7" t="s">
        <v>16548</v>
      </c>
      <c r="AG1815" s="6" t="str">
        <f t="shared" si="874"/>
        <v>=2009*10000</v>
      </c>
      <c r="AH1815" s="1">
        <f>2009*10000</f>
        <v>20090000</v>
      </c>
      <c r="AI1815" s="8">
        <f t="shared" si="891"/>
        <v>-0.70913565947589408</v>
      </c>
      <c r="AJ1815" s="7" t="s">
        <v>3503</v>
      </c>
      <c r="AK1815" s="6" t="str">
        <f t="shared" si="875"/>
        <v>=6907*10000</v>
      </c>
      <c r="AL1815" s="1">
        <f>6907*10000</f>
        <v>69070000</v>
      </c>
      <c r="AM1815" s="8">
        <f t="shared" si="892"/>
        <v>0.32597427529276252</v>
      </c>
      <c r="AN1815" s="7" t="s">
        <v>7684</v>
      </c>
      <c r="AO1815" s="6" t="str">
        <f t="shared" si="876"/>
        <v>=5209*10000</v>
      </c>
      <c r="AP1815" s="1">
        <f>5209*10000</f>
        <v>52090000</v>
      </c>
      <c r="AQ1815" s="8">
        <f t="shared" si="893"/>
        <v>0.2922351773753411</v>
      </c>
      <c r="AR1815" s="7" t="s">
        <v>11766</v>
      </c>
      <c r="AS1815" s="6" t="str">
        <f t="shared" si="877"/>
        <v>=4031*10000</v>
      </c>
      <c r="AT1815" s="1">
        <f>4031*10000</f>
        <v>40310000</v>
      </c>
      <c r="AU1815" s="8">
        <f t="shared" si="894"/>
        <v>1.2709859154929577</v>
      </c>
      <c r="AV1815" s="7" t="s">
        <v>16549</v>
      </c>
      <c r="AW1815" s="6" t="str">
        <f t="shared" si="878"/>
        <v>=1775*10000</v>
      </c>
      <c r="AX1815" s="1">
        <f>1775*10000</f>
        <v>17750000</v>
      </c>
      <c r="AY1815" s="10">
        <f t="shared" si="895"/>
        <v>-0.73487677371172522</v>
      </c>
      <c r="AZ1815" s="7" t="s">
        <v>16550</v>
      </c>
      <c r="BA1815" s="6" t="str">
        <f t="shared" si="879"/>
        <v>=6695*10000</v>
      </c>
      <c r="BB1815" s="1">
        <f>6695*10000</f>
        <v>66950000</v>
      </c>
      <c r="BC1815" s="8">
        <f t="shared" si="896"/>
        <v>0.20046620046620048</v>
      </c>
      <c r="BD1815" s="7" t="s">
        <v>16551</v>
      </c>
      <c r="BE1815" s="6" t="str">
        <f t="shared" si="880"/>
        <v>=5577*10000</v>
      </c>
      <c r="BF1815" s="1">
        <f>5577*10000</f>
        <v>55770000</v>
      </c>
      <c r="BG1815" s="8">
        <f t="shared" si="897"/>
        <v>0.39529647235426568</v>
      </c>
      <c r="BH1815" s="7" t="s">
        <v>16552</v>
      </c>
      <c r="BI1815" s="6" t="str">
        <f t="shared" si="881"/>
        <v>=3997*10000</v>
      </c>
      <c r="BJ1815" s="1">
        <f>3997*10000</f>
        <v>39970000</v>
      </c>
      <c r="BK1815" s="7" t="s">
        <v>16553</v>
      </c>
      <c r="BL1815" s="1" t="str">
        <f t="shared" si="883"/>
        <v>=1937*10000</v>
      </c>
      <c r="BM1815" s="16">
        <f t="shared" si="898"/>
        <v>1.0635002581311306</v>
      </c>
      <c r="BN1815" s="1">
        <f>1937*10000</f>
        <v>19370000</v>
      </c>
    </row>
    <row r="1816" spans="1:66">
      <c r="A1816" s="18"/>
      <c r="B1816">
        <v>603578</v>
      </c>
      <c r="C1816" t="s">
        <v>58</v>
      </c>
      <c r="D1816" s="6" t="s">
        <v>11322</v>
      </c>
      <c r="E1816" s="7" t="str">
        <f t="shared" si="882"/>
        <v>=1.049*100000000</v>
      </c>
      <c r="F1816" s="1">
        <f>1.049*100000000</f>
        <v>104900000</v>
      </c>
      <c r="G1816" s="8">
        <f t="shared" si="884"/>
        <v>0.14732582303401509</v>
      </c>
      <c r="H1816" s="7" t="s">
        <v>1502</v>
      </c>
      <c r="I1816" s="6" t="str">
        <f t="shared" si="868"/>
        <v>=9143*10000</v>
      </c>
      <c r="J1816" s="1">
        <f>9143*10000</f>
        <v>91430000</v>
      </c>
      <c r="K1816" s="10">
        <f t="shared" si="885"/>
        <v>0.25229420627311328</v>
      </c>
      <c r="L1816" s="7" t="s">
        <v>16543</v>
      </c>
      <c r="M1816" s="6" t="str">
        <f t="shared" si="869"/>
        <v>=7301*10000</v>
      </c>
      <c r="N1816" s="1">
        <f>7301*10000</f>
        <v>73010000</v>
      </c>
      <c r="O1816" s="8">
        <f t="shared" si="886"/>
        <v>1.6529796511627908</v>
      </c>
      <c r="P1816" s="7" t="s">
        <v>16544</v>
      </c>
      <c r="Q1816" s="6" t="str">
        <f t="shared" si="870"/>
        <v>=2752*10000</v>
      </c>
      <c r="R1816" s="11">
        <f>2752*10000</f>
        <v>27520000</v>
      </c>
      <c r="S1816" s="8">
        <f t="shared" si="887"/>
        <v>-0.69168720591530364</v>
      </c>
      <c r="T1816" s="7" t="s">
        <v>16112</v>
      </c>
      <c r="U1816" s="6" t="str">
        <f t="shared" si="871"/>
        <v>=8926*10000</v>
      </c>
      <c r="V1816" s="1">
        <f>8926*10000</f>
        <v>89260000</v>
      </c>
      <c r="W1816" s="8">
        <f t="shared" si="888"/>
        <v>0.20296495956873314</v>
      </c>
      <c r="X1816" s="7" t="s">
        <v>16554</v>
      </c>
      <c r="Y1816" s="6" t="str">
        <f t="shared" si="872"/>
        <v>=7420*10000</v>
      </c>
      <c r="Z1816" s="1">
        <f>7420*10000</f>
        <v>74200000</v>
      </c>
      <c r="AA1816" s="8">
        <f t="shared" si="889"/>
        <v>0.47838214783821481</v>
      </c>
      <c r="AB1816" s="7" t="s">
        <v>6279</v>
      </c>
      <c r="AC1816" s="6" t="str">
        <f t="shared" si="873"/>
        <v>=5019*10000</v>
      </c>
      <c r="AD1816" s="1">
        <f>5019*10000</f>
        <v>50190000</v>
      </c>
      <c r="AE1816" s="8">
        <f t="shared" si="890"/>
        <v>1.4982578397212543</v>
      </c>
      <c r="AF1816" s="7" t="s">
        <v>16548</v>
      </c>
      <c r="AG1816" s="6" t="str">
        <f t="shared" si="874"/>
        <v>=2009*10000</v>
      </c>
      <c r="AH1816" s="1">
        <f>2009*10000</f>
        <v>20090000</v>
      </c>
      <c r="AI1816" s="8">
        <f t="shared" si="891"/>
        <v>-0.703161938534279</v>
      </c>
      <c r="AJ1816" s="7" t="s">
        <v>16555</v>
      </c>
      <c r="AK1816" s="6" t="str">
        <f t="shared" si="875"/>
        <v>=6768*10000</v>
      </c>
      <c r="AL1816" s="1">
        <f>6768*10000</f>
        <v>67680000</v>
      </c>
      <c r="AM1816" s="8">
        <f t="shared" si="892"/>
        <v>0.30681598764240203</v>
      </c>
      <c r="AN1816" s="7" t="s">
        <v>16556</v>
      </c>
      <c r="AO1816" s="6" t="str">
        <f t="shared" si="876"/>
        <v>=5179*10000</v>
      </c>
      <c r="AP1816" s="1">
        <f>5179*10000</f>
        <v>51790000</v>
      </c>
      <c r="AQ1816" s="8">
        <f t="shared" si="893"/>
        <v>0.28479285537087573</v>
      </c>
      <c r="AR1816" s="7" t="s">
        <v>11766</v>
      </c>
      <c r="AS1816" s="6" t="str">
        <f t="shared" si="877"/>
        <v>=4031*10000</v>
      </c>
      <c r="AT1816" s="1">
        <f>4031*10000</f>
        <v>40310000</v>
      </c>
      <c r="AU1816" s="8">
        <f t="shared" si="894"/>
        <v>1.2709859154929577</v>
      </c>
      <c r="AV1816" s="7" t="s">
        <v>16549</v>
      </c>
      <c r="AW1816" s="6" t="str">
        <f t="shared" si="878"/>
        <v>=1775*10000</v>
      </c>
      <c r="AX1816" s="1">
        <f>1775*10000</f>
        <v>17750000</v>
      </c>
      <c r="AY1816" s="10">
        <f t="shared" si="895"/>
        <v>-0.73459928229665072</v>
      </c>
      <c r="AZ1816" s="7" t="s">
        <v>16557</v>
      </c>
      <c r="BA1816" s="6" t="str">
        <f t="shared" si="879"/>
        <v>=6688*10000</v>
      </c>
      <c r="BB1816" s="1">
        <f>6688*10000</f>
        <v>66880000</v>
      </c>
      <c r="BC1816" s="8">
        <f t="shared" si="896"/>
        <v>0.19343326195574589</v>
      </c>
      <c r="BD1816" s="7" t="s">
        <v>16558</v>
      </c>
      <c r="BE1816" s="6" t="str">
        <f t="shared" si="880"/>
        <v>=5604*10000</v>
      </c>
      <c r="BF1816" s="1">
        <f>5604*10000</f>
        <v>56040000</v>
      </c>
      <c r="BG1816" s="8">
        <f t="shared" si="897"/>
        <v>0.39264413518886682</v>
      </c>
      <c r="BH1816" s="7" t="s">
        <v>16559</v>
      </c>
      <c r="BI1816" s="6" t="str">
        <f t="shared" si="881"/>
        <v>=4024*10000</v>
      </c>
      <c r="BJ1816" s="1">
        <f>4024*10000</f>
        <v>40240000</v>
      </c>
      <c r="BK1816" s="7" t="s">
        <v>16553</v>
      </c>
      <c r="BL1816" s="1" t="str">
        <f t="shared" si="883"/>
        <v>=1937*10000</v>
      </c>
      <c r="BM1816" s="16">
        <f t="shared" si="898"/>
        <v>1.0774393391843056</v>
      </c>
      <c r="BN1816" s="1">
        <f>1937*10000</f>
        <v>19370000</v>
      </c>
    </row>
    <row r="1817" spans="1:66">
      <c r="A1817" s="19"/>
      <c r="B1817">
        <v>603578</v>
      </c>
      <c r="C1817" t="s">
        <v>68</v>
      </c>
      <c r="D1817" s="7" t="s">
        <v>7614</v>
      </c>
      <c r="E1817" s="7" t="str">
        <f t="shared" si="882"/>
        <v>=9543*10000</v>
      </c>
      <c r="F1817" s="1">
        <f>9543*10000</f>
        <v>95430000</v>
      </c>
      <c r="G1817" s="8">
        <f t="shared" si="884"/>
        <v>0.16024316109422493</v>
      </c>
      <c r="H1817" s="7" t="s">
        <v>16560</v>
      </c>
      <c r="I1817" s="6" t="str">
        <f t="shared" si="868"/>
        <v>=8225*10000</v>
      </c>
      <c r="J1817" s="1">
        <f>8225*10000</f>
        <v>82250000</v>
      </c>
      <c r="K1817" s="10">
        <f t="shared" si="885"/>
        <v>0.2559169338830356</v>
      </c>
      <c r="L1817" s="7" t="s">
        <v>16561</v>
      </c>
      <c r="M1817" s="6" t="str">
        <f t="shared" si="869"/>
        <v>=6549*10000</v>
      </c>
      <c r="N1817" s="1">
        <f>6549*10000</f>
        <v>65490000</v>
      </c>
      <c r="O1817" s="8">
        <f t="shared" si="886"/>
        <v>1.6248496993987975</v>
      </c>
      <c r="P1817" s="7" t="s">
        <v>6507</v>
      </c>
      <c r="Q1817" s="6" t="str">
        <f t="shared" si="870"/>
        <v>=2495*10000</v>
      </c>
      <c r="R1817" s="11">
        <f>2495*10000</f>
        <v>24950000</v>
      </c>
      <c r="S1817" s="8">
        <f t="shared" si="887"/>
        <v>-0.68473591104372</v>
      </c>
      <c r="T1817" s="7" t="s">
        <v>16562</v>
      </c>
      <c r="U1817" s="6" t="str">
        <f t="shared" si="871"/>
        <v>=7914*10000</v>
      </c>
      <c r="V1817" s="1">
        <f>7914*10000</f>
        <v>79140000</v>
      </c>
      <c r="W1817" s="8">
        <f t="shared" si="888"/>
        <v>0.20732265446224257</v>
      </c>
      <c r="X1817" s="7" t="s">
        <v>16563</v>
      </c>
      <c r="Y1817" s="6" t="str">
        <f t="shared" si="872"/>
        <v>=6555*10000</v>
      </c>
      <c r="Z1817" s="1">
        <f>6555*10000</f>
        <v>65550000</v>
      </c>
      <c r="AA1817" s="8">
        <f t="shared" si="889"/>
        <v>0.4830316742081448</v>
      </c>
      <c r="AB1817" s="7" t="s">
        <v>15226</v>
      </c>
      <c r="AC1817" s="6" t="str">
        <f t="shared" si="873"/>
        <v>=4420*10000</v>
      </c>
      <c r="AD1817" s="1">
        <f>4420*10000</f>
        <v>44200000</v>
      </c>
      <c r="AE1817" s="8">
        <f t="shared" si="890"/>
        <v>1.4325811777655475</v>
      </c>
      <c r="AF1817" s="7" t="s">
        <v>16564</v>
      </c>
      <c r="AG1817" s="6" t="str">
        <f t="shared" si="874"/>
        <v>=1817*10000</v>
      </c>
      <c r="AH1817" s="1">
        <f>1817*10000</f>
        <v>18170000</v>
      </c>
      <c r="AI1817" s="8">
        <f t="shared" si="891"/>
        <v>-0.70503246753246751</v>
      </c>
      <c r="AJ1817" s="7" t="s">
        <v>16565</v>
      </c>
      <c r="AK1817" s="6" t="str">
        <f t="shared" si="875"/>
        <v>=6160*10000</v>
      </c>
      <c r="AL1817" s="1">
        <f>6160*10000</f>
        <v>61600000</v>
      </c>
      <c r="AM1817" s="8">
        <f t="shared" si="892"/>
        <v>0.31091721642902748</v>
      </c>
      <c r="AN1817" s="7" t="s">
        <v>16566</v>
      </c>
      <c r="AO1817" s="6" t="str">
        <f t="shared" si="876"/>
        <v>=4699*10000</v>
      </c>
      <c r="AP1817" s="1">
        <f>4699*10000</f>
        <v>46990000</v>
      </c>
      <c r="AQ1817" s="8">
        <f t="shared" si="893"/>
        <v>0.29878385848535105</v>
      </c>
      <c r="AR1817" s="7" t="s">
        <v>16567</v>
      </c>
      <c r="AS1817" s="6" t="str">
        <f t="shared" si="877"/>
        <v>=3618*10000</v>
      </c>
      <c r="AT1817" s="1">
        <f>3618*10000</f>
        <v>36180000</v>
      </c>
      <c r="AU1817" s="8">
        <f t="shared" si="894"/>
        <v>1.2884250474383301</v>
      </c>
      <c r="AV1817" s="7" t="s">
        <v>15290</v>
      </c>
      <c r="AW1817" s="6" t="str">
        <f t="shared" si="878"/>
        <v>=1581*10000</v>
      </c>
      <c r="AX1817" s="1">
        <f>1581*10000</f>
        <v>15810000</v>
      </c>
      <c r="AY1817" s="10">
        <f t="shared" si="895"/>
        <v>-0.73671940049958373</v>
      </c>
      <c r="AZ1817" s="7" t="s">
        <v>7567</v>
      </c>
      <c r="BA1817" s="6" t="str">
        <f t="shared" si="879"/>
        <v>=6005*10000</v>
      </c>
      <c r="BB1817" s="1">
        <f>6005*10000</f>
        <v>60050000</v>
      </c>
      <c r="BC1817" s="8">
        <f t="shared" si="896"/>
        <v>0.19146825396825398</v>
      </c>
      <c r="BD1817" s="7" t="s">
        <v>15705</v>
      </c>
      <c r="BE1817" s="6" t="str">
        <f t="shared" si="880"/>
        <v>=5040*10000</v>
      </c>
      <c r="BF1817" s="1">
        <f>5040*10000</f>
        <v>50400000</v>
      </c>
      <c r="BG1817" s="8">
        <f t="shared" si="897"/>
        <v>0.40742809271153307</v>
      </c>
      <c r="BH1817" s="7" t="s">
        <v>2217</v>
      </c>
      <c r="BI1817" s="6" t="str">
        <f t="shared" si="881"/>
        <v>=3581*10000</v>
      </c>
      <c r="BJ1817" s="1">
        <f>3581*10000</f>
        <v>35810000</v>
      </c>
      <c r="BK1817" s="7" t="s">
        <v>13844</v>
      </c>
      <c r="BL1817" s="1" t="str">
        <f t="shared" si="883"/>
        <v>=1727*10000</v>
      </c>
      <c r="BM1817" s="16">
        <f t="shared" si="898"/>
        <v>1.0735379270411118</v>
      </c>
      <c r="BN1817" s="1">
        <f>1727*10000</f>
        <v>17270000</v>
      </c>
    </row>
    <row r="1818" spans="1:66">
      <c r="A1818" s="17">
        <v>456</v>
      </c>
      <c r="B1818">
        <v>603580</v>
      </c>
      <c r="C1818" t="s">
        <v>31</v>
      </c>
      <c r="D1818" s="6" t="s">
        <v>5006</v>
      </c>
      <c r="E1818" s="7" t="str">
        <f t="shared" si="882"/>
        <v>=2.525*100000000</v>
      </c>
      <c r="F1818" s="1">
        <f>2.525*100000000</f>
        <v>252500000</v>
      </c>
      <c r="G1818" s="8">
        <f t="shared" si="884"/>
        <v>0.22039632672788786</v>
      </c>
      <c r="H1818" s="6" t="s">
        <v>2333</v>
      </c>
      <c r="I1818" s="6" t="str">
        <f t="shared" si="868"/>
        <v>=2.069*100000000</v>
      </c>
      <c r="J1818" s="1">
        <f>2.069*100000000</f>
        <v>206900000</v>
      </c>
      <c r="K1818" s="10">
        <f t="shared" si="885"/>
        <v>0.5952197378565921</v>
      </c>
      <c r="L1818" s="6" t="s">
        <v>10284</v>
      </c>
      <c r="M1818" s="6" t="str">
        <f t="shared" si="869"/>
        <v>=1.297*100000000</v>
      </c>
      <c r="N1818" s="1">
        <f>1.297*100000000</f>
        <v>129700000</v>
      </c>
      <c r="O1818" s="8">
        <f t="shared" si="886"/>
        <v>1.9165729705419383</v>
      </c>
      <c r="P1818" s="7" t="s">
        <v>2580</v>
      </c>
      <c r="Q1818" s="6" t="str">
        <f t="shared" si="870"/>
        <v>=4447*10000</v>
      </c>
      <c r="R1818" s="11">
        <f>4447*10000</f>
        <v>44470000</v>
      </c>
      <c r="S1818" s="8">
        <f t="shared" si="887"/>
        <v>-0.7710092687950566</v>
      </c>
      <c r="T1818" s="6" t="s">
        <v>2972</v>
      </c>
      <c r="U1818" s="6" t="str">
        <f t="shared" si="871"/>
        <v>=1.942*100000000</v>
      </c>
      <c r="V1818" s="1">
        <f>1.942*100000000</f>
        <v>194200000</v>
      </c>
      <c r="W1818" s="8">
        <f t="shared" si="888"/>
        <v>0.25940337224383919</v>
      </c>
      <c r="X1818" s="6" t="s">
        <v>16568</v>
      </c>
      <c r="Y1818" s="6" t="str">
        <f t="shared" si="872"/>
        <v>=1.542*100000000</v>
      </c>
      <c r="Z1818" s="1">
        <f>1.542*100000000</f>
        <v>154200000</v>
      </c>
      <c r="AA1818" s="8">
        <f t="shared" si="889"/>
        <v>0.83309557774607701</v>
      </c>
      <c r="AB1818" s="7" t="s">
        <v>16569</v>
      </c>
      <c r="AC1818" s="6" t="str">
        <f t="shared" si="873"/>
        <v>=8412*10000</v>
      </c>
      <c r="AD1818" s="1">
        <f>8412*10000</f>
        <v>84120000</v>
      </c>
      <c r="AE1818" s="8">
        <f t="shared" si="890"/>
        <v>1.3386155129274395</v>
      </c>
      <c r="AF1818" s="7" t="s">
        <v>11026</v>
      </c>
      <c r="AG1818" s="6" t="str">
        <f t="shared" si="874"/>
        <v>=3597*10000</v>
      </c>
      <c r="AH1818" s="1">
        <f>3597*10000</f>
        <v>35970000</v>
      </c>
      <c r="AI1818" s="8">
        <f t="shared" si="891"/>
        <v>-0.81410852713178294</v>
      </c>
      <c r="AJ1818" s="6" t="s">
        <v>2182</v>
      </c>
      <c r="AK1818" s="6" t="str">
        <f t="shared" si="875"/>
        <v>=1.935*100000000</v>
      </c>
      <c r="AL1818" s="1">
        <f>1.935*100000000</f>
        <v>193500000</v>
      </c>
      <c r="AM1818" s="8">
        <f t="shared" si="892"/>
        <v>0.31364562118126271</v>
      </c>
      <c r="AN1818" s="6" t="s">
        <v>11698</v>
      </c>
      <c r="AO1818" s="6" t="str">
        <f t="shared" si="876"/>
        <v>=1.473*100000000</v>
      </c>
      <c r="AP1818" s="1">
        <f>1.473*100000000</f>
        <v>147300000</v>
      </c>
      <c r="AQ1818" s="8">
        <f t="shared" si="893"/>
        <v>0.62978535074131448</v>
      </c>
      <c r="AR1818" s="7" t="s">
        <v>9169</v>
      </c>
      <c r="AS1818" s="6" t="str">
        <f t="shared" si="877"/>
        <v>=9038*10000</v>
      </c>
      <c r="AT1818" s="1">
        <f>9038*10000</f>
        <v>90380000</v>
      </c>
      <c r="AU1818" s="8">
        <f t="shared" si="894"/>
        <v>1.2782959415175195</v>
      </c>
      <c r="AV1818" s="7" t="s">
        <v>16414</v>
      </c>
      <c r="AW1818" s="6" t="str">
        <f t="shared" si="878"/>
        <v>=3967*10000</v>
      </c>
      <c r="AX1818" s="1">
        <f>3967*10000</f>
        <v>39670000</v>
      </c>
      <c r="AY1818" s="10">
        <f t="shared" si="895"/>
        <v>-0.78910154173312064</v>
      </c>
      <c r="AZ1818" s="6" t="s">
        <v>1511</v>
      </c>
      <c r="BA1818" s="6" t="str">
        <f t="shared" si="879"/>
        <v>=1.881*100000000</v>
      </c>
      <c r="BB1818" s="1">
        <f>1.881*100000000</f>
        <v>188100000</v>
      </c>
      <c r="BC1818" s="8">
        <f t="shared" si="896"/>
        <v>0.30988857938718661</v>
      </c>
      <c r="BD1818" s="6" t="s">
        <v>7827</v>
      </c>
      <c r="BE1818" s="6" t="str">
        <f t="shared" si="880"/>
        <v>=1.436*100000000</v>
      </c>
      <c r="BF1818" s="1">
        <f>1.436*100000000</f>
        <v>143600000</v>
      </c>
      <c r="BG1818" s="8">
        <f t="shared" si="897"/>
        <v>0.62535370684776459</v>
      </c>
      <c r="BH1818" s="7" t="s">
        <v>16570</v>
      </c>
      <c r="BI1818" s="6" t="str">
        <f t="shared" si="881"/>
        <v>=8835*10000</v>
      </c>
      <c r="BJ1818" s="1">
        <f>8835*10000</f>
        <v>88350000</v>
      </c>
      <c r="BK1818" s="7" t="s">
        <v>16571</v>
      </c>
      <c r="BL1818" s="1" t="str">
        <f t="shared" si="883"/>
        <v>=3984*10000</v>
      </c>
      <c r="BM1818" s="16">
        <f t="shared" si="898"/>
        <v>1.2176204819277108</v>
      </c>
      <c r="BN1818" s="1">
        <f>3984*10000</f>
        <v>39840000</v>
      </c>
    </row>
    <row r="1819" spans="1:66">
      <c r="A1819" s="18"/>
      <c r="B1819">
        <v>603580</v>
      </c>
      <c r="C1819" t="s">
        <v>48</v>
      </c>
      <c r="D1819" s="7" t="s">
        <v>16572</v>
      </c>
      <c r="E1819" s="7" t="str">
        <f t="shared" si="882"/>
        <v>=3734*10000</v>
      </c>
      <c r="F1819" s="1">
        <f>3734*10000</f>
        <v>37340000</v>
      </c>
      <c r="G1819" s="8">
        <f t="shared" si="884"/>
        <v>4.3599776411403016E-2</v>
      </c>
      <c r="H1819" s="7" t="s">
        <v>16573</v>
      </c>
      <c r="I1819" s="6" t="str">
        <f t="shared" si="868"/>
        <v>=3578*10000</v>
      </c>
      <c r="J1819" s="1">
        <f>3578*10000</f>
        <v>35780000</v>
      </c>
      <c r="K1819" s="10">
        <f t="shared" si="885"/>
        <v>0.58880994671403197</v>
      </c>
      <c r="L1819" s="7" t="s">
        <v>16574</v>
      </c>
      <c r="M1819" s="6" t="str">
        <f t="shared" si="869"/>
        <v>=2252*10000</v>
      </c>
      <c r="N1819" s="1">
        <f>2252*10000</f>
        <v>22520000</v>
      </c>
      <c r="O1819" s="8">
        <f t="shared" si="886"/>
        <v>3.5716605765326839</v>
      </c>
      <c r="P1819" s="7" t="s">
        <v>16575</v>
      </c>
      <c r="Q1819" s="6" t="str">
        <f t="shared" si="870"/>
        <v>=492.6*10000</v>
      </c>
      <c r="R1819" s="11">
        <f>492.6*10000</f>
        <v>4926000</v>
      </c>
      <c r="S1819" s="8">
        <f t="shared" si="887"/>
        <v>-0.86255580357142858</v>
      </c>
      <c r="T1819" s="7" t="s">
        <v>16576</v>
      </c>
      <c r="U1819" s="6" t="str">
        <f t="shared" si="871"/>
        <v>=3584*10000</v>
      </c>
      <c r="V1819" s="1">
        <f>3584*10000</f>
        <v>35840000</v>
      </c>
      <c r="W1819" s="8">
        <f t="shared" si="888"/>
        <v>0.16514954486345904</v>
      </c>
      <c r="X1819" s="7" t="s">
        <v>16577</v>
      </c>
      <c r="Y1819" s="6" t="str">
        <f t="shared" si="872"/>
        <v>=3076*10000</v>
      </c>
      <c r="Z1819" s="1">
        <f>3076*10000</f>
        <v>30760000</v>
      </c>
      <c r="AA1819" s="8">
        <f t="shared" si="889"/>
        <v>0.62065331928345624</v>
      </c>
      <c r="AB1819" s="7" t="s">
        <v>16578</v>
      </c>
      <c r="AC1819" s="6" t="str">
        <f t="shared" si="873"/>
        <v>=1898*10000</v>
      </c>
      <c r="AD1819" s="1">
        <f>1898*10000</f>
        <v>18980000</v>
      </c>
      <c r="AE1819" s="8">
        <f t="shared" si="890"/>
        <v>3.6337890625</v>
      </c>
      <c r="AF1819" s="7" t="s">
        <v>16579</v>
      </c>
      <c r="AG1819" s="6" t="str">
        <f t="shared" si="874"/>
        <v>=409.6*10000</v>
      </c>
      <c r="AH1819" s="1">
        <f>409.6*10000</f>
        <v>4096000</v>
      </c>
      <c r="AI1819" s="8">
        <f t="shared" si="891"/>
        <v>-0.89486652977412728</v>
      </c>
      <c r="AJ1819" s="7" t="s">
        <v>16580</v>
      </c>
      <c r="AK1819" s="6" t="str">
        <f t="shared" si="875"/>
        <v>=3896*10000</v>
      </c>
      <c r="AL1819" s="1">
        <f>3896*10000</f>
        <v>38960000</v>
      </c>
      <c r="AM1819" s="8">
        <f t="shared" si="892"/>
        <v>0.233692210259658</v>
      </c>
      <c r="AN1819" s="7" t="s">
        <v>3753</v>
      </c>
      <c r="AO1819" s="6" t="str">
        <f t="shared" si="876"/>
        <v>=3158*10000</v>
      </c>
      <c r="AP1819" s="1">
        <f>3158*10000</f>
        <v>31580000</v>
      </c>
      <c r="AQ1819" s="8">
        <f t="shared" si="893"/>
        <v>0.69148366363149438</v>
      </c>
      <c r="AR1819" s="7" t="s">
        <v>16581</v>
      </c>
      <c r="AS1819" s="6" t="str">
        <f t="shared" si="877"/>
        <v>=1867*10000</v>
      </c>
      <c r="AT1819" s="1">
        <f>1867*10000</f>
        <v>18670000</v>
      </c>
      <c r="AU1819" s="8">
        <f t="shared" si="894"/>
        <v>2.3428827215756489</v>
      </c>
      <c r="AV1819" s="7" t="s">
        <v>16582</v>
      </c>
      <c r="AW1819" s="6" t="str">
        <f t="shared" si="878"/>
        <v>=558.5*10000</v>
      </c>
      <c r="AX1819" s="1">
        <f>558.5*10000</f>
        <v>5585000</v>
      </c>
      <c r="AY1819" s="10">
        <f t="shared" si="895"/>
        <v>-0.8716681985294118</v>
      </c>
      <c r="AZ1819" s="7" t="s">
        <v>2940</v>
      </c>
      <c r="BA1819" s="6" t="str">
        <f t="shared" si="879"/>
        <v>=4352*10000</v>
      </c>
      <c r="BB1819" s="1">
        <f>4352*10000</f>
        <v>43520000</v>
      </c>
      <c r="BC1819" s="8">
        <f t="shared" si="896"/>
        <v>0.12804561949196475</v>
      </c>
      <c r="BD1819" s="7" t="s">
        <v>16583</v>
      </c>
      <c r="BE1819" s="6" t="str">
        <f t="shared" si="880"/>
        <v>=3858*10000</v>
      </c>
      <c r="BF1819" s="1">
        <f>3858*10000</f>
        <v>38580000</v>
      </c>
      <c r="BG1819" s="8">
        <f t="shared" si="897"/>
        <v>0.78116343490304707</v>
      </c>
      <c r="BH1819" s="7" t="s">
        <v>16584</v>
      </c>
      <c r="BI1819" s="6" t="str">
        <f t="shared" si="881"/>
        <v>=2166*10000</v>
      </c>
      <c r="BJ1819" s="1">
        <f>2166*10000</f>
        <v>21660000</v>
      </c>
      <c r="BK1819" s="7" t="s">
        <v>16585</v>
      </c>
      <c r="BL1819" s="1" t="str">
        <f t="shared" si="883"/>
        <v>=579.8*10000</v>
      </c>
      <c r="BM1819" s="16">
        <f t="shared" si="898"/>
        <v>2.7357709555018972</v>
      </c>
      <c r="BN1819" s="1">
        <f>579.8*10000</f>
        <v>5798000</v>
      </c>
    </row>
    <row r="1820" spans="1:66">
      <c r="A1820" s="18"/>
      <c r="B1820">
        <v>603580</v>
      </c>
      <c r="C1820" t="s">
        <v>58</v>
      </c>
      <c r="D1820" s="7" t="s">
        <v>16586</v>
      </c>
      <c r="E1820" s="7" t="str">
        <f t="shared" si="882"/>
        <v>=3725*10000</v>
      </c>
      <c r="F1820" s="1">
        <f>3725*10000</f>
        <v>37250000</v>
      </c>
      <c r="G1820" s="8">
        <f t="shared" si="884"/>
        <v>4.693648116919618E-2</v>
      </c>
      <c r="H1820" s="7" t="s">
        <v>16587</v>
      </c>
      <c r="I1820" s="6" t="str">
        <f t="shared" si="868"/>
        <v>=3558*10000</v>
      </c>
      <c r="J1820" s="1">
        <f>3558*10000</f>
        <v>35580000</v>
      </c>
      <c r="K1820" s="10">
        <f t="shared" si="885"/>
        <v>0.58414959928762245</v>
      </c>
      <c r="L1820" s="7" t="s">
        <v>7493</v>
      </c>
      <c r="M1820" s="6" t="str">
        <f t="shared" si="869"/>
        <v>=2246*10000</v>
      </c>
      <c r="N1820" s="1">
        <f>2246*10000</f>
        <v>22460000</v>
      </c>
      <c r="O1820" s="8">
        <f t="shared" si="886"/>
        <v>3.5622587852935204</v>
      </c>
      <c r="P1820" s="7" t="s">
        <v>16588</v>
      </c>
      <c r="Q1820" s="6" t="str">
        <f t="shared" si="870"/>
        <v>=492.3*10000</v>
      </c>
      <c r="R1820" s="11">
        <f>492.3*10000</f>
        <v>4923000</v>
      </c>
      <c r="S1820" s="8">
        <f t="shared" si="887"/>
        <v>-0.85906097910105927</v>
      </c>
      <c r="T1820" s="7" t="s">
        <v>10562</v>
      </c>
      <c r="U1820" s="6" t="str">
        <f t="shared" si="871"/>
        <v>=3493*10000</v>
      </c>
      <c r="V1820" s="1">
        <f>3493*10000</f>
        <v>34930000</v>
      </c>
      <c r="W1820" s="8">
        <f t="shared" si="888"/>
        <v>0.17847503373819162</v>
      </c>
      <c r="X1820" s="7" t="s">
        <v>16589</v>
      </c>
      <c r="Y1820" s="6" t="str">
        <f t="shared" si="872"/>
        <v>=2964*10000</v>
      </c>
      <c r="Z1820" s="1">
        <f>2964*10000</f>
        <v>29640000</v>
      </c>
      <c r="AA1820" s="8">
        <f t="shared" si="889"/>
        <v>0.5757575757575758</v>
      </c>
      <c r="AB1820" s="7" t="s">
        <v>3924</v>
      </c>
      <c r="AC1820" s="6" t="str">
        <f t="shared" si="873"/>
        <v>=1881*10000</v>
      </c>
      <c r="AD1820" s="1">
        <f>1881*10000</f>
        <v>18810000</v>
      </c>
      <c r="AE1820" s="8">
        <f t="shared" si="890"/>
        <v>3.8429454170957777</v>
      </c>
      <c r="AF1820" s="7" t="s">
        <v>16590</v>
      </c>
      <c r="AG1820" s="6" t="str">
        <f t="shared" si="874"/>
        <v>=388.4*10000</v>
      </c>
      <c r="AH1820" s="1">
        <f>388.4*10000</f>
        <v>3884000</v>
      </c>
      <c r="AI1820" s="8">
        <f t="shared" si="891"/>
        <v>-0.90480392156862743</v>
      </c>
      <c r="AJ1820" s="7" t="s">
        <v>16247</v>
      </c>
      <c r="AK1820" s="6" t="str">
        <f t="shared" si="875"/>
        <v>=4080*10000</v>
      </c>
      <c r="AL1820" s="1">
        <f>4080*10000</f>
        <v>40800000</v>
      </c>
      <c r="AM1820" s="8">
        <f t="shared" si="892"/>
        <v>0.29729729729729731</v>
      </c>
      <c r="AN1820" s="7" t="s">
        <v>16031</v>
      </c>
      <c r="AO1820" s="6" t="str">
        <f t="shared" si="876"/>
        <v>=3145*10000</v>
      </c>
      <c r="AP1820" s="1">
        <f>3145*10000</f>
        <v>31450000</v>
      </c>
      <c r="AQ1820" s="8">
        <f t="shared" si="893"/>
        <v>0.69541778975741242</v>
      </c>
      <c r="AR1820" s="7" t="s">
        <v>12372</v>
      </c>
      <c r="AS1820" s="6" t="str">
        <f t="shared" si="877"/>
        <v>=1855*10000</v>
      </c>
      <c r="AT1820" s="1">
        <f>1855*10000</f>
        <v>18550000</v>
      </c>
      <c r="AU1820" s="8">
        <f t="shared" si="894"/>
        <v>2.3213965980304385</v>
      </c>
      <c r="AV1820" s="7" t="s">
        <v>16582</v>
      </c>
      <c r="AW1820" s="6" t="str">
        <f t="shared" si="878"/>
        <v>=558.5*10000</v>
      </c>
      <c r="AX1820" s="1">
        <f>558.5*10000</f>
        <v>5585000</v>
      </c>
      <c r="AY1820" s="10">
        <f t="shared" si="895"/>
        <v>-0.87128370592302373</v>
      </c>
      <c r="AZ1820" s="7" t="s">
        <v>16591</v>
      </c>
      <c r="BA1820" s="6" t="str">
        <f t="shared" si="879"/>
        <v>=4339*10000</v>
      </c>
      <c r="BB1820" s="1">
        <f>4339*10000</f>
        <v>43390000</v>
      </c>
      <c r="BC1820" s="8">
        <f t="shared" si="896"/>
        <v>0.12263906856403622</v>
      </c>
      <c r="BD1820" s="7" t="s">
        <v>16592</v>
      </c>
      <c r="BE1820" s="6" t="str">
        <f t="shared" si="880"/>
        <v>=3865*10000</v>
      </c>
      <c r="BF1820" s="1">
        <f>3865*10000</f>
        <v>38650000</v>
      </c>
      <c r="BG1820" s="8">
        <f t="shared" si="897"/>
        <v>0.78439519852262229</v>
      </c>
      <c r="BH1820" s="7" t="s">
        <v>16584</v>
      </c>
      <c r="BI1820" s="6" t="str">
        <f t="shared" si="881"/>
        <v>=2166*10000</v>
      </c>
      <c r="BJ1820" s="1">
        <f>2166*10000</f>
        <v>21660000</v>
      </c>
      <c r="BK1820" s="7" t="s">
        <v>16585</v>
      </c>
      <c r="BL1820" s="1" t="str">
        <f t="shared" si="883"/>
        <v>=579.8*10000</v>
      </c>
      <c r="BM1820" s="16">
        <f t="shared" si="898"/>
        <v>2.7357709555018972</v>
      </c>
      <c r="BN1820" s="1">
        <f>579.8*10000</f>
        <v>5798000</v>
      </c>
    </row>
    <row r="1821" spans="1:66">
      <c r="A1821" s="19"/>
      <c r="B1821">
        <v>603580</v>
      </c>
      <c r="C1821" t="s">
        <v>68</v>
      </c>
      <c r="D1821" s="7" t="s">
        <v>1577</v>
      </c>
      <c r="E1821" s="7" t="str">
        <f t="shared" si="882"/>
        <v>=3347*10000</v>
      </c>
      <c r="F1821" s="1">
        <f>3347*10000</f>
        <v>33470000</v>
      </c>
      <c r="G1821" s="8">
        <f t="shared" si="884"/>
        <v>8.0723280594123342E-2</v>
      </c>
      <c r="H1821" s="7" t="s">
        <v>3807</v>
      </c>
      <c r="I1821" s="6" t="str">
        <f t="shared" si="868"/>
        <v>=3097*10000</v>
      </c>
      <c r="J1821" s="1">
        <f>3097*10000</f>
        <v>30970000</v>
      </c>
      <c r="K1821" s="10">
        <f t="shared" si="885"/>
        <v>0.62828601472134593</v>
      </c>
      <c r="L1821" s="7" t="s">
        <v>16593</v>
      </c>
      <c r="M1821" s="6" t="str">
        <f t="shared" si="869"/>
        <v>=1902*10000</v>
      </c>
      <c r="N1821" s="1">
        <f>1902*10000</f>
        <v>19020000</v>
      </c>
      <c r="O1821" s="8">
        <f t="shared" si="886"/>
        <v>3.533969010727056</v>
      </c>
      <c r="P1821" s="7" t="s">
        <v>16594</v>
      </c>
      <c r="Q1821" s="6" t="str">
        <f t="shared" si="870"/>
        <v>=419.5*10000</v>
      </c>
      <c r="R1821" s="11">
        <f>419.5*10000</f>
        <v>4195000</v>
      </c>
      <c r="S1821" s="8">
        <f t="shared" si="887"/>
        <v>-0.86209730440499677</v>
      </c>
      <c r="T1821" s="7" t="s">
        <v>16595</v>
      </c>
      <c r="U1821" s="6" t="str">
        <f t="shared" si="871"/>
        <v>=3042*10000</v>
      </c>
      <c r="V1821" s="1">
        <f>3042*10000</f>
        <v>30420000</v>
      </c>
      <c r="W1821" s="8">
        <f t="shared" si="888"/>
        <v>0.19060665362035226</v>
      </c>
      <c r="X1821" s="7" t="s">
        <v>14913</v>
      </c>
      <c r="Y1821" s="6" t="str">
        <f t="shared" si="872"/>
        <v>=2555*10000</v>
      </c>
      <c r="Z1821" s="1">
        <f>2555*10000</f>
        <v>25550000</v>
      </c>
      <c r="AA1821" s="8">
        <f t="shared" si="889"/>
        <v>0.56556372549019607</v>
      </c>
      <c r="AB1821" s="7" t="s">
        <v>3305</v>
      </c>
      <c r="AC1821" s="6" t="str">
        <f t="shared" si="873"/>
        <v>=1632*10000</v>
      </c>
      <c r="AD1821" s="1">
        <f>1632*10000</f>
        <v>16320000</v>
      </c>
      <c r="AE1821" s="8">
        <f t="shared" si="890"/>
        <v>3.763572679509632</v>
      </c>
      <c r="AF1821" s="7" t="s">
        <v>16596</v>
      </c>
      <c r="AG1821" s="6" t="str">
        <f t="shared" si="874"/>
        <v>=342.6*10000</v>
      </c>
      <c r="AH1821" s="1">
        <f>342.6*10000</f>
        <v>3426000</v>
      </c>
      <c r="AI1821" s="8">
        <f t="shared" si="891"/>
        <v>-0.9033295711060948</v>
      </c>
      <c r="AJ1821" s="7" t="s">
        <v>16597</v>
      </c>
      <c r="AK1821" s="6" t="str">
        <f t="shared" si="875"/>
        <v>=3544*10000</v>
      </c>
      <c r="AL1821" s="1">
        <f>3544*10000</f>
        <v>35440000</v>
      </c>
      <c r="AM1821" s="8">
        <f t="shared" si="892"/>
        <v>0.32337565347274083</v>
      </c>
      <c r="AN1821" s="7" t="s">
        <v>4212</v>
      </c>
      <c r="AO1821" s="6" t="str">
        <f t="shared" si="876"/>
        <v>=2678*10000</v>
      </c>
      <c r="AP1821" s="1">
        <f>2678*10000</f>
        <v>26780000</v>
      </c>
      <c r="AQ1821" s="8">
        <f t="shared" si="893"/>
        <v>0.71227621483375958</v>
      </c>
      <c r="AR1821" s="7" t="s">
        <v>16598</v>
      </c>
      <c r="AS1821" s="6" t="str">
        <f t="shared" si="877"/>
        <v>=1564*10000</v>
      </c>
      <c r="AT1821" s="1">
        <f>1564*10000</f>
        <v>15640000</v>
      </c>
      <c r="AU1821" s="8">
        <f t="shared" si="894"/>
        <v>2.3454545454545452</v>
      </c>
      <c r="AV1821" s="7" t="s">
        <v>16599</v>
      </c>
      <c r="AW1821" s="6" t="str">
        <f t="shared" si="878"/>
        <v>=467.5*10000</v>
      </c>
      <c r="AX1821" s="1">
        <f>467.5*10000</f>
        <v>4675000</v>
      </c>
      <c r="AY1821" s="10">
        <f t="shared" si="895"/>
        <v>-0.87285830840358991</v>
      </c>
      <c r="AZ1821" s="7" t="s">
        <v>16600</v>
      </c>
      <c r="BA1821" s="6" t="str">
        <f t="shared" si="879"/>
        <v>=3677*10000</v>
      </c>
      <c r="BB1821" s="1">
        <f>3677*10000</f>
        <v>36770000</v>
      </c>
      <c r="BC1821" s="8">
        <f t="shared" si="896"/>
        <v>0.13874264478166615</v>
      </c>
      <c r="BD1821" s="7" t="s">
        <v>6497</v>
      </c>
      <c r="BE1821" s="6" t="str">
        <f t="shared" si="880"/>
        <v>=3229*10000</v>
      </c>
      <c r="BF1821" s="1">
        <f>3229*10000</f>
        <v>32290000</v>
      </c>
      <c r="BG1821" s="8">
        <f t="shared" si="897"/>
        <v>0.76351720371381759</v>
      </c>
      <c r="BH1821" s="7" t="s">
        <v>16601</v>
      </c>
      <c r="BI1821" s="6" t="str">
        <f t="shared" si="881"/>
        <v>=1831*10000</v>
      </c>
      <c r="BJ1821" s="1">
        <f>1831*10000</f>
        <v>18310000</v>
      </c>
      <c r="BK1821" s="7" t="s">
        <v>16602</v>
      </c>
      <c r="BL1821" s="1" t="str">
        <f t="shared" si="883"/>
        <v>=468.4*10000</v>
      </c>
      <c r="BM1821" s="16">
        <f t="shared" si="898"/>
        <v>2.9090520922288641</v>
      </c>
      <c r="BN1821" s="1">
        <f>468.4*10000</f>
        <v>4684000</v>
      </c>
    </row>
    <row r="1822" spans="1:66">
      <c r="A1822" s="17">
        <v>457</v>
      </c>
      <c r="B1822">
        <v>603585</v>
      </c>
      <c r="C1822" t="s">
        <v>31</v>
      </c>
      <c r="D1822" s="6" t="s">
        <v>12895</v>
      </c>
      <c r="E1822" s="7" t="str">
        <f t="shared" si="882"/>
        <v>=22.92*100000000</v>
      </c>
      <c r="F1822" s="1">
        <f>22.92*100000000</f>
        <v>2292000000</v>
      </c>
      <c r="G1822" s="8">
        <f t="shared" si="884"/>
        <v>0.45431472081218272</v>
      </c>
      <c r="H1822" s="6" t="s">
        <v>6465</v>
      </c>
      <c r="I1822" s="6" t="str">
        <f t="shared" si="868"/>
        <v>=15.76*100000000</v>
      </c>
      <c r="J1822" s="1">
        <f>15.76*100000000</f>
        <v>1576000000</v>
      </c>
      <c r="K1822" s="10">
        <f t="shared" si="885"/>
        <v>0.61773763087661648</v>
      </c>
      <c r="L1822" s="6" t="s">
        <v>5650</v>
      </c>
      <c r="M1822" s="6" t="str">
        <f t="shared" si="869"/>
        <v>=9.742*100000000</v>
      </c>
      <c r="N1822" s="1">
        <f>9.742*100000000</f>
        <v>974200000.00000012</v>
      </c>
      <c r="O1822" s="8">
        <f t="shared" si="886"/>
        <v>1.3435169593456822</v>
      </c>
      <c r="P1822" s="6" t="s">
        <v>15292</v>
      </c>
      <c r="Q1822" s="6" t="str">
        <f t="shared" si="870"/>
        <v>=4.157*100000000</v>
      </c>
      <c r="R1822" s="11">
        <f>4.157*100000000</f>
        <v>415700000</v>
      </c>
      <c r="S1822" s="8">
        <f t="shared" si="887"/>
        <v>-0.73335471456061574</v>
      </c>
      <c r="T1822" s="6" t="s">
        <v>339</v>
      </c>
      <c r="U1822" s="6" t="str">
        <f t="shared" si="871"/>
        <v>=15.59*100000000</v>
      </c>
      <c r="V1822" s="1">
        <f>15.59*100000000</f>
        <v>1559000000</v>
      </c>
      <c r="W1822" s="8">
        <f t="shared" si="888"/>
        <v>0.40324032403240323</v>
      </c>
      <c r="X1822" s="6" t="s">
        <v>4104</v>
      </c>
      <c r="Y1822" s="6" t="str">
        <f t="shared" si="872"/>
        <v>=11.11*100000000</v>
      </c>
      <c r="Z1822" s="1">
        <f>11.11*100000000</f>
        <v>1111000000</v>
      </c>
      <c r="AA1822" s="8">
        <f t="shared" si="889"/>
        <v>0.66716686674669867</v>
      </c>
      <c r="AB1822" s="6" t="s">
        <v>16603</v>
      </c>
      <c r="AC1822" s="6" t="str">
        <f t="shared" si="873"/>
        <v>=6.664*100000000</v>
      </c>
      <c r="AD1822" s="1">
        <f>6.664*100000000</f>
        <v>666400000</v>
      </c>
      <c r="AE1822" s="8">
        <f t="shared" si="890"/>
        <v>1.0618811881188119</v>
      </c>
      <c r="AF1822" s="6" t="s">
        <v>15463</v>
      </c>
      <c r="AG1822" s="6" t="str">
        <f t="shared" si="874"/>
        <v>=3.232*100000000</v>
      </c>
      <c r="AH1822" s="1">
        <f>3.232*100000000</f>
        <v>323200000</v>
      </c>
      <c r="AI1822" s="8">
        <f t="shared" si="891"/>
        <v>-0.82173193601765027</v>
      </c>
      <c r="AJ1822" s="6" t="s">
        <v>7281</v>
      </c>
      <c r="AK1822" s="6" t="str">
        <f t="shared" si="875"/>
        <v>=18.13*100000000</v>
      </c>
      <c r="AL1822" s="1">
        <f>18.13*100000000</f>
        <v>1813000000</v>
      </c>
      <c r="AM1822" s="8">
        <f t="shared" si="892"/>
        <v>0.3109182935647144</v>
      </c>
      <c r="AN1822" s="6" t="s">
        <v>9100</v>
      </c>
      <c r="AO1822" s="6" t="str">
        <f t="shared" si="876"/>
        <v>=13.83*100000000</v>
      </c>
      <c r="AP1822" s="1">
        <f>13.83*100000000</f>
        <v>1383000000</v>
      </c>
      <c r="AQ1822" s="8">
        <f t="shared" si="893"/>
        <v>0.4498375091728693</v>
      </c>
      <c r="AR1822" s="6" t="s">
        <v>7242</v>
      </c>
      <c r="AS1822" s="6" t="str">
        <f t="shared" si="877"/>
        <v>=9.539*100000000</v>
      </c>
      <c r="AT1822" s="1">
        <f>9.539*100000000</f>
        <v>953900000</v>
      </c>
      <c r="AU1822" s="8">
        <f t="shared" si="894"/>
        <v>1.1557062146892656</v>
      </c>
      <c r="AV1822" s="6" t="s">
        <v>11640</v>
      </c>
      <c r="AW1822" s="6" t="str">
        <f t="shared" si="878"/>
        <v>=4.425*100000000</v>
      </c>
      <c r="AX1822" s="1">
        <f>4.425*100000000</f>
        <v>442500000</v>
      </c>
      <c r="AY1822" s="10">
        <f t="shared" si="895"/>
        <v>-0.73116646415552855</v>
      </c>
      <c r="AZ1822" s="6" t="s">
        <v>16604</v>
      </c>
      <c r="BA1822" s="6" t="str">
        <f t="shared" si="879"/>
        <v>=16.46*100000000</v>
      </c>
      <c r="BB1822" s="1">
        <f>16.46*100000000</f>
        <v>1646000000</v>
      </c>
      <c r="BC1822" s="8">
        <f t="shared" si="896"/>
        <v>0.36824605153782214</v>
      </c>
      <c r="BD1822" s="6" t="s">
        <v>917</v>
      </c>
      <c r="BE1822" s="6" t="str">
        <f t="shared" si="880"/>
        <v>=12.03*100000000</v>
      </c>
      <c r="BF1822" s="1">
        <f>12.03*100000000</f>
        <v>1203000000</v>
      </c>
      <c r="BG1822" s="8">
        <f t="shared" si="897"/>
        <v>0.48225726959093151</v>
      </c>
      <c r="BH1822" s="6" t="s">
        <v>10916</v>
      </c>
      <c r="BI1822" s="6" t="str">
        <f t="shared" si="881"/>
        <v>=8.116*100000000</v>
      </c>
      <c r="BJ1822" s="1">
        <f>8.116*100000000</f>
        <v>811600000</v>
      </c>
      <c r="BK1822" s="6" t="s">
        <v>16605</v>
      </c>
      <c r="BL1822" s="1" t="str">
        <f t="shared" si="883"/>
        <v>=3.804*100000000</v>
      </c>
      <c r="BM1822" s="16">
        <f t="shared" si="898"/>
        <v>1.1335436382754995</v>
      </c>
      <c r="BN1822" s="1">
        <f>3.804*100000000</f>
        <v>380400000</v>
      </c>
    </row>
    <row r="1823" spans="1:66">
      <c r="A1823" s="18"/>
      <c r="B1823">
        <v>603585</v>
      </c>
      <c r="C1823" t="s">
        <v>48</v>
      </c>
      <c r="D1823" s="6" t="s">
        <v>16606</v>
      </c>
      <c r="E1823" s="7" t="str">
        <f t="shared" si="882"/>
        <v>=3.282*100000000</v>
      </c>
      <c r="F1823" s="1">
        <f>3.282*100000000</f>
        <v>328200000</v>
      </c>
      <c r="G1823" s="8">
        <f t="shared" si="884"/>
        <v>0.59475218658892148</v>
      </c>
      <c r="H1823" s="6" t="s">
        <v>8294</v>
      </c>
      <c r="I1823" s="6" t="str">
        <f t="shared" si="868"/>
        <v>=2.058*100000000</v>
      </c>
      <c r="J1823" s="1">
        <f>2.058*100000000</f>
        <v>205799999.99999997</v>
      </c>
      <c r="K1823" s="10">
        <f t="shared" si="885"/>
        <v>0.48484848484848464</v>
      </c>
      <c r="L1823" s="6" t="s">
        <v>15663</v>
      </c>
      <c r="M1823" s="6" t="str">
        <f t="shared" si="869"/>
        <v>=1.386*100000000</v>
      </c>
      <c r="N1823" s="1">
        <f>1.386*100000000</f>
        <v>138600000</v>
      </c>
      <c r="O1823" s="8">
        <f t="shared" si="886"/>
        <v>1.4</v>
      </c>
      <c r="P1823" s="7" t="s">
        <v>16607</v>
      </c>
      <c r="Q1823" s="6" t="str">
        <f t="shared" si="870"/>
        <v>=5775*10000</v>
      </c>
      <c r="R1823" s="11">
        <f>5775*10000</f>
        <v>57750000</v>
      </c>
      <c r="S1823" s="8">
        <f t="shared" si="887"/>
        <v>-0.77873563218390807</v>
      </c>
      <c r="T1823" s="6" t="s">
        <v>9657</v>
      </c>
      <c r="U1823" s="6" t="str">
        <f t="shared" si="871"/>
        <v>=2.610*100000000</v>
      </c>
      <c r="V1823" s="1">
        <f>2.61*100000000</f>
        <v>261000000</v>
      </c>
      <c r="W1823" s="8">
        <f t="shared" si="888"/>
        <v>0.32285859097820579</v>
      </c>
      <c r="X1823" s="6" t="s">
        <v>6392</v>
      </c>
      <c r="Y1823" s="6" t="str">
        <f t="shared" si="872"/>
        <v>=1.973*100000000</v>
      </c>
      <c r="Z1823" s="1">
        <f>1.973*100000000</f>
        <v>197300000</v>
      </c>
      <c r="AA1823" s="8">
        <f t="shared" si="889"/>
        <v>0.48012003000750186</v>
      </c>
      <c r="AB1823" s="6" t="s">
        <v>4282</v>
      </c>
      <c r="AC1823" s="6" t="str">
        <f t="shared" si="873"/>
        <v>=1.333*100000000</v>
      </c>
      <c r="AD1823" s="1">
        <f>1.333*100000000</f>
        <v>133300000</v>
      </c>
      <c r="AE1823" s="8">
        <f t="shared" si="890"/>
        <v>1.0618716163959783</v>
      </c>
      <c r="AF1823" s="7" t="s">
        <v>10427</v>
      </c>
      <c r="AG1823" s="6" t="str">
        <f t="shared" si="874"/>
        <v>=6465*10000</v>
      </c>
      <c r="AH1823" s="1">
        <f>6465*10000</f>
        <v>64650000</v>
      </c>
      <c r="AI1823" s="8">
        <f t="shared" si="891"/>
        <v>-0.86694793167318374</v>
      </c>
      <c r="AJ1823" s="6" t="s">
        <v>8778</v>
      </c>
      <c r="AK1823" s="6" t="str">
        <f t="shared" si="875"/>
        <v>=4.859*100000000</v>
      </c>
      <c r="AL1823" s="1">
        <f>4.859*100000000</f>
        <v>485900000</v>
      </c>
      <c r="AM1823" s="8">
        <f t="shared" si="892"/>
        <v>0.16299664911440881</v>
      </c>
      <c r="AN1823" s="6" t="s">
        <v>1710</v>
      </c>
      <c r="AO1823" s="6" t="str">
        <f t="shared" si="876"/>
        <v>=4.178*100000000</v>
      </c>
      <c r="AP1823" s="1">
        <f>4.178*100000000</f>
        <v>417800000</v>
      </c>
      <c r="AQ1823" s="8">
        <f t="shared" si="893"/>
        <v>0.39966499162479063</v>
      </c>
      <c r="AR1823" s="6" t="s">
        <v>9835</v>
      </c>
      <c r="AS1823" s="6" t="str">
        <f t="shared" si="877"/>
        <v>=2.985*100000000</v>
      </c>
      <c r="AT1823" s="1">
        <f>2.985*100000000</f>
        <v>298500000</v>
      </c>
      <c r="AU1823" s="8">
        <f t="shared" si="894"/>
        <v>1.2613636363636365</v>
      </c>
      <c r="AV1823" s="6" t="s">
        <v>5000</v>
      </c>
      <c r="AW1823" s="6" t="str">
        <f t="shared" si="878"/>
        <v>=1.320*100000000</v>
      </c>
      <c r="AX1823" s="1">
        <f>1.32*100000000</f>
        <v>132000000</v>
      </c>
      <c r="AY1823" s="10">
        <f t="shared" si="895"/>
        <v>-0.74031084005508563</v>
      </c>
      <c r="AZ1823" s="6" t="s">
        <v>16608</v>
      </c>
      <c r="BA1823" s="6" t="str">
        <f t="shared" si="879"/>
        <v>=5.083*100000000</v>
      </c>
      <c r="BB1823" s="1">
        <f>5.083*100000000</f>
        <v>508300000</v>
      </c>
      <c r="BC1823" s="8">
        <f t="shared" si="896"/>
        <v>0.33062827225130892</v>
      </c>
      <c r="BD1823" s="6" t="s">
        <v>16609</v>
      </c>
      <c r="BE1823" s="6" t="str">
        <f t="shared" si="880"/>
        <v>=3.820*100000000</v>
      </c>
      <c r="BF1823" s="1">
        <f>3.82*100000000</f>
        <v>382000000</v>
      </c>
      <c r="BG1823" s="8">
        <f t="shared" si="897"/>
        <v>0.48234381063251841</v>
      </c>
      <c r="BH1823" s="6" t="s">
        <v>8724</v>
      </c>
      <c r="BI1823" s="6" t="str">
        <f t="shared" si="881"/>
        <v>=2.577*100000000</v>
      </c>
      <c r="BJ1823" s="1">
        <f>2.577*100000000</f>
        <v>257700000</v>
      </c>
      <c r="BK1823" s="6" t="s">
        <v>4951</v>
      </c>
      <c r="BL1823" s="1" t="str">
        <f t="shared" si="883"/>
        <v>=1.023*100000000</v>
      </c>
      <c r="BM1823" s="16">
        <f t="shared" si="898"/>
        <v>1.5190615835777128</v>
      </c>
      <c r="BN1823" s="1">
        <f>1.023*100000000</f>
        <v>102299999.99999999</v>
      </c>
    </row>
    <row r="1824" spans="1:66">
      <c r="A1824" s="18"/>
      <c r="B1824">
        <v>603585</v>
      </c>
      <c r="C1824" t="s">
        <v>58</v>
      </c>
      <c r="D1824" s="6" t="s">
        <v>15093</v>
      </c>
      <c r="E1824" s="7" t="str">
        <f t="shared" si="882"/>
        <v>=3.264*100000000</v>
      </c>
      <c r="F1824" s="1">
        <f>3.264*100000000</f>
        <v>326400000</v>
      </c>
      <c r="G1824" s="8">
        <f t="shared" si="884"/>
        <v>0.58986848514369217</v>
      </c>
      <c r="H1824" s="6" t="s">
        <v>12483</v>
      </c>
      <c r="I1824" s="6" t="str">
        <f t="shared" si="868"/>
        <v>=2.053*100000000</v>
      </c>
      <c r="J1824" s="1">
        <f>2.053*100000000</f>
        <v>205300000</v>
      </c>
      <c r="K1824" s="10">
        <f t="shared" si="885"/>
        <v>0.48017303532804612</v>
      </c>
      <c r="L1824" s="6" t="s">
        <v>2160</v>
      </c>
      <c r="M1824" s="6" t="str">
        <f t="shared" si="869"/>
        <v>=1.387*100000000</v>
      </c>
      <c r="N1824" s="1">
        <f>1.387*100000000</f>
        <v>138700000</v>
      </c>
      <c r="O1824" s="8">
        <f t="shared" si="886"/>
        <v>1.3901430294675168</v>
      </c>
      <c r="P1824" s="7" t="s">
        <v>16610</v>
      </c>
      <c r="Q1824" s="6" t="str">
        <f t="shared" si="870"/>
        <v>=5803*10000</v>
      </c>
      <c r="R1824" s="11">
        <f>5803*10000</f>
        <v>58030000</v>
      </c>
      <c r="S1824" s="8">
        <f t="shared" si="887"/>
        <v>-0.77542569659442728</v>
      </c>
      <c r="T1824" s="6" t="s">
        <v>16611</v>
      </c>
      <c r="U1824" s="6" t="str">
        <f t="shared" si="871"/>
        <v>=2.584*100000000</v>
      </c>
      <c r="V1824" s="1">
        <f>2.584*100000000</f>
        <v>258400000</v>
      </c>
      <c r="W1824" s="8">
        <f t="shared" si="888"/>
        <v>0.3258081067213956</v>
      </c>
      <c r="X1824" s="6" t="s">
        <v>6792</v>
      </c>
      <c r="Y1824" s="6" t="str">
        <f t="shared" si="872"/>
        <v>=1.949*100000000</v>
      </c>
      <c r="Z1824" s="1">
        <f>1.949*100000000</f>
        <v>194900000</v>
      </c>
      <c r="AA1824" s="8">
        <f t="shared" si="889"/>
        <v>0.48665141113653698</v>
      </c>
      <c r="AB1824" s="6" t="s">
        <v>12218</v>
      </c>
      <c r="AC1824" s="6" t="str">
        <f t="shared" si="873"/>
        <v>=1.311*100000000</v>
      </c>
      <c r="AD1824" s="1">
        <f>1.311*100000000</f>
        <v>131100000</v>
      </c>
      <c r="AE1824" s="8">
        <f t="shared" si="890"/>
        <v>1.1023091725465042</v>
      </c>
      <c r="AF1824" s="7" t="s">
        <v>16612</v>
      </c>
      <c r="AG1824" s="6" t="str">
        <f t="shared" si="874"/>
        <v>=6236*10000</v>
      </c>
      <c r="AH1824" s="1">
        <f>6236*10000</f>
        <v>62360000</v>
      </c>
      <c r="AI1824" s="8">
        <f t="shared" si="891"/>
        <v>-0.87139616415755827</v>
      </c>
      <c r="AJ1824" s="6" t="s">
        <v>6070</v>
      </c>
      <c r="AK1824" s="6" t="str">
        <f t="shared" si="875"/>
        <v>=4.849*100000000</v>
      </c>
      <c r="AL1824" s="1">
        <f>4.849*100000000</f>
        <v>484900000</v>
      </c>
      <c r="AM1824" s="8">
        <f t="shared" si="892"/>
        <v>0.16115900383141762</v>
      </c>
      <c r="AN1824" s="6" t="s">
        <v>16613</v>
      </c>
      <c r="AO1824" s="6" t="str">
        <f t="shared" si="876"/>
        <v>=4.176*100000000</v>
      </c>
      <c r="AP1824" s="1">
        <f>4.176*100000000</f>
        <v>417600000</v>
      </c>
      <c r="AQ1824" s="8">
        <f t="shared" si="893"/>
        <v>0.40040241448692154</v>
      </c>
      <c r="AR1824" s="6" t="s">
        <v>15302</v>
      </c>
      <c r="AS1824" s="6" t="str">
        <f t="shared" si="877"/>
        <v>=2.982*100000000</v>
      </c>
      <c r="AT1824" s="1">
        <f>2.982*100000000</f>
        <v>298200000</v>
      </c>
      <c r="AU1824" s="8">
        <f t="shared" si="894"/>
        <v>1.2608036391205459</v>
      </c>
      <c r="AV1824" s="6" t="s">
        <v>3449</v>
      </c>
      <c r="AW1824" s="6" t="str">
        <f t="shared" si="878"/>
        <v>=1.319*100000000</v>
      </c>
      <c r="AX1824" s="1">
        <f>1.319*100000000</f>
        <v>131900000</v>
      </c>
      <c r="AY1824" s="10">
        <f t="shared" si="895"/>
        <v>-0.74009852216748773</v>
      </c>
      <c r="AZ1824" s="6" t="s">
        <v>6445</v>
      </c>
      <c r="BA1824" s="6" t="str">
        <f t="shared" si="879"/>
        <v>=5.075*100000000</v>
      </c>
      <c r="BB1824" s="1">
        <f>5.075*100000000</f>
        <v>507500000</v>
      </c>
      <c r="BC1824" s="8">
        <f t="shared" si="896"/>
        <v>0.32714435146443516</v>
      </c>
      <c r="BD1824" s="6" t="s">
        <v>16614</v>
      </c>
      <c r="BE1824" s="6" t="str">
        <f t="shared" si="880"/>
        <v>=3.824*100000000</v>
      </c>
      <c r="BF1824" s="1">
        <f>3.824*100000000</f>
        <v>382400000</v>
      </c>
      <c r="BG1824" s="8">
        <f t="shared" si="897"/>
        <v>0.48389600310438496</v>
      </c>
      <c r="BH1824" s="6" t="s">
        <v>8724</v>
      </c>
      <c r="BI1824" s="6" t="str">
        <f t="shared" si="881"/>
        <v>=2.577*100000000</v>
      </c>
      <c r="BJ1824" s="1">
        <f>2.577*100000000</f>
        <v>257700000</v>
      </c>
      <c r="BK1824" s="6" t="s">
        <v>2931</v>
      </c>
      <c r="BL1824" s="1" t="str">
        <f t="shared" si="883"/>
        <v>=1.022*100000000</v>
      </c>
      <c r="BM1824" s="16">
        <f t="shared" si="898"/>
        <v>1.5215264187866928</v>
      </c>
      <c r="BN1824" s="1">
        <f>1.022*100000000</f>
        <v>102200000</v>
      </c>
    </row>
    <row r="1825" spans="1:66">
      <c r="A1825" s="19"/>
      <c r="B1825">
        <v>603585</v>
      </c>
      <c r="C1825" t="s">
        <v>68</v>
      </c>
      <c r="D1825" s="6" t="s">
        <v>16615</v>
      </c>
      <c r="E1825" s="7" t="str">
        <f t="shared" si="882"/>
        <v>=2.817*100000000</v>
      </c>
      <c r="F1825" s="1">
        <f>2.817*100000000</f>
        <v>281700000</v>
      </c>
      <c r="G1825" s="8">
        <f t="shared" si="884"/>
        <v>0.69801084990958406</v>
      </c>
      <c r="H1825" s="6" t="s">
        <v>4860</v>
      </c>
      <c r="I1825" s="6" t="str">
        <f t="shared" si="868"/>
        <v>=1.659*100000000</v>
      </c>
      <c r="J1825" s="1">
        <f>1.659*100000000</f>
        <v>165900000</v>
      </c>
      <c r="K1825" s="10">
        <f t="shared" si="885"/>
        <v>0.43140638481449528</v>
      </c>
      <c r="L1825" s="6" t="s">
        <v>11203</v>
      </c>
      <c r="M1825" s="6" t="str">
        <f t="shared" si="869"/>
        <v>=1.159*100000000</v>
      </c>
      <c r="N1825" s="1">
        <f>1.159*100000000</f>
        <v>115900000</v>
      </c>
      <c r="O1825" s="8">
        <f t="shared" si="886"/>
        <v>1.6192090395480225</v>
      </c>
      <c r="P1825" s="7" t="s">
        <v>16616</v>
      </c>
      <c r="Q1825" s="6" t="str">
        <f t="shared" si="870"/>
        <v>=4425*10000</v>
      </c>
      <c r="R1825" s="11">
        <f>4425*10000</f>
        <v>44250000</v>
      </c>
      <c r="S1825" s="8">
        <f t="shared" si="887"/>
        <v>-0.79794520547945202</v>
      </c>
      <c r="T1825" s="6" t="s">
        <v>11616</v>
      </c>
      <c r="U1825" s="6" t="str">
        <f t="shared" si="871"/>
        <v>=2.190*100000000</v>
      </c>
      <c r="V1825" s="1">
        <f>2.19*100000000</f>
        <v>219000000</v>
      </c>
      <c r="W1825" s="8">
        <f t="shared" si="888"/>
        <v>0.3176895306859206</v>
      </c>
      <c r="X1825" s="6" t="s">
        <v>15596</v>
      </c>
      <c r="Y1825" s="6" t="str">
        <f t="shared" si="872"/>
        <v>=1.662*100000000</v>
      </c>
      <c r="Z1825" s="1">
        <f>1.662*100000000</f>
        <v>166200000</v>
      </c>
      <c r="AA1825" s="8">
        <f t="shared" si="889"/>
        <v>0.48525469168900803</v>
      </c>
      <c r="AB1825" s="6" t="s">
        <v>8716</v>
      </c>
      <c r="AC1825" s="6" t="str">
        <f t="shared" si="873"/>
        <v>=1.119*100000000</v>
      </c>
      <c r="AD1825" s="1">
        <f>1.119*100000000</f>
        <v>111900000</v>
      </c>
      <c r="AE1825" s="8">
        <f t="shared" si="890"/>
        <v>1.0737583395107486</v>
      </c>
      <c r="AF1825" s="7" t="s">
        <v>15001</v>
      </c>
      <c r="AG1825" s="6" t="str">
        <f t="shared" si="874"/>
        <v>=5396*10000</v>
      </c>
      <c r="AH1825" s="1">
        <f>5396*10000</f>
        <v>53960000</v>
      </c>
      <c r="AI1825" s="8">
        <f t="shared" si="891"/>
        <v>-0.86771267467516544</v>
      </c>
      <c r="AJ1825" s="6" t="s">
        <v>14088</v>
      </c>
      <c r="AK1825" s="6" t="str">
        <f t="shared" si="875"/>
        <v>=4.079*100000000</v>
      </c>
      <c r="AL1825" s="1">
        <f>4.079*100000000</f>
        <v>407900000</v>
      </c>
      <c r="AM1825" s="8">
        <f t="shared" si="892"/>
        <v>0.2390643985419198</v>
      </c>
      <c r="AN1825" s="6" t="s">
        <v>13694</v>
      </c>
      <c r="AO1825" s="6" t="str">
        <f t="shared" si="876"/>
        <v>=3.292*100000000</v>
      </c>
      <c r="AP1825" s="1">
        <f>3.292*100000000</f>
        <v>329200000</v>
      </c>
      <c r="AQ1825" s="8">
        <f t="shared" si="893"/>
        <v>0.41166380789022317</v>
      </c>
      <c r="AR1825" s="6" t="s">
        <v>4018</v>
      </c>
      <c r="AS1825" s="6" t="str">
        <f t="shared" si="877"/>
        <v>=2.332*100000000</v>
      </c>
      <c r="AT1825" s="1">
        <f>2.332*100000000</f>
        <v>233199999.99999997</v>
      </c>
      <c r="AU1825" s="8">
        <f t="shared" si="894"/>
        <v>1.1296803652968035</v>
      </c>
      <c r="AV1825" s="6" t="s">
        <v>6533</v>
      </c>
      <c r="AW1825" s="6" t="str">
        <f t="shared" si="878"/>
        <v>=1.095*100000000</v>
      </c>
      <c r="AX1825" s="1">
        <f>1.095*100000000</f>
        <v>109500000</v>
      </c>
      <c r="AY1825" s="10">
        <f t="shared" si="895"/>
        <v>-0.74307836696386664</v>
      </c>
      <c r="AZ1825" s="6" t="s">
        <v>5791</v>
      </c>
      <c r="BA1825" s="6" t="str">
        <f t="shared" si="879"/>
        <v>=4.262*100000000</v>
      </c>
      <c r="BB1825" s="1">
        <f>4.262*100000000</f>
        <v>426199999.99999994</v>
      </c>
      <c r="BC1825" s="8">
        <f t="shared" si="896"/>
        <v>0.36821829855537702</v>
      </c>
      <c r="BD1825" s="6" t="s">
        <v>8853</v>
      </c>
      <c r="BE1825" s="6" t="str">
        <f t="shared" si="880"/>
        <v>=3.115*100000000</v>
      </c>
      <c r="BF1825" s="1">
        <f>3.115*100000000</f>
        <v>311500000</v>
      </c>
      <c r="BG1825" s="8">
        <f t="shared" si="897"/>
        <v>0.48971783835485394</v>
      </c>
      <c r="BH1825" s="6" t="s">
        <v>12728</v>
      </c>
      <c r="BI1825" s="6" t="str">
        <f t="shared" si="881"/>
        <v>=2.091*100000000</v>
      </c>
      <c r="BJ1825" s="1">
        <f>2.091*100000000</f>
        <v>209100000.00000003</v>
      </c>
      <c r="BK1825" s="7" t="s">
        <v>16617</v>
      </c>
      <c r="BL1825" s="1" t="str">
        <f t="shared" si="883"/>
        <v>=8280*10000</v>
      </c>
      <c r="BM1825" s="16">
        <f t="shared" si="898"/>
        <v>1.52536231884058</v>
      </c>
      <c r="BN1825" s="1">
        <f>8280*10000</f>
        <v>82800000</v>
      </c>
    </row>
    <row r="1826" spans="1:66">
      <c r="A1826" s="17">
        <v>458</v>
      </c>
      <c r="B1826">
        <v>603595</v>
      </c>
      <c r="C1826" t="s">
        <v>31</v>
      </c>
      <c r="D1826" s="6" t="s">
        <v>16618</v>
      </c>
      <c r="E1826" s="7" t="str">
        <f t="shared" si="882"/>
        <v>=13.39*100000000</v>
      </c>
      <c r="F1826" s="1">
        <f>13.39*100000000</f>
        <v>1339000000</v>
      </c>
      <c r="G1826" s="8">
        <f t="shared" si="884"/>
        <v>0.45812915169334639</v>
      </c>
      <c r="H1826" s="6" t="s">
        <v>16619</v>
      </c>
      <c r="I1826" s="6" t="str">
        <f t="shared" si="868"/>
        <v>=9.183*100000000</v>
      </c>
      <c r="J1826" s="1">
        <f>9.183*100000000</f>
        <v>918300000</v>
      </c>
      <c r="K1826" s="10">
        <f t="shared" si="885"/>
        <v>0.83183722321962894</v>
      </c>
      <c r="L1826" s="6" t="s">
        <v>11651</v>
      </c>
      <c r="M1826" s="6" t="str">
        <f t="shared" si="869"/>
        <v>=5.013*100000000</v>
      </c>
      <c r="N1826" s="1">
        <f>5.013*100000000</f>
        <v>501300000</v>
      </c>
      <c r="O1826" s="8">
        <f t="shared" si="886"/>
        <v>1.0887500000000001</v>
      </c>
      <c r="P1826" s="6" t="s">
        <v>12595</v>
      </c>
      <c r="Q1826" s="6" t="str">
        <f t="shared" si="870"/>
        <v>=2.400*100000000</v>
      </c>
      <c r="R1826" s="11">
        <f>2.4*100000000</f>
        <v>240000000</v>
      </c>
      <c r="S1826" s="8">
        <f t="shared" si="887"/>
        <v>-0.74140717595086736</v>
      </c>
      <c r="T1826" s="6" t="s">
        <v>16620</v>
      </c>
      <c r="U1826" s="6" t="str">
        <f t="shared" si="871"/>
        <v>=9.281*100000000</v>
      </c>
      <c r="V1826" s="1">
        <f>9.281*100000000</f>
        <v>928100000</v>
      </c>
      <c r="W1826" s="8">
        <f t="shared" si="888"/>
        <v>0.65969241773962806</v>
      </c>
      <c r="X1826" s="6" t="s">
        <v>16621</v>
      </c>
      <c r="Y1826" s="6" t="str">
        <f t="shared" si="872"/>
        <v>=5.592*100000000</v>
      </c>
      <c r="Z1826" s="1">
        <f>5.592*100000000</f>
        <v>559200000</v>
      </c>
      <c r="AA1826" s="8">
        <f t="shared" si="889"/>
        <v>0.92894101414280783</v>
      </c>
      <c r="AB1826" s="6" t="s">
        <v>2971</v>
      </c>
      <c r="AC1826" s="6" t="str">
        <f t="shared" si="873"/>
        <v>=2.899*100000000</v>
      </c>
      <c r="AD1826" s="1">
        <f>2.899*100000000</f>
        <v>289900000</v>
      </c>
      <c r="AE1826" s="8">
        <f t="shared" si="890"/>
        <v>1.1083636363636364</v>
      </c>
      <c r="AF1826" s="6" t="s">
        <v>4981</v>
      </c>
      <c r="AG1826" s="6" t="str">
        <f t="shared" si="874"/>
        <v>=1.375*100000000</v>
      </c>
      <c r="AH1826" s="1">
        <f>1.375*100000000</f>
        <v>137500000</v>
      </c>
      <c r="AI1826" s="8">
        <f t="shared" si="891"/>
        <v>-0.79191888619854722</v>
      </c>
      <c r="AJ1826" s="6" t="s">
        <v>16622</v>
      </c>
      <c r="AK1826" s="6" t="str">
        <f t="shared" si="875"/>
        <v>=6.608*100000000</v>
      </c>
      <c r="AL1826" s="1">
        <f>6.608*100000000</f>
        <v>660800000</v>
      </c>
      <c r="AM1826" s="8">
        <f t="shared" si="892"/>
        <v>0.47171492204899779</v>
      </c>
      <c r="AN1826" s="6" t="s">
        <v>9043</v>
      </c>
      <c r="AO1826" s="6" t="str">
        <f t="shared" si="876"/>
        <v>=4.490*100000000</v>
      </c>
      <c r="AP1826" s="1">
        <f>4.49*100000000</f>
        <v>449000000</v>
      </c>
      <c r="AQ1826" s="8">
        <f t="shared" si="893"/>
        <v>1.1596921596921594</v>
      </c>
      <c r="AR1826" s="6" t="s">
        <v>16436</v>
      </c>
      <c r="AS1826" s="6" t="str">
        <f t="shared" si="877"/>
        <v>=2.079*100000000</v>
      </c>
      <c r="AT1826" s="1">
        <f>2.079*100000000</f>
        <v>207900000.00000003</v>
      </c>
      <c r="AU1826" s="8">
        <f t="shared" si="894"/>
        <v>1.4427211843496655</v>
      </c>
      <c r="AV1826" s="7" t="s">
        <v>16623</v>
      </c>
      <c r="AW1826" s="6" t="str">
        <f t="shared" si="878"/>
        <v>=8511*10000</v>
      </c>
      <c r="AX1826" s="1">
        <f>8511*10000</f>
        <v>85110000</v>
      </c>
      <c r="AY1826" s="10">
        <f t="shared" si="895"/>
        <v>-0.90244154057771664</v>
      </c>
      <c r="AZ1826" s="6" t="s">
        <v>16624</v>
      </c>
      <c r="BA1826" s="6" t="str">
        <f t="shared" si="879"/>
        <v>=8.724*100000000</v>
      </c>
      <c r="BB1826" s="1">
        <f>8.724*100000000</f>
        <v>872400000</v>
      </c>
      <c r="BC1826" s="8">
        <f t="shared" si="896"/>
        <v>0.2199692350720179</v>
      </c>
      <c r="BD1826" s="6" t="s">
        <v>16625</v>
      </c>
      <c r="BE1826" s="6" t="str">
        <f t="shared" si="880"/>
        <v>=7.151*100000000</v>
      </c>
      <c r="BF1826" s="1">
        <f>7.151*100000000</f>
        <v>715100000</v>
      </c>
      <c r="BG1826" s="8">
        <f t="shared" si="897"/>
        <v>0.33339548760022358</v>
      </c>
      <c r="BH1826" s="6" t="s">
        <v>14458</v>
      </c>
      <c r="BI1826" s="6" t="str">
        <f t="shared" si="881"/>
        <v>=5.363*100000000</v>
      </c>
      <c r="BJ1826" s="1">
        <f>5.363*100000000</f>
        <v>536300000.00000006</v>
      </c>
      <c r="BK1826" s="6" t="s">
        <v>130</v>
      </c>
      <c r="BL1826" s="1" t="str">
        <f t="shared" si="883"/>
        <v>=2.949*100000000</v>
      </c>
      <c r="BM1826" s="16">
        <f t="shared" si="898"/>
        <v>0.8185825703628351</v>
      </c>
      <c r="BN1826" s="1">
        <f>2.949*100000000</f>
        <v>294900000</v>
      </c>
    </row>
    <row r="1827" spans="1:66">
      <c r="A1827" s="18"/>
      <c r="B1827">
        <v>603595</v>
      </c>
      <c r="C1827" t="s">
        <v>48</v>
      </c>
      <c r="D1827" s="7" t="s">
        <v>6941</v>
      </c>
      <c r="E1827" s="7" t="str">
        <f t="shared" si="882"/>
        <v>=2711*10000</v>
      </c>
      <c r="F1827" s="1">
        <f>2711*10000</f>
        <v>27110000</v>
      </c>
      <c r="G1827" s="8">
        <f t="shared" si="884"/>
        <v>0.23003629764065336</v>
      </c>
      <c r="H1827" s="7" t="s">
        <v>8360</v>
      </c>
      <c r="I1827" s="6" t="str">
        <f t="shared" si="868"/>
        <v>=2204*10000</v>
      </c>
      <c r="J1827" s="1">
        <f>2204*10000</f>
        <v>22040000</v>
      </c>
      <c r="K1827" s="10">
        <f t="shared" si="885"/>
        <v>0.81698268755152514</v>
      </c>
      <c r="L1827" s="7" t="s">
        <v>16626</v>
      </c>
      <c r="M1827" s="6" t="str">
        <f t="shared" si="869"/>
        <v>=1213*10000</v>
      </c>
      <c r="N1827" s="1">
        <f>1213*10000</f>
        <v>12130000</v>
      </c>
      <c r="O1827" s="8">
        <f t="shared" si="886"/>
        <v>-3.5771065182829888E-2</v>
      </c>
      <c r="P1827" s="7" t="s">
        <v>16627</v>
      </c>
      <c r="Q1827" s="6" t="str">
        <f t="shared" si="870"/>
        <v>=1258*10000</v>
      </c>
      <c r="R1827" s="11">
        <f>1258*10000</f>
        <v>12580000</v>
      </c>
      <c r="S1827" s="8">
        <f t="shared" si="887"/>
        <v>-0.77148047229791095</v>
      </c>
      <c r="T1827" s="7" t="s">
        <v>16628</v>
      </c>
      <c r="U1827" s="6" t="str">
        <f t="shared" si="871"/>
        <v>=5505*10000</v>
      </c>
      <c r="V1827" s="1">
        <f>5505*10000</f>
        <v>55050000</v>
      </c>
      <c r="W1827" s="8">
        <f t="shared" si="888"/>
        <v>0.44109947643979058</v>
      </c>
      <c r="X1827" s="7" t="s">
        <v>16629</v>
      </c>
      <c r="Y1827" s="6" t="str">
        <f t="shared" si="872"/>
        <v>=3820*10000</v>
      </c>
      <c r="Z1827" s="1">
        <f>3820*10000</f>
        <v>38200000</v>
      </c>
      <c r="AA1827" s="8">
        <f t="shared" si="889"/>
        <v>0.16286149162861491</v>
      </c>
      <c r="AB1827" s="7" t="s">
        <v>16630</v>
      </c>
      <c r="AC1827" s="6" t="str">
        <f t="shared" si="873"/>
        <v>=3285*10000</v>
      </c>
      <c r="AD1827" s="1">
        <f>3285*10000</f>
        <v>32850000</v>
      </c>
      <c r="AE1827" s="8">
        <f t="shared" si="890"/>
        <v>0.42207792207792205</v>
      </c>
      <c r="AF1827" s="7" t="s">
        <v>16199</v>
      </c>
      <c r="AG1827" s="6" t="str">
        <f t="shared" si="874"/>
        <v>=2310*10000</v>
      </c>
      <c r="AH1827" s="1">
        <f>2310*10000</f>
        <v>23100000</v>
      </c>
      <c r="AI1827" s="8">
        <f t="shared" si="891"/>
        <v>-1.1484575835475579</v>
      </c>
      <c r="AJ1827" s="6">
        <f>-1.556*100000000</f>
        <v>-155600000</v>
      </c>
      <c r="AK1827" s="6" t="str">
        <f t="shared" si="875"/>
        <v>=-155600000</v>
      </c>
      <c r="AL1827" s="1">
        <f>-155600000</f>
        <v>-155600000</v>
      </c>
      <c r="AM1827" s="8">
        <f t="shared" si="892"/>
        <v>-0.13024035774175516</v>
      </c>
      <c r="AN1827" s="6">
        <f>-1.789*100000000</f>
        <v>-178900000</v>
      </c>
      <c r="AO1827" s="6" t="str">
        <f t="shared" si="876"/>
        <v>=-178900000</v>
      </c>
      <c r="AP1827" s="1">
        <f>-178900000</f>
        <v>-178900000</v>
      </c>
      <c r="AQ1827" s="8">
        <f t="shared" si="893"/>
        <v>1.4923376985232655</v>
      </c>
      <c r="AR1827" s="7">
        <f>-7178*10000</f>
        <v>-71780000</v>
      </c>
      <c r="AS1827" s="6" t="str">
        <f t="shared" si="877"/>
        <v>=-71780000</v>
      </c>
      <c r="AT1827" s="1">
        <f>-71780000</f>
        <v>-71780000</v>
      </c>
      <c r="AU1827" s="8">
        <f t="shared" si="894"/>
        <v>1.0191279887482418</v>
      </c>
      <c r="AV1827" s="7">
        <f>-3555*10000</f>
        <v>-35550000</v>
      </c>
      <c r="AW1827" s="6" t="str">
        <f t="shared" si="878"/>
        <v>=-35550000</v>
      </c>
      <c r="AX1827" s="1">
        <f>-35550000</f>
        <v>-35550000</v>
      </c>
      <c r="AY1827" s="10">
        <f t="shared" si="895"/>
        <v>-1.2857717041800643</v>
      </c>
      <c r="AZ1827" s="6" t="s">
        <v>9639</v>
      </c>
      <c r="BA1827" s="6" t="str">
        <f t="shared" si="879"/>
        <v>=1.244*100000000</v>
      </c>
      <c r="BB1827" s="1">
        <f>1.244*100000000</f>
        <v>124400000</v>
      </c>
      <c r="BC1827" s="8">
        <f t="shared" si="896"/>
        <v>4.8903878583473864E-2</v>
      </c>
      <c r="BD1827" s="6" t="s">
        <v>7772</v>
      </c>
      <c r="BE1827" s="6" t="str">
        <f t="shared" si="880"/>
        <v>=1.186*100000000</v>
      </c>
      <c r="BF1827" s="1">
        <f>1.186*100000000</f>
        <v>118600000</v>
      </c>
      <c r="BG1827" s="8">
        <f t="shared" si="897"/>
        <v>3.0408340573414423E-2</v>
      </c>
      <c r="BH1827" s="6" t="s">
        <v>7907</v>
      </c>
      <c r="BI1827" s="6" t="str">
        <f t="shared" si="881"/>
        <v>=1.151*100000000</v>
      </c>
      <c r="BJ1827" s="1">
        <f>1.151*100000000</f>
        <v>115100000</v>
      </c>
      <c r="BK1827" s="6" t="s">
        <v>7392</v>
      </c>
      <c r="BL1827" s="1" t="str">
        <f t="shared" si="883"/>
        <v>=1.016*100000000</v>
      </c>
      <c r="BM1827" s="16">
        <f t="shared" si="898"/>
        <v>0.13287401574803151</v>
      </c>
      <c r="BN1827" s="1">
        <f>1.016*100000000</f>
        <v>101600000</v>
      </c>
    </row>
    <row r="1828" spans="1:66">
      <c r="A1828" s="18"/>
      <c r="B1828">
        <v>603595</v>
      </c>
      <c r="C1828" t="s">
        <v>58</v>
      </c>
      <c r="D1828" s="7" t="s">
        <v>16493</v>
      </c>
      <c r="E1828" s="7" t="str">
        <f t="shared" si="882"/>
        <v>=2709*10000</v>
      </c>
      <c r="F1828" s="1">
        <f>2709*10000</f>
        <v>27090000</v>
      </c>
      <c r="G1828" s="8">
        <f t="shared" si="884"/>
        <v>0.21643466546924114</v>
      </c>
      <c r="H1828" s="7" t="s">
        <v>16631</v>
      </c>
      <c r="I1828" s="6" t="str">
        <f t="shared" si="868"/>
        <v>=2227*10000</v>
      </c>
      <c r="J1828" s="1">
        <f>2227*10000</f>
        <v>22270000</v>
      </c>
      <c r="K1828" s="10">
        <f t="shared" si="885"/>
        <v>0.76605868358445683</v>
      </c>
      <c r="L1828" s="7" t="s">
        <v>16410</v>
      </c>
      <c r="M1828" s="6" t="str">
        <f t="shared" si="869"/>
        <v>=1261*10000</v>
      </c>
      <c r="N1828" s="1">
        <f>1261*10000</f>
        <v>12610000</v>
      </c>
      <c r="O1828" s="8">
        <f t="shared" si="886"/>
        <v>-1.9440124416796267E-2</v>
      </c>
      <c r="P1828" s="7" t="s">
        <v>16632</v>
      </c>
      <c r="Q1828" s="6" t="str">
        <f t="shared" si="870"/>
        <v>=1286*10000</v>
      </c>
      <c r="R1828" s="11">
        <f>1286*10000</f>
        <v>12860000</v>
      </c>
      <c r="S1828" s="8">
        <f t="shared" si="887"/>
        <v>-0.75288239815526514</v>
      </c>
      <c r="T1828" s="7" t="s">
        <v>16633</v>
      </c>
      <c r="U1828" s="6" t="str">
        <f t="shared" si="871"/>
        <v>=5204*10000</v>
      </c>
      <c r="V1828" s="1">
        <f>5204*10000</f>
        <v>52040000</v>
      </c>
      <c r="W1828" s="8">
        <f t="shared" si="888"/>
        <v>0.35028541774779448</v>
      </c>
      <c r="X1828" s="7" t="s">
        <v>10394</v>
      </c>
      <c r="Y1828" s="6" t="str">
        <f t="shared" si="872"/>
        <v>=3854*10000</v>
      </c>
      <c r="Z1828" s="1">
        <f>3854*10000</f>
        <v>38540000</v>
      </c>
      <c r="AA1828" s="8">
        <f t="shared" si="889"/>
        <v>0.16154309825195901</v>
      </c>
      <c r="AB1828" s="7" t="s">
        <v>15649</v>
      </c>
      <c r="AC1828" s="6" t="str">
        <f t="shared" si="873"/>
        <v>=3318*10000</v>
      </c>
      <c r="AD1828" s="1">
        <f>3318*10000</f>
        <v>33180000</v>
      </c>
      <c r="AE1828" s="8">
        <f t="shared" si="890"/>
        <v>0.41492537313432837</v>
      </c>
      <c r="AF1828" s="7" t="s">
        <v>16634</v>
      </c>
      <c r="AG1828" s="6" t="str">
        <f t="shared" si="874"/>
        <v>=2345*10000</v>
      </c>
      <c r="AH1828" s="1">
        <f>2345*10000</f>
        <v>23450000</v>
      </c>
      <c r="AI1828" s="8">
        <f t="shared" si="891"/>
        <v>-1.150706940874036</v>
      </c>
      <c r="AJ1828" s="6">
        <f>-1.556*100000000</f>
        <v>-155600000</v>
      </c>
      <c r="AK1828" s="6" t="str">
        <f t="shared" si="875"/>
        <v>=-155600000</v>
      </c>
      <c r="AL1828" s="1">
        <f>-155600000</f>
        <v>-155600000</v>
      </c>
      <c r="AM1828" s="8">
        <f t="shared" si="892"/>
        <v>-0.13459399332591768</v>
      </c>
      <c r="AN1828" s="6">
        <f>-1.798*100000000</f>
        <v>-179800000</v>
      </c>
      <c r="AO1828" s="6" t="str">
        <f t="shared" si="876"/>
        <v>=-179800000</v>
      </c>
      <c r="AP1828" s="1">
        <f>-179800000</f>
        <v>-179800000</v>
      </c>
      <c r="AQ1828" s="8">
        <f t="shared" si="893"/>
        <v>1.5052250243834471</v>
      </c>
      <c r="AR1828" s="7">
        <f>-7177*10000</f>
        <v>-71770000</v>
      </c>
      <c r="AS1828" s="6" t="str">
        <f t="shared" si="877"/>
        <v>=-71770000</v>
      </c>
      <c r="AT1828" s="1">
        <f>-71770000</f>
        <v>-71770000</v>
      </c>
      <c r="AU1828" s="8">
        <f t="shared" si="894"/>
        <v>1.0188466947960619</v>
      </c>
      <c r="AV1828" s="7">
        <f>-3555*10000</f>
        <v>-35550000</v>
      </c>
      <c r="AW1828" s="6" t="str">
        <f t="shared" si="878"/>
        <v>=-35550000</v>
      </c>
      <c r="AX1828" s="1">
        <f>-35550000</f>
        <v>-35550000</v>
      </c>
      <c r="AY1828" s="10">
        <f t="shared" si="895"/>
        <v>-1.264903129657228</v>
      </c>
      <c r="AZ1828" s="6" t="s">
        <v>4381</v>
      </c>
      <c r="BA1828" s="6" t="str">
        <f t="shared" si="879"/>
        <v>=1.342*100000000</v>
      </c>
      <c r="BB1828" s="1">
        <f>1.342*100000000</f>
        <v>134200000.00000001</v>
      </c>
      <c r="BC1828" s="8">
        <f t="shared" si="896"/>
        <v>8.7520259319286989E-2</v>
      </c>
      <c r="BD1828" s="6" t="s">
        <v>6043</v>
      </c>
      <c r="BE1828" s="6" t="str">
        <f t="shared" si="880"/>
        <v>=1.234*100000000</v>
      </c>
      <c r="BF1828" s="1">
        <f>1.234*100000000</f>
        <v>123400000</v>
      </c>
      <c r="BG1828" s="8">
        <f t="shared" si="897"/>
        <v>4.4877222692633362E-2</v>
      </c>
      <c r="BH1828" s="6" t="s">
        <v>4873</v>
      </c>
      <c r="BI1828" s="6" t="str">
        <f t="shared" si="881"/>
        <v>=1.181*100000000</v>
      </c>
      <c r="BJ1828" s="1">
        <f>1.181*100000000</f>
        <v>118100000</v>
      </c>
      <c r="BK1828" s="6" t="s">
        <v>11322</v>
      </c>
      <c r="BL1828" s="1" t="str">
        <f t="shared" si="883"/>
        <v>=1.049*100000000</v>
      </c>
      <c r="BM1828" s="16">
        <f t="shared" si="898"/>
        <v>0.12583412774070543</v>
      </c>
      <c r="BN1828" s="1">
        <f>1.049*100000000</f>
        <v>104900000</v>
      </c>
    </row>
    <row r="1829" spans="1:66">
      <c r="A1829" s="19"/>
      <c r="B1829">
        <v>603595</v>
      </c>
      <c r="C1829" t="s">
        <v>68</v>
      </c>
      <c r="D1829" s="7" t="s">
        <v>16635</v>
      </c>
      <c r="E1829" s="7" t="str">
        <f t="shared" si="882"/>
        <v>=3341*10000</v>
      </c>
      <c r="F1829" s="1">
        <f>3341*10000</f>
        <v>33410000</v>
      </c>
      <c r="G1829" s="8">
        <f t="shared" si="884"/>
        <v>0.22112573099415206</v>
      </c>
      <c r="H1829" s="7" t="s">
        <v>16636</v>
      </c>
      <c r="I1829" s="6" t="str">
        <f t="shared" si="868"/>
        <v>=2736*10000</v>
      </c>
      <c r="J1829" s="1">
        <f>2736*10000</f>
        <v>27360000</v>
      </c>
      <c r="K1829" s="10">
        <f t="shared" si="885"/>
        <v>0.81432360742705567</v>
      </c>
      <c r="L1829" s="7" t="s">
        <v>16637</v>
      </c>
      <c r="M1829" s="6" t="str">
        <f t="shared" si="869"/>
        <v>=1508*10000</v>
      </c>
      <c r="N1829" s="1">
        <f>1508*10000</f>
        <v>15080000</v>
      </c>
      <c r="O1829" s="8">
        <f t="shared" si="886"/>
        <v>0.1608929946112394</v>
      </c>
      <c r="P1829" s="7" t="s">
        <v>9887</v>
      </c>
      <c r="Q1829" s="6" t="str">
        <f t="shared" si="870"/>
        <v>=1299*10000</v>
      </c>
      <c r="R1829" s="11">
        <f>1299*10000</f>
        <v>12990000</v>
      </c>
      <c r="S1829" s="8">
        <f t="shared" si="887"/>
        <v>-0.72841312983483164</v>
      </c>
      <c r="T1829" s="7" t="s">
        <v>16638</v>
      </c>
      <c r="U1829" s="6" t="str">
        <f t="shared" si="871"/>
        <v>=4783*10000</v>
      </c>
      <c r="V1829" s="1">
        <f>4783*10000</f>
        <v>47830000</v>
      </c>
      <c r="W1829" s="8">
        <f t="shared" si="888"/>
        <v>0.30897646414887792</v>
      </c>
      <c r="X1829" s="7" t="s">
        <v>16639</v>
      </c>
      <c r="Y1829" s="6" t="str">
        <f t="shared" si="872"/>
        <v>=3654*10000</v>
      </c>
      <c r="Z1829" s="1">
        <f>3654*10000</f>
        <v>36540000</v>
      </c>
      <c r="AA1829" s="8">
        <f t="shared" si="889"/>
        <v>0.24412665985699694</v>
      </c>
      <c r="AB1829" s="7" t="s">
        <v>16640</v>
      </c>
      <c r="AC1829" s="6" t="str">
        <f t="shared" si="873"/>
        <v>=2937*10000</v>
      </c>
      <c r="AD1829" s="1">
        <f>2937*10000</f>
        <v>29370000</v>
      </c>
      <c r="AE1829" s="8">
        <f t="shared" si="890"/>
        <v>0.41337824831568815</v>
      </c>
      <c r="AF1829" s="7" t="s">
        <v>4934</v>
      </c>
      <c r="AG1829" s="6" t="str">
        <f t="shared" si="874"/>
        <v>=2078*10000</v>
      </c>
      <c r="AH1829" s="1">
        <f>2078*10000</f>
        <v>20780000</v>
      </c>
      <c r="AI1829" s="8">
        <f t="shared" si="891"/>
        <v>-1.1400269541778976</v>
      </c>
      <c r="AJ1829" s="6">
        <f>-1.484*100000000</f>
        <v>-148400000</v>
      </c>
      <c r="AK1829" s="6" t="str">
        <f t="shared" si="875"/>
        <v>=-148400000</v>
      </c>
      <c r="AL1829" s="1">
        <f>-148400000</f>
        <v>-148400000</v>
      </c>
      <c r="AM1829" s="8">
        <f t="shared" si="892"/>
        <v>-0.14020857473928158</v>
      </c>
      <c r="AN1829" s="6">
        <f>-1.726*100000000</f>
        <v>-172600000</v>
      </c>
      <c r="AO1829" s="6" t="str">
        <f t="shared" si="876"/>
        <v>=-172600000</v>
      </c>
      <c r="AP1829" s="1">
        <f>-172600000</f>
        <v>-172600000</v>
      </c>
      <c r="AQ1829" s="8">
        <f t="shared" si="893"/>
        <v>1.8699700698370469</v>
      </c>
      <c r="AR1829" s="7">
        <f>-6014*10000</f>
        <v>-60140000</v>
      </c>
      <c r="AS1829" s="6" t="str">
        <f t="shared" si="877"/>
        <v>=-60140000</v>
      </c>
      <c r="AT1829" s="1">
        <f>-60140000</f>
        <v>-60140000</v>
      </c>
      <c r="AU1829" s="8">
        <f t="shared" si="894"/>
        <v>0.71828571428571431</v>
      </c>
      <c r="AV1829" s="7">
        <f>-3500*10000</f>
        <v>-35000000</v>
      </c>
      <c r="AW1829" s="6" t="str">
        <f t="shared" si="878"/>
        <v>=-35000000</v>
      </c>
      <c r="AX1829" s="1">
        <f>-35000000</f>
        <v>-35000000</v>
      </c>
      <c r="AY1829" s="10">
        <f t="shared" si="895"/>
        <v>-1.3032928942807627</v>
      </c>
      <c r="AZ1829" s="6" t="s">
        <v>2639</v>
      </c>
      <c r="BA1829" s="6" t="str">
        <f t="shared" si="879"/>
        <v>=1.154*100000000</v>
      </c>
      <c r="BB1829" s="1">
        <f>1.154*100000000</f>
        <v>115399999.99999999</v>
      </c>
      <c r="BC1829" s="8">
        <f t="shared" si="896"/>
        <v>9.8001902949571701E-2</v>
      </c>
      <c r="BD1829" s="6" t="s">
        <v>3980</v>
      </c>
      <c r="BE1829" s="6" t="str">
        <f t="shared" si="880"/>
        <v>=1.051*100000000</v>
      </c>
      <c r="BF1829" s="1">
        <f>1.051*100000000</f>
        <v>105100000</v>
      </c>
      <c r="BG1829" s="8">
        <f t="shared" si="897"/>
        <v>4.5771144278607123E-2</v>
      </c>
      <c r="BH1829" s="6" t="s">
        <v>8847</v>
      </c>
      <c r="BI1829" s="6" t="str">
        <f t="shared" si="881"/>
        <v>=1.005*100000000</v>
      </c>
      <c r="BJ1829" s="1">
        <f>1.005*100000000</f>
        <v>100499999.99999999</v>
      </c>
      <c r="BK1829" s="7" t="s">
        <v>16464</v>
      </c>
      <c r="BL1829" s="1" t="str">
        <f t="shared" si="883"/>
        <v>=8793*10000</v>
      </c>
      <c r="BM1829" s="16">
        <f t="shared" si="898"/>
        <v>0.1429546229955645</v>
      </c>
      <c r="BN1829" s="1">
        <f>8793*10000</f>
        <v>87930000</v>
      </c>
    </row>
    <row r="1830" spans="1:66">
      <c r="A1830" s="17">
        <v>459</v>
      </c>
      <c r="B1830">
        <v>603596</v>
      </c>
      <c r="C1830" t="s">
        <v>31</v>
      </c>
      <c r="D1830" s="6" t="s">
        <v>16641</v>
      </c>
      <c r="E1830" s="7" t="str">
        <f t="shared" si="882"/>
        <v>=34.92*100000000</v>
      </c>
      <c r="F1830" s="1">
        <f>34.92*100000000</f>
        <v>3492000000</v>
      </c>
      <c r="G1830" s="8">
        <f t="shared" si="884"/>
        <v>0.5</v>
      </c>
      <c r="H1830" s="6" t="s">
        <v>1531</v>
      </c>
      <c r="I1830" s="6" t="str">
        <f t="shared" si="868"/>
        <v>=23.28*100000000</v>
      </c>
      <c r="J1830" s="1">
        <f>23.28*100000000</f>
        <v>2328000000</v>
      </c>
      <c r="K1830" s="10">
        <f t="shared" si="885"/>
        <v>0.5107073329007138</v>
      </c>
      <c r="L1830" s="6" t="s">
        <v>6460</v>
      </c>
      <c r="M1830" s="6" t="str">
        <f t="shared" si="869"/>
        <v>=15.41*100000000</v>
      </c>
      <c r="N1830" s="1">
        <f>15.41*100000000</f>
        <v>1541000000</v>
      </c>
      <c r="O1830" s="8">
        <f t="shared" si="886"/>
        <v>0.96055979643765899</v>
      </c>
      <c r="P1830" s="6" t="s">
        <v>16642</v>
      </c>
      <c r="Q1830" s="6" t="str">
        <f t="shared" si="870"/>
        <v>=7.860*100000000</v>
      </c>
      <c r="R1830" s="11">
        <f>7.86*100000000</f>
        <v>786000000</v>
      </c>
      <c r="S1830" s="8">
        <f t="shared" si="887"/>
        <v>-0.7416173570019724</v>
      </c>
      <c r="T1830" s="6" t="s">
        <v>1086</v>
      </c>
      <c r="U1830" s="6" t="str">
        <f t="shared" si="871"/>
        <v>=30.42*100000000</v>
      </c>
      <c r="V1830" s="1">
        <f>30.42*100000000</f>
        <v>3042000000</v>
      </c>
      <c r="W1830" s="8">
        <f t="shared" si="888"/>
        <v>0.50222222222222224</v>
      </c>
      <c r="X1830" s="6" t="s">
        <v>1358</v>
      </c>
      <c r="Y1830" s="6" t="str">
        <f t="shared" si="872"/>
        <v>=20.25*100000000</v>
      </c>
      <c r="Z1830" s="1">
        <f>20.25*100000000</f>
        <v>2025000000</v>
      </c>
      <c r="AA1830" s="8">
        <f t="shared" si="889"/>
        <v>0.7441860465116279</v>
      </c>
      <c r="AB1830" s="6" t="s">
        <v>2053</v>
      </c>
      <c r="AC1830" s="6" t="str">
        <f t="shared" si="873"/>
        <v>=11.61*100000000</v>
      </c>
      <c r="AD1830" s="1">
        <f>11.61*100000000</f>
        <v>1161000000</v>
      </c>
      <c r="AE1830" s="8">
        <f t="shared" si="890"/>
        <v>0.95586253369272234</v>
      </c>
      <c r="AF1830" s="6" t="s">
        <v>10732</v>
      </c>
      <c r="AG1830" s="6" t="str">
        <f t="shared" si="874"/>
        <v>=5.936*100000000</v>
      </c>
      <c r="AH1830" s="1">
        <f>5.936*100000000</f>
        <v>593600000</v>
      </c>
      <c r="AI1830" s="8">
        <f t="shared" si="891"/>
        <v>-0.81197339246119737</v>
      </c>
      <c r="AJ1830" s="6" t="s">
        <v>5411</v>
      </c>
      <c r="AK1830" s="6" t="str">
        <f t="shared" si="875"/>
        <v>=31.57*100000000</v>
      </c>
      <c r="AL1830" s="1">
        <f>31.57*100000000</f>
        <v>3157000000</v>
      </c>
      <c r="AM1830" s="8">
        <f t="shared" si="892"/>
        <v>0.48844884488448848</v>
      </c>
      <c r="AN1830" s="6" t="s">
        <v>1538</v>
      </c>
      <c r="AO1830" s="6" t="str">
        <f t="shared" si="876"/>
        <v>=21.21*100000000</v>
      </c>
      <c r="AP1830" s="1">
        <f>21.21*100000000</f>
        <v>2121000000</v>
      </c>
      <c r="AQ1830" s="8">
        <f t="shared" si="893"/>
        <v>0.61908396946564881</v>
      </c>
      <c r="AR1830" s="6" t="s">
        <v>12526</v>
      </c>
      <c r="AS1830" s="6" t="str">
        <f t="shared" si="877"/>
        <v>=13.10*100000000</v>
      </c>
      <c r="AT1830" s="1">
        <f>13.1*100000000</f>
        <v>1310000000</v>
      </c>
      <c r="AU1830" s="8">
        <f t="shared" si="894"/>
        <v>1.0430442919525889</v>
      </c>
      <c r="AV1830" s="6" t="s">
        <v>5045</v>
      </c>
      <c r="AW1830" s="6" t="str">
        <f t="shared" si="878"/>
        <v>=6.412*100000000</v>
      </c>
      <c r="AX1830" s="1">
        <f>6.412*100000000</f>
        <v>641200000</v>
      </c>
      <c r="AY1830" s="10">
        <f t="shared" si="895"/>
        <v>-0.75357417371252877</v>
      </c>
      <c r="AZ1830" s="6" t="s">
        <v>148</v>
      </c>
      <c r="BA1830" s="6" t="str">
        <f t="shared" si="879"/>
        <v>=26.02*100000000</v>
      </c>
      <c r="BB1830" s="1">
        <f>26.02*100000000</f>
        <v>2602000000</v>
      </c>
      <c r="BC1830" s="8">
        <f t="shared" si="896"/>
        <v>0.36659663865546216</v>
      </c>
      <c r="BD1830" s="6" t="s">
        <v>3955</v>
      </c>
      <c r="BE1830" s="6" t="str">
        <f t="shared" si="880"/>
        <v>=19.04*100000000</v>
      </c>
      <c r="BF1830" s="1">
        <f>19.04*100000000</f>
        <v>1904000000</v>
      </c>
      <c r="BG1830" s="8">
        <f t="shared" si="897"/>
        <v>0.45232646834477497</v>
      </c>
      <c r="BH1830" s="6" t="s">
        <v>12769</v>
      </c>
      <c r="BI1830" s="6" t="str">
        <f t="shared" si="881"/>
        <v>=13.11*100000000</v>
      </c>
      <c r="BJ1830" s="1">
        <f>13.11*100000000</f>
        <v>1311000000</v>
      </c>
      <c r="BK1830" s="6" t="s">
        <v>6333</v>
      </c>
      <c r="BL1830" s="1" t="str">
        <f t="shared" si="883"/>
        <v>=6.810*100000000</v>
      </c>
      <c r="BM1830" s="16">
        <f t="shared" si="898"/>
        <v>0.92511013215859028</v>
      </c>
      <c r="BN1830" s="1">
        <f>6.81*100000000</f>
        <v>681000000</v>
      </c>
    </row>
    <row r="1831" spans="1:66">
      <c r="A1831" s="18"/>
      <c r="B1831">
        <v>603596</v>
      </c>
      <c r="C1831" t="s">
        <v>48</v>
      </c>
      <c r="D1831" s="6" t="s">
        <v>16643</v>
      </c>
      <c r="E1831" s="7" t="str">
        <f t="shared" si="882"/>
        <v>=5.746*100000000</v>
      </c>
      <c r="F1831" s="1">
        <f>5.746*100000000</f>
        <v>574600000</v>
      </c>
      <c r="G1831" s="8">
        <f t="shared" si="884"/>
        <v>0.29648014440433196</v>
      </c>
      <c r="H1831" s="6" t="s">
        <v>16644</v>
      </c>
      <c r="I1831" s="6" t="str">
        <f t="shared" si="868"/>
        <v>=4.432*100000000</v>
      </c>
      <c r="J1831" s="1">
        <f>4.432*100000000</f>
        <v>443200000.00000006</v>
      </c>
      <c r="K1831" s="10">
        <f t="shared" si="885"/>
        <v>0.49275850454698572</v>
      </c>
      <c r="L1831" s="6" t="s">
        <v>1715</v>
      </c>
      <c r="M1831" s="6" t="str">
        <f t="shared" si="869"/>
        <v>=2.969*100000000</v>
      </c>
      <c r="N1831" s="1">
        <f>2.969*100000000</f>
        <v>296900000</v>
      </c>
      <c r="O1831" s="8">
        <f t="shared" si="886"/>
        <v>0.72215777262180969</v>
      </c>
      <c r="P1831" s="6" t="s">
        <v>5030</v>
      </c>
      <c r="Q1831" s="6" t="str">
        <f t="shared" si="870"/>
        <v>=1.724*100000000</v>
      </c>
      <c r="R1831" s="11">
        <f>1.724*100000000</f>
        <v>172400000</v>
      </c>
      <c r="S1831" s="8">
        <f t="shared" si="887"/>
        <v>-0.69465108041091039</v>
      </c>
      <c r="T1831" s="6" t="s">
        <v>16645</v>
      </c>
      <c r="U1831" s="6" t="str">
        <f t="shared" si="871"/>
        <v>=5.646*100000000</v>
      </c>
      <c r="V1831" s="1">
        <f>5.646*100000000</f>
        <v>564600000</v>
      </c>
      <c r="W1831" s="8">
        <f t="shared" si="888"/>
        <v>0.4311787072243346</v>
      </c>
      <c r="X1831" s="6" t="s">
        <v>16646</v>
      </c>
      <c r="Y1831" s="6" t="str">
        <f t="shared" si="872"/>
        <v>=3.945*100000000</v>
      </c>
      <c r="Z1831" s="1">
        <f>3.945*100000000</f>
        <v>394500000</v>
      </c>
      <c r="AA1831" s="8">
        <f t="shared" si="889"/>
        <v>0.76589077887197854</v>
      </c>
      <c r="AB1831" s="6" t="s">
        <v>491</v>
      </c>
      <c r="AC1831" s="6" t="str">
        <f t="shared" si="873"/>
        <v>=2.234*100000000</v>
      </c>
      <c r="AD1831" s="1">
        <f>2.234*100000000</f>
        <v>223400000</v>
      </c>
      <c r="AE1831" s="8">
        <f t="shared" si="890"/>
        <v>0.66220238095238093</v>
      </c>
      <c r="AF1831" s="6" t="s">
        <v>7272</v>
      </c>
      <c r="AG1831" s="6" t="str">
        <f t="shared" si="874"/>
        <v>=1.344*100000000</v>
      </c>
      <c r="AH1831" s="1">
        <f>1.344*100000000</f>
        <v>134400000</v>
      </c>
      <c r="AI1831" s="8">
        <f t="shared" si="891"/>
        <v>-0.74607972794256561</v>
      </c>
      <c r="AJ1831" s="6" t="s">
        <v>16647</v>
      </c>
      <c r="AK1831" s="6" t="str">
        <f t="shared" si="875"/>
        <v>=5.293*100000000</v>
      </c>
      <c r="AL1831" s="1">
        <f>5.293*100000000</f>
        <v>529300000</v>
      </c>
      <c r="AM1831" s="8">
        <f t="shared" si="892"/>
        <v>0.29794016674840607</v>
      </c>
      <c r="AN1831" s="6" t="s">
        <v>10262</v>
      </c>
      <c r="AO1831" s="6" t="str">
        <f t="shared" si="876"/>
        <v>=4.078*100000000</v>
      </c>
      <c r="AP1831" s="1">
        <f>4.078*100000000</f>
        <v>407800000</v>
      </c>
      <c r="AQ1831" s="8">
        <f t="shared" si="893"/>
        <v>0.60424862313139283</v>
      </c>
      <c r="AR1831" s="6" t="s">
        <v>11653</v>
      </c>
      <c r="AS1831" s="6" t="str">
        <f t="shared" si="877"/>
        <v>=2.542*100000000</v>
      </c>
      <c r="AT1831" s="1">
        <f>2.542*100000000</f>
        <v>254199999.99999997</v>
      </c>
      <c r="AU1831" s="8">
        <f t="shared" si="894"/>
        <v>0.61089987325728756</v>
      </c>
      <c r="AV1831" s="6" t="s">
        <v>15455</v>
      </c>
      <c r="AW1831" s="6" t="str">
        <f t="shared" si="878"/>
        <v>=1.578*100000000</v>
      </c>
      <c r="AX1831" s="1">
        <f>1.578*100000000</f>
        <v>157800000</v>
      </c>
      <c r="AY1831" s="10">
        <f t="shared" si="895"/>
        <v>-0.54785100286532951</v>
      </c>
      <c r="AZ1831" s="6" t="s">
        <v>8043</v>
      </c>
      <c r="BA1831" s="6" t="str">
        <f t="shared" si="879"/>
        <v>=3.490*100000000</v>
      </c>
      <c r="BB1831" s="1">
        <f>3.49*100000000</f>
        <v>349000000</v>
      </c>
      <c r="BC1831" s="8">
        <f t="shared" si="896"/>
        <v>0.11894838089131132</v>
      </c>
      <c r="BD1831" s="6" t="s">
        <v>8154</v>
      </c>
      <c r="BE1831" s="6" t="str">
        <f t="shared" si="880"/>
        <v>=3.119*100000000</v>
      </c>
      <c r="BF1831" s="1">
        <f>3.119*100000000</f>
        <v>311900000</v>
      </c>
      <c r="BG1831" s="8">
        <f t="shared" si="897"/>
        <v>0.5111434108527132</v>
      </c>
      <c r="BH1831" s="6" t="s">
        <v>16648</v>
      </c>
      <c r="BI1831" s="6" t="str">
        <f t="shared" si="881"/>
        <v>=2.064*100000000</v>
      </c>
      <c r="BJ1831" s="1">
        <f>2.064*100000000</f>
        <v>206400000</v>
      </c>
      <c r="BK1831" s="6" t="s">
        <v>1130</v>
      </c>
      <c r="BL1831" s="1" t="str">
        <f t="shared" si="883"/>
        <v>=1.189*100000000</v>
      </c>
      <c r="BM1831" s="16">
        <f t="shared" si="898"/>
        <v>0.73591253153910852</v>
      </c>
      <c r="BN1831" s="1">
        <f>1.189*100000000</f>
        <v>118900000</v>
      </c>
    </row>
    <row r="1832" spans="1:66">
      <c r="A1832" s="18"/>
      <c r="B1832">
        <v>603596</v>
      </c>
      <c r="C1832" t="s">
        <v>58</v>
      </c>
      <c r="D1832" s="6" t="s">
        <v>11511</v>
      </c>
      <c r="E1832" s="7" t="str">
        <f t="shared" si="882"/>
        <v>=5.762*100000000</v>
      </c>
      <c r="F1832" s="1">
        <f>5.762*100000000</f>
        <v>576200000</v>
      </c>
      <c r="G1832" s="8">
        <f t="shared" si="884"/>
        <v>0.29134917077543704</v>
      </c>
      <c r="H1832" s="6" t="s">
        <v>11441</v>
      </c>
      <c r="I1832" s="6" t="str">
        <f t="shared" si="868"/>
        <v>=4.462*100000000</v>
      </c>
      <c r="J1832" s="1">
        <f>4.462*100000000</f>
        <v>446200000</v>
      </c>
      <c r="K1832" s="10">
        <f t="shared" si="885"/>
        <v>0.48683772075974674</v>
      </c>
      <c r="L1832" s="6" t="s">
        <v>2196</v>
      </c>
      <c r="M1832" s="6" t="str">
        <f t="shared" si="869"/>
        <v>=3.001*100000000</v>
      </c>
      <c r="N1832" s="1">
        <f>3.001*100000000</f>
        <v>300100000</v>
      </c>
      <c r="O1832" s="8">
        <f t="shared" si="886"/>
        <v>0.73971014492753628</v>
      </c>
      <c r="P1832" s="6" t="s">
        <v>2529</v>
      </c>
      <c r="Q1832" s="6" t="str">
        <f t="shared" si="870"/>
        <v>=1.725*100000000</v>
      </c>
      <c r="R1832" s="11">
        <f>1.725*100000000</f>
        <v>172500000</v>
      </c>
      <c r="S1832" s="8">
        <f t="shared" si="887"/>
        <v>-0.69404043987229513</v>
      </c>
      <c r="T1832" s="6" t="s">
        <v>15303</v>
      </c>
      <c r="U1832" s="6" t="str">
        <f t="shared" si="871"/>
        <v>=5.638*100000000</v>
      </c>
      <c r="V1832" s="1">
        <f>5.638*100000000</f>
        <v>563800000</v>
      </c>
      <c r="W1832" s="8">
        <f t="shared" si="888"/>
        <v>0.4287886467308667</v>
      </c>
      <c r="X1832" s="6" t="s">
        <v>16649</v>
      </c>
      <c r="Y1832" s="6" t="str">
        <f t="shared" si="872"/>
        <v>=3.946*100000000</v>
      </c>
      <c r="Z1832" s="1">
        <f>3.946*100000000</f>
        <v>394600000</v>
      </c>
      <c r="AA1832" s="8">
        <f t="shared" si="889"/>
        <v>0.76554809843400451</v>
      </c>
      <c r="AB1832" s="6" t="s">
        <v>14682</v>
      </c>
      <c r="AC1832" s="6" t="str">
        <f t="shared" si="873"/>
        <v>=2.235*100000000</v>
      </c>
      <c r="AD1832" s="1">
        <f>2.235*100000000</f>
        <v>223500000</v>
      </c>
      <c r="AE1832" s="8">
        <f t="shared" si="890"/>
        <v>0.66171003717472121</v>
      </c>
      <c r="AF1832" s="6" t="s">
        <v>6291</v>
      </c>
      <c r="AG1832" s="6" t="str">
        <f t="shared" si="874"/>
        <v>=1.345*100000000</v>
      </c>
      <c r="AH1832" s="1">
        <f>1.345*100000000</f>
        <v>134500000</v>
      </c>
      <c r="AI1832" s="8">
        <f t="shared" si="891"/>
        <v>-0.74502369668246449</v>
      </c>
      <c r="AJ1832" s="6" t="s">
        <v>8174</v>
      </c>
      <c r="AK1832" s="6" t="str">
        <f t="shared" si="875"/>
        <v>=5.275*100000000</v>
      </c>
      <c r="AL1832" s="1">
        <f>5.275*100000000</f>
        <v>527500000.00000006</v>
      </c>
      <c r="AM1832" s="8">
        <f t="shared" si="892"/>
        <v>0.29289215686274522</v>
      </c>
      <c r="AN1832" s="6" t="s">
        <v>10287</v>
      </c>
      <c r="AO1832" s="6" t="str">
        <f t="shared" si="876"/>
        <v>=4.080*100000000</v>
      </c>
      <c r="AP1832" s="1">
        <f>4.08*100000000</f>
        <v>408000000</v>
      </c>
      <c r="AQ1832" s="8">
        <f t="shared" si="893"/>
        <v>0.60314341846758346</v>
      </c>
      <c r="AR1832" s="6" t="s">
        <v>16027</v>
      </c>
      <c r="AS1832" s="6" t="str">
        <f t="shared" si="877"/>
        <v>=2.545*100000000</v>
      </c>
      <c r="AT1832" s="1">
        <f>2.545*100000000</f>
        <v>254500000</v>
      </c>
      <c r="AU1832" s="8">
        <f t="shared" si="894"/>
        <v>0.61177960734642178</v>
      </c>
      <c r="AV1832" s="6" t="s">
        <v>1716</v>
      </c>
      <c r="AW1832" s="6" t="str">
        <f t="shared" si="878"/>
        <v>=1.579*100000000</v>
      </c>
      <c r="AX1832" s="1">
        <f>1.579*100000000</f>
        <v>157900000</v>
      </c>
      <c r="AY1832" s="10">
        <f t="shared" si="895"/>
        <v>-0.54756446991404006</v>
      </c>
      <c r="AZ1832" s="6" t="s">
        <v>8043</v>
      </c>
      <c r="BA1832" s="6" t="str">
        <f t="shared" si="879"/>
        <v>=3.490*100000000</v>
      </c>
      <c r="BB1832" s="1">
        <f>3.49*100000000</f>
        <v>349000000</v>
      </c>
      <c r="BC1832" s="8">
        <f t="shared" si="896"/>
        <v>0.11787315823190263</v>
      </c>
      <c r="BD1832" s="6" t="s">
        <v>7833</v>
      </c>
      <c r="BE1832" s="6" t="str">
        <f t="shared" si="880"/>
        <v>=3.122*100000000</v>
      </c>
      <c r="BF1832" s="1">
        <f>3.122*100000000</f>
        <v>312200000</v>
      </c>
      <c r="BG1832" s="8">
        <f t="shared" si="897"/>
        <v>0.51040154813739702</v>
      </c>
      <c r="BH1832" s="6" t="s">
        <v>15995</v>
      </c>
      <c r="BI1832" s="6" t="str">
        <f t="shared" si="881"/>
        <v>=2.067*100000000</v>
      </c>
      <c r="BJ1832" s="1">
        <f>2.067*100000000</f>
        <v>206700000.00000003</v>
      </c>
      <c r="BK1832" s="6" t="s">
        <v>2097</v>
      </c>
      <c r="BL1832" s="1" t="str">
        <f t="shared" si="883"/>
        <v>=1.193*100000000</v>
      </c>
      <c r="BM1832" s="16">
        <f t="shared" si="898"/>
        <v>0.73260687342833219</v>
      </c>
      <c r="BN1832" s="1">
        <f>1.193*100000000</f>
        <v>119300000</v>
      </c>
    </row>
    <row r="1833" spans="1:66">
      <c r="A1833" s="19"/>
      <c r="B1833">
        <v>603596</v>
      </c>
      <c r="C1833" t="s">
        <v>68</v>
      </c>
      <c r="D1833" s="6" t="s">
        <v>8174</v>
      </c>
      <c r="E1833" s="7" t="str">
        <f t="shared" si="882"/>
        <v>=5.275*100000000</v>
      </c>
      <c r="F1833" s="1">
        <f>5.275*100000000</f>
        <v>527500000.00000006</v>
      </c>
      <c r="G1833" s="8">
        <f t="shared" si="884"/>
        <v>0.34703779366700732</v>
      </c>
      <c r="H1833" s="6" t="s">
        <v>4631</v>
      </c>
      <c r="I1833" s="6" t="str">
        <f t="shared" si="868"/>
        <v>=3.916*100000000</v>
      </c>
      <c r="J1833" s="1">
        <f>3.916*100000000</f>
        <v>391600000</v>
      </c>
      <c r="K1833" s="10">
        <f t="shared" si="885"/>
        <v>0.48389541492989785</v>
      </c>
      <c r="L1833" s="6" t="s">
        <v>5502</v>
      </c>
      <c r="M1833" s="6" t="str">
        <f t="shared" si="869"/>
        <v>=2.639*100000000</v>
      </c>
      <c r="N1833" s="1">
        <f>2.639*100000000</f>
        <v>263899999.99999997</v>
      </c>
      <c r="O1833" s="8">
        <f t="shared" si="886"/>
        <v>0.76758204956463472</v>
      </c>
      <c r="P1833" s="6" t="s">
        <v>6582</v>
      </c>
      <c r="Q1833" s="6" t="str">
        <f t="shared" si="870"/>
        <v>=1.493*100000000</v>
      </c>
      <c r="R1833" s="11">
        <f>1.493*100000000</f>
        <v>149300000</v>
      </c>
      <c r="S1833" s="8">
        <f t="shared" si="887"/>
        <v>-0.69679122664500415</v>
      </c>
      <c r="T1833" s="6" t="s">
        <v>16650</v>
      </c>
      <c r="U1833" s="6" t="str">
        <f t="shared" si="871"/>
        <v>=4.924*100000000</v>
      </c>
      <c r="V1833" s="1">
        <f>4.924*100000000</f>
        <v>492400000.00000006</v>
      </c>
      <c r="W1833" s="8">
        <f t="shared" si="888"/>
        <v>0.45122310639552038</v>
      </c>
      <c r="X1833" s="6" t="s">
        <v>10185</v>
      </c>
      <c r="Y1833" s="6" t="str">
        <f t="shared" si="872"/>
        <v>=3.393*100000000</v>
      </c>
      <c r="Z1833" s="1">
        <f>3.393*100000000</f>
        <v>339300000</v>
      </c>
      <c r="AA1833" s="8">
        <f t="shared" si="889"/>
        <v>0.78297425118234365</v>
      </c>
      <c r="AB1833" s="6" t="s">
        <v>16651</v>
      </c>
      <c r="AC1833" s="6" t="str">
        <f t="shared" si="873"/>
        <v>=1.903*100000000</v>
      </c>
      <c r="AD1833" s="1">
        <f>1.903*100000000</f>
        <v>190300000</v>
      </c>
      <c r="AE1833" s="8">
        <f t="shared" si="890"/>
        <v>0.6419327006039689</v>
      </c>
      <c r="AF1833" s="6" t="s">
        <v>11203</v>
      </c>
      <c r="AG1833" s="6" t="str">
        <f t="shared" si="874"/>
        <v>=1.159*100000000</v>
      </c>
      <c r="AH1833" s="1">
        <f>1.159*100000000</f>
        <v>115900000</v>
      </c>
      <c r="AI1833" s="8">
        <f t="shared" si="891"/>
        <v>-0.74577758280324635</v>
      </c>
      <c r="AJ1833" s="6" t="s">
        <v>16652</v>
      </c>
      <c r="AK1833" s="6" t="str">
        <f t="shared" si="875"/>
        <v>=4.559*100000000</v>
      </c>
      <c r="AL1833" s="1">
        <f>4.559*100000000</f>
        <v>455900000</v>
      </c>
      <c r="AM1833" s="8">
        <f t="shared" si="892"/>
        <v>0.31345433592624605</v>
      </c>
      <c r="AN1833" s="6" t="s">
        <v>14172</v>
      </c>
      <c r="AO1833" s="6" t="str">
        <f t="shared" si="876"/>
        <v>=3.471*100000000</v>
      </c>
      <c r="AP1833" s="1">
        <f>3.471*100000000</f>
        <v>347100000</v>
      </c>
      <c r="AQ1833" s="8">
        <f t="shared" si="893"/>
        <v>0.60175357637286597</v>
      </c>
      <c r="AR1833" s="6" t="s">
        <v>7141</v>
      </c>
      <c r="AS1833" s="6" t="str">
        <f t="shared" si="877"/>
        <v>=2.167*100000000</v>
      </c>
      <c r="AT1833" s="1">
        <f>2.167*100000000</f>
        <v>216699999.99999997</v>
      </c>
      <c r="AU1833" s="8">
        <f t="shared" si="894"/>
        <v>0.62565641410352568</v>
      </c>
      <c r="AV1833" s="6" t="s">
        <v>4282</v>
      </c>
      <c r="AW1833" s="6" t="str">
        <f t="shared" si="878"/>
        <v>=1.333*100000000</v>
      </c>
      <c r="AX1833" s="1">
        <f>1.333*100000000</f>
        <v>133300000</v>
      </c>
      <c r="AY1833" s="10">
        <f t="shared" si="895"/>
        <v>-0.55817036791514751</v>
      </c>
      <c r="AZ1833" s="6" t="s">
        <v>7016</v>
      </c>
      <c r="BA1833" s="6" t="str">
        <f t="shared" si="879"/>
        <v>=3.017*100000000</v>
      </c>
      <c r="BB1833" s="1">
        <f>3.017*100000000</f>
        <v>301700000</v>
      </c>
      <c r="BC1833" s="8">
        <f t="shared" si="896"/>
        <v>0.13378429161969185</v>
      </c>
      <c r="BD1833" s="6" t="s">
        <v>8410</v>
      </c>
      <c r="BE1833" s="6" t="str">
        <f t="shared" si="880"/>
        <v>=2.661*100000000</v>
      </c>
      <c r="BF1833" s="1">
        <f>2.661*100000000</f>
        <v>266100000</v>
      </c>
      <c r="BG1833" s="8">
        <f t="shared" si="897"/>
        <v>0.50509049773755654</v>
      </c>
      <c r="BH1833" s="6" t="s">
        <v>242</v>
      </c>
      <c r="BI1833" s="6" t="str">
        <f t="shared" si="881"/>
        <v>=1.768*100000000</v>
      </c>
      <c r="BJ1833" s="1">
        <f>1.768*100000000</f>
        <v>176800000</v>
      </c>
      <c r="BK1833" s="6" t="s">
        <v>10220</v>
      </c>
      <c r="BL1833" s="1" t="str">
        <f t="shared" si="883"/>
        <v>=1.017*100000000</v>
      </c>
      <c r="BM1833" s="16">
        <f t="shared" si="898"/>
        <v>0.73844641101278297</v>
      </c>
      <c r="BN1833" s="1">
        <f>1.017*100000000</f>
        <v>101699999.99999999</v>
      </c>
    </row>
    <row r="1834" spans="1:66">
      <c r="A1834" s="17">
        <v>460</v>
      </c>
      <c r="B1834">
        <v>603601</v>
      </c>
      <c r="C1834" t="s">
        <v>31</v>
      </c>
      <c r="D1834" s="6" t="s">
        <v>2453</v>
      </c>
      <c r="E1834" s="7" t="str">
        <f t="shared" si="882"/>
        <v>=16.20*100000000</v>
      </c>
      <c r="F1834" s="1">
        <f>16.2*100000000</f>
        <v>1620000000</v>
      </c>
      <c r="G1834" s="8">
        <f t="shared" si="884"/>
        <v>0.40138408304498269</v>
      </c>
      <c r="H1834" s="6" t="s">
        <v>3976</v>
      </c>
      <c r="I1834" s="6" t="str">
        <f t="shared" si="868"/>
        <v>=11.56*100000000</v>
      </c>
      <c r="J1834" s="1">
        <f>11.56*100000000</f>
        <v>1156000000</v>
      </c>
      <c r="K1834" s="10">
        <f t="shared" si="885"/>
        <v>0.46514575411913817</v>
      </c>
      <c r="L1834" s="6" t="s">
        <v>16653</v>
      </c>
      <c r="M1834" s="6" t="str">
        <f t="shared" si="869"/>
        <v>=7.890*100000000</v>
      </c>
      <c r="N1834" s="1">
        <f>7.89*100000000</f>
        <v>789000000</v>
      </c>
      <c r="O1834" s="8">
        <f t="shared" si="886"/>
        <v>0.74480318443166738</v>
      </c>
      <c r="P1834" s="6" t="s">
        <v>16654</v>
      </c>
      <c r="Q1834" s="6" t="str">
        <f t="shared" si="870"/>
        <v>=4.522*100000000</v>
      </c>
      <c r="R1834" s="11">
        <f>4.522*100000000</f>
        <v>452200000</v>
      </c>
      <c r="S1834" s="8">
        <f t="shared" si="887"/>
        <v>-0.75997876857749469</v>
      </c>
      <c r="T1834" s="6" t="s">
        <v>12297</v>
      </c>
      <c r="U1834" s="6" t="str">
        <f t="shared" si="871"/>
        <v>=18.84*100000000</v>
      </c>
      <c r="V1834" s="1">
        <f>18.84*100000000</f>
        <v>1884000000</v>
      </c>
      <c r="W1834" s="8">
        <f t="shared" si="888"/>
        <v>0.42835481425322214</v>
      </c>
      <c r="X1834" s="6" t="s">
        <v>1807</v>
      </c>
      <c r="Y1834" s="6" t="str">
        <f t="shared" si="872"/>
        <v>=13.19*100000000</v>
      </c>
      <c r="Z1834" s="1">
        <f>13.19*100000000</f>
        <v>1319000000</v>
      </c>
      <c r="AA1834" s="8">
        <f t="shared" si="889"/>
        <v>0.54034800887539391</v>
      </c>
      <c r="AB1834" s="6" t="s">
        <v>1124</v>
      </c>
      <c r="AC1834" s="6" t="str">
        <f t="shared" si="873"/>
        <v>=8.563*100000000</v>
      </c>
      <c r="AD1834" s="1">
        <f>8.563*100000000</f>
        <v>856300000.00000012</v>
      </c>
      <c r="AE1834" s="8">
        <f t="shared" si="890"/>
        <v>1.6659402241594026</v>
      </c>
      <c r="AF1834" s="6" t="s">
        <v>16655</v>
      </c>
      <c r="AG1834" s="6" t="str">
        <f t="shared" si="874"/>
        <v>=3.212*100000000</v>
      </c>
      <c r="AH1834" s="1">
        <f>3.212*100000000</f>
        <v>321200000</v>
      </c>
      <c r="AI1834" s="8">
        <f t="shared" si="891"/>
        <v>-0.74345047923322682</v>
      </c>
      <c r="AJ1834" s="6" t="s">
        <v>8066</v>
      </c>
      <c r="AK1834" s="6" t="str">
        <f t="shared" si="875"/>
        <v>=12.52*100000000</v>
      </c>
      <c r="AL1834" s="1">
        <f>12.52*100000000</f>
        <v>1252000000</v>
      </c>
      <c r="AM1834" s="8">
        <f t="shared" si="892"/>
        <v>0.4495773995600324</v>
      </c>
      <c r="AN1834" s="6" t="s">
        <v>16656</v>
      </c>
      <c r="AO1834" s="6" t="str">
        <f t="shared" si="876"/>
        <v>=8.637*100000000</v>
      </c>
      <c r="AP1834" s="1">
        <f>8.637*100000000</f>
        <v>863700000</v>
      </c>
      <c r="AQ1834" s="8">
        <f t="shared" si="893"/>
        <v>0.40233804188991718</v>
      </c>
      <c r="AR1834" s="6" t="s">
        <v>7527</v>
      </c>
      <c r="AS1834" s="6" t="str">
        <f t="shared" si="877"/>
        <v>=6.159*100000000</v>
      </c>
      <c r="AT1834" s="1">
        <f>6.159*100000000</f>
        <v>615900000</v>
      </c>
      <c r="AU1834" s="8">
        <f t="shared" si="894"/>
        <v>1.1333564253550399</v>
      </c>
      <c r="AV1834" s="6" t="s">
        <v>2983</v>
      </c>
      <c r="AW1834" s="6" t="str">
        <f t="shared" si="878"/>
        <v>=2.887*100000000</v>
      </c>
      <c r="AX1834" s="1">
        <f>2.887*100000000</f>
        <v>288700000</v>
      </c>
      <c r="AY1834" s="10">
        <f t="shared" si="895"/>
        <v>-0.73317929759704248</v>
      </c>
      <c r="AZ1834" s="6" t="s">
        <v>6016</v>
      </c>
      <c r="BA1834" s="6" t="str">
        <f t="shared" si="879"/>
        <v>=10.82*100000000</v>
      </c>
      <c r="BB1834" s="1">
        <f>10.82*100000000</f>
        <v>1082000000</v>
      </c>
      <c r="BC1834" s="8">
        <f t="shared" si="896"/>
        <v>0.29503291442250151</v>
      </c>
      <c r="BD1834" s="6" t="s">
        <v>5401</v>
      </c>
      <c r="BE1834" s="6" t="str">
        <f t="shared" si="880"/>
        <v>=8.355*100000000</v>
      </c>
      <c r="BF1834" s="1">
        <f>8.355*100000000</f>
        <v>835500000</v>
      </c>
      <c r="BG1834" s="8">
        <f t="shared" si="897"/>
        <v>0.5122171945701357</v>
      </c>
      <c r="BH1834" s="6" t="s">
        <v>15526</v>
      </c>
      <c r="BI1834" s="6" t="str">
        <f t="shared" si="881"/>
        <v>=5.525*100000000</v>
      </c>
      <c r="BJ1834" s="1">
        <f>5.525*100000000</f>
        <v>552500000</v>
      </c>
      <c r="BK1834" s="6" t="s">
        <v>894</v>
      </c>
      <c r="BL1834" s="1" t="str">
        <f t="shared" si="883"/>
        <v>=2.215*100000000</v>
      </c>
      <c r="BM1834" s="16">
        <f t="shared" si="898"/>
        <v>1.4943566591422122</v>
      </c>
      <c r="BN1834" s="1">
        <f>2.215*100000000</f>
        <v>221500000</v>
      </c>
    </row>
    <row r="1835" spans="1:66">
      <c r="A1835" s="18"/>
      <c r="B1835">
        <v>603601</v>
      </c>
      <c r="C1835" t="s">
        <v>48</v>
      </c>
      <c r="D1835" s="6" t="s">
        <v>8666</v>
      </c>
      <c r="E1835" s="7" t="str">
        <f t="shared" si="882"/>
        <v>=2.699*100000000</v>
      </c>
      <c r="F1835" s="1">
        <f>2.699*100000000</f>
        <v>269900000</v>
      </c>
      <c r="G1835" s="8">
        <f t="shared" si="884"/>
        <v>0.34278606965174147</v>
      </c>
      <c r="H1835" s="6" t="s">
        <v>3385</v>
      </c>
      <c r="I1835" s="6" t="str">
        <f t="shared" si="868"/>
        <v>=2.010*100000000</v>
      </c>
      <c r="J1835" s="1">
        <f>2.01*100000000</f>
        <v>200999999.99999997</v>
      </c>
      <c r="K1835" s="10">
        <f t="shared" si="885"/>
        <v>0.39389736477115095</v>
      </c>
      <c r="L1835" s="6" t="s">
        <v>2943</v>
      </c>
      <c r="M1835" s="6" t="str">
        <f t="shared" si="869"/>
        <v>=1.442*100000000</v>
      </c>
      <c r="N1835" s="1">
        <f>1.442*100000000</f>
        <v>144200000</v>
      </c>
      <c r="O1835" s="8">
        <f t="shared" si="886"/>
        <v>0.59831522943914872</v>
      </c>
      <c r="P1835" s="7" t="s">
        <v>12162</v>
      </c>
      <c r="Q1835" s="6" t="str">
        <f t="shared" si="870"/>
        <v>=9022*10000</v>
      </c>
      <c r="R1835" s="11">
        <f>9022*10000</f>
        <v>90220000</v>
      </c>
      <c r="S1835" s="8">
        <f t="shared" si="887"/>
        <v>-0.80820578231292517</v>
      </c>
      <c r="T1835" s="6" t="s">
        <v>10777</v>
      </c>
      <c r="U1835" s="6" t="str">
        <f t="shared" si="871"/>
        <v>=4.704*100000000</v>
      </c>
      <c r="V1835" s="1">
        <f>4.704*100000000</f>
        <v>470400000</v>
      </c>
      <c r="W1835" s="8">
        <f t="shared" si="888"/>
        <v>0.11680911680911681</v>
      </c>
      <c r="X1835" s="6" t="s">
        <v>5200</v>
      </c>
      <c r="Y1835" s="6" t="str">
        <f t="shared" si="872"/>
        <v>=4.212*100000000</v>
      </c>
      <c r="Z1835" s="1">
        <f>4.212*100000000</f>
        <v>421200000</v>
      </c>
      <c r="AA1835" s="8">
        <f t="shared" si="889"/>
        <v>0.42345386955052383</v>
      </c>
      <c r="AB1835" s="6" t="s">
        <v>16657</v>
      </c>
      <c r="AC1835" s="6" t="str">
        <f t="shared" si="873"/>
        <v>=2.959*100000000</v>
      </c>
      <c r="AD1835" s="1">
        <f>2.959*100000000</f>
        <v>295900000</v>
      </c>
      <c r="AE1835" s="8">
        <f t="shared" si="890"/>
        <v>2.640501968503937</v>
      </c>
      <c r="AF1835" s="7" t="s">
        <v>16658</v>
      </c>
      <c r="AG1835" s="6" t="str">
        <f t="shared" si="874"/>
        <v>=8128*10000</v>
      </c>
      <c r="AH1835" s="1">
        <f>8128*10000</f>
        <v>81280000</v>
      </c>
      <c r="AI1835" s="8">
        <f t="shared" si="891"/>
        <v>-0.5641823056300268</v>
      </c>
      <c r="AJ1835" s="6" t="s">
        <v>12044</v>
      </c>
      <c r="AK1835" s="6" t="str">
        <f t="shared" si="875"/>
        <v>=1.865*100000000</v>
      </c>
      <c r="AL1835" s="1">
        <f>1.865*100000000</f>
        <v>186500000</v>
      </c>
      <c r="AM1835" s="8">
        <f t="shared" si="892"/>
        <v>0.22536136662286466</v>
      </c>
      <c r="AN1835" s="6" t="s">
        <v>6503</v>
      </c>
      <c r="AO1835" s="6" t="str">
        <f t="shared" si="876"/>
        <v>=1.522*100000000</v>
      </c>
      <c r="AP1835" s="1">
        <f>1.522*100000000</f>
        <v>152200000</v>
      </c>
      <c r="AQ1835" s="8">
        <f t="shared" si="893"/>
        <v>0.33625987708516242</v>
      </c>
      <c r="AR1835" s="6" t="s">
        <v>2930</v>
      </c>
      <c r="AS1835" s="6" t="str">
        <f t="shared" si="877"/>
        <v>=1.139*100000000</v>
      </c>
      <c r="AT1835" s="1">
        <f>1.139*100000000</f>
        <v>113900000</v>
      </c>
      <c r="AU1835" s="8">
        <f t="shared" si="894"/>
        <v>1.0743034055727554</v>
      </c>
      <c r="AV1835" s="7" t="s">
        <v>16659</v>
      </c>
      <c r="AW1835" s="6" t="str">
        <f t="shared" si="878"/>
        <v>=5491*10000</v>
      </c>
      <c r="AX1835" s="1">
        <f>5491*10000</f>
        <v>54910000</v>
      </c>
      <c r="AY1835" s="10">
        <f t="shared" si="895"/>
        <v>-0.70141381185426865</v>
      </c>
      <c r="AZ1835" s="6" t="s">
        <v>16660</v>
      </c>
      <c r="BA1835" s="6" t="str">
        <f t="shared" si="879"/>
        <v>=1.839*100000000</v>
      </c>
      <c r="BB1835" s="1">
        <f>1.839*100000000</f>
        <v>183900000</v>
      </c>
      <c r="BC1835" s="8">
        <f t="shared" si="896"/>
        <v>0.32302158273381293</v>
      </c>
      <c r="BD1835" s="6" t="s">
        <v>8057</v>
      </c>
      <c r="BE1835" s="6" t="str">
        <f t="shared" si="880"/>
        <v>=1.390*100000000</v>
      </c>
      <c r="BF1835" s="1">
        <f>1.39*100000000</f>
        <v>139000000</v>
      </c>
      <c r="BG1835" s="8">
        <f t="shared" si="897"/>
        <v>0.62516076230562379</v>
      </c>
      <c r="BH1835" s="7" t="s">
        <v>15609</v>
      </c>
      <c r="BI1835" s="6" t="str">
        <f t="shared" si="881"/>
        <v>=8553*10000</v>
      </c>
      <c r="BJ1835" s="1">
        <f>8553*10000</f>
        <v>85530000</v>
      </c>
      <c r="BK1835" s="7" t="s">
        <v>16661</v>
      </c>
      <c r="BL1835" s="1" t="str">
        <f t="shared" si="883"/>
        <v>=3701*10000</v>
      </c>
      <c r="BM1835" s="16">
        <f t="shared" si="898"/>
        <v>1.3109970278303162</v>
      </c>
      <c r="BN1835" s="1">
        <f>3701*10000</f>
        <v>37010000</v>
      </c>
    </row>
    <row r="1836" spans="1:66">
      <c r="A1836" s="18"/>
      <c r="B1836">
        <v>603601</v>
      </c>
      <c r="C1836" t="s">
        <v>58</v>
      </c>
      <c r="D1836" s="6" t="s">
        <v>13441</v>
      </c>
      <c r="E1836" s="7" t="str">
        <f t="shared" si="882"/>
        <v>=2.700*100000000</v>
      </c>
      <c r="F1836" s="1">
        <f>2.7*100000000</f>
        <v>270000000</v>
      </c>
      <c r="G1836" s="8">
        <f t="shared" si="884"/>
        <v>0.34462151394422313</v>
      </c>
      <c r="H1836" s="6" t="s">
        <v>12788</v>
      </c>
      <c r="I1836" s="6" t="str">
        <f t="shared" si="868"/>
        <v>=2.008*100000000</v>
      </c>
      <c r="J1836" s="1">
        <f>2.008*100000000</f>
        <v>200800000</v>
      </c>
      <c r="K1836" s="10">
        <f t="shared" si="885"/>
        <v>0.39638386648122392</v>
      </c>
      <c r="L1836" s="6" t="s">
        <v>8396</v>
      </c>
      <c r="M1836" s="6" t="str">
        <f t="shared" si="869"/>
        <v>=1.438*100000000</v>
      </c>
      <c r="N1836" s="1">
        <f>1.438*100000000</f>
        <v>143800000</v>
      </c>
      <c r="O1836" s="8">
        <f t="shared" si="886"/>
        <v>0.59441179731677574</v>
      </c>
      <c r="P1836" s="7" t="s">
        <v>2705</v>
      </c>
      <c r="Q1836" s="6" t="str">
        <f t="shared" si="870"/>
        <v>=9019*10000</v>
      </c>
      <c r="R1836" s="11">
        <f>9019*10000</f>
        <v>90190000</v>
      </c>
      <c r="S1836" s="8">
        <f t="shared" si="887"/>
        <v>-0.80839175695772258</v>
      </c>
      <c r="T1836" s="6" t="s">
        <v>16662</v>
      </c>
      <c r="U1836" s="6" t="str">
        <f t="shared" si="871"/>
        <v>=4.707*100000000</v>
      </c>
      <c r="V1836" s="1">
        <f>4.707*100000000</f>
        <v>470700000</v>
      </c>
      <c r="W1836" s="8">
        <f t="shared" si="888"/>
        <v>0.12124821343496887</v>
      </c>
      <c r="X1836" s="6" t="s">
        <v>6373</v>
      </c>
      <c r="Y1836" s="6" t="str">
        <f t="shared" si="872"/>
        <v>=4.198*100000000</v>
      </c>
      <c r="Z1836" s="1">
        <f>4.198*100000000</f>
        <v>419800000.00000006</v>
      </c>
      <c r="AA1836" s="8">
        <f t="shared" si="889"/>
        <v>0.42016238159675257</v>
      </c>
      <c r="AB1836" s="6" t="s">
        <v>14532</v>
      </c>
      <c r="AC1836" s="6" t="str">
        <f t="shared" si="873"/>
        <v>=2.956*100000000</v>
      </c>
      <c r="AD1836" s="1">
        <f>2.956*100000000</f>
        <v>295600000</v>
      </c>
      <c r="AE1836" s="8">
        <f t="shared" si="890"/>
        <v>2.642637091805299</v>
      </c>
      <c r="AF1836" s="7" t="s">
        <v>10957</v>
      </c>
      <c r="AG1836" s="6" t="str">
        <f t="shared" si="874"/>
        <v>=8115*10000</v>
      </c>
      <c r="AH1836" s="1">
        <f>8115*10000</f>
        <v>81150000</v>
      </c>
      <c r="AI1836" s="8">
        <f t="shared" si="891"/>
        <v>-0.56135135135135139</v>
      </c>
      <c r="AJ1836" s="6" t="s">
        <v>9860</v>
      </c>
      <c r="AK1836" s="6" t="str">
        <f t="shared" si="875"/>
        <v>=1.850*100000000</v>
      </c>
      <c r="AL1836" s="1">
        <f>1.85*100000000</f>
        <v>185000000</v>
      </c>
      <c r="AM1836" s="8">
        <f t="shared" si="892"/>
        <v>0.22273628552544614</v>
      </c>
      <c r="AN1836" s="6" t="s">
        <v>1955</v>
      </c>
      <c r="AO1836" s="6" t="str">
        <f t="shared" si="876"/>
        <v>=1.513*100000000</v>
      </c>
      <c r="AP1836" s="1">
        <f>1.513*100000000</f>
        <v>151300000</v>
      </c>
      <c r="AQ1836" s="8">
        <f t="shared" si="893"/>
        <v>0.33186619718309879</v>
      </c>
      <c r="AR1836" s="6" t="s">
        <v>257</v>
      </c>
      <c r="AS1836" s="6" t="str">
        <f t="shared" si="877"/>
        <v>=1.136*100000000</v>
      </c>
      <c r="AT1836" s="1">
        <f>1.136*100000000</f>
        <v>113599999.99999999</v>
      </c>
      <c r="AU1836" s="8">
        <f t="shared" si="894"/>
        <v>1.0798242402050529</v>
      </c>
      <c r="AV1836" s="7" t="s">
        <v>16663</v>
      </c>
      <c r="AW1836" s="6" t="str">
        <f t="shared" si="878"/>
        <v>=5462*10000</v>
      </c>
      <c r="AX1836" s="1">
        <f>5462*10000</f>
        <v>54620000</v>
      </c>
      <c r="AY1836" s="10">
        <f t="shared" si="895"/>
        <v>-0.70038398244651678</v>
      </c>
      <c r="AZ1836" s="6" t="s">
        <v>3396</v>
      </c>
      <c r="BA1836" s="6" t="str">
        <f t="shared" si="879"/>
        <v>=1.823*100000000</v>
      </c>
      <c r="BB1836" s="1">
        <f>1.823*100000000</f>
        <v>182300000</v>
      </c>
      <c r="BC1836" s="8">
        <f t="shared" si="896"/>
        <v>0.31056793673616101</v>
      </c>
      <c r="BD1836" s="6" t="s">
        <v>123</v>
      </c>
      <c r="BE1836" s="6" t="str">
        <f t="shared" si="880"/>
        <v>=1.391*100000000</v>
      </c>
      <c r="BF1836" s="1">
        <f>1.391*100000000</f>
        <v>139100000</v>
      </c>
      <c r="BG1836" s="8">
        <f t="shared" si="897"/>
        <v>0.61970190964136007</v>
      </c>
      <c r="BH1836" s="7" t="s">
        <v>2319</v>
      </c>
      <c r="BI1836" s="6" t="str">
        <f t="shared" si="881"/>
        <v>=8588*10000</v>
      </c>
      <c r="BJ1836" s="1">
        <f>8588*10000</f>
        <v>85880000</v>
      </c>
      <c r="BK1836" s="7" t="s">
        <v>8701</v>
      </c>
      <c r="BL1836" s="1" t="str">
        <f t="shared" si="883"/>
        <v>=3731*10000</v>
      </c>
      <c r="BM1836" s="16">
        <f t="shared" si="898"/>
        <v>1.3017957652103993</v>
      </c>
      <c r="BN1836" s="1">
        <f>3731*10000</f>
        <v>37310000</v>
      </c>
    </row>
    <row r="1837" spans="1:66">
      <c r="A1837" s="19"/>
      <c r="B1837">
        <v>603601</v>
      </c>
      <c r="C1837" t="s">
        <v>68</v>
      </c>
      <c r="D1837" s="6" t="s">
        <v>11084</v>
      </c>
      <c r="E1837" s="7" t="str">
        <f t="shared" si="882"/>
        <v>=2.513*100000000</v>
      </c>
      <c r="F1837" s="1">
        <f>2.513*100000000</f>
        <v>251300000</v>
      </c>
      <c r="G1837" s="8">
        <f t="shared" si="884"/>
        <v>0.32402528977871442</v>
      </c>
      <c r="H1837" s="6" t="s">
        <v>11952</v>
      </c>
      <c r="I1837" s="6" t="str">
        <f t="shared" si="868"/>
        <v>=1.898*100000000</v>
      </c>
      <c r="J1837" s="1">
        <f>1.898*100000000</f>
        <v>189800000</v>
      </c>
      <c r="K1837" s="10">
        <f t="shared" si="885"/>
        <v>0.33099579242636745</v>
      </c>
      <c r="L1837" s="6" t="s">
        <v>9272</v>
      </c>
      <c r="M1837" s="6" t="str">
        <f t="shared" si="869"/>
        <v>=1.426*100000000</v>
      </c>
      <c r="N1837" s="1">
        <f>1.426*100000000</f>
        <v>142600000</v>
      </c>
      <c r="O1837" s="8">
        <f t="shared" si="886"/>
        <v>0.76988953704852925</v>
      </c>
      <c r="P1837" s="7" t="s">
        <v>6255</v>
      </c>
      <c r="Q1837" s="6" t="str">
        <f t="shared" si="870"/>
        <v>=8057*10000</v>
      </c>
      <c r="R1837" s="11">
        <f>8057*10000</f>
        <v>80570000</v>
      </c>
      <c r="S1837" s="8">
        <f t="shared" si="887"/>
        <v>-0.79576679340937895</v>
      </c>
      <c r="T1837" s="6" t="s">
        <v>16646</v>
      </c>
      <c r="U1837" s="6" t="str">
        <f t="shared" si="871"/>
        <v>=3.945*100000000</v>
      </c>
      <c r="V1837" s="1">
        <f>3.945*100000000</f>
        <v>394500000</v>
      </c>
      <c r="W1837" s="8">
        <f t="shared" si="888"/>
        <v>0.11978427476582458</v>
      </c>
      <c r="X1837" s="6" t="s">
        <v>6394</v>
      </c>
      <c r="Y1837" s="6" t="str">
        <f t="shared" si="872"/>
        <v>=3.523*100000000</v>
      </c>
      <c r="Z1837" s="1">
        <f>3.523*100000000</f>
        <v>352300000</v>
      </c>
      <c r="AA1837" s="8">
        <f t="shared" si="889"/>
        <v>0.42978896103896103</v>
      </c>
      <c r="AB1837" s="6" t="s">
        <v>9231</v>
      </c>
      <c r="AC1837" s="6" t="str">
        <f t="shared" si="873"/>
        <v>=2.464*100000000</v>
      </c>
      <c r="AD1837" s="1">
        <f>2.464*100000000</f>
        <v>246400000</v>
      </c>
      <c r="AE1837" s="8">
        <f t="shared" si="890"/>
        <v>2.6590436590436592</v>
      </c>
      <c r="AF1837" s="7" t="s">
        <v>16664</v>
      </c>
      <c r="AG1837" s="6" t="str">
        <f t="shared" si="874"/>
        <v>=6734*10000</v>
      </c>
      <c r="AH1837" s="1">
        <f>6734*10000</f>
        <v>67340000</v>
      </c>
      <c r="AI1837" s="8">
        <f t="shared" si="891"/>
        <v>-0.60130254588513909</v>
      </c>
      <c r="AJ1837" s="6" t="s">
        <v>16665</v>
      </c>
      <c r="AK1837" s="6" t="str">
        <f t="shared" si="875"/>
        <v>=1.689*100000000</v>
      </c>
      <c r="AL1837" s="1">
        <f>1.689*100000000</f>
        <v>168900000</v>
      </c>
      <c r="AM1837" s="8">
        <f t="shared" si="892"/>
        <v>0.26611694152923526</v>
      </c>
      <c r="AN1837" s="6" t="s">
        <v>14774</v>
      </c>
      <c r="AO1837" s="6" t="str">
        <f t="shared" si="876"/>
        <v>=1.334*100000000</v>
      </c>
      <c r="AP1837" s="1">
        <f>1.334*100000000</f>
        <v>133400000.00000001</v>
      </c>
      <c r="AQ1837" s="8">
        <f t="shared" si="893"/>
        <v>0.34218734279102542</v>
      </c>
      <c r="AR1837" s="7" t="s">
        <v>16666</v>
      </c>
      <c r="AS1837" s="6" t="str">
        <f t="shared" si="877"/>
        <v>=9939*10000</v>
      </c>
      <c r="AT1837" s="1">
        <f>9939*10000</f>
        <v>99390000</v>
      </c>
      <c r="AU1837" s="8">
        <f t="shared" si="894"/>
        <v>1.0573380252535707</v>
      </c>
      <c r="AV1837" s="7" t="s">
        <v>16667</v>
      </c>
      <c r="AW1837" s="6" t="str">
        <f t="shared" si="878"/>
        <v>=4831*10000</v>
      </c>
      <c r="AX1837" s="1">
        <f>4831*10000</f>
        <v>48310000</v>
      </c>
      <c r="AY1837" s="10">
        <f t="shared" si="895"/>
        <v>-0.6955891619407687</v>
      </c>
      <c r="AZ1837" s="6" t="s">
        <v>1449</v>
      </c>
      <c r="BA1837" s="6" t="str">
        <f t="shared" si="879"/>
        <v>=1.587*100000000</v>
      </c>
      <c r="BB1837" s="1">
        <f>1.587*100000000</f>
        <v>158700000</v>
      </c>
      <c r="BC1837" s="8">
        <f t="shared" si="896"/>
        <v>0.31592039800995025</v>
      </c>
      <c r="BD1837" s="6" t="s">
        <v>16255</v>
      </c>
      <c r="BE1837" s="6" t="str">
        <f t="shared" si="880"/>
        <v>=1.206*100000000</v>
      </c>
      <c r="BF1837" s="1">
        <f>1.206*100000000</f>
        <v>120600000</v>
      </c>
      <c r="BG1837" s="8">
        <f t="shared" si="897"/>
        <v>0.60351017151974473</v>
      </c>
      <c r="BH1837" s="7" t="s">
        <v>16668</v>
      </c>
      <c r="BI1837" s="6" t="str">
        <f t="shared" si="881"/>
        <v>=7521*10000</v>
      </c>
      <c r="BJ1837" s="1">
        <f>7521*10000</f>
        <v>75210000</v>
      </c>
      <c r="BK1837" s="7" t="s">
        <v>8070</v>
      </c>
      <c r="BL1837" s="1" t="str">
        <f t="shared" si="883"/>
        <v>=3152*10000</v>
      </c>
      <c r="BM1837" s="16">
        <f t="shared" si="898"/>
        <v>1.3861040609137056</v>
      </c>
      <c r="BN1837" s="1">
        <f>3152*10000</f>
        <v>31520000</v>
      </c>
    </row>
    <row r="1838" spans="1:66">
      <c r="A1838" s="17">
        <v>461</v>
      </c>
      <c r="B1838">
        <v>603606</v>
      </c>
      <c r="C1838" t="s">
        <v>31</v>
      </c>
      <c r="D1838" s="6" t="s">
        <v>9463</v>
      </c>
      <c r="E1838" s="7" t="str">
        <f t="shared" si="882"/>
        <v>=79.32*100000000</v>
      </c>
      <c r="F1838" s="1">
        <f>79.32*100000000</f>
        <v>7931999999.999999</v>
      </c>
      <c r="G1838" s="8">
        <f t="shared" si="884"/>
        <v>0.3739823315433915</v>
      </c>
      <c r="H1838" s="6" t="s">
        <v>14858</v>
      </c>
      <c r="I1838" s="6" t="str">
        <f t="shared" si="868"/>
        <v>=57.73*100000000</v>
      </c>
      <c r="J1838" s="1">
        <f>57.73*100000000</f>
        <v>5773000000</v>
      </c>
      <c r="K1838" s="10">
        <f t="shared" si="885"/>
        <v>0.70445822261588453</v>
      </c>
      <c r="L1838" s="6" t="s">
        <v>16669</v>
      </c>
      <c r="M1838" s="6" t="str">
        <f t="shared" si="869"/>
        <v>=33.87*100000000</v>
      </c>
      <c r="N1838" s="1">
        <f>33.87*100000000</f>
        <v>3386999999.9999995</v>
      </c>
      <c r="O1838" s="8">
        <f t="shared" si="886"/>
        <v>1.3423236514522818</v>
      </c>
      <c r="P1838" s="6" t="s">
        <v>7955</v>
      </c>
      <c r="Q1838" s="6" t="str">
        <f t="shared" si="870"/>
        <v>=14.46*100000000</v>
      </c>
      <c r="R1838" s="11">
        <f>14.46*100000000</f>
        <v>1446000000</v>
      </c>
      <c r="S1838" s="8">
        <f t="shared" si="887"/>
        <v>-0.71377672209026133</v>
      </c>
      <c r="T1838" s="6" t="s">
        <v>16670</v>
      </c>
      <c r="U1838" s="6" t="str">
        <f t="shared" si="871"/>
        <v>=50.52*100000000</v>
      </c>
      <c r="V1838" s="1">
        <f>50.52*100000000</f>
        <v>5052000000</v>
      </c>
      <c r="W1838" s="8">
        <f t="shared" si="888"/>
        <v>0.434412265758092</v>
      </c>
      <c r="X1838" s="6" t="s">
        <v>16671</v>
      </c>
      <c r="Y1838" s="6" t="str">
        <f t="shared" si="872"/>
        <v>=35.22*100000000</v>
      </c>
      <c r="Z1838" s="1">
        <f>35.22*100000000</f>
        <v>3522000000</v>
      </c>
      <c r="AA1838" s="8">
        <f t="shared" si="889"/>
        <v>0.65975494816211122</v>
      </c>
      <c r="AB1838" s="6" t="s">
        <v>4372</v>
      </c>
      <c r="AC1838" s="6" t="str">
        <f t="shared" si="873"/>
        <v>=21.22*100000000</v>
      </c>
      <c r="AD1838" s="1">
        <f>21.22*100000000</f>
        <v>2122000000</v>
      </c>
      <c r="AE1838" s="8">
        <f t="shared" si="890"/>
        <v>2.1605600238308011</v>
      </c>
      <c r="AF1838" s="6" t="s">
        <v>16672</v>
      </c>
      <c r="AG1838" s="6" t="str">
        <f t="shared" si="874"/>
        <v>=6.714*100000000</v>
      </c>
      <c r="AH1838" s="1">
        <f>6.714*100000000</f>
        <v>671400000</v>
      </c>
      <c r="AI1838" s="8">
        <f t="shared" si="891"/>
        <v>-0.81804878048780483</v>
      </c>
      <c r="AJ1838" s="6" t="s">
        <v>16673</v>
      </c>
      <c r="AK1838" s="6" t="str">
        <f t="shared" si="875"/>
        <v>=36.90*100000000</v>
      </c>
      <c r="AL1838" s="1">
        <f>36.9*100000000</f>
        <v>3690000000</v>
      </c>
      <c r="AM1838" s="8">
        <f t="shared" si="892"/>
        <v>0.43691588785046731</v>
      </c>
      <c r="AN1838" s="6" t="s">
        <v>16674</v>
      </c>
      <c r="AO1838" s="6" t="str">
        <f t="shared" si="876"/>
        <v>=25.68*100000000</v>
      </c>
      <c r="AP1838" s="1">
        <f>25.68*100000000</f>
        <v>2568000000</v>
      </c>
      <c r="AQ1838" s="8">
        <f t="shared" si="893"/>
        <v>0.72348993288590602</v>
      </c>
      <c r="AR1838" s="6" t="s">
        <v>4428</v>
      </c>
      <c r="AS1838" s="6" t="str">
        <f t="shared" si="877"/>
        <v>=14.90*100000000</v>
      </c>
      <c r="AT1838" s="1">
        <f>14.9*100000000</f>
        <v>1490000000</v>
      </c>
      <c r="AU1838" s="8">
        <f t="shared" si="894"/>
        <v>1.4603698811096433</v>
      </c>
      <c r="AV1838" s="6" t="s">
        <v>5084</v>
      </c>
      <c r="AW1838" s="6" t="str">
        <f t="shared" si="878"/>
        <v>=6.056*100000000</v>
      </c>
      <c r="AX1838" s="1">
        <f>6.056*100000000</f>
        <v>605600000</v>
      </c>
      <c r="AY1838" s="10">
        <f t="shared" si="895"/>
        <v>-0.79973544973544974</v>
      </c>
      <c r="AZ1838" s="6" t="s">
        <v>16675</v>
      </c>
      <c r="BA1838" s="6" t="str">
        <f t="shared" si="879"/>
        <v>=30.24*100000000</v>
      </c>
      <c r="BB1838" s="1">
        <f>30.24*100000000</f>
        <v>3024000000</v>
      </c>
      <c r="BC1838" s="8">
        <f t="shared" si="896"/>
        <v>0.38145271813613524</v>
      </c>
      <c r="BD1838" s="6" t="s">
        <v>3062</v>
      </c>
      <c r="BE1838" s="6" t="str">
        <f t="shared" si="880"/>
        <v>=21.89*100000000</v>
      </c>
      <c r="BF1838" s="1">
        <f>21.89*100000000</f>
        <v>2189000000</v>
      </c>
      <c r="BG1838" s="8">
        <f t="shared" si="897"/>
        <v>0.578226387887527</v>
      </c>
      <c r="BH1838" s="6" t="s">
        <v>1193</v>
      </c>
      <c r="BI1838" s="6" t="str">
        <f t="shared" si="881"/>
        <v>=13.87*100000000</v>
      </c>
      <c r="BJ1838" s="1">
        <f>13.87*100000000</f>
        <v>1387000000</v>
      </c>
      <c r="BK1838" s="6" t="s">
        <v>3037</v>
      </c>
      <c r="BL1838" s="1" t="str">
        <f t="shared" si="883"/>
        <v>=5.809*100000000</v>
      </c>
      <c r="BM1838" s="16">
        <f t="shared" si="898"/>
        <v>1.387674298502324</v>
      </c>
      <c r="BN1838" s="1">
        <f>5.809*100000000</f>
        <v>580900000</v>
      </c>
    </row>
    <row r="1839" spans="1:66">
      <c r="A1839" s="18"/>
      <c r="B1839">
        <v>603606</v>
      </c>
      <c r="C1839" t="s">
        <v>48</v>
      </c>
      <c r="D1839" s="6" t="s">
        <v>9110</v>
      </c>
      <c r="E1839" s="7" t="str">
        <f t="shared" si="882"/>
        <v>=13.72*100000000</v>
      </c>
      <c r="F1839" s="1">
        <f>13.72*100000000</f>
        <v>1372000000</v>
      </c>
      <c r="G1839" s="8">
        <f t="shared" si="884"/>
        <v>0.23159784560143626</v>
      </c>
      <c r="H1839" s="6" t="s">
        <v>6952</v>
      </c>
      <c r="I1839" s="6" t="str">
        <f t="shared" si="868"/>
        <v>=11.14*100000000</v>
      </c>
      <c r="J1839" s="1">
        <f>11.14*100000000</f>
        <v>1114000000</v>
      </c>
      <c r="K1839" s="10">
        <f t="shared" si="885"/>
        <v>0.50887173235812</v>
      </c>
      <c r="L1839" s="6" t="s">
        <v>10325</v>
      </c>
      <c r="M1839" s="6" t="str">
        <f t="shared" si="869"/>
        <v>=7.383*100000000</v>
      </c>
      <c r="N1839" s="1">
        <f>7.383*100000000</f>
        <v>738300000</v>
      </c>
      <c r="O1839" s="8">
        <f t="shared" si="886"/>
        <v>1.2730911330049262</v>
      </c>
      <c r="P1839" s="6" t="s">
        <v>16676</v>
      </c>
      <c r="Q1839" s="6" t="str">
        <f t="shared" si="870"/>
        <v>=3.248*100000000</v>
      </c>
      <c r="R1839" s="11">
        <f>3.248*100000000</f>
        <v>324800000</v>
      </c>
      <c r="S1839" s="8">
        <f t="shared" si="887"/>
        <v>-0.68496605237633368</v>
      </c>
      <c r="T1839" s="6" t="s">
        <v>472</v>
      </c>
      <c r="U1839" s="6" t="str">
        <f t="shared" si="871"/>
        <v>=10.31*100000000</v>
      </c>
      <c r="V1839" s="1">
        <f>10.31*100000000</f>
        <v>1031000000</v>
      </c>
      <c r="W1839" s="8">
        <f t="shared" si="888"/>
        <v>0.44014527168598966</v>
      </c>
      <c r="X1839" s="6" t="s">
        <v>12501</v>
      </c>
      <c r="Y1839" s="6" t="str">
        <f t="shared" si="872"/>
        <v>=7.159*100000000</v>
      </c>
      <c r="Z1839" s="1">
        <f>7.159*100000000</f>
        <v>715900000</v>
      </c>
      <c r="AA1839" s="8">
        <f t="shared" si="889"/>
        <v>0.6672100605496043</v>
      </c>
      <c r="AB1839" s="6" t="s">
        <v>16677</v>
      </c>
      <c r="AC1839" s="6" t="str">
        <f t="shared" si="873"/>
        <v>=4.294*100000000</v>
      </c>
      <c r="AD1839" s="1">
        <f>4.294*100000000</f>
        <v>429399999.99999994</v>
      </c>
      <c r="AE1839" s="8">
        <f t="shared" si="890"/>
        <v>3.3932883159402492</v>
      </c>
      <c r="AF1839" s="7" t="s">
        <v>16678</v>
      </c>
      <c r="AG1839" s="6" t="str">
        <f t="shared" si="874"/>
        <v>=9774*10000</v>
      </c>
      <c r="AH1839" s="1">
        <f>9774*10000</f>
        <v>97740000</v>
      </c>
      <c r="AI1839" s="8">
        <f t="shared" si="891"/>
        <v>-0.81290199081163861</v>
      </c>
      <c r="AJ1839" s="6" t="s">
        <v>16679</v>
      </c>
      <c r="AK1839" s="6" t="str">
        <f t="shared" si="875"/>
        <v>=5.224*100000000</v>
      </c>
      <c r="AL1839" s="1">
        <f>5.224*100000000</f>
        <v>522400000</v>
      </c>
      <c r="AM1839" s="8">
        <f t="shared" si="892"/>
        <v>0.46453602467059152</v>
      </c>
      <c r="AN1839" s="6" t="s">
        <v>7828</v>
      </c>
      <c r="AO1839" s="6" t="str">
        <f t="shared" si="876"/>
        <v>=3.567*100000000</v>
      </c>
      <c r="AP1839" s="1">
        <f>3.567*100000000</f>
        <v>356700000</v>
      </c>
      <c r="AQ1839" s="8">
        <f t="shared" si="893"/>
        <v>0.67464788732394365</v>
      </c>
      <c r="AR1839" s="6" t="s">
        <v>1926</v>
      </c>
      <c r="AS1839" s="6" t="str">
        <f t="shared" si="877"/>
        <v>=2.130*100000000</v>
      </c>
      <c r="AT1839" s="1">
        <f>2.13*100000000</f>
        <v>213000000</v>
      </c>
      <c r="AU1839" s="8">
        <f t="shared" si="894"/>
        <v>2.5073275152313519</v>
      </c>
      <c r="AV1839" s="7" t="s">
        <v>16680</v>
      </c>
      <c r="AW1839" s="6" t="str">
        <f t="shared" si="878"/>
        <v>=6073*10000</v>
      </c>
      <c r="AX1839" s="1">
        <f>6073*10000</f>
        <v>60730000</v>
      </c>
      <c r="AY1839" s="10">
        <f t="shared" si="895"/>
        <v>-0.69281740010116333</v>
      </c>
      <c r="AZ1839" s="6" t="s">
        <v>10242</v>
      </c>
      <c r="BA1839" s="6" t="str">
        <f t="shared" si="879"/>
        <v>=1.977*100000000</v>
      </c>
      <c r="BB1839" s="1">
        <f>1.977*100000000</f>
        <v>197700000</v>
      </c>
      <c r="BC1839" s="8">
        <f t="shared" si="896"/>
        <v>0.47979041916167647</v>
      </c>
      <c r="BD1839" s="6" t="s">
        <v>16681</v>
      </c>
      <c r="BE1839" s="6" t="str">
        <f t="shared" si="880"/>
        <v>=1.336*100000000</v>
      </c>
      <c r="BF1839" s="1">
        <f>1.336*100000000</f>
        <v>133600000.00000001</v>
      </c>
      <c r="BG1839" s="8">
        <f t="shared" si="897"/>
        <v>1.0822942643391524</v>
      </c>
      <c r="BH1839" s="7" t="s">
        <v>16018</v>
      </c>
      <c r="BI1839" s="6" t="str">
        <f t="shared" si="881"/>
        <v>=6416*10000</v>
      </c>
      <c r="BJ1839" s="1">
        <f>6416*10000</f>
        <v>64160000</v>
      </c>
      <c r="BK1839" s="7" t="s">
        <v>16682</v>
      </c>
      <c r="BL1839" s="1" t="str">
        <f t="shared" si="883"/>
        <v>=2437*10000</v>
      </c>
      <c r="BM1839" s="16">
        <f t="shared" si="898"/>
        <v>1.6327451784981535</v>
      </c>
      <c r="BN1839" s="1">
        <f>2437*10000</f>
        <v>24370000</v>
      </c>
    </row>
    <row r="1840" spans="1:66">
      <c r="A1840" s="18"/>
      <c r="B1840">
        <v>603606</v>
      </c>
      <c r="C1840" t="s">
        <v>58</v>
      </c>
      <c r="D1840" s="6" t="s">
        <v>4226</v>
      </c>
      <c r="E1840" s="7" t="str">
        <f t="shared" si="882"/>
        <v>=13.70*100000000</v>
      </c>
      <c r="F1840" s="1">
        <f>13.7*100000000</f>
        <v>1370000000</v>
      </c>
      <c r="G1840" s="8">
        <f t="shared" si="884"/>
        <v>0.22980251346499103</v>
      </c>
      <c r="H1840" s="6" t="s">
        <v>6952</v>
      </c>
      <c r="I1840" s="6" t="str">
        <f t="shared" si="868"/>
        <v>=11.14*100000000</v>
      </c>
      <c r="J1840" s="1">
        <f>11.14*100000000</f>
        <v>1114000000</v>
      </c>
      <c r="K1840" s="10">
        <f t="shared" si="885"/>
        <v>0.50907613112977512</v>
      </c>
      <c r="L1840" s="6" t="s">
        <v>16683</v>
      </c>
      <c r="M1840" s="6" t="str">
        <f t="shared" si="869"/>
        <v>=7.382*100000000</v>
      </c>
      <c r="N1840" s="1">
        <f>7.382*100000000</f>
        <v>738200000</v>
      </c>
      <c r="O1840" s="8">
        <f t="shared" si="886"/>
        <v>1.2727832512315271</v>
      </c>
      <c r="P1840" s="6" t="s">
        <v>16676</v>
      </c>
      <c r="Q1840" s="6" t="str">
        <f t="shared" si="870"/>
        <v>=3.248*100000000</v>
      </c>
      <c r="R1840" s="11">
        <f>3.248*100000000</f>
        <v>324800000</v>
      </c>
      <c r="S1840" s="8">
        <f t="shared" si="887"/>
        <v>-0.68435374149659856</v>
      </c>
      <c r="T1840" s="6" t="s">
        <v>9984</v>
      </c>
      <c r="U1840" s="6" t="str">
        <f t="shared" si="871"/>
        <v>=10.29*100000000</v>
      </c>
      <c r="V1840" s="1">
        <f>10.29*100000000</f>
        <v>1028999999.9999999</v>
      </c>
      <c r="W1840" s="8">
        <f t="shared" si="888"/>
        <v>0.44624033731553042</v>
      </c>
      <c r="X1840" s="6" t="s">
        <v>16684</v>
      </c>
      <c r="Y1840" s="6" t="str">
        <f t="shared" si="872"/>
        <v>=7.115*100000000</v>
      </c>
      <c r="Z1840" s="1">
        <f>7.115*100000000</f>
        <v>711500000</v>
      </c>
      <c r="AA1840" s="8">
        <f t="shared" si="889"/>
        <v>0.67372382968713218</v>
      </c>
      <c r="AB1840" s="6" t="s">
        <v>14430</v>
      </c>
      <c r="AC1840" s="6" t="str">
        <f t="shared" si="873"/>
        <v>=4.251*100000000</v>
      </c>
      <c r="AD1840" s="1">
        <f>4.251*100000000</f>
        <v>425100000.00000006</v>
      </c>
      <c r="AE1840" s="8">
        <f t="shared" si="890"/>
        <v>3.5499304291983309</v>
      </c>
      <c r="AF1840" s="7" t="s">
        <v>16685</v>
      </c>
      <c r="AG1840" s="6" t="str">
        <f t="shared" si="874"/>
        <v>=9343*10000</v>
      </c>
      <c r="AH1840" s="1">
        <f>9343*10000</f>
        <v>93430000</v>
      </c>
      <c r="AI1840" s="8">
        <f t="shared" si="891"/>
        <v>-0.8195286845663512</v>
      </c>
      <c r="AJ1840" s="6" t="s">
        <v>16686</v>
      </c>
      <c r="AK1840" s="6" t="str">
        <f t="shared" si="875"/>
        <v>=5.177*100000000</v>
      </c>
      <c r="AL1840" s="1">
        <f>5.177*100000000</f>
        <v>517699999.99999994</v>
      </c>
      <c r="AM1840" s="8">
        <f t="shared" si="892"/>
        <v>0.46990346394094246</v>
      </c>
      <c r="AN1840" s="6" t="s">
        <v>9278</v>
      </c>
      <c r="AO1840" s="6" t="str">
        <f t="shared" si="876"/>
        <v>=3.522*100000000</v>
      </c>
      <c r="AP1840" s="1">
        <f>3.522*100000000</f>
        <v>352200000</v>
      </c>
      <c r="AQ1840" s="8">
        <f t="shared" si="893"/>
        <v>0.68114558472553677</v>
      </c>
      <c r="AR1840" s="6" t="s">
        <v>16687</v>
      </c>
      <c r="AS1840" s="6" t="str">
        <f t="shared" si="877"/>
        <v>=2.095*100000000</v>
      </c>
      <c r="AT1840" s="1">
        <f>2.095*100000000</f>
        <v>209500000.00000003</v>
      </c>
      <c r="AU1840" s="8">
        <f t="shared" si="894"/>
        <v>2.6352594134999139</v>
      </c>
      <c r="AV1840" s="7" t="s">
        <v>15766</v>
      </c>
      <c r="AW1840" s="6" t="str">
        <f t="shared" si="878"/>
        <v>=5763*10000</v>
      </c>
      <c r="AX1840" s="1">
        <f>5763*10000</f>
        <v>57630000</v>
      </c>
      <c r="AY1840" s="10">
        <f t="shared" si="895"/>
        <v>-0.70626911314984708</v>
      </c>
      <c r="AZ1840" s="6" t="s">
        <v>238</v>
      </c>
      <c r="BA1840" s="6" t="str">
        <f t="shared" si="879"/>
        <v>=1.962*100000000</v>
      </c>
      <c r="BB1840" s="1">
        <f>1.962*100000000</f>
        <v>196200000</v>
      </c>
      <c r="BC1840" s="8">
        <f t="shared" si="896"/>
        <v>0.48523845571536717</v>
      </c>
      <c r="BD1840" s="6" t="s">
        <v>6883</v>
      </c>
      <c r="BE1840" s="6" t="str">
        <f t="shared" si="880"/>
        <v>=1.321*100000000</v>
      </c>
      <c r="BF1840" s="1">
        <f>1.321*100000000</f>
        <v>132100000</v>
      </c>
      <c r="BG1840" s="8">
        <f t="shared" si="897"/>
        <v>1.0978243608067333</v>
      </c>
      <c r="BH1840" s="7" t="s">
        <v>16688</v>
      </c>
      <c r="BI1840" s="6" t="str">
        <f t="shared" si="881"/>
        <v>=6297*10000</v>
      </c>
      <c r="BJ1840" s="1">
        <f>6297*10000</f>
        <v>62970000</v>
      </c>
      <c r="BK1840" s="7" t="s">
        <v>16689</v>
      </c>
      <c r="BL1840" s="1" t="str">
        <f t="shared" si="883"/>
        <v>=2342*10000</v>
      </c>
      <c r="BM1840" s="16">
        <f t="shared" si="898"/>
        <v>1.6887275832621691</v>
      </c>
      <c r="BN1840" s="1">
        <f>2342*10000</f>
        <v>23420000</v>
      </c>
    </row>
    <row r="1841" spans="1:66">
      <c r="A1841" s="19"/>
      <c r="B1841">
        <v>603606</v>
      </c>
      <c r="C1841" t="s">
        <v>68</v>
      </c>
      <c r="D1841" s="6" t="s">
        <v>1389</v>
      </c>
      <c r="E1841" s="7" t="str">
        <f t="shared" si="882"/>
        <v>=11.89*100000000</v>
      </c>
      <c r="F1841" s="1">
        <f>11.89*100000000</f>
        <v>1189000000</v>
      </c>
      <c r="G1841" s="8">
        <f t="shared" si="884"/>
        <v>0.23660946437857514</v>
      </c>
      <c r="H1841" s="6" t="s">
        <v>2066</v>
      </c>
      <c r="I1841" s="6" t="str">
        <f t="shared" si="868"/>
        <v>=9.615*100000000</v>
      </c>
      <c r="J1841" s="1">
        <f>9.615*100000000</f>
        <v>961500000</v>
      </c>
      <c r="K1841" s="10">
        <f t="shared" si="885"/>
        <v>0.50941915227629508</v>
      </c>
      <c r="L1841" s="6" t="s">
        <v>8943</v>
      </c>
      <c r="M1841" s="6" t="str">
        <f t="shared" si="869"/>
        <v>=6.370*100000000</v>
      </c>
      <c r="N1841" s="1">
        <f>6.37*100000000</f>
        <v>637000000</v>
      </c>
      <c r="O1841" s="8">
        <f t="shared" si="886"/>
        <v>1.292191435768262</v>
      </c>
      <c r="P1841" s="6" t="s">
        <v>6172</v>
      </c>
      <c r="Q1841" s="6" t="str">
        <f t="shared" si="870"/>
        <v>=2.779*100000000</v>
      </c>
      <c r="R1841" s="11">
        <f>2.779*100000000</f>
        <v>277900000</v>
      </c>
      <c r="S1841" s="8">
        <f t="shared" si="887"/>
        <v>-0.68683795357223354</v>
      </c>
      <c r="T1841" s="6" t="s">
        <v>7504</v>
      </c>
      <c r="U1841" s="6" t="str">
        <f t="shared" si="871"/>
        <v>=8.874*100000000</v>
      </c>
      <c r="V1841" s="1">
        <f>8.874*100000000</f>
        <v>887400000</v>
      </c>
      <c r="W1841" s="8">
        <f t="shared" si="888"/>
        <v>0.44669057711118354</v>
      </c>
      <c r="X1841" s="6" t="s">
        <v>16690</v>
      </c>
      <c r="Y1841" s="6" t="str">
        <f t="shared" si="872"/>
        <v>=6.134*100000000</v>
      </c>
      <c r="Z1841" s="1">
        <f>6.134*100000000</f>
        <v>613400000</v>
      </c>
      <c r="AA1841" s="8">
        <f t="shared" si="889"/>
        <v>0.6796276013143483</v>
      </c>
      <c r="AB1841" s="6" t="s">
        <v>9503</v>
      </c>
      <c r="AC1841" s="6" t="str">
        <f t="shared" si="873"/>
        <v>=3.652*100000000</v>
      </c>
      <c r="AD1841" s="1">
        <f>3.652*100000000</f>
        <v>365200000</v>
      </c>
      <c r="AE1841" s="8">
        <f t="shared" si="890"/>
        <v>3.536082474226804</v>
      </c>
      <c r="AF1841" s="7" t="s">
        <v>16691</v>
      </c>
      <c r="AG1841" s="6" t="str">
        <f t="shared" si="874"/>
        <v>=8051*10000</v>
      </c>
      <c r="AH1841" s="1">
        <f>8051*10000</f>
        <v>80510000</v>
      </c>
      <c r="AI1841" s="8">
        <f t="shared" si="891"/>
        <v>-0.82195931003980538</v>
      </c>
      <c r="AJ1841" s="6" t="s">
        <v>16654</v>
      </c>
      <c r="AK1841" s="6" t="str">
        <f t="shared" si="875"/>
        <v>=4.522*100000000</v>
      </c>
      <c r="AL1841" s="1">
        <f>4.522*100000000</f>
        <v>452200000</v>
      </c>
      <c r="AM1841" s="8">
        <f t="shared" si="892"/>
        <v>0.49537037037037035</v>
      </c>
      <c r="AN1841" s="6" t="s">
        <v>8401</v>
      </c>
      <c r="AO1841" s="6" t="str">
        <f t="shared" si="876"/>
        <v>=3.024*100000000</v>
      </c>
      <c r="AP1841" s="1">
        <f>3.024*100000000</f>
        <v>302400000</v>
      </c>
      <c r="AQ1841" s="8">
        <f t="shared" si="893"/>
        <v>0.67906718489727924</v>
      </c>
      <c r="AR1841" s="6" t="s">
        <v>10446</v>
      </c>
      <c r="AS1841" s="6" t="str">
        <f t="shared" si="877"/>
        <v>=1.801*100000000</v>
      </c>
      <c r="AT1841" s="1">
        <f>1.801*100000000</f>
        <v>180100000</v>
      </c>
      <c r="AU1841" s="8">
        <f t="shared" si="894"/>
        <v>2.6435363139793648</v>
      </c>
      <c r="AV1841" s="7" t="s">
        <v>16692</v>
      </c>
      <c r="AW1841" s="6" t="str">
        <f t="shared" si="878"/>
        <v>=4943*10000</v>
      </c>
      <c r="AX1841" s="1">
        <f>4943*10000</f>
        <v>49430000</v>
      </c>
      <c r="AY1841" s="10">
        <f t="shared" si="895"/>
        <v>-0.71161026837806296</v>
      </c>
      <c r="AZ1841" s="6" t="s">
        <v>8107</v>
      </c>
      <c r="BA1841" s="6" t="str">
        <f t="shared" si="879"/>
        <v>=1.714*100000000</v>
      </c>
      <c r="BB1841" s="1">
        <f>1.714*100000000</f>
        <v>171400000</v>
      </c>
      <c r="BC1841" s="8">
        <f t="shared" si="896"/>
        <v>0.48655680832610582</v>
      </c>
      <c r="BD1841" s="6" t="s">
        <v>2969</v>
      </c>
      <c r="BE1841" s="6" t="str">
        <f t="shared" si="880"/>
        <v>=1.153*100000000</v>
      </c>
      <c r="BF1841" s="1">
        <f>1.153*100000000</f>
        <v>115300000</v>
      </c>
      <c r="BG1841" s="8">
        <f t="shared" si="897"/>
        <v>1.0490492269415319</v>
      </c>
      <c r="BH1841" s="7" t="s">
        <v>16693</v>
      </c>
      <c r="BI1841" s="6" t="str">
        <f t="shared" si="881"/>
        <v>=5627*10000</v>
      </c>
      <c r="BJ1841" s="1">
        <f>5627*10000</f>
        <v>56270000</v>
      </c>
      <c r="BK1841" s="7" t="s">
        <v>16694</v>
      </c>
      <c r="BL1841" s="1" t="str">
        <f t="shared" si="883"/>
        <v>=2028*10000</v>
      </c>
      <c r="BM1841" s="16">
        <f t="shared" si="898"/>
        <v>1.7746548323471401</v>
      </c>
      <c r="BN1841" s="1">
        <f>2028*10000</f>
        <v>20280000</v>
      </c>
    </row>
    <row r="1842" spans="1:66">
      <c r="A1842" s="17">
        <v>462</v>
      </c>
      <c r="B1842">
        <v>603611</v>
      </c>
      <c r="C1842" t="s">
        <v>31</v>
      </c>
      <c r="D1842" s="6" t="s">
        <v>16695</v>
      </c>
      <c r="E1842" s="7" t="str">
        <f t="shared" si="882"/>
        <v>=58.87*100000000</v>
      </c>
      <c r="F1842" s="1">
        <f>58.87*100000000</f>
        <v>5887000000</v>
      </c>
      <c r="G1842" s="8">
        <f t="shared" si="884"/>
        <v>0.38030480656506449</v>
      </c>
      <c r="H1842" s="6" t="s">
        <v>16696</v>
      </c>
      <c r="I1842" s="6" t="str">
        <f t="shared" si="868"/>
        <v>=42.65*100000000</v>
      </c>
      <c r="J1842" s="1">
        <f>42.65*100000000</f>
        <v>4265000000</v>
      </c>
      <c r="K1842" s="10">
        <f t="shared" si="885"/>
        <v>0.5210413694721826</v>
      </c>
      <c r="L1842" s="6" t="s">
        <v>4763</v>
      </c>
      <c r="M1842" s="6" t="str">
        <f t="shared" si="869"/>
        <v>=28.04*100000000</v>
      </c>
      <c r="N1842" s="1">
        <f>28.04*100000000</f>
        <v>2804000000</v>
      </c>
      <c r="O1842" s="8">
        <f t="shared" si="886"/>
        <v>1.0693726937269372</v>
      </c>
      <c r="P1842" s="6" t="s">
        <v>3370</v>
      </c>
      <c r="Q1842" s="6" t="str">
        <f t="shared" si="870"/>
        <v>=13.55*100000000</v>
      </c>
      <c r="R1842" s="11">
        <f>13.55*100000000</f>
        <v>1355000000</v>
      </c>
      <c r="S1842" s="8">
        <f t="shared" si="887"/>
        <v>-0.6676477802305617</v>
      </c>
      <c r="T1842" s="6" t="s">
        <v>16697</v>
      </c>
      <c r="U1842" s="6" t="str">
        <f t="shared" si="871"/>
        <v>=40.77*100000000</v>
      </c>
      <c r="V1842" s="1">
        <f>40.77*100000000</f>
        <v>4077000000.0000005</v>
      </c>
      <c r="W1842" s="8">
        <f t="shared" si="888"/>
        <v>0.40440923182914246</v>
      </c>
      <c r="X1842" s="6" t="s">
        <v>16698</v>
      </c>
      <c r="Y1842" s="6" t="str">
        <f t="shared" si="872"/>
        <v>=29.03*100000000</v>
      </c>
      <c r="Z1842" s="1">
        <f>29.03*100000000</f>
        <v>2903000000</v>
      </c>
      <c r="AA1842" s="8">
        <f t="shared" si="889"/>
        <v>0.50726895119418469</v>
      </c>
      <c r="AB1842" s="6" t="s">
        <v>10734</v>
      </c>
      <c r="AC1842" s="6" t="str">
        <f t="shared" si="873"/>
        <v>=19.26*100000000</v>
      </c>
      <c r="AD1842" s="1">
        <f>19.26*100000000</f>
        <v>1926000000.0000002</v>
      </c>
      <c r="AE1842" s="8">
        <f t="shared" si="890"/>
        <v>0.84659635666347099</v>
      </c>
      <c r="AF1842" s="6" t="s">
        <v>251</v>
      </c>
      <c r="AG1842" s="6" t="str">
        <f t="shared" si="874"/>
        <v>=10.43*100000000</v>
      </c>
      <c r="AH1842" s="1">
        <f>10.43*100000000</f>
        <v>1043000000</v>
      </c>
      <c r="AI1842" s="8">
        <f t="shared" si="891"/>
        <v>-0.66213151927437641</v>
      </c>
      <c r="AJ1842" s="6" t="s">
        <v>16699</v>
      </c>
      <c r="AK1842" s="6" t="str">
        <f t="shared" si="875"/>
        <v>=30.87*100000000</v>
      </c>
      <c r="AL1842" s="1">
        <f>30.87*100000000</f>
        <v>3087000000</v>
      </c>
      <c r="AM1842" s="8">
        <f t="shared" si="892"/>
        <v>0.49202513291445127</v>
      </c>
      <c r="AN1842" s="6" t="s">
        <v>16700</v>
      </c>
      <c r="AO1842" s="6" t="str">
        <f t="shared" si="876"/>
        <v>=20.69*100000000</v>
      </c>
      <c r="AP1842" s="1">
        <f>20.69*100000000</f>
        <v>2069000000.0000002</v>
      </c>
      <c r="AQ1842" s="8">
        <f t="shared" si="893"/>
        <v>0.61640625000000016</v>
      </c>
      <c r="AR1842" s="6" t="s">
        <v>13154</v>
      </c>
      <c r="AS1842" s="6" t="str">
        <f t="shared" si="877"/>
        <v>=12.80*100000000</v>
      </c>
      <c r="AT1842" s="1">
        <f>12.8*100000000</f>
        <v>1280000000</v>
      </c>
      <c r="AU1842" s="8">
        <f t="shared" si="894"/>
        <v>1.093555773634282</v>
      </c>
      <c r="AV1842" s="6" t="s">
        <v>6186</v>
      </c>
      <c r="AW1842" s="6" t="str">
        <f t="shared" si="878"/>
        <v>=6.114*100000000</v>
      </c>
      <c r="AX1842" s="1">
        <f>6.114*100000000</f>
        <v>611400000</v>
      </c>
      <c r="AY1842" s="10">
        <f t="shared" si="895"/>
        <v>-0.76051703877790833</v>
      </c>
      <c r="AZ1842" s="6" t="s">
        <v>16701</v>
      </c>
      <c r="BA1842" s="6" t="str">
        <f t="shared" si="879"/>
        <v>=25.53*100000000</v>
      </c>
      <c r="BB1842" s="1">
        <f>25.53*100000000</f>
        <v>2553000000</v>
      </c>
      <c r="BC1842" s="8">
        <f t="shared" si="896"/>
        <v>0.4042904290429043</v>
      </c>
      <c r="BD1842" s="6" t="s">
        <v>1328</v>
      </c>
      <c r="BE1842" s="6" t="str">
        <f t="shared" si="880"/>
        <v>=18.18*100000000</v>
      </c>
      <c r="BF1842" s="1">
        <f>18.18*100000000</f>
        <v>1818000000</v>
      </c>
      <c r="BG1842" s="8">
        <f t="shared" si="897"/>
        <v>0.51879699248120303</v>
      </c>
      <c r="BH1842" s="6" t="s">
        <v>1118</v>
      </c>
      <c r="BI1842" s="6" t="str">
        <f t="shared" si="881"/>
        <v>=11.97*100000000</v>
      </c>
      <c r="BJ1842" s="1">
        <f>11.97*100000000</f>
        <v>1197000000</v>
      </c>
      <c r="BK1842" s="6" t="s">
        <v>16702</v>
      </c>
      <c r="BL1842" s="1" t="str">
        <f t="shared" si="883"/>
        <v>=5.367*100000000</v>
      </c>
      <c r="BM1842" s="16">
        <f t="shared" si="898"/>
        <v>1.2302962548910006</v>
      </c>
      <c r="BN1842" s="1">
        <f>5.367*100000000</f>
        <v>536700000</v>
      </c>
    </row>
    <row r="1843" spans="1:66">
      <c r="A1843" s="18"/>
      <c r="B1843">
        <v>603611</v>
      </c>
      <c r="C1843" t="s">
        <v>48</v>
      </c>
      <c r="D1843" s="6" t="s">
        <v>2295</v>
      </c>
      <c r="E1843" s="7" t="str">
        <f t="shared" si="882"/>
        <v>=3.423*100000000</v>
      </c>
      <c r="F1843" s="1">
        <f>3.423*100000000</f>
        <v>342300000</v>
      </c>
      <c r="G1843" s="8">
        <f t="shared" si="884"/>
        <v>0.2086864406779661</v>
      </c>
      <c r="H1843" s="6" t="s">
        <v>16703</v>
      </c>
      <c r="I1843" s="6" t="str">
        <f t="shared" si="868"/>
        <v>=2.832*100000000</v>
      </c>
      <c r="J1843" s="1">
        <f>2.832*100000000</f>
        <v>283200000</v>
      </c>
      <c r="K1843" s="10">
        <f t="shared" si="885"/>
        <v>0.37944471505114469</v>
      </c>
      <c r="L1843" s="6" t="s">
        <v>12483</v>
      </c>
      <c r="M1843" s="6" t="str">
        <f t="shared" si="869"/>
        <v>=2.053*100000000</v>
      </c>
      <c r="N1843" s="1">
        <f>2.053*100000000</f>
        <v>205300000</v>
      </c>
      <c r="O1843" s="8">
        <f t="shared" si="886"/>
        <v>1.40962441314554</v>
      </c>
      <c r="P1843" s="7" t="s">
        <v>4580</v>
      </c>
      <c r="Q1843" s="6" t="str">
        <f t="shared" si="870"/>
        <v>=8520*10000</v>
      </c>
      <c r="R1843" s="11">
        <f>8520*10000</f>
        <v>85200000</v>
      </c>
      <c r="S1843" s="8">
        <f t="shared" si="887"/>
        <v>-0.69883351007423122</v>
      </c>
      <c r="T1843" s="6" t="s">
        <v>7594</v>
      </c>
      <c r="U1843" s="6" t="str">
        <f t="shared" si="871"/>
        <v>=2.829*100000000</v>
      </c>
      <c r="V1843" s="1">
        <f>2.829*100000000</f>
        <v>282900000</v>
      </c>
      <c r="W1843" s="8">
        <f t="shared" si="888"/>
        <v>0.27720090293453725</v>
      </c>
      <c r="X1843" s="6" t="s">
        <v>894</v>
      </c>
      <c r="Y1843" s="6" t="str">
        <f t="shared" si="872"/>
        <v>=2.215*100000000</v>
      </c>
      <c r="Z1843" s="1">
        <f>2.215*100000000</f>
        <v>221500000</v>
      </c>
      <c r="AA1843" s="8">
        <f t="shared" si="889"/>
        <v>0.48657718120805371</v>
      </c>
      <c r="AB1843" s="6" t="s">
        <v>11541</v>
      </c>
      <c r="AC1843" s="6" t="str">
        <f t="shared" si="873"/>
        <v>=1.490*100000000</v>
      </c>
      <c r="AD1843" s="1">
        <f>1.49*100000000</f>
        <v>149000000</v>
      </c>
      <c r="AE1843" s="8">
        <f t="shared" si="890"/>
        <v>0.77380952380952384</v>
      </c>
      <c r="AF1843" s="7" t="s">
        <v>2322</v>
      </c>
      <c r="AG1843" s="6" t="str">
        <f t="shared" si="874"/>
        <v>=8400*10000</v>
      </c>
      <c r="AH1843" s="1">
        <f>8400*10000</f>
        <v>84000000</v>
      </c>
      <c r="AI1843" s="8">
        <f t="shared" si="891"/>
        <v>-0.69838420107719923</v>
      </c>
      <c r="AJ1843" s="6" t="s">
        <v>16704</v>
      </c>
      <c r="AK1843" s="6" t="str">
        <f t="shared" si="875"/>
        <v>=2.785*100000000</v>
      </c>
      <c r="AL1843" s="1">
        <f>2.785*100000000</f>
        <v>278500000</v>
      </c>
      <c r="AM1843" s="8">
        <f t="shared" si="892"/>
        <v>0.23012367491166094</v>
      </c>
      <c r="AN1843" s="6" t="s">
        <v>16705</v>
      </c>
      <c r="AO1843" s="6" t="str">
        <f t="shared" si="876"/>
        <v>=2.264*100000000</v>
      </c>
      <c r="AP1843" s="1">
        <f>2.264*100000000</f>
        <v>226399999.99999997</v>
      </c>
      <c r="AQ1843" s="8">
        <f t="shared" si="893"/>
        <v>0.60339943342776181</v>
      </c>
      <c r="AR1843" s="6" t="s">
        <v>6619</v>
      </c>
      <c r="AS1843" s="6" t="str">
        <f t="shared" si="877"/>
        <v>=1.412*100000000</v>
      </c>
      <c r="AT1843" s="1">
        <f>1.412*100000000</f>
        <v>141200000</v>
      </c>
      <c r="AU1843" s="8">
        <f t="shared" si="894"/>
        <v>1.2007481296758105</v>
      </c>
      <c r="AV1843" s="7" t="s">
        <v>16018</v>
      </c>
      <c r="AW1843" s="6" t="str">
        <f t="shared" si="878"/>
        <v>=6416*10000</v>
      </c>
      <c r="AX1843" s="1">
        <f>6416*10000</f>
        <v>64160000</v>
      </c>
      <c r="AY1843" s="10">
        <f t="shared" si="895"/>
        <v>-0.73266666666666669</v>
      </c>
      <c r="AZ1843" s="6" t="s">
        <v>12595</v>
      </c>
      <c r="BA1843" s="6" t="str">
        <f t="shared" si="879"/>
        <v>=2.400*100000000</v>
      </c>
      <c r="BB1843" s="1">
        <f>2.4*100000000</f>
        <v>240000000</v>
      </c>
      <c r="BC1843" s="8">
        <f t="shared" si="896"/>
        <v>0.25326370757180156</v>
      </c>
      <c r="BD1843" s="6" t="s">
        <v>4162</v>
      </c>
      <c r="BE1843" s="6" t="str">
        <f t="shared" si="880"/>
        <v>=1.915*100000000</v>
      </c>
      <c r="BF1843" s="1">
        <f>1.915*100000000</f>
        <v>191500000</v>
      </c>
      <c r="BG1843" s="8">
        <f t="shared" si="897"/>
        <v>0.61059714045416313</v>
      </c>
      <c r="BH1843" s="6" t="s">
        <v>1130</v>
      </c>
      <c r="BI1843" s="6" t="str">
        <f t="shared" si="881"/>
        <v>=1.189*100000000</v>
      </c>
      <c r="BJ1843" s="1">
        <f>1.189*100000000</f>
        <v>118900000</v>
      </c>
      <c r="BK1843" s="7" t="s">
        <v>16706</v>
      </c>
      <c r="BL1843" s="1" t="str">
        <f t="shared" si="883"/>
        <v>=4788*10000</v>
      </c>
      <c r="BM1843" s="16">
        <f t="shared" si="898"/>
        <v>1.4832915622389307</v>
      </c>
      <c r="BN1843" s="1">
        <f>4788*10000</f>
        <v>47880000</v>
      </c>
    </row>
    <row r="1844" spans="1:66">
      <c r="A1844" s="18"/>
      <c r="B1844">
        <v>603611</v>
      </c>
      <c r="C1844" t="s">
        <v>58</v>
      </c>
      <c r="D1844" s="6" t="s">
        <v>16707</v>
      </c>
      <c r="E1844" s="7" t="str">
        <f t="shared" si="882"/>
        <v>=3.395*100000000</v>
      </c>
      <c r="F1844" s="1">
        <f>3.395*100000000</f>
        <v>339500000</v>
      </c>
      <c r="G1844" s="8">
        <f t="shared" si="884"/>
        <v>0.19795342272406494</v>
      </c>
      <c r="H1844" s="6" t="s">
        <v>16708</v>
      </c>
      <c r="I1844" s="6" t="str">
        <f t="shared" si="868"/>
        <v>=2.834*100000000</v>
      </c>
      <c r="J1844" s="1">
        <f>2.834*100000000</f>
        <v>283400000</v>
      </c>
      <c r="K1844" s="10">
        <f t="shared" si="885"/>
        <v>0.38649706457925637</v>
      </c>
      <c r="L1844" s="6" t="s">
        <v>222</v>
      </c>
      <c r="M1844" s="6" t="str">
        <f t="shared" si="869"/>
        <v>=2.044*100000000</v>
      </c>
      <c r="N1844" s="1">
        <f>2.044*100000000</f>
        <v>204400000</v>
      </c>
      <c r="O1844" s="8">
        <f t="shared" si="886"/>
        <v>1.416361272017969</v>
      </c>
      <c r="P1844" s="7" t="s">
        <v>16709</v>
      </c>
      <c r="Q1844" s="6" t="str">
        <f t="shared" si="870"/>
        <v>=8459*10000</v>
      </c>
      <c r="R1844" s="11">
        <f>8459*10000</f>
        <v>84590000</v>
      </c>
      <c r="S1844" s="8">
        <f t="shared" si="887"/>
        <v>-0.7016225749559083</v>
      </c>
      <c r="T1844" s="6" t="s">
        <v>2885</v>
      </c>
      <c r="U1844" s="6" t="str">
        <f t="shared" si="871"/>
        <v>=2.835*100000000</v>
      </c>
      <c r="V1844" s="1">
        <f>2.835*100000000</f>
        <v>283500000</v>
      </c>
      <c r="W1844" s="8">
        <f t="shared" si="888"/>
        <v>0.25276182059213431</v>
      </c>
      <c r="X1844" s="6" t="s">
        <v>11799</v>
      </c>
      <c r="Y1844" s="6" t="str">
        <f t="shared" si="872"/>
        <v>=2.263*100000000</v>
      </c>
      <c r="Z1844" s="1">
        <f>2.263*100000000</f>
        <v>226300000</v>
      </c>
      <c r="AA1844" s="8">
        <f t="shared" si="889"/>
        <v>0.48005232177894047</v>
      </c>
      <c r="AB1844" s="6" t="s">
        <v>1922</v>
      </c>
      <c r="AC1844" s="6" t="str">
        <f t="shared" si="873"/>
        <v>=1.529*100000000</v>
      </c>
      <c r="AD1844" s="1">
        <f>1.529*100000000</f>
        <v>152900000</v>
      </c>
      <c r="AE1844" s="8">
        <f t="shared" si="890"/>
        <v>0.8867226061204343</v>
      </c>
      <c r="AF1844" s="7" t="s">
        <v>16710</v>
      </c>
      <c r="AG1844" s="6" t="str">
        <f t="shared" si="874"/>
        <v>=8104*10000</v>
      </c>
      <c r="AH1844" s="1">
        <f>8104*10000</f>
        <v>81040000</v>
      </c>
      <c r="AI1844" s="8">
        <f t="shared" si="891"/>
        <v>-0.71160142348754452</v>
      </c>
      <c r="AJ1844" s="6" t="s">
        <v>5734</v>
      </c>
      <c r="AK1844" s="6" t="str">
        <f t="shared" si="875"/>
        <v>=2.810*100000000</v>
      </c>
      <c r="AL1844" s="1">
        <f>2.81*100000000</f>
        <v>281000000</v>
      </c>
      <c r="AM1844" s="8">
        <f t="shared" si="892"/>
        <v>0.21908893709327534</v>
      </c>
      <c r="AN1844" s="6" t="s">
        <v>1305</v>
      </c>
      <c r="AO1844" s="6" t="str">
        <f t="shared" si="876"/>
        <v>=2.305*100000000</v>
      </c>
      <c r="AP1844" s="1">
        <f>2.305*100000000</f>
        <v>230500000.00000003</v>
      </c>
      <c r="AQ1844" s="8">
        <f t="shared" si="893"/>
        <v>0.57876712328767144</v>
      </c>
      <c r="AR1844" s="6" t="s">
        <v>2012</v>
      </c>
      <c r="AS1844" s="6" t="str">
        <f t="shared" si="877"/>
        <v>=1.460*100000000</v>
      </c>
      <c r="AT1844" s="1">
        <f>1.46*100000000</f>
        <v>146000000</v>
      </c>
      <c r="AU1844" s="8">
        <f t="shared" si="894"/>
        <v>1.1224015118476522</v>
      </c>
      <c r="AV1844" s="7" t="s">
        <v>8272</v>
      </c>
      <c r="AW1844" s="6" t="str">
        <f t="shared" si="878"/>
        <v>=6879*10000</v>
      </c>
      <c r="AX1844" s="1">
        <f>6879*10000</f>
        <v>68790000</v>
      </c>
      <c r="AY1844" s="10">
        <f t="shared" si="895"/>
        <v>-0.71217573221757324</v>
      </c>
      <c r="AZ1844" s="6" t="s">
        <v>16711</v>
      </c>
      <c r="BA1844" s="6" t="str">
        <f t="shared" si="879"/>
        <v>=2.390*100000000</v>
      </c>
      <c r="BB1844" s="1">
        <f>2.39*100000000</f>
        <v>239000000</v>
      </c>
      <c r="BC1844" s="8">
        <f t="shared" si="896"/>
        <v>0.25262054507337528</v>
      </c>
      <c r="BD1844" s="6" t="s">
        <v>4756</v>
      </c>
      <c r="BE1844" s="6" t="str">
        <f t="shared" si="880"/>
        <v>=1.908*100000000</v>
      </c>
      <c r="BF1844" s="1">
        <f>1.908*100000000</f>
        <v>190800000</v>
      </c>
      <c r="BG1844" s="8">
        <f t="shared" si="897"/>
        <v>0.60876897133220909</v>
      </c>
      <c r="BH1844" s="6" t="s">
        <v>7772</v>
      </c>
      <c r="BI1844" s="6" t="str">
        <f t="shared" si="881"/>
        <v>=1.186*100000000</v>
      </c>
      <c r="BJ1844" s="1">
        <f>1.186*100000000</f>
        <v>118600000</v>
      </c>
      <c r="BK1844" s="7" t="s">
        <v>16712</v>
      </c>
      <c r="BL1844" s="1" t="str">
        <f t="shared" si="883"/>
        <v>=4772*10000</v>
      </c>
      <c r="BM1844" s="16">
        <f t="shared" si="898"/>
        <v>1.4853310980720871</v>
      </c>
      <c r="BN1844" s="1">
        <f>4772*10000</f>
        <v>47720000</v>
      </c>
    </row>
    <row r="1845" spans="1:66">
      <c r="A1845" s="19"/>
      <c r="B1845">
        <v>603611</v>
      </c>
      <c r="C1845" t="s">
        <v>68</v>
      </c>
      <c r="D1845" s="6" t="s">
        <v>4492</v>
      </c>
      <c r="E1845" s="7" t="str">
        <f t="shared" si="882"/>
        <v>=2.937*100000000</v>
      </c>
      <c r="F1845" s="1">
        <f>2.937*100000000</f>
        <v>293700000</v>
      </c>
      <c r="G1845" s="8">
        <f t="shared" si="884"/>
        <v>0.2418604651162789</v>
      </c>
      <c r="H1845" s="6" t="s">
        <v>15524</v>
      </c>
      <c r="I1845" s="6" t="str">
        <f t="shared" si="868"/>
        <v>=2.365*100000000</v>
      </c>
      <c r="J1845" s="1">
        <f>2.365*100000000</f>
        <v>236500000.00000003</v>
      </c>
      <c r="K1845" s="10">
        <f t="shared" si="885"/>
        <v>0.38223261250730584</v>
      </c>
      <c r="L1845" s="6" t="s">
        <v>5705</v>
      </c>
      <c r="M1845" s="6" t="str">
        <f t="shared" si="869"/>
        <v>=1.711*100000000</v>
      </c>
      <c r="N1845" s="1">
        <f>1.711*100000000</f>
        <v>171100000</v>
      </c>
      <c r="O1845" s="8">
        <f t="shared" si="886"/>
        <v>1.6102212051868803</v>
      </c>
      <c r="P1845" s="7" t="s">
        <v>16563</v>
      </c>
      <c r="Q1845" s="6" t="str">
        <f t="shared" si="870"/>
        <v>=6555*10000</v>
      </c>
      <c r="R1845" s="11">
        <f>6555*10000</f>
        <v>65550000</v>
      </c>
      <c r="S1845" s="8">
        <f t="shared" si="887"/>
        <v>-0.72664720600500421</v>
      </c>
      <c r="T1845" s="6" t="s">
        <v>16014</v>
      </c>
      <c r="U1845" s="6" t="str">
        <f t="shared" si="871"/>
        <v>=2.398*100000000</v>
      </c>
      <c r="V1845" s="1">
        <f>2.398*100000000</f>
        <v>239800000</v>
      </c>
      <c r="W1845" s="8">
        <f t="shared" si="888"/>
        <v>0.21540800810947794</v>
      </c>
      <c r="X1845" s="6" t="s">
        <v>6392</v>
      </c>
      <c r="Y1845" s="6" t="str">
        <f t="shared" si="872"/>
        <v>=1.973*100000000</v>
      </c>
      <c r="Z1845" s="1">
        <f>1.973*100000000</f>
        <v>197300000</v>
      </c>
      <c r="AA1845" s="8">
        <f t="shared" si="889"/>
        <v>0.50381097560975607</v>
      </c>
      <c r="AB1845" s="6" t="s">
        <v>2991</v>
      </c>
      <c r="AC1845" s="6" t="str">
        <f t="shared" si="873"/>
        <v>=1.312*100000000</v>
      </c>
      <c r="AD1845" s="1">
        <f>1.312*100000000</f>
        <v>131200000</v>
      </c>
      <c r="AE1845" s="8">
        <f t="shared" si="890"/>
        <v>1.0300170199597709</v>
      </c>
      <c r="AF1845" s="7" t="s">
        <v>16713</v>
      </c>
      <c r="AG1845" s="6" t="str">
        <f t="shared" si="874"/>
        <v>=6463*10000</v>
      </c>
      <c r="AH1845" s="1">
        <f>6463*10000</f>
        <v>64630000</v>
      </c>
      <c r="AI1845" s="8">
        <f t="shared" si="891"/>
        <v>-0.7385517799352751</v>
      </c>
      <c r="AJ1845" s="6" t="s">
        <v>11401</v>
      </c>
      <c r="AK1845" s="6" t="str">
        <f t="shared" si="875"/>
        <v>=2.472*100000000</v>
      </c>
      <c r="AL1845" s="1">
        <f>2.472*100000000</f>
        <v>247200000</v>
      </c>
      <c r="AM1845" s="8">
        <f t="shared" si="892"/>
        <v>0.26899383983572894</v>
      </c>
      <c r="AN1845" s="6" t="s">
        <v>16540</v>
      </c>
      <c r="AO1845" s="6" t="str">
        <f t="shared" si="876"/>
        <v>=1.948*100000000</v>
      </c>
      <c r="AP1845" s="1">
        <f>1.948*100000000</f>
        <v>194800000</v>
      </c>
      <c r="AQ1845" s="8">
        <f t="shared" si="893"/>
        <v>0.61525704809286896</v>
      </c>
      <c r="AR1845" s="6" t="s">
        <v>16255</v>
      </c>
      <c r="AS1845" s="6" t="str">
        <f t="shared" si="877"/>
        <v>=1.206*100000000</v>
      </c>
      <c r="AT1845" s="1">
        <f>1.206*100000000</f>
        <v>120600000</v>
      </c>
      <c r="AU1845" s="8">
        <f t="shared" si="894"/>
        <v>1.0847018150388936</v>
      </c>
      <c r="AV1845" s="7" t="s">
        <v>3201</v>
      </c>
      <c r="AW1845" s="6" t="str">
        <f t="shared" si="878"/>
        <v>=5785*10000</v>
      </c>
      <c r="AX1845" s="1">
        <f>5785*10000</f>
        <v>57850000</v>
      </c>
      <c r="AY1845" s="10">
        <f t="shared" si="895"/>
        <v>-0.71017034068136276</v>
      </c>
      <c r="AZ1845" s="6" t="s">
        <v>13061</v>
      </c>
      <c r="BA1845" s="6" t="str">
        <f t="shared" si="879"/>
        <v>=1.996*100000000</v>
      </c>
      <c r="BB1845" s="1">
        <f>1.996*100000000</f>
        <v>199600000</v>
      </c>
      <c r="BC1845" s="8">
        <f t="shared" si="896"/>
        <v>0.24516531503431066</v>
      </c>
      <c r="BD1845" s="6" t="s">
        <v>1987</v>
      </c>
      <c r="BE1845" s="6" t="str">
        <f t="shared" si="880"/>
        <v>=1.603*100000000</v>
      </c>
      <c r="BF1845" s="1">
        <f>1.603*100000000</f>
        <v>160300000</v>
      </c>
      <c r="BG1845" s="8">
        <f t="shared" si="897"/>
        <v>0.61902838097161905</v>
      </c>
      <c r="BH1845" s="7" t="s">
        <v>16714</v>
      </c>
      <c r="BI1845" s="6" t="str">
        <f t="shared" si="881"/>
        <v>=9901*10000</v>
      </c>
      <c r="BJ1845" s="1">
        <f>9901*10000</f>
        <v>99010000</v>
      </c>
      <c r="BK1845" s="7" t="s">
        <v>16715</v>
      </c>
      <c r="BL1845" s="1" t="str">
        <f t="shared" si="883"/>
        <v>=4002*10000</v>
      </c>
      <c r="BM1845" s="16">
        <f t="shared" si="898"/>
        <v>1.4740129935032484</v>
      </c>
      <c r="BN1845" s="1">
        <f>4002*10000</f>
        <v>40020000</v>
      </c>
    </row>
    <row r="1846" spans="1:66">
      <c r="A1846" s="17">
        <v>463</v>
      </c>
      <c r="B1846">
        <v>603615</v>
      </c>
      <c r="C1846" t="s">
        <v>31</v>
      </c>
      <c r="D1846" s="6" t="s">
        <v>2080</v>
      </c>
      <c r="E1846" s="7" t="str">
        <f t="shared" si="882"/>
        <v>=7.988*100000000</v>
      </c>
      <c r="F1846" s="1">
        <f>7.988*100000000</f>
        <v>798800000</v>
      </c>
      <c r="G1846" s="8">
        <f t="shared" si="884"/>
        <v>0.33288836976472552</v>
      </c>
      <c r="H1846" s="6" t="s">
        <v>4124</v>
      </c>
      <c r="I1846" s="6" t="str">
        <f t="shared" si="868"/>
        <v>=5.993*100000000</v>
      </c>
      <c r="J1846" s="1">
        <f>5.993*100000000</f>
        <v>599300000</v>
      </c>
      <c r="K1846" s="10">
        <f t="shared" si="885"/>
        <v>0.51147540983606554</v>
      </c>
      <c r="L1846" s="6" t="s">
        <v>16716</v>
      </c>
      <c r="M1846" s="6" t="str">
        <f t="shared" si="869"/>
        <v>=3.965*100000000</v>
      </c>
      <c r="N1846" s="1">
        <f>3.965*100000000</f>
        <v>396500000</v>
      </c>
      <c r="O1846" s="8">
        <f t="shared" si="886"/>
        <v>0.84332868433286867</v>
      </c>
      <c r="P1846" s="6" t="s">
        <v>7903</v>
      </c>
      <c r="Q1846" s="6" t="str">
        <f t="shared" si="870"/>
        <v>=2.151*100000000</v>
      </c>
      <c r="R1846" s="11">
        <f>2.151*100000000</f>
        <v>215099999.99999997</v>
      </c>
      <c r="S1846" s="8">
        <f t="shared" si="887"/>
        <v>-0.68821568343238149</v>
      </c>
      <c r="T1846" s="6" t="s">
        <v>16717</v>
      </c>
      <c r="U1846" s="6" t="str">
        <f t="shared" si="871"/>
        <v>=6.899*100000000</v>
      </c>
      <c r="V1846" s="1">
        <f>6.899*100000000</f>
        <v>689900000</v>
      </c>
      <c r="W1846" s="8">
        <f t="shared" si="888"/>
        <v>0.46724797958315611</v>
      </c>
      <c r="X1846" s="6" t="s">
        <v>6751</v>
      </c>
      <c r="Y1846" s="6" t="str">
        <f t="shared" si="872"/>
        <v>=4.702*100000000</v>
      </c>
      <c r="Z1846" s="1">
        <f>4.702*100000000</f>
        <v>470200000</v>
      </c>
      <c r="AA1846" s="8">
        <f t="shared" si="889"/>
        <v>0.62082040675629091</v>
      </c>
      <c r="AB1846" s="6" t="s">
        <v>372</v>
      </c>
      <c r="AC1846" s="6" t="str">
        <f t="shared" si="873"/>
        <v>=2.901*100000000</v>
      </c>
      <c r="AD1846" s="1">
        <f>2.901*100000000</f>
        <v>290100000</v>
      </c>
      <c r="AE1846" s="8">
        <f t="shared" si="890"/>
        <v>1.4987080103359174</v>
      </c>
      <c r="AF1846" s="6" t="s">
        <v>2109</v>
      </c>
      <c r="AG1846" s="6" t="str">
        <f t="shared" si="874"/>
        <v>=1.161*100000000</v>
      </c>
      <c r="AH1846" s="1">
        <f>1.161*100000000</f>
        <v>116100000</v>
      </c>
      <c r="AI1846" s="8">
        <f t="shared" si="891"/>
        <v>-0.85242150756323887</v>
      </c>
      <c r="AJ1846" s="6" t="s">
        <v>16718</v>
      </c>
      <c r="AK1846" s="6" t="str">
        <f t="shared" si="875"/>
        <v>=7.867*100000000</v>
      </c>
      <c r="AL1846" s="1">
        <f>7.867*100000000</f>
        <v>786700000</v>
      </c>
      <c r="AM1846" s="8">
        <f t="shared" si="892"/>
        <v>0.3542778447237046</v>
      </c>
      <c r="AN1846" s="6" t="s">
        <v>3037</v>
      </c>
      <c r="AO1846" s="6" t="str">
        <f t="shared" si="876"/>
        <v>=5.809*100000000</v>
      </c>
      <c r="AP1846" s="1">
        <f>5.809*100000000</f>
        <v>580900000</v>
      </c>
      <c r="AQ1846" s="8">
        <f t="shared" si="893"/>
        <v>0.56030083266183184</v>
      </c>
      <c r="AR1846" s="6" t="s">
        <v>16719</v>
      </c>
      <c r="AS1846" s="6" t="str">
        <f t="shared" si="877"/>
        <v>=3.723*100000000</v>
      </c>
      <c r="AT1846" s="1">
        <f>3.723*100000000</f>
        <v>372300000</v>
      </c>
      <c r="AU1846" s="8">
        <f t="shared" si="894"/>
        <v>0.85316077650572419</v>
      </c>
      <c r="AV1846" s="6" t="s">
        <v>9516</v>
      </c>
      <c r="AW1846" s="6" t="str">
        <f t="shared" si="878"/>
        <v>=2.009*100000000</v>
      </c>
      <c r="AX1846" s="1">
        <f>2.009*100000000</f>
        <v>200900000</v>
      </c>
      <c r="AY1846" s="10">
        <f t="shared" si="895"/>
        <v>-0.73655913978494625</v>
      </c>
      <c r="AZ1846" s="6" t="s">
        <v>16720</v>
      </c>
      <c r="BA1846" s="6" t="str">
        <f t="shared" si="879"/>
        <v>=7.626*100000000</v>
      </c>
      <c r="BB1846" s="1">
        <f>7.626*100000000</f>
        <v>762600000</v>
      </c>
      <c r="BC1846" s="8">
        <f t="shared" si="896"/>
        <v>0.3659322944653412</v>
      </c>
      <c r="BD1846" s="6" t="s">
        <v>4389</v>
      </c>
      <c r="BE1846" s="6" t="str">
        <f t="shared" si="880"/>
        <v>=5.583*100000000</v>
      </c>
      <c r="BF1846" s="1">
        <f>5.583*100000000</f>
        <v>558300000</v>
      </c>
      <c r="BG1846" s="8">
        <f t="shared" si="897"/>
        <v>0.52001089028042469</v>
      </c>
      <c r="BH1846" s="6" t="s">
        <v>16721</v>
      </c>
      <c r="BI1846" s="6" t="str">
        <f t="shared" si="881"/>
        <v>=3.673*100000000</v>
      </c>
      <c r="BJ1846" s="1">
        <f>3.673*100000000</f>
        <v>367300000</v>
      </c>
      <c r="BK1846" s="6" t="s">
        <v>11952</v>
      </c>
      <c r="BL1846" s="1" t="str">
        <f t="shared" si="883"/>
        <v>=1.898*100000000</v>
      </c>
      <c r="BM1846" s="16">
        <f t="shared" si="898"/>
        <v>0.93519494204425713</v>
      </c>
      <c r="BN1846" s="1">
        <f>1.898*100000000</f>
        <v>189800000</v>
      </c>
    </row>
    <row r="1847" spans="1:66">
      <c r="A1847" s="18"/>
      <c r="B1847">
        <v>603615</v>
      </c>
      <c r="C1847" t="s">
        <v>48</v>
      </c>
      <c r="D1847" s="7">
        <f>-2210*10000</f>
        <v>-22100000</v>
      </c>
      <c r="E1847" s="7" t="str">
        <f t="shared" si="882"/>
        <v>=-22100000</v>
      </c>
      <c r="F1847" s="1">
        <f>-22100000</f>
        <v>-22100000</v>
      </c>
      <c r="G1847" s="8">
        <f t="shared" si="884"/>
        <v>-14</v>
      </c>
      <c r="H1847" s="7" t="s">
        <v>16722</v>
      </c>
      <c r="I1847" s="6" t="str">
        <f t="shared" si="868"/>
        <v>=170.0*10000</v>
      </c>
      <c r="J1847" s="1">
        <f>170*10000</f>
        <v>1700000</v>
      </c>
      <c r="K1847" s="10">
        <f t="shared" si="885"/>
        <v>-0.82225010455876202</v>
      </c>
      <c r="L1847" s="7" t="s">
        <v>16723</v>
      </c>
      <c r="M1847" s="6" t="str">
        <f t="shared" si="869"/>
        <v>=956.4*10000</v>
      </c>
      <c r="N1847" s="1">
        <f>956.4*10000</f>
        <v>9564000</v>
      </c>
      <c r="O1847" s="8">
        <f t="shared" si="886"/>
        <v>-0.12014719411223551</v>
      </c>
      <c r="P1847" s="7" t="s">
        <v>16724</v>
      </c>
      <c r="Q1847" s="6" t="str">
        <f t="shared" si="870"/>
        <v>=1087*10000</v>
      </c>
      <c r="R1847" s="11">
        <f>1087*10000</f>
        <v>10870000</v>
      </c>
      <c r="S1847" s="8">
        <f t="shared" si="887"/>
        <v>-0.81206777316735823</v>
      </c>
      <c r="T1847" s="7" t="s">
        <v>16725</v>
      </c>
      <c r="U1847" s="6" t="str">
        <f t="shared" si="871"/>
        <v>=5784*10000</v>
      </c>
      <c r="V1847" s="1">
        <f>5784*10000</f>
        <v>57840000</v>
      </c>
      <c r="W1847" s="8">
        <f t="shared" si="888"/>
        <v>0.50429128738621587</v>
      </c>
      <c r="X1847" s="7" t="s">
        <v>16726</v>
      </c>
      <c r="Y1847" s="6" t="str">
        <f t="shared" si="872"/>
        <v>=3845*10000</v>
      </c>
      <c r="Z1847" s="1">
        <f>3845*10000</f>
        <v>38450000</v>
      </c>
      <c r="AA1847" s="8">
        <f t="shared" si="889"/>
        <v>0.54170008019246196</v>
      </c>
      <c r="AB1847" s="7" t="s">
        <v>16727</v>
      </c>
      <c r="AC1847" s="6" t="str">
        <f t="shared" si="873"/>
        <v>=2494*10000</v>
      </c>
      <c r="AD1847" s="1">
        <f>2494*10000</f>
        <v>24940000</v>
      </c>
      <c r="AE1847" s="8">
        <f t="shared" si="890"/>
        <v>1.6863420939250322</v>
      </c>
      <c r="AF1847" s="7" t="s">
        <v>16728</v>
      </c>
      <c r="AG1847" s="6" t="str">
        <f t="shared" si="874"/>
        <v>=928.4*10000</v>
      </c>
      <c r="AH1847" s="1">
        <f>928.4*10000</f>
        <v>9284000</v>
      </c>
      <c r="AI1847" s="8">
        <f t="shared" si="891"/>
        <v>-0.89987057808455562</v>
      </c>
      <c r="AJ1847" s="7" t="s">
        <v>16729</v>
      </c>
      <c r="AK1847" s="6" t="str">
        <f t="shared" si="875"/>
        <v>=9272*10000</v>
      </c>
      <c r="AL1847" s="1">
        <f>9272*10000</f>
        <v>92720000</v>
      </c>
      <c r="AM1847" s="8">
        <f t="shared" si="892"/>
        <v>0.18810866222450026</v>
      </c>
      <c r="AN1847" s="7" t="s">
        <v>16730</v>
      </c>
      <c r="AO1847" s="6" t="str">
        <f t="shared" si="876"/>
        <v>=7804*10000</v>
      </c>
      <c r="AP1847" s="1">
        <f>7804*10000</f>
        <v>78040000</v>
      </c>
      <c r="AQ1847" s="8">
        <f t="shared" si="893"/>
        <v>0.67144998929106881</v>
      </c>
      <c r="AR1847" s="7" t="s">
        <v>16731</v>
      </c>
      <c r="AS1847" s="6" t="str">
        <f t="shared" si="877"/>
        <v>=4669*10000</v>
      </c>
      <c r="AT1847" s="1">
        <f>4669*10000</f>
        <v>46690000</v>
      </c>
      <c r="AU1847" s="8">
        <f t="shared" si="894"/>
        <v>0.72351421188630494</v>
      </c>
      <c r="AV1847" s="7" t="s">
        <v>16493</v>
      </c>
      <c r="AW1847" s="6" t="str">
        <f t="shared" si="878"/>
        <v>=2709*10000</v>
      </c>
      <c r="AX1847" s="1">
        <f>2709*10000</f>
        <v>27090000</v>
      </c>
      <c r="AY1847" s="10">
        <f t="shared" si="895"/>
        <v>-0.70292795262638452</v>
      </c>
      <c r="AZ1847" s="7" t="s">
        <v>4402</v>
      </c>
      <c r="BA1847" s="6" t="str">
        <f t="shared" si="879"/>
        <v>=9119*10000</v>
      </c>
      <c r="BB1847" s="1">
        <f>9119*10000</f>
        <v>91190000</v>
      </c>
      <c r="BC1847" s="8">
        <f t="shared" si="896"/>
        <v>0.21134431455897981</v>
      </c>
      <c r="BD1847" s="7" t="s">
        <v>16732</v>
      </c>
      <c r="BE1847" s="6" t="str">
        <f t="shared" si="880"/>
        <v>=7528*10000</v>
      </c>
      <c r="BF1847" s="1">
        <f>7528*10000</f>
        <v>75280000</v>
      </c>
      <c r="BG1847" s="8">
        <f t="shared" si="897"/>
        <v>0.47839748625294581</v>
      </c>
      <c r="BH1847" s="7" t="s">
        <v>16733</v>
      </c>
      <c r="BI1847" s="6" t="str">
        <f t="shared" si="881"/>
        <v>=5092*10000</v>
      </c>
      <c r="BJ1847" s="1">
        <f>5092*10000</f>
        <v>50920000</v>
      </c>
      <c r="BK1847" s="7" t="s">
        <v>14918</v>
      </c>
      <c r="BL1847" s="1" t="str">
        <f t="shared" si="883"/>
        <v>=2944*10000</v>
      </c>
      <c r="BM1847" s="16">
        <f t="shared" si="898"/>
        <v>0.72961956521739135</v>
      </c>
      <c r="BN1847" s="1">
        <f>2944*10000</f>
        <v>29440000</v>
      </c>
    </row>
    <row r="1848" spans="1:66">
      <c r="A1848" s="18"/>
      <c r="B1848">
        <v>603615</v>
      </c>
      <c r="C1848" t="s">
        <v>58</v>
      </c>
      <c r="D1848" s="7">
        <f>-2453*10000</f>
        <v>-24530000</v>
      </c>
      <c r="E1848" s="7" t="str">
        <f t="shared" si="882"/>
        <v>=-24530000</v>
      </c>
      <c r="F1848" s="1">
        <f>-24530000</f>
        <v>-24530000</v>
      </c>
      <c r="G1848" s="8">
        <f t="shared" si="884"/>
        <v>-27.544746239584459</v>
      </c>
      <c r="H1848" s="7" t="s">
        <v>16734</v>
      </c>
      <c r="I1848" s="6" t="str">
        <f t="shared" si="868"/>
        <v>=92.41*10000</v>
      </c>
      <c r="J1848" s="1">
        <f>92.41*10000</f>
        <v>924100</v>
      </c>
      <c r="K1848" s="10">
        <f t="shared" si="885"/>
        <v>-0.89842822598373273</v>
      </c>
      <c r="L1848" s="7" t="s">
        <v>16735</v>
      </c>
      <c r="M1848" s="6" t="str">
        <f t="shared" si="869"/>
        <v>=909.8*10000</v>
      </c>
      <c r="N1848" s="1">
        <f>909.8*10000</f>
        <v>9098000</v>
      </c>
      <c r="O1848" s="8">
        <f t="shared" si="886"/>
        <v>-0.13021032504780114</v>
      </c>
      <c r="P1848" s="7" t="s">
        <v>14995</v>
      </c>
      <c r="Q1848" s="6" t="str">
        <f t="shared" si="870"/>
        <v>=1046*10000</v>
      </c>
      <c r="R1848" s="11">
        <f>1046*10000</f>
        <v>10460000</v>
      </c>
      <c r="S1848" s="8">
        <f t="shared" si="887"/>
        <v>-0.81539004588775155</v>
      </c>
      <c r="T1848" s="7" t="s">
        <v>16736</v>
      </c>
      <c r="U1848" s="6" t="str">
        <f t="shared" si="871"/>
        <v>=5666*10000</v>
      </c>
      <c r="V1848" s="1">
        <f>5666*10000</f>
        <v>56660000</v>
      </c>
      <c r="W1848" s="8">
        <f t="shared" si="888"/>
        <v>0.47782994261867501</v>
      </c>
      <c r="X1848" s="7" t="s">
        <v>16737</v>
      </c>
      <c r="Y1848" s="6" t="str">
        <f t="shared" si="872"/>
        <v>=3834*10000</v>
      </c>
      <c r="Z1848" s="1">
        <f>3834*10000</f>
        <v>38340000</v>
      </c>
      <c r="AA1848" s="8">
        <f t="shared" si="889"/>
        <v>0.54099678456591638</v>
      </c>
      <c r="AB1848" s="7" t="s">
        <v>16738</v>
      </c>
      <c r="AC1848" s="6" t="str">
        <f t="shared" si="873"/>
        <v>=2488*10000</v>
      </c>
      <c r="AD1848" s="1">
        <f>2488*10000</f>
        <v>24880000</v>
      </c>
      <c r="AE1848" s="8">
        <f t="shared" si="890"/>
        <v>1.6938068427890862</v>
      </c>
      <c r="AF1848" s="7" t="s">
        <v>16739</v>
      </c>
      <c r="AG1848" s="6" t="str">
        <f t="shared" si="874"/>
        <v>=923.6*10000</v>
      </c>
      <c r="AH1848" s="1">
        <f>923.6*10000</f>
        <v>9236000</v>
      </c>
      <c r="AI1848" s="8">
        <f t="shared" si="891"/>
        <v>-0.90002164970772891</v>
      </c>
      <c r="AJ1848" s="7" t="s">
        <v>15443</v>
      </c>
      <c r="AK1848" s="6" t="str">
        <f t="shared" si="875"/>
        <v>=9238*10000</v>
      </c>
      <c r="AL1848" s="1">
        <f>9238*10000</f>
        <v>92380000</v>
      </c>
      <c r="AM1848" s="8">
        <f t="shared" si="892"/>
        <v>0.18648856922681736</v>
      </c>
      <c r="AN1848" s="7" t="s">
        <v>16740</v>
      </c>
      <c r="AO1848" s="6" t="str">
        <f t="shared" si="876"/>
        <v>=7786*10000</v>
      </c>
      <c r="AP1848" s="1">
        <f>7786*10000</f>
        <v>77860000</v>
      </c>
      <c r="AQ1848" s="8">
        <f t="shared" si="893"/>
        <v>0.66509837467921296</v>
      </c>
      <c r="AR1848" s="7" t="s">
        <v>16741</v>
      </c>
      <c r="AS1848" s="6" t="str">
        <f t="shared" si="877"/>
        <v>=4676*10000</v>
      </c>
      <c r="AT1848" s="1">
        <f>4676*10000</f>
        <v>46760000</v>
      </c>
      <c r="AU1848" s="8">
        <f t="shared" si="894"/>
        <v>0.72291820191599121</v>
      </c>
      <c r="AV1848" s="7" t="s">
        <v>16742</v>
      </c>
      <c r="AW1848" s="6" t="str">
        <f t="shared" si="878"/>
        <v>=2714*10000</v>
      </c>
      <c r="AX1848" s="1">
        <f>2714*10000</f>
        <v>27140000</v>
      </c>
      <c r="AY1848" s="10">
        <f t="shared" si="895"/>
        <v>-0.70406716824773741</v>
      </c>
      <c r="AZ1848" s="7" t="s">
        <v>7380</v>
      </c>
      <c r="BA1848" s="6" t="str">
        <f t="shared" si="879"/>
        <v>=9171*10000</v>
      </c>
      <c r="BB1848" s="1">
        <f>9171*10000</f>
        <v>91710000</v>
      </c>
      <c r="BC1848" s="8">
        <f t="shared" si="896"/>
        <v>0.19103896103896104</v>
      </c>
      <c r="BD1848" s="7" t="s">
        <v>16743</v>
      </c>
      <c r="BE1848" s="6" t="str">
        <f t="shared" si="880"/>
        <v>=7700*10000</v>
      </c>
      <c r="BF1848" s="1">
        <f>7700*10000</f>
        <v>77000000</v>
      </c>
      <c r="BG1848" s="8">
        <f t="shared" si="897"/>
        <v>0.485053037608486</v>
      </c>
      <c r="BH1848" s="7" t="s">
        <v>16744</v>
      </c>
      <c r="BI1848" s="6" t="str">
        <f t="shared" si="881"/>
        <v>=5185*10000</v>
      </c>
      <c r="BJ1848" s="1">
        <f>5185*10000</f>
        <v>51850000</v>
      </c>
      <c r="BK1848" s="7" t="s">
        <v>16745</v>
      </c>
      <c r="BL1848" s="1" t="str">
        <f t="shared" si="883"/>
        <v>=3013*10000</v>
      </c>
      <c r="BM1848" s="16">
        <f t="shared" si="898"/>
        <v>0.72087620311981415</v>
      </c>
      <c r="BN1848" s="1">
        <f>3013*10000</f>
        <v>30130000</v>
      </c>
    </row>
    <row r="1849" spans="1:66">
      <c r="A1849" s="19"/>
      <c r="B1849">
        <v>603615</v>
      </c>
      <c r="C1849" t="s">
        <v>68</v>
      </c>
      <c r="D1849" s="7">
        <f>-2122*10000</f>
        <v>-21220000</v>
      </c>
      <c r="E1849" s="7" t="str">
        <f t="shared" si="882"/>
        <v>=-21220000</v>
      </c>
      <c r="F1849" s="1">
        <f>-21220000</f>
        <v>-21220000</v>
      </c>
      <c r="G1849" s="8">
        <f t="shared" si="884"/>
        <v>-32.847516133873633</v>
      </c>
      <c r="H1849" s="7" t="s">
        <v>16746</v>
      </c>
      <c r="I1849" s="6" t="str">
        <f t="shared" si="868"/>
        <v>=66.63*10000</v>
      </c>
      <c r="J1849" s="1">
        <f>66.63*10000</f>
        <v>666300</v>
      </c>
      <c r="K1849" s="10">
        <f t="shared" si="885"/>
        <v>-0.90554295435214061</v>
      </c>
      <c r="L1849" s="7" t="s">
        <v>16747</v>
      </c>
      <c r="M1849" s="6" t="str">
        <f t="shared" si="869"/>
        <v>=705.4*10000</v>
      </c>
      <c r="N1849" s="1">
        <f>705.4*10000</f>
        <v>7054000</v>
      </c>
      <c r="O1849" s="8">
        <f t="shared" si="886"/>
        <v>-9.8069300600946166E-2</v>
      </c>
      <c r="P1849" s="7" t="s">
        <v>16748</v>
      </c>
      <c r="Q1849" s="6" t="str">
        <f t="shared" si="870"/>
        <v>=782.1*10000</v>
      </c>
      <c r="R1849" s="11">
        <f>782.1*10000</f>
        <v>7821000</v>
      </c>
      <c r="S1849" s="8">
        <f t="shared" si="887"/>
        <v>-0.80712700369913681</v>
      </c>
      <c r="T1849" s="7" t="s">
        <v>11348</v>
      </c>
      <c r="U1849" s="6" t="str">
        <f t="shared" si="871"/>
        <v>=4055*10000</v>
      </c>
      <c r="V1849" s="1">
        <f>4055*10000</f>
        <v>40550000</v>
      </c>
      <c r="W1849" s="8">
        <f t="shared" si="888"/>
        <v>0.4021438450899032</v>
      </c>
      <c r="X1849" s="7" t="s">
        <v>14912</v>
      </c>
      <c r="Y1849" s="6" t="str">
        <f t="shared" si="872"/>
        <v>=2892*10000</v>
      </c>
      <c r="Z1849" s="1">
        <f>2892*10000</f>
        <v>28920000</v>
      </c>
      <c r="AA1849" s="8">
        <f t="shared" si="889"/>
        <v>0.53259141494435613</v>
      </c>
      <c r="AB1849" s="7" t="s">
        <v>16502</v>
      </c>
      <c r="AC1849" s="6" t="str">
        <f t="shared" si="873"/>
        <v>=1887*10000</v>
      </c>
      <c r="AD1849" s="1">
        <f>1887*10000</f>
        <v>18870000</v>
      </c>
      <c r="AE1849" s="8">
        <f t="shared" si="890"/>
        <v>1.716280408809558</v>
      </c>
      <c r="AF1849" s="7" t="s">
        <v>16749</v>
      </c>
      <c r="AG1849" s="6" t="str">
        <f t="shared" si="874"/>
        <v>=694.7*10000</v>
      </c>
      <c r="AH1849" s="1">
        <f>694.7*10000</f>
        <v>6947000</v>
      </c>
      <c r="AI1849" s="8">
        <f t="shared" si="891"/>
        <v>-0.89908483439860543</v>
      </c>
      <c r="AJ1849" s="7" t="s">
        <v>16750</v>
      </c>
      <c r="AK1849" s="6" t="str">
        <f t="shared" si="875"/>
        <v>=6884*10000</v>
      </c>
      <c r="AL1849" s="1">
        <f>6884*10000</f>
        <v>68840000</v>
      </c>
      <c r="AM1849" s="8">
        <f t="shared" si="892"/>
        <v>0.15970350404312669</v>
      </c>
      <c r="AN1849" s="7" t="s">
        <v>16751</v>
      </c>
      <c r="AO1849" s="6" t="str">
        <f t="shared" si="876"/>
        <v>=5936*10000</v>
      </c>
      <c r="AP1849" s="1">
        <f>5936*10000</f>
        <v>59360000</v>
      </c>
      <c r="AQ1849" s="8">
        <f t="shared" si="893"/>
        <v>0.67447108603667139</v>
      </c>
      <c r="AR1849" s="7" t="s">
        <v>2604</v>
      </c>
      <c r="AS1849" s="6" t="str">
        <f t="shared" si="877"/>
        <v>=3545*10000</v>
      </c>
      <c r="AT1849" s="1">
        <f>3545*10000</f>
        <v>35450000</v>
      </c>
      <c r="AU1849" s="8">
        <f t="shared" si="894"/>
        <v>0.75581971272907378</v>
      </c>
      <c r="AV1849" s="7" t="s">
        <v>16752</v>
      </c>
      <c r="AW1849" s="6" t="str">
        <f t="shared" si="878"/>
        <v>=2019*10000</v>
      </c>
      <c r="AX1849" s="1">
        <f>2019*10000</f>
        <v>20190000</v>
      </c>
      <c r="AY1849" s="10">
        <f t="shared" si="895"/>
        <v>-0.70473822755191573</v>
      </c>
      <c r="AZ1849" s="7" t="s">
        <v>16753</v>
      </c>
      <c r="BA1849" s="6" t="str">
        <f t="shared" si="879"/>
        <v>=6838*10000</v>
      </c>
      <c r="BB1849" s="1">
        <f>6838*10000</f>
        <v>68380000</v>
      </c>
      <c r="BC1849" s="8">
        <f t="shared" si="896"/>
        <v>0.18735891647855529</v>
      </c>
      <c r="BD1849" s="7" t="s">
        <v>16754</v>
      </c>
      <c r="BE1849" s="6" t="str">
        <f t="shared" si="880"/>
        <v>=5759*10000</v>
      </c>
      <c r="BF1849" s="1">
        <f>5759*10000</f>
        <v>57590000</v>
      </c>
      <c r="BG1849" s="8">
        <f t="shared" si="897"/>
        <v>0.48542687645086408</v>
      </c>
      <c r="BH1849" s="7" t="s">
        <v>16755</v>
      </c>
      <c r="BI1849" s="6" t="str">
        <f t="shared" si="881"/>
        <v>=3877*10000</v>
      </c>
      <c r="BJ1849" s="1">
        <f>3877*10000</f>
        <v>38770000</v>
      </c>
      <c r="BK1849" s="7" t="s">
        <v>16756</v>
      </c>
      <c r="BL1849" s="1" t="str">
        <f t="shared" si="883"/>
        <v>=2224*10000</v>
      </c>
      <c r="BM1849" s="16">
        <f t="shared" si="898"/>
        <v>0.74325539568345322</v>
      </c>
      <c r="BN1849" s="1">
        <f>2224*10000</f>
        <v>22240000</v>
      </c>
    </row>
    <row r="1850" spans="1:66">
      <c r="A1850" s="17">
        <v>464</v>
      </c>
      <c r="B1850">
        <v>603656</v>
      </c>
      <c r="C1850" t="s">
        <v>31</v>
      </c>
      <c r="D1850" s="6" t="s">
        <v>13044</v>
      </c>
      <c r="E1850" s="7" t="str">
        <f t="shared" si="882"/>
        <v>=5.186*100000000</v>
      </c>
      <c r="F1850" s="1">
        <f>5.186*100000000</f>
        <v>518600000</v>
      </c>
      <c r="G1850" s="8">
        <f t="shared" si="884"/>
        <v>0.4682899207248018</v>
      </c>
      <c r="H1850" s="6" t="s">
        <v>16757</v>
      </c>
      <c r="I1850" s="6" t="str">
        <f t="shared" si="868"/>
        <v>=3.532*100000000</v>
      </c>
      <c r="J1850" s="1">
        <f>3.532*100000000</f>
        <v>353200000</v>
      </c>
      <c r="K1850" s="10">
        <f t="shared" si="885"/>
        <v>0.62167125803489443</v>
      </c>
      <c r="L1850" s="6" t="s">
        <v>4653</v>
      </c>
      <c r="M1850" s="6" t="str">
        <f t="shared" si="869"/>
        <v>=2.178*100000000</v>
      </c>
      <c r="N1850" s="1">
        <f>2.178*100000000</f>
        <v>217800000</v>
      </c>
      <c r="O1850" s="8">
        <f t="shared" si="886"/>
        <v>1.5340314136125655</v>
      </c>
      <c r="P1850" s="7" t="s">
        <v>16758</v>
      </c>
      <c r="Q1850" s="6" t="str">
        <f t="shared" si="870"/>
        <v>=8595*10000</v>
      </c>
      <c r="R1850" s="11">
        <f>8595*10000</f>
        <v>85950000</v>
      </c>
      <c r="S1850" s="8">
        <f t="shared" si="887"/>
        <v>-0.81897641112047181</v>
      </c>
      <c r="T1850" s="6" t="s">
        <v>15794</v>
      </c>
      <c r="U1850" s="6" t="str">
        <f t="shared" si="871"/>
        <v>=4.748*100000000</v>
      </c>
      <c r="V1850" s="1">
        <f>4.748*100000000</f>
        <v>474800000</v>
      </c>
      <c r="W1850" s="8">
        <f t="shared" si="888"/>
        <v>0.43055137089484785</v>
      </c>
      <c r="X1850" s="6" t="s">
        <v>1026</v>
      </c>
      <c r="Y1850" s="6" t="str">
        <f t="shared" si="872"/>
        <v>=3.319*100000000</v>
      </c>
      <c r="Z1850" s="1">
        <f>3.319*100000000</f>
        <v>331900000</v>
      </c>
      <c r="AA1850" s="8">
        <f t="shared" si="889"/>
        <v>0.82262493135639758</v>
      </c>
      <c r="AB1850" s="6" t="s">
        <v>8256</v>
      </c>
      <c r="AC1850" s="6" t="str">
        <f t="shared" si="873"/>
        <v>=1.821*100000000</v>
      </c>
      <c r="AD1850" s="1">
        <f>1.821*100000000</f>
        <v>182100000</v>
      </c>
      <c r="AE1850" s="8">
        <f t="shared" si="890"/>
        <v>1.6677409903310869</v>
      </c>
      <c r="AF1850" s="7" t="s">
        <v>16759</v>
      </c>
      <c r="AG1850" s="6" t="str">
        <f t="shared" si="874"/>
        <v>=6826*10000</v>
      </c>
      <c r="AH1850" s="1">
        <f>6826*10000</f>
        <v>68260000</v>
      </c>
      <c r="AI1850" s="8">
        <f t="shared" si="891"/>
        <v>-0.82279335410176535</v>
      </c>
      <c r="AJ1850" s="6" t="s">
        <v>16760</v>
      </c>
      <c r="AK1850" s="6" t="str">
        <f t="shared" si="875"/>
        <v>=3.852*100000000</v>
      </c>
      <c r="AL1850" s="1">
        <f>3.852*100000000</f>
        <v>385200000</v>
      </c>
      <c r="AM1850" s="8">
        <f t="shared" si="892"/>
        <v>0.38461538461538464</v>
      </c>
      <c r="AN1850" s="6" t="s">
        <v>16761</v>
      </c>
      <c r="AO1850" s="6" t="str">
        <f t="shared" si="876"/>
        <v>=2.782*100000000</v>
      </c>
      <c r="AP1850" s="1">
        <f>2.782*100000000</f>
        <v>278200000</v>
      </c>
      <c r="AQ1850" s="8">
        <f t="shared" si="893"/>
        <v>0.81119791666666663</v>
      </c>
      <c r="AR1850" s="6" t="s">
        <v>10018</v>
      </c>
      <c r="AS1850" s="6" t="str">
        <f t="shared" si="877"/>
        <v>=1.536*100000000</v>
      </c>
      <c r="AT1850" s="1">
        <f>1.536*100000000</f>
        <v>153600000</v>
      </c>
      <c r="AU1850" s="8">
        <f t="shared" si="894"/>
        <v>1.2040464916056823</v>
      </c>
      <c r="AV1850" s="7" t="s">
        <v>16762</v>
      </c>
      <c r="AW1850" s="6" t="str">
        <f t="shared" si="878"/>
        <v>=6969*10000</v>
      </c>
      <c r="AX1850" s="1">
        <f>6969*10000</f>
        <v>69690000</v>
      </c>
      <c r="AY1850" s="10">
        <f t="shared" si="895"/>
        <v>-0.82889761846304932</v>
      </c>
      <c r="AZ1850" s="6" t="s">
        <v>9536</v>
      </c>
      <c r="BA1850" s="6" t="str">
        <f t="shared" si="879"/>
        <v>=4.073*100000000</v>
      </c>
      <c r="BB1850" s="1">
        <f>4.073*100000000</f>
        <v>407300000.00000006</v>
      </c>
      <c r="BC1850" s="8">
        <f t="shared" si="896"/>
        <v>0.33366077275704015</v>
      </c>
      <c r="BD1850" s="6" t="s">
        <v>10884</v>
      </c>
      <c r="BE1850" s="6" t="str">
        <f t="shared" si="880"/>
        <v>=3.054*100000000</v>
      </c>
      <c r="BF1850" s="1">
        <f>3.054*100000000</f>
        <v>305400000</v>
      </c>
      <c r="BG1850" s="8">
        <f t="shared" si="897"/>
        <v>0.62187997875730217</v>
      </c>
      <c r="BH1850" s="6" t="s">
        <v>11595</v>
      </c>
      <c r="BI1850" s="6" t="str">
        <f t="shared" si="881"/>
        <v>=1.883*100000000</v>
      </c>
      <c r="BJ1850" s="1">
        <f>1.883*100000000</f>
        <v>188300000</v>
      </c>
      <c r="BK1850" s="7" t="s">
        <v>16067</v>
      </c>
      <c r="BL1850" s="1" t="str">
        <f t="shared" si="883"/>
        <v>=9082*10000</v>
      </c>
      <c r="BM1850" s="16">
        <f t="shared" si="898"/>
        <v>1.0733318652279233</v>
      </c>
      <c r="BN1850" s="1">
        <f>9082*10000</f>
        <v>90820000</v>
      </c>
    </row>
    <row r="1851" spans="1:66">
      <c r="A1851" s="18"/>
      <c r="B1851">
        <v>603656</v>
      </c>
      <c r="C1851" t="s">
        <v>48</v>
      </c>
      <c r="D1851" s="7" t="s">
        <v>10359</v>
      </c>
      <c r="E1851" s="7" t="str">
        <f t="shared" si="882"/>
        <v>=2700*10000</v>
      </c>
      <c r="F1851" s="1">
        <f>2700*10000</f>
        <v>27000000</v>
      </c>
      <c r="G1851" s="8">
        <f t="shared" si="884"/>
        <v>4.6497175141242941</v>
      </c>
      <c r="H1851" s="7" t="s">
        <v>16763</v>
      </c>
      <c r="I1851" s="6" t="str">
        <f t="shared" si="868"/>
        <v>=477.9*10000</v>
      </c>
      <c r="J1851" s="1">
        <f>477.9*10000</f>
        <v>4779000</v>
      </c>
      <c r="K1851" s="10">
        <f t="shared" si="885"/>
        <v>-2.0375597047329572</v>
      </c>
      <c r="L1851" s="7">
        <f>-460.6*10000</f>
        <v>-4606000</v>
      </c>
      <c r="M1851" s="6" t="str">
        <f t="shared" si="869"/>
        <v>=-4606000</v>
      </c>
      <c r="N1851" s="1">
        <f>-4606000</f>
        <v>-4606000</v>
      </c>
      <c r="O1851" s="8">
        <f t="shared" si="886"/>
        <v>-0.22821715817694371</v>
      </c>
      <c r="P1851" s="7">
        <f>-596.8*10000</f>
        <v>-5968000</v>
      </c>
      <c r="Q1851" s="6" t="str">
        <f t="shared" si="870"/>
        <v>=-5968000</v>
      </c>
      <c r="R1851" s="11">
        <f>-5968000</f>
        <v>-5968000</v>
      </c>
      <c r="S1851" s="8">
        <f t="shared" si="887"/>
        <v>-1.1667504889633975</v>
      </c>
      <c r="T1851" s="7" t="s">
        <v>1234</v>
      </c>
      <c r="U1851" s="6" t="str">
        <f t="shared" si="871"/>
        <v>=3579*10000</v>
      </c>
      <c r="V1851" s="1">
        <f>3579*10000</f>
        <v>35790000</v>
      </c>
      <c r="W1851" s="8">
        <f t="shared" si="888"/>
        <v>0.14601344860710855</v>
      </c>
      <c r="X1851" s="7" t="s">
        <v>9548</v>
      </c>
      <c r="Y1851" s="6" t="str">
        <f t="shared" si="872"/>
        <v>=3123*10000</v>
      </c>
      <c r="Z1851" s="1">
        <f>3123*10000</f>
        <v>31230000</v>
      </c>
      <c r="AA1851" s="8">
        <f t="shared" si="889"/>
        <v>0.64628360569319976</v>
      </c>
      <c r="AB1851" s="7" t="s">
        <v>16764</v>
      </c>
      <c r="AC1851" s="6" t="str">
        <f t="shared" si="873"/>
        <v>=1897*10000</v>
      </c>
      <c r="AD1851" s="1">
        <f>1897*10000</f>
        <v>18970000</v>
      </c>
      <c r="AE1851" s="8">
        <f t="shared" si="890"/>
        <v>5.6166724799441923</v>
      </c>
      <c r="AF1851" s="7" t="s">
        <v>10528</v>
      </c>
      <c r="AG1851" s="6" t="str">
        <f t="shared" si="874"/>
        <v>=286.7*10000</v>
      </c>
      <c r="AH1851" s="1">
        <f>286.7*10000</f>
        <v>2867000</v>
      </c>
      <c r="AI1851" s="8">
        <f t="shared" si="891"/>
        <v>-0.94241815625627634</v>
      </c>
      <c r="AJ1851" s="7" t="s">
        <v>16765</v>
      </c>
      <c r="AK1851" s="6" t="str">
        <f t="shared" si="875"/>
        <v>=4979*10000</v>
      </c>
      <c r="AL1851" s="1">
        <f>4979*10000</f>
        <v>49790000</v>
      </c>
      <c r="AM1851" s="8">
        <f t="shared" si="892"/>
        <v>7.7472408569573686E-2</v>
      </c>
      <c r="AN1851" s="7" t="s">
        <v>4992</v>
      </c>
      <c r="AO1851" s="6" t="str">
        <f t="shared" si="876"/>
        <v>=4621*10000</v>
      </c>
      <c r="AP1851" s="1">
        <f>4621*10000</f>
        <v>46210000</v>
      </c>
      <c r="AQ1851" s="8">
        <f t="shared" si="893"/>
        <v>1.3661034306195596</v>
      </c>
      <c r="AR1851" s="7" t="s">
        <v>16766</v>
      </c>
      <c r="AS1851" s="6" t="str">
        <f t="shared" si="877"/>
        <v>=1953*10000</v>
      </c>
      <c r="AT1851" s="1">
        <f>1953*10000</f>
        <v>19530000</v>
      </c>
      <c r="AU1851" s="8">
        <f t="shared" si="894"/>
        <v>2.6484214459181765</v>
      </c>
      <c r="AV1851" s="7" t="s">
        <v>16767</v>
      </c>
      <c r="AW1851" s="6" t="str">
        <f t="shared" si="878"/>
        <v>=535.3*10000</v>
      </c>
      <c r="AX1851" s="1">
        <f>535.3*10000</f>
        <v>5353000</v>
      </c>
      <c r="AY1851" s="10">
        <f t="shared" si="895"/>
        <v>-0.93722293889996477</v>
      </c>
      <c r="AZ1851" s="7" t="s">
        <v>13069</v>
      </c>
      <c r="BA1851" s="6" t="str">
        <f t="shared" si="879"/>
        <v>=8527*10000</v>
      </c>
      <c r="BB1851" s="1">
        <f>8527*10000</f>
        <v>85270000</v>
      </c>
      <c r="BC1851" s="8">
        <f t="shared" si="896"/>
        <v>0.12552798310454066</v>
      </c>
      <c r="BD1851" s="7" t="s">
        <v>16768</v>
      </c>
      <c r="BE1851" s="6" t="str">
        <f t="shared" si="880"/>
        <v>=7576*10000</v>
      </c>
      <c r="BF1851" s="1">
        <f>7576*10000</f>
        <v>75760000</v>
      </c>
      <c r="BG1851" s="8">
        <f t="shared" si="897"/>
        <v>0.86463204528673399</v>
      </c>
      <c r="BH1851" s="7" t="s">
        <v>16769</v>
      </c>
      <c r="BI1851" s="6" t="str">
        <f t="shared" si="881"/>
        <v>=4063*10000</v>
      </c>
      <c r="BJ1851" s="1">
        <f>4063*10000</f>
        <v>40630000</v>
      </c>
      <c r="BK1851" s="7" t="s">
        <v>16770</v>
      </c>
      <c r="BL1851" s="1" t="str">
        <f t="shared" si="883"/>
        <v>=1540*10000</v>
      </c>
      <c r="BM1851" s="16">
        <f t="shared" si="898"/>
        <v>1.6383116883116884</v>
      </c>
      <c r="BN1851" s="1">
        <f>1540*10000</f>
        <v>15400000</v>
      </c>
    </row>
    <row r="1852" spans="1:66">
      <c r="A1852" s="18"/>
      <c r="B1852">
        <v>603656</v>
      </c>
      <c r="C1852" t="s">
        <v>58</v>
      </c>
      <c r="D1852" s="7" t="s">
        <v>16771</v>
      </c>
      <c r="E1852" s="7" t="str">
        <f t="shared" si="882"/>
        <v>=4025*10000</v>
      </c>
      <c r="F1852" s="1">
        <f>4025*10000</f>
        <v>40250000</v>
      </c>
      <c r="G1852" s="8">
        <f t="shared" si="884"/>
        <v>2.8369876072449953</v>
      </c>
      <c r="H1852" s="7" t="s">
        <v>15545</v>
      </c>
      <c r="I1852" s="6" t="str">
        <f t="shared" si="868"/>
        <v>=1049*10000</v>
      </c>
      <c r="J1852" s="1">
        <f>1049*10000</f>
        <v>10490000</v>
      </c>
      <c r="K1852" s="10">
        <f t="shared" si="885"/>
        <v>-17.326848249027236</v>
      </c>
      <c r="L1852" s="7">
        <f>-64.25*10000</f>
        <v>-642500</v>
      </c>
      <c r="M1852" s="6" t="str">
        <f t="shared" si="869"/>
        <v>=-642500</v>
      </c>
      <c r="N1852" s="1">
        <f>-642500</f>
        <v>-642500</v>
      </c>
      <c r="O1852" s="8">
        <f t="shared" si="886"/>
        <v>-0.86893104855161163</v>
      </c>
      <c r="P1852" s="7">
        <f>-490.2*10000</f>
        <v>-4902000</v>
      </c>
      <c r="Q1852" s="6" t="str">
        <f t="shared" si="870"/>
        <v>=-4902000</v>
      </c>
      <c r="R1852" s="11">
        <f>-4902000</f>
        <v>-4902000</v>
      </c>
      <c r="S1852" s="8">
        <f t="shared" si="887"/>
        <v>-1.1005951159450031</v>
      </c>
      <c r="T1852" s="7" t="s">
        <v>15953</v>
      </c>
      <c r="U1852" s="6" t="str">
        <f t="shared" si="871"/>
        <v>=4873*10000</v>
      </c>
      <c r="V1852" s="1">
        <f>4873*10000</f>
        <v>48730000</v>
      </c>
      <c r="W1852" s="8">
        <f t="shared" si="888"/>
        <v>0.1685851318944844</v>
      </c>
      <c r="X1852" s="7" t="s">
        <v>3848</v>
      </c>
      <c r="Y1852" s="6" t="str">
        <f t="shared" si="872"/>
        <v>=4170*10000</v>
      </c>
      <c r="Z1852" s="1">
        <f>4170*10000</f>
        <v>41700000</v>
      </c>
      <c r="AA1852" s="8">
        <f t="shared" si="889"/>
        <v>0.84840425531914898</v>
      </c>
      <c r="AB1852" s="7" t="s">
        <v>16772</v>
      </c>
      <c r="AC1852" s="6" t="str">
        <f t="shared" si="873"/>
        <v>=2256*10000</v>
      </c>
      <c r="AD1852" s="1">
        <f>2256*10000</f>
        <v>22560000</v>
      </c>
      <c r="AE1852" s="8">
        <f t="shared" si="890"/>
        <v>2.7549933422103861</v>
      </c>
      <c r="AF1852" s="7" t="s">
        <v>16773</v>
      </c>
      <c r="AG1852" s="6" t="str">
        <f t="shared" si="874"/>
        <v>=600.8*10000</v>
      </c>
      <c r="AH1852" s="1">
        <f>600.8*10000</f>
        <v>6008000</v>
      </c>
      <c r="AI1852" s="8">
        <f t="shared" si="891"/>
        <v>-0.91104530648504589</v>
      </c>
      <c r="AJ1852" s="7" t="s">
        <v>16774</v>
      </c>
      <c r="AK1852" s="6" t="str">
        <f t="shared" si="875"/>
        <v>=6754*10000</v>
      </c>
      <c r="AL1852" s="1">
        <f>6754*10000</f>
        <v>67540000</v>
      </c>
      <c r="AM1852" s="8">
        <f t="shared" si="892"/>
        <v>0.12192691029900332</v>
      </c>
      <c r="AN1852" s="7" t="s">
        <v>16775</v>
      </c>
      <c r="AO1852" s="6" t="str">
        <f t="shared" si="876"/>
        <v>=6020*10000</v>
      </c>
      <c r="AP1852" s="1">
        <f>6020*10000</f>
        <v>60200000</v>
      </c>
      <c r="AQ1852" s="8">
        <f t="shared" si="893"/>
        <v>1.66489597166888</v>
      </c>
      <c r="AR1852" s="7" t="s">
        <v>4918</v>
      </c>
      <c r="AS1852" s="6" t="str">
        <f t="shared" si="877"/>
        <v>=2259*10000</v>
      </c>
      <c r="AT1852" s="1">
        <f>2259*10000</f>
        <v>22590000</v>
      </c>
      <c r="AU1852" s="8">
        <f t="shared" si="894"/>
        <v>2.7320337022963819</v>
      </c>
      <c r="AV1852" s="7" t="s">
        <v>16776</v>
      </c>
      <c r="AW1852" s="6" t="str">
        <f t="shared" si="878"/>
        <v>=605.3*10000</v>
      </c>
      <c r="AX1852" s="1">
        <f>605.3*10000</f>
        <v>6053000</v>
      </c>
      <c r="AY1852" s="10">
        <f t="shared" si="895"/>
        <v>-0.93347620617650295</v>
      </c>
      <c r="AZ1852" s="7" t="s">
        <v>16777</v>
      </c>
      <c r="BA1852" s="6" t="str">
        <f t="shared" si="879"/>
        <v>=9099*10000</v>
      </c>
      <c r="BB1852" s="1">
        <f>9099*10000</f>
        <v>90990000</v>
      </c>
      <c r="BC1852" s="8">
        <f t="shared" si="896"/>
        <v>0.16415046059365404</v>
      </c>
      <c r="BD1852" s="7" t="s">
        <v>16778</v>
      </c>
      <c r="BE1852" s="6" t="str">
        <f t="shared" si="880"/>
        <v>=7816*10000</v>
      </c>
      <c r="BF1852" s="1">
        <f>7816*10000</f>
        <v>78160000</v>
      </c>
      <c r="BG1852" s="8">
        <f t="shared" si="897"/>
        <v>0.88655563601255127</v>
      </c>
      <c r="BH1852" s="7" t="s">
        <v>10984</v>
      </c>
      <c r="BI1852" s="6" t="str">
        <f t="shared" si="881"/>
        <v>=4143*10000</v>
      </c>
      <c r="BJ1852" s="1">
        <f>4143*10000</f>
        <v>41430000</v>
      </c>
      <c r="BK1852" s="7" t="s">
        <v>15733</v>
      </c>
      <c r="BL1852" s="1" t="str">
        <f t="shared" si="883"/>
        <v>=1634*10000</v>
      </c>
      <c r="BM1852" s="16">
        <f t="shared" si="898"/>
        <v>1.5354957160342717</v>
      </c>
      <c r="BN1852" s="1">
        <f>1634*10000</f>
        <v>16340000</v>
      </c>
    </row>
    <row r="1853" spans="1:66">
      <c r="A1853" s="19"/>
      <c r="B1853">
        <v>603656</v>
      </c>
      <c r="C1853" t="s">
        <v>68</v>
      </c>
      <c r="D1853" s="7" t="s">
        <v>16779</v>
      </c>
      <c r="E1853" s="7" t="str">
        <f t="shared" si="882"/>
        <v>=3534*10000</v>
      </c>
      <c r="F1853" s="1">
        <f>3534*10000</f>
        <v>35340000</v>
      </c>
      <c r="G1853" s="8">
        <f t="shared" si="884"/>
        <v>2.0518134715025909</v>
      </c>
      <c r="H1853" s="7" t="s">
        <v>16780</v>
      </c>
      <c r="I1853" s="6" t="str">
        <f t="shared" si="868"/>
        <v>=1158*10000</v>
      </c>
      <c r="J1853" s="1">
        <f>1158*10000</f>
        <v>11580000</v>
      </c>
      <c r="K1853" s="10">
        <f t="shared" si="885"/>
        <v>59.660031430068095</v>
      </c>
      <c r="L1853" s="7" t="s">
        <v>16781</v>
      </c>
      <c r="M1853" s="6" t="str">
        <f t="shared" si="869"/>
        <v>=19.09*10000</v>
      </c>
      <c r="N1853" s="1">
        <f>19.09*10000</f>
        <v>190900</v>
      </c>
      <c r="O1853" s="8">
        <f t="shared" si="886"/>
        <v>-1.0270052341208091</v>
      </c>
      <c r="P1853" s="7">
        <f>-706.9*10000</f>
        <v>-7069000</v>
      </c>
      <c r="Q1853" s="6" t="str">
        <f t="shared" si="870"/>
        <v>=-7069000</v>
      </c>
      <c r="R1853" s="11">
        <f>-7069000</f>
        <v>-7069000</v>
      </c>
      <c r="S1853" s="8">
        <f t="shared" si="887"/>
        <v>-1.1742420507764357</v>
      </c>
      <c r="T1853" s="7" t="s">
        <v>16782</v>
      </c>
      <c r="U1853" s="6" t="str">
        <f t="shared" si="871"/>
        <v>=4057*10000</v>
      </c>
      <c r="V1853" s="1">
        <f>4057*10000</f>
        <v>40570000</v>
      </c>
      <c r="W1853" s="8">
        <f t="shared" si="888"/>
        <v>0.27098997493734334</v>
      </c>
      <c r="X1853" s="7" t="s">
        <v>2839</v>
      </c>
      <c r="Y1853" s="6" t="str">
        <f t="shared" si="872"/>
        <v>=3192*10000</v>
      </c>
      <c r="Z1853" s="1">
        <f>3192*10000</f>
        <v>31920000</v>
      </c>
      <c r="AA1853" s="8">
        <f t="shared" si="889"/>
        <v>0.87214076246334316</v>
      </c>
      <c r="AB1853" s="7" t="s">
        <v>16783</v>
      </c>
      <c r="AC1853" s="6" t="str">
        <f t="shared" si="873"/>
        <v>=1705*10000</v>
      </c>
      <c r="AD1853" s="1">
        <f>1705*10000</f>
        <v>17050000</v>
      </c>
      <c r="AE1853" s="8">
        <f t="shared" si="890"/>
        <v>4.7504215851602023</v>
      </c>
      <c r="AF1853" s="7" t="s">
        <v>16784</v>
      </c>
      <c r="AG1853" s="6" t="str">
        <f t="shared" si="874"/>
        <v>=296.5*10000</v>
      </c>
      <c r="AH1853" s="1">
        <f>296.5*10000</f>
        <v>2965000</v>
      </c>
      <c r="AI1853" s="8">
        <f t="shared" si="891"/>
        <v>-0.95109681675738078</v>
      </c>
      <c r="AJ1853" s="7" t="s">
        <v>16785</v>
      </c>
      <c r="AK1853" s="6" t="str">
        <f t="shared" si="875"/>
        <v>=6063*10000</v>
      </c>
      <c r="AL1853" s="1">
        <f>6063*10000</f>
        <v>60630000</v>
      </c>
      <c r="AM1853" s="8">
        <f t="shared" si="892"/>
        <v>0.20632709908475924</v>
      </c>
      <c r="AN1853" s="7" t="s">
        <v>16786</v>
      </c>
      <c r="AO1853" s="6" t="str">
        <f t="shared" si="876"/>
        <v>=5026*10000</v>
      </c>
      <c r="AP1853" s="1">
        <f>5026*10000</f>
        <v>50260000</v>
      </c>
      <c r="AQ1853" s="8">
        <f t="shared" si="893"/>
        <v>1.6691449814126393</v>
      </c>
      <c r="AR1853" s="7" t="s">
        <v>6919</v>
      </c>
      <c r="AS1853" s="6" t="str">
        <f t="shared" si="877"/>
        <v>=1883*10000</v>
      </c>
      <c r="AT1853" s="1">
        <f>1883*10000</f>
        <v>18830000</v>
      </c>
      <c r="AU1853" s="8">
        <f t="shared" si="894"/>
        <v>4.5693581780538306</v>
      </c>
      <c r="AV1853" s="7" t="s">
        <v>16787</v>
      </c>
      <c r="AW1853" s="6" t="str">
        <f t="shared" si="878"/>
        <v>=338.1*10000</v>
      </c>
      <c r="AX1853" s="1">
        <f>338.1*10000</f>
        <v>3381000</v>
      </c>
      <c r="AY1853" s="10">
        <f t="shared" si="895"/>
        <v>-0.95794253016544351</v>
      </c>
      <c r="AZ1853" s="7" t="s">
        <v>16788</v>
      </c>
      <c r="BA1853" s="6" t="str">
        <f t="shared" si="879"/>
        <v>=8039*10000</v>
      </c>
      <c r="BB1853" s="1">
        <f>8039*10000</f>
        <v>80390000</v>
      </c>
      <c r="BC1853" s="8">
        <f t="shared" si="896"/>
        <v>0.22601799603477199</v>
      </c>
      <c r="BD1853" s="7" t="s">
        <v>16789</v>
      </c>
      <c r="BE1853" s="6" t="str">
        <f t="shared" si="880"/>
        <v>=6557*10000</v>
      </c>
      <c r="BF1853" s="1">
        <f>6557*10000</f>
        <v>65570000</v>
      </c>
      <c r="BG1853" s="8">
        <f t="shared" si="897"/>
        <v>0.8702224757558471</v>
      </c>
      <c r="BH1853" s="7" t="s">
        <v>2112</v>
      </c>
      <c r="BI1853" s="6" t="str">
        <f t="shared" si="881"/>
        <v>=3506*10000</v>
      </c>
      <c r="BJ1853" s="1">
        <f>3506*10000</f>
        <v>35060000</v>
      </c>
      <c r="BK1853" s="7" t="s">
        <v>4927</v>
      </c>
      <c r="BL1853" s="1" t="str">
        <f t="shared" si="883"/>
        <v>=1259*10000</v>
      </c>
      <c r="BM1853" s="16">
        <f t="shared" si="898"/>
        <v>1.7847498014297061</v>
      </c>
      <c r="BN1853" s="1">
        <f>1259*10000</f>
        <v>12590000</v>
      </c>
    </row>
    <row r="1854" spans="1:66">
      <c r="A1854" s="17">
        <v>465</v>
      </c>
      <c r="B1854">
        <v>603657</v>
      </c>
      <c r="C1854" t="s">
        <v>31</v>
      </c>
      <c r="D1854" s="6" t="s">
        <v>451</v>
      </c>
      <c r="E1854" s="7" t="str">
        <f t="shared" si="882"/>
        <v>=12.95*100000000</v>
      </c>
      <c r="F1854" s="1">
        <f>12.95*100000000</f>
        <v>1295000000</v>
      </c>
      <c r="G1854" s="8">
        <f t="shared" si="884"/>
        <v>0.50266883267579487</v>
      </c>
      <c r="H1854" s="6" t="s">
        <v>7631</v>
      </c>
      <c r="I1854" s="6" t="str">
        <f t="shared" si="868"/>
        <v>=8.618*100000000</v>
      </c>
      <c r="J1854" s="1">
        <f>8.618*100000000</f>
        <v>861800000</v>
      </c>
      <c r="K1854" s="10">
        <f t="shared" si="885"/>
        <v>0.53728148412415266</v>
      </c>
      <c r="L1854" s="6" t="s">
        <v>16790</v>
      </c>
      <c r="M1854" s="6" t="str">
        <f t="shared" si="869"/>
        <v>=5.606*100000000</v>
      </c>
      <c r="N1854" s="1">
        <f>5.606*100000000</f>
        <v>560600000</v>
      </c>
      <c r="O1854" s="8">
        <f t="shared" si="886"/>
        <v>1.2388178913738019</v>
      </c>
      <c r="P1854" s="6" t="s">
        <v>2888</v>
      </c>
      <c r="Q1854" s="6" t="str">
        <f t="shared" si="870"/>
        <v>=2.504*100000000</v>
      </c>
      <c r="R1854" s="11">
        <f>2.504*100000000</f>
        <v>250400000</v>
      </c>
      <c r="S1854" s="8">
        <f t="shared" si="887"/>
        <v>-0.70679156908665097</v>
      </c>
      <c r="T1854" s="6" t="s">
        <v>16791</v>
      </c>
      <c r="U1854" s="6" t="str">
        <f t="shared" si="871"/>
        <v>=8.540*100000000</v>
      </c>
      <c r="V1854" s="1">
        <f>8.54*100000000</f>
        <v>853999999.99999988</v>
      </c>
      <c r="W1854" s="8">
        <f t="shared" si="888"/>
        <v>0.53183856502242133</v>
      </c>
      <c r="X1854" s="6" t="s">
        <v>3967</v>
      </c>
      <c r="Y1854" s="6" t="str">
        <f t="shared" si="872"/>
        <v>=5.575*100000000</v>
      </c>
      <c r="Z1854" s="1">
        <f>5.575*100000000</f>
        <v>557500000</v>
      </c>
      <c r="AA1854" s="8">
        <f t="shared" si="889"/>
        <v>0.850929614873838</v>
      </c>
      <c r="AB1854" s="6" t="s">
        <v>12013</v>
      </c>
      <c r="AC1854" s="6" t="str">
        <f t="shared" si="873"/>
        <v>=3.012*100000000</v>
      </c>
      <c r="AD1854" s="1">
        <f>3.012*100000000</f>
        <v>301200000</v>
      </c>
      <c r="AE1854" s="8">
        <f t="shared" si="890"/>
        <v>1.8468809073724008</v>
      </c>
      <c r="AF1854" s="6" t="s">
        <v>119</v>
      </c>
      <c r="AG1854" s="6" t="str">
        <f t="shared" si="874"/>
        <v>=1.058*100000000</v>
      </c>
      <c r="AH1854" s="1">
        <f>1.058*100000000</f>
        <v>105800000</v>
      </c>
      <c r="AI1854" s="8">
        <f t="shared" si="891"/>
        <v>-0.8120447681648606</v>
      </c>
      <c r="AJ1854" s="6" t="s">
        <v>16792</v>
      </c>
      <c r="AK1854" s="6" t="str">
        <f t="shared" si="875"/>
        <v>=5.629*100000000</v>
      </c>
      <c r="AL1854" s="1">
        <f>5.629*100000000</f>
        <v>562900000</v>
      </c>
      <c r="AM1854" s="8">
        <f t="shared" si="892"/>
        <v>0.40725</v>
      </c>
      <c r="AN1854" s="6" t="s">
        <v>5533</v>
      </c>
      <c r="AO1854" s="6" t="str">
        <f t="shared" si="876"/>
        <v>=4.000*100000000</v>
      </c>
      <c r="AP1854" s="1">
        <f>4*100000000</f>
        <v>400000000</v>
      </c>
      <c r="AQ1854" s="8">
        <f t="shared" si="893"/>
        <v>0.63800163800163778</v>
      </c>
      <c r="AR1854" s="6" t="s">
        <v>14997</v>
      </c>
      <c r="AS1854" s="6" t="str">
        <f t="shared" si="877"/>
        <v>=2.442*100000000</v>
      </c>
      <c r="AT1854" s="1">
        <f>2.442*100000000</f>
        <v>244200000.00000003</v>
      </c>
      <c r="AU1854" s="8">
        <f t="shared" si="894"/>
        <v>1.2929577464788735</v>
      </c>
      <c r="AV1854" s="6" t="s">
        <v>7680</v>
      </c>
      <c r="AW1854" s="6" t="str">
        <f t="shared" si="878"/>
        <v>=1.065*100000000</v>
      </c>
      <c r="AX1854" s="1">
        <f>1.065*100000000</f>
        <v>106500000</v>
      </c>
      <c r="AY1854" s="10">
        <f t="shared" si="895"/>
        <v>-0.78998225202129757</v>
      </c>
      <c r="AZ1854" s="6" t="s">
        <v>4022</v>
      </c>
      <c r="BA1854" s="6" t="str">
        <f t="shared" si="879"/>
        <v>=5.071*100000000</v>
      </c>
      <c r="BB1854" s="1">
        <f>5.071*100000000</f>
        <v>507100000</v>
      </c>
      <c r="BC1854" s="8">
        <f t="shared" si="896"/>
        <v>0.40900250069463739</v>
      </c>
      <c r="BD1854" s="6" t="s">
        <v>6958</v>
      </c>
      <c r="BE1854" s="6" t="str">
        <f t="shared" si="880"/>
        <v>=3.599*100000000</v>
      </c>
      <c r="BF1854" s="1">
        <f>3.599*100000000</f>
        <v>359900000</v>
      </c>
      <c r="BG1854" s="8">
        <f t="shared" si="897"/>
        <v>0.63814292216659085</v>
      </c>
      <c r="BH1854" s="6" t="s">
        <v>8168</v>
      </c>
      <c r="BI1854" s="6" t="str">
        <f t="shared" si="881"/>
        <v>=2.197*100000000</v>
      </c>
      <c r="BJ1854" s="1">
        <f>2.197*100000000</f>
        <v>219700000</v>
      </c>
      <c r="BK1854" s="7" t="s">
        <v>16793</v>
      </c>
      <c r="BL1854" s="1" t="str">
        <f t="shared" si="883"/>
        <v>=8585*10000</v>
      </c>
      <c r="BM1854" s="16">
        <f t="shared" si="898"/>
        <v>1.559114735002912</v>
      </c>
      <c r="BN1854" s="1">
        <f>8585*10000</f>
        <v>85850000</v>
      </c>
    </row>
    <row r="1855" spans="1:66">
      <c r="A1855" s="18"/>
      <c r="B1855">
        <v>603657</v>
      </c>
      <c r="C1855" t="s">
        <v>48</v>
      </c>
      <c r="D1855" s="6" t="s">
        <v>16424</v>
      </c>
      <c r="E1855" s="7" t="str">
        <f t="shared" si="882"/>
        <v>=1.210*100000000</v>
      </c>
      <c r="F1855" s="1">
        <f>1.21*100000000</f>
        <v>121000000</v>
      </c>
      <c r="G1855" s="8">
        <f t="shared" si="884"/>
        <v>0.21951219512195122</v>
      </c>
      <c r="H1855" s="7" t="s">
        <v>5534</v>
      </c>
      <c r="I1855" s="6" t="str">
        <f t="shared" ref="I1855:I1918" si="899">"="&amp;H1855</f>
        <v>=9922*10000</v>
      </c>
      <c r="J1855" s="1">
        <f>9922*10000</f>
        <v>99220000</v>
      </c>
      <c r="K1855" s="10">
        <f t="shared" si="885"/>
        <v>0.37195796460176989</v>
      </c>
      <c r="L1855" s="7" t="s">
        <v>11713</v>
      </c>
      <c r="M1855" s="6" t="str">
        <f t="shared" ref="M1855:M1918" si="900">"="&amp;L1855</f>
        <v>=7232*10000</v>
      </c>
      <c r="N1855" s="1">
        <f>7232*10000</f>
        <v>72320000</v>
      </c>
      <c r="O1855" s="8">
        <f t="shared" si="886"/>
        <v>1.0481450014160294</v>
      </c>
      <c r="P1855" s="7" t="s">
        <v>3586</v>
      </c>
      <c r="Q1855" s="6" t="str">
        <f t="shared" ref="Q1855:Q1918" si="901">"="&amp;P1855</f>
        <v>=3531*10000</v>
      </c>
      <c r="R1855" s="11">
        <f>3531*10000</f>
        <v>35310000</v>
      </c>
      <c r="S1855" s="8">
        <f t="shared" si="887"/>
        <v>-0.7889420203227735</v>
      </c>
      <c r="T1855" s="6" t="s">
        <v>15533</v>
      </c>
      <c r="U1855" s="6" t="str">
        <f t="shared" ref="U1855:U1918" si="902">"="&amp;T1855</f>
        <v>=1.673*100000000</v>
      </c>
      <c r="V1855" s="1">
        <f>1.673*100000000</f>
        <v>167300000</v>
      </c>
      <c r="W1855" s="8">
        <f t="shared" si="888"/>
        <v>0.50720720720720702</v>
      </c>
      <c r="X1855" s="6" t="s">
        <v>3656</v>
      </c>
      <c r="Y1855" s="6" t="str">
        <f t="shared" ref="Y1855:Y1918" si="903">"="&amp;X1855</f>
        <v>=1.110*100000000</v>
      </c>
      <c r="Z1855" s="1">
        <f>1.11*100000000</f>
        <v>111000000.00000001</v>
      </c>
      <c r="AA1855" s="8">
        <f t="shared" si="889"/>
        <v>0.89840944073884066</v>
      </c>
      <c r="AB1855" s="7" t="s">
        <v>9682</v>
      </c>
      <c r="AC1855" s="6" t="str">
        <f t="shared" ref="AC1855:AC1918" si="904">"="&amp;AB1855</f>
        <v>=5847*10000</v>
      </c>
      <c r="AD1855" s="1">
        <f>5847*10000</f>
        <v>58470000</v>
      </c>
      <c r="AE1855" s="8">
        <f t="shared" si="890"/>
        <v>2.0920148069804338</v>
      </c>
      <c r="AF1855" s="7" t="s">
        <v>15870</v>
      </c>
      <c r="AG1855" s="6" t="str">
        <f t="shared" ref="AG1855:AG1918" si="905">"="&amp;AF1855</f>
        <v>=1891*10000</v>
      </c>
      <c r="AH1855" s="1">
        <f>1891*10000</f>
        <v>18910000</v>
      </c>
      <c r="AI1855" s="8">
        <f t="shared" si="891"/>
        <v>-0.84944267515923566</v>
      </c>
      <c r="AJ1855" s="6" t="s">
        <v>6145</v>
      </c>
      <c r="AK1855" s="6" t="str">
        <f t="shared" ref="AK1855:AK1918" si="906">"="&amp;AJ1855</f>
        <v>=1.256*100000000</v>
      </c>
      <c r="AL1855" s="1">
        <f>1.256*100000000</f>
        <v>125600000</v>
      </c>
      <c r="AM1855" s="8">
        <f t="shared" si="892"/>
        <v>0.40225521938148934</v>
      </c>
      <c r="AN1855" s="7" t="s">
        <v>14544</v>
      </c>
      <c r="AO1855" s="6" t="str">
        <f t="shared" ref="AO1855:AO1918" si="907">"="&amp;AN1855</f>
        <v>=8957*10000</v>
      </c>
      <c r="AP1855" s="1">
        <f>8957*10000</f>
        <v>89570000</v>
      </c>
      <c r="AQ1855" s="8">
        <f t="shared" si="893"/>
        <v>0.65594379737474584</v>
      </c>
      <c r="AR1855" s="7" t="s">
        <v>16794</v>
      </c>
      <c r="AS1855" s="6" t="str">
        <f t="shared" ref="AS1855:AS1918" si="908">"="&amp;AR1855</f>
        <v>=5409*10000</v>
      </c>
      <c r="AT1855" s="1">
        <f>5409*10000</f>
        <v>54090000</v>
      </c>
      <c r="AU1855" s="8">
        <f t="shared" si="894"/>
        <v>1.9850993377483444</v>
      </c>
      <c r="AV1855" s="7" t="s">
        <v>5864</v>
      </c>
      <c r="AW1855" s="6" t="str">
        <f t="shared" ref="AW1855:AW1918" si="909">"="&amp;AV1855</f>
        <v>=1812*10000</v>
      </c>
      <c r="AX1855" s="1">
        <f>1812*10000</f>
        <v>18120000</v>
      </c>
      <c r="AY1855" s="10">
        <f t="shared" si="895"/>
        <v>-0.84035242290748902</v>
      </c>
      <c r="AZ1855" s="6" t="s">
        <v>7002</v>
      </c>
      <c r="BA1855" s="6" t="str">
        <f t="shared" ref="BA1855:BA1918" si="910">"="&amp;AZ1855</f>
        <v>=1.135*100000000</v>
      </c>
      <c r="BB1855" s="1">
        <f>1.135*100000000</f>
        <v>113500000</v>
      </c>
      <c r="BC1855" s="8">
        <f t="shared" si="896"/>
        <v>0.4111649881884869</v>
      </c>
      <c r="BD1855" s="7" t="s">
        <v>16795</v>
      </c>
      <c r="BE1855" s="6" t="str">
        <f t="shared" ref="BE1855:BE1918" si="911">"="&amp;BD1855</f>
        <v>=8043*10000</v>
      </c>
      <c r="BF1855" s="1">
        <f>8043*10000</f>
        <v>80430000</v>
      </c>
      <c r="BG1855" s="8">
        <f t="shared" si="897"/>
        <v>0.72411575562700969</v>
      </c>
      <c r="BH1855" s="7" t="s">
        <v>16796</v>
      </c>
      <c r="BI1855" s="6" t="str">
        <f t="shared" ref="BI1855:BI1918" si="912">"="&amp;BH1855</f>
        <v>=4665*10000</v>
      </c>
      <c r="BJ1855" s="1">
        <f>4665*10000</f>
        <v>46650000</v>
      </c>
      <c r="BK1855" s="7" t="s">
        <v>16797</v>
      </c>
      <c r="BL1855" s="1" t="str">
        <f t="shared" si="883"/>
        <v>=1265*10000</v>
      </c>
      <c r="BM1855" s="16">
        <f t="shared" si="898"/>
        <v>2.6877470355731226</v>
      </c>
      <c r="BN1855" s="1">
        <f>1265*10000</f>
        <v>12650000</v>
      </c>
    </row>
    <row r="1856" spans="1:66">
      <c r="A1856" s="18"/>
      <c r="B1856">
        <v>603657</v>
      </c>
      <c r="C1856" t="s">
        <v>58</v>
      </c>
      <c r="D1856" s="6" t="s">
        <v>12066</v>
      </c>
      <c r="E1856" s="7" t="str">
        <f t="shared" si="882"/>
        <v>=1.235*100000000</v>
      </c>
      <c r="F1856" s="1">
        <f>1.235*100000000</f>
        <v>123500000.00000001</v>
      </c>
      <c r="G1856" s="8">
        <f t="shared" si="884"/>
        <v>0.23772299057927454</v>
      </c>
      <c r="H1856" s="7" t="s">
        <v>16798</v>
      </c>
      <c r="I1856" s="6" t="str">
        <f t="shared" si="899"/>
        <v>=9978*10000</v>
      </c>
      <c r="J1856" s="1">
        <f>9978*10000</f>
        <v>99780000</v>
      </c>
      <c r="K1856" s="10">
        <f t="shared" si="885"/>
        <v>0.36928777274598601</v>
      </c>
      <c r="L1856" s="7" t="s">
        <v>4275</v>
      </c>
      <c r="M1856" s="6" t="str">
        <f t="shared" si="900"/>
        <v>=7287*10000</v>
      </c>
      <c r="N1856" s="1">
        <f>7287*10000</f>
        <v>72870000</v>
      </c>
      <c r="O1856" s="8">
        <f t="shared" si="886"/>
        <v>1.0191188694929343</v>
      </c>
      <c r="P1856" s="7" t="s">
        <v>5493</v>
      </c>
      <c r="Q1856" s="6" t="str">
        <f t="shared" si="901"/>
        <v>=3609*10000</v>
      </c>
      <c r="R1856" s="11">
        <f>3609*10000</f>
        <v>36090000</v>
      </c>
      <c r="S1856" s="8">
        <f t="shared" si="887"/>
        <v>-0.78180169286577994</v>
      </c>
      <c r="T1856" s="6" t="s">
        <v>12144</v>
      </c>
      <c r="U1856" s="6" t="str">
        <f t="shared" si="902"/>
        <v>=1.654*100000000</v>
      </c>
      <c r="V1856" s="1">
        <f>1.654*100000000</f>
        <v>165400000</v>
      </c>
      <c r="W1856" s="8">
        <f t="shared" si="888"/>
        <v>0.51465201465201449</v>
      </c>
      <c r="X1856" s="6" t="s">
        <v>2555</v>
      </c>
      <c r="Y1856" s="6" t="str">
        <f t="shared" si="903"/>
        <v>=1.092*100000000</v>
      </c>
      <c r="Z1856" s="1">
        <f>1.092*100000000</f>
        <v>109200000.00000001</v>
      </c>
      <c r="AA1856" s="8">
        <f t="shared" si="889"/>
        <v>0.91780821917808242</v>
      </c>
      <c r="AB1856" s="7" t="s">
        <v>9450</v>
      </c>
      <c r="AC1856" s="6" t="str">
        <f t="shared" si="904"/>
        <v>=5694*10000</v>
      </c>
      <c r="AD1856" s="1">
        <f>5694*10000</f>
        <v>56940000</v>
      </c>
      <c r="AE1856" s="8">
        <f t="shared" si="890"/>
        <v>2.2096956031567081</v>
      </c>
      <c r="AF1856" s="7" t="s">
        <v>15538</v>
      </c>
      <c r="AG1856" s="6" t="str">
        <f t="shared" si="905"/>
        <v>=1774*10000</v>
      </c>
      <c r="AH1856" s="1">
        <f>1774*10000</f>
        <v>17740000</v>
      </c>
      <c r="AI1856" s="8">
        <f t="shared" si="891"/>
        <v>-0.85728077232502009</v>
      </c>
      <c r="AJ1856" s="6" t="s">
        <v>11387</v>
      </c>
      <c r="AK1856" s="6" t="str">
        <f t="shared" si="906"/>
        <v>=1.243*100000000</v>
      </c>
      <c r="AL1856" s="1">
        <f>1.243*100000000</f>
        <v>124300000.00000001</v>
      </c>
      <c r="AM1856" s="8">
        <f t="shared" si="892"/>
        <v>0.40024783147459742</v>
      </c>
      <c r="AN1856" s="7" t="s">
        <v>16799</v>
      </c>
      <c r="AO1856" s="6" t="str">
        <f t="shared" si="907"/>
        <v>=8877*10000</v>
      </c>
      <c r="AP1856" s="1">
        <f>8877*10000</f>
        <v>88770000</v>
      </c>
      <c r="AQ1856" s="8">
        <f t="shared" si="893"/>
        <v>0.66547842401500934</v>
      </c>
      <c r="AR1856" s="7" t="s">
        <v>11290</v>
      </c>
      <c r="AS1856" s="6" t="str">
        <f t="shared" si="908"/>
        <v>=5330*10000</v>
      </c>
      <c r="AT1856" s="1">
        <f>5330*10000</f>
        <v>53300000</v>
      </c>
      <c r="AU1856" s="8">
        <f t="shared" si="894"/>
        <v>2.0614589316484779</v>
      </c>
      <c r="AV1856" s="7" t="s">
        <v>16800</v>
      </c>
      <c r="AW1856" s="6" t="str">
        <f t="shared" si="909"/>
        <v>=1741*10000</v>
      </c>
      <c r="AX1856" s="1">
        <f>1741*10000</f>
        <v>17410000</v>
      </c>
      <c r="AY1856" s="10">
        <f t="shared" si="895"/>
        <v>-0.85308016877637127</v>
      </c>
      <c r="AZ1856" s="6" t="s">
        <v>4577</v>
      </c>
      <c r="BA1856" s="6" t="str">
        <f t="shared" si="910"/>
        <v>=1.185*100000000</v>
      </c>
      <c r="BB1856" s="1">
        <f>1.185*100000000</f>
        <v>118500000</v>
      </c>
      <c r="BC1856" s="8">
        <f t="shared" si="896"/>
        <v>0.35351227869788693</v>
      </c>
      <c r="BD1856" s="7" t="s">
        <v>16801</v>
      </c>
      <c r="BE1856" s="6" t="str">
        <f t="shared" si="911"/>
        <v>=8755*10000</v>
      </c>
      <c r="BF1856" s="1">
        <f>8755*10000</f>
        <v>87550000</v>
      </c>
      <c r="BG1856" s="8">
        <f t="shared" si="897"/>
        <v>0.66129032258064513</v>
      </c>
      <c r="BH1856" s="7" t="s">
        <v>8425</v>
      </c>
      <c r="BI1856" s="6" t="str">
        <f t="shared" si="912"/>
        <v>=5270*10000</v>
      </c>
      <c r="BJ1856" s="1">
        <f>5270*10000</f>
        <v>52700000</v>
      </c>
      <c r="BK1856" s="7" t="s">
        <v>4935</v>
      </c>
      <c r="BL1856" s="1" t="str">
        <f t="shared" si="883"/>
        <v>=1272*10000</v>
      </c>
      <c r="BM1856" s="16">
        <f t="shared" si="898"/>
        <v>3.1430817610062891</v>
      </c>
      <c r="BN1856" s="1">
        <f>1272*10000</f>
        <v>12720000</v>
      </c>
    </row>
    <row r="1857" spans="1:66">
      <c r="A1857" s="19"/>
      <c r="B1857">
        <v>603657</v>
      </c>
      <c r="C1857" t="s">
        <v>68</v>
      </c>
      <c r="D1857" s="6" t="s">
        <v>4278</v>
      </c>
      <c r="E1857" s="7" t="str">
        <f t="shared" si="882"/>
        <v>=1.069*100000000</v>
      </c>
      <c r="F1857" s="1">
        <f>1.069*100000000</f>
        <v>106900000</v>
      </c>
      <c r="G1857" s="8">
        <f t="shared" si="884"/>
        <v>0.21698542805100182</v>
      </c>
      <c r="H1857" s="7" t="s">
        <v>16802</v>
      </c>
      <c r="I1857" s="6" t="str">
        <f t="shared" si="899"/>
        <v>=8784*10000</v>
      </c>
      <c r="J1857" s="1">
        <f>8784*10000</f>
        <v>87840000</v>
      </c>
      <c r="K1857" s="10">
        <f t="shared" si="885"/>
        <v>0.37831476541660131</v>
      </c>
      <c r="L1857" s="7" t="s">
        <v>16803</v>
      </c>
      <c r="M1857" s="6" t="str">
        <f t="shared" si="900"/>
        <v>=6373*10000</v>
      </c>
      <c r="N1857" s="1">
        <f>6373*10000</f>
        <v>63730000</v>
      </c>
      <c r="O1857" s="8">
        <f t="shared" si="886"/>
        <v>0.9978056426332288</v>
      </c>
      <c r="P1857" s="7" t="s">
        <v>5496</v>
      </c>
      <c r="Q1857" s="6" t="str">
        <f t="shared" si="901"/>
        <v>=3190*10000</v>
      </c>
      <c r="R1857" s="11">
        <f>3190*10000</f>
        <v>31900000</v>
      </c>
      <c r="S1857" s="8">
        <f t="shared" si="887"/>
        <v>-0.7759831460674157</v>
      </c>
      <c r="T1857" s="6" t="s">
        <v>3085</v>
      </c>
      <c r="U1857" s="6" t="str">
        <f t="shared" si="902"/>
        <v>=1.424*100000000</v>
      </c>
      <c r="V1857" s="1">
        <f>1.424*100000000</f>
        <v>142400000</v>
      </c>
      <c r="W1857" s="8">
        <f t="shared" si="888"/>
        <v>0.5168299957392416</v>
      </c>
      <c r="X1857" s="7" t="s">
        <v>16804</v>
      </c>
      <c r="Y1857" s="6" t="str">
        <f t="shared" si="903"/>
        <v>=9388*10000</v>
      </c>
      <c r="Z1857" s="1">
        <f>9388*10000</f>
        <v>93880000</v>
      </c>
      <c r="AA1857" s="8">
        <f t="shared" si="889"/>
        <v>0.92455924559245595</v>
      </c>
      <c r="AB1857" s="7" t="s">
        <v>16805</v>
      </c>
      <c r="AC1857" s="6" t="str">
        <f t="shared" si="904"/>
        <v>=4878*10000</v>
      </c>
      <c r="AD1857" s="1">
        <f>4878*10000</f>
        <v>48780000</v>
      </c>
      <c r="AE1857" s="8">
        <f t="shared" si="890"/>
        <v>2.1965923984272608</v>
      </c>
      <c r="AF1857" s="7" t="s">
        <v>3279</v>
      </c>
      <c r="AG1857" s="6" t="str">
        <f t="shared" si="905"/>
        <v>=1526*10000</v>
      </c>
      <c r="AH1857" s="1">
        <f>1526*10000</f>
        <v>15260000</v>
      </c>
      <c r="AI1857" s="8">
        <f t="shared" si="891"/>
        <v>-0.85684803001876175</v>
      </c>
      <c r="AJ1857" s="6" t="s">
        <v>15783</v>
      </c>
      <c r="AK1857" s="6" t="str">
        <f t="shared" si="906"/>
        <v>=1.066*100000000</v>
      </c>
      <c r="AL1857" s="1">
        <f>1.066*100000000</f>
        <v>106600000</v>
      </c>
      <c r="AM1857" s="8">
        <f t="shared" si="892"/>
        <v>0.40207812705510981</v>
      </c>
      <c r="AN1857" s="7" t="s">
        <v>11485</v>
      </c>
      <c r="AO1857" s="6" t="str">
        <f t="shared" si="907"/>
        <v>=7603*10000</v>
      </c>
      <c r="AP1857" s="1">
        <f>7603*10000</f>
        <v>76030000</v>
      </c>
      <c r="AQ1857" s="8">
        <f t="shared" si="893"/>
        <v>0.66769028295678878</v>
      </c>
      <c r="AR1857" s="7" t="s">
        <v>16806</v>
      </c>
      <c r="AS1857" s="6" t="str">
        <f t="shared" si="908"/>
        <v>=4559*10000</v>
      </c>
      <c r="AT1857" s="1">
        <f>4559*10000</f>
        <v>45590000</v>
      </c>
      <c r="AU1857" s="8">
        <f t="shared" si="894"/>
        <v>2.0352862849533953</v>
      </c>
      <c r="AV1857" s="7" t="s">
        <v>16807</v>
      </c>
      <c r="AW1857" s="6" t="str">
        <f t="shared" si="909"/>
        <v>=1502*10000</v>
      </c>
      <c r="AX1857" s="1">
        <f>1502*10000</f>
        <v>15020000</v>
      </c>
      <c r="AY1857" s="10">
        <f t="shared" si="895"/>
        <v>-0.85128712871287127</v>
      </c>
      <c r="AZ1857" s="6" t="s">
        <v>908</v>
      </c>
      <c r="BA1857" s="6" t="str">
        <f t="shared" si="910"/>
        <v>=1.010*100000000</v>
      </c>
      <c r="BB1857" s="1">
        <f>1.01*100000000</f>
        <v>101000000</v>
      </c>
      <c r="BC1857" s="8">
        <f t="shared" si="896"/>
        <v>0.34828460819650248</v>
      </c>
      <c r="BD1857" s="7" t="s">
        <v>16808</v>
      </c>
      <c r="BE1857" s="6" t="str">
        <f t="shared" si="911"/>
        <v>=7491*10000</v>
      </c>
      <c r="BF1857" s="1">
        <f>7491*10000</f>
        <v>74910000</v>
      </c>
      <c r="BG1857" s="8">
        <f t="shared" si="897"/>
        <v>0.66614768683274017</v>
      </c>
      <c r="BH1857" s="7" t="s">
        <v>11382</v>
      </c>
      <c r="BI1857" s="6" t="str">
        <f t="shared" si="912"/>
        <v>=4496*10000</v>
      </c>
      <c r="BJ1857" s="1">
        <f>4496*10000</f>
        <v>44960000</v>
      </c>
      <c r="BK1857" s="7" t="s">
        <v>16809</v>
      </c>
      <c r="BL1857" s="1" t="str">
        <f t="shared" si="883"/>
        <v>=1083*10000</v>
      </c>
      <c r="BM1857" s="16">
        <f t="shared" si="898"/>
        <v>3.1514312096029546</v>
      </c>
      <c r="BN1857" s="1">
        <f>1083*10000</f>
        <v>10830000</v>
      </c>
    </row>
    <row r="1858" spans="1:66">
      <c r="A1858" s="17">
        <v>466</v>
      </c>
      <c r="B1858">
        <v>603659</v>
      </c>
      <c r="C1858" t="s">
        <v>31</v>
      </c>
      <c r="D1858" s="6" t="s">
        <v>16810</v>
      </c>
      <c r="E1858" s="7" t="str">
        <f t="shared" ref="E1858:E1921" si="913">"="&amp;D1858</f>
        <v>=89.96*100000000</v>
      </c>
      <c r="F1858" s="1">
        <f>89.96*100000000</f>
        <v>8996000000</v>
      </c>
      <c r="G1858" s="8">
        <f t="shared" si="884"/>
        <v>0.4290706910246227</v>
      </c>
      <c r="H1858" s="6" t="s">
        <v>16811</v>
      </c>
      <c r="I1858" s="6" t="str">
        <f t="shared" si="899"/>
        <v>=62.95*100000000</v>
      </c>
      <c r="J1858" s="1">
        <f>62.95*100000000</f>
        <v>6295000000</v>
      </c>
      <c r="K1858" s="10">
        <f t="shared" si="885"/>
        <v>0.60463930665307186</v>
      </c>
      <c r="L1858" s="6" t="s">
        <v>4797</v>
      </c>
      <c r="M1858" s="6" t="str">
        <f t="shared" si="900"/>
        <v>=39.23*100000000</v>
      </c>
      <c r="N1858" s="1">
        <f>39.23*100000000</f>
        <v>3922999999.9999995</v>
      </c>
      <c r="O1858" s="8">
        <f t="shared" si="886"/>
        <v>1.2558941920644044</v>
      </c>
      <c r="P1858" s="6" t="s">
        <v>16812</v>
      </c>
      <c r="Q1858" s="6" t="str">
        <f t="shared" si="901"/>
        <v>=17.39*100000000</v>
      </c>
      <c r="R1858" s="11">
        <f>17.39*100000000</f>
        <v>1739000000</v>
      </c>
      <c r="S1858" s="8">
        <f t="shared" si="887"/>
        <v>-0.67070630562393485</v>
      </c>
      <c r="T1858" s="6" t="s">
        <v>16813</v>
      </c>
      <c r="U1858" s="6" t="str">
        <f t="shared" si="902"/>
        <v>=52.81*100000000</v>
      </c>
      <c r="V1858" s="1">
        <f>52.81*100000000</f>
        <v>5281000000</v>
      </c>
      <c r="W1858" s="8">
        <f t="shared" si="888"/>
        <v>0.57783089333731696</v>
      </c>
      <c r="X1858" s="6" t="s">
        <v>4349</v>
      </c>
      <c r="Y1858" s="6" t="str">
        <f t="shared" si="903"/>
        <v>=33.47*100000000</v>
      </c>
      <c r="Z1858" s="1">
        <f>33.47*100000000</f>
        <v>3347000000</v>
      </c>
      <c r="AA1858" s="8">
        <f t="shared" si="889"/>
        <v>0.77277542372881358</v>
      </c>
      <c r="AB1858" s="6" t="s">
        <v>8669</v>
      </c>
      <c r="AC1858" s="6" t="str">
        <f t="shared" si="904"/>
        <v>=18.88*100000000</v>
      </c>
      <c r="AD1858" s="1">
        <f>18.88*100000000</f>
        <v>1888000000</v>
      </c>
      <c r="AE1858" s="8">
        <f t="shared" si="890"/>
        <v>1.3060950287040434</v>
      </c>
      <c r="AF1858" s="6" t="s">
        <v>16814</v>
      </c>
      <c r="AG1858" s="6" t="str">
        <f t="shared" si="905"/>
        <v>=8.187*100000000</v>
      </c>
      <c r="AH1858" s="1">
        <f>8.187*100000000</f>
        <v>818699999.99999988</v>
      </c>
      <c r="AI1858" s="8">
        <f t="shared" si="891"/>
        <v>-0.82940195874140443</v>
      </c>
      <c r="AJ1858" s="6" t="s">
        <v>4565</v>
      </c>
      <c r="AK1858" s="6" t="str">
        <f t="shared" si="906"/>
        <v>=47.99*100000000</v>
      </c>
      <c r="AL1858" s="1">
        <f>47.99*100000000</f>
        <v>4799000000</v>
      </c>
      <c r="AM1858" s="8">
        <f t="shared" si="892"/>
        <v>0.37075121393887461</v>
      </c>
      <c r="AN1858" s="6" t="s">
        <v>16815</v>
      </c>
      <c r="AO1858" s="6" t="str">
        <f t="shared" si="907"/>
        <v>=35.01*100000000</v>
      </c>
      <c r="AP1858" s="1">
        <f>35.01*100000000</f>
        <v>3501000000</v>
      </c>
      <c r="AQ1858" s="8">
        <f t="shared" si="893"/>
        <v>0.60817638952687181</v>
      </c>
      <c r="AR1858" s="6" t="s">
        <v>5104</v>
      </c>
      <c r="AS1858" s="6" t="str">
        <f t="shared" si="908"/>
        <v>=21.77*100000000</v>
      </c>
      <c r="AT1858" s="1">
        <f>21.77*100000000</f>
        <v>2177000000</v>
      </c>
      <c r="AU1858" s="8">
        <f t="shared" si="894"/>
        <v>1.1156462585034015</v>
      </c>
      <c r="AV1858" s="6" t="s">
        <v>9984</v>
      </c>
      <c r="AW1858" s="6" t="str">
        <f t="shared" si="909"/>
        <v>=10.29*100000000</v>
      </c>
      <c r="AX1858" s="1">
        <f>10.29*100000000</f>
        <v>1028999999.9999999</v>
      </c>
      <c r="AY1858" s="10">
        <f t="shared" si="895"/>
        <v>-0.68921775898520088</v>
      </c>
      <c r="AZ1858" s="6" t="s">
        <v>9016</v>
      </c>
      <c r="BA1858" s="6" t="str">
        <f t="shared" si="910"/>
        <v>=33.11*100000000</v>
      </c>
      <c r="BB1858" s="1">
        <f>33.11*100000000</f>
        <v>3311000000</v>
      </c>
      <c r="BC1858" s="8">
        <f t="shared" si="896"/>
        <v>0.44522042776080312</v>
      </c>
      <c r="BD1858" s="6" t="s">
        <v>3365</v>
      </c>
      <c r="BE1858" s="6" t="str">
        <f t="shared" si="911"/>
        <v>=22.91*100000000</v>
      </c>
      <c r="BF1858" s="1">
        <f>22.91*100000000</f>
        <v>2291000000</v>
      </c>
      <c r="BG1858" s="8">
        <f t="shared" si="897"/>
        <v>0.66255442670537013</v>
      </c>
      <c r="BH1858" s="6" t="s">
        <v>6211</v>
      </c>
      <c r="BI1858" s="6" t="str">
        <f t="shared" si="912"/>
        <v>=13.78*100000000</v>
      </c>
      <c r="BJ1858" s="1">
        <f>13.78*100000000</f>
        <v>1378000000</v>
      </c>
      <c r="BK1858" s="6" t="s">
        <v>15257</v>
      </c>
      <c r="BL1858" s="1" t="str">
        <f t="shared" ref="BL1858:BL1921" si="914">"="&amp;BK1858</f>
        <v>=5.731*100000000</v>
      </c>
      <c r="BM1858" s="16">
        <f t="shared" si="898"/>
        <v>1.4044669342174141</v>
      </c>
      <c r="BN1858" s="1">
        <f>5.731*100000000</f>
        <v>573100000</v>
      </c>
    </row>
    <row r="1859" spans="1:66">
      <c r="A1859" s="18"/>
      <c r="B1859">
        <v>603659</v>
      </c>
      <c r="C1859" t="s">
        <v>48</v>
      </c>
      <c r="D1859" s="6" t="s">
        <v>2633</v>
      </c>
      <c r="E1859" s="7" t="str">
        <f t="shared" si="913"/>
        <v>=20.36*100000000</v>
      </c>
      <c r="F1859" s="1">
        <f>20.36*100000000</f>
        <v>2036000000</v>
      </c>
      <c r="G1859" s="8">
        <f t="shared" ref="G1859:G1922" si="915">(F1859-J1859)/J1859</f>
        <v>0.38692098092643051</v>
      </c>
      <c r="H1859" s="6" t="s">
        <v>333</v>
      </c>
      <c r="I1859" s="6" t="str">
        <f t="shared" si="899"/>
        <v>=14.68*100000000</v>
      </c>
      <c r="J1859" s="1">
        <f>14.68*100000000</f>
        <v>1468000000</v>
      </c>
      <c r="K1859" s="10">
        <f t="shared" ref="K1859:K1922" si="916">(J1859-N1859)/N1859</f>
        <v>0.58994909563522147</v>
      </c>
      <c r="L1859" s="6" t="s">
        <v>16816</v>
      </c>
      <c r="M1859" s="6" t="str">
        <f t="shared" si="900"/>
        <v>=9.233*100000000</v>
      </c>
      <c r="N1859" s="1">
        <f>9.233*100000000</f>
        <v>923300000</v>
      </c>
      <c r="O1859" s="8">
        <f t="shared" ref="O1859:O1922" si="917">(N1859-R1859)/R1859</f>
        <v>1.3345132743362831</v>
      </c>
      <c r="P1859" s="6" t="s">
        <v>13043</v>
      </c>
      <c r="Q1859" s="6" t="str">
        <f t="shared" si="901"/>
        <v>=3.955*100000000</v>
      </c>
      <c r="R1859" s="11">
        <f>3.955*100000000</f>
        <v>395500000</v>
      </c>
      <c r="S1859" s="8">
        <f t="shared" ref="S1859:S1922" si="918">(R1859-V1859)/V1859</f>
        <v>-0.52118644067796616</v>
      </c>
      <c r="T1859" s="6" t="s">
        <v>16817</v>
      </c>
      <c r="U1859" s="6" t="str">
        <f t="shared" si="902"/>
        <v>=8.260*100000000</v>
      </c>
      <c r="V1859" s="1">
        <f>8.26*100000000</f>
        <v>826000000</v>
      </c>
      <c r="W1859" s="8">
        <f t="shared" ref="W1859:W1922" si="919">(V1859-Z1859)/Z1859</f>
        <v>0.61675474652573892</v>
      </c>
      <c r="X1859" s="6" t="s">
        <v>474</v>
      </c>
      <c r="Y1859" s="6" t="str">
        <f t="shared" si="903"/>
        <v>=5.109*100000000</v>
      </c>
      <c r="Z1859" s="1">
        <f>5.109*100000000</f>
        <v>510900000</v>
      </c>
      <c r="AA1859" s="8">
        <f t="shared" ref="AA1859:AA1922" si="920">(Z1859-AD1859)/AD1859</f>
        <v>1.2088197146562905</v>
      </c>
      <c r="AB1859" s="6" t="s">
        <v>3900</v>
      </c>
      <c r="AC1859" s="6" t="str">
        <f t="shared" si="904"/>
        <v>=2.313*100000000</v>
      </c>
      <c r="AD1859" s="1">
        <f>2.313*100000000</f>
        <v>231300000.00000003</v>
      </c>
      <c r="AE1859" s="8">
        <f t="shared" ref="AE1859:AE1922" si="921">(AD1859-AH1859)/AH1859</f>
        <v>1.1576492537313436</v>
      </c>
      <c r="AF1859" s="6" t="s">
        <v>15707</v>
      </c>
      <c r="AG1859" s="6" t="str">
        <f t="shared" si="905"/>
        <v>=1.072*100000000</v>
      </c>
      <c r="AH1859" s="1">
        <f>1.072*100000000</f>
        <v>107200000</v>
      </c>
      <c r="AI1859" s="8">
        <f t="shared" ref="AI1859:AI1922" si="922">(AH1859-AL1859)/AL1859</f>
        <v>-0.85981430626389432</v>
      </c>
      <c r="AJ1859" s="6" t="s">
        <v>16818</v>
      </c>
      <c r="AK1859" s="6" t="str">
        <f t="shared" si="906"/>
        <v>=7.647*100000000</v>
      </c>
      <c r="AL1859" s="1">
        <f>7.647*100000000</f>
        <v>764700000</v>
      </c>
      <c r="AM1859" s="8">
        <f t="shared" ref="AM1859:AM1922" si="923">(AL1859-AP1859)/AP1859</f>
        <v>0.40544017643815478</v>
      </c>
      <c r="AN1859" s="6" t="s">
        <v>11733</v>
      </c>
      <c r="AO1859" s="6" t="str">
        <f t="shared" si="907"/>
        <v>=5.441*100000000</v>
      </c>
      <c r="AP1859" s="1">
        <f>5.441*100000000</f>
        <v>544100000</v>
      </c>
      <c r="AQ1859" s="8">
        <f t="shared" ref="AQ1859:AQ1922" si="924">(AP1859-AT1859)/AT1859</f>
        <v>0.79748926329699377</v>
      </c>
      <c r="AR1859" s="6" t="s">
        <v>5304</v>
      </c>
      <c r="AS1859" s="6" t="str">
        <f t="shared" si="908"/>
        <v>=3.027*100000000</v>
      </c>
      <c r="AT1859" s="1">
        <f>3.027*100000000</f>
        <v>302700000</v>
      </c>
      <c r="AU1859" s="8">
        <f t="shared" ref="AU1859:AU1922" si="925">(AT1859-AX1859)/AX1859</f>
        <v>1.0139720558882235</v>
      </c>
      <c r="AV1859" s="6" t="s">
        <v>6598</v>
      </c>
      <c r="AW1859" s="6" t="str">
        <f t="shared" si="909"/>
        <v>=1.503*100000000</v>
      </c>
      <c r="AX1859" s="1">
        <f>1.503*100000000</f>
        <v>150300000</v>
      </c>
      <c r="AY1859" s="10">
        <f t="shared" ref="AY1859:AY1922" si="926">(AX1859-BB1859)/BB1859</f>
        <v>-0.77563815494849975</v>
      </c>
      <c r="AZ1859" s="6" t="s">
        <v>8966</v>
      </c>
      <c r="BA1859" s="6" t="str">
        <f t="shared" si="910"/>
        <v>=6.699*100000000</v>
      </c>
      <c r="BB1859" s="1">
        <f>6.699*100000000</f>
        <v>669900000</v>
      </c>
      <c r="BC1859" s="8">
        <f t="shared" ref="BC1859:BC1922" si="927">(BB1859-BF1859)/BF1859</f>
        <v>0.37641257448119991</v>
      </c>
      <c r="BD1859" s="6" t="s">
        <v>13733</v>
      </c>
      <c r="BE1859" s="6" t="str">
        <f t="shared" si="911"/>
        <v>=4.867*100000000</v>
      </c>
      <c r="BF1859" s="1">
        <f>4.867*100000000</f>
        <v>486700000</v>
      </c>
      <c r="BG1859" s="8">
        <f t="shared" ref="BG1859:BG1922" si="928">(BF1859-BJ1859)/BJ1859</f>
        <v>0.63431833445265273</v>
      </c>
      <c r="BH1859" s="6" t="s">
        <v>1223</v>
      </c>
      <c r="BI1859" s="6" t="str">
        <f t="shared" si="912"/>
        <v>=2.978*100000000</v>
      </c>
      <c r="BJ1859" s="1">
        <f>2.978*100000000</f>
        <v>297800000</v>
      </c>
      <c r="BK1859" s="6" t="s">
        <v>3085</v>
      </c>
      <c r="BL1859" s="1" t="str">
        <f t="shared" si="914"/>
        <v>=1.424*100000000</v>
      </c>
      <c r="BM1859" s="16">
        <f t="shared" ref="BM1859:BM1922" si="929">(BJ1859-BN1859)/BN1859</f>
        <v>1.0912921348314606</v>
      </c>
      <c r="BN1859" s="1">
        <f>1.424*100000000</f>
        <v>142400000</v>
      </c>
    </row>
    <row r="1860" spans="1:66">
      <c r="A1860" s="18"/>
      <c r="B1860">
        <v>603659</v>
      </c>
      <c r="C1860" t="s">
        <v>58</v>
      </c>
      <c r="D1860" s="6" t="s">
        <v>16819</v>
      </c>
      <c r="E1860" s="7" t="str">
        <f t="shared" si="913"/>
        <v>=20.29*100000000</v>
      </c>
      <c r="F1860" s="1">
        <f>20.29*100000000</f>
        <v>2029000000</v>
      </c>
      <c r="G1860" s="8">
        <f t="shared" si="915"/>
        <v>0.38592896174863389</v>
      </c>
      <c r="H1860" s="6" t="s">
        <v>11237</v>
      </c>
      <c r="I1860" s="6" t="str">
        <f t="shared" si="899"/>
        <v>=14.64*100000000</v>
      </c>
      <c r="J1860" s="1">
        <f>14.64*100000000</f>
        <v>1464000000</v>
      </c>
      <c r="K1860" s="10">
        <f t="shared" si="916"/>
        <v>0.59286258296159267</v>
      </c>
      <c r="L1860" s="6" t="s">
        <v>4559</v>
      </c>
      <c r="M1860" s="6" t="str">
        <f t="shared" si="900"/>
        <v>=9.191*100000000</v>
      </c>
      <c r="N1860" s="1">
        <f>9.191*100000000</f>
        <v>919100000.00000012</v>
      </c>
      <c r="O1860" s="8">
        <f t="shared" si="917"/>
        <v>1.330375253549696</v>
      </c>
      <c r="P1860" s="6" t="s">
        <v>16820</v>
      </c>
      <c r="Q1860" s="6" t="str">
        <f t="shared" si="901"/>
        <v>=3.944*100000000</v>
      </c>
      <c r="R1860" s="11">
        <f>3.944*100000000</f>
        <v>394400000</v>
      </c>
      <c r="S1860" s="8">
        <f t="shared" si="918"/>
        <v>-0.51637032495401591</v>
      </c>
      <c r="T1860" s="6" t="s">
        <v>16821</v>
      </c>
      <c r="U1860" s="6" t="str">
        <f t="shared" si="902"/>
        <v>=8.155*100000000</v>
      </c>
      <c r="V1860" s="1">
        <f>8.155*100000000</f>
        <v>815499999.99999988</v>
      </c>
      <c r="W1860" s="8">
        <f t="shared" si="919"/>
        <v>0.59308458683336562</v>
      </c>
      <c r="X1860" s="6" t="s">
        <v>16822</v>
      </c>
      <c r="Y1860" s="6" t="str">
        <f t="shared" si="903"/>
        <v>=5.119*100000000</v>
      </c>
      <c r="Z1860" s="1">
        <f>5.119*100000000</f>
        <v>511900000</v>
      </c>
      <c r="AA1860" s="8">
        <f t="shared" si="920"/>
        <v>1.2055148642826365</v>
      </c>
      <c r="AB1860" s="6" t="s">
        <v>7894</v>
      </c>
      <c r="AC1860" s="6" t="str">
        <f t="shared" si="904"/>
        <v>=2.321*100000000</v>
      </c>
      <c r="AD1860" s="1">
        <f>2.321*100000000</f>
        <v>232100000.00000003</v>
      </c>
      <c r="AE1860" s="8">
        <f t="shared" si="921"/>
        <v>1.1470860314523592</v>
      </c>
      <c r="AF1860" s="6" t="s">
        <v>8532</v>
      </c>
      <c r="AG1860" s="6" t="str">
        <f t="shared" si="905"/>
        <v>=1.081*100000000</v>
      </c>
      <c r="AH1860" s="1">
        <f>1.081*100000000</f>
        <v>108100000</v>
      </c>
      <c r="AI1860" s="8">
        <f t="shared" si="922"/>
        <v>-0.85939125910509884</v>
      </c>
      <c r="AJ1860" s="6" t="s">
        <v>10739</v>
      </c>
      <c r="AK1860" s="6" t="str">
        <f t="shared" si="906"/>
        <v>=7.688*100000000</v>
      </c>
      <c r="AL1860" s="1">
        <f>7.688*100000000</f>
        <v>768800000</v>
      </c>
      <c r="AM1860" s="8">
        <f t="shared" si="923"/>
        <v>0.40651298938894986</v>
      </c>
      <c r="AN1860" s="6" t="s">
        <v>2964</v>
      </c>
      <c r="AO1860" s="6" t="str">
        <f t="shared" si="907"/>
        <v>=5.466*100000000</v>
      </c>
      <c r="AP1860" s="1">
        <f>5.466*100000000</f>
        <v>546600000</v>
      </c>
      <c r="AQ1860" s="8">
        <f t="shared" si="924"/>
        <v>0.79389563505086969</v>
      </c>
      <c r="AR1860" s="6" t="s">
        <v>16823</v>
      </c>
      <c r="AS1860" s="6" t="str">
        <f t="shared" si="908"/>
        <v>=3.047*100000000</v>
      </c>
      <c r="AT1860" s="1">
        <f>3.047*100000000</f>
        <v>304700000</v>
      </c>
      <c r="AU1860" s="8">
        <f t="shared" si="925"/>
        <v>1.0059249506254115</v>
      </c>
      <c r="AV1860" s="6" t="s">
        <v>7717</v>
      </c>
      <c r="AW1860" s="6" t="str">
        <f t="shared" si="909"/>
        <v>=1.519*100000000</v>
      </c>
      <c r="AX1860" s="1">
        <f>1.519*100000000</f>
        <v>151900000</v>
      </c>
      <c r="AY1860" s="10">
        <f t="shared" si="926"/>
        <v>-0.77243445692883894</v>
      </c>
      <c r="AZ1860" s="6" t="s">
        <v>10251</v>
      </c>
      <c r="BA1860" s="6" t="str">
        <f t="shared" si="910"/>
        <v>=6.675*100000000</v>
      </c>
      <c r="BB1860" s="1">
        <f>6.675*100000000</f>
        <v>667500000</v>
      </c>
      <c r="BC1860" s="8">
        <f t="shared" si="927"/>
        <v>0.31371777209210772</v>
      </c>
      <c r="BD1860" s="6" t="s">
        <v>105</v>
      </c>
      <c r="BE1860" s="6" t="str">
        <f t="shared" si="911"/>
        <v>=5.081*100000000</v>
      </c>
      <c r="BF1860" s="1">
        <f>5.081*100000000</f>
        <v>508100000.00000006</v>
      </c>
      <c r="BG1860" s="8">
        <f t="shared" si="928"/>
        <v>0.62644046094750339</v>
      </c>
      <c r="BH1860" s="6" t="s">
        <v>13160</v>
      </c>
      <c r="BI1860" s="6" t="str">
        <f t="shared" si="912"/>
        <v>=3.124*100000000</v>
      </c>
      <c r="BJ1860" s="1">
        <f>3.124*100000000</f>
        <v>312400000</v>
      </c>
      <c r="BK1860" s="6" t="s">
        <v>11266</v>
      </c>
      <c r="BL1860" s="1" t="str">
        <f t="shared" si="914"/>
        <v>=1.575*100000000</v>
      </c>
      <c r="BM1860" s="16">
        <f t="shared" si="929"/>
        <v>0.98349206349206353</v>
      </c>
      <c r="BN1860" s="1">
        <f>1.575*100000000</f>
        <v>157500000</v>
      </c>
    </row>
    <row r="1861" spans="1:66">
      <c r="A1861" s="19"/>
      <c r="B1861">
        <v>603659</v>
      </c>
      <c r="C1861" t="s">
        <v>68</v>
      </c>
      <c r="D1861" s="6" t="s">
        <v>3862</v>
      </c>
      <c r="E1861" s="7" t="str">
        <f t="shared" si="913"/>
        <v>=17.83*100000000</v>
      </c>
      <c r="F1861" s="1">
        <f>17.83*100000000</f>
        <v>1782999999.9999998</v>
      </c>
      <c r="G1861" s="8">
        <f t="shared" si="915"/>
        <v>0.43558776167471802</v>
      </c>
      <c r="H1861" s="6" t="s">
        <v>1896</v>
      </c>
      <c r="I1861" s="6" t="str">
        <f t="shared" si="899"/>
        <v>=12.42*100000000</v>
      </c>
      <c r="J1861" s="1">
        <f>12.42*100000000</f>
        <v>1242000000</v>
      </c>
      <c r="K1861" s="10">
        <f t="shared" si="916"/>
        <v>0.60030923850019324</v>
      </c>
      <c r="L1861" s="6" t="s">
        <v>16090</v>
      </c>
      <c r="M1861" s="6" t="str">
        <f t="shared" si="900"/>
        <v>=7.761*100000000</v>
      </c>
      <c r="N1861" s="1">
        <f>7.761*100000000</f>
        <v>776100000</v>
      </c>
      <c r="O1861" s="8">
        <f t="shared" si="917"/>
        <v>1.316025067144136</v>
      </c>
      <c r="P1861" s="6" t="s">
        <v>9237</v>
      </c>
      <c r="Q1861" s="6" t="str">
        <f t="shared" si="901"/>
        <v>=3.351*100000000</v>
      </c>
      <c r="R1861" s="11">
        <f>3.351*100000000</f>
        <v>335100000</v>
      </c>
      <c r="S1861" s="8">
        <f t="shared" si="918"/>
        <v>-0.53900123813454393</v>
      </c>
      <c r="T1861" s="6" t="s">
        <v>16824</v>
      </c>
      <c r="U1861" s="6" t="str">
        <f t="shared" si="902"/>
        <v>=7.269*100000000</v>
      </c>
      <c r="V1861" s="1">
        <f>7.269*100000000</f>
        <v>726900000</v>
      </c>
      <c r="W1861" s="8">
        <f t="shared" si="919"/>
        <v>0.61497445012219487</v>
      </c>
      <c r="X1861" s="6" t="s">
        <v>11230</v>
      </c>
      <c r="Y1861" s="6" t="str">
        <f t="shared" si="903"/>
        <v>=4.501*100000000</v>
      </c>
      <c r="Z1861" s="1">
        <f>4.501*100000000</f>
        <v>450100000.00000006</v>
      </c>
      <c r="AA1861" s="8">
        <f t="shared" si="920"/>
        <v>1.1181176470588239</v>
      </c>
      <c r="AB1861" s="6" t="s">
        <v>4024</v>
      </c>
      <c r="AC1861" s="6" t="str">
        <f t="shared" si="904"/>
        <v>=2.125*100000000</v>
      </c>
      <c r="AD1861" s="1">
        <f>2.125*100000000</f>
        <v>212500000</v>
      </c>
      <c r="AE1861" s="8">
        <f t="shared" si="921"/>
        <v>1.243691268081512</v>
      </c>
      <c r="AF1861" s="7" t="s">
        <v>12068</v>
      </c>
      <c r="AG1861" s="6" t="str">
        <f t="shared" si="905"/>
        <v>=9471*10000</v>
      </c>
      <c r="AH1861" s="1">
        <f>9471*10000</f>
        <v>94710000</v>
      </c>
      <c r="AI1861" s="8">
        <f t="shared" si="922"/>
        <v>-0.86053600353408921</v>
      </c>
      <c r="AJ1861" s="6" t="s">
        <v>16825</v>
      </c>
      <c r="AK1861" s="6" t="str">
        <f t="shared" si="906"/>
        <v>=6.791*100000000</v>
      </c>
      <c r="AL1861" s="1">
        <f>6.791*100000000</f>
        <v>679100000</v>
      </c>
      <c r="AM1861" s="8">
        <f t="shared" si="923"/>
        <v>0.43877118644067797</v>
      </c>
      <c r="AN1861" s="6" t="s">
        <v>14002</v>
      </c>
      <c r="AO1861" s="6" t="str">
        <f t="shared" si="907"/>
        <v>=4.720*100000000</v>
      </c>
      <c r="AP1861" s="1">
        <f>4.72*100000000</f>
        <v>472000000</v>
      </c>
      <c r="AQ1861" s="8">
        <f t="shared" si="924"/>
        <v>0.78449905482041593</v>
      </c>
      <c r="AR1861" s="6" t="s">
        <v>12024</v>
      </c>
      <c r="AS1861" s="6" t="str">
        <f t="shared" si="908"/>
        <v>=2.645*100000000</v>
      </c>
      <c r="AT1861" s="1">
        <f>2.645*100000000</f>
        <v>264500000</v>
      </c>
      <c r="AU1861" s="8">
        <f t="shared" si="925"/>
        <v>1.0252679938744258</v>
      </c>
      <c r="AV1861" s="6" t="s">
        <v>15607</v>
      </c>
      <c r="AW1861" s="6" t="str">
        <f t="shared" si="909"/>
        <v>=1.306*100000000</v>
      </c>
      <c r="AX1861" s="1">
        <f>1.306*100000000</f>
        <v>130600000</v>
      </c>
      <c r="AY1861" s="10">
        <f t="shared" si="926"/>
        <v>-0.78258698185450304</v>
      </c>
      <c r="AZ1861" s="6" t="s">
        <v>16826</v>
      </c>
      <c r="BA1861" s="6" t="str">
        <f t="shared" si="910"/>
        <v>=6.007*100000000</v>
      </c>
      <c r="BB1861" s="1">
        <f>6.007*100000000</f>
        <v>600700000</v>
      </c>
      <c r="BC1861" s="8">
        <f t="shared" si="927"/>
        <v>0.39405894639127409</v>
      </c>
      <c r="BD1861" s="6" t="s">
        <v>12205</v>
      </c>
      <c r="BE1861" s="6" t="str">
        <f t="shared" si="911"/>
        <v>=4.309*100000000</v>
      </c>
      <c r="BF1861" s="1">
        <f>4.309*100000000</f>
        <v>430900000</v>
      </c>
      <c r="BG1861" s="8">
        <f t="shared" si="928"/>
        <v>0.66434916956353807</v>
      </c>
      <c r="BH1861" s="6" t="s">
        <v>3480</v>
      </c>
      <c r="BI1861" s="6" t="str">
        <f t="shared" si="912"/>
        <v>=2.589*100000000</v>
      </c>
      <c r="BJ1861" s="1">
        <f>2.589*100000000</f>
        <v>258900000</v>
      </c>
      <c r="BK1861" s="6" t="s">
        <v>10489</v>
      </c>
      <c r="BL1861" s="1" t="str">
        <f t="shared" si="914"/>
        <v>=1.295*100000000</v>
      </c>
      <c r="BM1861" s="16">
        <f t="shared" si="929"/>
        <v>0.99922779922779925</v>
      </c>
      <c r="BN1861" s="1">
        <f>1.295*100000000</f>
        <v>129500000</v>
      </c>
    </row>
    <row r="1862" spans="1:66">
      <c r="A1862" s="17">
        <v>467</v>
      </c>
      <c r="B1862">
        <v>603668</v>
      </c>
      <c r="C1862" t="s">
        <v>31</v>
      </c>
      <c r="D1862" s="6" t="s">
        <v>9568</v>
      </c>
      <c r="E1862" s="7" t="str">
        <f t="shared" si="913"/>
        <v>=54.19*100000000</v>
      </c>
      <c r="F1862" s="1">
        <f>54.19*100000000</f>
        <v>5419000000</v>
      </c>
      <c r="G1862" s="8">
        <f t="shared" si="915"/>
        <v>0.35475000000000001</v>
      </c>
      <c r="H1862" s="6" t="s">
        <v>16827</v>
      </c>
      <c r="I1862" s="6" t="str">
        <f t="shared" si="899"/>
        <v>=40.00*100000000</v>
      </c>
      <c r="J1862" s="1">
        <f>40*100000000</f>
        <v>4000000000</v>
      </c>
      <c r="K1862" s="10">
        <f t="shared" si="916"/>
        <v>0.64609053497942381</v>
      </c>
      <c r="L1862" s="6" t="s">
        <v>8178</v>
      </c>
      <c r="M1862" s="6" t="str">
        <f t="shared" si="900"/>
        <v>=24.30*100000000</v>
      </c>
      <c r="N1862" s="1">
        <f>24.3*100000000</f>
        <v>2430000000</v>
      </c>
      <c r="O1862" s="8">
        <f t="shared" si="917"/>
        <v>1.5603203034453692</v>
      </c>
      <c r="P1862" s="6" t="s">
        <v>16828</v>
      </c>
      <c r="Q1862" s="6" t="str">
        <f t="shared" si="901"/>
        <v>=9.491*100000000</v>
      </c>
      <c r="R1862" s="11">
        <f>9.491*100000000</f>
        <v>949100000</v>
      </c>
      <c r="S1862" s="8">
        <f t="shared" si="918"/>
        <v>-0.73925824175824173</v>
      </c>
      <c r="T1862" s="6" t="s">
        <v>5110</v>
      </c>
      <c r="U1862" s="6" t="str">
        <f t="shared" si="902"/>
        <v>=36.40*100000000</v>
      </c>
      <c r="V1862" s="1">
        <f>36.4*100000000</f>
        <v>3640000000</v>
      </c>
      <c r="W1862" s="8">
        <f t="shared" si="919"/>
        <v>0.31123919308357351</v>
      </c>
      <c r="X1862" s="6" t="s">
        <v>8994</v>
      </c>
      <c r="Y1862" s="6" t="str">
        <f t="shared" si="903"/>
        <v>=27.76*100000000</v>
      </c>
      <c r="Z1862" s="1">
        <f>27.76*100000000</f>
        <v>2776000000</v>
      </c>
      <c r="AA1862" s="8">
        <f t="shared" si="920"/>
        <v>0.59083094555873927</v>
      </c>
      <c r="AB1862" s="6" t="s">
        <v>328</v>
      </c>
      <c r="AC1862" s="6" t="str">
        <f t="shared" si="904"/>
        <v>=17.45*100000000</v>
      </c>
      <c r="AD1862" s="1">
        <f>17.45*100000000</f>
        <v>1745000000</v>
      </c>
      <c r="AE1862" s="8">
        <f t="shared" si="921"/>
        <v>1.1208070004861448</v>
      </c>
      <c r="AF1862" s="6" t="s">
        <v>15931</v>
      </c>
      <c r="AG1862" s="6" t="str">
        <f t="shared" si="905"/>
        <v>=8.228*100000000</v>
      </c>
      <c r="AH1862" s="1">
        <f>8.228*100000000</f>
        <v>822800000</v>
      </c>
      <c r="AI1862" s="8">
        <f t="shared" si="922"/>
        <v>-0.66112026359143328</v>
      </c>
      <c r="AJ1862" s="6" t="s">
        <v>16829</v>
      </c>
      <c r="AK1862" s="6" t="str">
        <f t="shared" si="906"/>
        <v>=24.28*100000000</v>
      </c>
      <c r="AL1862" s="1">
        <f>24.28*100000000</f>
        <v>2428000000</v>
      </c>
      <c r="AM1862" s="8">
        <f t="shared" si="923"/>
        <v>0.47419550698239221</v>
      </c>
      <c r="AN1862" s="6" t="s">
        <v>8123</v>
      </c>
      <c r="AO1862" s="6" t="str">
        <f t="shared" si="907"/>
        <v>=16.47*100000000</v>
      </c>
      <c r="AP1862" s="1">
        <f>16.47*100000000</f>
        <v>1647000000</v>
      </c>
      <c r="AQ1862" s="8">
        <f t="shared" si="924"/>
        <v>0.92473997896459037</v>
      </c>
      <c r="AR1862" s="6" t="s">
        <v>16830</v>
      </c>
      <c r="AS1862" s="6" t="str">
        <f t="shared" si="908"/>
        <v>=8.557*100000000</v>
      </c>
      <c r="AT1862" s="1">
        <f>8.557*100000000</f>
        <v>855700000</v>
      </c>
      <c r="AU1862" s="8">
        <f t="shared" si="925"/>
        <v>1.4097437341593917</v>
      </c>
      <c r="AV1862" s="6" t="s">
        <v>16831</v>
      </c>
      <c r="AW1862" s="6" t="str">
        <f t="shared" si="909"/>
        <v>=3.551*100000000</v>
      </c>
      <c r="AX1862" s="1">
        <f>3.551*100000000</f>
        <v>355100000</v>
      </c>
      <c r="AY1862" s="10">
        <f t="shared" si="926"/>
        <v>-0.79282380396732788</v>
      </c>
      <c r="AZ1862" s="6" t="s">
        <v>5990</v>
      </c>
      <c r="BA1862" s="6" t="str">
        <f t="shared" si="910"/>
        <v>=17.14*100000000</v>
      </c>
      <c r="BB1862" s="1">
        <f>17.14*100000000</f>
        <v>1714000000</v>
      </c>
      <c r="BC1862" s="8">
        <f t="shared" si="927"/>
        <v>0.4403361344537815</v>
      </c>
      <c r="BD1862" s="6" t="s">
        <v>6856</v>
      </c>
      <c r="BE1862" s="6" t="str">
        <f t="shared" si="911"/>
        <v>=11.90*100000000</v>
      </c>
      <c r="BF1862" s="1">
        <f>11.9*100000000</f>
        <v>1190000000</v>
      </c>
      <c r="BG1862" s="8">
        <f t="shared" si="928"/>
        <v>0.55963302752293576</v>
      </c>
      <c r="BH1862" s="6" t="s">
        <v>12333</v>
      </c>
      <c r="BI1862" s="6" t="str">
        <f t="shared" si="912"/>
        <v>=7.630*100000000</v>
      </c>
      <c r="BJ1862" s="1">
        <f>7.63*100000000</f>
        <v>763000000</v>
      </c>
      <c r="BK1862" s="6" t="s">
        <v>11857</v>
      </c>
      <c r="BL1862" s="1" t="str">
        <f t="shared" si="914"/>
        <v>=3.050*100000000</v>
      </c>
      <c r="BM1862" s="16">
        <f t="shared" si="929"/>
        <v>1.5016393442622951</v>
      </c>
      <c r="BN1862" s="1">
        <f>3.05*100000000</f>
        <v>305000000</v>
      </c>
    </row>
    <row r="1863" spans="1:66">
      <c r="A1863" s="18"/>
      <c r="B1863">
        <v>603668</v>
      </c>
      <c r="C1863" t="s">
        <v>48</v>
      </c>
      <c r="D1863" s="6" t="s">
        <v>10142</v>
      </c>
      <c r="E1863" s="7" t="str">
        <f t="shared" si="913"/>
        <v>=1.613*100000000</v>
      </c>
      <c r="F1863" s="1">
        <f>1.613*100000000</f>
        <v>161300000</v>
      </c>
      <c r="G1863" s="8">
        <f t="shared" si="915"/>
        <v>6.1184210526315792E-2</v>
      </c>
      <c r="H1863" s="6" t="s">
        <v>3676</v>
      </c>
      <c r="I1863" s="6" t="str">
        <f t="shared" si="899"/>
        <v>=1.520*100000000</v>
      </c>
      <c r="J1863" s="1">
        <f>1.52*100000000</f>
        <v>152000000</v>
      </c>
      <c r="K1863" s="10">
        <f t="shared" si="916"/>
        <v>0.38056312443233425</v>
      </c>
      <c r="L1863" s="6" t="s">
        <v>7720</v>
      </c>
      <c r="M1863" s="6" t="str">
        <f t="shared" si="900"/>
        <v>=1.101*100000000</v>
      </c>
      <c r="N1863" s="1">
        <f>1.101*100000000</f>
        <v>110100000</v>
      </c>
      <c r="O1863" s="8">
        <f t="shared" si="917"/>
        <v>1.4741573033707864</v>
      </c>
      <c r="P1863" s="7" t="s">
        <v>11430</v>
      </c>
      <c r="Q1863" s="6" t="str">
        <f t="shared" si="901"/>
        <v>=4450*10000</v>
      </c>
      <c r="R1863" s="11">
        <f>4450*10000</f>
        <v>44500000</v>
      </c>
      <c r="S1863" s="8">
        <f t="shared" si="918"/>
        <v>-0.64960629921259838</v>
      </c>
      <c r="T1863" s="6" t="s">
        <v>6251</v>
      </c>
      <c r="U1863" s="6" t="str">
        <f t="shared" si="902"/>
        <v>=1.270*100000000</v>
      </c>
      <c r="V1863" s="1">
        <f>1.27*100000000</f>
        <v>127000000</v>
      </c>
      <c r="W1863" s="8">
        <f t="shared" si="919"/>
        <v>-4.6546546546546545E-2</v>
      </c>
      <c r="X1863" s="6" t="s">
        <v>1748</v>
      </c>
      <c r="Y1863" s="6" t="str">
        <f t="shared" si="903"/>
        <v>=1.332*100000000</v>
      </c>
      <c r="Z1863" s="1">
        <f>1.332*100000000</f>
        <v>133200000</v>
      </c>
      <c r="AA1863" s="8">
        <f t="shared" si="920"/>
        <v>0.54901732759623212</v>
      </c>
      <c r="AB1863" s="7" t="s">
        <v>16832</v>
      </c>
      <c r="AC1863" s="6" t="str">
        <f t="shared" si="904"/>
        <v>=8599*10000</v>
      </c>
      <c r="AD1863" s="1">
        <f>8599*10000</f>
        <v>85990000</v>
      </c>
      <c r="AE1863" s="8">
        <f t="shared" si="921"/>
        <v>1.6523750771128933</v>
      </c>
      <c r="AF1863" s="7" t="s">
        <v>11346</v>
      </c>
      <c r="AG1863" s="6" t="str">
        <f t="shared" si="905"/>
        <v>=3242*10000</v>
      </c>
      <c r="AH1863" s="1">
        <f>3242*10000</f>
        <v>32420000</v>
      </c>
      <c r="AI1863" s="8">
        <f t="shared" si="922"/>
        <v>-0.62117317130170602</v>
      </c>
      <c r="AJ1863" s="7" t="s">
        <v>16833</v>
      </c>
      <c r="AK1863" s="6" t="str">
        <f t="shared" si="906"/>
        <v>=8558*10000</v>
      </c>
      <c r="AL1863" s="1">
        <f>8558*10000</f>
        <v>85580000</v>
      </c>
      <c r="AM1863" s="8">
        <f t="shared" si="923"/>
        <v>-0.11645674168903572</v>
      </c>
      <c r="AN1863" s="7" t="s">
        <v>6097</v>
      </c>
      <c r="AO1863" s="6" t="str">
        <f t="shared" si="907"/>
        <v>=9686*10000</v>
      </c>
      <c r="AP1863" s="1">
        <f>9686*10000</f>
        <v>96860000</v>
      </c>
      <c r="AQ1863" s="8">
        <f t="shared" si="924"/>
        <v>0.5306573957016435</v>
      </c>
      <c r="AR1863" s="7" t="s">
        <v>9787</v>
      </c>
      <c r="AS1863" s="6" t="str">
        <f t="shared" si="908"/>
        <v>=6328*10000</v>
      </c>
      <c r="AT1863" s="1">
        <f>6328*10000</f>
        <v>63280000</v>
      </c>
      <c r="AU1863" s="8">
        <f t="shared" si="925"/>
        <v>3.168642951251647</v>
      </c>
      <c r="AV1863" s="7" t="s">
        <v>3281</v>
      </c>
      <c r="AW1863" s="6" t="str">
        <f t="shared" si="909"/>
        <v>=1518*10000</v>
      </c>
      <c r="AX1863" s="1">
        <f>1518*10000</f>
        <v>15180000</v>
      </c>
      <c r="AY1863" s="10">
        <f t="shared" si="926"/>
        <v>-0.83076923076923082</v>
      </c>
      <c r="AZ1863" s="7" t="s">
        <v>16834</v>
      </c>
      <c r="BA1863" s="6" t="str">
        <f t="shared" si="910"/>
        <v>=8970*10000</v>
      </c>
      <c r="BB1863" s="1">
        <f>8970*10000</f>
        <v>89700000</v>
      </c>
      <c r="BC1863" s="8">
        <f t="shared" si="927"/>
        <v>9.2303945445689234E-2</v>
      </c>
      <c r="BD1863" s="7" t="s">
        <v>16835</v>
      </c>
      <c r="BE1863" s="6" t="str">
        <f t="shared" si="911"/>
        <v>=8212*10000</v>
      </c>
      <c r="BF1863" s="1">
        <f>8212*10000</f>
        <v>82120000</v>
      </c>
      <c r="BG1863" s="8">
        <f t="shared" si="928"/>
        <v>0.38272436437110624</v>
      </c>
      <c r="BH1863" s="7" t="s">
        <v>16836</v>
      </c>
      <c r="BI1863" s="6" t="str">
        <f t="shared" si="912"/>
        <v>=5939*10000</v>
      </c>
      <c r="BJ1863" s="1">
        <f>5939*10000</f>
        <v>59390000</v>
      </c>
      <c r="BK1863" s="7" t="s">
        <v>4934</v>
      </c>
      <c r="BL1863" s="1" t="str">
        <f t="shared" si="914"/>
        <v>=2078*10000</v>
      </c>
      <c r="BM1863" s="16">
        <f t="shared" si="929"/>
        <v>1.858036573628489</v>
      </c>
      <c r="BN1863" s="1">
        <f>2078*10000</f>
        <v>20780000</v>
      </c>
    </row>
    <row r="1864" spans="1:66">
      <c r="A1864" s="18"/>
      <c r="B1864">
        <v>603668</v>
      </c>
      <c r="C1864" t="s">
        <v>58</v>
      </c>
      <c r="D1864" s="6" t="s">
        <v>2223</v>
      </c>
      <c r="E1864" s="7" t="str">
        <f t="shared" si="913"/>
        <v>=1.586*100000000</v>
      </c>
      <c r="F1864" s="1">
        <f>1.586*100000000</f>
        <v>158600000</v>
      </c>
      <c r="G1864" s="8">
        <f t="shared" si="915"/>
        <v>5.8744993324432573E-2</v>
      </c>
      <c r="H1864" s="6" t="s">
        <v>1462</v>
      </c>
      <c r="I1864" s="6" t="str">
        <f t="shared" si="899"/>
        <v>=1.498*100000000</v>
      </c>
      <c r="J1864" s="1">
        <f>1.498*100000000</f>
        <v>149800000</v>
      </c>
      <c r="K1864" s="10">
        <f t="shared" si="916"/>
        <v>0.36554238833181402</v>
      </c>
      <c r="L1864" s="6" t="s">
        <v>4961</v>
      </c>
      <c r="M1864" s="6" t="str">
        <f t="shared" si="900"/>
        <v>=1.097*100000000</v>
      </c>
      <c r="N1864" s="1">
        <f>1.097*100000000</f>
        <v>109700000</v>
      </c>
      <c r="O1864" s="8">
        <f t="shared" si="917"/>
        <v>1.4835861444419289</v>
      </c>
      <c r="P1864" s="7" t="s">
        <v>5971</v>
      </c>
      <c r="Q1864" s="6" t="str">
        <f t="shared" si="901"/>
        <v>=4417*10000</v>
      </c>
      <c r="R1864" s="11">
        <f>4417*10000</f>
        <v>44170000</v>
      </c>
      <c r="S1864" s="8">
        <f t="shared" si="918"/>
        <v>-0.65110584518167458</v>
      </c>
      <c r="T1864" s="6" t="s">
        <v>16837</v>
      </c>
      <c r="U1864" s="6" t="str">
        <f t="shared" si="902"/>
        <v>=1.266*100000000</v>
      </c>
      <c r="V1864" s="1">
        <f>1.266*100000000</f>
        <v>126600000</v>
      </c>
      <c r="W1864" s="8">
        <f t="shared" si="919"/>
        <v>2.3752969121141323E-3</v>
      </c>
      <c r="X1864" s="6" t="s">
        <v>7257</v>
      </c>
      <c r="Y1864" s="6" t="str">
        <f t="shared" si="903"/>
        <v>=1.263*100000000</v>
      </c>
      <c r="Z1864" s="1">
        <f>1.263*100000000</f>
        <v>126299999.99999999</v>
      </c>
      <c r="AA1864" s="8">
        <f t="shared" si="920"/>
        <v>0.55772076961026129</v>
      </c>
      <c r="AB1864" s="7" t="s">
        <v>1696</v>
      </c>
      <c r="AC1864" s="6" t="str">
        <f t="shared" si="904"/>
        <v>=8108*10000</v>
      </c>
      <c r="AD1864" s="1">
        <f>8108*10000</f>
        <v>81080000</v>
      </c>
      <c r="AE1864" s="8">
        <f t="shared" si="921"/>
        <v>1.8429172510518934</v>
      </c>
      <c r="AF1864" s="7" t="s">
        <v>9783</v>
      </c>
      <c r="AG1864" s="6" t="str">
        <f t="shared" si="905"/>
        <v>=2852*10000</v>
      </c>
      <c r="AH1864" s="1">
        <f>2852*10000</f>
        <v>28520000</v>
      </c>
      <c r="AI1864" s="8">
        <f t="shared" si="922"/>
        <v>-0.66383781235266381</v>
      </c>
      <c r="AJ1864" s="7" t="s">
        <v>4591</v>
      </c>
      <c r="AK1864" s="6" t="str">
        <f t="shared" si="906"/>
        <v>=8484*10000</v>
      </c>
      <c r="AL1864" s="1">
        <f>8484*10000</f>
        <v>84840000</v>
      </c>
      <c r="AM1864" s="8">
        <f t="shared" si="923"/>
        <v>-0.11781220754913174</v>
      </c>
      <c r="AN1864" s="7" t="s">
        <v>16838</v>
      </c>
      <c r="AO1864" s="6" t="str">
        <f t="shared" si="907"/>
        <v>=9617*10000</v>
      </c>
      <c r="AP1864" s="1">
        <f>9617*10000</f>
        <v>96170000</v>
      </c>
      <c r="AQ1864" s="8">
        <f t="shared" si="924"/>
        <v>0.53896623459753557</v>
      </c>
      <c r="AR1864" s="7" t="s">
        <v>3192</v>
      </c>
      <c r="AS1864" s="6" t="str">
        <f t="shared" si="908"/>
        <v>=6249*10000</v>
      </c>
      <c r="AT1864" s="1">
        <f>6249*10000</f>
        <v>62490000</v>
      </c>
      <c r="AU1864" s="8">
        <f t="shared" si="925"/>
        <v>3.026417525773196</v>
      </c>
      <c r="AV1864" s="7" t="s">
        <v>4056</v>
      </c>
      <c r="AW1864" s="6" t="str">
        <f t="shared" si="909"/>
        <v>=1552*10000</v>
      </c>
      <c r="AX1864" s="1">
        <f>1552*10000</f>
        <v>15520000</v>
      </c>
      <c r="AY1864" s="10">
        <f t="shared" si="926"/>
        <v>-0.82738293849404965</v>
      </c>
      <c r="AZ1864" s="7" t="s">
        <v>16839</v>
      </c>
      <c r="BA1864" s="6" t="str">
        <f t="shared" si="910"/>
        <v>=8991*10000</v>
      </c>
      <c r="BB1864" s="1">
        <f>8991*10000</f>
        <v>89910000</v>
      </c>
      <c r="BC1864" s="8">
        <f t="shared" si="927"/>
        <v>8.8894271527189053E-2</v>
      </c>
      <c r="BD1864" s="7" t="s">
        <v>16840</v>
      </c>
      <c r="BE1864" s="6" t="str">
        <f t="shared" si="911"/>
        <v>=8257*10000</v>
      </c>
      <c r="BF1864" s="1">
        <f>8257*10000</f>
        <v>82570000</v>
      </c>
      <c r="BG1864" s="8">
        <f t="shared" si="928"/>
        <v>0.38076923076923075</v>
      </c>
      <c r="BH1864" s="7" t="s">
        <v>16841</v>
      </c>
      <c r="BI1864" s="6" t="str">
        <f t="shared" si="912"/>
        <v>=5980*10000</v>
      </c>
      <c r="BJ1864" s="1">
        <f>5980*10000</f>
        <v>59800000</v>
      </c>
      <c r="BK1864" s="7" t="s">
        <v>3283</v>
      </c>
      <c r="BL1864" s="1" t="str">
        <f t="shared" si="914"/>
        <v>=2119*10000</v>
      </c>
      <c r="BM1864" s="16">
        <f t="shared" si="929"/>
        <v>1.8220858895705521</v>
      </c>
      <c r="BN1864" s="1">
        <f>2119*10000</f>
        <v>21190000</v>
      </c>
    </row>
    <row r="1865" spans="1:66">
      <c r="A1865" s="19"/>
      <c r="B1865">
        <v>603668</v>
      </c>
      <c r="C1865" t="s">
        <v>68</v>
      </c>
      <c r="D1865" s="6" t="s">
        <v>10030</v>
      </c>
      <c r="E1865" s="7" t="str">
        <f t="shared" si="913"/>
        <v>=1.318*100000000</v>
      </c>
      <c r="F1865" s="1">
        <f>1.318*100000000</f>
        <v>131800000</v>
      </c>
      <c r="G1865" s="8">
        <f t="shared" si="915"/>
        <v>8.9256198347107435E-2</v>
      </c>
      <c r="H1865" s="6" t="s">
        <v>16424</v>
      </c>
      <c r="I1865" s="6" t="str">
        <f t="shared" si="899"/>
        <v>=1.210*100000000</v>
      </c>
      <c r="J1865" s="1">
        <f>1.21*100000000</f>
        <v>121000000</v>
      </c>
      <c r="K1865" s="10">
        <f t="shared" si="916"/>
        <v>0.37406313876902114</v>
      </c>
      <c r="L1865" s="7" t="s">
        <v>16842</v>
      </c>
      <c r="M1865" s="6" t="str">
        <f t="shared" si="900"/>
        <v>=8806*10000</v>
      </c>
      <c r="N1865" s="1">
        <f>8806*10000</f>
        <v>88060000</v>
      </c>
      <c r="O1865" s="8">
        <f t="shared" si="917"/>
        <v>1.5311871227364184</v>
      </c>
      <c r="P1865" s="7" t="s">
        <v>16843</v>
      </c>
      <c r="Q1865" s="6" t="str">
        <f t="shared" si="901"/>
        <v>=3479*10000</v>
      </c>
      <c r="R1865" s="11">
        <f>3479*10000</f>
        <v>34790000</v>
      </c>
      <c r="S1865" s="8">
        <f t="shared" si="918"/>
        <v>-0.67935483870967739</v>
      </c>
      <c r="T1865" s="6" t="s">
        <v>1995</v>
      </c>
      <c r="U1865" s="6" t="str">
        <f t="shared" si="902"/>
        <v>=1.085*100000000</v>
      </c>
      <c r="V1865" s="1">
        <f>1.085*100000000</f>
        <v>108500000</v>
      </c>
      <c r="W1865" s="8">
        <f t="shared" si="919"/>
        <v>6.7913385826771658E-2</v>
      </c>
      <c r="X1865" s="6" t="s">
        <v>7392</v>
      </c>
      <c r="Y1865" s="6" t="str">
        <f t="shared" si="903"/>
        <v>=1.016*100000000</v>
      </c>
      <c r="Z1865" s="1">
        <f>1.016*100000000</f>
        <v>101600000</v>
      </c>
      <c r="AA1865" s="8">
        <f t="shared" si="920"/>
        <v>0.50540820862349978</v>
      </c>
      <c r="AB1865" s="7" t="s">
        <v>16844</v>
      </c>
      <c r="AC1865" s="6" t="str">
        <f t="shared" si="904"/>
        <v>=6749*10000</v>
      </c>
      <c r="AD1865" s="1">
        <f>6749*10000</f>
        <v>67490000</v>
      </c>
      <c r="AE1865" s="8">
        <f t="shared" si="921"/>
        <v>1.9254442999566537</v>
      </c>
      <c r="AF1865" s="7" t="s">
        <v>8356</v>
      </c>
      <c r="AG1865" s="6" t="str">
        <f t="shared" si="905"/>
        <v>=2307*10000</v>
      </c>
      <c r="AH1865" s="1">
        <f>2307*10000</f>
        <v>23070000</v>
      </c>
      <c r="AI1865" s="8">
        <f t="shared" si="922"/>
        <v>-0.69592724396994865</v>
      </c>
      <c r="AJ1865" s="7" t="s">
        <v>16845</v>
      </c>
      <c r="AK1865" s="6" t="str">
        <f t="shared" si="906"/>
        <v>=7587*10000</v>
      </c>
      <c r="AL1865" s="1">
        <f>7587*10000</f>
        <v>75870000</v>
      </c>
      <c r="AM1865" s="8">
        <f t="shared" si="923"/>
        <v>-9.0941768511861976E-2</v>
      </c>
      <c r="AN1865" s="7" t="s">
        <v>15651</v>
      </c>
      <c r="AO1865" s="6" t="str">
        <f t="shared" si="907"/>
        <v>=8346*10000</v>
      </c>
      <c r="AP1865" s="1">
        <f>8346*10000</f>
        <v>83460000</v>
      </c>
      <c r="AQ1865" s="8">
        <f t="shared" si="924"/>
        <v>0.5637998875772906</v>
      </c>
      <c r="AR1865" s="7" t="s">
        <v>6278</v>
      </c>
      <c r="AS1865" s="6" t="str">
        <f t="shared" si="908"/>
        <v>=5337*10000</v>
      </c>
      <c r="AT1865" s="1">
        <f>5337*10000</f>
        <v>53370000</v>
      </c>
      <c r="AU1865" s="8">
        <f t="shared" si="925"/>
        <v>2.9185022026431717</v>
      </c>
      <c r="AV1865" s="7" t="s">
        <v>16846</v>
      </c>
      <c r="AW1865" s="6" t="str">
        <f t="shared" si="909"/>
        <v>=1362*10000</v>
      </c>
      <c r="AX1865" s="1">
        <f>1362*10000</f>
        <v>13620000</v>
      </c>
      <c r="AY1865" s="10">
        <f t="shared" si="926"/>
        <v>-0.82380336351875805</v>
      </c>
      <c r="AZ1865" s="7" t="s">
        <v>16847</v>
      </c>
      <c r="BA1865" s="6" t="str">
        <f t="shared" si="910"/>
        <v>=7730*10000</v>
      </c>
      <c r="BB1865" s="1">
        <f>7730*10000</f>
        <v>77300000</v>
      </c>
      <c r="BC1865" s="8">
        <f t="shared" si="927"/>
        <v>7.6601671309192196E-2</v>
      </c>
      <c r="BD1865" s="7" t="s">
        <v>16848</v>
      </c>
      <c r="BE1865" s="6" t="str">
        <f t="shared" si="911"/>
        <v>=7180*10000</v>
      </c>
      <c r="BF1865" s="1">
        <f>7180*10000</f>
        <v>71800000</v>
      </c>
      <c r="BG1865" s="8">
        <f t="shared" si="928"/>
        <v>0.41841169498222047</v>
      </c>
      <c r="BH1865" s="7" t="s">
        <v>11141</v>
      </c>
      <c r="BI1865" s="6" t="str">
        <f t="shared" si="912"/>
        <v>=5062*10000</v>
      </c>
      <c r="BJ1865" s="1">
        <f>5062*10000</f>
        <v>50620000</v>
      </c>
      <c r="BK1865" s="7" t="s">
        <v>16849</v>
      </c>
      <c r="BL1865" s="1" t="str">
        <f t="shared" si="914"/>
        <v>=1732*10000</v>
      </c>
      <c r="BM1865" s="16">
        <f t="shared" si="929"/>
        <v>1.9226327944572748</v>
      </c>
      <c r="BN1865" s="1">
        <f>1732*10000</f>
        <v>17320000</v>
      </c>
    </row>
    <row r="1866" spans="1:66">
      <c r="A1866" s="17">
        <v>468</v>
      </c>
      <c r="B1866">
        <v>603677</v>
      </c>
      <c r="C1866" t="s">
        <v>31</v>
      </c>
      <c r="D1866" s="6" t="s">
        <v>1802</v>
      </c>
      <c r="E1866" s="7" t="str">
        <f t="shared" si="913"/>
        <v>=20.05*100000000</v>
      </c>
      <c r="F1866" s="1">
        <f>20.05*100000000</f>
        <v>2005000000</v>
      </c>
      <c r="G1866" s="8">
        <f t="shared" si="915"/>
        <v>0.37990364762560219</v>
      </c>
      <c r="H1866" s="6" t="s">
        <v>7428</v>
      </c>
      <c r="I1866" s="6" t="str">
        <f t="shared" si="899"/>
        <v>=14.53*100000000</v>
      </c>
      <c r="J1866" s="1">
        <f>14.53*100000000</f>
        <v>1453000000</v>
      </c>
      <c r="K1866" s="10">
        <f t="shared" si="916"/>
        <v>0.47094553553350882</v>
      </c>
      <c r="L1866" s="6" t="s">
        <v>11792</v>
      </c>
      <c r="M1866" s="6" t="str">
        <f t="shared" si="900"/>
        <v>=9.878*100000000</v>
      </c>
      <c r="N1866" s="1">
        <f>9.878*100000000</f>
        <v>987800000</v>
      </c>
      <c r="O1866" s="8">
        <f t="shared" si="917"/>
        <v>1.0171533591995099</v>
      </c>
      <c r="P1866" s="6" t="s">
        <v>16850</v>
      </c>
      <c r="Q1866" s="6" t="str">
        <f t="shared" si="901"/>
        <v>=4.897*100000000</v>
      </c>
      <c r="R1866" s="11">
        <f>4.897*100000000</f>
        <v>489700000</v>
      </c>
      <c r="S1866" s="8">
        <f t="shared" si="918"/>
        <v>-0.68588838999358559</v>
      </c>
      <c r="T1866" s="6" t="s">
        <v>339</v>
      </c>
      <c r="U1866" s="6" t="str">
        <f t="shared" si="902"/>
        <v>=15.59*100000000</v>
      </c>
      <c r="V1866" s="1">
        <f>15.59*100000000</f>
        <v>1559000000</v>
      </c>
      <c r="W1866" s="8">
        <f t="shared" si="919"/>
        <v>0.45023255813953489</v>
      </c>
      <c r="X1866" s="6" t="s">
        <v>4101</v>
      </c>
      <c r="Y1866" s="6" t="str">
        <f t="shared" si="903"/>
        <v>=10.75*100000000</v>
      </c>
      <c r="Z1866" s="1">
        <f>10.75*100000000</f>
        <v>1075000000</v>
      </c>
      <c r="AA1866" s="8">
        <f t="shared" si="920"/>
        <v>0.69078326517772881</v>
      </c>
      <c r="AB1866" s="6" t="s">
        <v>4537</v>
      </c>
      <c r="AC1866" s="6" t="str">
        <f t="shared" si="904"/>
        <v>=6.358*100000000</v>
      </c>
      <c r="AD1866" s="1">
        <f>6.358*100000000</f>
        <v>635800000</v>
      </c>
      <c r="AE1866" s="8">
        <f t="shared" si="921"/>
        <v>1.1886402753872634</v>
      </c>
      <c r="AF1866" s="6" t="s">
        <v>5212</v>
      </c>
      <c r="AG1866" s="6" t="str">
        <f t="shared" si="905"/>
        <v>=2.905*100000000</v>
      </c>
      <c r="AH1866" s="1">
        <f>2.905*100000000</f>
        <v>290500000</v>
      </c>
      <c r="AI1866" s="8">
        <f t="shared" si="922"/>
        <v>-0.82563025210084029</v>
      </c>
      <c r="AJ1866" s="6" t="s">
        <v>14147</v>
      </c>
      <c r="AK1866" s="6" t="str">
        <f t="shared" si="906"/>
        <v>=16.66*100000000</v>
      </c>
      <c r="AL1866" s="1">
        <f>16.66*100000000</f>
        <v>1666000000</v>
      </c>
      <c r="AM1866" s="8">
        <f t="shared" si="923"/>
        <v>0.43004291845493564</v>
      </c>
      <c r="AN1866" s="6" t="s">
        <v>6233</v>
      </c>
      <c r="AO1866" s="6" t="str">
        <f t="shared" si="907"/>
        <v>=11.65*100000000</v>
      </c>
      <c r="AP1866" s="1">
        <f>11.65*100000000</f>
        <v>1165000000</v>
      </c>
      <c r="AQ1866" s="8">
        <f t="shared" si="924"/>
        <v>0.49416442221367191</v>
      </c>
      <c r="AR1866" s="6" t="s">
        <v>16851</v>
      </c>
      <c r="AS1866" s="6" t="str">
        <f t="shared" si="908"/>
        <v>=7.797*100000000</v>
      </c>
      <c r="AT1866" s="1">
        <f>7.797*100000000</f>
        <v>779700000</v>
      </c>
      <c r="AU1866" s="8">
        <f t="shared" si="925"/>
        <v>1.1135809162374628</v>
      </c>
      <c r="AV1866" s="6" t="s">
        <v>6678</v>
      </c>
      <c r="AW1866" s="6" t="str">
        <f t="shared" si="909"/>
        <v>=3.689*100000000</v>
      </c>
      <c r="AX1866" s="1">
        <f>3.689*100000000</f>
        <v>368900000</v>
      </c>
      <c r="AY1866" s="10">
        <f t="shared" si="926"/>
        <v>-0.73287472845763935</v>
      </c>
      <c r="AZ1866" s="6" t="s">
        <v>2634</v>
      </c>
      <c r="BA1866" s="6" t="str">
        <f t="shared" si="910"/>
        <v>=13.81*100000000</v>
      </c>
      <c r="BB1866" s="1">
        <f>13.81*100000000</f>
        <v>1381000000</v>
      </c>
      <c r="BC1866" s="8">
        <f t="shared" si="927"/>
        <v>0.43376245847176081</v>
      </c>
      <c r="BD1866" s="6" t="s">
        <v>11902</v>
      </c>
      <c r="BE1866" s="6" t="str">
        <f t="shared" si="911"/>
        <v>=9.632*100000000</v>
      </c>
      <c r="BF1866" s="1">
        <f>9.632*100000000</f>
        <v>963200000</v>
      </c>
      <c r="BG1866" s="8">
        <f t="shared" si="928"/>
        <v>0.51185057290849156</v>
      </c>
      <c r="BH1866" s="6" t="s">
        <v>4017</v>
      </c>
      <c r="BI1866" s="6" t="str">
        <f t="shared" si="912"/>
        <v>=6.371*100000000</v>
      </c>
      <c r="BJ1866" s="1">
        <f>6.371*100000000</f>
        <v>637100000</v>
      </c>
      <c r="BK1866" s="6" t="s">
        <v>16852</v>
      </c>
      <c r="BL1866" s="1" t="str">
        <f t="shared" si="914"/>
        <v>=2.920*100000000</v>
      </c>
      <c r="BM1866" s="16">
        <f t="shared" si="929"/>
        <v>1.1818493150684932</v>
      </c>
      <c r="BN1866" s="1">
        <f>2.92*100000000</f>
        <v>292000000</v>
      </c>
    </row>
    <row r="1867" spans="1:66">
      <c r="A1867" s="18"/>
      <c r="B1867">
        <v>603677</v>
      </c>
      <c r="C1867" t="s">
        <v>48</v>
      </c>
      <c r="D1867" s="7" t="s">
        <v>16853</v>
      </c>
      <c r="E1867" s="7" t="str">
        <f t="shared" si="913"/>
        <v>=9831*10000</v>
      </c>
      <c r="F1867" s="1">
        <f>9831*10000</f>
        <v>98310000</v>
      </c>
      <c r="G1867" s="8">
        <f t="shared" si="915"/>
        <v>0.20198068223499205</v>
      </c>
      <c r="H1867" s="7" t="s">
        <v>16854</v>
      </c>
      <c r="I1867" s="6" t="str">
        <f t="shared" si="899"/>
        <v>=8179*10000</v>
      </c>
      <c r="J1867" s="1">
        <f>8179*10000</f>
        <v>81790000</v>
      </c>
      <c r="K1867" s="10">
        <f t="shared" si="916"/>
        <v>0.51350851221317539</v>
      </c>
      <c r="L1867" s="7" t="s">
        <v>16855</v>
      </c>
      <c r="M1867" s="6" t="str">
        <f t="shared" si="900"/>
        <v>=5404*10000</v>
      </c>
      <c r="N1867" s="1">
        <f>5404*10000</f>
        <v>54040000</v>
      </c>
      <c r="O1867" s="8">
        <f t="shared" si="917"/>
        <v>1.4430379746835442</v>
      </c>
      <c r="P1867" s="7" t="s">
        <v>16856</v>
      </c>
      <c r="Q1867" s="6" t="str">
        <f t="shared" si="901"/>
        <v>=2212*10000</v>
      </c>
      <c r="R1867" s="11">
        <f>2212*10000</f>
        <v>22120000</v>
      </c>
      <c r="S1867" s="8">
        <f t="shared" si="918"/>
        <v>-0.64821882951653942</v>
      </c>
      <c r="T1867" s="7" t="s">
        <v>16857</v>
      </c>
      <c r="U1867" s="6" t="str">
        <f t="shared" si="902"/>
        <v>=6288*10000</v>
      </c>
      <c r="V1867" s="1">
        <f>6288*10000</f>
        <v>62880000</v>
      </c>
      <c r="W1867" s="8">
        <f t="shared" si="919"/>
        <v>8.4324883600620792E-2</v>
      </c>
      <c r="X1867" s="7" t="s">
        <v>16858</v>
      </c>
      <c r="Y1867" s="6" t="str">
        <f t="shared" si="903"/>
        <v>=5799*10000</v>
      </c>
      <c r="Z1867" s="1">
        <f>5799*10000</f>
        <v>57990000</v>
      </c>
      <c r="AA1867" s="8">
        <f t="shared" si="920"/>
        <v>0.65355004277159967</v>
      </c>
      <c r="AB1867" s="7" t="s">
        <v>16859</v>
      </c>
      <c r="AC1867" s="6" t="str">
        <f t="shared" si="904"/>
        <v>=3507*10000</v>
      </c>
      <c r="AD1867" s="1">
        <f>3507*10000</f>
        <v>35070000</v>
      </c>
      <c r="AE1867" s="8">
        <f t="shared" si="921"/>
        <v>1.8146067415730338</v>
      </c>
      <c r="AF1867" s="7" t="s">
        <v>8331</v>
      </c>
      <c r="AG1867" s="6" t="str">
        <f t="shared" si="905"/>
        <v>=1246*10000</v>
      </c>
      <c r="AH1867" s="1">
        <f>1246*10000</f>
        <v>12460000</v>
      </c>
      <c r="AI1867" s="8">
        <f t="shared" si="922"/>
        <v>-0.86389950846531949</v>
      </c>
      <c r="AJ1867" s="7" t="s">
        <v>16860</v>
      </c>
      <c r="AK1867" s="6" t="str">
        <f t="shared" si="906"/>
        <v>=9155*10000</v>
      </c>
      <c r="AL1867" s="1">
        <f>9155*10000</f>
        <v>91550000</v>
      </c>
      <c r="AM1867" s="8">
        <f t="shared" si="923"/>
        <v>0.32355067225675871</v>
      </c>
      <c r="AN1867" s="7" t="s">
        <v>2168</v>
      </c>
      <c r="AO1867" s="6" t="str">
        <f t="shared" si="907"/>
        <v>=6917*10000</v>
      </c>
      <c r="AP1867" s="1">
        <f>6917*10000</f>
        <v>69170000</v>
      </c>
      <c r="AQ1867" s="8">
        <f t="shared" si="924"/>
        <v>0.48944875107665803</v>
      </c>
      <c r="AR1867" s="7" t="s">
        <v>16861</v>
      </c>
      <c r="AS1867" s="6" t="str">
        <f t="shared" si="908"/>
        <v>=4644*10000</v>
      </c>
      <c r="AT1867" s="1">
        <f>4644*10000</f>
        <v>46440000</v>
      </c>
      <c r="AU1867" s="8">
        <f t="shared" si="925"/>
        <v>0.90405904059040587</v>
      </c>
      <c r="AV1867" s="7" t="s">
        <v>8886</v>
      </c>
      <c r="AW1867" s="6" t="str">
        <f t="shared" si="909"/>
        <v>=2439*10000</v>
      </c>
      <c r="AX1867" s="1">
        <f>2439*10000</f>
        <v>24390000</v>
      </c>
      <c r="AY1867" s="10">
        <f t="shared" si="926"/>
        <v>-0.75117322995307079</v>
      </c>
      <c r="AZ1867" s="7" t="s">
        <v>16862</v>
      </c>
      <c r="BA1867" s="6" t="str">
        <f t="shared" si="910"/>
        <v>=9802*10000</v>
      </c>
      <c r="BB1867" s="1">
        <f>9802*10000</f>
        <v>98020000</v>
      </c>
      <c r="BC1867" s="8">
        <f t="shared" si="927"/>
        <v>0.54752131354594258</v>
      </c>
      <c r="BD1867" s="7" t="s">
        <v>16863</v>
      </c>
      <c r="BE1867" s="6" t="str">
        <f t="shared" si="911"/>
        <v>=6334*10000</v>
      </c>
      <c r="BF1867" s="1">
        <f>6334*10000</f>
        <v>63340000</v>
      </c>
      <c r="BG1867" s="8">
        <f t="shared" si="928"/>
        <v>0.31656620245271255</v>
      </c>
      <c r="BH1867" s="7" t="s">
        <v>16864</v>
      </c>
      <c r="BI1867" s="6" t="str">
        <f t="shared" si="912"/>
        <v>=4811*10000</v>
      </c>
      <c r="BJ1867" s="1">
        <f>4811*10000</f>
        <v>48110000</v>
      </c>
      <c r="BK1867" s="7" t="s">
        <v>11163</v>
      </c>
      <c r="BL1867" s="1" t="str">
        <f t="shared" si="914"/>
        <v>=2356*10000</v>
      </c>
      <c r="BM1867" s="16">
        <f t="shared" si="929"/>
        <v>1.0420203735144313</v>
      </c>
      <c r="BN1867" s="1">
        <f>2356*10000</f>
        <v>23560000</v>
      </c>
    </row>
    <row r="1868" spans="1:66">
      <c r="A1868" s="18"/>
      <c r="B1868">
        <v>603677</v>
      </c>
      <c r="C1868" t="s">
        <v>58</v>
      </c>
      <c r="D1868" s="7" t="s">
        <v>16865</v>
      </c>
      <c r="E1868" s="7" t="str">
        <f t="shared" si="913"/>
        <v>=9624*10000</v>
      </c>
      <c r="F1868" s="1">
        <f>9624*10000</f>
        <v>96240000</v>
      </c>
      <c r="G1868" s="8">
        <f t="shared" si="915"/>
        <v>0.19035250463821893</v>
      </c>
      <c r="H1868" s="7" t="s">
        <v>5606</v>
      </c>
      <c r="I1868" s="6" t="str">
        <f t="shared" si="899"/>
        <v>=8085*10000</v>
      </c>
      <c r="J1868" s="1">
        <f>8085*10000</f>
        <v>80850000</v>
      </c>
      <c r="K1868" s="10">
        <f t="shared" si="916"/>
        <v>0.51916572717023679</v>
      </c>
      <c r="L1868" s="7" t="s">
        <v>14551</v>
      </c>
      <c r="M1868" s="6" t="str">
        <f t="shared" si="900"/>
        <v>=5322*10000</v>
      </c>
      <c r="N1868" s="1">
        <f>5322*10000</f>
        <v>53220000</v>
      </c>
      <c r="O1868" s="8">
        <f t="shared" si="917"/>
        <v>1.4927400468384076</v>
      </c>
      <c r="P1868" s="7" t="s">
        <v>16866</v>
      </c>
      <c r="Q1868" s="6" t="str">
        <f t="shared" si="901"/>
        <v>=2135*10000</v>
      </c>
      <c r="R1868" s="11">
        <f>2135*10000</f>
        <v>21350000</v>
      </c>
      <c r="S1868" s="8">
        <f t="shared" si="918"/>
        <v>-0.65284552845528454</v>
      </c>
      <c r="T1868" s="7" t="s">
        <v>16867</v>
      </c>
      <c r="U1868" s="6" t="str">
        <f t="shared" si="902"/>
        <v>=6150*10000</v>
      </c>
      <c r="V1868" s="1">
        <f>6150*10000</f>
        <v>61500000</v>
      </c>
      <c r="W1868" s="8">
        <f t="shared" si="919"/>
        <v>6.5119501212331135E-2</v>
      </c>
      <c r="X1868" s="7" t="s">
        <v>16868</v>
      </c>
      <c r="Y1868" s="6" t="str">
        <f t="shared" si="903"/>
        <v>=5774*10000</v>
      </c>
      <c r="Z1868" s="1">
        <f>5774*10000</f>
        <v>57740000</v>
      </c>
      <c r="AA1868" s="8">
        <f t="shared" si="920"/>
        <v>0.64736091298145504</v>
      </c>
      <c r="AB1868" s="7" t="s">
        <v>16869</v>
      </c>
      <c r="AC1868" s="6" t="str">
        <f t="shared" si="904"/>
        <v>=3505*10000</v>
      </c>
      <c r="AD1868" s="1">
        <f>3505*10000</f>
        <v>35050000</v>
      </c>
      <c r="AE1868" s="8">
        <f t="shared" si="921"/>
        <v>1.804</v>
      </c>
      <c r="AF1868" s="7" t="s">
        <v>15670</v>
      </c>
      <c r="AG1868" s="6" t="str">
        <f t="shared" si="905"/>
        <v>=1250*10000</v>
      </c>
      <c r="AH1868" s="1">
        <f>1250*10000</f>
        <v>12500000</v>
      </c>
      <c r="AI1868" s="8">
        <f t="shared" si="922"/>
        <v>-0.86164914222468181</v>
      </c>
      <c r="AJ1868" s="7" t="s">
        <v>16870</v>
      </c>
      <c r="AK1868" s="6" t="str">
        <f t="shared" si="906"/>
        <v>=9035*10000</v>
      </c>
      <c r="AL1868" s="1">
        <f>9035*10000</f>
        <v>90350000</v>
      </c>
      <c r="AM1868" s="8">
        <f t="shared" si="923"/>
        <v>0.32419756705261615</v>
      </c>
      <c r="AN1868" s="7" t="s">
        <v>16871</v>
      </c>
      <c r="AO1868" s="6" t="str">
        <f t="shared" si="907"/>
        <v>=6823*10000</v>
      </c>
      <c r="AP1868" s="1">
        <f>6823*10000</f>
        <v>68230000</v>
      </c>
      <c r="AQ1868" s="8">
        <f t="shared" si="924"/>
        <v>0.50021987686895342</v>
      </c>
      <c r="AR1868" s="7" t="s">
        <v>16872</v>
      </c>
      <c r="AS1868" s="6" t="str">
        <f t="shared" si="908"/>
        <v>=4548*10000</v>
      </c>
      <c r="AT1868" s="1">
        <f>4548*10000</f>
        <v>45480000</v>
      </c>
      <c r="AU1868" s="8">
        <f t="shared" si="925"/>
        <v>0.93696763202725719</v>
      </c>
      <c r="AV1868" s="7" t="s">
        <v>2213</v>
      </c>
      <c r="AW1868" s="6" t="str">
        <f t="shared" si="909"/>
        <v>=2348*10000</v>
      </c>
      <c r="AX1868" s="1">
        <f>2348*10000</f>
        <v>23480000</v>
      </c>
      <c r="AY1868" s="10">
        <f t="shared" si="926"/>
        <v>-0.75885796446544107</v>
      </c>
      <c r="AZ1868" s="7" t="s">
        <v>16873</v>
      </c>
      <c r="BA1868" s="6" t="str">
        <f t="shared" si="910"/>
        <v>=9737*10000</v>
      </c>
      <c r="BB1868" s="1">
        <f>9737*10000</f>
        <v>97370000</v>
      </c>
      <c r="BC1868" s="8">
        <f t="shared" si="927"/>
        <v>0.55072463768115942</v>
      </c>
      <c r="BD1868" s="7" t="s">
        <v>16874</v>
      </c>
      <c r="BE1868" s="6" t="str">
        <f t="shared" si="911"/>
        <v>=6279*10000</v>
      </c>
      <c r="BF1868" s="1">
        <f>6279*10000</f>
        <v>62790000</v>
      </c>
      <c r="BG1868" s="8">
        <f t="shared" si="928"/>
        <v>0.31607629427792916</v>
      </c>
      <c r="BH1868" s="7" t="s">
        <v>12776</v>
      </c>
      <c r="BI1868" s="6" t="str">
        <f t="shared" si="912"/>
        <v>=4771*10000</v>
      </c>
      <c r="BJ1868" s="1">
        <f>4771*10000</f>
        <v>47710000</v>
      </c>
      <c r="BK1868" s="7" t="s">
        <v>6559</v>
      </c>
      <c r="BL1868" s="1" t="str">
        <f t="shared" si="914"/>
        <v>=2337*10000</v>
      </c>
      <c r="BM1868" s="16">
        <f t="shared" si="929"/>
        <v>1.0415062045357295</v>
      </c>
      <c r="BN1868" s="1">
        <f>2337*10000</f>
        <v>23370000</v>
      </c>
    </row>
    <row r="1869" spans="1:66">
      <c r="A1869" s="19"/>
      <c r="B1869">
        <v>603677</v>
      </c>
      <c r="C1869" t="s">
        <v>68</v>
      </c>
      <c r="D1869" s="7" t="s">
        <v>16875</v>
      </c>
      <c r="E1869" s="7" t="str">
        <f t="shared" si="913"/>
        <v>=8891*10000</v>
      </c>
      <c r="F1869" s="1">
        <f>8891*10000</f>
        <v>88910000</v>
      </c>
      <c r="G1869" s="8">
        <f t="shared" si="915"/>
        <v>0.17699232194863648</v>
      </c>
      <c r="H1869" s="7" t="s">
        <v>16876</v>
      </c>
      <c r="I1869" s="6" t="str">
        <f t="shared" si="899"/>
        <v>=7554*10000</v>
      </c>
      <c r="J1869" s="1">
        <f>7554*10000</f>
        <v>75540000</v>
      </c>
      <c r="K1869" s="10">
        <f t="shared" si="916"/>
        <v>0.51656293916884155</v>
      </c>
      <c r="L1869" s="7" t="s">
        <v>16877</v>
      </c>
      <c r="M1869" s="6" t="str">
        <f t="shared" si="900"/>
        <v>=4981*10000</v>
      </c>
      <c r="N1869" s="1">
        <f>4981*10000</f>
        <v>49810000</v>
      </c>
      <c r="O1869" s="8">
        <f t="shared" si="917"/>
        <v>1.4452626411389298</v>
      </c>
      <c r="P1869" s="7" t="s">
        <v>16878</v>
      </c>
      <c r="Q1869" s="6" t="str">
        <f t="shared" si="901"/>
        <v>=2037*10000</v>
      </c>
      <c r="R1869" s="11">
        <f>2037*10000</f>
        <v>20370000</v>
      </c>
      <c r="S1869" s="8">
        <f t="shared" si="918"/>
        <v>-0.63760896637608966</v>
      </c>
      <c r="T1869" s="7" t="s">
        <v>15249</v>
      </c>
      <c r="U1869" s="6" t="str">
        <f t="shared" si="902"/>
        <v>=5621*10000</v>
      </c>
      <c r="V1869" s="1">
        <f>5621*10000</f>
        <v>56210000</v>
      </c>
      <c r="W1869" s="8">
        <f t="shared" si="919"/>
        <v>0.10150891632373114</v>
      </c>
      <c r="X1869" s="7" t="s">
        <v>16879</v>
      </c>
      <c r="Y1869" s="6" t="str">
        <f t="shared" si="903"/>
        <v>=5103*10000</v>
      </c>
      <c r="Z1869" s="1">
        <f>5103*10000</f>
        <v>51030000</v>
      </c>
      <c r="AA1869" s="8">
        <f t="shared" si="920"/>
        <v>0.66275659824046917</v>
      </c>
      <c r="AB1869" s="7" t="s">
        <v>16880</v>
      </c>
      <c r="AC1869" s="6" t="str">
        <f t="shared" si="904"/>
        <v>=3069*10000</v>
      </c>
      <c r="AD1869" s="1">
        <f>3069*10000</f>
        <v>30690000</v>
      </c>
      <c r="AE1869" s="8">
        <f t="shared" si="921"/>
        <v>1.7598920863309353</v>
      </c>
      <c r="AF1869" s="7" t="s">
        <v>16881</v>
      </c>
      <c r="AG1869" s="6" t="str">
        <f t="shared" si="905"/>
        <v>=1112*10000</v>
      </c>
      <c r="AH1869" s="1">
        <f>1112*10000</f>
        <v>11120000</v>
      </c>
      <c r="AI1869" s="8">
        <f t="shared" si="922"/>
        <v>-0.85429769392033539</v>
      </c>
      <c r="AJ1869" s="7" t="s">
        <v>16882</v>
      </c>
      <c r="AK1869" s="6" t="str">
        <f t="shared" si="906"/>
        <v>=7632*10000</v>
      </c>
      <c r="AL1869" s="1">
        <f>7632*10000</f>
        <v>76320000</v>
      </c>
      <c r="AM1869" s="8">
        <f t="shared" si="923"/>
        <v>0.36774193548387096</v>
      </c>
      <c r="AN1869" s="7" t="s">
        <v>3703</v>
      </c>
      <c r="AO1869" s="6" t="str">
        <f t="shared" si="907"/>
        <v>=5580*10000</v>
      </c>
      <c r="AP1869" s="1">
        <f>5580*10000</f>
        <v>55800000</v>
      </c>
      <c r="AQ1869" s="8">
        <f t="shared" si="924"/>
        <v>0.5208503679476697</v>
      </c>
      <c r="AR1869" s="7" t="s">
        <v>16883</v>
      </c>
      <c r="AS1869" s="6" t="str">
        <f t="shared" si="908"/>
        <v>=3669*10000</v>
      </c>
      <c r="AT1869" s="1">
        <f>3669*10000</f>
        <v>36690000</v>
      </c>
      <c r="AU1869" s="8">
        <f t="shared" si="925"/>
        <v>0.95575692963752668</v>
      </c>
      <c r="AV1869" s="7" t="s">
        <v>16884</v>
      </c>
      <c r="AW1869" s="6" t="str">
        <f t="shared" si="909"/>
        <v>=1876*10000</v>
      </c>
      <c r="AX1869" s="1">
        <f>1876*10000</f>
        <v>18760000</v>
      </c>
      <c r="AY1869" s="10">
        <f t="shared" si="926"/>
        <v>-0.75852748101428757</v>
      </c>
      <c r="AZ1869" s="7" t="s">
        <v>16885</v>
      </c>
      <c r="BA1869" s="6" t="str">
        <f t="shared" si="910"/>
        <v>=7769*10000</v>
      </c>
      <c r="BB1869" s="1">
        <f>7769*10000</f>
        <v>77690000</v>
      </c>
      <c r="BC1869" s="8">
        <f t="shared" si="927"/>
        <v>0.49117082533589251</v>
      </c>
      <c r="BD1869" s="7" t="s">
        <v>16886</v>
      </c>
      <c r="BE1869" s="6" t="str">
        <f t="shared" si="911"/>
        <v>=5210*10000</v>
      </c>
      <c r="BF1869" s="1">
        <f>5210*10000</f>
        <v>52100000</v>
      </c>
      <c r="BG1869" s="8">
        <f t="shared" si="928"/>
        <v>0.37503299023489045</v>
      </c>
      <c r="BH1869" s="7" t="s">
        <v>16887</v>
      </c>
      <c r="BI1869" s="6" t="str">
        <f t="shared" si="912"/>
        <v>=3789*10000</v>
      </c>
      <c r="BJ1869" s="1">
        <f>3789*10000</f>
        <v>37890000</v>
      </c>
      <c r="BK1869" s="7" t="s">
        <v>2933</v>
      </c>
      <c r="BL1869" s="1" t="str">
        <f t="shared" si="914"/>
        <v>=1861*10000</v>
      </c>
      <c r="BM1869" s="16">
        <f t="shared" si="929"/>
        <v>1.0360021493820526</v>
      </c>
      <c r="BN1869" s="1">
        <f>1861*10000</f>
        <v>18610000</v>
      </c>
    </row>
    <row r="1870" spans="1:66">
      <c r="A1870" s="17">
        <v>469</v>
      </c>
      <c r="B1870">
        <v>603678</v>
      </c>
      <c r="C1870" t="s">
        <v>31</v>
      </c>
      <c r="D1870" s="6" t="s">
        <v>16888</v>
      </c>
      <c r="E1870" s="7" t="str">
        <f t="shared" si="913"/>
        <v>=47.34*100000000</v>
      </c>
      <c r="F1870" s="1">
        <f>47.34*100000000</f>
        <v>4734000000</v>
      </c>
      <c r="G1870" s="8">
        <f t="shared" si="915"/>
        <v>0.31609674728940784</v>
      </c>
      <c r="H1870" s="6" t="s">
        <v>16889</v>
      </c>
      <c r="I1870" s="6" t="str">
        <f t="shared" si="899"/>
        <v>=35.97*100000000</v>
      </c>
      <c r="J1870" s="1">
        <f>35.97*100000000</f>
        <v>3597000000</v>
      </c>
      <c r="K1870" s="10">
        <f t="shared" si="916"/>
        <v>0.49129353233830847</v>
      </c>
      <c r="L1870" s="6" t="s">
        <v>9106</v>
      </c>
      <c r="M1870" s="6" t="str">
        <f t="shared" si="900"/>
        <v>=24.12*100000000</v>
      </c>
      <c r="N1870" s="1">
        <f>24.12*100000000</f>
        <v>2412000000</v>
      </c>
      <c r="O1870" s="8">
        <f t="shared" si="917"/>
        <v>1.0919340849956636</v>
      </c>
      <c r="P1870" s="6" t="s">
        <v>924</v>
      </c>
      <c r="Q1870" s="6" t="str">
        <f t="shared" si="901"/>
        <v>=11.53*100000000</v>
      </c>
      <c r="R1870" s="11">
        <f>11.53*100000000</f>
        <v>1153000000</v>
      </c>
      <c r="S1870" s="8">
        <f t="shared" si="918"/>
        <v>-0.68462800875273522</v>
      </c>
      <c r="T1870" s="6" t="s">
        <v>8235</v>
      </c>
      <c r="U1870" s="6" t="str">
        <f t="shared" si="902"/>
        <v>=36.56*100000000</v>
      </c>
      <c r="V1870" s="1">
        <f>36.56*100000000</f>
        <v>3656000000</v>
      </c>
      <c r="W1870" s="8">
        <f t="shared" si="919"/>
        <v>0.47776879547291834</v>
      </c>
      <c r="X1870" s="6" t="s">
        <v>10725</v>
      </c>
      <c r="Y1870" s="6" t="str">
        <f t="shared" si="903"/>
        <v>=24.74*100000000</v>
      </c>
      <c r="Z1870" s="1">
        <f>24.74*100000000</f>
        <v>2474000000</v>
      </c>
      <c r="AA1870" s="8">
        <f t="shared" si="920"/>
        <v>0.65043362241494329</v>
      </c>
      <c r="AB1870" s="6" t="s">
        <v>4482</v>
      </c>
      <c r="AC1870" s="6" t="str">
        <f t="shared" si="904"/>
        <v>=14.99*100000000</v>
      </c>
      <c r="AD1870" s="1">
        <f>14.99*100000000</f>
        <v>1499000000</v>
      </c>
      <c r="AE1870" s="8">
        <f t="shared" si="921"/>
        <v>1.4780955529839643</v>
      </c>
      <c r="AF1870" s="6" t="s">
        <v>16890</v>
      </c>
      <c r="AG1870" s="6" t="str">
        <f t="shared" si="905"/>
        <v>=6.049*100000000</v>
      </c>
      <c r="AH1870" s="1">
        <f>6.049*100000000</f>
        <v>604900000</v>
      </c>
      <c r="AI1870" s="8">
        <f t="shared" si="922"/>
        <v>-0.7645387310237447</v>
      </c>
      <c r="AJ1870" s="6" t="s">
        <v>16891</v>
      </c>
      <c r="AK1870" s="6" t="str">
        <f t="shared" si="906"/>
        <v>=25.69*100000000</v>
      </c>
      <c r="AL1870" s="1">
        <f>25.69*100000000</f>
        <v>2569000000</v>
      </c>
      <c r="AM1870" s="8">
        <f t="shared" si="923"/>
        <v>0.48755066589461493</v>
      </c>
      <c r="AN1870" s="6" t="s">
        <v>8760</v>
      </c>
      <c r="AO1870" s="6" t="str">
        <f t="shared" si="907"/>
        <v>=17.27*100000000</v>
      </c>
      <c r="AP1870" s="1">
        <f>17.27*100000000</f>
        <v>1727000000</v>
      </c>
      <c r="AQ1870" s="8">
        <f t="shared" si="924"/>
        <v>0.62770970782280866</v>
      </c>
      <c r="AR1870" s="6" t="s">
        <v>166</v>
      </c>
      <c r="AS1870" s="6" t="str">
        <f t="shared" si="908"/>
        <v>=10.61*100000000</v>
      </c>
      <c r="AT1870" s="1">
        <f>10.61*100000000</f>
        <v>1061000000</v>
      </c>
      <c r="AU1870" s="8">
        <f t="shared" si="925"/>
        <v>1.2851604566013353</v>
      </c>
      <c r="AV1870" s="6" t="s">
        <v>16892</v>
      </c>
      <c r="AW1870" s="6" t="str">
        <f t="shared" si="909"/>
        <v>=4.643*100000000</v>
      </c>
      <c r="AX1870" s="1">
        <f>4.643*100000000</f>
        <v>464300000</v>
      </c>
      <c r="AY1870" s="10">
        <f t="shared" si="926"/>
        <v>-0.77060276679841899</v>
      </c>
      <c r="AZ1870" s="6" t="s">
        <v>2895</v>
      </c>
      <c r="BA1870" s="6" t="str">
        <f t="shared" si="910"/>
        <v>=20.24*100000000</v>
      </c>
      <c r="BB1870" s="1">
        <f>20.24*100000000</f>
        <v>2023999999.9999998</v>
      </c>
      <c r="BC1870" s="8">
        <f t="shared" si="927"/>
        <v>0.40263340263340247</v>
      </c>
      <c r="BD1870" s="6" t="s">
        <v>2830</v>
      </c>
      <c r="BE1870" s="6" t="str">
        <f t="shared" si="911"/>
        <v>=14.43*100000000</v>
      </c>
      <c r="BF1870" s="1">
        <f>14.43*100000000</f>
        <v>1443000000</v>
      </c>
      <c r="BG1870" s="8">
        <f t="shared" si="928"/>
        <v>0.53331208160663057</v>
      </c>
      <c r="BH1870" s="6" t="s">
        <v>15102</v>
      </c>
      <c r="BI1870" s="6" t="str">
        <f t="shared" si="912"/>
        <v>=9.411*100000000</v>
      </c>
      <c r="BJ1870" s="1">
        <f>9.411*100000000</f>
        <v>941100000</v>
      </c>
      <c r="BK1870" s="6" t="s">
        <v>12221</v>
      </c>
      <c r="BL1870" s="1" t="str">
        <f t="shared" si="914"/>
        <v>=3.758*100000000</v>
      </c>
      <c r="BM1870" s="16">
        <f t="shared" si="929"/>
        <v>1.5042575838211816</v>
      </c>
      <c r="BN1870" s="1">
        <f>3.758*100000000</f>
        <v>375800000</v>
      </c>
    </row>
    <row r="1871" spans="1:66">
      <c r="A1871" s="18"/>
      <c r="B1871">
        <v>603678</v>
      </c>
      <c r="C1871" t="s">
        <v>48</v>
      </c>
      <c r="D1871" s="6" t="s">
        <v>4553</v>
      </c>
      <c r="E1871" s="7" t="str">
        <f t="shared" si="913"/>
        <v>=11.92*100000000</v>
      </c>
      <c r="F1871" s="1">
        <f>11.92*100000000</f>
        <v>1192000000</v>
      </c>
      <c r="G1871" s="8">
        <f t="shared" si="915"/>
        <v>0.21781773600326931</v>
      </c>
      <c r="H1871" s="6" t="s">
        <v>16893</v>
      </c>
      <c r="I1871" s="6" t="str">
        <f t="shared" si="899"/>
        <v>=9.788*100000000</v>
      </c>
      <c r="J1871" s="1">
        <f>9.788*100000000</f>
        <v>978800000</v>
      </c>
      <c r="K1871" s="10">
        <f t="shared" si="916"/>
        <v>0.44238137341585615</v>
      </c>
      <c r="L1871" s="6" t="s">
        <v>16894</v>
      </c>
      <c r="M1871" s="6" t="str">
        <f t="shared" si="900"/>
        <v>=6.786*100000000</v>
      </c>
      <c r="N1871" s="1">
        <f>6.786*100000000</f>
        <v>678600000</v>
      </c>
      <c r="O1871" s="8">
        <f t="shared" si="917"/>
        <v>1.1332914177931468</v>
      </c>
      <c r="P1871" s="6" t="s">
        <v>8267</v>
      </c>
      <c r="Q1871" s="6" t="str">
        <f t="shared" si="901"/>
        <v>=3.181*100000000</v>
      </c>
      <c r="R1871" s="11">
        <f>3.181*100000000</f>
        <v>318100000</v>
      </c>
      <c r="S1871" s="8">
        <f t="shared" si="918"/>
        <v>-0.58385661957090529</v>
      </c>
      <c r="T1871" s="6" t="s">
        <v>16895</v>
      </c>
      <c r="U1871" s="6" t="str">
        <f t="shared" si="902"/>
        <v>=7.644*100000000</v>
      </c>
      <c r="V1871" s="1">
        <f>7.644*100000000</f>
        <v>764400000</v>
      </c>
      <c r="W1871" s="8">
        <f t="shared" si="919"/>
        <v>0.43765281173594134</v>
      </c>
      <c r="X1871" s="6" t="s">
        <v>4496</v>
      </c>
      <c r="Y1871" s="6" t="str">
        <f t="shared" si="903"/>
        <v>=5.317*100000000</v>
      </c>
      <c r="Z1871" s="1">
        <f>5.317*100000000</f>
        <v>531700000</v>
      </c>
      <c r="AA1871" s="8">
        <f t="shared" si="920"/>
        <v>0.56520459228731235</v>
      </c>
      <c r="AB1871" s="6" t="s">
        <v>12344</v>
      </c>
      <c r="AC1871" s="6" t="str">
        <f t="shared" si="904"/>
        <v>=3.397*100000000</v>
      </c>
      <c r="AD1871" s="1">
        <f>3.397*100000000</f>
        <v>339700000</v>
      </c>
      <c r="AE1871" s="8">
        <f t="shared" si="921"/>
        <v>3.0092057122624807</v>
      </c>
      <c r="AF1871" s="7" t="s">
        <v>16896</v>
      </c>
      <c r="AG1871" s="6" t="str">
        <f t="shared" si="905"/>
        <v>=8473*10000</v>
      </c>
      <c r="AH1871" s="1">
        <f>8473*10000</f>
        <v>84730000</v>
      </c>
      <c r="AI1871" s="8">
        <f t="shared" si="922"/>
        <v>-0.81968503937007875</v>
      </c>
      <c r="AJ1871" s="6" t="s">
        <v>7379</v>
      </c>
      <c r="AK1871" s="6" t="str">
        <f t="shared" si="906"/>
        <v>=4.699*100000000</v>
      </c>
      <c r="AL1871" s="1">
        <f>4.699*100000000</f>
        <v>469900000</v>
      </c>
      <c r="AM1871" s="8">
        <f t="shared" si="923"/>
        <v>0.31000836353498745</v>
      </c>
      <c r="AN1871" s="6" t="s">
        <v>1288</v>
      </c>
      <c r="AO1871" s="6" t="str">
        <f t="shared" si="907"/>
        <v>=3.587*100000000</v>
      </c>
      <c r="AP1871" s="1">
        <f>3.587*100000000</f>
        <v>358700000</v>
      </c>
      <c r="AQ1871" s="8">
        <f t="shared" si="924"/>
        <v>0.36387832699619771</v>
      </c>
      <c r="AR1871" s="6" t="s">
        <v>16897</v>
      </c>
      <c r="AS1871" s="6" t="str">
        <f t="shared" si="908"/>
        <v>=2.630*100000000</v>
      </c>
      <c r="AT1871" s="1">
        <f>2.63*100000000</f>
        <v>263000000</v>
      </c>
      <c r="AU1871" s="8">
        <f t="shared" si="925"/>
        <v>1.9274265360641141</v>
      </c>
      <c r="AV1871" s="7" t="s">
        <v>2105</v>
      </c>
      <c r="AW1871" s="6" t="str">
        <f t="shared" si="909"/>
        <v>=8984*10000</v>
      </c>
      <c r="AX1871" s="1">
        <f>8984*10000</f>
        <v>89840000</v>
      </c>
      <c r="AY1871" s="10">
        <f t="shared" si="926"/>
        <v>-0.78502033979420915</v>
      </c>
      <c r="AZ1871" s="6" t="s">
        <v>2195</v>
      </c>
      <c r="BA1871" s="6" t="str">
        <f t="shared" si="910"/>
        <v>=4.179*100000000</v>
      </c>
      <c r="BB1871" s="1">
        <f>4.179*100000000</f>
        <v>417900000</v>
      </c>
      <c r="BC1871" s="8">
        <f t="shared" si="927"/>
        <v>0.32204998418222081</v>
      </c>
      <c r="BD1871" s="6" t="s">
        <v>12687</v>
      </c>
      <c r="BE1871" s="6" t="str">
        <f t="shared" si="911"/>
        <v>=3.161*100000000</v>
      </c>
      <c r="BF1871" s="1">
        <f>3.161*100000000</f>
        <v>316100000</v>
      </c>
      <c r="BG1871" s="8">
        <f t="shared" si="928"/>
        <v>0.47160148975791433</v>
      </c>
      <c r="BH1871" s="6" t="s">
        <v>3394</v>
      </c>
      <c r="BI1871" s="6" t="str">
        <f t="shared" si="912"/>
        <v>=2.148*100000000</v>
      </c>
      <c r="BJ1871" s="1">
        <f>2.148*100000000</f>
        <v>214800000</v>
      </c>
      <c r="BK1871" s="7" t="s">
        <v>16898</v>
      </c>
      <c r="BL1871" s="1" t="str">
        <f t="shared" si="914"/>
        <v>=6724*10000</v>
      </c>
      <c r="BM1871" s="16">
        <f t="shared" si="929"/>
        <v>2.1945270672218919</v>
      </c>
      <c r="BN1871" s="1">
        <f>6724*10000</f>
        <v>67240000</v>
      </c>
    </row>
    <row r="1872" spans="1:66">
      <c r="A1872" s="18"/>
      <c r="B1872">
        <v>603678</v>
      </c>
      <c r="C1872" t="s">
        <v>58</v>
      </c>
      <c r="D1872" s="6" t="s">
        <v>9227</v>
      </c>
      <c r="E1872" s="7" t="str">
        <f t="shared" si="913"/>
        <v>=11.75*100000000</v>
      </c>
      <c r="F1872" s="1">
        <f>11.75*100000000</f>
        <v>1175000000</v>
      </c>
      <c r="G1872" s="8">
        <f t="shared" si="915"/>
        <v>0.22103294191000741</v>
      </c>
      <c r="H1872" s="6" t="s">
        <v>16899</v>
      </c>
      <c r="I1872" s="6" t="str">
        <f t="shared" si="899"/>
        <v>=9.623*100000000</v>
      </c>
      <c r="J1872" s="1">
        <f>9.623*100000000</f>
        <v>962299999.99999988</v>
      </c>
      <c r="K1872" s="10">
        <f t="shared" si="916"/>
        <v>0.42331016121875442</v>
      </c>
      <c r="L1872" s="6" t="s">
        <v>4557</v>
      </c>
      <c r="M1872" s="6" t="str">
        <f t="shared" si="900"/>
        <v>=6.761*100000000</v>
      </c>
      <c r="N1872" s="1">
        <f>6.761*100000000</f>
        <v>676100000</v>
      </c>
      <c r="O1872" s="8">
        <f t="shared" si="917"/>
        <v>1.1415901171998732</v>
      </c>
      <c r="P1872" s="6" t="s">
        <v>16900</v>
      </c>
      <c r="Q1872" s="6" t="str">
        <f t="shared" si="901"/>
        <v>=3.157*100000000</v>
      </c>
      <c r="R1872" s="11">
        <f>3.157*100000000</f>
        <v>315700000</v>
      </c>
      <c r="S1872" s="8">
        <f t="shared" si="918"/>
        <v>-0.58667190363969624</v>
      </c>
      <c r="T1872" s="6" t="s">
        <v>16901</v>
      </c>
      <c r="U1872" s="6" t="str">
        <f t="shared" si="902"/>
        <v>=7.638*100000000</v>
      </c>
      <c r="V1872" s="1">
        <f>7.638*100000000</f>
        <v>763800000</v>
      </c>
      <c r="W1872" s="8">
        <f t="shared" si="919"/>
        <v>0.43598420755781164</v>
      </c>
      <c r="X1872" s="6" t="s">
        <v>1690</v>
      </c>
      <c r="Y1872" s="6" t="str">
        <f t="shared" si="903"/>
        <v>=5.319*100000000</v>
      </c>
      <c r="Z1872" s="1">
        <f>5.319*100000000</f>
        <v>531900000</v>
      </c>
      <c r="AA1872" s="8">
        <f t="shared" si="920"/>
        <v>0.56487202118270075</v>
      </c>
      <c r="AB1872" s="6" t="s">
        <v>16314</v>
      </c>
      <c r="AC1872" s="6" t="str">
        <f t="shared" si="904"/>
        <v>=3.399*100000000</v>
      </c>
      <c r="AD1872" s="1">
        <f>3.399*100000000</f>
        <v>339900000</v>
      </c>
      <c r="AE1872" s="8">
        <f t="shared" si="921"/>
        <v>3.0082547169811322</v>
      </c>
      <c r="AF1872" s="7" t="s">
        <v>16902</v>
      </c>
      <c r="AG1872" s="6" t="str">
        <f t="shared" si="905"/>
        <v>=8480*10000</v>
      </c>
      <c r="AH1872" s="1">
        <f>8480*10000</f>
        <v>84800000</v>
      </c>
      <c r="AI1872" s="8">
        <f t="shared" si="922"/>
        <v>-0.81938232161874336</v>
      </c>
      <c r="AJ1872" s="6" t="s">
        <v>9194</v>
      </c>
      <c r="AK1872" s="6" t="str">
        <f t="shared" si="906"/>
        <v>=4.695*100000000</v>
      </c>
      <c r="AL1872" s="1">
        <f>4.695*100000000</f>
        <v>469500000</v>
      </c>
      <c r="AM1872" s="8">
        <f t="shared" si="923"/>
        <v>0.30925822643614054</v>
      </c>
      <c r="AN1872" s="6" t="s">
        <v>1921</v>
      </c>
      <c r="AO1872" s="6" t="str">
        <f t="shared" si="907"/>
        <v>=3.586*100000000</v>
      </c>
      <c r="AP1872" s="1">
        <f>3.586*100000000</f>
        <v>358600000</v>
      </c>
      <c r="AQ1872" s="8">
        <f t="shared" si="924"/>
        <v>0.36401673640167365</v>
      </c>
      <c r="AR1872" s="6" t="s">
        <v>16903</v>
      </c>
      <c r="AS1872" s="6" t="str">
        <f t="shared" si="908"/>
        <v>=2.629*100000000</v>
      </c>
      <c r="AT1872" s="1">
        <f>2.629*100000000</f>
        <v>262900000</v>
      </c>
      <c r="AU1872" s="8">
        <f t="shared" si="925"/>
        <v>1.9272909475559514</v>
      </c>
      <c r="AV1872" s="7" t="s">
        <v>16904</v>
      </c>
      <c r="AW1872" s="6" t="str">
        <f t="shared" si="909"/>
        <v>=8981*10000</v>
      </c>
      <c r="AX1872" s="1">
        <f>8981*10000</f>
        <v>89810000</v>
      </c>
      <c r="AY1872" s="10">
        <f t="shared" si="926"/>
        <v>-0.78467993286981541</v>
      </c>
      <c r="AZ1872" s="6" t="s">
        <v>6387</v>
      </c>
      <c r="BA1872" s="6" t="str">
        <f t="shared" si="910"/>
        <v>=4.171*100000000</v>
      </c>
      <c r="BB1872" s="1">
        <f>4.171*100000000</f>
        <v>417100000</v>
      </c>
      <c r="BC1872" s="8">
        <f t="shared" si="927"/>
        <v>0.32202852614896987</v>
      </c>
      <c r="BD1872" s="6" t="s">
        <v>1759</v>
      </c>
      <c r="BE1872" s="6" t="str">
        <f t="shared" si="911"/>
        <v>=3.155*100000000</v>
      </c>
      <c r="BF1872" s="1">
        <f>3.155*100000000</f>
        <v>315500000</v>
      </c>
      <c r="BG1872" s="8">
        <f t="shared" si="928"/>
        <v>0.47086247086247085</v>
      </c>
      <c r="BH1872" s="6" t="s">
        <v>4100</v>
      </c>
      <c r="BI1872" s="6" t="str">
        <f t="shared" si="912"/>
        <v>=2.145*100000000</v>
      </c>
      <c r="BJ1872" s="1">
        <f>2.145*100000000</f>
        <v>214500000</v>
      </c>
      <c r="BK1872" s="7" t="s">
        <v>16905</v>
      </c>
      <c r="BL1872" s="1" t="str">
        <f t="shared" si="914"/>
        <v>=6705*10000</v>
      </c>
      <c r="BM1872" s="16">
        <f t="shared" si="929"/>
        <v>2.1991051454138701</v>
      </c>
      <c r="BN1872" s="1">
        <f>6705*10000</f>
        <v>67050000</v>
      </c>
    </row>
    <row r="1873" spans="1:66">
      <c r="A1873" s="19"/>
      <c r="B1873">
        <v>603678</v>
      </c>
      <c r="C1873" t="s">
        <v>68</v>
      </c>
      <c r="D1873" s="6" t="s">
        <v>16906</v>
      </c>
      <c r="E1873" s="7" t="str">
        <f t="shared" si="913"/>
        <v>=9.767*100000000</v>
      </c>
      <c r="F1873" s="1">
        <f>9.767*100000000</f>
        <v>976700000</v>
      </c>
      <c r="G1873" s="8">
        <f t="shared" si="915"/>
        <v>0.21525444817718037</v>
      </c>
      <c r="H1873" s="6" t="s">
        <v>12421</v>
      </c>
      <c r="I1873" s="6" t="str">
        <f t="shared" si="899"/>
        <v>=8.037*100000000</v>
      </c>
      <c r="J1873" s="1">
        <f>8.037*100000000</f>
        <v>803700000.00000012</v>
      </c>
      <c r="K1873" s="10">
        <f t="shared" si="916"/>
        <v>0.42550549840368945</v>
      </c>
      <c r="L1873" s="6" t="s">
        <v>15303</v>
      </c>
      <c r="M1873" s="6" t="str">
        <f t="shared" si="900"/>
        <v>=5.638*100000000</v>
      </c>
      <c r="N1873" s="1">
        <f>5.638*100000000</f>
        <v>563800000</v>
      </c>
      <c r="O1873" s="8">
        <f t="shared" si="917"/>
        <v>1.1601532567049808</v>
      </c>
      <c r="P1873" s="6" t="s">
        <v>9657</v>
      </c>
      <c r="Q1873" s="6" t="str">
        <f t="shared" si="901"/>
        <v>=2.610*100000000</v>
      </c>
      <c r="R1873" s="11">
        <f>2.61*100000000</f>
        <v>261000000</v>
      </c>
      <c r="S1873" s="8">
        <f t="shared" si="918"/>
        <v>-0.58610846812559469</v>
      </c>
      <c r="T1873" s="6" t="s">
        <v>355</v>
      </c>
      <c r="U1873" s="6" t="str">
        <f t="shared" si="902"/>
        <v>=6.306*100000000</v>
      </c>
      <c r="V1873" s="1">
        <f>6.306*100000000</f>
        <v>630600000</v>
      </c>
      <c r="W1873" s="8">
        <f t="shared" si="919"/>
        <v>0.44071281699794379</v>
      </c>
      <c r="X1873" s="6" t="s">
        <v>16907</v>
      </c>
      <c r="Y1873" s="6" t="str">
        <f t="shared" si="903"/>
        <v>=4.377*100000000</v>
      </c>
      <c r="Z1873" s="1">
        <f>4.377*100000000</f>
        <v>437700000</v>
      </c>
      <c r="AA1873" s="8">
        <f t="shared" si="920"/>
        <v>0.56545064377682408</v>
      </c>
      <c r="AB1873" s="6" t="s">
        <v>8848</v>
      </c>
      <c r="AC1873" s="6" t="str">
        <f t="shared" si="904"/>
        <v>=2.796*100000000</v>
      </c>
      <c r="AD1873" s="1">
        <f>2.796*100000000</f>
        <v>279600000</v>
      </c>
      <c r="AE1873" s="8">
        <f t="shared" si="921"/>
        <v>3.0527612697492392</v>
      </c>
      <c r="AF1873" s="7" t="s">
        <v>16908</v>
      </c>
      <c r="AG1873" s="6" t="str">
        <f t="shared" si="905"/>
        <v>=6899*10000</v>
      </c>
      <c r="AH1873" s="1">
        <f>6899*10000</f>
        <v>68990000</v>
      </c>
      <c r="AI1873" s="8">
        <f t="shared" si="922"/>
        <v>-0.82159296612360999</v>
      </c>
      <c r="AJ1873" s="6" t="s">
        <v>12502</v>
      </c>
      <c r="AK1873" s="6" t="str">
        <f t="shared" si="906"/>
        <v>=3.867*100000000</v>
      </c>
      <c r="AL1873" s="1">
        <f>3.867*100000000</f>
        <v>386700000</v>
      </c>
      <c r="AM1873" s="8">
        <f t="shared" si="923"/>
        <v>0.30862944162436551</v>
      </c>
      <c r="AN1873" s="6" t="s">
        <v>11974</v>
      </c>
      <c r="AO1873" s="6" t="str">
        <f t="shared" si="907"/>
        <v>=2.955*100000000</v>
      </c>
      <c r="AP1873" s="1">
        <f>2.955*100000000</f>
        <v>295500000</v>
      </c>
      <c r="AQ1873" s="8">
        <f t="shared" si="924"/>
        <v>0.359245630174793</v>
      </c>
      <c r="AR1873" s="6" t="s">
        <v>12482</v>
      </c>
      <c r="AS1873" s="6" t="str">
        <f t="shared" si="908"/>
        <v>=2.174*100000000</v>
      </c>
      <c r="AT1873" s="1">
        <f>2.174*100000000</f>
        <v>217400000</v>
      </c>
      <c r="AU1873" s="8">
        <f t="shared" si="925"/>
        <v>1.9634678298800436</v>
      </c>
      <c r="AV1873" s="7" t="s">
        <v>12736</v>
      </c>
      <c r="AW1873" s="6" t="str">
        <f t="shared" si="909"/>
        <v>=7336*10000</v>
      </c>
      <c r="AX1873" s="1">
        <f>7336*10000</f>
        <v>73360000</v>
      </c>
      <c r="AY1873" s="10">
        <f t="shared" si="926"/>
        <v>-0.78147155198093532</v>
      </c>
      <c r="AZ1873" s="6" t="s">
        <v>16909</v>
      </c>
      <c r="BA1873" s="6" t="str">
        <f t="shared" si="910"/>
        <v>=3.357*100000000</v>
      </c>
      <c r="BB1873" s="1">
        <f>3.357*100000000</f>
        <v>335700000</v>
      </c>
      <c r="BC1873" s="8">
        <f t="shared" si="927"/>
        <v>0.32792721518987344</v>
      </c>
      <c r="BD1873" s="6" t="s">
        <v>16910</v>
      </c>
      <c r="BE1873" s="6" t="str">
        <f t="shared" si="911"/>
        <v>=2.528*100000000</v>
      </c>
      <c r="BF1873" s="1">
        <f>2.528*100000000</f>
        <v>252800000</v>
      </c>
      <c r="BG1873" s="8">
        <f t="shared" si="928"/>
        <v>0.44045584045584046</v>
      </c>
      <c r="BH1873" s="6" t="s">
        <v>8797</v>
      </c>
      <c r="BI1873" s="6" t="str">
        <f t="shared" si="912"/>
        <v>=1.755*100000000</v>
      </c>
      <c r="BJ1873" s="1">
        <f>1.755*100000000</f>
        <v>175500000</v>
      </c>
      <c r="BK1873" s="7" t="s">
        <v>16911</v>
      </c>
      <c r="BL1873" s="1" t="str">
        <f t="shared" si="914"/>
        <v>=5388*10000</v>
      </c>
      <c r="BM1873" s="16">
        <f t="shared" si="929"/>
        <v>2.2572383073496658</v>
      </c>
      <c r="BN1873" s="1">
        <f>5388*10000</f>
        <v>53880000</v>
      </c>
    </row>
    <row r="1874" spans="1:66">
      <c r="A1874" s="17">
        <v>470</v>
      </c>
      <c r="B1874">
        <v>603683</v>
      </c>
      <c r="C1874" t="s">
        <v>31</v>
      </c>
      <c r="D1874" s="6" t="s">
        <v>11313</v>
      </c>
      <c r="E1874" s="7" t="str">
        <f t="shared" si="913"/>
        <v>=13.95*100000000</v>
      </c>
      <c r="F1874" s="1">
        <f>13.95*100000000</f>
        <v>1395000000</v>
      </c>
      <c r="G1874" s="8">
        <f t="shared" si="915"/>
        <v>0.37033398821218072</v>
      </c>
      <c r="H1874" s="6" t="s">
        <v>9525</v>
      </c>
      <c r="I1874" s="6" t="str">
        <f t="shared" si="899"/>
        <v>=10.18*100000000</v>
      </c>
      <c r="J1874" s="1">
        <f>10.18*100000000</f>
        <v>1018000000</v>
      </c>
      <c r="K1874" s="10">
        <f t="shared" si="916"/>
        <v>0.57050293119407591</v>
      </c>
      <c r="L1874" s="6" t="s">
        <v>2229</v>
      </c>
      <c r="M1874" s="6" t="str">
        <f t="shared" si="900"/>
        <v>=6.482*100000000</v>
      </c>
      <c r="N1874" s="1">
        <f>6.482*100000000</f>
        <v>648200000</v>
      </c>
      <c r="O1874" s="8">
        <f t="shared" si="917"/>
        <v>1.148491879350348</v>
      </c>
      <c r="P1874" s="6" t="s">
        <v>7016</v>
      </c>
      <c r="Q1874" s="6" t="str">
        <f t="shared" si="901"/>
        <v>=3.017*100000000</v>
      </c>
      <c r="R1874" s="11">
        <f>3.017*100000000</f>
        <v>301700000</v>
      </c>
      <c r="S1874" s="8">
        <f t="shared" si="918"/>
        <v>-0.70962463907603468</v>
      </c>
      <c r="T1874" s="6" t="s">
        <v>2056</v>
      </c>
      <c r="U1874" s="6" t="str">
        <f t="shared" si="902"/>
        <v>=10.39*100000000</v>
      </c>
      <c r="V1874" s="1">
        <f>10.39*100000000</f>
        <v>1039000000</v>
      </c>
      <c r="W1874" s="8">
        <f t="shared" si="919"/>
        <v>0.48747315676449537</v>
      </c>
      <c r="X1874" s="6" t="s">
        <v>16912</v>
      </c>
      <c r="Y1874" s="6" t="str">
        <f t="shared" si="903"/>
        <v>=6.985*100000000</v>
      </c>
      <c r="Z1874" s="1">
        <f>6.985*100000000</f>
        <v>698500000</v>
      </c>
      <c r="AA1874" s="8">
        <f t="shared" si="920"/>
        <v>0.73583499005964215</v>
      </c>
      <c r="AB1874" s="6" t="s">
        <v>1388</v>
      </c>
      <c r="AC1874" s="6" t="str">
        <f t="shared" si="904"/>
        <v>=4.024*100000000</v>
      </c>
      <c r="AD1874" s="1">
        <f>4.024*100000000</f>
        <v>402400000</v>
      </c>
      <c r="AE1874" s="8">
        <f t="shared" si="921"/>
        <v>1.5894465894465895</v>
      </c>
      <c r="AF1874" s="6" t="s">
        <v>3978</v>
      </c>
      <c r="AG1874" s="6" t="str">
        <f t="shared" si="905"/>
        <v>=1.554*100000000</v>
      </c>
      <c r="AH1874" s="1">
        <f>1.554*100000000</f>
        <v>155400000</v>
      </c>
      <c r="AI1874" s="8">
        <f t="shared" si="922"/>
        <v>-0.83315439123899504</v>
      </c>
      <c r="AJ1874" s="6" t="s">
        <v>16913</v>
      </c>
      <c r="AK1874" s="6" t="str">
        <f t="shared" si="906"/>
        <v>=9.314*100000000</v>
      </c>
      <c r="AL1874" s="1">
        <f>9.314*100000000</f>
        <v>931400000</v>
      </c>
      <c r="AM1874" s="8">
        <f t="shared" si="923"/>
        <v>0.37557229360508049</v>
      </c>
      <c r="AN1874" s="6" t="s">
        <v>15740</v>
      </c>
      <c r="AO1874" s="6" t="str">
        <f t="shared" si="907"/>
        <v>=6.771*100000000</v>
      </c>
      <c r="AP1874" s="1">
        <f>6.771*100000000</f>
        <v>677100000</v>
      </c>
      <c r="AQ1874" s="8">
        <f t="shared" si="924"/>
        <v>0.57318773234200748</v>
      </c>
      <c r="AR1874" s="6" t="s">
        <v>16914</v>
      </c>
      <c r="AS1874" s="6" t="str">
        <f t="shared" si="908"/>
        <v>=4.304*100000000</v>
      </c>
      <c r="AT1874" s="1">
        <f>4.304*100000000</f>
        <v>430400000</v>
      </c>
      <c r="AU1874" s="8">
        <f t="shared" si="925"/>
        <v>1.2208462332301342</v>
      </c>
      <c r="AV1874" s="6" t="s">
        <v>9217</v>
      </c>
      <c r="AW1874" s="6" t="str">
        <f t="shared" si="909"/>
        <v>=1.938*100000000</v>
      </c>
      <c r="AX1874" s="1">
        <f>1.938*100000000</f>
        <v>193800000</v>
      </c>
      <c r="AY1874" s="10">
        <f t="shared" si="926"/>
        <v>-0.77999772959473268</v>
      </c>
      <c r="AZ1874" s="6" t="s">
        <v>16915</v>
      </c>
      <c r="BA1874" s="6" t="str">
        <f t="shared" si="910"/>
        <v>=8.809*100000000</v>
      </c>
      <c r="BB1874" s="1">
        <f>8.809*100000000</f>
        <v>880899999.99999988</v>
      </c>
      <c r="BC1874" s="8">
        <f t="shared" si="927"/>
        <v>0.49027237354085584</v>
      </c>
      <c r="BD1874" s="6" t="s">
        <v>10742</v>
      </c>
      <c r="BE1874" s="6" t="str">
        <f t="shared" si="911"/>
        <v>=5.911*100000000</v>
      </c>
      <c r="BF1874" s="1">
        <f>5.911*100000000</f>
        <v>591100000</v>
      </c>
      <c r="BG1874" s="8">
        <f t="shared" si="928"/>
        <v>0.49607694254619084</v>
      </c>
      <c r="BH1874" s="6" t="s">
        <v>16916</v>
      </c>
      <c r="BI1874" s="6" t="str">
        <f t="shared" si="912"/>
        <v>=3.951*100000000</v>
      </c>
      <c r="BJ1874" s="1">
        <f>3.951*100000000</f>
        <v>395100000</v>
      </c>
      <c r="BK1874" s="6" t="s">
        <v>12729</v>
      </c>
      <c r="BL1874" s="1" t="str">
        <f t="shared" si="914"/>
        <v>=1.736*100000000</v>
      </c>
      <c r="BM1874" s="16">
        <f t="shared" si="929"/>
        <v>1.275921658986175</v>
      </c>
      <c r="BN1874" s="1">
        <f>1.736*100000000</f>
        <v>173600000</v>
      </c>
    </row>
    <row r="1875" spans="1:66">
      <c r="A1875" s="18"/>
      <c r="B1875">
        <v>603683</v>
      </c>
      <c r="C1875" t="s">
        <v>48</v>
      </c>
      <c r="D1875" s="7" t="s">
        <v>2567</v>
      </c>
      <c r="E1875" s="7" t="str">
        <f t="shared" si="913"/>
        <v>=3837*10000</v>
      </c>
      <c r="F1875" s="1">
        <f>3837*10000</f>
        <v>38370000</v>
      </c>
      <c r="G1875" s="8">
        <f t="shared" si="915"/>
        <v>-3.3257747543461828E-2</v>
      </c>
      <c r="H1875" s="7" t="s">
        <v>16917</v>
      </c>
      <c r="I1875" s="6" t="str">
        <f t="shared" si="899"/>
        <v>=3969*10000</v>
      </c>
      <c r="J1875" s="1">
        <f>3969*10000</f>
        <v>39690000</v>
      </c>
      <c r="K1875" s="10">
        <f t="shared" si="916"/>
        <v>0.31816672201926272</v>
      </c>
      <c r="L1875" s="7" t="s">
        <v>9273</v>
      </c>
      <c r="M1875" s="6" t="str">
        <f t="shared" si="900"/>
        <v>=3011*10000</v>
      </c>
      <c r="N1875" s="1">
        <f>3011*10000</f>
        <v>30110000</v>
      </c>
      <c r="O1875" s="8">
        <f t="shared" si="917"/>
        <v>0.78588374851720044</v>
      </c>
      <c r="P1875" s="7" t="s">
        <v>3280</v>
      </c>
      <c r="Q1875" s="6" t="str">
        <f t="shared" si="901"/>
        <v>=1686*10000</v>
      </c>
      <c r="R1875" s="11">
        <f>1686*10000</f>
        <v>16860000</v>
      </c>
      <c r="S1875" s="8">
        <f t="shared" si="918"/>
        <v>-0.8840440165061898</v>
      </c>
      <c r="T1875" s="6" t="s">
        <v>11703</v>
      </c>
      <c r="U1875" s="6" t="str">
        <f t="shared" si="902"/>
        <v>=1.454*100000000</v>
      </c>
      <c r="V1875" s="1">
        <f>1.454*100000000</f>
        <v>145400000</v>
      </c>
      <c r="W1875" s="8">
        <f t="shared" si="919"/>
        <v>3.6857879471479214</v>
      </c>
      <c r="X1875" s="7" t="s">
        <v>12190</v>
      </c>
      <c r="Y1875" s="6" t="str">
        <f t="shared" si="903"/>
        <v>=3103*10000</v>
      </c>
      <c r="Z1875" s="1">
        <f>3103*10000</f>
        <v>31030000</v>
      </c>
      <c r="AA1875" s="8">
        <f t="shared" si="920"/>
        <v>2.1858316221765914</v>
      </c>
      <c r="AB1875" s="7" t="s">
        <v>16918</v>
      </c>
      <c r="AC1875" s="6" t="str">
        <f t="shared" si="904"/>
        <v>=974.0*10000</v>
      </c>
      <c r="AD1875" s="1">
        <f>974*10000</f>
        <v>9740000</v>
      </c>
      <c r="AE1875" s="8">
        <f t="shared" si="921"/>
        <v>-2.2349435780398124</v>
      </c>
      <c r="AF1875" s="7">
        <f>-788.7*10000</f>
        <v>-7887000</v>
      </c>
      <c r="AG1875" s="6" t="str">
        <f t="shared" si="905"/>
        <v>=-7887000</v>
      </c>
      <c r="AH1875" s="1">
        <f>-7887000</f>
        <v>-7887000</v>
      </c>
      <c r="AI1875" s="8">
        <f t="shared" si="922"/>
        <v>-0.53137254901960784</v>
      </c>
      <c r="AJ1875" s="7">
        <f>-1683*10000</f>
        <v>-16830000</v>
      </c>
      <c r="AK1875" s="6" t="str">
        <f t="shared" si="906"/>
        <v>=-16830000</v>
      </c>
      <c r="AL1875" s="1">
        <f>-16830000</f>
        <v>-16830000</v>
      </c>
      <c r="AM1875" s="8">
        <f t="shared" si="923"/>
        <v>1.667617689015692</v>
      </c>
      <c r="AN1875" s="7">
        <f>-630.9*10000</f>
        <v>-6309000</v>
      </c>
      <c r="AO1875" s="6" t="str">
        <f t="shared" si="907"/>
        <v>=-6309000</v>
      </c>
      <c r="AP1875" s="1">
        <f>-6309000</f>
        <v>-6309000</v>
      </c>
      <c r="AQ1875" s="8">
        <f t="shared" si="924"/>
        <v>-5.5323275862068968</v>
      </c>
      <c r="AR1875" s="7" t="s">
        <v>16919</v>
      </c>
      <c r="AS1875" s="6" t="str">
        <f t="shared" si="908"/>
        <v>=139.2*10000</v>
      </c>
      <c r="AT1875" s="1">
        <f>139.2*10000</f>
        <v>1392000</v>
      </c>
      <c r="AU1875" s="8">
        <f t="shared" si="925"/>
        <v>-2.5011323196376578</v>
      </c>
      <c r="AV1875" s="7">
        <f>-92.73*10000</f>
        <v>-927300</v>
      </c>
      <c r="AW1875" s="6" t="str">
        <f t="shared" si="909"/>
        <v>=-927300</v>
      </c>
      <c r="AX1875" s="1">
        <f>-927300</f>
        <v>-927300</v>
      </c>
      <c r="AY1875" s="10">
        <f t="shared" si="926"/>
        <v>-1.0386375000000001</v>
      </c>
      <c r="AZ1875" s="7" t="s">
        <v>16920</v>
      </c>
      <c r="BA1875" s="6" t="str">
        <f t="shared" si="910"/>
        <v>=2400*10000</v>
      </c>
      <c r="BB1875" s="1">
        <f>2400*10000</f>
        <v>24000000</v>
      </c>
      <c r="BC1875" s="8">
        <f t="shared" si="927"/>
        <v>0.34228187919463088</v>
      </c>
      <c r="BD1875" s="7" t="s">
        <v>16921</v>
      </c>
      <c r="BE1875" s="6" t="str">
        <f t="shared" si="911"/>
        <v>=1788*10000</v>
      </c>
      <c r="BF1875" s="1">
        <f>1788*10000</f>
        <v>17880000</v>
      </c>
      <c r="BG1875" s="8">
        <f t="shared" si="928"/>
        <v>0.14030612244897958</v>
      </c>
      <c r="BH1875" s="7" t="s">
        <v>16922</v>
      </c>
      <c r="BI1875" s="6" t="str">
        <f t="shared" si="912"/>
        <v>=1568*10000</v>
      </c>
      <c r="BJ1875" s="1">
        <f>1568*10000</f>
        <v>15680000</v>
      </c>
      <c r="BK1875" s="7" t="s">
        <v>16923</v>
      </c>
      <c r="BL1875" s="1" t="str">
        <f t="shared" si="914"/>
        <v>=529.5*10000</v>
      </c>
      <c r="BM1875" s="16">
        <f t="shared" si="929"/>
        <v>1.9612842304060434</v>
      </c>
      <c r="BN1875" s="1">
        <f>529.5*10000</f>
        <v>5295000</v>
      </c>
    </row>
    <row r="1876" spans="1:66">
      <c r="A1876" s="18"/>
      <c r="B1876">
        <v>603683</v>
      </c>
      <c r="C1876" t="s">
        <v>58</v>
      </c>
      <c r="D1876" s="7" t="s">
        <v>11015</v>
      </c>
      <c r="E1876" s="7" t="str">
        <f t="shared" si="913"/>
        <v>=3733*10000</v>
      </c>
      <c r="F1876" s="1">
        <f>3733*10000</f>
        <v>37330000</v>
      </c>
      <c r="G1876" s="8">
        <f t="shared" si="915"/>
        <v>-3.5649702919142337E-2</v>
      </c>
      <c r="H1876" s="7" t="s">
        <v>16924</v>
      </c>
      <c r="I1876" s="6" t="str">
        <f t="shared" si="899"/>
        <v>=3871*10000</v>
      </c>
      <c r="J1876" s="1">
        <f>3871*10000</f>
        <v>38710000</v>
      </c>
      <c r="K1876" s="10">
        <f t="shared" si="916"/>
        <v>0.2981220657276995</v>
      </c>
      <c r="L1876" s="7" t="s">
        <v>12187</v>
      </c>
      <c r="M1876" s="6" t="str">
        <f t="shared" si="900"/>
        <v>=2982*10000</v>
      </c>
      <c r="N1876" s="1">
        <f>2982*10000</f>
        <v>29820000</v>
      </c>
      <c r="O1876" s="8">
        <f t="shared" si="917"/>
        <v>0.77711561382598326</v>
      </c>
      <c r="P1876" s="7" t="s">
        <v>9757</v>
      </c>
      <c r="Q1876" s="6" t="str">
        <f t="shared" si="901"/>
        <v>=1678*10000</v>
      </c>
      <c r="R1876" s="11">
        <f>1678*10000</f>
        <v>16780000</v>
      </c>
      <c r="S1876" s="8">
        <f t="shared" si="918"/>
        <v>-0.9106020245071923</v>
      </c>
      <c r="T1876" s="6" t="s">
        <v>1563</v>
      </c>
      <c r="U1876" s="6" t="str">
        <f t="shared" si="902"/>
        <v>=1.877*100000000</v>
      </c>
      <c r="V1876" s="1">
        <f>1.877*100000000</f>
        <v>187700000</v>
      </c>
      <c r="W1876" s="8">
        <f t="shared" si="919"/>
        <v>5.150065530799476</v>
      </c>
      <c r="X1876" s="7" t="s">
        <v>16925</v>
      </c>
      <c r="Y1876" s="6" t="str">
        <f t="shared" si="903"/>
        <v>=3052*10000</v>
      </c>
      <c r="Z1876" s="1">
        <f>3052*10000</f>
        <v>30520000</v>
      </c>
      <c r="AA1876" s="8">
        <f t="shared" si="920"/>
        <v>2.1871345029239766</v>
      </c>
      <c r="AB1876" s="7" t="s">
        <v>16926</v>
      </c>
      <c r="AC1876" s="6" t="str">
        <f t="shared" si="904"/>
        <v>=957.6*10000</v>
      </c>
      <c r="AD1876" s="1">
        <f>957.6*10000</f>
        <v>9576000</v>
      </c>
      <c r="AE1876" s="8">
        <f t="shared" si="921"/>
        <v>-2.2101604953873375</v>
      </c>
      <c r="AF1876" s="7">
        <f>-791.3*10000</f>
        <v>-7913000</v>
      </c>
      <c r="AG1876" s="6" t="str">
        <f t="shared" si="905"/>
        <v>=-7913000</v>
      </c>
      <c r="AH1876" s="1">
        <f>-7913000</f>
        <v>-7913000</v>
      </c>
      <c r="AI1876" s="8">
        <f t="shared" si="922"/>
        <v>4.4896342268585764E-2</v>
      </c>
      <c r="AJ1876" s="7">
        <f>-757.3*10000</f>
        <v>-7573000</v>
      </c>
      <c r="AK1876" s="6" t="str">
        <f t="shared" si="906"/>
        <v>=-7573000</v>
      </c>
      <c r="AL1876" s="1">
        <f>-7573000</f>
        <v>-7573000</v>
      </c>
      <c r="AM1876" s="8">
        <f t="shared" si="923"/>
        <v>0.68064802485574794</v>
      </c>
      <c r="AN1876" s="7">
        <f>-450.6*10000</f>
        <v>-4506000</v>
      </c>
      <c r="AO1876" s="6" t="str">
        <f t="shared" si="907"/>
        <v>=-4506000</v>
      </c>
      <c r="AP1876" s="1">
        <f>-4506000</f>
        <v>-4506000</v>
      </c>
      <c r="AQ1876" s="8">
        <f t="shared" si="924"/>
        <v>-5.1263736263736268</v>
      </c>
      <c r="AR1876" s="7" t="s">
        <v>16927</v>
      </c>
      <c r="AS1876" s="6" t="str">
        <f t="shared" si="908"/>
        <v>=109.2*10000</v>
      </c>
      <c r="AT1876" s="1">
        <f>109.2*10000</f>
        <v>1092000</v>
      </c>
      <c r="AU1876" s="8">
        <f t="shared" si="925"/>
        <v>-2.1402318053670251</v>
      </c>
      <c r="AV1876" s="7">
        <f>-95.77*10000</f>
        <v>-957700</v>
      </c>
      <c r="AW1876" s="6" t="str">
        <f t="shared" si="909"/>
        <v>=-957700</v>
      </c>
      <c r="AX1876" s="1">
        <f>-957700</f>
        <v>-957700</v>
      </c>
      <c r="AY1876" s="10">
        <f t="shared" si="926"/>
        <v>-1.0362490537471611</v>
      </c>
      <c r="AZ1876" s="7" t="s">
        <v>8335</v>
      </c>
      <c r="BA1876" s="6" t="str">
        <f t="shared" si="910"/>
        <v>=2642*10000</v>
      </c>
      <c r="BB1876" s="1">
        <f>2642*10000</f>
        <v>26420000</v>
      </c>
      <c r="BC1876" s="8">
        <f t="shared" si="927"/>
        <v>0.25391551969625059</v>
      </c>
      <c r="BD1876" s="7" t="s">
        <v>16928</v>
      </c>
      <c r="BE1876" s="6" t="str">
        <f t="shared" si="911"/>
        <v>=2107*10000</v>
      </c>
      <c r="BF1876" s="1">
        <f>2107*10000</f>
        <v>21070000</v>
      </c>
      <c r="BG1876" s="8">
        <f t="shared" si="928"/>
        <v>8.2733812949640287E-2</v>
      </c>
      <c r="BH1876" s="7" t="s">
        <v>16929</v>
      </c>
      <c r="BI1876" s="6" t="str">
        <f t="shared" si="912"/>
        <v>=1946*10000</v>
      </c>
      <c r="BJ1876" s="1">
        <f>1946*10000</f>
        <v>19460000</v>
      </c>
      <c r="BK1876" s="7" t="s">
        <v>16930</v>
      </c>
      <c r="BL1876" s="1" t="str">
        <f t="shared" si="914"/>
        <v>=569.7*10000</v>
      </c>
      <c r="BM1876" s="16">
        <f t="shared" si="929"/>
        <v>2.4158328945058805</v>
      </c>
      <c r="BN1876" s="1">
        <f>569.7*10000</f>
        <v>5697000</v>
      </c>
    </row>
    <row r="1877" spans="1:66">
      <c r="A1877" s="19"/>
      <c r="B1877">
        <v>603683</v>
      </c>
      <c r="C1877" t="s">
        <v>68</v>
      </c>
      <c r="D1877" s="7" t="s">
        <v>16931</v>
      </c>
      <c r="E1877" s="7" t="str">
        <f t="shared" si="913"/>
        <v>=3253*10000</v>
      </c>
      <c r="F1877" s="1">
        <f>3253*10000</f>
        <v>32530000</v>
      </c>
      <c r="G1877" s="8">
        <f t="shared" si="915"/>
        <v>2.2313010685103708E-2</v>
      </c>
      <c r="H1877" s="7" t="s">
        <v>10056</v>
      </c>
      <c r="I1877" s="6" t="str">
        <f t="shared" si="899"/>
        <v>=3182*10000</v>
      </c>
      <c r="J1877" s="1">
        <f>3182*10000</f>
        <v>31820000</v>
      </c>
      <c r="K1877" s="10">
        <f t="shared" si="916"/>
        <v>0.32088003320880032</v>
      </c>
      <c r="L1877" s="7" t="s">
        <v>2684</v>
      </c>
      <c r="M1877" s="6" t="str">
        <f t="shared" si="900"/>
        <v>=2409*10000</v>
      </c>
      <c r="N1877" s="1">
        <f>2409*10000</f>
        <v>24090000</v>
      </c>
      <c r="O1877" s="8">
        <f t="shared" si="917"/>
        <v>0.53635204081632648</v>
      </c>
      <c r="P1877" s="7" t="s">
        <v>16922</v>
      </c>
      <c r="Q1877" s="6" t="str">
        <f t="shared" si="901"/>
        <v>=1568*10000</v>
      </c>
      <c r="R1877" s="11">
        <f>1568*10000</f>
        <v>15680000</v>
      </c>
      <c r="S1877" s="8">
        <f t="shared" si="918"/>
        <v>-0.89738219895287963</v>
      </c>
      <c r="T1877" s="6" t="s">
        <v>3397</v>
      </c>
      <c r="U1877" s="6" t="str">
        <f t="shared" si="902"/>
        <v>=1.528*100000000</v>
      </c>
      <c r="V1877" s="1">
        <f>1.528*100000000</f>
        <v>152800000</v>
      </c>
      <c r="W1877" s="8">
        <f t="shared" si="919"/>
        <v>3.8585055643879174</v>
      </c>
      <c r="X1877" s="7" t="s">
        <v>16031</v>
      </c>
      <c r="Y1877" s="6" t="str">
        <f t="shared" si="903"/>
        <v>=3145*10000</v>
      </c>
      <c r="Z1877" s="1">
        <f>3145*10000</f>
        <v>31450000</v>
      </c>
      <c r="AA1877" s="8">
        <f t="shared" si="920"/>
        <v>1.8669097538742023</v>
      </c>
      <c r="AB1877" s="7" t="s">
        <v>9371</v>
      </c>
      <c r="AC1877" s="6" t="str">
        <f t="shared" si="904"/>
        <v>=1097*10000</v>
      </c>
      <c r="AD1877" s="1">
        <f>1097*10000</f>
        <v>10970000</v>
      </c>
      <c r="AE1877" s="8">
        <f t="shared" si="921"/>
        <v>-4.2179524787327658</v>
      </c>
      <c r="AF1877" s="7">
        <f>-340.9*10000</f>
        <v>-3409000</v>
      </c>
      <c r="AG1877" s="6" t="str">
        <f t="shared" si="905"/>
        <v>=-3409000</v>
      </c>
      <c r="AH1877" s="1">
        <f>-3409000</f>
        <v>-3409000</v>
      </c>
      <c r="AI1877" s="8">
        <f t="shared" si="922"/>
        <v>-1.9979508196721312</v>
      </c>
      <c r="AJ1877" s="7" t="s">
        <v>16932</v>
      </c>
      <c r="AK1877" s="6" t="str">
        <f t="shared" si="906"/>
        <v>=341.6*10000</v>
      </c>
      <c r="AL1877" s="1">
        <f>341.6*10000</f>
        <v>3416000</v>
      </c>
      <c r="AM1877" s="8">
        <f t="shared" si="923"/>
        <v>5.8568329718004339E-2</v>
      </c>
      <c r="AN1877" s="7" t="s">
        <v>16933</v>
      </c>
      <c r="AO1877" s="6" t="str">
        <f t="shared" si="907"/>
        <v>=322.7*10000</v>
      </c>
      <c r="AP1877" s="1">
        <f>322.7*10000</f>
        <v>3227000</v>
      </c>
      <c r="AQ1877" s="8">
        <f t="shared" si="924"/>
        <v>-0.2722147045557059</v>
      </c>
      <c r="AR1877" s="7" t="s">
        <v>16934</v>
      </c>
      <c r="AS1877" s="6" t="str">
        <f t="shared" si="908"/>
        <v>=443.4*10000</v>
      </c>
      <c r="AT1877" s="1">
        <f>443.4*10000</f>
        <v>4434000</v>
      </c>
      <c r="AU1877" s="8">
        <f t="shared" si="925"/>
        <v>4.4666502280853164</v>
      </c>
      <c r="AV1877" s="7" t="s">
        <v>16935</v>
      </c>
      <c r="AW1877" s="6" t="str">
        <f t="shared" si="909"/>
        <v>=81.11*10000</v>
      </c>
      <c r="AX1877" s="1">
        <f>81.11*10000</f>
        <v>811100</v>
      </c>
      <c r="AY1877" s="10">
        <f t="shared" si="926"/>
        <v>-0.96801656151419557</v>
      </c>
      <c r="AZ1877" s="7" t="s">
        <v>16936</v>
      </c>
      <c r="BA1877" s="6" t="str">
        <f t="shared" si="910"/>
        <v>=2536*10000</v>
      </c>
      <c r="BB1877" s="1">
        <f>2536*10000</f>
        <v>25360000</v>
      </c>
      <c r="BC1877" s="8">
        <f t="shared" si="927"/>
        <v>0.29918032786885246</v>
      </c>
      <c r="BD1877" s="7" t="s">
        <v>16937</v>
      </c>
      <c r="BE1877" s="6" t="str">
        <f t="shared" si="911"/>
        <v>=1952*10000</v>
      </c>
      <c r="BF1877" s="1">
        <f>1952*10000</f>
        <v>19520000</v>
      </c>
      <c r="BG1877" s="8">
        <f t="shared" si="928"/>
        <v>6.7833698030634576E-2</v>
      </c>
      <c r="BH1877" s="7" t="s">
        <v>16938</v>
      </c>
      <c r="BI1877" s="6" t="str">
        <f t="shared" si="912"/>
        <v>=1828*10000</v>
      </c>
      <c r="BJ1877" s="1">
        <f>1828*10000</f>
        <v>18280000</v>
      </c>
      <c r="BK1877" s="7" t="s">
        <v>16939</v>
      </c>
      <c r="BL1877" s="1" t="str">
        <f t="shared" si="914"/>
        <v>=497.8*10000</v>
      </c>
      <c r="BM1877" s="16">
        <f t="shared" si="929"/>
        <v>2.6721574929690637</v>
      </c>
      <c r="BN1877" s="1">
        <f>497.8*10000</f>
        <v>4978000</v>
      </c>
    </row>
    <row r="1878" spans="1:66">
      <c r="A1878" s="17">
        <v>471</v>
      </c>
      <c r="B1878">
        <v>603686</v>
      </c>
      <c r="C1878" t="s">
        <v>31</v>
      </c>
      <c r="D1878" s="6" t="s">
        <v>16940</v>
      </c>
      <c r="E1878" s="7" t="str">
        <f t="shared" si="913"/>
        <v>=57.02*100000000</v>
      </c>
      <c r="F1878" s="1">
        <f>57.02*100000000</f>
        <v>5702000000</v>
      </c>
      <c r="G1878" s="8">
        <f t="shared" si="915"/>
        <v>0.34894724390820897</v>
      </c>
      <c r="H1878" s="6" t="s">
        <v>16941</v>
      </c>
      <c r="I1878" s="6" t="str">
        <f t="shared" si="899"/>
        <v>=42.27*100000000</v>
      </c>
      <c r="J1878" s="1">
        <f>42.27*100000000</f>
        <v>4227000000.0000005</v>
      </c>
      <c r="K1878" s="10">
        <f t="shared" si="916"/>
        <v>0.52489177489177508</v>
      </c>
      <c r="L1878" s="6" t="s">
        <v>1866</v>
      </c>
      <c r="M1878" s="6" t="str">
        <f t="shared" si="900"/>
        <v>=27.72*100000000</v>
      </c>
      <c r="N1878" s="1">
        <f>27.72*100000000</f>
        <v>2772000000</v>
      </c>
      <c r="O1878" s="8">
        <f t="shared" si="917"/>
        <v>0.98709677419354835</v>
      </c>
      <c r="P1878" s="6" t="s">
        <v>11313</v>
      </c>
      <c r="Q1878" s="6" t="str">
        <f t="shared" si="901"/>
        <v>=13.95*100000000</v>
      </c>
      <c r="R1878" s="11">
        <f>13.95*100000000</f>
        <v>1395000000</v>
      </c>
      <c r="S1878" s="8">
        <f t="shared" si="918"/>
        <v>-0.74370751423847148</v>
      </c>
      <c r="T1878" s="6" t="s">
        <v>16942</v>
      </c>
      <c r="U1878" s="6" t="str">
        <f t="shared" si="902"/>
        <v>=54.43*100000000</v>
      </c>
      <c r="V1878" s="1">
        <f>54.43*100000000</f>
        <v>5443000000</v>
      </c>
      <c r="W1878" s="8">
        <f t="shared" si="919"/>
        <v>0.39743260590500623</v>
      </c>
      <c r="X1878" s="6" t="s">
        <v>11843</v>
      </c>
      <c r="Y1878" s="6" t="str">
        <f t="shared" si="903"/>
        <v>=38.95*100000000</v>
      </c>
      <c r="Z1878" s="1">
        <f>38.95*100000000</f>
        <v>3895000000.0000005</v>
      </c>
      <c r="AA1878" s="8">
        <f t="shared" si="920"/>
        <v>0.61283643892339568</v>
      </c>
      <c r="AB1878" s="6" t="s">
        <v>15467</v>
      </c>
      <c r="AC1878" s="6" t="str">
        <f t="shared" si="904"/>
        <v>=24.15*100000000</v>
      </c>
      <c r="AD1878" s="1">
        <f>24.15*100000000</f>
        <v>2415000000</v>
      </c>
      <c r="AE1878" s="8">
        <f t="shared" si="921"/>
        <v>1.2761545711592837</v>
      </c>
      <c r="AF1878" s="6" t="s">
        <v>166</v>
      </c>
      <c r="AG1878" s="6" t="str">
        <f t="shared" si="905"/>
        <v>=10.61*100000000</v>
      </c>
      <c r="AH1878" s="1">
        <f>10.61*100000000</f>
        <v>1061000000</v>
      </c>
      <c r="AI1878" s="8">
        <f t="shared" si="922"/>
        <v>-0.74905392620624411</v>
      </c>
      <c r="AJ1878" s="6" t="s">
        <v>16943</v>
      </c>
      <c r="AK1878" s="6" t="str">
        <f t="shared" si="906"/>
        <v>=42.28*100000000</v>
      </c>
      <c r="AL1878" s="1">
        <f>42.28*100000000</f>
        <v>4228000000</v>
      </c>
      <c r="AM1878" s="8">
        <f t="shared" si="923"/>
        <v>0.39814814814814814</v>
      </c>
      <c r="AN1878" s="6" t="s">
        <v>16675</v>
      </c>
      <c r="AO1878" s="6" t="str">
        <f t="shared" si="907"/>
        <v>=30.24*100000000</v>
      </c>
      <c r="AP1878" s="1">
        <f>30.24*100000000</f>
        <v>3024000000</v>
      </c>
      <c r="AQ1878" s="8">
        <f t="shared" si="924"/>
        <v>0.58324607329842915</v>
      </c>
      <c r="AR1878" s="6" t="s">
        <v>1973</v>
      </c>
      <c r="AS1878" s="6" t="str">
        <f t="shared" si="908"/>
        <v>=19.10*100000000</v>
      </c>
      <c r="AT1878" s="1">
        <f>19.1*100000000</f>
        <v>1910000000.0000002</v>
      </c>
      <c r="AU1878" s="8">
        <f t="shared" si="925"/>
        <v>1.2091140411751098</v>
      </c>
      <c r="AV1878" s="6" t="s">
        <v>16342</v>
      </c>
      <c r="AW1878" s="6" t="str">
        <f t="shared" si="909"/>
        <v>=8.646*100000000</v>
      </c>
      <c r="AX1878" s="1">
        <f>8.646*100000000</f>
        <v>864600000.00000012</v>
      </c>
      <c r="AY1878" s="10">
        <f t="shared" si="926"/>
        <v>-0.74895470383275264</v>
      </c>
      <c r="AZ1878" s="6" t="s">
        <v>14384</v>
      </c>
      <c r="BA1878" s="6" t="str">
        <f t="shared" si="910"/>
        <v>=34.44*100000000</v>
      </c>
      <c r="BB1878" s="1">
        <f>34.44*100000000</f>
        <v>3444000000</v>
      </c>
      <c r="BC1878" s="8">
        <f t="shared" si="927"/>
        <v>0.38647342995169082</v>
      </c>
      <c r="BD1878" s="6" t="s">
        <v>10229</v>
      </c>
      <c r="BE1878" s="6" t="str">
        <f t="shared" si="911"/>
        <v>=24.84*100000000</v>
      </c>
      <c r="BF1878" s="1">
        <f>24.84*100000000</f>
        <v>2484000000</v>
      </c>
      <c r="BG1878" s="8">
        <f t="shared" si="928"/>
        <v>0.54477611940298531</v>
      </c>
      <c r="BH1878" s="6" t="s">
        <v>2079</v>
      </c>
      <c r="BI1878" s="6" t="str">
        <f t="shared" si="912"/>
        <v>=16.08*100000000</v>
      </c>
      <c r="BJ1878" s="1">
        <f>16.08*100000000</f>
        <v>1607999999.9999998</v>
      </c>
      <c r="BK1878" s="6" t="s">
        <v>5142</v>
      </c>
      <c r="BL1878" s="1" t="str">
        <f t="shared" si="914"/>
        <v>=7.681*100000000</v>
      </c>
      <c r="BM1878" s="16">
        <f t="shared" si="929"/>
        <v>1.0934774117953387</v>
      </c>
      <c r="BN1878" s="1">
        <f>7.681*100000000</f>
        <v>768100000</v>
      </c>
    </row>
    <row r="1879" spans="1:66">
      <c r="A1879" s="18"/>
      <c r="B1879">
        <v>603686</v>
      </c>
      <c r="C1879" t="s">
        <v>48</v>
      </c>
      <c r="D1879" s="6" t="s">
        <v>7865</v>
      </c>
      <c r="E1879" s="7" t="str">
        <f t="shared" si="913"/>
        <v>=5.135*100000000</v>
      </c>
      <c r="F1879" s="1">
        <f>5.135*100000000</f>
        <v>513500000</v>
      </c>
      <c r="G1879" s="8">
        <f t="shared" si="915"/>
        <v>0.1295644522657281</v>
      </c>
      <c r="H1879" s="6" t="s">
        <v>16944</v>
      </c>
      <c r="I1879" s="6" t="str">
        <f t="shared" si="899"/>
        <v>=4.546*100000000</v>
      </c>
      <c r="J1879" s="1">
        <f>4.546*100000000</f>
        <v>454600000</v>
      </c>
      <c r="K1879" s="10">
        <f t="shared" si="916"/>
        <v>0.48513557660895135</v>
      </c>
      <c r="L1879" s="6" t="s">
        <v>10104</v>
      </c>
      <c r="M1879" s="6" t="str">
        <f t="shared" si="900"/>
        <v>=3.061*100000000</v>
      </c>
      <c r="N1879" s="1">
        <f>3.061*100000000</f>
        <v>306100000</v>
      </c>
      <c r="O1879" s="8">
        <f t="shared" si="917"/>
        <v>0.8166172106824926</v>
      </c>
      <c r="P1879" s="6" t="s">
        <v>2893</v>
      </c>
      <c r="Q1879" s="6" t="str">
        <f t="shared" si="901"/>
        <v>=1.685*100000000</v>
      </c>
      <c r="R1879" s="11">
        <f>1.685*100000000</f>
        <v>168500000</v>
      </c>
      <c r="S1879" s="8">
        <f t="shared" si="918"/>
        <v>-0.74048975820113971</v>
      </c>
      <c r="T1879" s="6" t="s">
        <v>4824</v>
      </c>
      <c r="U1879" s="6" t="str">
        <f t="shared" si="902"/>
        <v>=6.493*100000000</v>
      </c>
      <c r="V1879" s="1">
        <f>6.493*100000000</f>
        <v>649300000</v>
      </c>
      <c r="W1879" s="8">
        <f t="shared" si="919"/>
        <v>0.3652228763666947</v>
      </c>
      <c r="X1879" s="6" t="s">
        <v>10241</v>
      </c>
      <c r="Y1879" s="6" t="str">
        <f t="shared" si="903"/>
        <v>=4.756*100000000</v>
      </c>
      <c r="Z1879" s="1">
        <f>4.756*100000000</f>
        <v>475600000</v>
      </c>
      <c r="AA1879" s="8">
        <f t="shared" si="920"/>
        <v>0.64226519337016574</v>
      </c>
      <c r="AB1879" s="6" t="s">
        <v>6385</v>
      </c>
      <c r="AC1879" s="6" t="str">
        <f t="shared" si="904"/>
        <v>=2.896*100000000</v>
      </c>
      <c r="AD1879" s="1">
        <f>2.896*100000000</f>
        <v>289600000</v>
      </c>
      <c r="AE1879" s="8">
        <f t="shared" si="921"/>
        <v>1.2929532858273953</v>
      </c>
      <c r="AF1879" s="6" t="s">
        <v>7257</v>
      </c>
      <c r="AG1879" s="6" t="str">
        <f t="shared" si="905"/>
        <v>=1.263*100000000</v>
      </c>
      <c r="AH1879" s="1">
        <f>1.263*100000000</f>
        <v>126299999.99999999</v>
      </c>
      <c r="AI1879" s="8">
        <f t="shared" si="922"/>
        <v>-0.6535929786066923</v>
      </c>
      <c r="AJ1879" s="6" t="s">
        <v>14017</v>
      </c>
      <c r="AK1879" s="6" t="str">
        <f t="shared" si="906"/>
        <v>=3.646*100000000</v>
      </c>
      <c r="AL1879" s="1">
        <f>3.646*100000000</f>
        <v>364600000</v>
      </c>
      <c r="AM1879" s="8">
        <f t="shared" si="923"/>
        <v>0.37636844092110228</v>
      </c>
      <c r="AN1879" s="6" t="s">
        <v>1291</v>
      </c>
      <c r="AO1879" s="6" t="str">
        <f t="shared" si="907"/>
        <v>=2.649*100000000</v>
      </c>
      <c r="AP1879" s="1">
        <f>2.649*100000000</f>
        <v>264900000</v>
      </c>
      <c r="AQ1879" s="8">
        <f t="shared" si="924"/>
        <v>0.64024767801857585</v>
      </c>
      <c r="AR1879" s="6" t="s">
        <v>9037</v>
      </c>
      <c r="AS1879" s="6" t="str">
        <f t="shared" si="908"/>
        <v>=1.615*100000000</v>
      </c>
      <c r="AT1879" s="1">
        <f>1.615*100000000</f>
        <v>161500000</v>
      </c>
      <c r="AU1879" s="8">
        <f t="shared" si="925"/>
        <v>1.3631840796019901</v>
      </c>
      <c r="AV1879" s="7" t="s">
        <v>16945</v>
      </c>
      <c r="AW1879" s="6" t="str">
        <f t="shared" si="909"/>
        <v>=6834*10000</v>
      </c>
      <c r="AX1879" s="1">
        <f>6834*10000</f>
        <v>68340000</v>
      </c>
      <c r="AY1879" s="10">
        <f t="shared" si="926"/>
        <v>-0.77475280158206983</v>
      </c>
      <c r="AZ1879" s="6" t="s">
        <v>10542</v>
      </c>
      <c r="BA1879" s="6" t="str">
        <f t="shared" si="910"/>
        <v>=3.034*100000000</v>
      </c>
      <c r="BB1879" s="1">
        <f>3.034*100000000</f>
        <v>303400000</v>
      </c>
      <c r="BC1879" s="8">
        <f t="shared" si="927"/>
        <v>0.16827108201771274</v>
      </c>
      <c r="BD1879" s="6" t="s">
        <v>1668</v>
      </c>
      <c r="BE1879" s="6" t="str">
        <f t="shared" si="911"/>
        <v>=2.597*100000000</v>
      </c>
      <c r="BF1879" s="1">
        <f>2.597*100000000</f>
        <v>259700000</v>
      </c>
      <c r="BG1879" s="8">
        <f t="shared" si="928"/>
        <v>0.47389330306469918</v>
      </c>
      <c r="BH1879" s="6" t="s">
        <v>1476</v>
      </c>
      <c r="BI1879" s="6" t="str">
        <f t="shared" si="912"/>
        <v>=1.762*100000000</v>
      </c>
      <c r="BJ1879" s="1">
        <f>1.762*100000000</f>
        <v>176200000</v>
      </c>
      <c r="BK1879" s="7" t="s">
        <v>16539</v>
      </c>
      <c r="BL1879" s="1" t="str">
        <f t="shared" si="914"/>
        <v>=9682*10000</v>
      </c>
      <c r="BM1879" s="16">
        <f t="shared" si="929"/>
        <v>0.81987192728775049</v>
      </c>
      <c r="BN1879" s="1">
        <f>9682*10000</f>
        <v>96820000</v>
      </c>
    </row>
    <row r="1880" spans="1:66">
      <c r="A1880" s="18"/>
      <c r="B1880">
        <v>603686</v>
      </c>
      <c r="C1880" t="s">
        <v>58</v>
      </c>
      <c r="D1880" s="6" t="s">
        <v>16946</v>
      </c>
      <c r="E1880" s="7" t="str">
        <f t="shared" si="913"/>
        <v>=5.049*100000000</v>
      </c>
      <c r="F1880" s="1">
        <f>5.049*100000000</f>
        <v>504900000.00000006</v>
      </c>
      <c r="G1880" s="8">
        <f t="shared" si="915"/>
        <v>0.11752988047808778</v>
      </c>
      <c r="H1880" s="6" t="s">
        <v>16253</v>
      </c>
      <c r="I1880" s="6" t="str">
        <f t="shared" si="899"/>
        <v>=4.518*100000000</v>
      </c>
      <c r="J1880" s="1">
        <f>4.518*100000000</f>
        <v>451800000</v>
      </c>
      <c r="K1880" s="10">
        <f t="shared" si="916"/>
        <v>0.47888707037643208</v>
      </c>
      <c r="L1880" s="6" t="s">
        <v>10779</v>
      </c>
      <c r="M1880" s="6" t="str">
        <f t="shared" si="900"/>
        <v>=3.055*100000000</v>
      </c>
      <c r="N1880" s="1">
        <f>3.055*100000000</f>
        <v>305500000</v>
      </c>
      <c r="O1880" s="8">
        <f t="shared" si="917"/>
        <v>0.81521093285799173</v>
      </c>
      <c r="P1880" s="6" t="s">
        <v>9515</v>
      </c>
      <c r="Q1880" s="6" t="str">
        <f t="shared" si="901"/>
        <v>=1.683*100000000</v>
      </c>
      <c r="R1880" s="11">
        <f>1.683*100000000</f>
        <v>168300000</v>
      </c>
      <c r="S1880" s="8">
        <f t="shared" si="918"/>
        <v>-0.73821745216985535</v>
      </c>
      <c r="T1880" s="6" t="s">
        <v>8147</v>
      </c>
      <c r="U1880" s="6" t="str">
        <f t="shared" si="902"/>
        <v>=6.429*100000000</v>
      </c>
      <c r="V1880" s="1">
        <f>6.429*100000000</f>
        <v>642900000</v>
      </c>
      <c r="W1880" s="8">
        <f t="shared" si="919"/>
        <v>0.36352067868504773</v>
      </c>
      <c r="X1880" s="6" t="s">
        <v>7851</v>
      </c>
      <c r="Y1880" s="6" t="str">
        <f t="shared" si="903"/>
        <v>=4.715*100000000</v>
      </c>
      <c r="Z1880" s="1">
        <f>4.715*100000000</f>
        <v>471500000</v>
      </c>
      <c r="AA1880" s="8">
        <f t="shared" si="920"/>
        <v>0.64917803427771947</v>
      </c>
      <c r="AB1880" s="6" t="s">
        <v>15621</v>
      </c>
      <c r="AC1880" s="6" t="str">
        <f t="shared" si="904"/>
        <v>=2.859*100000000</v>
      </c>
      <c r="AD1880" s="1">
        <f>2.859*100000000</f>
        <v>285900000</v>
      </c>
      <c r="AE1880" s="8">
        <f t="shared" si="921"/>
        <v>1.3225020308692119</v>
      </c>
      <c r="AF1880" s="6" t="s">
        <v>15559</v>
      </c>
      <c r="AG1880" s="6" t="str">
        <f t="shared" si="905"/>
        <v>=1.231*100000000</v>
      </c>
      <c r="AH1880" s="1">
        <f>1.231*100000000</f>
        <v>123100000.00000001</v>
      </c>
      <c r="AI1880" s="8">
        <f t="shared" si="922"/>
        <v>-0.65956858407079644</v>
      </c>
      <c r="AJ1880" s="6" t="s">
        <v>365</v>
      </c>
      <c r="AK1880" s="6" t="str">
        <f t="shared" si="906"/>
        <v>=3.616*100000000</v>
      </c>
      <c r="AL1880" s="1">
        <f>3.616*100000000</f>
        <v>361600000</v>
      </c>
      <c r="AM1880" s="8">
        <f t="shared" si="923"/>
        <v>0.37438236412010656</v>
      </c>
      <c r="AN1880" s="6" t="s">
        <v>16947</v>
      </c>
      <c r="AO1880" s="6" t="str">
        <f t="shared" si="907"/>
        <v>=2.631*100000000</v>
      </c>
      <c r="AP1880" s="1">
        <f>2.631*100000000</f>
        <v>263099999.99999997</v>
      </c>
      <c r="AQ1880" s="8">
        <f t="shared" si="924"/>
        <v>0.64334790755777616</v>
      </c>
      <c r="AR1880" s="6" t="s">
        <v>2910</v>
      </c>
      <c r="AS1880" s="6" t="str">
        <f t="shared" si="908"/>
        <v>=1.601*100000000</v>
      </c>
      <c r="AT1880" s="1">
        <f>1.601*100000000</f>
        <v>160100000</v>
      </c>
      <c r="AU1880" s="8">
        <f t="shared" si="925"/>
        <v>1.3544117647058824</v>
      </c>
      <c r="AV1880" s="7" t="s">
        <v>16948</v>
      </c>
      <c r="AW1880" s="6" t="str">
        <f t="shared" si="909"/>
        <v>=6800*10000</v>
      </c>
      <c r="AX1880" s="1">
        <f>6800*10000</f>
        <v>68000000</v>
      </c>
      <c r="AY1880" s="10">
        <f t="shared" si="926"/>
        <v>-0.77378576180971392</v>
      </c>
      <c r="AZ1880" s="6" t="s">
        <v>102</v>
      </c>
      <c r="BA1880" s="6" t="str">
        <f t="shared" si="910"/>
        <v>=3.006*100000000</v>
      </c>
      <c r="BB1880" s="1">
        <f>3.006*100000000</f>
        <v>300600000</v>
      </c>
      <c r="BC1880" s="8">
        <f t="shared" si="927"/>
        <v>0.16692546583850931</v>
      </c>
      <c r="BD1880" s="6" t="s">
        <v>4408</v>
      </c>
      <c r="BE1880" s="6" t="str">
        <f t="shared" si="911"/>
        <v>=2.576*100000000</v>
      </c>
      <c r="BF1880" s="1">
        <f>2.576*100000000</f>
        <v>257600000</v>
      </c>
      <c r="BG1880" s="8">
        <f t="shared" si="928"/>
        <v>0.47284162378502004</v>
      </c>
      <c r="BH1880" s="6" t="s">
        <v>16949</v>
      </c>
      <c r="BI1880" s="6" t="str">
        <f t="shared" si="912"/>
        <v>=1.749*100000000</v>
      </c>
      <c r="BJ1880" s="1">
        <f>1.749*100000000</f>
        <v>174900000</v>
      </c>
      <c r="BK1880" s="7" t="s">
        <v>16950</v>
      </c>
      <c r="BL1880" s="1" t="str">
        <f t="shared" si="914"/>
        <v>=9661*10000</v>
      </c>
      <c r="BM1880" s="16">
        <f t="shared" si="929"/>
        <v>0.81037159714315288</v>
      </c>
      <c r="BN1880" s="1">
        <f>9661*10000</f>
        <v>96610000</v>
      </c>
    </row>
    <row r="1881" spans="1:66">
      <c r="A1881" s="19"/>
      <c r="B1881">
        <v>603686</v>
      </c>
      <c r="C1881" t="s">
        <v>68</v>
      </c>
      <c r="D1881" s="6" t="s">
        <v>11052</v>
      </c>
      <c r="E1881" s="7" t="str">
        <f t="shared" si="913"/>
        <v>=4.378*100000000</v>
      </c>
      <c r="F1881" s="1">
        <f>4.378*100000000</f>
        <v>437800000</v>
      </c>
      <c r="G1881" s="8">
        <f t="shared" si="915"/>
        <v>0.12602880658436214</v>
      </c>
      <c r="H1881" s="6" t="s">
        <v>16951</v>
      </c>
      <c r="I1881" s="6" t="str">
        <f t="shared" si="899"/>
        <v>=3.888*100000000</v>
      </c>
      <c r="J1881" s="1">
        <f>3.888*100000000</f>
        <v>388800000</v>
      </c>
      <c r="K1881" s="10">
        <f t="shared" si="916"/>
        <v>0.48114285714285715</v>
      </c>
      <c r="L1881" s="6" t="s">
        <v>10497</v>
      </c>
      <c r="M1881" s="6" t="str">
        <f t="shared" si="900"/>
        <v>=2.625*100000000</v>
      </c>
      <c r="N1881" s="1">
        <f>2.625*100000000</f>
        <v>262500000</v>
      </c>
      <c r="O1881" s="8">
        <f t="shared" si="917"/>
        <v>0.83438155136268344</v>
      </c>
      <c r="P1881" s="6" t="s">
        <v>6250</v>
      </c>
      <c r="Q1881" s="6" t="str">
        <f t="shared" si="901"/>
        <v>=1.431*100000000</v>
      </c>
      <c r="R1881" s="11">
        <f>1.431*100000000</f>
        <v>143100000</v>
      </c>
      <c r="S1881" s="8">
        <f t="shared" si="918"/>
        <v>-0.73704520396912898</v>
      </c>
      <c r="T1881" s="6" t="s">
        <v>5729</v>
      </c>
      <c r="U1881" s="6" t="str">
        <f t="shared" si="902"/>
        <v>=5.442*100000000</v>
      </c>
      <c r="V1881" s="1">
        <f>5.442*100000000</f>
        <v>544200000</v>
      </c>
      <c r="W1881" s="8">
        <f t="shared" si="919"/>
        <v>0.33742934381912015</v>
      </c>
      <c r="X1881" s="6" t="s">
        <v>16952</v>
      </c>
      <c r="Y1881" s="6" t="str">
        <f t="shared" si="903"/>
        <v>=4.069*100000000</v>
      </c>
      <c r="Z1881" s="1">
        <f>4.069*100000000</f>
        <v>406900000</v>
      </c>
      <c r="AA1881" s="8">
        <f t="shared" si="920"/>
        <v>0.64670174018615945</v>
      </c>
      <c r="AB1881" s="6" t="s">
        <v>5289</v>
      </c>
      <c r="AC1881" s="6" t="str">
        <f t="shared" si="904"/>
        <v>=2.471*100000000</v>
      </c>
      <c r="AD1881" s="1">
        <f>2.471*100000000</f>
        <v>247100000</v>
      </c>
      <c r="AE1881" s="8">
        <f t="shared" si="921"/>
        <v>1.3668582375478928</v>
      </c>
      <c r="AF1881" s="6" t="s">
        <v>10411</v>
      </c>
      <c r="AG1881" s="6" t="str">
        <f t="shared" si="905"/>
        <v>=1.044*100000000</v>
      </c>
      <c r="AH1881" s="1">
        <f>1.044*100000000</f>
        <v>104400000</v>
      </c>
      <c r="AI1881" s="8">
        <f t="shared" si="922"/>
        <v>-0.64848484848484844</v>
      </c>
      <c r="AJ1881" s="6" t="s">
        <v>7853</v>
      </c>
      <c r="AK1881" s="6" t="str">
        <f t="shared" si="906"/>
        <v>=2.970*100000000</v>
      </c>
      <c r="AL1881" s="1">
        <f>2.97*100000000</f>
        <v>297000000</v>
      </c>
      <c r="AM1881" s="8">
        <f t="shared" si="923"/>
        <v>0.37309292649098491</v>
      </c>
      <c r="AN1881" s="6" t="s">
        <v>16953</v>
      </c>
      <c r="AO1881" s="6" t="str">
        <f t="shared" si="907"/>
        <v>=2.163*100000000</v>
      </c>
      <c r="AP1881" s="1">
        <f>2.163*100000000</f>
        <v>216299999.99999997</v>
      </c>
      <c r="AQ1881" s="8">
        <f t="shared" si="924"/>
        <v>0.62143928035981966</v>
      </c>
      <c r="AR1881" s="6" t="s">
        <v>14774</v>
      </c>
      <c r="AS1881" s="6" t="str">
        <f t="shared" si="908"/>
        <v>=1.334*100000000</v>
      </c>
      <c r="AT1881" s="1">
        <f>1.334*100000000</f>
        <v>133400000.00000001</v>
      </c>
      <c r="AU1881" s="8">
        <f t="shared" si="925"/>
        <v>1.2881646655231564</v>
      </c>
      <c r="AV1881" s="7" t="s">
        <v>16954</v>
      </c>
      <c r="AW1881" s="6" t="str">
        <f t="shared" si="909"/>
        <v>=5830*10000</v>
      </c>
      <c r="AX1881" s="1">
        <f>5830*10000</f>
        <v>58300000</v>
      </c>
      <c r="AY1881" s="10">
        <f t="shared" si="926"/>
        <v>-0.77279812938425563</v>
      </c>
      <c r="AZ1881" s="6" t="s">
        <v>9762</v>
      </c>
      <c r="BA1881" s="6" t="str">
        <f t="shared" si="910"/>
        <v>=2.566*100000000</v>
      </c>
      <c r="BB1881" s="1">
        <f>2.566*100000000</f>
        <v>256599999.99999997</v>
      </c>
      <c r="BC1881" s="8">
        <f t="shared" si="927"/>
        <v>0.20074871314927453</v>
      </c>
      <c r="BD1881" s="6" t="s">
        <v>6902</v>
      </c>
      <c r="BE1881" s="6" t="str">
        <f t="shared" si="911"/>
        <v>=2.137*100000000</v>
      </c>
      <c r="BF1881" s="1">
        <f>2.137*100000000</f>
        <v>213700000</v>
      </c>
      <c r="BG1881" s="8">
        <f t="shared" si="928"/>
        <v>0.47684865238424329</v>
      </c>
      <c r="BH1881" s="6" t="s">
        <v>13851</v>
      </c>
      <c r="BI1881" s="6" t="str">
        <f t="shared" si="912"/>
        <v>=1.447*100000000</v>
      </c>
      <c r="BJ1881" s="1">
        <f>1.447*100000000</f>
        <v>144700000</v>
      </c>
      <c r="BK1881" s="7" t="s">
        <v>16955</v>
      </c>
      <c r="BL1881" s="1" t="str">
        <f t="shared" si="914"/>
        <v>=8228*10000</v>
      </c>
      <c r="BM1881" s="16">
        <f t="shared" si="929"/>
        <v>0.75862907146329606</v>
      </c>
      <c r="BN1881" s="1">
        <f>8228*10000</f>
        <v>82280000</v>
      </c>
    </row>
    <row r="1882" spans="1:66">
      <c r="A1882" s="17">
        <v>472</v>
      </c>
      <c r="B1882">
        <v>603689</v>
      </c>
      <c r="C1882" t="s">
        <v>31</v>
      </c>
      <c r="D1882" s="6" t="s">
        <v>11751</v>
      </c>
      <c r="E1882" s="7" t="str">
        <f t="shared" si="913"/>
        <v>=49.37*100000000</v>
      </c>
      <c r="F1882" s="1">
        <f>49.37*100000000</f>
        <v>4937000000</v>
      </c>
      <c r="G1882" s="8">
        <f t="shared" si="915"/>
        <v>0.40255681818181799</v>
      </c>
      <c r="H1882" s="6" t="s">
        <v>2729</v>
      </c>
      <c r="I1882" s="6" t="str">
        <f t="shared" si="899"/>
        <v>=35.20*100000000</v>
      </c>
      <c r="J1882" s="1">
        <f>35.2*100000000</f>
        <v>3520000000.0000005</v>
      </c>
      <c r="K1882" s="10">
        <f t="shared" si="916"/>
        <v>0.4239482200647251</v>
      </c>
      <c r="L1882" s="6" t="s">
        <v>8365</v>
      </c>
      <c r="M1882" s="6" t="str">
        <f t="shared" si="900"/>
        <v>=24.72*100000000</v>
      </c>
      <c r="N1882" s="1">
        <f>24.72*100000000</f>
        <v>2472000000</v>
      </c>
      <c r="O1882" s="8">
        <f t="shared" si="917"/>
        <v>0.70954356846473032</v>
      </c>
      <c r="P1882" s="6" t="s">
        <v>7955</v>
      </c>
      <c r="Q1882" s="6" t="str">
        <f t="shared" si="901"/>
        <v>=14.46*100000000</v>
      </c>
      <c r="R1882" s="11">
        <f>14.46*100000000</f>
        <v>1446000000</v>
      </c>
      <c r="S1882" s="8">
        <f t="shared" si="918"/>
        <v>-0.69647355163727964</v>
      </c>
      <c r="T1882" s="6" t="s">
        <v>16956</v>
      </c>
      <c r="U1882" s="6" t="str">
        <f t="shared" si="902"/>
        <v>=47.64*100000000</v>
      </c>
      <c r="V1882" s="1">
        <f>47.64*100000000</f>
        <v>4764000000</v>
      </c>
      <c r="W1882" s="8">
        <f t="shared" si="919"/>
        <v>0.5991943605236657</v>
      </c>
      <c r="X1882" s="6" t="s">
        <v>16957</v>
      </c>
      <c r="Y1882" s="6" t="str">
        <f t="shared" si="903"/>
        <v>=29.79*100000000</v>
      </c>
      <c r="Z1882" s="1">
        <f>29.79*100000000</f>
        <v>2979000000</v>
      </c>
      <c r="AA1882" s="8">
        <f t="shared" si="920"/>
        <v>0.45672371638141807</v>
      </c>
      <c r="AB1882" s="6" t="s">
        <v>732</v>
      </c>
      <c r="AC1882" s="6" t="str">
        <f t="shared" si="904"/>
        <v>=20.45*100000000</v>
      </c>
      <c r="AD1882" s="1">
        <f>20.45*100000000</f>
        <v>2045000000</v>
      </c>
      <c r="AE1882" s="8">
        <f t="shared" si="921"/>
        <v>0.74339300937766406</v>
      </c>
      <c r="AF1882" s="6" t="s">
        <v>6864</v>
      </c>
      <c r="AG1882" s="6" t="str">
        <f t="shared" si="905"/>
        <v>=11.73*100000000</v>
      </c>
      <c r="AH1882" s="1">
        <f>11.73*100000000</f>
        <v>1173000000</v>
      </c>
      <c r="AI1882" s="8">
        <f t="shared" si="922"/>
        <v>-0.71877247662431076</v>
      </c>
      <c r="AJ1882" s="6" t="s">
        <v>16958</v>
      </c>
      <c r="AK1882" s="6" t="str">
        <f t="shared" si="906"/>
        <v>=41.71*100000000</v>
      </c>
      <c r="AL1882" s="1">
        <f>41.71*100000000</f>
        <v>4171000000</v>
      </c>
      <c r="AM1882" s="8">
        <f t="shared" si="923"/>
        <v>0.4645365168539326</v>
      </c>
      <c r="AN1882" s="6" t="s">
        <v>3224</v>
      </c>
      <c r="AO1882" s="6" t="str">
        <f t="shared" si="907"/>
        <v>=28.48*100000000</v>
      </c>
      <c r="AP1882" s="1">
        <f>28.48*100000000</f>
        <v>2848000000</v>
      </c>
      <c r="AQ1882" s="8">
        <f t="shared" si="924"/>
        <v>0.46577457539886774</v>
      </c>
      <c r="AR1882" s="6" t="s">
        <v>14396</v>
      </c>
      <c r="AS1882" s="6" t="str">
        <f t="shared" si="908"/>
        <v>=19.43*100000000</v>
      </c>
      <c r="AT1882" s="1">
        <f>19.43*100000000</f>
        <v>1943000000</v>
      </c>
      <c r="AU1882" s="8">
        <f t="shared" si="925"/>
        <v>0.79078341013824882</v>
      </c>
      <c r="AV1882" s="6" t="s">
        <v>8796</v>
      </c>
      <c r="AW1882" s="6" t="str">
        <f t="shared" si="909"/>
        <v>=10.85*100000000</v>
      </c>
      <c r="AX1882" s="1">
        <f>10.85*100000000</f>
        <v>1085000000</v>
      </c>
      <c r="AY1882" s="10">
        <f t="shared" si="926"/>
        <v>-0.66522678185745132</v>
      </c>
      <c r="AZ1882" s="6" t="s">
        <v>8177</v>
      </c>
      <c r="BA1882" s="6" t="str">
        <f t="shared" si="910"/>
        <v>=32.41*100000000</v>
      </c>
      <c r="BB1882" s="1">
        <f>32.41*100000000</f>
        <v>3240999999.9999995</v>
      </c>
      <c r="BC1882" s="8">
        <f t="shared" si="927"/>
        <v>0.43980453131941338</v>
      </c>
      <c r="BD1882" s="6" t="s">
        <v>6459</v>
      </c>
      <c r="BE1882" s="6" t="str">
        <f t="shared" si="911"/>
        <v>=22.51*100000000</v>
      </c>
      <c r="BF1882" s="1">
        <f>22.51*100000000</f>
        <v>2251000000</v>
      </c>
      <c r="BG1882" s="8">
        <f t="shared" si="928"/>
        <v>0.45038659793814434</v>
      </c>
      <c r="BH1882" s="6" t="s">
        <v>153</v>
      </c>
      <c r="BI1882" s="6" t="str">
        <f t="shared" si="912"/>
        <v>=15.52*100000000</v>
      </c>
      <c r="BJ1882" s="1">
        <f>15.52*100000000</f>
        <v>1552000000</v>
      </c>
      <c r="BK1882" s="6" t="s">
        <v>16959</v>
      </c>
      <c r="BL1882" s="1" t="str">
        <f t="shared" si="914"/>
        <v>=8.070*100000000</v>
      </c>
      <c r="BM1882" s="16">
        <f t="shared" si="929"/>
        <v>0.92317224287484512</v>
      </c>
      <c r="BN1882" s="1">
        <f>8.07*100000000</f>
        <v>807000000</v>
      </c>
    </row>
    <row r="1883" spans="1:66">
      <c r="A1883" s="18"/>
      <c r="B1883">
        <v>603689</v>
      </c>
      <c r="C1883" t="s">
        <v>48</v>
      </c>
      <c r="D1883" s="6" t="s">
        <v>9179</v>
      </c>
      <c r="E1883" s="7" t="str">
        <f t="shared" si="913"/>
        <v>=2.772*100000000</v>
      </c>
      <c r="F1883" s="1">
        <f>2.772*100000000</f>
        <v>277200000</v>
      </c>
      <c r="G1883" s="8">
        <f t="shared" si="915"/>
        <v>0.24808644754615039</v>
      </c>
      <c r="H1883" s="6" t="s">
        <v>6886</v>
      </c>
      <c r="I1883" s="6" t="str">
        <f t="shared" si="899"/>
        <v>=2.221*100000000</v>
      </c>
      <c r="J1883" s="1">
        <f>2.221*100000000</f>
        <v>222100000</v>
      </c>
      <c r="K1883" s="10">
        <f t="shared" si="916"/>
        <v>0.32045184304399527</v>
      </c>
      <c r="L1883" s="6" t="s">
        <v>2173</v>
      </c>
      <c r="M1883" s="6" t="str">
        <f t="shared" si="900"/>
        <v>=1.682*100000000</v>
      </c>
      <c r="N1883" s="1">
        <f>1.682*100000000</f>
        <v>168200000</v>
      </c>
      <c r="O1883" s="8">
        <f t="shared" si="917"/>
        <v>0.88016990833892239</v>
      </c>
      <c r="P1883" s="7" t="s">
        <v>16960</v>
      </c>
      <c r="Q1883" s="6" t="str">
        <f t="shared" si="901"/>
        <v>=8946*10000</v>
      </c>
      <c r="R1883" s="11">
        <f>8946*10000</f>
        <v>89460000</v>
      </c>
      <c r="S1883" s="8">
        <f t="shared" si="918"/>
        <v>-0.68004291845493559</v>
      </c>
      <c r="T1883" s="6" t="s">
        <v>8848</v>
      </c>
      <c r="U1883" s="6" t="str">
        <f t="shared" si="902"/>
        <v>=2.796*100000000</v>
      </c>
      <c r="V1883" s="1">
        <f>2.796*100000000</f>
        <v>279600000</v>
      </c>
      <c r="W1883" s="8">
        <f t="shared" si="919"/>
        <v>0.38278931750741862</v>
      </c>
      <c r="X1883" s="6" t="s">
        <v>16961</v>
      </c>
      <c r="Y1883" s="6" t="str">
        <f t="shared" si="903"/>
        <v>=2.022*100000000</v>
      </c>
      <c r="Z1883" s="1">
        <f>2.022*100000000</f>
        <v>202199999.99999997</v>
      </c>
      <c r="AA1883" s="8">
        <f t="shared" si="920"/>
        <v>0.48349229640498875</v>
      </c>
      <c r="AB1883" s="6" t="s">
        <v>6885</v>
      </c>
      <c r="AC1883" s="6" t="str">
        <f t="shared" si="904"/>
        <v>=1.363*100000000</v>
      </c>
      <c r="AD1883" s="1">
        <f>1.363*100000000</f>
        <v>136300000</v>
      </c>
      <c r="AE1883" s="8">
        <f t="shared" si="921"/>
        <v>1.0632758098698154</v>
      </c>
      <c r="AF1883" s="7" t="s">
        <v>16962</v>
      </c>
      <c r="AG1883" s="6" t="str">
        <f t="shared" si="905"/>
        <v>=6606*10000</v>
      </c>
      <c r="AH1883" s="1">
        <f>6606*10000</f>
        <v>66060000</v>
      </c>
      <c r="AI1883" s="8">
        <f t="shared" si="922"/>
        <v>-0.77980000000000005</v>
      </c>
      <c r="AJ1883" s="6" t="s">
        <v>11078</v>
      </c>
      <c r="AK1883" s="6" t="str">
        <f t="shared" si="906"/>
        <v>=3.000*100000000</v>
      </c>
      <c r="AL1883" s="1">
        <f>3*100000000</f>
        <v>300000000</v>
      </c>
      <c r="AM1883" s="8">
        <f t="shared" si="923"/>
        <v>0.3574660633484163</v>
      </c>
      <c r="AN1883" s="6" t="s">
        <v>1778</v>
      </c>
      <c r="AO1883" s="6" t="str">
        <f t="shared" si="907"/>
        <v>=2.210*100000000</v>
      </c>
      <c r="AP1883" s="1">
        <f>2.21*100000000</f>
        <v>221000000</v>
      </c>
      <c r="AQ1883" s="8">
        <f t="shared" si="924"/>
        <v>0.43320363164721143</v>
      </c>
      <c r="AR1883" s="6" t="s">
        <v>16568</v>
      </c>
      <c r="AS1883" s="6" t="str">
        <f t="shared" si="908"/>
        <v>=1.542*100000000</v>
      </c>
      <c r="AT1883" s="1">
        <f>1.542*100000000</f>
        <v>154200000</v>
      </c>
      <c r="AU1883" s="8">
        <f t="shared" si="925"/>
        <v>0.83637013219006784</v>
      </c>
      <c r="AV1883" s="7" t="s">
        <v>16963</v>
      </c>
      <c r="AW1883" s="6" t="str">
        <f t="shared" si="909"/>
        <v>=8397*10000</v>
      </c>
      <c r="AX1883" s="1">
        <f>8397*10000</f>
        <v>83970000</v>
      </c>
      <c r="AY1883" s="10">
        <f t="shared" si="926"/>
        <v>-0.63790426908150066</v>
      </c>
      <c r="AZ1883" s="6" t="s">
        <v>1997</v>
      </c>
      <c r="BA1883" s="6" t="str">
        <f t="shared" si="910"/>
        <v>=2.319*100000000</v>
      </c>
      <c r="BB1883" s="1">
        <f>2.319*100000000</f>
        <v>231900000</v>
      </c>
      <c r="BC1883" s="8">
        <f t="shared" si="927"/>
        <v>0.43325092707045737</v>
      </c>
      <c r="BD1883" s="6" t="s">
        <v>1779</v>
      </c>
      <c r="BE1883" s="6" t="str">
        <f t="shared" si="911"/>
        <v>=1.618*100000000</v>
      </c>
      <c r="BF1883" s="1">
        <f>1.618*100000000</f>
        <v>161800000</v>
      </c>
      <c r="BG1883" s="8">
        <f t="shared" si="928"/>
        <v>0.41929824561403528</v>
      </c>
      <c r="BH1883" s="6" t="s">
        <v>6914</v>
      </c>
      <c r="BI1883" s="6" t="str">
        <f t="shared" si="912"/>
        <v>=1.140*100000000</v>
      </c>
      <c r="BJ1883" s="1">
        <f>1.14*100000000</f>
        <v>113999999.99999999</v>
      </c>
      <c r="BK1883" s="7" t="s">
        <v>16964</v>
      </c>
      <c r="BL1883" s="1" t="str">
        <f t="shared" si="914"/>
        <v>=5641*10000</v>
      </c>
      <c r="BM1883" s="16">
        <f t="shared" si="929"/>
        <v>1.0209182769012584</v>
      </c>
      <c r="BN1883" s="1">
        <f>5641*10000</f>
        <v>56410000</v>
      </c>
    </row>
    <row r="1884" spans="1:66">
      <c r="A1884" s="18"/>
      <c r="B1884">
        <v>603689</v>
      </c>
      <c r="C1884" t="s">
        <v>58</v>
      </c>
      <c r="D1884" s="6" t="s">
        <v>16965</v>
      </c>
      <c r="E1884" s="7" t="str">
        <f t="shared" si="913"/>
        <v>=2.747*100000000</v>
      </c>
      <c r="F1884" s="1">
        <f>2.747*100000000</f>
        <v>274700000</v>
      </c>
      <c r="G1884" s="8">
        <f t="shared" si="915"/>
        <v>0.23571749887539362</v>
      </c>
      <c r="H1884" s="6" t="s">
        <v>16966</v>
      </c>
      <c r="I1884" s="6" t="str">
        <f t="shared" si="899"/>
        <v>=2.223*100000000</v>
      </c>
      <c r="J1884" s="1">
        <f>2.223*100000000</f>
        <v>222300000</v>
      </c>
      <c r="K1884" s="10">
        <f t="shared" si="916"/>
        <v>0.32400238237045859</v>
      </c>
      <c r="L1884" s="6" t="s">
        <v>6249</v>
      </c>
      <c r="M1884" s="6" t="str">
        <f t="shared" si="900"/>
        <v>=1.679*100000000</v>
      </c>
      <c r="N1884" s="1">
        <f>1.679*100000000</f>
        <v>167900000</v>
      </c>
      <c r="O1884" s="8">
        <f t="shared" si="917"/>
        <v>0.87828616176306074</v>
      </c>
      <c r="P1884" s="7" t="s">
        <v>16967</v>
      </c>
      <c r="Q1884" s="6" t="str">
        <f t="shared" si="901"/>
        <v>=8939*10000</v>
      </c>
      <c r="R1884" s="11">
        <f>8939*10000</f>
        <v>89390000</v>
      </c>
      <c r="S1884" s="8">
        <f t="shared" si="918"/>
        <v>-0.68602037232174218</v>
      </c>
      <c r="T1884" s="6" t="s">
        <v>8255</v>
      </c>
      <c r="U1884" s="6" t="str">
        <f t="shared" si="902"/>
        <v>=2.847*100000000</v>
      </c>
      <c r="V1884" s="1">
        <f>2.847*100000000</f>
        <v>284700000</v>
      </c>
      <c r="W1884" s="8">
        <f t="shared" si="919"/>
        <v>0.40870856011875312</v>
      </c>
      <c r="X1884" s="6" t="s">
        <v>6547</v>
      </c>
      <c r="Y1884" s="6" t="str">
        <f t="shared" si="903"/>
        <v>=2.021*100000000</v>
      </c>
      <c r="Z1884" s="1">
        <f>2.021*100000000</f>
        <v>202100000</v>
      </c>
      <c r="AA1884" s="8">
        <f t="shared" si="920"/>
        <v>0.50260223048327135</v>
      </c>
      <c r="AB1884" s="6" t="s">
        <v>6291</v>
      </c>
      <c r="AC1884" s="6" t="str">
        <f t="shared" si="904"/>
        <v>=1.345*100000000</v>
      </c>
      <c r="AD1884" s="1">
        <f>1.345*100000000</f>
        <v>134500000</v>
      </c>
      <c r="AE1884" s="8">
        <f t="shared" si="921"/>
        <v>1.0950155763239875</v>
      </c>
      <c r="AF1884" s="7" t="s">
        <v>16968</v>
      </c>
      <c r="AG1884" s="6" t="str">
        <f t="shared" si="905"/>
        <v>=6420*10000</v>
      </c>
      <c r="AH1884" s="1">
        <f>6420*10000</f>
        <v>64200000</v>
      </c>
      <c r="AI1884" s="8">
        <f t="shared" si="922"/>
        <v>-0.78678180006642306</v>
      </c>
      <c r="AJ1884" s="6" t="s">
        <v>1475</v>
      </c>
      <c r="AK1884" s="6" t="str">
        <f t="shared" si="906"/>
        <v>=3.011*100000000</v>
      </c>
      <c r="AL1884" s="1">
        <f>3.011*100000000</f>
        <v>301100000</v>
      </c>
      <c r="AM1884" s="8">
        <f t="shared" si="923"/>
        <v>0.35936794582392778</v>
      </c>
      <c r="AN1884" s="6" t="s">
        <v>894</v>
      </c>
      <c r="AO1884" s="6" t="str">
        <f t="shared" si="907"/>
        <v>=2.215*100000000</v>
      </c>
      <c r="AP1884" s="1">
        <f>2.215*100000000</f>
        <v>221500000</v>
      </c>
      <c r="AQ1884" s="8">
        <f t="shared" si="924"/>
        <v>0.43272962483829236</v>
      </c>
      <c r="AR1884" s="6" t="s">
        <v>10544</v>
      </c>
      <c r="AS1884" s="6" t="str">
        <f t="shared" si="908"/>
        <v>=1.546*100000000</v>
      </c>
      <c r="AT1884" s="1">
        <f>1.546*100000000</f>
        <v>154600000</v>
      </c>
      <c r="AU1884" s="8">
        <f t="shared" si="925"/>
        <v>0.84091450345320318</v>
      </c>
      <c r="AV1884" s="7" t="s">
        <v>16969</v>
      </c>
      <c r="AW1884" s="6" t="str">
        <f t="shared" si="909"/>
        <v>=8398*10000</v>
      </c>
      <c r="AX1884" s="1">
        <f>8398*10000</f>
        <v>83980000</v>
      </c>
      <c r="AY1884" s="10">
        <f t="shared" si="926"/>
        <v>-0.63895098882201207</v>
      </c>
      <c r="AZ1884" s="6" t="s">
        <v>16970</v>
      </c>
      <c r="BA1884" s="6" t="str">
        <f t="shared" si="910"/>
        <v>=2.326*100000000</v>
      </c>
      <c r="BB1884" s="1">
        <f>2.326*100000000</f>
        <v>232600000</v>
      </c>
      <c r="BC1884" s="8">
        <f t="shared" si="927"/>
        <v>0.43757725587144625</v>
      </c>
      <c r="BD1884" s="6" t="s">
        <v>1779</v>
      </c>
      <c r="BE1884" s="6" t="str">
        <f t="shared" si="911"/>
        <v>=1.618*100000000</v>
      </c>
      <c r="BF1884" s="1">
        <f>1.618*100000000</f>
        <v>161800000</v>
      </c>
      <c r="BG1884" s="8">
        <f t="shared" si="928"/>
        <v>0.42054433713784023</v>
      </c>
      <c r="BH1884" s="6" t="s">
        <v>2930</v>
      </c>
      <c r="BI1884" s="6" t="str">
        <f t="shared" si="912"/>
        <v>=1.139*100000000</v>
      </c>
      <c r="BJ1884" s="1">
        <f>1.139*100000000</f>
        <v>113900000</v>
      </c>
      <c r="BK1884" s="7" t="s">
        <v>16319</v>
      </c>
      <c r="BL1884" s="1" t="str">
        <f t="shared" si="914"/>
        <v>=5640*10000</v>
      </c>
      <c r="BM1884" s="16">
        <f t="shared" si="929"/>
        <v>1.0195035460992907</v>
      </c>
      <c r="BN1884" s="1">
        <f>5640*10000</f>
        <v>56400000</v>
      </c>
    </row>
    <row r="1885" spans="1:66">
      <c r="A1885" s="19"/>
      <c r="B1885">
        <v>603689</v>
      </c>
      <c r="C1885" t="s">
        <v>68</v>
      </c>
      <c r="D1885" s="6" t="s">
        <v>6783</v>
      </c>
      <c r="E1885" s="7" t="str">
        <f t="shared" si="913"/>
        <v>=1.941*100000000</v>
      </c>
      <c r="F1885" s="1">
        <f>1.941*100000000</f>
        <v>194100000</v>
      </c>
      <c r="G1885" s="8">
        <f t="shared" si="915"/>
        <v>0.19888820259419396</v>
      </c>
      <c r="H1885" s="6" t="s">
        <v>1514</v>
      </c>
      <c r="I1885" s="6" t="str">
        <f t="shared" si="899"/>
        <v>=1.619*100000000</v>
      </c>
      <c r="J1885" s="1">
        <f>1.619*100000000</f>
        <v>161900000</v>
      </c>
      <c r="K1885" s="10">
        <f t="shared" si="916"/>
        <v>0.31199351701782818</v>
      </c>
      <c r="L1885" s="6" t="s">
        <v>6043</v>
      </c>
      <c r="M1885" s="6" t="str">
        <f t="shared" si="900"/>
        <v>=1.234*100000000</v>
      </c>
      <c r="N1885" s="1">
        <f>1.234*100000000</f>
        <v>123400000</v>
      </c>
      <c r="O1885" s="8">
        <f t="shared" si="917"/>
        <v>0.8926380368098159</v>
      </c>
      <c r="P1885" s="7" t="s">
        <v>16971</v>
      </c>
      <c r="Q1885" s="6" t="str">
        <f t="shared" si="901"/>
        <v>=6520*10000</v>
      </c>
      <c r="R1885" s="11">
        <f>6520*10000</f>
        <v>65200000</v>
      </c>
      <c r="S1885" s="8">
        <f t="shared" si="918"/>
        <v>-0.6923076923076924</v>
      </c>
      <c r="T1885" s="6" t="s">
        <v>9277</v>
      </c>
      <c r="U1885" s="6" t="str">
        <f t="shared" si="902"/>
        <v>=2.119*100000000</v>
      </c>
      <c r="V1885" s="1">
        <f>2.119*100000000</f>
        <v>211900000.00000003</v>
      </c>
      <c r="W1885" s="8">
        <f t="shared" si="919"/>
        <v>0.40145502645502668</v>
      </c>
      <c r="X1885" s="6" t="s">
        <v>3561</v>
      </c>
      <c r="Y1885" s="6" t="str">
        <f t="shared" si="903"/>
        <v>=1.512*100000000</v>
      </c>
      <c r="Z1885" s="1">
        <f>1.512*100000000</f>
        <v>151200000</v>
      </c>
      <c r="AA1885" s="8">
        <f t="shared" si="920"/>
        <v>0.53455800263879016</v>
      </c>
      <c r="AB1885" s="7" t="s">
        <v>16972</v>
      </c>
      <c r="AC1885" s="6" t="str">
        <f t="shared" si="904"/>
        <v>=9853*10000</v>
      </c>
      <c r="AD1885" s="1">
        <f>9853*10000</f>
        <v>98530000</v>
      </c>
      <c r="AE1885" s="8">
        <f t="shared" si="921"/>
        <v>1.1299178555987894</v>
      </c>
      <c r="AF1885" s="7" t="s">
        <v>5002</v>
      </c>
      <c r="AG1885" s="6" t="str">
        <f t="shared" si="905"/>
        <v>=4626*10000</v>
      </c>
      <c r="AH1885" s="1">
        <f>4626*10000</f>
        <v>46260000</v>
      </c>
      <c r="AI1885" s="8">
        <f t="shared" si="922"/>
        <v>-0.79077340569877885</v>
      </c>
      <c r="AJ1885" s="6" t="s">
        <v>16973</v>
      </c>
      <c r="AK1885" s="6" t="str">
        <f t="shared" si="906"/>
        <v>=2.211*100000000</v>
      </c>
      <c r="AL1885" s="1">
        <f>2.211*100000000</f>
        <v>221100000</v>
      </c>
      <c r="AM1885" s="8">
        <f t="shared" si="923"/>
        <v>0.375</v>
      </c>
      <c r="AN1885" s="6" t="s">
        <v>9267</v>
      </c>
      <c r="AO1885" s="6" t="str">
        <f t="shared" si="907"/>
        <v>=1.608*100000000</v>
      </c>
      <c r="AP1885" s="1">
        <f>1.608*100000000</f>
        <v>160800000</v>
      </c>
      <c r="AQ1885" s="8">
        <f t="shared" si="924"/>
        <v>0.43060498220640553</v>
      </c>
      <c r="AR1885" s="6" t="s">
        <v>6891</v>
      </c>
      <c r="AS1885" s="6" t="str">
        <f t="shared" si="908"/>
        <v>=1.124*100000000</v>
      </c>
      <c r="AT1885" s="1">
        <f>1.124*100000000</f>
        <v>112400000.00000001</v>
      </c>
      <c r="AU1885" s="8">
        <f t="shared" si="925"/>
        <v>0.82704811443433057</v>
      </c>
      <c r="AV1885" s="7" t="s">
        <v>5473</v>
      </c>
      <c r="AW1885" s="6" t="str">
        <f t="shared" si="909"/>
        <v>=6152*10000</v>
      </c>
      <c r="AX1885" s="1">
        <f>6152*10000</f>
        <v>61520000</v>
      </c>
      <c r="AY1885" s="10">
        <f t="shared" si="926"/>
        <v>-0.62917420132610002</v>
      </c>
      <c r="AZ1885" s="6" t="s">
        <v>4860</v>
      </c>
      <c r="BA1885" s="6" t="str">
        <f t="shared" si="910"/>
        <v>=1.659*100000000</v>
      </c>
      <c r="BB1885" s="1">
        <f>1.659*100000000</f>
        <v>165900000</v>
      </c>
      <c r="BC1885" s="8">
        <f t="shared" si="927"/>
        <v>0.4413553431798436</v>
      </c>
      <c r="BD1885" s="6" t="s">
        <v>7907</v>
      </c>
      <c r="BE1885" s="6" t="str">
        <f t="shared" si="911"/>
        <v>=1.151*100000000</v>
      </c>
      <c r="BF1885" s="1">
        <f>1.151*100000000</f>
        <v>115100000</v>
      </c>
      <c r="BG1885" s="8">
        <f t="shared" si="928"/>
        <v>0.43569913932892601</v>
      </c>
      <c r="BH1885" s="7" t="s">
        <v>15117</v>
      </c>
      <c r="BI1885" s="6" t="str">
        <f t="shared" si="912"/>
        <v>=8017*10000</v>
      </c>
      <c r="BJ1885" s="1">
        <f>8017*10000</f>
        <v>80170000</v>
      </c>
      <c r="BK1885" s="7" t="s">
        <v>16974</v>
      </c>
      <c r="BL1885" s="1" t="str">
        <f t="shared" si="914"/>
        <v>=3872*10000</v>
      </c>
      <c r="BM1885" s="16">
        <f t="shared" si="929"/>
        <v>1.0705061983471074</v>
      </c>
      <c r="BN1885" s="1">
        <f>3872*10000</f>
        <v>38720000</v>
      </c>
    </row>
    <row r="1886" spans="1:66">
      <c r="A1886" s="17">
        <v>473</v>
      </c>
      <c r="B1886">
        <v>603693</v>
      </c>
      <c r="C1886" t="s">
        <v>31</v>
      </c>
      <c r="D1886" s="6" t="s">
        <v>1947</v>
      </c>
      <c r="E1886" s="7" t="str">
        <f t="shared" si="913"/>
        <v>=18.57*100000000</v>
      </c>
      <c r="F1886" s="1">
        <f>18.57*100000000</f>
        <v>1857000000</v>
      </c>
      <c r="G1886" s="8">
        <f t="shared" si="915"/>
        <v>0.36443791329904485</v>
      </c>
      <c r="H1886" s="6" t="s">
        <v>2074</v>
      </c>
      <c r="I1886" s="6" t="str">
        <f t="shared" si="899"/>
        <v>=13.61*100000000</v>
      </c>
      <c r="J1886" s="1">
        <f>13.61*100000000</f>
        <v>1361000000</v>
      </c>
      <c r="K1886" s="10">
        <f t="shared" si="916"/>
        <v>0.42557871582696116</v>
      </c>
      <c r="L1886" s="6" t="s">
        <v>2434</v>
      </c>
      <c r="M1886" s="6" t="str">
        <f t="shared" si="900"/>
        <v>=9.547*100000000</v>
      </c>
      <c r="N1886" s="1">
        <f>9.547*100000000</f>
        <v>954700000.00000012</v>
      </c>
      <c r="O1886" s="8">
        <f t="shared" si="917"/>
        <v>0.77124304267161436</v>
      </c>
      <c r="P1886" s="6" t="s">
        <v>652</v>
      </c>
      <c r="Q1886" s="6" t="str">
        <f t="shared" si="901"/>
        <v>=5.390*100000000</v>
      </c>
      <c r="R1886" s="11">
        <f>5.39*100000000</f>
        <v>539000000</v>
      </c>
      <c r="S1886" s="8">
        <f t="shared" si="918"/>
        <v>-0.65158371040723984</v>
      </c>
      <c r="T1886" s="6" t="s">
        <v>349</v>
      </c>
      <c r="U1886" s="6" t="str">
        <f t="shared" si="902"/>
        <v>=15.47*100000000</v>
      </c>
      <c r="V1886" s="1">
        <f>15.47*100000000</f>
        <v>1547000000</v>
      </c>
      <c r="W1886" s="8">
        <f t="shared" si="919"/>
        <v>0.29890848026868178</v>
      </c>
      <c r="X1886" s="6" t="s">
        <v>1299</v>
      </c>
      <c r="Y1886" s="6" t="str">
        <f t="shared" si="903"/>
        <v>=11.91*100000000</v>
      </c>
      <c r="Z1886" s="1">
        <f>11.91*100000000</f>
        <v>1191000000</v>
      </c>
      <c r="AA1886" s="8">
        <f t="shared" si="920"/>
        <v>0.37974976830398516</v>
      </c>
      <c r="AB1886" s="6" t="s">
        <v>16975</v>
      </c>
      <c r="AC1886" s="6" t="str">
        <f t="shared" si="904"/>
        <v>=8.632*100000000</v>
      </c>
      <c r="AD1886" s="1">
        <f>8.632*100000000</f>
        <v>863200000</v>
      </c>
      <c r="AE1886" s="8">
        <f t="shared" si="921"/>
        <v>0.96628701594533062</v>
      </c>
      <c r="AF1886" s="6" t="s">
        <v>16976</v>
      </c>
      <c r="AG1886" s="6" t="str">
        <f t="shared" si="905"/>
        <v>=4.390*100000000</v>
      </c>
      <c r="AH1886" s="1">
        <f>4.39*100000000</f>
        <v>438999999.99999994</v>
      </c>
      <c r="AI1886" s="8">
        <f t="shared" si="922"/>
        <v>-0.70417789757412397</v>
      </c>
      <c r="AJ1886" s="6" t="s">
        <v>6951</v>
      </c>
      <c r="AK1886" s="6" t="str">
        <f t="shared" si="906"/>
        <v>=14.84*100000000</v>
      </c>
      <c r="AL1886" s="1">
        <f>14.84*100000000</f>
        <v>1484000000</v>
      </c>
      <c r="AM1886" s="8">
        <f t="shared" si="923"/>
        <v>0.37407407407407406</v>
      </c>
      <c r="AN1886" s="6" t="s">
        <v>2676</v>
      </c>
      <c r="AO1886" s="6" t="str">
        <f t="shared" si="907"/>
        <v>=10.80*100000000</v>
      </c>
      <c r="AP1886" s="1">
        <f>10.8*100000000</f>
        <v>1080000000</v>
      </c>
      <c r="AQ1886" s="8">
        <f t="shared" si="924"/>
        <v>0.45886802647575309</v>
      </c>
      <c r="AR1886" s="6" t="s">
        <v>16977</v>
      </c>
      <c r="AS1886" s="6" t="str">
        <f t="shared" si="908"/>
        <v>=7.403*100000000</v>
      </c>
      <c r="AT1886" s="1">
        <f>7.403*100000000</f>
        <v>740300000</v>
      </c>
      <c r="AU1886" s="8">
        <f t="shared" si="925"/>
        <v>1.0918338513704435</v>
      </c>
      <c r="AV1886" s="6" t="s">
        <v>5159</v>
      </c>
      <c r="AW1886" s="6" t="str">
        <f t="shared" si="909"/>
        <v>=3.539*100000000</v>
      </c>
      <c r="AX1886" s="1">
        <f>3.539*100000000</f>
        <v>353900000</v>
      </c>
      <c r="AY1886" s="10">
        <f t="shared" si="926"/>
        <v>-0.75974202308214533</v>
      </c>
      <c r="AZ1886" s="6" t="s">
        <v>16978</v>
      </c>
      <c r="BA1886" s="6" t="str">
        <f t="shared" si="910"/>
        <v>=14.73*100000000</v>
      </c>
      <c r="BB1886" s="1">
        <f>14.73*100000000</f>
        <v>1473000000</v>
      </c>
      <c r="BC1886" s="8">
        <f t="shared" si="927"/>
        <v>0.32107623318385653</v>
      </c>
      <c r="BD1886" s="6" t="s">
        <v>12725</v>
      </c>
      <c r="BE1886" s="6" t="str">
        <f t="shared" si="911"/>
        <v>=11.15*100000000</v>
      </c>
      <c r="BF1886" s="1">
        <f>11.15*100000000</f>
        <v>1115000000</v>
      </c>
      <c r="BG1886" s="8">
        <f t="shared" si="928"/>
        <v>0.49263721552878181</v>
      </c>
      <c r="BH1886" s="6" t="s">
        <v>3983</v>
      </c>
      <c r="BI1886" s="6" t="str">
        <f t="shared" si="912"/>
        <v>=7.470*100000000</v>
      </c>
      <c r="BJ1886" s="1">
        <f>7.47*100000000</f>
        <v>747000000</v>
      </c>
      <c r="BK1886" s="6" t="s">
        <v>2392</v>
      </c>
      <c r="BL1886" s="1" t="str">
        <f t="shared" si="914"/>
        <v>=3.879*100000000</v>
      </c>
      <c r="BM1886" s="16">
        <f t="shared" si="929"/>
        <v>0.92575406032482599</v>
      </c>
      <c r="BN1886" s="1">
        <f>3.879*100000000</f>
        <v>387900000</v>
      </c>
    </row>
    <row r="1887" spans="1:66">
      <c r="A1887" s="18"/>
      <c r="B1887">
        <v>603693</v>
      </c>
      <c r="C1887" t="s">
        <v>48</v>
      </c>
      <c r="D1887" s="6" t="s">
        <v>16979</v>
      </c>
      <c r="E1887" s="7" t="str">
        <f t="shared" si="913"/>
        <v>=4.590*100000000</v>
      </c>
      <c r="F1887" s="1">
        <f>4.59*100000000</f>
        <v>459000000</v>
      </c>
      <c r="G1887" s="8">
        <f t="shared" si="915"/>
        <v>-0.14826498422712933</v>
      </c>
      <c r="H1887" s="6" t="s">
        <v>16980</v>
      </c>
      <c r="I1887" s="6" t="str">
        <f t="shared" si="899"/>
        <v>=5.389*100000000</v>
      </c>
      <c r="J1887" s="1">
        <f>5.389*100000000</f>
        <v>538900000</v>
      </c>
      <c r="K1887" s="10">
        <f t="shared" si="916"/>
        <v>0.31728183818137373</v>
      </c>
      <c r="L1887" s="6" t="s">
        <v>16981</v>
      </c>
      <c r="M1887" s="6" t="str">
        <f t="shared" si="900"/>
        <v>=4.091*100000000</v>
      </c>
      <c r="N1887" s="1">
        <f>4.091*100000000</f>
        <v>409100000</v>
      </c>
      <c r="O1887" s="8">
        <f t="shared" si="917"/>
        <v>0.52251581689616677</v>
      </c>
      <c r="P1887" s="6" t="s">
        <v>15532</v>
      </c>
      <c r="Q1887" s="6" t="str">
        <f t="shared" si="901"/>
        <v>=2.687*100000000</v>
      </c>
      <c r="R1887" s="11">
        <f>2.687*100000000</f>
        <v>268700000</v>
      </c>
      <c r="S1887" s="8">
        <f t="shared" si="918"/>
        <v>0.20655590480466995</v>
      </c>
      <c r="T1887" s="6" t="s">
        <v>16982</v>
      </c>
      <c r="U1887" s="6" t="str">
        <f t="shared" si="902"/>
        <v>=2.227*100000000</v>
      </c>
      <c r="V1887" s="1">
        <f>2.227*100000000</f>
        <v>222700000</v>
      </c>
      <c r="W1887" s="8">
        <f t="shared" si="919"/>
        <v>-0.50968736239542056</v>
      </c>
      <c r="X1887" s="6" t="s">
        <v>5829</v>
      </c>
      <c r="Y1887" s="6" t="str">
        <f t="shared" si="903"/>
        <v>=4.542*100000000</v>
      </c>
      <c r="Z1887" s="1">
        <f>4.542*100000000</f>
        <v>454200000</v>
      </c>
      <c r="AA1887" s="8">
        <f t="shared" si="920"/>
        <v>0.16521292970754234</v>
      </c>
      <c r="AB1887" s="6" t="s">
        <v>16983</v>
      </c>
      <c r="AC1887" s="6" t="str">
        <f t="shared" si="904"/>
        <v>=3.898*100000000</v>
      </c>
      <c r="AD1887" s="1">
        <f>3.898*100000000</f>
        <v>389800000</v>
      </c>
      <c r="AE1887" s="8">
        <f t="shared" si="921"/>
        <v>0.59885151763740752</v>
      </c>
      <c r="AF1887" s="6" t="s">
        <v>11699</v>
      </c>
      <c r="AG1887" s="6" t="str">
        <f t="shared" si="905"/>
        <v>=2.438*100000000</v>
      </c>
      <c r="AH1887" s="1">
        <f>2.438*100000000</f>
        <v>243800000.00000003</v>
      </c>
      <c r="AI1887" s="8">
        <f t="shared" si="922"/>
        <v>-0.28188512518409414</v>
      </c>
      <c r="AJ1887" s="6" t="s">
        <v>16707</v>
      </c>
      <c r="AK1887" s="6" t="str">
        <f t="shared" si="906"/>
        <v>=3.395*100000000</v>
      </c>
      <c r="AL1887" s="1">
        <f>3.395*100000000</f>
        <v>339500000</v>
      </c>
      <c r="AM1887" s="8">
        <f t="shared" si="923"/>
        <v>0.29580152671755727</v>
      </c>
      <c r="AN1887" s="6" t="s">
        <v>2879</v>
      </c>
      <c r="AO1887" s="6" t="str">
        <f t="shared" si="907"/>
        <v>=2.620*100000000</v>
      </c>
      <c r="AP1887" s="1">
        <f>2.62*100000000</f>
        <v>262000000</v>
      </c>
      <c r="AQ1887" s="8">
        <f t="shared" si="924"/>
        <v>0.38477801268498946</v>
      </c>
      <c r="AR1887" s="6" t="s">
        <v>2374</v>
      </c>
      <c r="AS1887" s="6" t="str">
        <f t="shared" si="908"/>
        <v>=1.892*100000000</v>
      </c>
      <c r="AT1887" s="1">
        <f>1.892*100000000</f>
        <v>189200000</v>
      </c>
      <c r="AU1887" s="8">
        <f t="shared" si="925"/>
        <v>1.4641833810888252</v>
      </c>
      <c r="AV1887" s="7" t="s">
        <v>16984</v>
      </c>
      <c r="AW1887" s="6" t="str">
        <f t="shared" si="909"/>
        <v>=7678*10000</v>
      </c>
      <c r="AX1887" s="1">
        <f>7678*10000</f>
        <v>76780000</v>
      </c>
      <c r="AY1887" s="10">
        <f t="shared" si="926"/>
        <v>-0.80144815102146372</v>
      </c>
      <c r="AZ1887" s="6" t="s">
        <v>12502</v>
      </c>
      <c r="BA1887" s="6" t="str">
        <f t="shared" si="910"/>
        <v>=3.867*100000000</v>
      </c>
      <c r="BB1887" s="1">
        <f>3.867*100000000</f>
        <v>386700000</v>
      </c>
      <c r="BC1887" s="8">
        <f t="shared" si="927"/>
        <v>0.10897619730427302</v>
      </c>
      <c r="BD1887" s="6" t="s">
        <v>16985</v>
      </c>
      <c r="BE1887" s="6" t="str">
        <f t="shared" si="911"/>
        <v>=3.487*100000000</v>
      </c>
      <c r="BF1887" s="1">
        <f>3.487*100000000</f>
        <v>348700000</v>
      </c>
      <c r="BG1887" s="8">
        <f t="shared" si="928"/>
        <v>0.67886374578719311</v>
      </c>
      <c r="BH1887" s="6" t="s">
        <v>2928</v>
      </c>
      <c r="BI1887" s="6" t="str">
        <f t="shared" si="912"/>
        <v>=2.077*100000000</v>
      </c>
      <c r="BJ1887" s="1">
        <f>2.077*100000000</f>
        <v>207700000</v>
      </c>
      <c r="BK1887" s="6" t="s">
        <v>6043</v>
      </c>
      <c r="BL1887" s="1" t="str">
        <f t="shared" si="914"/>
        <v>=1.234*100000000</v>
      </c>
      <c r="BM1887" s="16">
        <f t="shared" si="929"/>
        <v>0.68314424635332249</v>
      </c>
      <c r="BN1887" s="1">
        <f>1.234*100000000</f>
        <v>123400000</v>
      </c>
    </row>
    <row r="1888" spans="1:66">
      <c r="A1888" s="18"/>
      <c r="B1888">
        <v>603693</v>
      </c>
      <c r="C1888" t="s">
        <v>58</v>
      </c>
      <c r="D1888" s="6" t="s">
        <v>15177</v>
      </c>
      <c r="E1888" s="7" t="str">
        <f t="shared" si="913"/>
        <v>=4.596*100000000</v>
      </c>
      <c r="F1888" s="1">
        <f>4.596*100000000</f>
        <v>459600000</v>
      </c>
      <c r="G1888" s="8">
        <f t="shared" si="915"/>
        <v>-0.14825796886582654</v>
      </c>
      <c r="H1888" s="6" t="s">
        <v>5140</v>
      </c>
      <c r="I1888" s="6" t="str">
        <f t="shared" si="899"/>
        <v>=5.396*100000000</v>
      </c>
      <c r="J1888" s="1">
        <f>5.396*100000000</f>
        <v>539600000</v>
      </c>
      <c r="K1888" s="10">
        <f t="shared" si="916"/>
        <v>0.31802638006839257</v>
      </c>
      <c r="L1888" s="6" t="s">
        <v>14399</v>
      </c>
      <c r="M1888" s="6" t="str">
        <f t="shared" si="900"/>
        <v>=4.094*100000000</v>
      </c>
      <c r="N1888" s="1">
        <f>4.094*100000000</f>
        <v>409400000.00000006</v>
      </c>
      <c r="O1888" s="8">
        <f t="shared" si="917"/>
        <v>0.52193308550185891</v>
      </c>
      <c r="P1888" s="6" t="s">
        <v>9080</v>
      </c>
      <c r="Q1888" s="6" t="str">
        <f t="shared" si="901"/>
        <v>=2.690*100000000</v>
      </c>
      <c r="R1888" s="11">
        <f>2.69*100000000</f>
        <v>269000000</v>
      </c>
      <c r="S1888" s="8">
        <f t="shared" si="918"/>
        <v>0.20573733751680862</v>
      </c>
      <c r="T1888" s="6" t="s">
        <v>5835</v>
      </c>
      <c r="U1888" s="6" t="str">
        <f t="shared" si="902"/>
        <v>=2.231*100000000</v>
      </c>
      <c r="V1888" s="1">
        <f>2.231*100000000</f>
        <v>223100000</v>
      </c>
      <c r="W1888" s="8">
        <f t="shared" si="919"/>
        <v>-0.50913091309130909</v>
      </c>
      <c r="X1888" s="6" t="s">
        <v>16986</v>
      </c>
      <c r="Y1888" s="6" t="str">
        <f t="shared" si="903"/>
        <v>=4.545*100000000</v>
      </c>
      <c r="Z1888" s="1">
        <f>4.545*100000000</f>
        <v>454500000</v>
      </c>
      <c r="AA1888" s="8">
        <f t="shared" si="920"/>
        <v>0.16508587541655986</v>
      </c>
      <c r="AB1888" s="6" t="s">
        <v>11864</v>
      </c>
      <c r="AC1888" s="6" t="str">
        <f t="shared" si="904"/>
        <v>=3.901*100000000</v>
      </c>
      <c r="AD1888" s="1">
        <f>3.901*100000000</f>
        <v>390100000</v>
      </c>
      <c r="AE1888" s="8">
        <f t="shared" si="921"/>
        <v>0.59877049180327868</v>
      </c>
      <c r="AF1888" s="6" t="s">
        <v>1991</v>
      </c>
      <c r="AG1888" s="6" t="str">
        <f t="shared" si="905"/>
        <v>=2.440*100000000</v>
      </c>
      <c r="AH1888" s="1">
        <f>2.44*100000000</f>
        <v>244000000</v>
      </c>
      <c r="AI1888" s="8">
        <f t="shared" si="922"/>
        <v>-0.28256395177888854</v>
      </c>
      <c r="AJ1888" s="6" t="s">
        <v>1280</v>
      </c>
      <c r="AK1888" s="6" t="str">
        <f t="shared" si="906"/>
        <v>=3.401*100000000</v>
      </c>
      <c r="AL1888" s="1">
        <f>3.401*100000000</f>
        <v>340100000</v>
      </c>
      <c r="AM1888" s="8">
        <f t="shared" si="923"/>
        <v>0.29611280487804881</v>
      </c>
      <c r="AN1888" s="6" t="s">
        <v>16987</v>
      </c>
      <c r="AO1888" s="6" t="str">
        <f t="shared" si="907"/>
        <v>=2.624*100000000</v>
      </c>
      <c r="AP1888" s="1">
        <f>2.624*100000000</f>
        <v>262400000</v>
      </c>
      <c r="AQ1888" s="8">
        <f t="shared" si="924"/>
        <v>0.38396624472573837</v>
      </c>
      <c r="AR1888" s="6" t="s">
        <v>7250</v>
      </c>
      <c r="AS1888" s="6" t="str">
        <f t="shared" si="908"/>
        <v>=1.896*100000000</v>
      </c>
      <c r="AT1888" s="1">
        <f>1.896*100000000</f>
        <v>189600000</v>
      </c>
      <c r="AU1888" s="8">
        <f t="shared" si="925"/>
        <v>1.4572317262830483</v>
      </c>
      <c r="AV1888" s="7" t="s">
        <v>16988</v>
      </c>
      <c r="AW1888" s="6" t="str">
        <f t="shared" si="909"/>
        <v>=7716*10000</v>
      </c>
      <c r="AX1888" s="1">
        <f>7716*10000</f>
        <v>77160000</v>
      </c>
      <c r="AY1888" s="10">
        <f t="shared" si="926"/>
        <v>-0.80159424016456671</v>
      </c>
      <c r="AZ1888" s="6" t="s">
        <v>7814</v>
      </c>
      <c r="BA1888" s="6" t="str">
        <f t="shared" si="910"/>
        <v>=3.889*100000000</v>
      </c>
      <c r="BB1888" s="1">
        <f>3.889*100000000</f>
        <v>388900000</v>
      </c>
      <c r="BC1888" s="8">
        <f t="shared" si="927"/>
        <v>0.10388873119500426</v>
      </c>
      <c r="BD1888" s="6" t="s">
        <v>6394</v>
      </c>
      <c r="BE1888" s="6" t="str">
        <f t="shared" si="911"/>
        <v>=3.523*100000000</v>
      </c>
      <c r="BF1888" s="1">
        <f>3.523*100000000</f>
        <v>352300000</v>
      </c>
      <c r="BG1888" s="8">
        <f t="shared" si="928"/>
        <v>0.66808712121212122</v>
      </c>
      <c r="BH1888" s="6" t="s">
        <v>8486</v>
      </c>
      <c r="BI1888" s="6" t="str">
        <f t="shared" si="912"/>
        <v>=2.112*100000000</v>
      </c>
      <c r="BJ1888" s="1">
        <f>2.112*100000000</f>
        <v>211200000</v>
      </c>
      <c r="BK1888" s="6" t="s">
        <v>6275</v>
      </c>
      <c r="BL1888" s="1" t="str">
        <f t="shared" si="914"/>
        <v>=1.264*100000000</v>
      </c>
      <c r="BM1888" s="16">
        <f t="shared" si="929"/>
        <v>0.67088607594936711</v>
      </c>
      <c r="BN1888" s="1">
        <f>1.264*100000000</f>
        <v>126400000</v>
      </c>
    </row>
    <row r="1889" spans="1:66">
      <c r="A1889" s="19"/>
      <c r="B1889">
        <v>603693</v>
      </c>
      <c r="C1889" t="s">
        <v>68</v>
      </c>
      <c r="D1889" s="6" t="s">
        <v>14017</v>
      </c>
      <c r="E1889" s="7" t="str">
        <f t="shared" si="913"/>
        <v>=3.646*100000000</v>
      </c>
      <c r="F1889" s="1">
        <f>3.646*100000000</f>
        <v>364600000</v>
      </c>
      <c r="G1889" s="8">
        <f t="shared" si="915"/>
        <v>-0.20996749729144096</v>
      </c>
      <c r="H1889" s="6" t="s">
        <v>4414</v>
      </c>
      <c r="I1889" s="6" t="str">
        <f t="shared" si="899"/>
        <v>=4.615*100000000</v>
      </c>
      <c r="J1889" s="1">
        <f>4.615*100000000</f>
        <v>461500000</v>
      </c>
      <c r="K1889" s="10">
        <f t="shared" si="916"/>
        <v>0.30699518549985838</v>
      </c>
      <c r="L1889" s="6" t="s">
        <v>13512</v>
      </c>
      <c r="M1889" s="6" t="str">
        <f t="shared" si="900"/>
        <v>=3.531*100000000</v>
      </c>
      <c r="N1889" s="1">
        <f>3.531*100000000</f>
        <v>353100000</v>
      </c>
      <c r="O1889" s="8">
        <f t="shared" si="917"/>
        <v>0.51285347043701801</v>
      </c>
      <c r="P1889" s="6" t="s">
        <v>4294</v>
      </c>
      <c r="Q1889" s="6" t="str">
        <f t="shared" si="901"/>
        <v>=2.334*100000000</v>
      </c>
      <c r="R1889" s="11">
        <f>2.334*100000000</f>
        <v>233400000</v>
      </c>
      <c r="S1889" s="8">
        <f t="shared" si="918"/>
        <v>0.36491228070175441</v>
      </c>
      <c r="T1889" s="6" t="s">
        <v>9990</v>
      </c>
      <c r="U1889" s="6" t="str">
        <f t="shared" si="902"/>
        <v>=1.710*100000000</v>
      </c>
      <c r="V1889" s="1">
        <f>1.71*100000000</f>
        <v>171000000</v>
      </c>
      <c r="W1889" s="8">
        <f t="shared" si="919"/>
        <v>-0.57809030347890455</v>
      </c>
      <c r="X1889" s="6" t="s">
        <v>5427</v>
      </c>
      <c r="Y1889" s="6" t="str">
        <f t="shared" si="903"/>
        <v>=4.053*100000000</v>
      </c>
      <c r="Z1889" s="1">
        <f>4.053*100000000</f>
        <v>405300000</v>
      </c>
      <c r="AA1889" s="8">
        <f t="shared" si="920"/>
        <v>0.16198394495412843</v>
      </c>
      <c r="AB1889" s="6" t="s">
        <v>9081</v>
      </c>
      <c r="AC1889" s="6" t="str">
        <f t="shared" si="904"/>
        <v>=3.488*100000000</v>
      </c>
      <c r="AD1889" s="1">
        <f>3.488*100000000</f>
        <v>348800000</v>
      </c>
      <c r="AE1889" s="8">
        <f t="shared" si="921"/>
        <v>0.60073428178063348</v>
      </c>
      <c r="AF1889" s="6" t="s">
        <v>2563</v>
      </c>
      <c r="AG1889" s="6" t="str">
        <f t="shared" si="905"/>
        <v>=2.179*100000000</v>
      </c>
      <c r="AH1889" s="1">
        <f>2.179*100000000</f>
        <v>217899999.99999997</v>
      </c>
      <c r="AI1889" s="8">
        <f t="shared" si="922"/>
        <v>-0.26657691013126905</v>
      </c>
      <c r="AJ1889" s="6" t="s">
        <v>117</v>
      </c>
      <c r="AK1889" s="6" t="str">
        <f t="shared" si="906"/>
        <v>=2.971*100000000</v>
      </c>
      <c r="AL1889" s="1">
        <f>2.971*100000000</f>
        <v>297100000</v>
      </c>
      <c r="AM1889" s="8">
        <f t="shared" si="923"/>
        <v>0.30192813321647677</v>
      </c>
      <c r="AN1889" s="6" t="s">
        <v>3874</v>
      </c>
      <c r="AO1889" s="6" t="str">
        <f t="shared" si="907"/>
        <v>=2.282*100000000</v>
      </c>
      <c r="AP1889" s="1">
        <f>2.282*100000000</f>
        <v>228200000</v>
      </c>
      <c r="AQ1889" s="8">
        <f t="shared" si="924"/>
        <v>0.37387116195063214</v>
      </c>
      <c r="AR1889" s="6" t="s">
        <v>5214</v>
      </c>
      <c r="AS1889" s="6" t="str">
        <f t="shared" si="908"/>
        <v>=1.661*100000000</v>
      </c>
      <c r="AT1889" s="1">
        <f>1.661*100000000</f>
        <v>166100000</v>
      </c>
      <c r="AU1889" s="8">
        <f t="shared" si="925"/>
        <v>1.449491225482967</v>
      </c>
      <c r="AV1889" s="7" t="s">
        <v>16989</v>
      </c>
      <c r="AW1889" s="6" t="str">
        <f t="shared" si="909"/>
        <v>=6781*10000</v>
      </c>
      <c r="AX1889" s="1">
        <f>6781*10000</f>
        <v>67810000</v>
      </c>
      <c r="AY1889" s="10">
        <f t="shared" si="926"/>
        <v>-0.81221268346718356</v>
      </c>
      <c r="AZ1889" s="6" t="s">
        <v>6540</v>
      </c>
      <c r="BA1889" s="6" t="str">
        <f t="shared" si="910"/>
        <v>=3.611*100000000</v>
      </c>
      <c r="BB1889" s="1">
        <f>3.611*100000000</f>
        <v>361100000</v>
      </c>
      <c r="BC1889" s="8">
        <f t="shared" si="927"/>
        <v>0.1189959714905485</v>
      </c>
      <c r="BD1889" s="6" t="s">
        <v>16990</v>
      </c>
      <c r="BE1889" s="6" t="str">
        <f t="shared" si="911"/>
        <v>=3.227*100000000</v>
      </c>
      <c r="BF1889" s="1">
        <f>3.227*100000000</f>
        <v>322700000</v>
      </c>
      <c r="BG1889" s="8">
        <f t="shared" si="928"/>
        <v>0.6330971659919028</v>
      </c>
      <c r="BH1889" s="6" t="s">
        <v>8158</v>
      </c>
      <c r="BI1889" s="6" t="str">
        <f t="shared" si="912"/>
        <v>=1.976*100000000</v>
      </c>
      <c r="BJ1889" s="1">
        <f>1.976*100000000</f>
        <v>197600000</v>
      </c>
      <c r="BK1889" s="6" t="s">
        <v>2545</v>
      </c>
      <c r="BL1889" s="1" t="str">
        <f t="shared" si="914"/>
        <v>=1.172*100000000</v>
      </c>
      <c r="BM1889" s="16">
        <f t="shared" si="929"/>
        <v>0.68600682593856654</v>
      </c>
      <c r="BN1889" s="1">
        <f>1.172*100000000</f>
        <v>117200000</v>
      </c>
    </row>
    <row r="1890" spans="1:66">
      <c r="A1890" s="17">
        <v>474</v>
      </c>
      <c r="B1890">
        <v>603713</v>
      </c>
      <c r="C1890" t="s">
        <v>31</v>
      </c>
      <c r="D1890" s="6" t="s">
        <v>2511</v>
      </c>
      <c r="E1890" s="7" t="str">
        <f t="shared" si="913"/>
        <v>=86.45*100000000</v>
      </c>
      <c r="F1890" s="1">
        <f>86.45*100000000</f>
        <v>8645000000</v>
      </c>
      <c r="G1890" s="8">
        <f t="shared" si="915"/>
        <v>0.45294117647058824</v>
      </c>
      <c r="H1890" s="6" t="s">
        <v>16991</v>
      </c>
      <c r="I1890" s="6" t="str">
        <f t="shared" si="899"/>
        <v>=59.50*100000000</v>
      </c>
      <c r="J1890" s="1">
        <f>59.5*100000000</f>
        <v>5950000000</v>
      </c>
      <c r="K1890" s="10">
        <f t="shared" si="916"/>
        <v>0.71865973425765473</v>
      </c>
      <c r="L1890" s="6" t="s">
        <v>12591</v>
      </c>
      <c r="M1890" s="6" t="str">
        <f t="shared" si="900"/>
        <v>=34.62*100000000</v>
      </c>
      <c r="N1890" s="1">
        <f>34.62*100000000</f>
        <v>3461999999.9999995</v>
      </c>
      <c r="O1890" s="8">
        <f t="shared" si="917"/>
        <v>1.3975069252077559</v>
      </c>
      <c r="P1890" s="6" t="s">
        <v>4234</v>
      </c>
      <c r="Q1890" s="6" t="str">
        <f t="shared" si="901"/>
        <v>=14.44*100000000</v>
      </c>
      <c r="R1890" s="11">
        <f>14.44*100000000</f>
        <v>1444000000</v>
      </c>
      <c r="S1890" s="8">
        <f t="shared" si="918"/>
        <v>-0.57864021009629418</v>
      </c>
      <c r="T1890" s="6" t="s">
        <v>4735</v>
      </c>
      <c r="U1890" s="6" t="str">
        <f t="shared" si="902"/>
        <v>=34.27*100000000</v>
      </c>
      <c r="V1890" s="1">
        <f>34.27*100000000</f>
        <v>3427000000.0000005</v>
      </c>
      <c r="W1890" s="8">
        <f t="shared" si="919"/>
        <v>0.43629505448449307</v>
      </c>
      <c r="X1890" s="6" t="s">
        <v>16992</v>
      </c>
      <c r="Y1890" s="6" t="str">
        <f t="shared" si="903"/>
        <v>=23.86*100000000</v>
      </c>
      <c r="Z1890" s="1">
        <f>23.86*100000000</f>
        <v>2386000000</v>
      </c>
      <c r="AA1890" s="8">
        <f t="shared" si="920"/>
        <v>0.60673400673400668</v>
      </c>
      <c r="AB1890" s="6" t="s">
        <v>9476</v>
      </c>
      <c r="AC1890" s="6" t="str">
        <f t="shared" si="904"/>
        <v>=14.85*100000000</v>
      </c>
      <c r="AD1890" s="1">
        <f>14.85*100000000</f>
        <v>1485000000</v>
      </c>
      <c r="AE1890" s="8">
        <f t="shared" si="921"/>
        <v>1.3341716441370639</v>
      </c>
      <c r="AF1890" s="6" t="s">
        <v>2046</v>
      </c>
      <c r="AG1890" s="6" t="str">
        <f t="shared" si="905"/>
        <v>=6.362*100000000</v>
      </c>
      <c r="AH1890" s="1">
        <f>6.362*100000000</f>
        <v>636200000</v>
      </c>
      <c r="AI1890" s="8">
        <f t="shared" si="922"/>
        <v>-0.7369987598181067</v>
      </c>
      <c r="AJ1890" s="6" t="s">
        <v>3137</v>
      </c>
      <c r="AK1890" s="6" t="str">
        <f t="shared" si="906"/>
        <v>=24.19*100000000</v>
      </c>
      <c r="AL1890" s="1">
        <f>24.19*100000000</f>
        <v>2419000000</v>
      </c>
      <c r="AM1890" s="8">
        <f t="shared" si="923"/>
        <v>0.35139664804469289</v>
      </c>
      <c r="AN1890" s="6" t="s">
        <v>10753</v>
      </c>
      <c r="AO1890" s="6" t="str">
        <f t="shared" si="907"/>
        <v>=17.90*100000000</v>
      </c>
      <c r="AP1890" s="1">
        <f>17.9*100000000</f>
        <v>1789999999.9999998</v>
      </c>
      <c r="AQ1890" s="8">
        <f t="shared" si="924"/>
        <v>0.6097122302158271</v>
      </c>
      <c r="AR1890" s="6" t="s">
        <v>12034</v>
      </c>
      <c r="AS1890" s="6" t="str">
        <f t="shared" si="908"/>
        <v>=11.12*100000000</v>
      </c>
      <c r="AT1890" s="1">
        <f>11.12*100000000</f>
        <v>1112000000</v>
      </c>
      <c r="AU1890" s="8">
        <f t="shared" si="925"/>
        <v>1.1945924610223011</v>
      </c>
      <c r="AV1890" s="6" t="s">
        <v>16993</v>
      </c>
      <c r="AW1890" s="6" t="str">
        <f t="shared" si="909"/>
        <v>=5.067*100000000</v>
      </c>
      <c r="AX1890" s="1">
        <f>5.067*100000000</f>
        <v>506700000</v>
      </c>
      <c r="AY1890" s="10">
        <f t="shared" si="926"/>
        <v>-0.71597533632286992</v>
      </c>
      <c r="AZ1890" s="6" t="s">
        <v>3272</v>
      </c>
      <c r="BA1890" s="6" t="str">
        <f t="shared" si="910"/>
        <v>=17.84*100000000</v>
      </c>
      <c r="BB1890" s="1">
        <f>17.84*100000000</f>
        <v>1784000000</v>
      </c>
      <c r="BC1890" s="8">
        <f t="shared" si="927"/>
        <v>0.46349466776045939</v>
      </c>
      <c r="BD1890" s="6" t="s">
        <v>2432</v>
      </c>
      <c r="BE1890" s="6" t="str">
        <f t="shared" si="911"/>
        <v>=12.19*100000000</v>
      </c>
      <c r="BF1890" s="1">
        <f>12.19*100000000</f>
        <v>1219000000</v>
      </c>
      <c r="BG1890" s="8">
        <f t="shared" si="928"/>
        <v>0.61350099272005298</v>
      </c>
      <c r="BH1890" s="6" t="s">
        <v>16994</v>
      </c>
      <c r="BI1890" s="6" t="str">
        <f t="shared" si="912"/>
        <v>=7.555*100000000</v>
      </c>
      <c r="BJ1890" s="1">
        <f>7.555*100000000</f>
        <v>755500000</v>
      </c>
      <c r="BK1890" s="6" t="s">
        <v>1669</v>
      </c>
      <c r="BL1890" s="1" t="str">
        <f t="shared" si="914"/>
        <v>=3.735*100000000</v>
      </c>
      <c r="BM1890" s="16">
        <f t="shared" si="929"/>
        <v>1.0227576974564927</v>
      </c>
      <c r="BN1890" s="1">
        <f>3.735*100000000</f>
        <v>373500000</v>
      </c>
    </row>
    <row r="1891" spans="1:66">
      <c r="A1891" s="18"/>
      <c r="B1891">
        <v>603713</v>
      </c>
      <c r="C1891" t="s">
        <v>48</v>
      </c>
      <c r="D1891" s="6" t="s">
        <v>2305</v>
      </c>
      <c r="E1891" s="7" t="str">
        <f t="shared" si="913"/>
        <v>=5.302*100000000</v>
      </c>
      <c r="F1891" s="1">
        <f>5.302*100000000</f>
        <v>530199999.99999994</v>
      </c>
      <c r="G1891" s="8">
        <f t="shared" si="915"/>
        <v>0.43685636856368548</v>
      </c>
      <c r="H1891" s="6" t="s">
        <v>3033</v>
      </c>
      <c r="I1891" s="6" t="str">
        <f t="shared" si="899"/>
        <v>=3.690*100000000</v>
      </c>
      <c r="J1891" s="1">
        <f>3.69*100000000</f>
        <v>369000000</v>
      </c>
      <c r="K1891" s="10">
        <f t="shared" si="916"/>
        <v>0.71388759869948903</v>
      </c>
      <c r="L1891" s="6" t="s">
        <v>16995</v>
      </c>
      <c r="M1891" s="6" t="str">
        <f t="shared" si="900"/>
        <v>=2.153*100000000</v>
      </c>
      <c r="N1891" s="1">
        <f>2.153*100000000</f>
        <v>215300000</v>
      </c>
      <c r="O1891" s="8">
        <f t="shared" si="917"/>
        <v>1.2324761509746993</v>
      </c>
      <c r="P1891" s="7" t="s">
        <v>14528</v>
      </c>
      <c r="Q1891" s="6" t="str">
        <f t="shared" si="901"/>
        <v>=9644*10000</v>
      </c>
      <c r="R1891" s="11">
        <f>9644*10000</f>
        <v>96440000</v>
      </c>
      <c r="S1891" s="8">
        <f t="shared" si="918"/>
        <v>-0.71306158881285331</v>
      </c>
      <c r="T1891" s="6" t="s">
        <v>4161</v>
      </c>
      <c r="U1891" s="6" t="str">
        <f t="shared" si="902"/>
        <v>=3.361*100000000</v>
      </c>
      <c r="V1891" s="1">
        <f>3.361*100000000</f>
        <v>336100000</v>
      </c>
      <c r="W1891" s="8">
        <f t="shared" si="919"/>
        <v>0.28724626579854445</v>
      </c>
      <c r="X1891" s="6" t="s">
        <v>12151</v>
      </c>
      <c r="Y1891" s="6" t="str">
        <f t="shared" si="903"/>
        <v>=2.611*100000000</v>
      </c>
      <c r="Z1891" s="1">
        <f>2.611*100000000</f>
        <v>261100000.00000003</v>
      </c>
      <c r="AA1891" s="8">
        <f t="shared" si="920"/>
        <v>0.46685393258426983</v>
      </c>
      <c r="AB1891" s="6" t="s">
        <v>3905</v>
      </c>
      <c r="AC1891" s="6" t="str">
        <f t="shared" si="904"/>
        <v>=1.780*100000000</v>
      </c>
      <c r="AD1891" s="1">
        <f>1.78*100000000</f>
        <v>178000000</v>
      </c>
      <c r="AE1891" s="8">
        <f t="shared" si="921"/>
        <v>1.6126522824012917</v>
      </c>
      <c r="AF1891" s="7" t="s">
        <v>16996</v>
      </c>
      <c r="AG1891" s="6" t="str">
        <f t="shared" si="905"/>
        <v>=6813*10000</v>
      </c>
      <c r="AH1891" s="1">
        <f>6813*10000</f>
        <v>68130000</v>
      </c>
      <c r="AI1891" s="8">
        <f t="shared" si="922"/>
        <v>-0.71481791544579321</v>
      </c>
      <c r="AJ1891" s="6" t="s">
        <v>15115</v>
      </c>
      <c r="AK1891" s="6" t="str">
        <f t="shared" si="906"/>
        <v>=2.389*100000000</v>
      </c>
      <c r="AL1891" s="1">
        <f>2.389*100000000</f>
        <v>238899999.99999997</v>
      </c>
      <c r="AM1891" s="8">
        <f t="shared" si="923"/>
        <v>0.3376259798432249</v>
      </c>
      <c r="AN1891" s="6" t="s">
        <v>6580</v>
      </c>
      <c r="AO1891" s="6" t="str">
        <f t="shared" si="907"/>
        <v>=1.786*100000000</v>
      </c>
      <c r="AP1891" s="1">
        <f>1.786*100000000</f>
        <v>178600000</v>
      </c>
      <c r="AQ1891" s="8">
        <f t="shared" si="924"/>
        <v>0.58473824312333633</v>
      </c>
      <c r="AR1891" s="6" t="s">
        <v>2877</v>
      </c>
      <c r="AS1891" s="6" t="str">
        <f t="shared" si="908"/>
        <v>=1.127*100000000</v>
      </c>
      <c r="AT1891" s="1">
        <f>1.127*100000000</f>
        <v>112700000</v>
      </c>
      <c r="AU1891" s="8">
        <f t="shared" si="925"/>
        <v>0.95286778721192167</v>
      </c>
      <c r="AV1891" s="7" t="s">
        <v>16997</v>
      </c>
      <c r="AW1891" s="6" t="str">
        <f t="shared" si="909"/>
        <v>=5771*10000</v>
      </c>
      <c r="AX1891" s="1">
        <f>5771*10000</f>
        <v>57710000</v>
      </c>
      <c r="AY1891" s="10">
        <f t="shared" si="926"/>
        <v>-0.65872264931992908</v>
      </c>
      <c r="AZ1891" s="6" t="s">
        <v>4590</v>
      </c>
      <c r="BA1891" s="6" t="str">
        <f t="shared" si="910"/>
        <v>=1.691*100000000</v>
      </c>
      <c r="BB1891" s="1">
        <f>1.691*100000000</f>
        <v>169100000</v>
      </c>
      <c r="BC1891" s="8">
        <f t="shared" si="927"/>
        <v>0.26288274831964153</v>
      </c>
      <c r="BD1891" s="6" t="s">
        <v>1959</v>
      </c>
      <c r="BE1891" s="6" t="str">
        <f t="shared" si="911"/>
        <v>=1.339*100000000</v>
      </c>
      <c r="BF1891" s="1">
        <f>1.339*100000000</f>
        <v>133900000</v>
      </c>
      <c r="BG1891" s="8">
        <f t="shared" si="928"/>
        <v>0.49341958509926387</v>
      </c>
      <c r="BH1891" s="7" t="s">
        <v>16998</v>
      </c>
      <c r="BI1891" s="6" t="str">
        <f t="shared" si="912"/>
        <v>=8966*10000</v>
      </c>
      <c r="BJ1891" s="1">
        <f>8966*10000</f>
        <v>89660000</v>
      </c>
      <c r="BK1891" s="7" t="s">
        <v>7301</v>
      </c>
      <c r="BL1891" s="1" t="str">
        <f t="shared" si="914"/>
        <v>=4437*10000</v>
      </c>
      <c r="BM1891" s="16">
        <f t="shared" si="929"/>
        <v>1.0207347306738788</v>
      </c>
      <c r="BN1891" s="1">
        <f>4437*10000</f>
        <v>44370000</v>
      </c>
    </row>
    <row r="1892" spans="1:66">
      <c r="A1892" s="18"/>
      <c r="B1892">
        <v>603713</v>
      </c>
      <c r="C1892" t="s">
        <v>58</v>
      </c>
      <c r="D1892" s="6" t="s">
        <v>4140</v>
      </c>
      <c r="E1892" s="7" t="str">
        <f t="shared" si="913"/>
        <v>=5.279*100000000</v>
      </c>
      <c r="F1892" s="1">
        <f>5.279*100000000</f>
        <v>527900000</v>
      </c>
      <c r="G1892" s="8">
        <f t="shared" si="915"/>
        <v>0.45507166482910694</v>
      </c>
      <c r="H1892" s="6" t="s">
        <v>15396</v>
      </c>
      <c r="I1892" s="6" t="str">
        <f t="shared" si="899"/>
        <v>=3.628*100000000</v>
      </c>
      <c r="J1892" s="1">
        <f>3.628*100000000</f>
        <v>362800000</v>
      </c>
      <c r="K1892" s="10">
        <f t="shared" si="916"/>
        <v>0.73921380632790024</v>
      </c>
      <c r="L1892" s="6" t="s">
        <v>3665</v>
      </c>
      <c r="M1892" s="6" t="str">
        <f t="shared" si="900"/>
        <v>=2.086*100000000</v>
      </c>
      <c r="N1892" s="1">
        <f>2.086*100000000</f>
        <v>208600000</v>
      </c>
      <c r="O1892" s="8">
        <f t="shared" si="917"/>
        <v>1.1397066365781106</v>
      </c>
      <c r="P1892" s="7" t="s">
        <v>16999</v>
      </c>
      <c r="Q1892" s="6" t="str">
        <f t="shared" si="901"/>
        <v>=9749*10000</v>
      </c>
      <c r="R1892" s="11">
        <f>9749*10000</f>
        <v>97490000</v>
      </c>
      <c r="S1892" s="8">
        <f t="shared" si="918"/>
        <v>-0.7209788208357184</v>
      </c>
      <c r="T1892" s="6" t="s">
        <v>12423</v>
      </c>
      <c r="U1892" s="6" t="str">
        <f t="shared" si="902"/>
        <v>=3.494*100000000</v>
      </c>
      <c r="V1892" s="1">
        <f>3.494*100000000</f>
        <v>349400000</v>
      </c>
      <c r="W1892" s="8">
        <f t="shared" si="919"/>
        <v>0.30959520239880045</v>
      </c>
      <c r="X1892" s="6" t="s">
        <v>15843</v>
      </c>
      <c r="Y1892" s="6" t="str">
        <f t="shared" si="903"/>
        <v>=2.668*100000000</v>
      </c>
      <c r="Z1892" s="1">
        <f>2.668*100000000</f>
        <v>266800000.00000003</v>
      </c>
      <c r="AA1892" s="8">
        <f t="shared" si="920"/>
        <v>0.45315904139433566</v>
      </c>
      <c r="AB1892" s="6" t="s">
        <v>2297</v>
      </c>
      <c r="AC1892" s="6" t="str">
        <f t="shared" si="904"/>
        <v>=1.836*100000000</v>
      </c>
      <c r="AD1892" s="1">
        <f>1.836*100000000</f>
        <v>183600000</v>
      </c>
      <c r="AE1892" s="8">
        <f t="shared" si="921"/>
        <v>1.6202369059511916</v>
      </c>
      <c r="AF1892" s="7" t="s">
        <v>17000</v>
      </c>
      <c r="AG1892" s="6" t="str">
        <f t="shared" si="905"/>
        <v>=7007*10000</v>
      </c>
      <c r="AH1892" s="1">
        <f>7007*10000</f>
        <v>70070000</v>
      </c>
      <c r="AI1892" s="8">
        <f t="shared" si="922"/>
        <v>-0.71983206717313075</v>
      </c>
      <c r="AJ1892" s="6" t="s">
        <v>15474</v>
      </c>
      <c r="AK1892" s="6" t="str">
        <f t="shared" si="906"/>
        <v>=2.501*100000000</v>
      </c>
      <c r="AL1892" s="1">
        <f>2.501*100000000</f>
        <v>250100000</v>
      </c>
      <c r="AM1892" s="8">
        <f t="shared" si="923"/>
        <v>0.35923913043478262</v>
      </c>
      <c r="AN1892" s="6" t="s">
        <v>13849</v>
      </c>
      <c r="AO1892" s="6" t="str">
        <f t="shared" si="907"/>
        <v>=1.840*100000000</v>
      </c>
      <c r="AP1892" s="1">
        <f>1.84*100000000</f>
        <v>184000000</v>
      </c>
      <c r="AQ1892" s="8">
        <f t="shared" si="924"/>
        <v>0.58075601374570462</v>
      </c>
      <c r="AR1892" s="6" t="s">
        <v>16480</v>
      </c>
      <c r="AS1892" s="6" t="str">
        <f t="shared" si="908"/>
        <v>=1.164*100000000</v>
      </c>
      <c r="AT1892" s="1">
        <f>1.164*100000000</f>
        <v>116399999.99999999</v>
      </c>
      <c r="AU1892" s="8">
        <f t="shared" si="925"/>
        <v>1.0514628128304544</v>
      </c>
      <c r="AV1892" s="7" t="s">
        <v>17001</v>
      </c>
      <c r="AW1892" s="6" t="str">
        <f t="shared" si="909"/>
        <v>=5674*10000</v>
      </c>
      <c r="AX1892" s="1">
        <f>5674*10000</f>
        <v>56740000</v>
      </c>
      <c r="AY1892" s="10">
        <f t="shared" si="926"/>
        <v>-0.68354712771890691</v>
      </c>
      <c r="AZ1892" s="6" t="s">
        <v>15502</v>
      </c>
      <c r="BA1892" s="6" t="str">
        <f t="shared" si="910"/>
        <v>=1.793*100000000</v>
      </c>
      <c r="BB1892" s="1">
        <f>1.793*100000000</f>
        <v>179300000</v>
      </c>
      <c r="BC1892" s="8">
        <f t="shared" si="927"/>
        <v>0.25912921348314605</v>
      </c>
      <c r="BD1892" s="6" t="s">
        <v>3085</v>
      </c>
      <c r="BE1892" s="6" t="str">
        <f t="shared" si="911"/>
        <v>=1.424*100000000</v>
      </c>
      <c r="BF1892" s="1">
        <f>1.424*100000000</f>
        <v>142400000</v>
      </c>
      <c r="BG1892" s="8">
        <f t="shared" si="928"/>
        <v>0.5285530270502361</v>
      </c>
      <c r="BH1892" s="7" t="s">
        <v>17002</v>
      </c>
      <c r="BI1892" s="6" t="str">
        <f t="shared" si="912"/>
        <v>=9316*10000</v>
      </c>
      <c r="BJ1892" s="1">
        <f>9316*10000</f>
        <v>93160000</v>
      </c>
      <c r="BK1892" s="7" t="s">
        <v>17003</v>
      </c>
      <c r="BL1892" s="1" t="str">
        <f t="shared" si="914"/>
        <v>=4572*10000</v>
      </c>
      <c r="BM1892" s="16">
        <f t="shared" si="929"/>
        <v>1.0376202974628173</v>
      </c>
      <c r="BN1892" s="1">
        <f>4572*10000</f>
        <v>45720000</v>
      </c>
    </row>
    <row r="1893" spans="1:66">
      <c r="A1893" s="19"/>
      <c r="B1893">
        <v>603713</v>
      </c>
      <c r="C1893" t="s">
        <v>68</v>
      </c>
      <c r="D1893" s="6" t="s">
        <v>12582</v>
      </c>
      <c r="E1893" s="7" t="str">
        <f t="shared" si="913"/>
        <v>=4.360*100000000</v>
      </c>
      <c r="F1893" s="1">
        <f>4.36*100000000</f>
        <v>436000000.00000006</v>
      </c>
      <c r="G1893" s="8">
        <f t="shared" si="915"/>
        <v>0.4403700033036011</v>
      </c>
      <c r="H1893" s="6" t="s">
        <v>5304</v>
      </c>
      <c r="I1893" s="6" t="str">
        <f t="shared" si="899"/>
        <v>=3.027*100000000</v>
      </c>
      <c r="J1893" s="1">
        <f>3.027*100000000</f>
        <v>302700000</v>
      </c>
      <c r="K1893" s="10">
        <f t="shared" si="916"/>
        <v>0.65229257641921401</v>
      </c>
      <c r="L1893" s="6" t="s">
        <v>2873</v>
      </c>
      <c r="M1893" s="6" t="str">
        <f t="shared" si="900"/>
        <v>=1.832*100000000</v>
      </c>
      <c r="N1893" s="1">
        <f>1.832*100000000</f>
        <v>183200000</v>
      </c>
      <c r="O1893" s="8">
        <f t="shared" si="917"/>
        <v>1.366619299832063</v>
      </c>
      <c r="P1893" s="7" t="s">
        <v>17004</v>
      </c>
      <c r="Q1893" s="6" t="str">
        <f t="shared" si="901"/>
        <v>=7741*10000</v>
      </c>
      <c r="R1893" s="11">
        <f>7741*10000</f>
        <v>77410000</v>
      </c>
      <c r="S1893" s="8">
        <f t="shared" si="918"/>
        <v>-0.73288474810213944</v>
      </c>
      <c r="T1893" s="6" t="s">
        <v>8276</v>
      </c>
      <c r="U1893" s="6" t="str">
        <f t="shared" si="902"/>
        <v>=2.898*100000000</v>
      </c>
      <c r="V1893" s="1">
        <f>2.898*100000000</f>
        <v>289800000</v>
      </c>
      <c r="W1893" s="8">
        <f t="shared" si="919"/>
        <v>0.3747628083491461</v>
      </c>
      <c r="X1893" s="6" t="s">
        <v>17005</v>
      </c>
      <c r="Y1893" s="6" t="str">
        <f t="shared" si="903"/>
        <v>=2.108*100000000</v>
      </c>
      <c r="Z1893" s="1">
        <f>2.108*100000000</f>
        <v>210800000</v>
      </c>
      <c r="AA1893" s="8">
        <f t="shared" si="920"/>
        <v>0.49928876244665721</v>
      </c>
      <c r="AB1893" s="6" t="s">
        <v>2225</v>
      </c>
      <c r="AC1893" s="6" t="str">
        <f t="shared" si="904"/>
        <v>=1.406*100000000</v>
      </c>
      <c r="AD1893" s="1">
        <f>1.406*100000000</f>
        <v>140600000</v>
      </c>
      <c r="AE1893" s="8">
        <f t="shared" si="921"/>
        <v>1.6513294361682067</v>
      </c>
      <c r="AF1893" s="7" t="s">
        <v>16174</v>
      </c>
      <c r="AG1893" s="6" t="str">
        <f t="shared" si="905"/>
        <v>=5303*10000</v>
      </c>
      <c r="AH1893" s="1">
        <f>5303*10000</f>
        <v>53030000</v>
      </c>
      <c r="AI1893" s="8">
        <f t="shared" si="922"/>
        <v>-0.72971457696228337</v>
      </c>
      <c r="AJ1893" s="6" t="s">
        <v>238</v>
      </c>
      <c r="AK1893" s="6" t="str">
        <f t="shared" si="906"/>
        <v>=1.962*100000000</v>
      </c>
      <c r="AL1893" s="1">
        <f>1.962*100000000</f>
        <v>196200000</v>
      </c>
      <c r="AM1893" s="8">
        <f t="shared" si="923"/>
        <v>0.36629526462395545</v>
      </c>
      <c r="AN1893" s="6" t="s">
        <v>7827</v>
      </c>
      <c r="AO1893" s="6" t="str">
        <f t="shared" si="907"/>
        <v>=1.436*100000000</v>
      </c>
      <c r="AP1893" s="1">
        <f>1.436*100000000</f>
        <v>143600000</v>
      </c>
      <c r="AQ1893" s="8">
        <f t="shared" si="924"/>
        <v>0.52961227098423524</v>
      </c>
      <c r="AR1893" s="7" t="s">
        <v>16804</v>
      </c>
      <c r="AS1893" s="6" t="str">
        <f t="shared" si="908"/>
        <v>=9388*10000</v>
      </c>
      <c r="AT1893" s="1">
        <f>9388*10000</f>
        <v>93880000</v>
      </c>
      <c r="AU1893" s="8">
        <f t="shared" si="925"/>
        <v>1.2278120550545799</v>
      </c>
      <c r="AV1893" s="7" t="s">
        <v>17006</v>
      </c>
      <c r="AW1893" s="6" t="str">
        <f t="shared" si="909"/>
        <v>=4214*10000</v>
      </c>
      <c r="AX1893" s="1">
        <f>4214*10000</f>
        <v>42140000</v>
      </c>
      <c r="AY1893" s="10">
        <f t="shared" si="926"/>
        <v>-0.68003037205770689</v>
      </c>
      <c r="AZ1893" s="6" t="s">
        <v>4310</v>
      </c>
      <c r="BA1893" s="6" t="str">
        <f t="shared" si="910"/>
        <v>=1.317*100000000</v>
      </c>
      <c r="BB1893" s="1">
        <f>1.317*100000000</f>
        <v>131700000</v>
      </c>
      <c r="BC1893" s="8">
        <f t="shared" si="927"/>
        <v>0.2614942528735632</v>
      </c>
      <c r="BD1893" s="6" t="s">
        <v>10411</v>
      </c>
      <c r="BE1893" s="6" t="str">
        <f t="shared" si="911"/>
        <v>=1.044*100000000</v>
      </c>
      <c r="BF1893" s="1">
        <f>1.044*100000000</f>
        <v>104400000</v>
      </c>
      <c r="BG1893" s="8">
        <f t="shared" si="928"/>
        <v>0.56147173197726596</v>
      </c>
      <c r="BH1893" s="7" t="s">
        <v>11451</v>
      </c>
      <c r="BI1893" s="6" t="str">
        <f t="shared" si="912"/>
        <v>=6686*10000</v>
      </c>
      <c r="BJ1893" s="1">
        <f>6686*10000</f>
        <v>66860000</v>
      </c>
      <c r="BK1893" s="7" t="s">
        <v>17007</v>
      </c>
      <c r="BL1893" s="1" t="str">
        <f t="shared" si="914"/>
        <v>=3307*10000</v>
      </c>
      <c r="BM1893" s="16">
        <f t="shared" si="929"/>
        <v>1.0217719987904446</v>
      </c>
      <c r="BN1893" s="1">
        <f>3307*10000</f>
        <v>33070000</v>
      </c>
    </row>
    <row r="1894" spans="1:66">
      <c r="A1894" s="17">
        <v>475</v>
      </c>
      <c r="B1894">
        <v>603722</v>
      </c>
      <c r="C1894" t="s">
        <v>31</v>
      </c>
      <c r="D1894" s="6" t="s">
        <v>17008</v>
      </c>
      <c r="E1894" s="7" t="str">
        <f t="shared" si="913"/>
        <v>=8.802*100000000</v>
      </c>
      <c r="F1894" s="1">
        <f>8.802*100000000</f>
        <v>880200000</v>
      </c>
      <c r="G1894" s="8">
        <f t="shared" si="915"/>
        <v>0.37595748006878227</v>
      </c>
      <c r="H1894" s="6" t="s">
        <v>17009</v>
      </c>
      <c r="I1894" s="6" t="str">
        <f t="shared" si="899"/>
        <v>=6.397*100000000</v>
      </c>
      <c r="J1894" s="1">
        <f>6.397*100000000</f>
        <v>639700000</v>
      </c>
      <c r="K1894" s="10">
        <f t="shared" si="916"/>
        <v>0.53700144161460839</v>
      </c>
      <c r="L1894" s="6" t="s">
        <v>8941</v>
      </c>
      <c r="M1894" s="6" t="str">
        <f t="shared" si="900"/>
        <v>=4.162*100000000</v>
      </c>
      <c r="N1894" s="1">
        <f>4.162*100000000</f>
        <v>416200000</v>
      </c>
      <c r="O1894" s="8">
        <f t="shared" si="917"/>
        <v>1.1939905113336848</v>
      </c>
      <c r="P1894" s="6" t="s">
        <v>4924</v>
      </c>
      <c r="Q1894" s="6" t="str">
        <f t="shared" si="901"/>
        <v>=1.897*100000000</v>
      </c>
      <c r="R1894" s="11">
        <f>1.897*100000000</f>
        <v>189700000</v>
      </c>
      <c r="S1894" s="8">
        <f t="shared" si="918"/>
        <v>-0.64739776951672867</v>
      </c>
      <c r="T1894" s="6" t="s">
        <v>4403</v>
      </c>
      <c r="U1894" s="6" t="str">
        <f t="shared" si="902"/>
        <v>=5.380*100000000</v>
      </c>
      <c r="V1894" s="1">
        <f>5.38*100000000</f>
        <v>538000000</v>
      </c>
      <c r="W1894" s="8">
        <f t="shared" si="919"/>
        <v>0.54953917050691248</v>
      </c>
      <c r="X1894" s="6" t="s">
        <v>17010</v>
      </c>
      <c r="Y1894" s="6" t="str">
        <f t="shared" si="903"/>
        <v>=3.472*100000000</v>
      </c>
      <c r="Z1894" s="1">
        <f>3.472*100000000</f>
        <v>347200000</v>
      </c>
      <c r="AA1894" s="8">
        <f t="shared" si="920"/>
        <v>0.53492484526967288</v>
      </c>
      <c r="AB1894" s="6" t="s">
        <v>8468</v>
      </c>
      <c r="AC1894" s="6" t="str">
        <f t="shared" si="904"/>
        <v>=2.262*100000000</v>
      </c>
      <c r="AD1894" s="1">
        <f>2.262*100000000</f>
        <v>226200000</v>
      </c>
      <c r="AE1894" s="8">
        <f t="shared" si="921"/>
        <v>1.0963855421686748</v>
      </c>
      <c r="AF1894" s="6" t="s">
        <v>4870</v>
      </c>
      <c r="AG1894" s="6" t="str">
        <f t="shared" si="905"/>
        <v>=1.079*100000000</v>
      </c>
      <c r="AH1894" s="1">
        <f>1.079*100000000</f>
        <v>107900000</v>
      </c>
      <c r="AI1894" s="8">
        <f t="shared" si="922"/>
        <v>-0.78633663366336637</v>
      </c>
      <c r="AJ1894" s="6" t="s">
        <v>7121</v>
      </c>
      <c r="AK1894" s="6" t="str">
        <f t="shared" si="906"/>
        <v>=5.050*100000000</v>
      </c>
      <c r="AL1894" s="1">
        <f>5.05*100000000</f>
        <v>505000000</v>
      </c>
      <c r="AM1894" s="8">
        <f t="shared" si="923"/>
        <v>0.31271120353522225</v>
      </c>
      <c r="AN1894" s="6" t="s">
        <v>17011</v>
      </c>
      <c r="AO1894" s="6" t="str">
        <f t="shared" si="907"/>
        <v>=3.847*100000000</v>
      </c>
      <c r="AP1894" s="1">
        <f>3.847*100000000</f>
        <v>384700000</v>
      </c>
      <c r="AQ1894" s="8">
        <f t="shared" si="924"/>
        <v>0.46664125047655342</v>
      </c>
      <c r="AR1894" s="6" t="s">
        <v>2861</v>
      </c>
      <c r="AS1894" s="6" t="str">
        <f t="shared" si="908"/>
        <v>=2.623*100000000</v>
      </c>
      <c r="AT1894" s="1">
        <f>2.623*100000000</f>
        <v>262300000.00000003</v>
      </c>
      <c r="AU1894" s="8">
        <f t="shared" si="925"/>
        <v>0.89523121387283255</v>
      </c>
      <c r="AV1894" s="6" t="s">
        <v>4880</v>
      </c>
      <c r="AW1894" s="6" t="str">
        <f t="shared" si="909"/>
        <v>=1.384*100000000</v>
      </c>
      <c r="AX1894" s="1">
        <f>1.384*100000000</f>
        <v>138400000</v>
      </c>
      <c r="AY1894" s="10">
        <f t="shared" si="926"/>
        <v>-0.67234848484848486</v>
      </c>
      <c r="AZ1894" s="6" t="s">
        <v>12215</v>
      </c>
      <c r="BA1894" s="6" t="str">
        <f t="shared" si="910"/>
        <v>=4.224*100000000</v>
      </c>
      <c r="BB1894" s="1">
        <f>4.224*100000000</f>
        <v>422400000</v>
      </c>
      <c r="BC1894" s="8">
        <f t="shared" si="927"/>
        <v>0.39821251241310823</v>
      </c>
      <c r="BD1894" s="6" t="s">
        <v>11967</v>
      </c>
      <c r="BE1894" s="6" t="str">
        <f t="shared" si="911"/>
        <v>=3.021*100000000</v>
      </c>
      <c r="BF1894" s="1">
        <f>3.021*100000000</f>
        <v>302100000</v>
      </c>
      <c r="BG1894" s="8">
        <f t="shared" si="928"/>
        <v>0.5644743656136717</v>
      </c>
      <c r="BH1894" s="6" t="s">
        <v>15472</v>
      </c>
      <c r="BI1894" s="6" t="str">
        <f t="shared" si="912"/>
        <v>=1.931*100000000</v>
      </c>
      <c r="BJ1894" s="1">
        <f>1.931*100000000</f>
        <v>193100000</v>
      </c>
      <c r="BK1894" s="7" t="s">
        <v>17012</v>
      </c>
      <c r="BL1894" s="1" t="str">
        <f t="shared" si="914"/>
        <v>=9282*10000</v>
      </c>
      <c r="BM1894" s="16">
        <f t="shared" si="929"/>
        <v>1.0803706097823744</v>
      </c>
      <c r="BN1894" s="1">
        <f>9282*10000</f>
        <v>92820000</v>
      </c>
    </row>
    <row r="1895" spans="1:66">
      <c r="A1895" s="18"/>
      <c r="B1895">
        <v>603722</v>
      </c>
      <c r="C1895" t="s">
        <v>48</v>
      </c>
      <c r="D1895" s="6" t="s">
        <v>4468</v>
      </c>
      <c r="E1895" s="7" t="str">
        <f t="shared" si="913"/>
        <v>=1.131*100000000</v>
      </c>
      <c r="F1895" s="1">
        <f>1.131*100000000</f>
        <v>113100000</v>
      </c>
      <c r="G1895" s="8">
        <f t="shared" si="915"/>
        <v>0.46521570151574038</v>
      </c>
      <c r="H1895" s="7" t="s">
        <v>6040</v>
      </c>
      <c r="I1895" s="6" t="str">
        <f t="shared" si="899"/>
        <v>=7719*10000</v>
      </c>
      <c r="J1895" s="1">
        <f>7719*10000</f>
        <v>77190000</v>
      </c>
      <c r="K1895" s="10">
        <f t="shared" si="916"/>
        <v>0.28907815631262523</v>
      </c>
      <c r="L1895" s="7" t="s">
        <v>16215</v>
      </c>
      <c r="M1895" s="6" t="str">
        <f t="shared" si="900"/>
        <v>=5988*10000</v>
      </c>
      <c r="N1895" s="1">
        <f>5988*10000</f>
        <v>59880000</v>
      </c>
      <c r="O1895" s="8">
        <f t="shared" si="917"/>
        <v>1.3971176941553243</v>
      </c>
      <c r="P1895" s="7" t="s">
        <v>9866</v>
      </c>
      <c r="Q1895" s="6" t="str">
        <f t="shared" si="901"/>
        <v>=2498*10000</v>
      </c>
      <c r="R1895" s="11">
        <f>2498*10000</f>
        <v>24980000</v>
      </c>
      <c r="S1895" s="8">
        <f t="shared" si="918"/>
        <v>-0.5855317736850838</v>
      </c>
      <c r="T1895" s="7" t="s">
        <v>2504</v>
      </c>
      <c r="U1895" s="6" t="str">
        <f t="shared" si="902"/>
        <v>=6027*10000</v>
      </c>
      <c r="V1895" s="1">
        <f>6027*10000</f>
        <v>60270000</v>
      </c>
      <c r="W1895" s="8">
        <f t="shared" si="919"/>
        <v>0.73040482342807922</v>
      </c>
      <c r="X1895" s="7" t="s">
        <v>10558</v>
      </c>
      <c r="Y1895" s="6" t="str">
        <f t="shared" si="903"/>
        <v>=3483*10000</v>
      </c>
      <c r="Z1895" s="1">
        <f>3483*10000</f>
        <v>34830000</v>
      </c>
      <c r="AA1895" s="8">
        <f t="shared" si="920"/>
        <v>0.18107833163784334</v>
      </c>
      <c r="AB1895" s="7" t="s">
        <v>17013</v>
      </c>
      <c r="AC1895" s="6" t="str">
        <f t="shared" si="904"/>
        <v>=2949*10000</v>
      </c>
      <c r="AD1895" s="1">
        <f>2949*10000</f>
        <v>29490000</v>
      </c>
      <c r="AE1895" s="8">
        <f t="shared" si="921"/>
        <v>1.2649769585253456</v>
      </c>
      <c r="AF1895" s="7" t="s">
        <v>15758</v>
      </c>
      <c r="AG1895" s="6" t="str">
        <f t="shared" si="905"/>
        <v>=1302*10000</v>
      </c>
      <c r="AH1895" s="1">
        <f>1302*10000</f>
        <v>13020000</v>
      </c>
      <c r="AI1895" s="8">
        <f t="shared" si="922"/>
        <v>-0.70469494216375594</v>
      </c>
      <c r="AJ1895" s="7" t="s">
        <v>16506</v>
      </c>
      <c r="AK1895" s="6" t="str">
        <f t="shared" si="906"/>
        <v>=4409*10000</v>
      </c>
      <c r="AL1895" s="1">
        <f>4409*10000</f>
        <v>44090000</v>
      </c>
      <c r="AM1895" s="8">
        <f t="shared" si="923"/>
        <v>0.23639932697700505</v>
      </c>
      <c r="AN1895" s="7" t="s">
        <v>5972</v>
      </c>
      <c r="AO1895" s="6" t="str">
        <f t="shared" si="907"/>
        <v>=3566*10000</v>
      </c>
      <c r="AP1895" s="1">
        <f>3566*10000</f>
        <v>35660000</v>
      </c>
      <c r="AQ1895" s="8">
        <f t="shared" si="924"/>
        <v>0.72604065827686348</v>
      </c>
      <c r="AR1895" s="7" t="s">
        <v>15860</v>
      </c>
      <c r="AS1895" s="6" t="str">
        <f t="shared" si="908"/>
        <v>=2066*10000</v>
      </c>
      <c r="AT1895" s="1">
        <f>2066*10000</f>
        <v>20660000</v>
      </c>
      <c r="AU1895" s="8">
        <f t="shared" si="925"/>
        <v>1.4501897533206831</v>
      </c>
      <c r="AV1895" s="7" t="s">
        <v>17014</v>
      </c>
      <c r="AW1895" s="6" t="str">
        <f t="shared" si="909"/>
        <v>=843.2*10000</v>
      </c>
      <c r="AX1895" s="1">
        <f>843.2*10000</f>
        <v>8432000</v>
      </c>
      <c r="AY1895" s="10">
        <f t="shared" si="926"/>
        <v>-0.78098701298701301</v>
      </c>
      <c r="AZ1895" s="7" t="s">
        <v>17015</v>
      </c>
      <c r="BA1895" s="6" t="str">
        <f t="shared" si="910"/>
        <v>=3850*10000</v>
      </c>
      <c r="BB1895" s="1">
        <f>3850*10000</f>
        <v>38500000</v>
      </c>
      <c r="BC1895" s="8">
        <f t="shared" si="927"/>
        <v>2.7214514407684097E-2</v>
      </c>
      <c r="BD1895" s="7" t="s">
        <v>7322</v>
      </c>
      <c r="BE1895" s="6" t="str">
        <f t="shared" si="911"/>
        <v>=3748*10000</v>
      </c>
      <c r="BF1895" s="1">
        <f>3748*10000</f>
        <v>37480000</v>
      </c>
      <c r="BG1895" s="8">
        <f t="shared" si="928"/>
        <v>0.40216984661429106</v>
      </c>
      <c r="BH1895" s="7" t="s">
        <v>17016</v>
      </c>
      <c r="BI1895" s="6" t="str">
        <f t="shared" si="912"/>
        <v>=2673*10000</v>
      </c>
      <c r="BJ1895" s="1">
        <f>2673*10000</f>
        <v>26730000</v>
      </c>
      <c r="BK1895" s="7" t="s">
        <v>17017</v>
      </c>
      <c r="BL1895" s="1" t="str">
        <f t="shared" si="914"/>
        <v>=1003*10000</v>
      </c>
      <c r="BM1895" s="16">
        <f t="shared" si="929"/>
        <v>1.6650049850448654</v>
      </c>
      <c r="BN1895" s="1">
        <f>1003*10000</f>
        <v>10030000</v>
      </c>
    </row>
    <row r="1896" spans="1:66">
      <c r="A1896" s="18"/>
      <c r="B1896">
        <v>603722</v>
      </c>
      <c r="C1896" t="s">
        <v>58</v>
      </c>
      <c r="D1896" s="6" t="s">
        <v>6383</v>
      </c>
      <c r="E1896" s="7" t="str">
        <f t="shared" si="913"/>
        <v>=1.129*100000000</v>
      </c>
      <c r="F1896" s="1">
        <f>1.129*100000000</f>
        <v>112900000</v>
      </c>
      <c r="G1896" s="8">
        <f t="shared" si="915"/>
        <v>0.46338302009073234</v>
      </c>
      <c r="H1896" s="7" t="s">
        <v>17018</v>
      </c>
      <c r="I1896" s="6" t="str">
        <f t="shared" si="899"/>
        <v>=7715*10000</v>
      </c>
      <c r="J1896" s="1">
        <f>7715*10000</f>
        <v>77150000</v>
      </c>
      <c r="K1896" s="10">
        <f t="shared" si="916"/>
        <v>0.28927139037433153</v>
      </c>
      <c r="L1896" s="7" t="s">
        <v>16531</v>
      </c>
      <c r="M1896" s="6" t="str">
        <f t="shared" si="900"/>
        <v>=5984*10000</v>
      </c>
      <c r="N1896" s="1">
        <f>5984*10000</f>
        <v>59840000</v>
      </c>
      <c r="O1896" s="8">
        <f t="shared" si="917"/>
        <v>1.3983967935871744</v>
      </c>
      <c r="P1896" s="7" t="s">
        <v>6507</v>
      </c>
      <c r="Q1896" s="6" t="str">
        <f t="shared" si="901"/>
        <v>=2495*10000</v>
      </c>
      <c r="R1896" s="11">
        <f>2495*10000</f>
        <v>24950000</v>
      </c>
      <c r="S1896" s="8">
        <f t="shared" si="918"/>
        <v>-0.58193699731903481</v>
      </c>
      <c r="T1896" s="7" t="s">
        <v>4604</v>
      </c>
      <c r="U1896" s="6" t="str">
        <f t="shared" si="902"/>
        <v>=5968*10000</v>
      </c>
      <c r="V1896" s="1">
        <f>5968*10000</f>
        <v>59680000</v>
      </c>
      <c r="W1896" s="8">
        <f t="shared" si="919"/>
        <v>0.74248175182481757</v>
      </c>
      <c r="X1896" s="7" t="s">
        <v>17019</v>
      </c>
      <c r="Y1896" s="6" t="str">
        <f t="shared" si="903"/>
        <v>=3425*10000</v>
      </c>
      <c r="Z1896" s="1">
        <f>3425*10000</f>
        <v>34250000</v>
      </c>
      <c r="AA1896" s="8">
        <f t="shared" si="920"/>
        <v>0.18512110726643599</v>
      </c>
      <c r="AB1896" s="7" t="s">
        <v>17020</v>
      </c>
      <c r="AC1896" s="6" t="str">
        <f t="shared" si="904"/>
        <v>=2890*10000</v>
      </c>
      <c r="AD1896" s="1">
        <f>2890*10000</f>
        <v>28900000</v>
      </c>
      <c r="AE1896" s="8">
        <f t="shared" si="921"/>
        <v>1.3231511254019293</v>
      </c>
      <c r="AF1896" s="7" t="s">
        <v>13780</v>
      </c>
      <c r="AG1896" s="6" t="str">
        <f t="shared" si="905"/>
        <v>=1244*10000</v>
      </c>
      <c r="AH1896" s="1">
        <f>1244*10000</f>
        <v>12440000</v>
      </c>
      <c r="AI1896" s="8">
        <f t="shared" si="922"/>
        <v>-0.71778584392014522</v>
      </c>
      <c r="AJ1896" s="7" t="s">
        <v>17021</v>
      </c>
      <c r="AK1896" s="6" t="str">
        <f t="shared" si="906"/>
        <v>=4408*10000</v>
      </c>
      <c r="AL1896" s="1">
        <f>4408*10000</f>
        <v>44080000</v>
      </c>
      <c r="AM1896" s="8">
        <f t="shared" si="923"/>
        <v>0.23611890072910824</v>
      </c>
      <c r="AN1896" s="7" t="s">
        <v>5972</v>
      </c>
      <c r="AO1896" s="6" t="str">
        <f t="shared" si="907"/>
        <v>=3566*10000</v>
      </c>
      <c r="AP1896" s="1">
        <f>3566*10000</f>
        <v>35660000</v>
      </c>
      <c r="AQ1896" s="8">
        <f t="shared" si="924"/>
        <v>0.72604065827686348</v>
      </c>
      <c r="AR1896" s="7" t="s">
        <v>15860</v>
      </c>
      <c r="AS1896" s="6" t="str">
        <f t="shared" si="908"/>
        <v>=2066*10000</v>
      </c>
      <c r="AT1896" s="1">
        <f>2066*10000</f>
        <v>20660000</v>
      </c>
      <c r="AU1896" s="8">
        <f t="shared" si="925"/>
        <v>1.4501897533206831</v>
      </c>
      <c r="AV1896" s="7" t="s">
        <v>17014</v>
      </c>
      <c r="AW1896" s="6" t="str">
        <f t="shared" si="909"/>
        <v>=843.2*10000</v>
      </c>
      <c r="AX1896" s="1">
        <f>843.2*10000</f>
        <v>8432000</v>
      </c>
      <c r="AY1896" s="10">
        <f t="shared" si="926"/>
        <v>-0.77949790794979079</v>
      </c>
      <c r="AZ1896" s="7" t="s">
        <v>17022</v>
      </c>
      <c r="BA1896" s="6" t="str">
        <f t="shared" si="910"/>
        <v>=3824*10000</v>
      </c>
      <c r="BB1896" s="1">
        <f>3824*10000</f>
        <v>38240000</v>
      </c>
      <c r="BC1896" s="8">
        <f t="shared" si="927"/>
        <v>2.5201072386058981E-2</v>
      </c>
      <c r="BD1896" s="7" t="s">
        <v>17023</v>
      </c>
      <c r="BE1896" s="6" t="str">
        <f t="shared" si="911"/>
        <v>=3730*10000</v>
      </c>
      <c r="BF1896" s="1">
        <f>3730*10000</f>
        <v>37300000</v>
      </c>
      <c r="BG1896" s="8">
        <f t="shared" si="928"/>
        <v>0.3954358398802843</v>
      </c>
      <c r="BH1896" s="7" t="s">
        <v>17016</v>
      </c>
      <c r="BI1896" s="6" t="str">
        <f t="shared" si="912"/>
        <v>=2673*10000</v>
      </c>
      <c r="BJ1896" s="1">
        <f>2673*10000</f>
        <v>26730000</v>
      </c>
      <c r="BK1896" s="7" t="s">
        <v>17017</v>
      </c>
      <c r="BL1896" s="1" t="str">
        <f t="shared" si="914"/>
        <v>=1003*10000</v>
      </c>
      <c r="BM1896" s="16">
        <f t="shared" si="929"/>
        <v>1.6650049850448654</v>
      </c>
      <c r="BN1896" s="1">
        <f>1003*10000</f>
        <v>10030000</v>
      </c>
    </row>
    <row r="1897" spans="1:66">
      <c r="A1897" s="19"/>
      <c r="B1897">
        <v>603722</v>
      </c>
      <c r="C1897" t="s">
        <v>68</v>
      </c>
      <c r="D1897" s="6" t="s">
        <v>2523</v>
      </c>
      <c r="E1897" s="7" t="str">
        <f t="shared" si="913"/>
        <v>=1.002*100000000</v>
      </c>
      <c r="F1897" s="1">
        <f>1.002*100000000</f>
        <v>100200000</v>
      </c>
      <c r="G1897" s="8">
        <f t="shared" si="915"/>
        <v>0.46491228070175439</v>
      </c>
      <c r="H1897" s="7" t="s">
        <v>17024</v>
      </c>
      <c r="I1897" s="6" t="str">
        <f t="shared" si="899"/>
        <v>=6840*10000</v>
      </c>
      <c r="J1897" s="1">
        <f>6840*10000</f>
        <v>68400000</v>
      </c>
      <c r="K1897" s="10">
        <f t="shared" si="916"/>
        <v>0.34619169454831727</v>
      </c>
      <c r="L1897" s="7" t="s">
        <v>17025</v>
      </c>
      <c r="M1897" s="6" t="str">
        <f t="shared" si="900"/>
        <v>=5081*10000</v>
      </c>
      <c r="N1897" s="1">
        <f>5081*10000</f>
        <v>50810000</v>
      </c>
      <c r="O1897" s="8">
        <f t="shared" si="917"/>
        <v>1.398961284230406</v>
      </c>
      <c r="P1897" s="7" t="s">
        <v>17026</v>
      </c>
      <c r="Q1897" s="6" t="str">
        <f t="shared" si="901"/>
        <v>=2118*10000</v>
      </c>
      <c r="R1897" s="11">
        <f>2118*10000</f>
        <v>21180000</v>
      </c>
      <c r="S1897" s="8">
        <f t="shared" si="918"/>
        <v>-0.58921644685802943</v>
      </c>
      <c r="T1897" s="7" t="s">
        <v>15785</v>
      </c>
      <c r="U1897" s="6" t="str">
        <f t="shared" si="902"/>
        <v>=5156*10000</v>
      </c>
      <c r="V1897" s="1">
        <f>5156*10000</f>
        <v>51560000</v>
      </c>
      <c r="W1897" s="8">
        <f t="shared" si="919"/>
        <v>0.73252688172043012</v>
      </c>
      <c r="X1897" s="7" t="s">
        <v>2717</v>
      </c>
      <c r="Y1897" s="6" t="str">
        <f t="shared" si="903"/>
        <v>=2976*10000</v>
      </c>
      <c r="Z1897" s="1">
        <f>2976*10000</f>
        <v>29760000</v>
      </c>
      <c r="AA1897" s="8">
        <f t="shared" si="920"/>
        <v>0.19040000000000001</v>
      </c>
      <c r="AB1897" s="7" t="s">
        <v>7579</v>
      </c>
      <c r="AC1897" s="6" t="str">
        <f t="shared" si="904"/>
        <v>=2500*10000</v>
      </c>
      <c r="AD1897" s="1">
        <f>2500*10000</f>
        <v>25000000</v>
      </c>
      <c r="AE1897" s="8">
        <f t="shared" si="921"/>
        <v>1.3299161230195713</v>
      </c>
      <c r="AF1897" s="7" t="s">
        <v>7565</v>
      </c>
      <c r="AG1897" s="6" t="str">
        <f t="shared" si="905"/>
        <v>=1073*10000</v>
      </c>
      <c r="AH1897" s="1">
        <f>1073*10000</f>
        <v>10730000</v>
      </c>
      <c r="AI1897" s="8">
        <f t="shared" si="922"/>
        <v>-0.7257157464212679</v>
      </c>
      <c r="AJ1897" s="7" t="s">
        <v>17027</v>
      </c>
      <c r="AK1897" s="6" t="str">
        <f t="shared" si="906"/>
        <v>=3912*10000</v>
      </c>
      <c r="AL1897" s="1">
        <f>3912*10000</f>
        <v>39120000</v>
      </c>
      <c r="AM1897" s="8">
        <f t="shared" si="923"/>
        <v>0.27260897852960314</v>
      </c>
      <c r="AN1897" s="7" t="s">
        <v>7571</v>
      </c>
      <c r="AO1897" s="6" t="str">
        <f t="shared" si="907"/>
        <v>=3074*10000</v>
      </c>
      <c r="AP1897" s="1">
        <f>3074*10000</f>
        <v>30740000</v>
      </c>
      <c r="AQ1897" s="8">
        <f t="shared" si="924"/>
        <v>0.70777777777777773</v>
      </c>
      <c r="AR1897" s="7" t="s">
        <v>17028</v>
      </c>
      <c r="AS1897" s="6" t="str">
        <f t="shared" si="908"/>
        <v>=1800*10000</v>
      </c>
      <c r="AT1897" s="1">
        <f>1800*10000</f>
        <v>18000000</v>
      </c>
      <c r="AU1897" s="8">
        <f t="shared" si="925"/>
        <v>1.4466494495038738</v>
      </c>
      <c r="AV1897" s="7" t="s">
        <v>17029</v>
      </c>
      <c r="AW1897" s="6" t="str">
        <f t="shared" si="909"/>
        <v>=735.7*10000</v>
      </c>
      <c r="AX1897" s="1">
        <f>735.7*10000</f>
        <v>7357000</v>
      </c>
      <c r="AY1897" s="10">
        <f t="shared" si="926"/>
        <v>-0.77986235786953917</v>
      </c>
      <c r="AZ1897" s="7" t="s">
        <v>17030</v>
      </c>
      <c r="BA1897" s="6" t="str">
        <f t="shared" si="910"/>
        <v>=3342*10000</v>
      </c>
      <c r="BB1897" s="1">
        <f>3342*10000</f>
        <v>33420000</v>
      </c>
      <c r="BC1897" s="8">
        <f t="shared" si="927"/>
        <v>4.8964218455743877E-2</v>
      </c>
      <c r="BD1897" s="7" t="s">
        <v>7970</v>
      </c>
      <c r="BE1897" s="6" t="str">
        <f t="shared" si="911"/>
        <v>=3186*10000</v>
      </c>
      <c r="BF1897" s="1">
        <f>3186*10000</f>
        <v>31860000</v>
      </c>
      <c r="BG1897" s="8">
        <f t="shared" si="928"/>
        <v>0.39187418086500653</v>
      </c>
      <c r="BH1897" s="7" t="s">
        <v>12038</v>
      </c>
      <c r="BI1897" s="6" t="str">
        <f t="shared" si="912"/>
        <v>=2289*10000</v>
      </c>
      <c r="BJ1897" s="1">
        <f>2289*10000</f>
        <v>22890000</v>
      </c>
      <c r="BK1897" s="7" t="s">
        <v>17031</v>
      </c>
      <c r="BL1897" s="1" t="str">
        <f t="shared" si="914"/>
        <v>=852.1*10000</v>
      </c>
      <c r="BM1897" s="16">
        <f t="shared" si="929"/>
        <v>1.6863044243633376</v>
      </c>
      <c r="BN1897" s="1">
        <f>852.1*10000</f>
        <v>8521000</v>
      </c>
    </row>
    <row r="1898" spans="1:66">
      <c r="A1898" s="17">
        <v>476</v>
      </c>
      <c r="B1898">
        <v>603727</v>
      </c>
      <c r="C1898" t="s">
        <v>31</v>
      </c>
      <c r="D1898" s="6" t="s">
        <v>17032</v>
      </c>
      <c r="E1898" s="7" t="str">
        <f t="shared" si="913"/>
        <v>=40.81*100000000</v>
      </c>
      <c r="F1898" s="1">
        <f>40.81*100000000</f>
        <v>4081000000</v>
      </c>
      <c r="G1898" s="8">
        <f t="shared" si="915"/>
        <v>0.39712427250941457</v>
      </c>
      <c r="H1898" s="6" t="s">
        <v>17033</v>
      </c>
      <c r="I1898" s="6" t="str">
        <f t="shared" si="899"/>
        <v>=29.21*100000000</v>
      </c>
      <c r="J1898" s="1">
        <f>29.21*100000000</f>
        <v>2921000000</v>
      </c>
      <c r="K1898" s="10">
        <f t="shared" si="916"/>
        <v>0.46416040100250627</v>
      </c>
      <c r="L1898" s="6" t="s">
        <v>12911</v>
      </c>
      <c r="M1898" s="6" t="str">
        <f t="shared" si="900"/>
        <v>=19.95*100000000</v>
      </c>
      <c r="N1898" s="1">
        <f>19.95*100000000</f>
        <v>1995000000</v>
      </c>
      <c r="O1898" s="8">
        <f t="shared" si="917"/>
        <v>2.3899745114698385</v>
      </c>
      <c r="P1898" s="6" t="s">
        <v>6017</v>
      </c>
      <c r="Q1898" s="6" t="str">
        <f t="shared" si="901"/>
        <v>=5.885*100000000</v>
      </c>
      <c r="R1898" s="11">
        <f>5.885*100000000</f>
        <v>588500000</v>
      </c>
      <c r="S1898" s="8">
        <f t="shared" si="918"/>
        <v>-0.77181077937184961</v>
      </c>
      <c r="T1898" s="6" t="s">
        <v>1195</v>
      </c>
      <c r="U1898" s="6" t="str">
        <f t="shared" si="902"/>
        <v>=25.79*100000000</v>
      </c>
      <c r="V1898" s="1">
        <f>25.79*100000000</f>
        <v>2579000000</v>
      </c>
      <c r="W1898" s="8">
        <f t="shared" si="919"/>
        <v>0.56397816858702265</v>
      </c>
      <c r="X1898" s="6" t="s">
        <v>6068</v>
      </c>
      <c r="Y1898" s="6" t="str">
        <f t="shared" si="903"/>
        <v>=16.49*100000000</v>
      </c>
      <c r="Z1898" s="1">
        <f>16.49*100000000</f>
        <v>1648999999.9999998</v>
      </c>
      <c r="AA1898" s="8">
        <f t="shared" si="920"/>
        <v>0.70527404343329858</v>
      </c>
      <c r="AB1898" s="6" t="s">
        <v>4425</v>
      </c>
      <c r="AC1898" s="6" t="str">
        <f t="shared" si="904"/>
        <v>=9.670*100000000</v>
      </c>
      <c r="AD1898" s="1">
        <f>9.67*100000000</f>
        <v>967000000</v>
      </c>
      <c r="AE1898" s="8">
        <f t="shared" si="921"/>
        <v>2.9308943089430892</v>
      </c>
      <c r="AF1898" s="6" t="s">
        <v>16264</v>
      </c>
      <c r="AG1898" s="6" t="str">
        <f t="shared" si="905"/>
        <v>=2.460*100000000</v>
      </c>
      <c r="AH1898" s="1">
        <f>2.46*100000000</f>
        <v>246000000</v>
      </c>
      <c r="AI1898" s="8">
        <f t="shared" si="922"/>
        <v>-0.81831610044313141</v>
      </c>
      <c r="AJ1898" s="6" t="s">
        <v>10618</v>
      </c>
      <c r="AK1898" s="6" t="str">
        <f t="shared" si="906"/>
        <v>=13.54*100000000</v>
      </c>
      <c r="AL1898" s="1">
        <f>13.54*100000000</f>
        <v>1354000000</v>
      </c>
      <c r="AM1898" s="8">
        <f t="shared" si="923"/>
        <v>0.76416938110749189</v>
      </c>
      <c r="AN1898" s="6" t="s">
        <v>5486</v>
      </c>
      <c r="AO1898" s="6" t="str">
        <f t="shared" si="907"/>
        <v>=7.675*100000000</v>
      </c>
      <c r="AP1898" s="1">
        <f>7.675*100000000</f>
        <v>767500000</v>
      </c>
      <c r="AQ1898" s="8">
        <f t="shared" si="924"/>
        <v>0.54054596547571254</v>
      </c>
      <c r="AR1898" s="6" t="s">
        <v>16478</v>
      </c>
      <c r="AS1898" s="6" t="str">
        <f t="shared" si="908"/>
        <v>=4.982*100000000</v>
      </c>
      <c r="AT1898" s="1">
        <f>4.982*100000000</f>
        <v>498200000</v>
      </c>
      <c r="AU1898" s="8">
        <f t="shared" si="925"/>
        <v>1.9725536992840096</v>
      </c>
      <c r="AV1898" s="6" t="s">
        <v>12479</v>
      </c>
      <c r="AW1898" s="6" t="str">
        <f t="shared" si="909"/>
        <v>=1.676*100000000</v>
      </c>
      <c r="AX1898" s="1">
        <f>1.676*100000000</f>
        <v>167600000</v>
      </c>
      <c r="AY1898" s="10">
        <f t="shared" si="926"/>
        <v>-0.57740796772566816</v>
      </c>
      <c r="AZ1898" s="6" t="s">
        <v>17034</v>
      </c>
      <c r="BA1898" s="6" t="str">
        <f t="shared" si="910"/>
        <v>=3.966*100000000</v>
      </c>
      <c r="BB1898" s="1">
        <f>3.966*100000000</f>
        <v>396600000</v>
      </c>
      <c r="BC1898" s="8">
        <f t="shared" si="927"/>
        <v>1.1461038961038961</v>
      </c>
      <c r="BD1898" s="6" t="s">
        <v>17035</v>
      </c>
      <c r="BE1898" s="6" t="str">
        <f t="shared" si="911"/>
        <v>=1.848*100000000</v>
      </c>
      <c r="BF1898" s="1">
        <f>1.848*100000000</f>
        <v>184800000</v>
      </c>
      <c r="BG1898" s="8">
        <f t="shared" si="928"/>
        <v>2.2994108194965186</v>
      </c>
      <c r="BH1898" s="7" t="s">
        <v>6537</v>
      </c>
      <c r="BI1898" s="6" t="str">
        <f t="shared" si="912"/>
        <v>=5601*10000</v>
      </c>
      <c r="BJ1898" s="1">
        <f>5601*10000</f>
        <v>56010000</v>
      </c>
      <c r="BK1898" s="7" t="s">
        <v>17036</v>
      </c>
      <c r="BL1898" s="1" t="str">
        <f t="shared" si="914"/>
        <v>=2553*10000</v>
      </c>
      <c r="BM1898" s="16">
        <f t="shared" si="929"/>
        <v>1.1938895417156288</v>
      </c>
      <c r="BN1898" s="1">
        <f>2553*10000</f>
        <v>25530000</v>
      </c>
    </row>
    <row r="1899" spans="1:66">
      <c r="A1899" s="18"/>
      <c r="B1899">
        <v>603727</v>
      </c>
      <c r="C1899" t="s">
        <v>48</v>
      </c>
      <c r="D1899" s="6" t="s">
        <v>2157</v>
      </c>
      <c r="E1899" s="7" t="str">
        <f t="shared" si="913"/>
        <v>=1.648*100000000</v>
      </c>
      <c r="F1899" s="1">
        <f>1.648*100000000</f>
        <v>164800000</v>
      </c>
      <c r="G1899" s="8">
        <f t="shared" si="915"/>
        <v>-0.16387620497209537</v>
      </c>
      <c r="H1899" s="6" t="s">
        <v>4066</v>
      </c>
      <c r="I1899" s="6" t="str">
        <f t="shared" si="899"/>
        <v>=1.971*100000000</v>
      </c>
      <c r="J1899" s="1">
        <f>1.971*100000000</f>
        <v>197100000</v>
      </c>
      <c r="K1899" s="10">
        <f t="shared" si="916"/>
        <v>0.21741815935762818</v>
      </c>
      <c r="L1899" s="6" t="s">
        <v>1514</v>
      </c>
      <c r="M1899" s="6" t="str">
        <f t="shared" si="900"/>
        <v>=1.619*100000000</v>
      </c>
      <c r="N1899" s="1">
        <f>1.619*100000000</f>
        <v>161900000</v>
      </c>
      <c r="O1899" s="8">
        <f t="shared" si="917"/>
        <v>1.8225244072524407</v>
      </c>
      <c r="P1899" s="7" t="s">
        <v>17037</v>
      </c>
      <c r="Q1899" s="6" t="str">
        <f t="shared" si="901"/>
        <v>=5736*10000</v>
      </c>
      <c r="R1899" s="11">
        <f>5736*10000</f>
        <v>57360000</v>
      </c>
      <c r="S1899" s="8">
        <f t="shared" si="918"/>
        <v>-0.59232409381663109</v>
      </c>
      <c r="T1899" s="6" t="s">
        <v>2210</v>
      </c>
      <c r="U1899" s="6" t="str">
        <f t="shared" si="902"/>
        <v>=1.407*100000000</v>
      </c>
      <c r="V1899" s="1">
        <f>1.407*100000000</f>
        <v>140700000</v>
      </c>
      <c r="W1899" s="8">
        <f t="shared" si="919"/>
        <v>0.68382000957395883</v>
      </c>
      <c r="X1899" s="7" t="s">
        <v>17038</v>
      </c>
      <c r="Y1899" s="6" t="str">
        <f t="shared" si="903"/>
        <v>=8356*10000</v>
      </c>
      <c r="Z1899" s="1">
        <f>8356*10000</f>
        <v>83560000</v>
      </c>
      <c r="AA1899" s="8">
        <f t="shared" si="920"/>
        <v>0.90211700432506259</v>
      </c>
      <c r="AB1899" s="7" t="s">
        <v>16304</v>
      </c>
      <c r="AC1899" s="6" t="str">
        <f t="shared" si="904"/>
        <v>=4393*10000</v>
      </c>
      <c r="AD1899" s="1">
        <f>4393*10000</f>
        <v>43930000</v>
      </c>
      <c r="AE1899" s="8">
        <f t="shared" si="921"/>
        <v>2.997270245677889</v>
      </c>
      <c r="AF1899" s="7" t="s">
        <v>17039</v>
      </c>
      <c r="AG1899" s="6" t="str">
        <f t="shared" si="905"/>
        <v>=1099*10000</v>
      </c>
      <c r="AH1899" s="1">
        <f>1099*10000</f>
        <v>10990000</v>
      </c>
      <c r="AI1899" s="8">
        <f t="shared" si="922"/>
        <v>-0.5879265091863517</v>
      </c>
      <c r="AJ1899" s="7" t="s">
        <v>17040</v>
      </c>
      <c r="AK1899" s="6" t="str">
        <f t="shared" si="906"/>
        <v>=2667*10000</v>
      </c>
      <c r="AL1899" s="1">
        <f>2667*10000</f>
        <v>26670000</v>
      </c>
      <c r="AM1899" s="8">
        <f t="shared" si="923"/>
        <v>0.48002219755826858</v>
      </c>
      <c r="AN1899" s="7" t="s">
        <v>7622</v>
      </c>
      <c r="AO1899" s="6" t="str">
        <f t="shared" si="907"/>
        <v>=1802*10000</v>
      </c>
      <c r="AP1899" s="1">
        <f>1802*10000</f>
        <v>18020000</v>
      </c>
      <c r="AQ1899" s="8">
        <f t="shared" si="924"/>
        <v>0.60892857142857137</v>
      </c>
      <c r="AR1899" s="7" t="s">
        <v>8337</v>
      </c>
      <c r="AS1899" s="6" t="str">
        <f t="shared" si="908"/>
        <v>=1120*10000</v>
      </c>
      <c r="AT1899" s="1">
        <f>1120*10000</f>
        <v>11200000</v>
      </c>
      <c r="AU1899" s="8">
        <f t="shared" si="925"/>
        <v>3.1221935958778064</v>
      </c>
      <c r="AV1899" s="7" t="s">
        <v>17041</v>
      </c>
      <c r="AW1899" s="6" t="str">
        <f t="shared" si="909"/>
        <v>=271.7*10000</v>
      </c>
      <c r="AX1899" s="1">
        <f>271.7*10000</f>
        <v>2717000</v>
      </c>
      <c r="AY1899" s="10">
        <f t="shared" si="926"/>
        <v>-0.76557377049180331</v>
      </c>
      <c r="AZ1899" s="7" t="s">
        <v>17042</v>
      </c>
      <c r="BA1899" s="6" t="str">
        <f t="shared" si="910"/>
        <v>=1159*10000</v>
      </c>
      <c r="BB1899" s="1">
        <f>1159*10000</f>
        <v>11590000</v>
      </c>
      <c r="BC1899" s="8">
        <f t="shared" si="927"/>
        <v>-1.3103910016068558</v>
      </c>
      <c r="BD1899" s="7">
        <f>-3734*10000</f>
        <v>-37340000</v>
      </c>
      <c r="BE1899" s="6" t="str">
        <f t="shared" si="911"/>
        <v>=-37340000</v>
      </c>
      <c r="BF1899" s="1">
        <f>-37340000</f>
        <v>-37340000</v>
      </c>
      <c r="BG1899" s="8">
        <f t="shared" si="928"/>
        <v>-0.50206694225896786</v>
      </c>
      <c r="BH1899" s="7">
        <f>-7499*10000</f>
        <v>-74990000</v>
      </c>
      <c r="BI1899" s="6" t="str">
        <f t="shared" si="912"/>
        <v>=-74990000</v>
      </c>
      <c r="BJ1899" s="1">
        <f>-74990000</f>
        <v>-74990000</v>
      </c>
      <c r="BK1899" s="7">
        <f>-4591*10000</f>
        <v>-45910000</v>
      </c>
      <c r="BL1899" s="1" t="str">
        <f t="shared" si="914"/>
        <v>=-45910000</v>
      </c>
      <c r="BM1899" s="16">
        <f t="shared" si="929"/>
        <v>0.63341319973861909</v>
      </c>
      <c r="BN1899" s="1">
        <f>-45910000</f>
        <v>-45910000</v>
      </c>
    </row>
    <row r="1900" spans="1:66">
      <c r="A1900" s="18"/>
      <c r="B1900">
        <v>603727</v>
      </c>
      <c r="C1900" t="s">
        <v>58</v>
      </c>
      <c r="D1900" s="6" t="s">
        <v>2541</v>
      </c>
      <c r="E1900" s="7" t="str">
        <f t="shared" si="913"/>
        <v>=1.624*100000000</v>
      </c>
      <c r="F1900" s="1">
        <f>1.624*100000000</f>
        <v>162400000</v>
      </c>
      <c r="G1900" s="8">
        <f t="shared" si="915"/>
        <v>-0.1607235142118863</v>
      </c>
      <c r="H1900" s="6" t="s">
        <v>2182</v>
      </c>
      <c r="I1900" s="6" t="str">
        <f t="shared" si="899"/>
        <v>=1.935*100000000</v>
      </c>
      <c r="J1900" s="1">
        <f>1.935*100000000</f>
        <v>193500000</v>
      </c>
      <c r="K1900" s="10">
        <f t="shared" si="916"/>
        <v>0.22468354430379747</v>
      </c>
      <c r="L1900" s="6" t="s">
        <v>17043</v>
      </c>
      <c r="M1900" s="6" t="str">
        <f t="shared" si="900"/>
        <v>=1.580*100000000</v>
      </c>
      <c r="N1900" s="1">
        <f>1.58*100000000</f>
        <v>158000000</v>
      </c>
      <c r="O1900" s="8">
        <f t="shared" si="917"/>
        <v>1.7478260869565216</v>
      </c>
      <c r="P1900" s="7" t="s">
        <v>3576</v>
      </c>
      <c r="Q1900" s="6" t="str">
        <f t="shared" si="901"/>
        <v>=5750*10000</v>
      </c>
      <c r="R1900" s="11">
        <f>5750*10000</f>
        <v>57500000</v>
      </c>
      <c r="S1900" s="8">
        <f t="shared" si="918"/>
        <v>-0.58603311735061192</v>
      </c>
      <c r="T1900" s="6" t="s">
        <v>2148</v>
      </c>
      <c r="U1900" s="6" t="str">
        <f t="shared" si="902"/>
        <v>=1.389*100000000</v>
      </c>
      <c r="V1900" s="1">
        <f>1.389*100000000</f>
        <v>138900000</v>
      </c>
      <c r="W1900" s="8">
        <f t="shared" si="919"/>
        <v>0.64534470504619756</v>
      </c>
      <c r="X1900" s="7" t="s">
        <v>17044</v>
      </c>
      <c r="Y1900" s="6" t="str">
        <f t="shared" si="903"/>
        <v>=8442*10000</v>
      </c>
      <c r="Z1900" s="1">
        <f>8442*10000</f>
        <v>84420000</v>
      </c>
      <c r="AA1900" s="8">
        <f t="shared" si="920"/>
        <v>0.88437500000000002</v>
      </c>
      <c r="AB1900" s="7" t="s">
        <v>17045</v>
      </c>
      <c r="AC1900" s="6" t="str">
        <f t="shared" si="904"/>
        <v>=4480*10000</v>
      </c>
      <c r="AD1900" s="1">
        <f>4480*10000</f>
        <v>44800000</v>
      </c>
      <c r="AE1900" s="8">
        <f t="shared" si="921"/>
        <v>3.3201542912246866</v>
      </c>
      <c r="AF1900" s="7" t="s">
        <v>7313</v>
      </c>
      <c r="AG1900" s="6" t="str">
        <f t="shared" si="905"/>
        <v>=1037*10000</v>
      </c>
      <c r="AH1900" s="1">
        <f>1037*10000</f>
        <v>10370000</v>
      </c>
      <c r="AI1900" s="8">
        <f t="shared" si="922"/>
        <v>-0.6347305389221557</v>
      </c>
      <c r="AJ1900" s="7" t="s">
        <v>17046</v>
      </c>
      <c r="AK1900" s="6" t="str">
        <f t="shared" si="906"/>
        <v>=2839*10000</v>
      </c>
      <c r="AL1900" s="1">
        <f>2839*10000</f>
        <v>28390000</v>
      </c>
      <c r="AM1900" s="8">
        <f t="shared" si="923"/>
        <v>0.49185496584340516</v>
      </c>
      <c r="AN1900" s="7" t="s">
        <v>17047</v>
      </c>
      <c r="AO1900" s="6" t="str">
        <f t="shared" si="907"/>
        <v>=1903*10000</v>
      </c>
      <c r="AP1900" s="1">
        <f>1903*10000</f>
        <v>19030000</v>
      </c>
      <c r="AQ1900" s="8">
        <f t="shared" si="924"/>
        <v>0.595138306789606</v>
      </c>
      <c r="AR1900" s="7" t="s">
        <v>17048</v>
      </c>
      <c r="AS1900" s="6" t="str">
        <f t="shared" si="908"/>
        <v>=1193*10000</v>
      </c>
      <c r="AT1900" s="1">
        <f>1193*10000</f>
        <v>11930000</v>
      </c>
      <c r="AU1900" s="8">
        <f t="shared" si="925"/>
        <v>2.7480364436066602</v>
      </c>
      <c r="AV1900" s="7" t="s">
        <v>17049</v>
      </c>
      <c r="AW1900" s="6" t="str">
        <f t="shared" si="909"/>
        <v>=318.3*10000</v>
      </c>
      <c r="AX1900" s="1">
        <f>318.3*10000</f>
        <v>3183000</v>
      </c>
      <c r="AY1900" s="10">
        <f t="shared" si="926"/>
        <v>-0.73802469135802473</v>
      </c>
      <c r="AZ1900" s="7" t="s">
        <v>17050</v>
      </c>
      <c r="BA1900" s="6" t="str">
        <f t="shared" si="910"/>
        <v>=1215*10000</v>
      </c>
      <c r="BB1900" s="1">
        <f>1215*10000</f>
        <v>12150000</v>
      </c>
      <c r="BC1900" s="8">
        <f t="shared" si="927"/>
        <v>-1.3261744966442952</v>
      </c>
      <c r="BD1900" s="7">
        <f>-3725*10000</f>
        <v>-37250000</v>
      </c>
      <c r="BE1900" s="6" t="str">
        <f t="shared" si="911"/>
        <v>=-37250000</v>
      </c>
      <c r="BF1900" s="1">
        <f>-37250000</f>
        <v>-37250000</v>
      </c>
      <c r="BG1900" s="8">
        <f t="shared" si="928"/>
        <v>-0.50167224080267558</v>
      </c>
      <c r="BH1900" s="7">
        <f>-7475*10000</f>
        <v>-74750000</v>
      </c>
      <c r="BI1900" s="6" t="str">
        <f t="shared" si="912"/>
        <v>=-74750000</v>
      </c>
      <c r="BJ1900" s="1">
        <f>-74750000</f>
        <v>-74750000</v>
      </c>
      <c r="BK1900" s="7">
        <f>-4570*10000</f>
        <v>-45700000</v>
      </c>
      <c r="BL1900" s="1" t="str">
        <f t="shared" si="914"/>
        <v>=-45700000</v>
      </c>
      <c r="BM1900" s="16">
        <f t="shared" si="929"/>
        <v>0.6356673960612691</v>
      </c>
      <c r="BN1900" s="1">
        <f>-45700000</f>
        <v>-45700000</v>
      </c>
    </row>
    <row r="1901" spans="1:66">
      <c r="A1901" s="19"/>
      <c r="B1901">
        <v>603727</v>
      </c>
      <c r="C1901" t="s">
        <v>68</v>
      </c>
      <c r="D1901" s="6" t="s">
        <v>15596</v>
      </c>
      <c r="E1901" s="7" t="str">
        <f t="shared" si="913"/>
        <v>=1.662*100000000</v>
      </c>
      <c r="F1901" s="1">
        <f>1.662*100000000</f>
        <v>166200000</v>
      </c>
      <c r="G1901" s="8">
        <f t="shared" si="915"/>
        <v>-0.10452586206896551</v>
      </c>
      <c r="H1901" s="6" t="s">
        <v>11456</v>
      </c>
      <c r="I1901" s="6" t="str">
        <f t="shared" si="899"/>
        <v>=1.856*100000000</v>
      </c>
      <c r="J1901" s="1">
        <f>1.856*100000000</f>
        <v>185600000</v>
      </c>
      <c r="K1901" s="10">
        <f t="shared" si="916"/>
        <v>0.27823691460055094</v>
      </c>
      <c r="L1901" s="6" t="s">
        <v>1523</v>
      </c>
      <c r="M1901" s="6" t="str">
        <f t="shared" si="900"/>
        <v>=1.452*100000000</v>
      </c>
      <c r="N1901" s="1">
        <f>1.452*100000000</f>
        <v>145200000</v>
      </c>
      <c r="O1901" s="8">
        <f t="shared" si="917"/>
        <v>1.7746990254156316</v>
      </c>
      <c r="P1901" s="7" t="s">
        <v>17051</v>
      </c>
      <c r="Q1901" s="6" t="str">
        <f t="shared" si="901"/>
        <v>=5233*10000</v>
      </c>
      <c r="R1901" s="11">
        <f>5233*10000</f>
        <v>52330000</v>
      </c>
      <c r="S1901" s="8">
        <f t="shared" si="918"/>
        <v>-0.60235562310030399</v>
      </c>
      <c r="T1901" s="6" t="s">
        <v>13130</v>
      </c>
      <c r="U1901" s="6" t="str">
        <f t="shared" si="902"/>
        <v>=1.316*100000000</v>
      </c>
      <c r="V1901" s="1">
        <f>1.316*100000000</f>
        <v>131600000</v>
      </c>
      <c r="W1901" s="8">
        <f t="shared" si="919"/>
        <v>0.66056782334384856</v>
      </c>
      <c r="X1901" s="7" t="s">
        <v>15411</v>
      </c>
      <c r="Y1901" s="6" t="str">
        <f t="shared" si="903"/>
        <v>=7925*10000</v>
      </c>
      <c r="Z1901" s="1">
        <f>7925*10000</f>
        <v>79250000</v>
      </c>
      <c r="AA1901" s="8">
        <f t="shared" si="920"/>
        <v>0.88242280285035635</v>
      </c>
      <c r="AB1901" s="7" t="s">
        <v>15205</v>
      </c>
      <c r="AC1901" s="6" t="str">
        <f t="shared" si="904"/>
        <v>=4210*10000</v>
      </c>
      <c r="AD1901" s="1">
        <f>4210*10000</f>
        <v>42100000</v>
      </c>
      <c r="AE1901" s="8">
        <f t="shared" si="921"/>
        <v>3.0403071017274472</v>
      </c>
      <c r="AF1901" s="7" t="s">
        <v>9968</v>
      </c>
      <c r="AG1901" s="6" t="str">
        <f t="shared" si="905"/>
        <v>=1042*10000</v>
      </c>
      <c r="AH1901" s="1">
        <f>1042*10000</f>
        <v>10420000</v>
      </c>
      <c r="AI1901" s="8">
        <f t="shared" si="922"/>
        <v>-0.69927849927849928</v>
      </c>
      <c r="AJ1901" s="7" t="s">
        <v>15737</v>
      </c>
      <c r="AK1901" s="6" t="str">
        <f t="shared" si="906"/>
        <v>=3465*10000</v>
      </c>
      <c r="AL1901" s="1">
        <f>3465*10000</f>
        <v>34650000</v>
      </c>
      <c r="AM1901" s="8">
        <f t="shared" si="923"/>
        <v>0.49160568230736118</v>
      </c>
      <c r="AN1901" s="7" t="s">
        <v>10853</v>
      </c>
      <c r="AO1901" s="6" t="str">
        <f t="shared" si="907"/>
        <v>=2323*10000</v>
      </c>
      <c r="AP1901" s="1">
        <f>2323*10000</f>
        <v>23230000</v>
      </c>
      <c r="AQ1901" s="8">
        <f t="shared" si="924"/>
        <v>0.65810135617416132</v>
      </c>
      <c r="AR1901" s="7" t="s">
        <v>4050</v>
      </c>
      <c r="AS1901" s="6" t="str">
        <f t="shared" si="908"/>
        <v>=1401*10000</v>
      </c>
      <c r="AT1901" s="1">
        <f>1401*10000</f>
        <v>14010000</v>
      </c>
      <c r="AU1901" s="8">
        <f t="shared" si="925"/>
        <v>2.7379935965848454</v>
      </c>
      <c r="AV1901" s="7" t="s">
        <v>17052</v>
      </c>
      <c r="AW1901" s="6" t="str">
        <f t="shared" si="909"/>
        <v>=374.8*10000</v>
      </c>
      <c r="AX1901" s="1">
        <f>374.8*10000</f>
        <v>3748000</v>
      </c>
      <c r="AY1901" s="10">
        <f t="shared" si="926"/>
        <v>-0.47602404585488606</v>
      </c>
      <c r="AZ1901" s="7" t="s">
        <v>17053</v>
      </c>
      <c r="BA1901" s="6" t="str">
        <f t="shared" si="910"/>
        <v>=715.3*10000</v>
      </c>
      <c r="BB1901" s="1">
        <f>715.3*10000</f>
        <v>7153000</v>
      </c>
      <c r="BC1901" s="8">
        <f t="shared" si="927"/>
        <v>-1.2423924093527619</v>
      </c>
      <c r="BD1901" s="7">
        <f>-2951*10000</f>
        <v>-29510000</v>
      </c>
      <c r="BE1901" s="6" t="str">
        <f t="shared" si="911"/>
        <v>=-29510000</v>
      </c>
      <c r="BF1901" s="1">
        <f>-29510000</f>
        <v>-29510000</v>
      </c>
      <c r="BG1901" s="8">
        <f t="shared" si="928"/>
        <v>-0.53358621779674409</v>
      </c>
      <c r="BH1901" s="7">
        <f>-6327*10000</f>
        <v>-63270000</v>
      </c>
      <c r="BI1901" s="6" t="str">
        <f t="shared" si="912"/>
        <v>=-63270000</v>
      </c>
      <c r="BJ1901" s="1">
        <f>-63270000</f>
        <v>-63270000</v>
      </c>
      <c r="BK1901" s="7">
        <f>-3913*10000</f>
        <v>-39130000</v>
      </c>
      <c r="BL1901" s="1" t="str">
        <f t="shared" si="914"/>
        <v>=-39130000</v>
      </c>
      <c r="BM1901" s="16">
        <f t="shared" si="929"/>
        <v>0.6169179657551751</v>
      </c>
      <c r="BN1901" s="1">
        <f>-39130000</f>
        <v>-39130000</v>
      </c>
    </row>
    <row r="1902" spans="1:66">
      <c r="A1902" s="17">
        <v>477</v>
      </c>
      <c r="B1902">
        <v>603757</v>
      </c>
      <c r="C1902" t="s">
        <v>31</v>
      </c>
      <c r="D1902" s="6" t="s">
        <v>6951</v>
      </c>
      <c r="E1902" s="7" t="str">
        <f t="shared" si="913"/>
        <v>=14.84*100000000</v>
      </c>
      <c r="F1902" s="1">
        <f>14.84*100000000</f>
        <v>1484000000</v>
      </c>
      <c r="G1902" s="8">
        <f t="shared" si="915"/>
        <v>0.379182156133829</v>
      </c>
      <c r="H1902" s="6" t="s">
        <v>649</v>
      </c>
      <c r="I1902" s="6" t="str">
        <f t="shared" si="899"/>
        <v>=10.76*100000000</v>
      </c>
      <c r="J1902" s="1">
        <f>10.76*100000000</f>
        <v>1076000000</v>
      </c>
      <c r="K1902" s="10">
        <f t="shared" si="916"/>
        <v>0.60238272524199554</v>
      </c>
      <c r="L1902" s="6" t="s">
        <v>17054</v>
      </c>
      <c r="M1902" s="6" t="str">
        <f t="shared" si="900"/>
        <v>=6.715*100000000</v>
      </c>
      <c r="N1902" s="1">
        <f>6.715*100000000</f>
        <v>671500000</v>
      </c>
      <c r="O1902" s="8">
        <f t="shared" si="917"/>
        <v>1.3075601374570447</v>
      </c>
      <c r="P1902" s="6" t="s">
        <v>107</v>
      </c>
      <c r="Q1902" s="6" t="str">
        <f t="shared" si="901"/>
        <v>=2.910*100000000</v>
      </c>
      <c r="R1902" s="11">
        <f>2.91*100000000</f>
        <v>291000000</v>
      </c>
      <c r="S1902" s="8">
        <f t="shared" si="918"/>
        <v>-0.79405520169851385</v>
      </c>
      <c r="T1902" s="6" t="s">
        <v>1087</v>
      </c>
      <c r="U1902" s="6" t="str">
        <f t="shared" si="902"/>
        <v>=14.13*100000000</v>
      </c>
      <c r="V1902" s="1">
        <f>14.13*100000000</f>
        <v>1413000000</v>
      </c>
      <c r="W1902" s="8">
        <f t="shared" si="919"/>
        <v>0.37585199610516068</v>
      </c>
      <c r="X1902" s="6" t="s">
        <v>11069</v>
      </c>
      <c r="Y1902" s="6" t="str">
        <f t="shared" si="903"/>
        <v>=10.27*100000000</v>
      </c>
      <c r="Z1902" s="1">
        <f>10.27*100000000</f>
        <v>1027000000</v>
      </c>
      <c r="AA1902" s="8">
        <f t="shared" si="920"/>
        <v>0.7612759389470074</v>
      </c>
      <c r="AB1902" s="6" t="s">
        <v>1649</v>
      </c>
      <c r="AC1902" s="6" t="str">
        <f t="shared" si="904"/>
        <v>=5.831*100000000</v>
      </c>
      <c r="AD1902" s="1">
        <f>5.831*100000000</f>
        <v>583100000</v>
      </c>
      <c r="AE1902" s="8">
        <f t="shared" si="921"/>
        <v>2.0243775933609958</v>
      </c>
      <c r="AF1902" s="6" t="s">
        <v>3550</v>
      </c>
      <c r="AG1902" s="6" t="str">
        <f t="shared" si="905"/>
        <v>=1.928*100000000</v>
      </c>
      <c r="AH1902" s="1">
        <f>1.928*100000000</f>
        <v>192800000</v>
      </c>
      <c r="AI1902" s="8">
        <f t="shared" si="922"/>
        <v>-0.83013215859030842</v>
      </c>
      <c r="AJ1902" s="6" t="s">
        <v>1587</v>
      </c>
      <c r="AK1902" s="6" t="str">
        <f t="shared" si="906"/>
        <v>=11.35*100000000</v>
      </c>
      <c r="AL1902" s="1">
        <f>11.35*100000000</f>
        <v>1135000000</v>
      </c>
      <c r="AM1902" s="8">
        <f t="shared" si="923"/>
        <v>0.34606261859582543</v>
      </c>
      <c r="AN1902" s="6" t="s">
        <v>7909</v>
      </c>
      <c r="AO1902" s="6" t="str">
        <f t="shared" si="907"/>
        <v>=8.432*100000000</v>
      </c>
      <c r="AP1902" s="1">
        <f>8.432*100000000</f>
        <v>843200000</v>
      </c>
      <c r="AQ1902" s="8">
        <f t="shared" si="924"/>
        <v>0.66115051221434218</v>
      </c>
      <c r="AR1902" s="6" t="s">
        <v>17055</v>
      </c>
      <c r="AS1902" s="6" t="str">
        <f t="shared" si="908"/>
        <v>=5.076*100000000</v>
      </c>
      <c r="AT1902" s="1">
        <f>5.076*100000000</f>
        <v>507599999.99999994</v>
      </c>
      <c r="AU1902" s="8">
        <f t="shared" si="925"/>
        <v>1.3977326405290502</v>
      </c>
      <c r="AV1902" s="6" t="s">
        <v>3509</v>
      </c>
      <c r="AW1902" s="6" t="str">
        <f t="shared" si="909"/>
        <v>=2.117*100000000</v>
      </c>
      <c r="AX1902" s="1">
        <f>2.117*100000000</f>
        <v>211700000</v>
      </c>
      <c r="AY1902" s="10">
        <f t="shared" si="926"/>
        <v>-0.80996409335727104</v>
      </c>
      <c r="AZ1902" s="6" t="s">
        <v>6952</v>
      </c>
      <c r="BA1902" s="6" t="str">
        <f t="shared" si="910"/>
        <v>=11.14*100000000</v>
      </c>
      <c r="BB1902" s="1">
        <f>11.14*100000000</f>
        <v>1114000000</v>
      </c>
      <c r="BC1902" s="8">
        <f t="shared" si="927"/>
        <v>0.3082795067527892</v>
      </c>
      <c r="BD1902" s="6" t="s">
        <v>17056</v>
      </c>
      <c r="BE1902" s="6" t="str">
        <f t="shared" si="911"/>
        <v>=8.515*100000000</v>
      </c>
      <c r="BF1902" s="1">
        <f>8.515*100000000</f>
        <v>851500000</v>
      </c>
      <c r="BG1902" s="8">
        <f t="shared" si="928"/>
        <v>0.56698564593301437</v>
      </c>
      <c r="BH1902" s="6" t="s">
        <v>17057</v>
      </c>
      <c r="BI1902" s="6" t="str">
        <f t="shared" si="912"/>
        <v>=5.434*100000000</v>
      </c>
      <c r="BJ1902" s="1">
        <f>5.434*100000000</f>
        <v>543400000</v>
      </c>
      <c r="BK1902" s="6" t="s">
        <v>4999</v>
      </c>
      <c r="BL1902" s="1" t="str">
        <f t="shared" si="914"/>
        <v>=2.404*100000000</v>
      </c>
      <c r="BM1902" s="16">
        <f t="shared" si="929"/>
        <v>1.2603993344425957</v>
      </c>
      <c r="BN1902" s="1">
        <f>2.404*100000000</f>
        <v>240400000</v>
      </c>
    </row>
    <row r="1903" spans="1:66">
      <c r="A1903" s="18"/>
      <c r="B1903">
        <v>603757</v>
      </c>
      <c r="C1903" t="s">
        <v>48</v>
      </c>
      <c r="D1903" s="6" t="s">
        <v>2783</v>
      </c>
      <c r="E1903" s="7" t="str">
        <f t="shared" si="913"/>
        <v>=1.645*100000000</v>
      </c>
      <c r="F1903" s="1">
        <f>1.645*100000000</f>
        <v>164500000</v>
      </c>
      <c r="G1903" s="8">
        <f t="shared" si="915"/>
        <v>0.28415300546448102</v>
      </c>
      <c r="H1903" s="6" t="s">
        <v>10320</v>
      </c>
      <c r="I1903" s="6" t="str">
        <f t="shared" si="899"/>
        <v>=1.281*100000000</v>
      </c>
      <c r="J1903" s="1">
        <f>1.281*100000000</f>
        <v>128099999.99999999</v>
      </c>
      <c r="K1903" s="10">
        <f t="shared" si="916"/>
        <v>0.55877342419080045</v>
      </c>
      <c r="L1903" s="7" t="s">
        <v>10503</v>
      </c>
      <c r="M1903" s="6" t="str">
        <f t="shared" si="900"/>
        <v>=8218*10000</v>
      </c>
      <c r="N1903" s="1">
        <f>8218*10000</f>
        <v>82180000</v>
      </c>
      <c r="O1903" s="8">
        <f t="shared" si="917"/>
        <v>1.0422465208747516</v>
      </c>
      <c r="P1903" s="7" t="s">
        <v>16559</v>
      </c>
      <c r="Q1903" s="6" t="str">
        <f t="shared" si="901"/>
        <v>=4024*10000</v>
      </c>
      <c r="R1903" s="11">
        <f>4024*10000</f>
        <v>40240000</v>
      </c>
      <c r="S1903" s="8">
        <f t="shared" si="918"/>
        <v>-0.83595597227884222</v>
      </c>
      <c r="T1903" s="6" t="s">
        <v>17058</v>
      </c>
      <c r="U1903" s="6" t="str">
        <f t="shared" si="902"/>
        <v>=2.453*100000000</v>
      </c>
      <c r="V1903" s="1">
        <f>2.453*100000000</f>
        <v>245299999.99999997</v>
      </c>
      <c r="W1903" s="8">
        <f t="shared" si="919"/>
        <v>0.24328433857070436</v>
      </c>
      <c r="X1903" s="6" t="s">
        <v>6392</v>
      </c>
      <c r="Y1903" s="6" t="str">
        <f t="shared" si="903"/>
        <v>=1.973*100000000</v>
      </c>
      <c r="Z1903" s="1">
        <f>1.973*100000000</f>
        <v>197300000</v>
      </c>
      <c r="AA1903" s="8">
        <f t="shared" si="920"/>
        <v>0.72615923009623795</v>
      </c>
      <c r="AB1903" s="6" t="s">
        <v>2211</v>
      </c>
      <c r="AC1903" s="6" t="str">
        <f t="shared" si="904"/>
        <v>=1.143*100000000</v>
      </c>
      <c r="AD1903" s="1">
        <f>1.143*100000000</f>
        <v>114300000</v>
      </c>
      <c r="AE1903" s="8">
        <f t="shared" si="921"/>
        <v>2.6564299424184261</v>
      </c>
      <c r="AF1903" s="7" t="s">
        <v>2587</v>
      </c>
      <c r="AG1903" s="6" t="str">
        <f t="shared" si="905"/>
        <v>=3126*10000</v>
      </c>
      <c r="AH1903" s="1">
        <f>3126*10000</f>
        <v>31260000</v>
      </c>
      <c r="AI1903" s="8">
        <f t="shared" si="922"/>
        <v>-0.84051020408163268</v>
      </c>
      <c r="AJ1903" s="6" t="s">
        <v>4576</v>
      </c>
      <c r="AK1903" s="6" t="str">
        <f t="shared" si="906"/>
        <v>=1.960*100000000</v>
      </c>
      <c r="AL1903" s="1">
        <f>1.96*100000000</f>
        <v>196000000</v>
      </c>
      <c r="AM1903" s="8">
        <f t="shared" si="923"/>
        <v>0.25802310654685495</v>
      </c>
      <c r="AN1903" s="6" t="s">
        <v>17059</v>
      </c>
      <c r="AO1903" s="6" t="str">
        <f t="shared" si="907"/>
        <v>=1.558*100000000</v>
      </c>
      <c r="AP1903" s="1">
        <f>1.558*100000000</f>
        <v>155800000</v>
      </c>
      <c r="AQ1903" s="8">
        <f t="shared" si="924"/>
        <v>0.84247871333964053</v>
      </c>
      <c r="AR1903" s="7" t="s">
        <v>4848</v>
      </c>
      <c r="AS1903" s="6" t="str">
        <f t="shared" si="908"/>
        <v>=8456*10000</v>
      </c>
      <c r="AT1903" s="1">
        <f>8456*10000</f>
        <v>84560000</v>
      </c>
      <c r="AU1903" s="8">
        <f t="shared" si="925"/>
        <v>1.7733683174811414</v>
      </c>
      <c r="AV1903" s="7" t="s">
        <v>17060</v>
      </c>
      <c r="AW1903" s="6" t="str">
        <f t="shared" si="909"/>
        <v>=3049*10000</v>
      </c>
      <c r="AX1903" s="1">
        <f>3049*10000</f>
        <v>30490000</v>
      </c>
      <c r="AY1903" s="10">
        <f t="shared" si="926"/>
        <v>-0.84053347280334723</v>
      </c>
      <c r="AZ1903" s="6" t="s">
        <v>3789</v>
      </c>
      <c r="BA1903" s="6" t="str">
        <f t="shared" si="910"/>
        <v>=1.912*100000000</v>
      </c>
      <c r="BB1903" s="1">
        <f>1.912*100000000</f>
        <v>191200000</v>
      </c>
      <c r="BC1903" s="8">
        <f t="shared" si="927"/>
        <v>0.18243661100803957</v>
      </c>
      <c r="BD1903" s="6" t="s">
        <v>1302</v>
      </c>
      <c r="BE1903" s="6" t="str">
        <f t="shared" si="911"/>
        <v>=1.617*100000000</v>
      </c>
      <c r="BF1903" s="1">
        <f>1.617*100000000</f>
        <v>161700000</v>
      </c>
      <c r="BG1903" s="8">
        <f t="shared" si="928"/>
        <v>0.61216350947158549</v>
      </c>
      <c r="BH1903" s="6" t="s">
        <v>2918</v>
      </c>
      <c r="BI1903" s="6" t="str">
        <f t="shared" si="912"/>
        <v>=1.003*100000000</v>
      </c>
      <c r="BJ1903" s="1">
        <f>1.003*100000000</f>
        <v>100299999.99999999</v>
      </c>
      <c r="BK1903" s="7" t="s">
        <v>12784</v>
      </c>
      <c r="BL1903" s="1" t="str">
        <f t="shared" si="914"/>
        <v>=4269*10000</v>
      </c>
      <c r="BM1903" s="16">
        <f t="shared" si="929"/>
        <v>1.3494963691731081</v>
      </c>
      <c r="BN1903" s="1">
        <f>4269*10000</f>
        <v>42690000</v>
      </c>
    </row>
    <row r="1904" spans="1:66">
      <c r="A1904" s="18"/>
      <c r="B1904">
        <v>603757</v>
      </c>
      <c r="C1904" t="s">
        <v>58</v>
      </c>
      <c r="D1904" s="6" t="s">
        <v>12727</v>
      </c>
      <c r="E1904" s="7" t="str">
        <f t="shared" si="913"/>
        <v>=1.647*100000000</v>
      </c>
      <c r="F1904" s="1">
        <f>1.647*100000000</f>
        <v>164700000</v>
      </c>
      <c r="G1904" s="8">
        <f t="shared" si="915"/>
        <v>0.29075235109717867</v>
      </c>
      <c r="H1904" s="6" t="s">
        <v>8712</v>
      </c>
      <c r="I1904" s="6" t="str">
        <f t="shared" si="899"/>
        <v>=1.276*100000000</v>
      </c>
      <c r="J1904" s="1">
        <f>1.276*100000000</f>
        <v>127600000</v>
      </c>
      <c r="K1904" s="10">
        <f t="shared" si="916"/>
        <v>0.55439152150079185</v>
      </c>
      <c r="L1904" s="7" t="s">
        <v>7254</v>
      </c>
      <c r="M1904" s="6" t="str">
        <f t="shared" si="900"/>
        <v>=8209*10000</v>
      </c>
      <c r="N1904" s="1">
        <f>8209*10000</f>
        <v>82090000</v>
      </c>
      <c r="O1904" s="8">
        <f t="shared" si="917"/>
        <v>1.0517370657335665</v>
      </c>
      <c r="P1904" s="7" t="s">
        <v>17061</v>
      </c>
      <c r="Q1904" s="6" t="str">
        <f t="shared" si="901"/>
        <v>=4001*10000</v>
      </c>
      <c r="R1904" s="11">
        <f>4001*10000</f>
        <v>40010000</v>
      </c>
      <c r="S1904" s="8">
        <f t="shared" si="918"/>
        <v>-0.836359918200409</v>
      </c>
      <c r="T1904" s="6" t="s">
        <v>586</v>
      </c>
      <c r="U1904" s="6" t="str">
        <f t="shared" si="902"/>
        <v>=2.445*100000000</v>
      </c>
      <c r="V1904" s="1">
        <f>2.445*100000000</f>
        <v>244499999.99999997</v>
      </c>
      <c r="W1904" s="8">
        <f t="shared" si="919"/>
        <v>0.23922959959452594</v>
      </c>
      <c r="X1904" s="6" t="s">
        <v>6392</v>
      </c>
      <c r="Y1904" s="6" t="str">
        <f t="shared" si="903"/>
        <v>=1.973*100000000</v>
      </c>
      <c r="Z1904" s="1">
        <f>1.973*100000000</f>
        <v>197300000</v>
      </c>
      <c r="AA1904" s="8">
        <f t="shared" si="920"/>
        <v>0.72314410480349345</v>
      </c>
      <c r="AB1904" s="6" t="s">
        <v>1982</v>
      </c>
      <c r="AC1904" s="6" t="str">
        <f t="shared" si="904"/>
        <v>=1.145*100000000</v>
      </c>
      <c r="AD1904" s="1">
        <f>1.145*100000000</f>
        <v>114500000</v>
      </c>
      <c r="AE1904" s="8">
        <f t="shared" si="921"/>
        <v>2.6864133934320669</v>
      </c>
      <c r="AF1904" s="7" t="s">
        <v>12095</v>
      </c>
      <c r="AG1904" s="6" t="str">
        <f t="shared" si="905"/>
        <v>=3106*10000</v>
      </c>
      <c r="AH1904" s="1">
        <f>3106*10000</f>
        <v>31060000</v>
      </c>
      <c r="AI1904" s="8">
        <f t="shared" si="922"/>
        <v>-0.84136874361593461</v>
      </c>
      <c r="AJ1904" s="6" t="s">
        <v>2159</v>
      </c>
      <c r="AK1904" s="6" t="str">
        <f t="shared" si="906"/>
        <v>=1.958*100000000</v>
      </c>
      <c r="AL1904" s="1">
        <f>1.958*100000000</f>
        <v>195800000</v>
      </c>
      <c r="AM1904" s="8">
        <f t="shared" si="923"/>
        <v>0.25352112676056338</v>
      </c>
      <c r="AN1904" s="6" t="s">
        <v>7543</v>
      </c>
      <c r="AO1904" s="6" t="str">
        <f t="shared" si="907"/>
        <v>=1.562*100000000</v>
      </c>
      <c r="AP1904" s="1">
        <f>1.562*100000000</f>
        <v>156200000</v>
      </c>
      <c r="AQ1904" s="8">
        <f t="shared" si="924"/>
        <v>0.83894513774429014</v>
      </c>
      <c r="AR1904" s="7" t="s">
        <v>17062</v>
      </c>
      <c r="AS1904" s="6" t="str">
        <f t="shared" si="908"/>
        <v>=8494*10000</v>
      </c>
      <c r="AT1904" s="1">
        <f>8494*10000</f>
        <v>84940000</v>
      </c>
      <c r="AU1904" s="8">
        <f t="shared" si="925"/>
        <v>1.8125827814569537</v>
      </c>
      <c r="AV1904" s="7" t="s">
        <v>15519</v>
      </c>
      <c r="AW1904" s="6" t="str">
        <f t="shared" si="909"/>
        <v>=3020*10000</v>
      </c>
      <c r="AX1904" s="1">
        <f>3020*10000</f>
        <v>30200000</v>
      </c>
      <c r="AY1904" s="10">
        <f t="shared" si="926"/>
        <v>-0.84327970939283858</v>
      </c>
      <c r="AZ1904" s="6" t="s">
        <v>4911</v>
      </c>
      <c r="BA1904" s="6" t="str">
        <f t="shared" si="910"/>
        <v>=1.927*100000000</v>
      </c>
      <c r="BB1904" s="1">
        <f>1.927*100000000</f>
        <v>192700000</v>
      </c>
      <c r="BC1904" s="8">
        <f t="shared" si="927"/>
        <v>0.18584615384615386</v>
      </c>
      <c r="BD1904" s="6" t="s">
        <v>1463</v>
      </c>
      <c r="BE1904" s="6" t="str">
        <f t="shared" si="911"/>
        <v>=1.625*100000000</v>
      </c>
      <c r="BF1904" s="1">
        <f>1.625*100000000</f>
        <v>162500000</v>
      </c>
      <c r="BG1904" s="8">
        <f t="shared" si="928"/>
        <v>0.60731948565776483</v>
      </c>
      <c r="BH1904" s="6" t="s">
        <v>2230</v>
      </c>
      <c r="BI1904" s="6" t="str">
        <f t="shared" si="912"/>
        <v>=1.011*100000000</v>
      </c>
      <c r="BJ1904" s="1">
        <f>1.011*100000000</f>
        <v>101099999.99999999</v>
      </c>
      <c r="BK1904" s="7" t="s">
        <v>17063</v>
      </c>
      <c r="BL1904" s="1" t="str">
        <f t="shared" si="914"/>
        <v>=4300*10000</v>
      </c>
      <c r="BM1904" s="16">
        <f t="shared" si="929"/>
        <v>1.351162790697674</v>
      </c>
      <c r="BN1904" s="1">
        <f>4300*10000</f>
        <v>43000000</v>
      </c>
    </row>
    <row r="1905" spans="1:66">
      <c r="A1905" s="19"/>
      <c r="B1905">
        <v>603757</v>
      </c>
      <c r="C1905" t="s">
        <v>68</v>
      </c>
      <c r="D1905" s="6" t="s">
        <v>6588</v>
      </c>
      <c r="E1905" s="7" t="str">
        <f t="shared" si="913"/>
        <v>=1.472*100000000</v>
      </c>
      <c r="F1905" s="1">
        <f>1.472*100000000</f>
        <v>147200000</v>
      </c>
      <c r="G1905" s="8">
        <f t="shared" si="915"/>
        <v>0.29920564872021183</v>
      </c>
      <c r="H1905" s="6" t="s">
        <v>12224</v>
      </c>
      <c r="I1905" s="6" t="str">
        <f t="shared" si="899"/>
        <v>=1.133*100000000</v>
      </c>
      <c r="J1905" s="1">
        <f>1.133*100000000</f>
        <v>113300000</v>
      </c>
      <c r="K1905" s="10">
        <f t="shared" si="916"/>
        <v>0.54359673024523159</v>
      </c>
      <c r="L1905" s="7" t="s">
        <v>17064</v>
      </c>
      <c r="M1905" s="6" t="str">
        <f t="shared" si="900"/>
        <v>=7340*10000</v>
      </c>
      <c r="N1905" s="1">
        <f>7340*10000</f>
        <v>73400000</v>
      </c>
      <c r="O1905" s="8">
        <f t="shared" si="917"/>
        <v>1.0917640353377029</v>
      </c>
      <c r="P1905" s="7" t="s">
        <v>17065</v>
      </c>
      <c r="Q1905" s="6" t="str">
        <f t="shared" si="901"/>
        <v>=3509*10000</v>
      </c>
      <c r="R1905" s="11">
        <f>3509*10000</f>
        <v>35090000</v>
      </c>
      <c r="S1905" s="8">
        <f t="shared" si="918"/>
        <v>-0.83556701030927838</v>
      </c>
      <c r="T1905" s="6" t="s">
        <v>17066</v>
      </c>
      <c r="U1905" s="6" t="str">
        <f t="shared" si="902"/>
        <v>=2.134*100000000</v>
      </c>
      <c r="V1905" s="1">
        <f>2.134*100000000</f>
        <v>213400000</v>
      </c>
      <c r="W1905" s="8">
        <f t="shared" si="919"/>
        <v>0.24431486880466471</v>
      </c>
      <c r="X1905" s="6" t="s">
        <v>10563</v>
      </c>
      <c r="Y1905" s="6" t="str">
        <f t="shared" si="903"/>
        <v>=1.715*100000000</v>
      </c>
      <c r="Z1905" s="1">
        <f>1.715*100000000</f>
        <v>171500000</v>
      </c>
      <c r="AA1905" s="8">
        <f t="shared" si="920"/>
        <v>0.72240634729336151</v>
      </c>
      <c r="AB1905" s="7" t="s">
        <v>3889</v>
      </c>
      <c r="AC1905" s="6" t="str">
        <f t="shared" si="904"/>
        <v>=9957*10000</v>
      </c>
      <c r="AD1905" s="1">
        <f>9957*10000</f>
        <v>99570000</v>
      </c>
      <c r="AE1905" s="8">
        <f t="shared" si="921"/>
        <v>2.6755260243632337</v>
      </c>
      <c r="AF1905" s="7" t="s">
        <v>16493</v>
      </c>
      <c r="AG1905" s="6" t="str">
        <f t="shared" si="905"/>
        <v>=2709*10000</v>
      </c>
      <c r="AH1905" s="1">
        <f>2709*10000</f>
        <v>27090000</v>
      </c>
      <c r="AI1905" s="8">
        <f t="shared" si="922"/>
        <v>-0.84130052724077331</v>
      </c>
      <c r="AJ1905" s="6" t="s">
        <v>3828</v>
      </c>
      <c r="AK1905" s="6" t="str">
        <f t="shared" si="906"/>
        <v>=1.707*100000000</v>
      </c>
      <c r="AL1905" s="1">
        <f>1.707*100000000</f>
        <v>170700000</v>
      </c>
      <c r="AM1905" s="8">
        <f t="shared" si="923"/>
        <v>0.25330396475770928</v>
      </c>
      <c r="AN1905" s="6" t="s">
        <v>12484</v>
      </c>
      <c r="AO1905" s="6" t="str">
        <f t="shared" si="907"/>
        <v>=1.362*100000000</v>
      </c>
      <c r="AP1905" s="1">
        <f>1.362*100000000</f>
        <v>136200000</v>
      </c>
      <c r="AQ1905" s="8">
        <f t="shared" si="924"/>
        <v>0.83261571582346605</v>
      </c>
      <c r="AR1905" s="7" t="s">
        <v>17067</v>
      </c>
      <c r="AS1905" s="6" t="str">
        <f t="shared" si="908"/>
        <v>=7432*10000</v>
      </c>
      <c r="AT1905" s="1">
        <f>7432*10000</f>
        <v>74320000</v>
      </c>
      <c r="AU1905" s="8">
        <f t="shared" si="925"/>
        <v>1.7752053771471248</v>
      </c>
      <c r="AV1905" s="7" t="s">
        <v>4212</v>
      </c>
      <c r="AW1905" s="6" t="str">
        <f t="shared" si="909"/>
        <v>=2678*10000</v>
      </c>
      <c r="AX1905" s="1">
        <f>2678*10000</f>
        <v>26780000</v>
      </c>
      <c r="AY1905" s="10">
        <f t="shared" si="926"/>
        <v>-0.84011940298507459</v>
      </c>
      <c r="AZ1905" s="6" t="s">
        <v>11969</v>
      </c>
      <c r="BA1905" s="6" t="str">
        <f t="shared" si="910"/>
        <v>=1.675*100000000</v>
      </c>
      <c r="BB1905" s="1">
        <f>1.675*100000000</f>
        <v>167500000</v>
      </c>
      <c r="BC1905" s="8">
        <f t="shared" si="927"/>
        <v>0.18963068181818182</v>
      </c>
      <c r="BD1905" s="6" t="s">
        <v>8813</v>
      </c>
      <c r="BE1905" s="6" t="str">
        <f t="shared" si="911"/>
        <v>=1.408*100000000</v>
      </c>
      <c r="BF1905" s="1">
        <f>1.408*100000000</f>
        <v>140800000</v>
      </c>
      <c r="BG1905" s="8">
        <f t="shared" si="928"/>
        <v>0.61043120210454083</v>
      </c>
      <c r="BH1905" s="7" t="s">
        <v>17068</v>
      </c>
      <c r="BI1905" s="6" t="str">
        <f t="shared" si="912"/>
        <v>=8743*10000</v>
      </c>
      <c r="BJ1905" s="1">
        <f>8743*10000</f>
        <v>87430000</v>
      </c>
      <c r="BK1905" s="7" t="s">
        <v>8715</v>
      </c>
      <c r="BL1905" s="1" t="str">
        <f t="shared" si="914"/>
        <v>=3707*10000</v>
      </c>
      <c r="BM1905" s="16">
        <f t="shared" si="929"/>
        <v>1.358510925276504</v>
      </c>
      <c r="BN1905" s="1">
        <f>3707*10000</f>
        <v>37070000</v>
      </c>
    </row>
    <row r="1906" spans="1:66">
      <c r="A1906" s="17">
        <v>478</v>
      </c>
      <c r="B1906">
        <v>603758</v>
      </c>
      <c r="C1906" t="s">
        <v>31</v>
      </c>
      <c r="D1906" s="6" t="s">
        <v>12438</v>
      </c>
      <c r="E1906" s="7" t="str">
        <f t="shared" si="913"/>
        <v>=14.19*100000000</v>
      </c>
      <c r="F1906" s="1">
        <f>14.19*100000000</f>
        <v>1419000000</v>
      </c>
      <c r="G1906" s="8">
        <f t="shared" si="915"/>
        <v>0.39254170755642787</v>
      </c>
      <c r="H1906" s="6" t="s">
        <v>2896</v>
      </c>
      <c r="I1906" s="6" t="str">
        <f t="shared" si="899"/>
        <v>=10.19*100000000</v>
      </c>
      <c r="J1906" s="1">
        <f>10.19*100000000</f>
        <v>1019000000</v>
      </c>
      <c r="K1906" s="10">
        <f t="shared" si="916"/>
        <v>0.54557864401638101</v>
      </c>
      <c r="L1906" s="6" t="s">
        <v>17069</v>
      </c>
      <c r="M1906" s="6" t="str">
        <f t="shared" si="900"/>
        <v>=6.593*100000000</v>
      </c>
      <c r="N1906" s="1">
        <f>6.593*100000000</f>
        <v>659300000</v>
      </c>
      <c r="O1906" s="8">
        <f t="shared" si="917"/>
        <v>1.1097600000000001</v>
      </c>
      <c r="P1906" s="6" t="s">
        <v>2299</v>
      </c>
      <c r="Q1906" s="6" t="str">
        <f t="shared" si="901"/>
        <v>=3.125*100000000</v>
      </c>
      <c r="R1906" s="11">
        <f>3.125*100000000</f>
        <v>312500000</v>
      </c>
      <c r="S1906" s="8">
        <f t="shared" si="918"/>
        <v>-0.65824584426946631</v>
      </c>
      <c r="T1906" s="6" t="s">
        <v>17070</v>
      </c>
      <c r="U1906" s="6" t="str">
        <f t="shared" si="902"/>
        <v>=9.144*100000000</v>
      </c>
      <c r="V1906" s="1">
        <f>9.144*100000000</f>
        <v>914400000</v>
      </c>
      <c r="W1906" s="8">
        <f t="shared" si="919"/>
        <v>0.66103542234332424</v>
      </c>
      <c r="X1906" s="6" t="s">
        <v>17071</v>
      </c>
      <c r="Y1906" s="6" t="str">
        <f t="shared" si="903"/>
        <v>=5.505*100000000</v>
      </c>
      <c r="Z1906" s="1">
        <f>5.505*100000000</f>
        <v>550500000</v>
      </c>
      <c r="AA1906" s="8">
        <f t="shared" si="920"/>
        <v>0.71870121760849204</v>
      </c>
      <c r="AB1906" s="6" t="s">
        <v>2323</v>
      </c>
      <c r="AC1906" s="6" t="str">
        <f t="shared" si="904"/>
        <v>=3.203*100000000</v>
      </c>
      <c r="AD1906" s="1">
        <f>3.203*100000000</f>
        <v>320300000</v>
      </c>
      <c r="AE1906" s="8">
        <f t="shared" si="921"/>
        <v>2.4948172394980905</v>
      </c>
      <c r="AF1906" s="7" t="s">
        <v>17072</v>
      </c>
      <c r="AG1906" s="6" t="str">
        <f t="shared" si="905"/>
        <v>=9165*10000</v>
      </c>
      <c r="AH1906" s="1">
        <f>9165*10000</f>
        <v>91650000</v>
      </c>
      <c r="AI1906" s="8">
        <f t="shared" si="922"/>
        <v>-0.8461473896256505</v>
      </c>
      <c r="AJ1906" s="6" t="s">
        <v>11199</v>
      </c>
      <c r="AK1906" s="6" t="str">
        <f t="shared" si="906"/>
        <v>=5.957*100000000</v>
      </c>
      <c r="AL1906" s="1">
        <f>5.957*100000000</f>
        <v>595700000</v>
      </c>
      <c r="AM1906" s="8">
        <f t="shared" si="923"/>
        <v>0.46148184494602573</v>
      </c>
      <c r="AN1906" s="6" t="s">
        <v>6816</v>
      </c>
      <c r="AO1906" s="6" t="str">
        <f t="shared" si="907"/>
        <v>=4.076*100000000</v>
      </c>
      <c r="AP1906" s="1">
        <f>4.076*100000000</f>
        <v>407599999.99999994</v>
      </c>
      <c r="AQ1906" s="8">
        <f t="shared" si="924"/>
        <v>0.80433820274457701</v>
      </c>
      <c r="AR1906" s="6" t="s">
        <v>7145</v>
      </c>
      <c r="AS1906" s="6" t="str">
        <f t="shared" si="908"/>
        <v>=2.259*100000000</v>
      </c>
      <c r="AT1906" s="1">
        <f>2.259*100000000</f>
        <v>225900000</v>
      </c>
      <c r="AU1906" s="8">
        <f t="shared" si="925"/>
        <v>0.96264118158123368</v>
      </c>
      <c r="AV1906" s="6" t="s">
        <v>7907</v>
      </c>
      <c r="AW1906" s="6" t="str">
        <f t="shared" si="909"/>
        <v>=1.151*100000000</v>
      </c>
      <c r="AX1906" s="1">
        <f>1.151*100000000</f>
        <v>115100000</v>
      </c>
      <c r="AY1906" s="10">
        <f t="shared" si="926"/>
        <v>-0.82980925624722757</v>
      </c>
      <c r="AZ1906" s="6" t="s">
        <v>9235</v>
      </c>
      <c r="BA1906" s="6" t="str">
        <f t="shared" si="910"/>
        <v>=6.763*100000000</v>
      </c>
      <c r="BB1906" s="1">
        <f>6.763*100000000</f>
        <v>676300000</v>
      </c>
      <c r="BC1906" s="8">
        <f t="shared" si="927"/>
        <v>0.26128310331965682</v>
      </c>
      <c r="BD1906" s="6" t="s">
        <v>17073</v>
      </c>
      <c r="BE1906" s="6" t="str">
        <f t="shared" si="911"/>
        <v>=5.362*100000000</v>
      </c>
      <c r="BF1906" s="1">
        <f>5.362*100000000</f>
        <v>536200000</v>
      </c>
      <c r="BG1906" s="8">
        <f t="shared" si="928"/>
        <v>0.38875938875938876</v>
      </c>
      <c r="BH1906" s="6" t="s">
        <v>12214</v>
      </c>
      <c r="BI1906" s="6" t="str">
        <f t="shared" si="912"/>
        <v>=3.861*100000000</v>
      </c>
      <c r="BJ1906" s="1">
        <f>3.861*100000000</f>
        <v>386100000</v>
      </c>
      <c r="BK1906" s="6" t="s">
        <v>17074</v>
      </c>
      <c r="BL1906" s="1" t="str">
        <f t="shared" si="914"/>
        <v>=2.027*100000000</v>
      </c>
      <c r="BM1906" s="16">
        <f t="shared" si="929"/>
        <v>0.90478539713862849</v>
      </c>
      <c r="BN1906" s="1">
        <f>2.027*100000000</f>
        <v>202700000</v>
      </c>
    </row>
    <row r="1907" spans="1:66">
      <c r="A1907" s="18"/>
      <c r="B1907">
        <v>603758</v>
      </c>
      <c r="C1907" t="s">
        <v>48</v>
      </c>
      <c r="D1907" s="6" t="s">
        <v>6812</v>
      </c>
      <c r="E1907" s="7" t="str">
        <f t="shared" si="913"/>
        <v>=1.355*100000000</v>
      </c>
      <c r="F1907" s="1">
        <f>1.355*100000000</f>
        <v>135500000</v>
      </c>
      <c r="G1907" s="8">
        <f t="shared" si="915"/>
        <v>7.968127490039853E-2</v>
      </c>
      <c r="H1907" s="6" t="s">
        <v>16349</v>
      </c>
      <c r="I1907" s="6" t="str">
        <f t="shared" si="899"/>
        <v>=1.255*100000000</v>
      </c>
      <c r="J1907" s="1">
        <f>1.255*100000000</f>
        <v>125499999.99999999</v>
      </c>
      <c r="K1907" s="10">
        <f t="shared" si="916"/>
        <v>-0.14275956284153016</v>
      </c>
      <c r="L1907" s="6" t="s">
        <v>2945</v>
      </c>
      <c r="M1907" s="6" t="str">
        <f t="shared" si="900"/>
        <v>=1.464*100000000</v>
      </c>
      <c r="N1907" s="1">
        <f>1.464*100000000</f>
        <v>146400000</v>
      </c>
      <c r="O1907" s="8">
        <f t="shared" si="917"/>
        <v>3.7905759162303663</v>
      </c>
      <c r="P1907" s="7" t="s">
        <v>17075</v>
      </c>
      <c r="Q1907" s="6" t="str">
        <f t="shared" si="901"/>
        <v>=3056*10000</v>
      </c>
      <c r="R1907" s="11">
        <f>3056*10000</f>
        <v>30560000</v>
      </c>
      <c r="S1907" s="8">
        <f t="shared" si="918"/>
        <v>-0.92407453416149066</v>
      </c>
      <c r="T1907" s="6" t="s">
        <v>16252</v>
      </c>
      <c r="U1907" s="6" t="str">
        <f t="shared" si="902"/>
        <v>=4.025*100000000</v>
      </c>
      <c r="V1907" s="1">
        <f>4.025*100000000</f>
        <v>402500000.00000006</v>
      </c>
      <c r="W1907" s="8">
        <f t="shared" si="919"/>
        <v>0.15694164989939655</v>
      </c>
      <c r="X1907" s="6" t="s">
        <v>16385</v>
      </c>
      <c r="Y1907" s="6" t="str">
        <f t="shared" si="903"/>
        <v>=3.479*100000000</v>
      </c>
      <c r="Z1907" s="1">
        <f>3.479*100000000</f>
        <v>347900000</v>
      </c>
      <c r="AA1907" s="8">
        <f t="shared" si="920"/>
        <v>0.16941176470588235</v>
      </c>
      <c r="AB1907" s="6" t="s">
        <v>13163</v>
      </c>
      <c r="AC1907" s="6" t="str">
        <f t="shared" si="904"/>
        <v>=2.975*100000000</v>
      </c>
      <c r="AD1907" s="1">
        <f>2.975*100000000</f>
        <v>297500000</v>
      </c>
      <c r="AE1907" s="8">
        <f t="shared" si="921"/>
        <v>-15.86013986013986</v>
      </c>
      <c r="AF1907" s="7">
        <f>-2002*10000</f>
        <v>-20020000</v>
      </c>
      <c r="AG1907" s="6" t="str">
        <f t="shared" si="905"/>
        <v>=-20020000</v>
      </c>
      <c r="AH1907" s="1">
        <f>-20020000</f>
        <v>-20020000</v>
      </c>
      <c r="AI1907" s="8">
        <f t="shared" si="922"/>
        <v>-1.1484062268346924</v>
      </c>
      <c r="AJ1907" s="6" t="s">
        <v>6283</v>
      </c>
      <c r="AK1907" s="6" t="str">
        <f t="shared" si="906"/>
        <v>=1.349*100000000</v>
      </c>
      <c r="AL1907" s="1">
        <f>1.349*100000000</f>
        <v>134900000</v>
      </c>
      <c r="AM1907" s="8">
        <f t="shared" si="923"/>
        <v>-2.5205139765554554</v>
      </c>
      <c r="AN1907" s="7">
        <f>-8872*10000</f>
        <v>-88720000</v>
      </c>
      <c r="AO1907" s="6" t="str">
        <f t="shared" si="907"/>
        <v>=-88720000</v>
      </c>
      <c r="AP1907" s="1">
        <f>-88720000</f>
        <v>-88720000</v>
      </c>
      <c r="AQ1907" s="8">
        <f t="shared" si="924"/>
        <v>0.32417910447761195</v>
      </c>
      <c r="AR1907" s="7">
        <f>-6700*10000</f>
        <v>-67000000</v>
      </c>
      <c r="AS1907" s="6" t="str">
        <f t="shared" si="908"/>
        <v>=-67000000</v>
      </c>
      <c r="AT1907" s="1">
        <f>-67000000</f>
        <v>-67000000</v>
      </c>
      <c r="AU1907" s="8">
        <f t="shared" si="925"/>
        <v>0.78619034924020259</v>
      </c>
      <c r="AV1907" s="7">
        <f>-3751*10000</f>
        <v>-37510000</v>
      </c>
      <c r="AW1907" s="6" t="str">
        <f t="shared" si="909"/>
        <v>=-37510000</v>
      </c>
      <c r="AX1907" s="1">
        <f>-37510000</f>
        <v>-37510000</v>
      </c>
      <c r="AY1907" s="10">
        <f t="shared" si="926"/>
        <v>-0.48707780664569944</v>
      </c>
      <c r="AZ1907" s="7">
        <f>-7313*10000</f>
        <v>-73130000</v>
      </c>
      <c r="BA1907" s="6" t="str">
        <f t="shared" si="910"/>
        <v>=-73130000</v>
      </c>
      <c r="BB1907" s="1">
        <f>-73130000</f>
        <v>-73130000</v>
      </c>
      <c r="BC1907" s="8">
        <f t="shared" si="927"/>
        <v>4.7901821060965952</v>
      </c>
      <c r="BD1907" s="7">
        <f>-1263*10000</f>
        <v>-12630000</v>
      </c>
      <c r="BE1907" s="6" t="str">
        <f t="shared" si="911"/>
        <v>=-12630000</v>
      </c>
      <c r="BF1907" s="1">
        <f>-12630000</f>
        <v>-12630000</v>
      </c>
      <c r="BG1907" s="8">
        <f t="shared" si="928"/>
        <v>2.1877839475012619</v>
      </c>
      <c r="BH1907" s="7">
        <f>-396.2*10000</f>
        <v>-3962000</v>
      </c>
      <c r="BI1907" s="6" t="str">
        <f t="shared" si="912"/>
        <v>=-3962000</v>
      </c>
      <c r="BJ1907" s="1">
        <f>-3962000</f>
        <v>-3962000</v>
      </c>
      <c r="BK1907" s="7" t="s">
        <v>17076</v>
      </c>
      <c r="BL1907" s="1" t="str">
        <f t="shared" si="914"/>
        <v>=409.1*10000</v>
      </c>
      <c r="BM1907" s="16">
        <f t="shared" si="929"/>
        <v>-1.9684673673918358</v>
      </c>
      <c r="BN1907" s="1">
        <f>409.1*10000</f>
        <v>4091000</v>
      </c>
    </row>
    <row r="1908" spans="1:66">
      <c r="A1908" s="18"/>
      <c r="B1908">
        <v>603758</v>
      </c>
      <c r="C1908" t="s">
        <v>58</v>
      </c>
      <c r="D1908" s="6" t="s">
        <v>5183</v>
      </c>
      <c r="E1908" s="7" t="str">
        <f t="shared" si="913"/>
        <v>=1.329*100000000</v>
      </c>
      <c r="F1908" s="1">
        <f>1.329*100000000</f>
        <v>132900000</v>
      </c>
      <c r="G1908" s="8">
        <f t="shared" si="915"/>
        <v>8.0487804878048783E-2</v>
      </c>
      <c r="H1908" s="6" t="s">
        <v>7618</v>
      </c>
      <c r="I1908" s="6" t="str">
        <f t="shared" si="899"/>
        <v>=1.230*100000000</v>
      </c>
      <c r="J1908" s="1">
        <f>1.23*100000000</f>
        <v>123000000</v>
      </c>
      <c r="K1908" s="10">
        <f t="shared" si="916"/>
        <v>-0.14937759336099585</v>
      </c>
      <c r="L1908" s="6" t="s">
        <v>10889</v>
      </c>
      <c r="M1908" s="6" t="str">
        <f t="shared" si="900"/>
        <v>=1.446*100000000</v>
      </c>
      <c r="N1908" s="1">
        <f>1.446*100000000</f>
        <v>144600000</v>
      </c>
      <c r="O1908" s="8">
        <f t="shared" si="917"/>
        <v>3.7024390243902441</v>
      </c>
      <c r="P1908" s="7" t="s">
        <v>10838</v>
      </c>
      <c r="Q1908" s="6" t="str">
        <f t="shared" si="901"/>
        <v>=3075*10000</v>
      </c>
      <c r="R1908" s="11">
        <f>3075*10000</f>
        <v>30750000</v>
      </c>
      <c r="S1908" s="8">
        <f t="shared" si="918"/>
        <v>-0.92318261304021987</v>
      </c>
      <c r="T1908" s="6" t="s">
        <v>4230</v>
      </c>
      <c r="U1908" s="6" t="str">
        <f t="shared" si="902"/>
        <v>=4.003*100000000</v>
      </c>
      <c r="V1908" s="1">
        <f>4.003*100000000</f>
        <v>400300000</v>
      </c>
      <c r="W1908" s="8">
        <f t="shared" si="919"/>
        <v>0.15693641618497109</v>
      </c>
      <c r="X1908" s="6" t="s">
        <v>17077</v>
      </c>
      <c r="Y1908" s="6" t="str">
        <f t="shared" si="903"/>
        <v>=3.460*100000000</v>
      </c>
      <c r="Z1908" s="1">
        <f>3.46*100000000</f>
        <v>346000000</v>
      </c>
      <c r="AA1908" s="8">
        <f t="shared" si="920"/>
        <v>0.17050067658998647</v>
      </c>
      <c r="AB1908" s="6" t="s">
        <v>14532</v>
      </c>
      <c r="AC1908" s="6" t="str">
        <f t="shared" si="904"/>
        <v>=2.956*100000000</v>
      </c>
      <c r="AD1908" s="1">
        <f>2.956*100000000</f>
        <v>295600000</v>
      </c>
      <c r="AE1908" s="8">
        <f t="shared" si="921"/>
        <v>-14.503883051621745</v>
      </c>
      <c r="AF1908" s="7">
        <f>-2189*10000</f>
        <v>-21890000</v>
      </c>
      <c r="AG1908" s="6" t="str">
        <f t="shared" si="905"/>
        <v>=-21890000</v>
      </c>
      <c r="AH1908" s="1">
        <f>-21890000</f>
        <v>-21890000</v>
      </c>
      <c r="AI1908" s="8">
        <f t="shared" si="922"/>
        <v>-1.1636023916292972</v>
      </c>
      <c r="AJ1908" s="6" t="s">
        <v>4863</v>
      </c>
      <c r="AK1908" s="6" t="str">
        <f t="shared" si="906"/>
        <v>=1.338*100000000</v>
      </c>
      <c r="AL1908" s="1">
        <f>1.338*100000000</f>
        <v>133800000.00000001</v>
      </c>
      <c r="AM1908" s="8">
        <f t="shared" si="923"/>
        <v>-2.5077755240027044</v>
      </c>
      <c r="AN1908" s="7">
        <f>-8874*10000</f>
        <v>-88740000</v>
      </c>
      <c r="AO1908" s="6" t="str">
        <f t="shared" si="907"/>
        <v>=-88740000</v>
      </c>
      <c r="AP1908" s="1">
        <f>-88740000</f>
        <v>-88740000</v>
      </c>
      <c r="AQ1908" s="8">
        <f t="shared" si="924"/>
        <v>0.32408236347358998</v>
      </c>
      <c r="AR1908" s="7">
        <f>-6702*10000</f>
        <v>-67020000</v>
      </c>
      <c r="AS1908" s="6" t="str">
        <f t="shared" si="908"/>
        <v>=-67020000</v>
      </c>
      <c r="AT1908" s="1">
        <f>-67020000</f>
        <v>-67020000</v>
      </c>
      <c r="AU1908" s="8">
        <f t="shared" si="925"/>
        <v>0.78672354038922954</v>
      </c>
      <c r="AV1908" s="7">
        <f>-3751*10000</f>
        <v>-37510000</v>
      </c>
      <c r="AW1908" s="6" t="str">
        <f t="shared" si="909"/>
        <v>=-37510000</v>
      </c>
      <c r="AX1908" s="1">
        <f>-37510000</f>
        <v>-37510000</v>
      </c>
      <c r="AY1908" s="10">
        <f t="shared" si="926"/>
        <v>-0.49913206035518759</v>
      </c>
      <c r="AZ1908" s="7">
        <f>-7489*10000</f>
        <v>-74890000</v>
      </c>
      <c r="BA1908" s="6" t="str">
        <f t="shared" si="910"/>
        <v>=-74890000</v>
      </c>
      <c r="BB1908" s="1">
        <f>-74890000</f>
        <v>-74890000</v>
      </c>
      <c r="BC1908" s="8">
        <f t="shared" si="927"/>
        <v>4.2151810584958218</v>
      </c>
      <c r="BD1908" s="7">
        <f>-1436*10000</f>
        <v>-14360000</v>
      </c>
      <c r="BE1908" s="6" t="str">
        <f t="shared" si="911"/>
        <v>=-14360000</v>
      </c>
      <c r="BF1908" s="1">
        <f>-14360000</f>
        <v>-14360000</v>
      </c>
      <c r="BG1908" s="8">
        <f t="shared" si="928"/>
        <v>1.6572908956328645</v>
      </c>
      <c r="BH1908" s="7">
        <f>-540.4*10000</f>
        <v>-5404000</v>
      </c>
      <c r="BI1908" s="6" t="str">
        <f t="shared" si="912"/>
        <v>=-5404000</v>
      </c>
      <c r="BJ1908" s="1">
        <f>-5404000</f>
        <v>-5404000</v>
      </c>
      <c r="BK1908" s="7" t="s">
        <v>17078</v>
      </c>
      <c r="BL1908" s="1" t="str">
        <f t="shared" si="914"/>
        <v>=421.5*10000</v>
      </c>
      <c r="BM1908" s="16">
        <f t="shared" si="929"/>
        <v>-2.2820877817319096</v>
      </c>
      <c r="BN1908" s="1">
        <f>421.5*10000</f>
        <v>4215000</v>
      </c>
    </row>
    <row r="1909" spans="1:66">
      <c r="A1909" s="19"/>
      <c r="B1909">
        <v>603758</v>
      </c>
      <c r="C1909" t="s">
        <v>68</v>
      </c>
      <c r="D1909" s="6" t="s">
        <v>11156</v>
      </c>
      <c r="E1909" s="7" t="str">
        <f t="shared" si="913"/>
        <v>=1.025*100000000</v>
      </c>
      <c r="F1909" s="1">
        <f>1.025*100000000</f>
        <v>102499999.99999999</v>
      </c>
      <c r="G1909" s="8">
        <f t="shared" si="915"/>
        <v>0.13159637889158737</v>
      </c>
      <c r="H1909" s="7" t="s">
        <v>17079</v>
      </c>
      <c r="I1909" s="6" t="str">
        <f t="shared" si="899"/>
        <v>=9058*10000</v>
      </c>
      <c r="J1909" s="1">
        <f>9058*10000</f>
        <v>90580000</v>
      </c>
      <c r="K1909" s="10">
        <f t="shared" si="916"/>
        <v>-0.16975252062328139</v>
      </c>
      <c r="L1909" s="6" t="s">
        <v>6900</v>
      </c>
      <c r="M1909" s="6" t="str">
        <f t="shared" si="900"/>
        <v>=1.091*100000000</v>
      </c>
      <c r="N1909" s="1">
        <f>1.091*100000000</f>
        <v>109100000</v>
      </c>
      <c r="O1909" s="8">
        <f t="shared" si="917"/>
        <v>3.1832822085889569</v>
      </c>
      <c r="P1909" s="7" t="s">
        <v>17080</v>
      </c>
      <c r="Q1909" s="6" t="str">
        <f t="shared" si="901"/>
        <v>=2608*10000</v>
      </c>
      <c r="R1909" s="11">
        <f>2608*10000</f>
        <v>26080000</v>
      </c>
      <c r="S1909" s="8">
        <f t="shared" si="918"/>
        <v>-0.91970443349753694</v>
      </c>
      <c r="T1909" s="6" t="s">
        <v>16676</v>
      </c>
      <c r="U1909" s="6" t="str">
        <f t="shared" si="902"/>
        <v>=3.248*100000000</v>
      </c>
      <c r="V1909" s="1">
        <f>3.248*100000000</f>
        <v>324800000</v>
      </c>
      <c r="W1909" s="8">
        <f t="shared" si="919"/>
        <v>0.10551395507147719</v>
      </c>
      <c r="X1909" s="6" t="s">
        <v>15795</v>
      </c>
      <c r="Y1909" s="6" t="str">
        <f t="shared" si="903"/>
        <v>=2.938*100000000</v>
      </c>
      <c r="Z1909" s="1">
        <f>2.938*100000000</f>
        <v>293800000</v>
      </c>
      <c r="AA1909" s="8">
        <f t="shared" si="920"/>
        <v>0.17051792828685272</v>
      </c>
      <c r="AB1909" s="6" t="s">
        <v>10390</v>
      </c>
      <c r="AC1909" s="6" t="str">
        <f t="shared" si="904"/>
        <v>=2.510*100000000</v>
      </c>
      <c r="AD1909" s="1">
        <f>2.51*100000000</f>
        <v>250999999.99999997</v>
      </c>
      <c r="AE1909" s="8">
        <f t="shared" si="921"/>
        <v>-14.351063829787234</v>
      </c>
      <c r="AF1909" s="7">
        <f>-1880*10000</f>
        <v>-18800000</v>
      </c>
      <c r="AG1909" s="6" t="str">
        <f t="shared" si="905"/>
        <v>=-18800000</v>
      </c>
      <c r="AH1909" s="1">
        <f>-18800000</f>
        <v>-18800000</v>
      </c>
      <c r="AI1909" s="8">
        <f t="shared" si="922"/>
        <v>-1.159322033898305</v>
      </c>
      <c r="AJ1909" s="6" t="s">
        <v>12028</v>
      </c>
      <c r="AK1909" s="6" t="str">
        <f t="shared" si="906"/>
        <v>=1.180*100000000</v>
      </c>
      <c r="AL1909" s="1">
        <f>1.18*100000000</f>
        <v>118000000</v>
      </c>
      <c r="AM1909" s="8">
        <f t="shared" si="923"/>
        <v>-2.5660252156602521</v>
      </c>
      <c r="AN1909" s="7">
        <f>-7535*10000</f>
        <v>-75350000</v>
      </c>
      <c r="AO1909" s="6" t="str">
        <f t="shared" si="907"/>
        <v>=-75350000</v>
      </c>
      <c r="AP1909" s="1">
        <f>-75350000</f>
        <v>-75350000</v>
      </c>
      <c r="AQ1909" s="8">
        <f t="shared" si="924"/>
        <v>0.32378777231201689</v>
      </c>
      <c r="AR1909" s="7">
        <f>-5692*10000</f>
        <v>-56920000</v>
      </c>
      <c r="AS1909" s="6" t="str">
        <f t="shared" si="908"/>
        <v>=-56920000</v>
      </c>
      <c r="AT1909" s="1">
        <f>-56920000</f>
        <v>-56920000</v>
      </c>
      <c r="AU1909" s="8">
        <f t="shared" si="925"/>
        <v>0.77986241400875544</v>
      </c>
      <c r="AV1909" s="7">
        <f>-3198*10000</f>
        <v>-31980000</v>
      </c>
      <c r="AW1909" s="6" t="str">
        <f t="shared" si="909"/>
        <v>=-31980000</v>
      </c>
      <c r="AX1909" s="1">
        <f>-31980000</f>
        <v>-31980000</v>
      </c>
      <c r="AY1909" s="10">
        <f t="shared" si="926"/>
        <v>-0.49756480754124116</v>
      </c>
      <c r="AZ1909" s="7">
        <f>-6365*10000</f>
        <v>-63650000</v>
      </c>
      <c r="BA1909" s="6" t="str">
        <f t="shared" si="910"/>
        <v>=-63650000</v>
      </c>
      <c r="BB1909" s="1">
        <f>-63650000</f>
        <v>-63650000</v>
      </c>
      <c r="BC1909" s="8">
        <f t="shared" si="927"/>
        <v>3.0749039692701663</v>
      </c>
      <c r="BD1909" s="7">
        <f>-1562*10000</f>
        <v>-15620000</v>
      </c>
      <c r="BE1909" s="6" t="str">
        <f t="shared" si="911"/>
        <v>=-15620000</v>
      </c>
      <c r="BF1909" s="1">
        <f>-15620000</f>
        <v>-15620000</v>
      </c>
      <c r="BG1909" s="8">
        <f t="shared" si="928"/>
        <v>1.1165311653116532</v>
      </c>
      <c r="BH1909" s="7">
        <f>-738*10000</f>
        <v>-7380000</v>
      </c>
      <c r="BI1909" s="6" t="str">
        <f t="shared" si="912"/>
        <v>=-7380000</v>
      </c>
      <c r="BJ1909" s="1">
        <f>-7380000</f>
        <v>-7380000</v>
      </c>
      <c r="BK1909" s="7" t="s">
        <v>17081</v>
      </c>
      <c r="BL1909" s="1" t="str">
        <f t="shared" si="914"/>
        <v>=231.5*10000</v>
      </c>
      <c r="BM1909" s="16">
        <f t="shared" si="929"/>
        <v>-4.1879049676025915</v>
      </c>
      <c r="BN1909" s="1">
        <f>231.5*10000</f>
        <v>2315000</v>
      </c>
    </row>
    <row r="1910" spans="1:66">
      <c r="A1910" s="17">
        <v>479</v>
      </c>
      <c r="B1910">
        <v>603767</v>
      </c>
      <c r="C1910" t="s">
        <v>31</v>
      </c>
      <c r="D1910" s="6" t="s">
        <v>10909</v>
      </c>
      <c r="E1910" s="7" t="str">
        <f t="shared" si="913"/>
        <v>=11.20*100000000</v>
      </c>
      <c r="F1910" s="1">
        <f>11.2*100000000</f>
        <v>1120000000</v>
      </c>
      <c r="G1910" s="8">
        <f t="shared" si="915"/>
        <v>0.42023839715952321</v>
      </c>
      <c r="H1910" s="6" t="s">
        <v>2902</v>
      </c>
      <c r="I1910" s="6" t="str">
        <f t="shared" si="899"/>
        <v>=7.886*100000000</v>
      </c>
      <c r="J1910" s="1">
        <f>7.886*100000000</f>
        <v>788600000</v>
      </c>
      <c r="K1910" s="10">
        <f t="shared" si="916"/>
        <v>0.49356060606060603</v>
      </c>
      <c r="L1910" s="6" t="s">
        <v>6363</v>
      </c>
      <c r="M1910" s="6" t="str">
        <f t="shared" si="900"/>
        <v>=5.280*100000000</v>
      </c>
      <c r="N1910" s="1">
        <f>5.28*100000000</f>
        <v>528000000</v>
      </c>
      <c r="O1910" s="8">
        <f t="shared" si="917"/>
        <v>1.2222222222222223</v>
      </c>
      <c r="P1910" s="6" t="s">
        <v>17082</v>
      </c>
      <c r="Q1910" s="6" t="str">
        <f t="shared" si="901"/>
        <v>=2.376*100000000</v>
      </c>
      <c r="R1910" s="11">
        <f>2.376*100000000</f>
        <v>237600000</v>
      </c>
      <c r="S1910" s="8">
        <f t="shared" si="918"/>
        <v>-0.77414448669201519</v>
      </c>
      <c r="T1910" s="6" t="s">
        <v>1971</v>
      </c>
      <c r="U1910" s="6" t="str">
        <f t="shared" si="902"/>
        <v>=10.52*100000000</v>
      </c>
      <c r="V1910" s="1">
        <f>10.52*100000000</f>
        <v>1052000000</v>
      </c>
      <c r="W1910" s="8">
        <f t="shared" si="919"/>
        <v>0.39707835325365204</v>
      </c>
      <c r="X1910" s="6" t="s">
        <v>17083</v>
      </c>
      <c r="Y1910" s="6" t="str">
        <f t="shared" si="903"/>
        <v>=7.530*100000000</v>
      </c>
      <c r="Z1910" s="1">
        <f>7.53*100000000</f>
        <v>753000000</v>
      </c>
      <c r="AA1910" s="8">
        <f t="shared" si="920"/>
        <v>0.70903313663186585</v>
      </c>
      <c r="AB1910" s="6" t="s">
        <v>4843</v>
      </c>
      <c r="AC1910" s="6" t="str">
        <f t="shared" si="904"/>
        <v>=4.406*100000000</v>
      </c>
      <c r="AD1910" s="1">
        <f>4.406*100000000</f>
        <v>440599999.99999994</v>
      </c>
      <c r="AE1910" s="8">
        <f t="shared" si="921"/>
        <v>1.7868437697659705</v>
      </c>
      <c r="AF1910" s="6" t="s">
        <v>8264</v>
      </c>
      <c r="AG1910" s="6" t="str">
        <f t="shared" si="905"/>
        <v>=1.581*100000000</v>
      </c>
      <c r="AH1910" s="1">
        <f>1.581*100000000</f>
        <v>158100000</v>
      </c>
      <c r="AI1910" s="8">
        <f t="shared" si="922"/>
        <v>-0.83294590025359261</v>
      </c>
      <c r="AJ1910" s="6" t="s">
        <v>5041</v>
      </c>
      <c r="AK1910" s="6" t="str">
        <f t="shared" si="906"/>
        <v>=9.464*100000000</v>
      </c>
      <c r="AL1910" s="1">
        <f>9.464*100000000</f>
        <v>946400000</v>
      </c>
      <c r="AM1910" s="8">
        <f t="shared" si="923"/>
        <v>0.43720577069096433</v>
      </c>
      <c r="AN1910" s="6" t="s">
        <v>14563</v>
      </c>
      <c r="AO1910" s="6" t="str">
        <f t="shared" si="907"/>
        <v>=6.585*100000000</v>
      </c>
      <c r="AP1910" s="1">
        <f>6.585*100000000</f>
        <v>658500000</v>
      </c>
      <c r="AQ1910" s="8">
        <f t="shared" si="924"/>
        <v>0.47249552772808567</v>
      </c>
      <c r="AR1910" s="6" t="s">
        <v>17084</v>
      </c>
      <c r="AS1910" s="6" t="str">
        <f t="shared" si="908"/>
        <v>=4.472*100000000</v>
      </c>
      <c r="AT1910" s="1">
        <f>4.472*100000000</f>
        <v>447200000.00000006</v>
      </c>
      <c r="AU1910" s="8">
        <f t="shared" si="925"/>
        <v>0.92924935289042299</v>
      </c>
      <c r="AV1910" s="6" t="s">
        <v>17085</v>
      </c>
      <c r="AW1910" s="6" t="str">
        <f t="shared" si="909"/>
        <v>=2.318*100000000</v>
      </c>
      <c r="AX1910" s="1">
        <f>2.318*100000000</f>
        <v>231800000</v>
      </c>
      <c r="AY1910" s="10">
        <f t="shared" si="926"/>
        <v>-0.7377828054298643</v>
      </c>
      <c r="AZ1910" s="6" t="s">
        <v>17086</v>
      </c>
      <c r="BA1910" s="6" t="str">
        <f t="shared" si="910"/>
        <v>=8.840*100000000</v>
      </c>
      <c r="BB1910" s="1">
        <f>8.84*100000000</f>
        <v>884000000</v>
      </c>
      <c r="BC1910" s="8">
        <f t="shared" si="927"/>
        <v>0.34879462923405552</v>
      </c>
      <c r="BD1910" s="6" t="s">
        <v>13988</v>
      </c>
      <c r="BE1910" s="6" t="str">
        <f t="shared" si="911"/>
        <v>=6.554*100000000</v>
      </c>
      <c r="BF1910" s="1">
        <f>6.554*100000000</f>
        <v>655400000</v>
      </c>
      <c r="BG1910" s="8">
        <f t="shared" si="928"/>
        <v>0.48146473779385152</v>
      </c>
      <c r="BH1910" s="6" t="s">
        <v>10186</v>
      </c>
      <c r="BI1910" s="6" t="str">
        <f t="shared" si="912"/>
        <v>=4.424*100000000</v>
      </c>
      <c r="BJ1910" s="1">
        <f>4.424*100000000</f>
        <v>442400000.00000006</v>
      </c>
      <c r="BK1910" s="6" t="s">
        <v>4405</v>
      </c>
      <c r="BL1910" s="1" t="str">
        <f t="shared" si="914"/>
        <v>=2.168*100000000</v>
      </c>
      <c r="BM1910" s="16">
        <f t="shared" si="929"/>
        <v>1.0405904059040589</v>
      </c>
      <c r="BN1910" s="1">
        <f>2.168*100000000</f>
        <v>216800000.00000003</v>
      </c>
    </row>
    <row r="1911" spans="1:66">
      <c r="A1911" s="18"/>
      <c r="B1911">
        <v>603767</v>
      </c>
      <c r="C1911" t="s">
        <v>48</v>
      </c>
      <c r="D1911" s="7" t="s">
        <v>17087</v>
      </c>
      <c r="E1911" s="7" t="str">
        <f t="shared" si="913"/>
        <v>=6833*10000</v>
      </c>
      <c r="F1911" s="1">
        <f>6833*10000</f>
        <v>68330000</v>
      </c>
      <c r="G1911" s="8">
        <f t="shared" si="915"/>
        <v>0.28054722638680657</v>
      </c>
      <c r="H1911" s="7" t="s">
        <v>16465</v>
      </c>
      <c r="I1911" s="6" t="str">
        <f t="shared" si="899"/>
        <v>=5336*10000</v>
      </c>
      <c r="J1911" s="1">
        <f>5336*10000</f>
        <v>53360000</v>
      </c>
      <c r="K1911" s="10">
        <f t="shared" si="916"/>
        <v>0.59093619558735833</v>
      </c>
      <c r="L1911" s="7" t="s">
        <v>17088</v>
      </c>
      <c r="M1911" s="6" t="str">
        <f t="shared" si="900"/>
        <v>=3354*10000</v>
      </c>
      <c r="N1911" s="1">
        <f>3354*10000</f>
        <v>33540000</v>
      </c>
      <c r="O1911" s="8">
        <f t="shared" si="917"/>
        <v>3.1143277723258098</v>
      </c>
      <c r="P1911" s="7" t="s">
        <v>17089</v>
      </c>
      <c r="Q1911" s="6" t="str">
        <f t="shared" si="901"/>
        <v>=815.2*10000</v>
      </c>
      <c r="R1911" s="11">
        <f>815.2*10000</f>
        <v>8152000</v>
      </c>
      <c r="S1911" s="8">
        <f t="shared" si="918"/>
        <v>-0.86478686349311662</v>
      </c>
      <c r="T1911" s="7" t="s">
        <v>17090</v>
      </c>
      <c r="U1911" s="6" t="str">
        <f t="shared" si="902"/>
        <v>=6029*10000</v>
      </c>
      <c r="V1911" s="1">
        <f>6029*10000</f>
        <v>60290000</v>
      </c>
      <c r="W1911" s="8">
        <f t="shared" si="919"/>
        <v>8.5523946705077417E-2</v>
      </c>
      <c r="X1911" s="7" t="s">
        <v>17091</v>
      </c>
      <c r="Y1911" s="6" t="str">
        <f t="shared" si="903"/>
        <v>=5554*10000</v>
      </c>
      <c r="Z1911" s="1">
        <f>5554*10000</f>
        <v>55540000</v>
      </c>
      <c r="AA1911" s="8">
        <f t="shared" si="920"/>
        <v>0.97090134847409515</v>
      </c>
      <c r="AB1911" s="7" t="s">
        <v>2695</v>
      </c>
      <c r="AC1911" s="6" t="str">
        <f t="shared" si="904"/>
        <v>=2818*10000</v>
      </c>
      <c r="AD1911" s="1">
        <f>2818*10000</f>
        <v>28180000</v>
      </c>
      <c r="AE1911" s="8">
        <f t="shared" si="921"/>
        <v>4.5813032283620521</v>
      </c>
      <c r="AF1911" s="7" t="s">
        <v>17092</v>
      </c>
      <c r="AG1911" s="6" t="str">
        <f t="shared" si="905"/>
        <v>=504.9*10000</v>
      </c>
      <c r="AH1911" s="1">
        <f>504.9*10000</f>
        <v>5049000</v>
      </c>
      <c r="AI1911" s="8">
        <f t="shared" si="922"/>
        <v>-0.93965579060595195</v>
      </c>
      <c r="AJ1911" s="7" t="s">
        <v>17093</v>
      </c>
      <c r="AK1911" s="6" t="str">
        <f t="shared" si="906"/>
        <v>=8367*10000</v>
      </c>
      <c r="AL1911" s="1">
        <f>8367*10000</f>
        <v>83670000</v>
      </c>
      <c r="AM1911" s="8">
        <f t="shared" si="923"/>
        <v>0.35717761557177613</v>
      </c>
      <c r="AN1911" s="7" t="s">
        <v>6755</v>
      </c>
      <c r="AO1911" s="6" t="str">
        <f t="shared" si="907"/>
        <v>=6165*10000</v>
      </c>
      <c r="AP1911" s="1">
        <f>6165*10000</f>
        <v>61650000</v>
      </c>
      <c r="AQ1911" s="8">
        <f t="shared" si="924"/>
        <v>0.60588694972649126</v>
      </c>
      <c r="AR1911" s="7" t="s">
        <v>11392</v>
      </c>
      <c r="AS1911" s="6" t="str">
        <f t="shared" si="908"/>
        <v>=3839*10000</v>
      </c>
      <c r="AT1911" s="1">
        <f>3839*10000</f>
        <v>38390000</v>
      </c>
      <c r="AU1911" s="8">
        <f t="shared" si="925"/>
        <v>1.6604296604296604</v>
      </c>
      <c r="AV1911" s="7" t="s">
        <v>17094</v>
      </c>
      <c r="AW1911" s="6" t="str">
        <f t="shared" si="909"/>
        <v>=1443*10000</v>
      </c>
      <c r="AX1911" s="1">
        <f>1443*10000</f>
        <v>14430000</v>
      </c>
      <c r="AY1911" s="10">
        <f t="shared" si="926"/>
        <v>-0.76941514860977944</v>
      </c>
      <c r="AZ1911" s="7" t="s">
        <v>17095</v>
      </c>
      <c r="BA1911" s="6" t="str">
        <f t="shared" si="910"/>
        <v>=6258*10000</v>
      </c>
      <c r="BB1911" s="1">
        <f>6258*10000</f>
        <v>62580000</v>
      </c>
      <c r="BC1911" s="8">
        <f t="shared" si="927"/>
        <v>0.17278860569715143</v>
      </c>
      <c r="BD1911" s="7" t="s">
        <v>16465</v>
      </c>
      <c r="BE1911" s="6" t="str">
        <f t="shared" si="911"/>
        <v>=5336*10000</v>
      </c>
      <c r="BF1911" s="1">
        <f>5336*10000</f>
        <v>53360000</v>
      </c>
      <c r="BG1911" s="8">
        <f t="shared" si="928"/>
        <v>0.45633187772925765</v>
      </c>
      <c r="BH1911" s="7" t="s">
        <v>17096</v>
      </c>
      <c r="BI1911" s="6" t="str">
        <f t="shared" si="912"/>
        <v>=3664*10000</v>
      </c>
      <c r="BJ1911" s="1">
        <f>3664*10000</f>
        <v>36640000</v>
      </c>
      <c r="BK1911" s="7" t="s">
        <v>17097</v>
      </c>
      <c r="BL1911" s="1" t="str">
        <f t="shared" si="914"/>
        <v>=2043*10000</v>
      </c>
      <c r="BM1911" s="16">
        <f t="shared" si="929"/>
        <v>0.79344101811062162</v>
      </c>
      <c r="BN1911" s="1">
        <f>2043*10000</f>
        <v>20430000</v>
      </c>
    </row>
    <row r="1912" spans="1:66">
      <c r="A1912" s="18"/>
      <c r="B1912">
        <v>603767</v>
      </c>
      <c r="C1912" t="s">
        <v>58</v>
      </c>
      <c r="D1912" s="7" t="s">
        <v>10440</v>
      </c>
      <c r="E1912" s="7" t="str">
        <f t="shared" si="913"/>
        <v>=6831*10000</v>
      </c>
      <c r="F1912" s="1">
        <f>6831*10000</f>
        <v>68310000</v>
      </c>
      <c r="G1912" s="8">
        <f t="shared" si="915"/>
        <v>0.2799325463743676</v>
      </c>
      <c r="H1912" s="7" t="s">
        <v>6278</v>
      </c>
      <c r="I1912" s="6" t="str">
        <f t="shared" si="899"/>
        <v>=5337*10000</v>
      </c>
      <c r="J1912" s="1">
        <f>5337*10000</f>
        <v>53370000</v>
      </c>
      <c r="K1912" s="10">
        <f t="shared" si="916"/>
        <v>0.59076005961251865</v>
      </c>
      <c r="L1912" s="7" t="s">
        <v>17098</v>
      </c>
      <c r="M1912" s="6" t="str">
        <f t="shared" si="900"/>
        <v>=3355*10000</v>
      </c>
      <c r="N1912" s="1">
        <f>3355*10000</f>
        <v>33550000</v>
      </c>
      <c r="O1912" s="8">
        <f t="shared" si="917"/>
        <v>2.9954745742527091</v>
      </c>
      <c r="P1912" s="7" t="s">
        <v>17099</v>
      </c>
      <c r="Q1912" s="6" t="str">
        <f t="shared" si="901"/>
        <v>=839.7*10000</v>
      </c>
      <c r="R1912" s="11">
        <f>839.7*10000</f>
        <v>8397000</v>
      </c>
      <c r="S1912" s="8">
        <f t="shared" si="918"/>
        <v>-0.86023635153129163</v>
      </c>
      <c r="T1912" s="7" t="s">
        <v>6935</v>
      </c>
      <c r="U1912" s="6" t="str">
        <f t="shared" si="902"/>
        <v>=6008*10000</v>
      </c>
      <c r="V1912" s="1">
        <f>6008*10000</f>
        <v>60080000</v>
      </c>
      <c r="W1912" s="8">
        <f t="shared" si="919"/>
        <v>8.2912761355443398E-2</v>
      </c>
      <c r="X1912" s="7" t="s">
        <v>17100</v>
      </c>
      <c r="Y1912" s="6" t="str">
        <f t="shared" si="903"/>
        <v>=5548*10000</v>
      </c>
      <c r="Z1912" s="1">
        <f>5548*10000</f>
        <v>55480000</v>
      </c>
      <c r="AA1912" s="8">
        <f t="shared" si="920"/>
        <v>0.97227159616068259</v>
      </c>
      <c r="AB1912" s="7" t="s">
        <v>17101</v>
      </c>
      <c r="AC1912" s="6" t="str">
        <f t="shared" si="904"/>
        <v>=2813*10000</v>
      </c>
      <c r="AD1912" s="1">
        <f>2813*10000</f>
        <v>28130000</v>
      </c>
      <c r="AE1912" s="8">
        <f t="shared" si="921"/>
        <v>4.5736080840103028</v>
      </c>
      <c r="AF1912" s="7" t="s">
        <v>2809</v>
      </c>
      <c r="AG1912" s="6" t="str">
        <f t="shared" si="905"/>
        <v>=504.7*10000</v>
      </c>
      <c r="AH1912" s="1">
        <f>504.7*10000</f>
        <v>5047000</v>
      </c>
      <c r="AI1912" s="8">
        <f t="shared" si="922"/>
        <v>-0.93906061337841096</v>
      </c>
      <c r="AJ1912" s="7" t="s">
        <v>17102</v>
      </c>
      <c r="AK1912" s="6" t="str">
        <f t="shared" si="906"/>
        <v>=8282*10000</v>
      </c>
      <c r="AL1912" s="1">
        <f>8282*10000</f>
        <v>82820000</v>
      </c>
      <c r="AM1912" s="8">
        <f t="shared" si="923"/>
        <v>0.36149926023343742</v>
      </c>
      <c r="AN1912" s="7" t="s">
        <v>17103</v>
      </c>
      <c r="AO1912" s="6" t="str">
        <f t="shared" si="907"/>
        <v>=6083*10000</v>
      </c>
      <c r="AP1912" s="1">
        <f>6083*10000</f>
        <v>60830000</v>
      </c>
      <c r="AQ1912" s="8">
        <f t="shared" si="924"/>
        <v>0.61053746359544614</v>
      </c>
      <c r="AR1912" s="7" t="s">
        <v>17104</v>
      </c>
      <c r="AS1912" s="6" t="str">
        <f t="shared" si="908"/>
        <v>=3777*10000</v>
      </c>
      <c r="AT1912" s="1">
        <f>3777*10000</f>
        <v>37770000</v>
      </c>
      <c r="AU1912" s="8">
        <f t="shared" si="925"/>
        <v>1.236234458259325</v>
      </c>
      <c r="AV1912" s="7" t="s">
        <v>17105</v>
      </c>
      <c r="AW1912" s="6" t="str">
        <f t="shared" si="909"/>
        <v>=1689*10000</v>
      </c>
      <c r="AX1912" s="1">
        <f>1689*10000</f>
        <v>16890000</v>
      </c>
      <c r="AY1912" s="10">
        <f t="shared" si="926"/>
        <v>-0.72740477727566166</v>
      </c>
      <c r="AZ1912" s="7" t="s">
        <v>5775</v>
      </c>
      <c r="BA1912" s="6" t="str">
        <f t="shared" si="910"/>
        <v>=6196*10000</v>
      </c>
      <c r="BB1912" s="1">
        <f>6196*10000</f>
        <v>61960000</v>
      </c>
      <c r="BC1912" s="8">
        <f t="shared" si="927"/>
        <v>0.16051695073983893</v>
      </c>
      <c r="BD1912" s="7" t="s">
        <v>17106</v>
      </c>
      <c r="BE1912" s="6" t="str">
        <f t="shared" si="911"/>
        <v>=5339*10000</v>
      </c>
      <c r="BF1912" s="1">
        <f>5339*10000</f>
        <v>53390000</v>
      </c>
      <c r="BG1912" s="8">
        <f t="shared" si="928"/>
        <v>0.46958436553812277</v>
      </c>
      <c r="BH1912" s="7" t="s">
        <v>17107</v>
      </c>
      <c r="BI1912" s="6" t="str">
        <f t="shared" si="912"/>
        <v>=3633*10000</v>
      </c>
      <c r="BJ1912" s="1">
        <f>3633*10000</f>
        <v>36330000</v>
      </c>
      <c r="BK1912" s="7" t="s">
        <v>17108</v>
      </c>
      <c r="BL1912" s="1" t="str">
        <f t="shared" si="914"/>
        <v>=2014*10000</v>
      </c>
      <c r="BM1912" s="16">
        <f t="shared" si="929"/>
        <v>0.80387288977159876</v>
      </c>
      <c r="BN1912" s="1">
        <f>2014*10000</f>
        <v>20140000</v>
      </c>
    </row>
    <row r="1913" spans="1:66">
      <c r="A1913" s="19"/>
      <c r="B1913">
        <v>603767</v>
      </c>
      <c r="C1913" t="s">
        <v>68</v>
      </c>
      <c r="D1913" s="7" t="s">
        <v>17109</v>
      </c>
      <c r="E1913" s="7" t="str">
        <f t="shared" si="913"/>
        <v>=6366*10000</v>
      </c>
      <c r="F1913" s="1">
        <f>6366*10000</f>
        <v>63660000</v>
      </c>
      <c r="G1913" s="8">
        <f t="shared" si="915"/>
        <v>0.26913875598086123</v>
      </c>
      <c r="H1913" s="7" t="s">
        <v>17110</v>
      </c>
      <c r="I1913" s="6" t="str">
        <f t="shared" si="899"/>
        <v>=5016*10000</v>
      </c>
      <c r="J1913" s="1">
        <f>5016*10000</f>
        <v>50160000</v>
      </c>
      <c r="K1913" s="10">
        <f t="shared" si="916"/>
        <v>0.55390334572490707</v>
      </c>
      <c r="L1913" s="7" t="s">
        <v>16521</v>
      </c>
      <c r="M1913" s="6" t="str">
        <f t="shared" si="900"/>
        <v>=3228*10000</v>
      </c>
      <c r="N1913" s="1">
        <f>3228*10000</f>
        <v>32280000</v>
      </c>
      <c r="O1913" s="8">
        <f t="shared" si="917"/>
        <v>3.0819423368740515</v>
      </c>
      <c r="P1913" s="7" t="s">
        <v>17111</v>
      </c>
      <c r="Q1913" s="6" t="str">
        <f t="shared" si="901"/>
        <v>=790.8*10000</v>
      </c>
      <c r="R1913" s="11">
        <f>790.8*10000</f>
        <v>7908000</v>
      </c>
      <c r="S1913" s="8">
        <f t="shared" si="918"/>
        <v>-0.85686877828054298</v>
      </c>
      <c r="T1913" s="7" t="s">
        <v>10495</v>
      </c>
      <c r="U1913" s="6" t="str">
        <f t="shared" si="902"/>
        <v>=5525*10000</v>
      </c>
      <c r="V1913" s="1">
        <f>5525*10000</f>
        <v>55250000</v>
      </c>
      <c r="W1913" s="8">
        <f t="shared" si="919"/>
        <v>0.10345516277211904</v>
      </c>
      <c r="X1913" s="7" t="s">
        <v>17112</v>
      </c>
      <c r="Y1913" s="6" t="str">
        <f t="shared" si="903"/>
        <v>=5007*10000</v>
      </c>
      <c r="Z1913" s="1">
        <f>5007*10000</f>
        <v>50070000</v>
      </c>
      <c r="AA1913" s="8">
        <f t="shared" si="920"/>
        <v>0.82470845481049559</v>
      </c>
      <c r="AB1913" s="7" t="s">
        <v>1694</v>
      </c>
      <c r="AC1913" s="6" t="str">
        <f t="shared" si="904"/>
        <v>=2744*10000</v>
      </c>
      <c r="AD1913" s="1">
        <f>2744*10000</f>
        <v>27440000</v>
      </c>
      <c r="AE1913" s="8">
        <f t="shared" si="921"/>
        <v>4.4368932038834954</v>
      </c>
      <c r="AF1913" s="7" t="s">
        <v>2809</v>
      </c>
      <c r="AG1913" s="6" t="str">
        <f t="shared" si="905"/>
        <v>=504.7*10000</v>
      </c>
      <c r="AH1913" s="1">
        <f>504.7*10000</f>
        <v>5047000</v>
      </c>
      <c r="AI1913" s="8">
        <f t="shared" si="922"/>
        <v>-0.93255378858746496</v>
      </c>
      <c r="AJ1913" s="7" t="s">
        <v>17113</v>
      </c>
      <c r="AK1913" s="6" t="str">
        <f t="shared" si="906"/>
        <v>=7483*10000</v>
      </c>
      <c r="AL1913" s="1">
        <f>7483*10000</f>
        <v>74830000</v>
      </c>
      <c r="AM1913" s="8">
        <f t="shared" si="923"/>
        <v>0.38037262497694152</v>
      </c>
      <c r="AN1913" s="7" t="s">
        <v>17114</v>
      </c>
      <c r="AO1913" s="6" t="str">
        <f t="shared" si="907"/>
        <v>=5421*10000</v>
      </c>
      <c r="AP1913" s="1">
        <f>5421*10000</f>
        <v>54210000</v>
      </c>
      <c r="AQ1913" s="8">
        <f t="shared" si="924"/>
        <v>0.43564618644067798</v>
      </c>
      <c r="AR1913" s="7" t="s">
        <v>4962</v>
      </c>
      <c r="AS1913" s="6" t="str">
        <f t="shared" si="908"/>
        <v>=3776*10000</v>
      </c>
      <c r="AT1913" s="1">
        <f>3776*10000</f>
        <v>37760000</v>
      </c>
      <c r="AU1913" s="8">
        <f t="shared" si="925"/>
        <v>1.2369668246445498</v>
      </c>
      <c r="AV1913" s="7" t="s">
        <v>7724</v>
      </c>
      <c r="AW1913" s="6" t="str">
        <f t="shared" si="909"/>
        <v>=1688*10000</v>
      </c>
      <c r="AX1913" s="1">
        <f>1688*10000</f>
        <v>16880000</v>
      </c>
      <c r="AY1913" s="10">
        <f t="shared" si="926"/>
        <v>-0.69884032114183769</v>
      </c>
      <c r="AZ1913" s="7" t="s">
        <v>17115</v>
      </c>
      <c r="BA1913" s="6" t="str">
        <f t="shared" si="910"/>
        <v>=5605*10000</v>
      </c>
      <c r="BB1913" s="1">
        <f>5605*10000</f>
        <v>56050000</v>
      </c>
      <c r="BC1913" s="8">
        <f t="shared" si="927"/>
        <v>0.14154786150712831</v>
      </c>
      <c r="BD1913" s="7" t="s">
        <v>17116</v>
      </c>
      <c r="BE1913" s="6" t="str">
        <f t="shared" si="911"/>
        <v>=4910*10000</v>
      </c>
      <c r="BF1913" s="1">
        <f>4910*10000</f>
        <v>49100000</v>
      </c>
      <c r="BG1913" s="8">
        <f t="shared" si="928"/>
        <v>0.53198127925117</v>
      </c>
      <c r="BH1913" s="7" t="s">
        <v>17117</v>
      </c>
      <c r="BI1913" s="6" t="str">
        <f t="shared" si="912"/>
        <v>=3205*10000</v>
      </c>
      <c r="BJ1913" s="1">
        <f>3205*10000</f>
        <v>32050000</v>
      </c>
      <c r="BK1913" s="7" t="s">
        <v>3291</v>
      </c>
      <c r="BL1913" s="1" t="str">
        <f t="shared" si="914"/>
        <v>=1767*10000</v>
      </c>
      <c r="BM1913" s="16">
        <f t="shared" si="929"/>
        <v>0.81380871533672894</v>
      </c>
      <c r="BN1913" s="1">
        <f>1767*10000</f>
        <v>17670000</v>
      </c>
    </row>
    <row r="1914" spans="1:66">
      <c r="A1914" s="17">
        <v>480</v>
      </c>
      <c r="B1914">
        <v>603773</v>
      </c>
      <c r="C1914" t="s">
        <v>31</v>
      </c>
      <c r="D1914" s="6" t="s">
        <v>2851</v>
      </c>
      <c r="E1914" s="7" t="str">
        <f t="shared" si="913"/>
        <v>=10.50*100000000</v>
      </c>
      <c r="F1914" s="1">
        <f>10.5*100000000</f>
        <v>1050000000</v>
      </c>
      <c r="G1914" s="8">
        <f t="shared" si="915"/>
        <v>0.54844418227400094</v>
      </c>
      <c r="H1914" s="6" t="s">
        <v>17118</v>
      </c>
      <c r="I1914" s="6" t="str">
        <f t="shared" si="899"/>
        <v>=6.781*100000000</v>
      </c>
      <c r="J1914" s="1">
        <f>6.781*100000000</f>
        <v>678100000</v>
      </c>
      <c r="K1914" s="10">
        <f t="shared" si="916"/>
        <v>0.68765555002488798</v>
      </c>
      <c r="L1914" s="6" t="s">
        <v>17119</v>
      </c>
      <c r="M1914" s="6" t="str">
        <f t="shared" si="900"/>
        <v>=4.018*100000000</v>
      </c>
      <c r="N1914" s="1">
        <f>4.018*100000000</f>
        <v>401800000</v>
      </c>
      <c r="O1914" s="8">
        <f t="shared" si="917"/>
        <v>1.1281779661016949</v>
      </c>
      <c r="P1914" s="6" t="s">
        <v>13185</v>
      </c>
      <c r="Q1914" s="6" t="str">
        <f t="shared" si="901"/>
        <v>=1.888*100000000</v>
      </c>
      <c r="R1914" s="11">
        <f>1.888*100000000</f>
        <v>188800000</v>
      </c>
      <c r="S1914" s="8">
        <f t="shared" si="918"/>
        <v>-0.68752068851373715</v>
      </c>
      <c r="T1914" s="6" t="s">
        <v>17120</v>
      </c>
      <c r="U1914" s="6" t="str">
        <f t="shared" si="902"/>
        <v>=6.042*100000000</v>
      </c>
      <c r="V1914" s="1">
        <f>6.042*100000000</f>
        <v>604200000</v>
      </c>
      <c r="W1914" s="8">
        <f t="shared" si="919"/>
        <v>0.38641578705828383</v>
      </c>
      <c r="X1914" s="6" t="s">
        <v>14264</v>
      </c>
      <c r="Y1914" s="6" t="str">
        <f t="shared" si="903"/>
        <v>=4.358*100000000</v>
      </c>
      <c r="Z1914" s="1">
        <f>4.358*100000000</f>
        <v>435799999.99999994</v>
      </c>
      <c r="AA1914" s="8">
        <f t="shared" si="920"/>
        <v>0.61706864564007402</v>
      </c>
      <c r="AB1914" s="6" t="s">
        <v>1767</v>
      </c>
      <c r="AC1914" s="6" t="str">
        <f t="shared" si="904"/>
        <v>=2.695*100000000</v>
      </c>
      <c r="AD1914" s="1">
        <f>2.695*100000000</f>
        <v>269500000</v>
      </c>
      <c r="AE1914" s="8">
        <f t="shared" si="921"/>
        <v>1.5593542260208928</v>
      </c>
      <c r="AF1914" s="6" t="s">
        <v>10913</v>
      </c>
      <c r="AG1914" s="6" t="str">
        <f t="shared" si="905"/>
        <v>=1.053*100000000</v>
      </c>
      <c r="AH1914" s="1">
        <f>1.053*100000000</f>
        <v>105300000</v>
      </c>
      <c r="AI1914" s="8">
        <f t="shared" si="922"/>
        <v>-0.799160785809651</v>
      </c>
      <c r="AJ1914" s="6" t="s">
        <v>17121</v>
      </c>
      <c r="AK1914" s="6" t="str">
        <f t="shared" si="906"/>
        <v>=5.243*100000000</v>
      </c>
      <c r="AL1914" s="1">
        <f>5.243*100000000</f>
        <v>524300000.00000006</v>
      </c>
      <c r="AM1914" s="8">
        <f t="shared" si="923"/>
        <v>0.30487804878048796</v>
      </c>
      <c r="AN1914" s="6" t="s">
        <v>17119</v>
      </c>
      <c r="AO1914" s="6" t="str">
        <f t="shared" si="907"/>
        <v>=4.018*100000000</v>
      </c>
      <c r="AP1914" s="1">
        <f>4.018*100000000</f>
        <v>401800000</v>
      </c>
      <c r="AQ1914" s="8">
        <f t="shared" si="924"/>
        <v>0.53417334860633814</v>
      </c>
      <c r="AR1914" s="6" t="s">
        <v>6620</v>
      </c>
      <c r="AS1914" s="6" t="str">
        <f t="shared" si="908"/>
        <v>=2.619*100000000</v>
      </c>
      <c r="AT1914" s="1">
        <f>2.619*100000000</f>
        <v>261900000.00000003</v>
      </c>
      <c r="AU1914" s="8">
        <f t="shared" si="925"/>
        <v>1.6792838874680309</v>
      </c>
      <c r="AV1914" s="7" t="s">
        <v>17122</v>
      </c>
      <c r="AW1914" s="6" t="str">
        <f t="shared" si="909"/>
        <v>=9775*10000</v>
      </c>
      <c r="AX1914" s="1">
        <f>9775*10000</f>
        <v>97750000</v>
      </c>
      <c r="AY1914" s="10">
        <f t="shared" si="926"/>
        <v>-0.86031723349528433</v>
      </c>
      <c r="AZ1914" s="6" t="s">
        <v>15944</v>
      </c>
      <c r="BA1914" s="6" t="str">
        <f t="shared" si="910"/>
        <v>=6.998*100000000</v>
      </c>
      <c r="BB1914" s="1">
        <f>6.998*100000000</f>
        <v>699800000</v>
      </c>
      <c r="BC1914" s="8">
        <f t="shared" si="927"/>
        <v>0.34396005377376609</v>
      </c>
      <c r="BD1914" s="6" t="s">
        <v>17123</v>
      </c>
      <c r="BE1914" s="6" t="str">
        <f t="shared" si="911"/>
        <v>=5.207*100000000</v>
      </c>
      <c r="BF1914" s="1">
        <f>5.207*100000000</f>
        <v>520700000</v>
      </c>
      <c r="BG1914" s="8">
        <f t="shared" si="928"/>
        <v>0.42267759562841528</v>
      </c>
      <c r="BH1914" s="6" t="s">
        <v>11709</v>
      </c>
      <c r="BI1914" s="6" t="str">
        <f t="shared" si="912"/>
        <v>=3.660*100000000</v>
      </c>
      <c r="BJ1914" s="1">
        <f>3.66*100000000</f>
        <v>366000000</v>
      </c>
      <c r="BK1914" s="6" t="s">
        <v>12144</v>
      </c>
      <c r="BL1914" s="1" t="str">
        <f t="shared" si="914"/>
        <v>=1.654*100000000</v>
      </c>
      <c r="BM1914" s="16">
        <f t="shared" si="929"/>
        <v>1.2128174123337363</v>
      </c>
      <c r="BN1914" s="1">
        <f>1.654*100000000</f>
        <v>165400000</v>
      </c>
    </row>
    <row r="1915" spans="1:66">
      <c r="A1915" s="18"/>
      <c r="B1915">
        <v>603773</v>
      </c>
      <c r="C1915" t="s">
        <v>48</v>
      </c>
      <c r="D1915" s="7">
        <f>-957.5*10000</f>
        <v>-9575000</v>
      </c>
      <c r="E1915" s="7" t="str">
        <f t="shared" si="913"/>
        <v>=-9575000</v>
      </c>
      <c r="F1915" s="1">
        <f>-9575000</f>
        <v>-9575000</v>
      </c>
      <c r="G1915" s="8">
        <f t="shared" si="915"/>
        <v>-6.3253615127919911</v>
      </c>
      <c r="H1915" s="7" t="s">
        <v>17124</v>
      </c>
      <c r="I1915" s="6" t="str">
        <f t="shared" si="899"/>
        <v>=179.8*10000</v>
      </c>
      <c r="J1915" s="1">
        <f>179.8*10000</f>
        <v>1798000</v>
      </c>
      <c r="K1915" s="10">
        <f t="shared" si="916"/>
        <v>-0.72839879154078546</v>
      </c>
      <c r="L1915" s="7" t="s">
        <v>17125</v>
      </c>
      <c r="M1915" s="6" t="str">
        <f t="shared" si="900"/>
        <v>=662.0*10000</v>
      </c>
      <c r="N1915" s="1">
        <f>662*10000</f>
        <v>6620000</v>
      </c>
      <c r="O1915" s="8">
        <f t="shared" si="917"/>
        <v>-0.47501982553528943</v>
      </c>
      <c r="P1915" s="7" t="s">
        <v>16410</v>
      </c>
      <c r="Q1915" s="6" t="str">
        <f t="shared" si="901"/>
        <v>=1261*10000</v>
      </c>
      <c r="R1915" s="11">
        <f>1261*10000</f>
        <v>12610000</v>
      </c>
      <c r="S1915" s="8">
        <f t="shared" si="918"/>
        <v>-0.40630885122410548</v>
      </c>
      <c r="T1915" s="7" t="s">
        <v>3732</v>
      </c>
      <c r="U1915" s="6" t="str">
        <f t="shared" si="902"/>
        <v>=2124*10000</v>
      </c>
      <c r="V1915" s="1">
        <f>2124*10000</f>
        <v>21240000</v>
      </c>
      <c r="W1915" s="8">
        <f t="shared" si="919"/>
        <v>-1.3469577333952624E-2</v>
      </c>
      <c r="X1915" s="7" t="s">
        <v>17126</v>
      </c>
      <c r="Y1915" s="6" t="str">
        <f t="shared" si="903"/>
        <v>=2153*10000</v>
      </c>
      <c r="Z1915" s="1">
        <f>2153*10000</f>
        <v>21530000</v>
      </c>
      <c r="AA1915" s="8">
        <f t="shared" si="920"/>
        <v>0.5948148148148148</v>
      </c>
      <c r="AB1915" s="7" t="s">
        <v>17127</v>
      </c>
      <c r="AC1915" s="6" t="str">
        <f t="shared" si="904"/>
        <v>=1350*10000</v>
      </c>
      <c r="AD1915" s="1">
        <f>1350*10000</f>
        <v>13500000</v>
      </c>
      <c r="AE1915" s="8">
        <f t="shared" si="921"/>
        <v>-4.4090909090909092</v>
      </c>
      <c r="AF1915" s="7">
        <f>-396*10000</f>
        <v>-3960000</v>
      </c>
      <c r="AG1915" s="6" t="str">
        <f t="shared" si="905"/>
        <v>=-3960000</v>
      </c>
      <c r="AH1915" s="1">
        <f>-3960000</f>
        <v>-3960000</v>
      </c>
      <c r="AI1915" s="8">
        <f t="shared" si="922"/>
        <v>-1.061357297799814</v>
      </c>
      <c r="AJ1915" s="7" t="s">
        <v>17128</v>
      </c>
      <c r="AK1915" s="6" t="str">
        <f t="shared" si="906"/>
        <v>=6454*10000</v>
      </c>
      <c r="AL1915" s="1">
        <f>6454*10000</f>
        <v>64540000</v>
      </c>
      <c r="AM1915" s="8">
        <f t="shared" si="923"/>
        <v>4.0464291471868453E-2</v>
      </c>
      <c r="AN1915" s="7" t="s">
        <v>6558</v>
      </c>
      <c r="AO1915" s="6" t="str">
        <f t="shared" si="907"/>
        <v>=6203*10000</v>
      </c>
      <c r="AP1915" s="1">
        <f>6203*10000</f>
        <v>62030000</v>
      </c>
      <c r="AQ1915" s="8">
        <f t="shared" si="924"/>
        <v>0.23295567481613993</v>
      </c>
      <c r="AR1915" s="7" t="s">
        <v>17129</v>
      </c>
      <c r="AS1915" s="6" t="str">
        <f t="shared" si="908"/>
        <v>=5031*10000</v>
      </c>
      <c r="AT1915" s="1">
        <f>5031*10000</f>
        <v>50310000</v>
      </c>
      <c r="AU1915" s="8">
        <f t="shared" si="925"/>
        <v>2.6298701298701297</v>
      </c>
      <c r="AV1915" s="7" t="s">
        <v>6629</v>
      </c>
      <c r="AW1915" s="6" t="str">
        <f t="shared" si="909"/>
        <v>=1386*10000</v>
      </c>
      <c r="AX1915" s="1">
        <f>1386*10000</f>
        <v>13860000</v>
      </c>
      <c r="AY1915" s="10">
        <f t="shared" si="926"/>
        <v>-0.92487804878048785</v>
      </c>
      <c r="AZ1915" s="6" t="s">
        <v>5286</v>
      </c>
      <c r="BA1915" s="6" t="str">
        <f t="shared" si="910"/>
        <v>=1.845*100000000</v>
      </c>
      <c r="BB1915" s="1">
        <f>1.845*100000000</f>
        <v>184500000</v>
      </c>
      <c r="BC1915" s="8">
        <f t="shared" si="927"/>
        <v>-6.2976130015236165E-2</v>
      </c>
      <c r="BD1915" s="6" t="s">
        <v>9730</v>
      </c>
      <c r="BE1915" s="6" t="str">
        <f t="shared" si="911"/>
        <v>=1.969*100000000</v>
      </c>
      <c r="BF1915" s="1">
        <f>1.969*100000000</f>
        <v>196900000</v>
      </c>
      <c r="BG1915" s="8">
        <f t="shared" si="928"/>
        <v>0.38175438596491229</v>
      </c>
      <c r="BH1915" s="6" t="s">
        <v>5503</v>
      </c>
      <c r="BI1915" s="6" t="str">
        <f t="shared" si="912"/>
        <v>=1.425*100000000</v>
      </c>
      <c r="BJ1915" s="1">
        <f>1.425*100000000</f>
        <v>142500000</v>
      </c>
      <c r="BK1915" s="7" t="s">
        <v>6492</v>
      </c>
      <c r="BL1915" s="1" t="str">
        <f t="shared" si="914"/>
        <v>=6804*10000</v>
      </c>
      <c r="BM1915" s="16">
        <f t="shared" si="929"/>
        <v>1.0943562610229276</v>
      </c>
      <c r="BN1915" s="1">
        <f>6804*10000</f>
        <v>68040000</v>
      </c>
    </row>
    <row r="1916" spans="1:66">
      <c r="A1916" s="18"/>
      <c r="B1916">
        <v>603773</v>
      </c>
      <c r="C1916" t="s">
        <v>58</v>
      </c>
      <c r="D1916" s="7">
        <f>-915.7*10000</f>
        <v>-9157000</v>
      </c>
      <c r="E1916" s="7" t="str">
        <f t="shared" si="913"/>
        <v>=-9157000</v>
      </c>
      <c r="F1916" s="1">
        <f>-9157000</f>
        <v>-9157000</v>
      </c>
      <c r="G1916" s="8">
        <f t="shared" si="915"/>
        <v>-12.351183835378704</v>
      </c>
      <c r="H1916" s="7" t="s">
        <v>17130</v>
      </c>
      <c r="I1916" s="6" t="str">
        <f t="shared" si="899"/>
        <v>=80.67*10000</v>
      </c>
      <c r="J1916" s="1">
        <f>80.67*10000</f>
        <v>806700</v>
      </c>
      <c r="K1916" s="10">
        <f t="shared" si="916"/>
        <v>-0.8666611570247934</v>
      </c>
      <c r="L1916" s="7" t="s">
        <v>17131</v>
      </c>
      <c r="M1916" s="6" t="str">
        <f t="shared" si="900"/>
        <v>=605.0*10000</v>
      </c>
      <c r="N1916" s="1">
        <f>605*10000</f>
        <v>6050000</v>
      </c>
      <c r="O1916" s="8">
        <f t="shared" si="917"/>
        <v>-0.52324665090622535</v>
      </c>
      <c r="P1916" s="7" t="s">
        <v>11718</v>
      </c>
      <c r="Q1916" s="6" t="str">
        <f t="shared" si="901"/>
        <v>=1269*10000</v>
      </c>
      <c r="R1916" s="11">
        <f>1269*10000</f>
        <v>12690000</v>
      </c>
      <c r="S1916" s="8">
        <f t="shared" si="918"/>
        <v>-0.36802788844621515</v>
      </c>
      <c r="T1916" s="7" t="s">
        <v>16151</v>
      </c>
      <c r="U1916" s="6" t="str">
        <f t="shared" si="902"/>
        <v>=2008*10000</v>
      </c>
      <c r="V1916" s="1">
        <f>2008*10000</f>
        <v>20080000</v>
      </c>
      <c r="W1916" s="8">
        <f t="shared" si="919"/>
        <v>-2.0009760858955589E-2</v>
      </c>
      <c r="X1916" s="7" t="s">
        <v>17132</v>
      </c>
      <c r="Y1916" s="6" t="str">
        <f t="shared" si="903"/>
        <v>=2049*10000</v>
      </c>
      <c r="Z1916" s="1">
        <f>2049*10000</f>
        <v>20490000</v>
      </c>
      <c r="AA1916" s="8">
        <f t="shared" si="920"/>
        <v>0.65241935483870972</v>
      </c>
      <c r="AB1916" s="7" t="s">
        <v>17133</v>
      </c>
      <c r="AC1916" s="6" t="str">
        <f t="shared" si="904"/>
        <v>=1240*10000</v>
      </c>
      <c r="AD1916" s="1">
        <f>1240*10000</f>
        <v>12400000</v>
      </c>
      <c r="AE1916" s="8">
        <f t="shared" si="921"/>
        <v>-3.4949698189134808</v>
      </c>
      <c r="AF1916" s="7">
        <f>-497*10000</f>
        <v>-4970000</v>
      </c>
      <c r="AG1916" s="6" t="str">
        <f t="shared" si="905"/>
        <v>=-4970000</v>
      </c>
      <c r="AH1916" s="1">
        <f>-4970000</f>
        <v>-4970000</v>
      </c>
      <c r="AI1916" s="8">
        <f t="shared" si="922"/>
        <v>-1.0773661270236612</v>
      </c>
      <c r="AJ1916" s="7" t="s">
        <v>17134</v>
      </c>
      <c r="AK1916" s="6" t="str">
        <f t="shared" si="906"/>
        <v>=6424*10000</v>
      </c>
      <c r="AL1916" s="1">
        <f>6424*10000</f>
        <v>64240000</v>
      </c>
      <c r="AM1916" s="8">
        <f t="shared" si="923"/>
        <v>3.8809831824062092E-2</v>
      </c>
      <c r="AN1916" s="7" t="s">
        <v>17135</v>
      </c>
      <c r="AO1916" s="6" t="str">
        <f t="shared" si="907"/>
        <v>=6184*10000</v>
      </c>
      <c r="AP1916" s="1">
        <f>6184*10000</f>
        <v>61840000</v>
      </c>
      <c r="AQ1916" s="8">
        <f t="shared" si="924"/>
        <v>0.2345777600319425</v>
      </c>
      <c r="AR1916" s="7" t="s">
        <v>16065</v>
      </c>
      <c r="AS1916" s="6" t="str">
        <f t="shared" si="908"/>
        <v>=5009*10000</v>
      </c>
      <c r="AT1916" s="1">
        <f>5009*10000</f>
        <v>50090000</v>
      </c>
      <c r="AU1916" s="8">
        <f t="shared" si="925"/>
        <v>2.6113914924297044</v>
      </c>
      <c r="AV1916" s="7" t="s">
        <v>12188</v>
      </c>
      <c r="AW1916" s="6" t="str">
        <f t="shared" si="909"/>
        <v>=1387*10000</v>
      </c>
      <c r="AX1916" s="1">
        <f>1387*10000</f>
        <v>13870000</v>
      </c>
      <c r="AY1916" s="10">
        <f t="shared" si="926"/>
        <v>-0.92846828261990721</v>
      </c>
      <c r="AZ1916" s="6" t="s">
        <v>5300</v>
      </c>
      <c r="BA1916" s="6" t="str">
        <f t="shared" si="910"/>
        <v>=1.939*100000000</v>
      </c>
      <c r="BB1916" s="1">
        <f>1.939*100000000</f>
        <v>193900000</v>
      </c>
      <c r="BC1916" s="8">
        <f t="shared" si="927"/>
        <v>-5.8737864077669906E-2</v>
      </c>
      <c r="BD1916" s="6" t="s">
        <v>7522</v>
      </c>
      <c r="BE1916" s="6" t="str">
        <f t="shared" si="911"/>
        <v>=2.060*100000000</v>
      </c>
      <c r="BF1916" s="1">
        <f>2.06*100000000</f>
        <v>206000000</v>
      </c>
      <c r="BG1916" s="8">
        <f t="shared" si="928"/>
        <v>0.42265193370165743</v>
      </c>
      <c r="BH1916" s="6" t="s">
        <v>3476</v>
      </c>
      <c r="BI1916" s="6" t="str">
        <f t="shared" si="912"/>
        <v>=1.448*100000000</v>
      </c>
      <c r="BJ1916" s="1">
        <f>1.448*100000000</f>
        <v>144800000</v>
      </c>
      <c r="BK1916" s="7" t="s">
        <v>17136</v>
      </c>
      <c r="BL1916" s="1" t="str">
        <f t="shared" si="914"/>
        <v>=6799*10000</v>
      </c>
      <c r="BM1916" s="16">
        <f t="shared" si="929"/>
        <v>1.1297249595528753</v>
      </c>
      <c r="BN1916" s="1">
        <f>6799*10000</f>
        <v>67990000</v>
      </c>
    </row>
    <row r="1917" spans="1:66">
      <c r="A1917" s="19"/>
      <c r="B1917">
        <v>603773</v>
      </c>
      <c r="C1917" t="s">
        <v>68</v>
      </c>
      <c r="D1917" s="7">
        <f>-1724*10000</f>
        <v>-17240000</v>
      </c>
      <c r="E1917" s="7" t="str">
        <f t="shared" si="913"/>
        <v>=-17240000</v>
      </c>
      <c r="F1917" s="1">
        <f>-17240000</f>
        <v>-17240000</v>
      </c>
      <c r="G1917" s="8">
        <f t="shared" si="915"/>
        <v>3.0517038777908345</v>
      </c>
      <c r="H1917" s="7">
        <f>-425.5*10000</f>
        <v>-4255000</v>
      </c>
      <c r="I1917" s="6" t="str">
        <f t="shared" si="899"/>
        <v>=-4255000</v>
      </c>
      <c r="J1917" s="1">
        <f>-4255000</f>
        <v>-4255000</v>
      </c>
      <c r="K1917" s="10">
        <f t="shared" si="916"/>
        <v>-2.4647160068846814</v>
      </c>
      <c r="L1917" s="7" t="s">
        <v>17137</v>
      </c>
      <c r="M1917" s="6" t="str">
        <f t="shared" si="900"/>
        <v>=290.5*10000</v>
      </c>
      <c r="N1917" s="1">
        <f>290.5*10000</f>
        <v>2905000</v>
      </c>
      <c r="O1917" s="8">
        <f t="shared" si="917"/>
        <v>-0.73373052245646198</v>
      </c>
      <c r="P1917" s="7" t="s">
        <v>17138</v>
      </c>
      <c r="Q1917" s="6" t="str">
        <f t="shared" si="901"/>
        <v>=1091*10000</v>
      </c>
      <c r="R1917" s="11">
        <f>1091*10000</f>
        <v>10910000</v>
      </c>
      <c r="S1917" s="8">
        <f t="shared" si="918"/>
        <v>-0.22678951098511693</v>
      </c>
      <c r="T1917" s="7" t="s">
        <v>17139</v>
      </c>
      <c r="U1917" s="6" t="str">
        <f t="shared" si="902"/>
        <v>=1411*10000</v>
      </c>
      <c r="V1917" s="1">
        <f>1411*10000</f>
        <v>14110000</v>
      </c>
      <c r="W1917" s="8">
        <f t="shared" si="919"/>
        <v>-5.3020134228187916E-2</v>
      </c>
      <c r="X1917" s="7" t="s">
        <v>17140</v>
      </c>
      <c r="Y1917" s="6" t="str">
        <f t="shared" si="903"/>
        <v>=1490*10000</v>
      </c>
      <c r="Z1917" s="1">
        <f>1490*10000</f>
        <v>14900000</v>
      </c>
      <c r="AA1917" s="8">
        <f t="shared" si="920"/>
        <v>0.65243429078407456</v>
      </c>
      <c r="AB1917" s="7" t="s">
        <v>17141</v>
      </c>
      <c r="AC1917" s="6" t="str">
        <f t="shared" si="904"/>
        <v>=901.7*10000</v>
      </c>
      <c r="AD1917" s="1">
        <f>901.7*10000</f>
        <v>9017000</v>
      </c>
      <c r="AE1917" s="8">
        <f t="shared" si="921"/>
        <v>-2.44133631713555</v>
      </c>
      <c r="AF1917" s="7">
        <f>-625.6*10000</f>
        <v>-6256000</v>
      </c>
      <c r="AG1917" s="6" t="str">
        <f t="shared" si="905"/>
        <v>=-6256000</v>
      </c>
      <c r="AH1917" s="1">
        <f>-6256000</f>
        <v>-6256000</v>
      </c>
      <c r="AI1917" s="8">
        <f t="shared" si="922"/>
        <v>-1.1229076620825147</v>
      </c>
      <c r="AJ1917" s="7" t="s">
        <v>17142</v>
      </c>
      <c r="AK1917" s="6" t="str">
        <f t="shared" si="906"/>
        <v>=5090*10000</v>
      </c>
      <c r="AL1917" s="1">
        <f>5090*10000</f>
        <v>50900000</v>
      </c>
      <c r="AM1917" s="8">
        <f t="shared" si="923"/>
        <v>5.339403973509934E-2</v>
      </c>
      <c r="AN1917" s="7" t="s">
        <v>17143</v>
      </c>
      <c r="AO1917" s="6" t="str">
        <f t="shared" si="907"/>
        <v>=4832*10000</v>
      </c>
      <c r="AP1917" s="1">
        <f>4832*10000</f>
        <v>48320000</v>
      </c>
      <c r="AQ1917" s="8">
        <f t="shared" si="924"/>
        <v>0.23108280254777069</v>
      </c>
      <c r="AR1917" s="7" t="s">
        <v>17144</v>
      </c>
      <c r="AS1917" s="6" t="str">
        <f t="shared" si="908"/>
        <v>=3925*10000</v>
      </c>
      <c r="AT1917" s="1">
        <f>3925*10000</f>
        <v>39250000</v>
      </c>
      <c r="AU1917" s="8">
        <f t="shared" si="925"/>
        <v>2.7559808612440193</v>
      </c>
      <c r="AV1917" s="7" t="s">
        <v>17145</v>
      </c>
      <c r="AW1917" s="6" t="str">
        <f t="shared" si="909"/>
        <v>=1045*10000</v>
      </c>
      <c r="AX1917" s="1">
        <f>1045*10000</f>
        <v>10450000</v>
      </c>
      <c r="AY1917" s="10">
        <f t="shared" si="926"/>
        <v>-0.93386075949367087</v>
      </c>
      <c r="AZ1917" s="6" t="s">
        <v>17043</v>
      </c>
      <c r="BA1917" s="6" t="str">
        <f t="shared" si="910"/>
        <v>=1.580*100000000</v>
      </c>
      <c r="BB1917" s="1">
        <f>1.58*100000000</f>
        <v>158000000</v>
      </c>
      <c r="BC1917" s="8">
        <f t="shared" si="927"/>
        <v>-6.674542232722977E-2</v>
      </c>
      <c r="BD1917" s="6" t="s">
        <v>2859</v>
      </c>
      <c r="BE1917" s="6" t="str">
        <f t="shared" si="911"/>
        <v>=1.693*100000000</v>
      </c>
      <c r="BF1917" s="1">
        <f>1.693*100000000</f>
        <v>169300000</v>
      </c>
      <c r="BG1917" s="8">
        <f t="shared" si="928"/>
        <v>0.4286919831223629</v>
      </c>
      <c r="BH1917" s="6" t="s">
        <v>4577</v>
      </c>
      <c r="BI1917" s="6" t="str">
        <f t="shared" si="912"/>
        <v>=1.185*100000000</v>
      </c>
      <c r="BJ1917" s="1">
        <f>1.185*100000000</f>
        <v>118500000</v>
      </c>
      <c r="BK1917" s="7" t="s">
        <v>17146</v>
      </c>
      <c r="BL1917" s="1" t="str">
        <f t="shared" si="914"/>
        <v>=5557*10000</v>
      </c>
      <c r="BM1917" s="16">
        <f t="shared" si="929"/>
        <v>1.1324455641533202</v>
      </c>
      <c r="BN1917" s="1">
        <f>5557*10000</f>
        <v>55570000</v>
      </c>
    </row>
    <row r="1918" spans="1:66">
      <c r="A1918" s="17">
        <v>481</v>
      </c>
      <c r="B1918">
        <v>603776</v>
      </c>
      <c r="C1918" t="s">
        <v>31</v>
      </c>
      <c r="D1918" s="6" t="s">
        <v>7959</v>
      </c>
      <c r="E1918" s="7" t="str">
        <f t="shared" si="913"/>
        <v>=8.733*100000000</v>
      </c>
      <c r="F1918" s="1">
        <f>8.733*100000000</f>
        <v>873300000</v>
      </c>
      <c r="G1918" s="8">
        <f t="shared" si="915"/>
        <v>0.29955357142857142</v>
      </c>
      <c r="H1918" s="6" t="s">
        <v>7246</v>
      </c>
      <c r="I1918" s="6" t="str">
        <f t="shared" si="899"/>
        <v>=6.720*100000000</v>
      </c>
      <c r="J1918" s="1">
        <f>6.72*100000000</f>
        <v>672000000</v>
      </c>
      <c r="K1918" s="10">
        <f t="shared" si="916"/>
        <v>0.54981549815498132</v>
      </c>
      <c r="L1918" s="6" t="s">
        <v>8300</v>
      </c>
      <c r="M1918" s="6" t="str">
        <f t="shared" si="900"/>
        <v>=4.336*100000000</v>
      </c>
      <c r="N1918" s="1">
        <f>4.336*100000000</f>
        <v>433600000.00000006</v>
      </c>
      <c r="O1918" s="8">
        <f t="shared" si="917"/>
        <v>1.1475978207033188</v>
      </c>
      <c r="P1918" s="6" t="s">
        <v>8485</v>
      </c>
      <c r="Q1918" s="6" t="str">
        <f t="shared" si="901"/>
        <v>=2.019*100000000</v>
      </c>
      <c r="R1918" s="11">
        <f>2.019*100000000</f>
        <v>201900000</v>
      </c>
      <c r="S1918" s="8">
        <f t="shared" si="918"/>
        <v>-0.7687285223367698</v>
      </c>
      <c r="T1918" s="6" t="s">
        <v>17147</v>
      </c>
      <c r="U1918" s="6" t="str">
        <f t="shared" si="902"/>
        <v>=8.730*100000000</v>
      </c>
      <c r="V1918" s="1">
        <f>8.73*100000000</f>
        <v>873000000</v>
      </c>
      <c r="W1918" s="8">
        <f t="shared" si="919"/>
        <v>0.32634457611668188</v>
      </c>
      <c r="X1918" s="6" t="s">
        <v>13507</v>
      </c>
      <c r="Y1918" s="6" t="str">
        <f t="shared" si="903"/>
        <v>=6.582*100000000</v>
      </c>
      <c r="Z1918" s="1">
        <f>6.582*100000000</f>
        <v>658200000</v>
      </c>
      <c r="AA1918" s="8">
        <f t="shared" si="920"/>
        <v>0.61719901719901715</v>
      </c>
      <c r="AB1918" s="6" t="s">
        <v>17148</v>
      </c>
      <c r="AC1918" s="6" t="str">
        <f t="shared" si="904"/>
        <v>=4.070*100000000</v>
      </c>
      <c r="AD1918" s="1">
        <f>4.07*100000000</f>
        <v>407000000</v>
      </c>
      <c r="AE1918" s="8">
        <f t="shared" si="921"/>
        <v>1.3404255319148937</v>
      </c>
      <c r="AF1918" s="6" t="s">
        <v>10072</v>
      </c>
      <c r="AG1918" s="6" t="str">
        <f t="shared" si="905"/>
        <v>=1.739*100000000</v>
      </c>
      <c r="AH1918" s="1">
        <f>1.739*100000000</f>
        <v>173900000</v>
      </c>
      <c r="AI1918" s="8">
        <f t="shared" si="922"/>
        <v>-0.81412997007268062</v>
      </c>
      <c r="AJ1918" s="6" t="s">
        <v>3867</v>
      </c>
      <c r="AK1918" s="6" t="str">
        <f t="shared" si="906"/>
        <v>=9.356*100000000</v>
      </c>
      <c r="AL1918" s="1">
        <f>9.356*100000000</f>
        <v>935600000</v>
      </c>
      <c r="AM1918" s="8">
        <f t="shared" si="923"/>
        <v>0.43673218673218672</v>
      </c>
      <c r="AN1918" s="6" t="s">
        <v>17149</v>
      </c>
      <c r="AO1918" s="6" t="str">
        <f t="shared" si="907"/>
        <v>=6.512*100000000</v>
      </c>
      <c r="AP1918" s="1">
        <f>6.512*100000000</f>
        <v>651200000</v>
      </c>
      <c r="AQ1918" s="8">
        <f t="shared" si="924"/>
        <v>0.52291861552853136</v>
      </c>
      <c r="AR1918" s="6" t="s">
        <v>15044</v>
      </c>
      <c r="AS1918" s="6" t="str">
        <f t="shared" si="908"/>
        <v>=4.276*100000000</v>
      </c>
      <c r="AT1918" s="1">
        <f>4.276*100000000</f>
        <v>427600000</v>
      </c>
      <c r="AU1918" s="8">
        <f t="shared" si="925"/>
        <v>1.2732589048378522</v>
      </c>
      <c r="AV1918" s="6" t="s">
        <v>1511</v>
      </c>
      <c r="AW1918" s="6" t="str">
        <f t="shared" si="909"/>
        <v>=1.881*100000000</v>
      </c>
      <c r="AX1918" s="1">
        <f>1.881*100000000</f>
        <v>188100000</v>
      </c>
      <c r="AY1918" s="10">
        <f t="shared" si="926"/>
        <v>-0.78576309794988608</v>
      </c>
      <c r="AZ1918" s="6" t="s">
        <v>8683</v>
      </c>
      <c r="BA1918" s="6" t="str">
        <f t="shared" si="910"/>
        <v>=8.780*100000000</v>
      </c>
      <c r="BB1918" s="1">
        <f>8.78*100000000</f>
        <v>877999999.99999988</v>
      </c>
      <c r="BC1918" s="8">
        <f t="shared" si="927"/>
        <v>0.37703889585947281</v>
      </c>
      <c r="BD1918" s="6" t="s">
        <v>11240</v>
      </c>
      <c r="BE1918" s="6" t="str">
        <f t="shared" si="911"/>
        <v>=6.376*100000000</v>
      </c>
      <c r="BF1918" s="1">
        <f>6.376*100000000</f>
        <v>637600000</v>
      </c>
      <c r="BG1918" s="8">
        <f t="shared" si="928"/>
        <v>0.44547721605078233</v>
      </c>
      <c r="BH1918" s="6" t="s">
        <v>1817</v>
      </c>
      <c r="BI1918" s="6" t="str">
        <f t="shared" si="912"/>
        <v>=4.411*100000000</v>
      </c>
      <c r="BJ1918" s="1">
        <f>4.411*100000000</f>
        <v>441099999.99999994</v>
      </c>
      <c r="BK1918" s="6" t="s">
        <v>5749</v>
      </c>
      <c r="BL1918" s="1" t="str">
        <f t="shared" si="914"/>
        <v>=1.879*100000000</v>
      </c>
      <c r="BM1918" s="16">
        <f t="shared" si="929"/>
        <v>1.3475252794039378</v>
      </c>
      <c r="BN1918" s="1">
        <f>1.879*100000000</f>
        <v>187900000</v>
      </c>
    </row>
    <row r="1919" spans="1:66">
      <c r="A1919" s="18"/>
      <c r="B1919">
        <v>603776</v>
      </c>
      <c r="C1919" t="s">
        <v>48</v>
      </c>
      <c r="D1919" s="7" t="s">
        <v>17150</v>
      </c>
      <c r="E1919" s="7" t="str">
        <f t="shared" si="913"/>
        <v>=6075*10000</v>
      </c>
      <c r="F1919" s="1">
        <f>6075*10000</f>
        <v>60750000</v>
      </c>
      <c r="G1919" s="8">
        <f t="shared" si="915"/>
        <v>-0.56231988472622474</v>
      </c>
      <c r="H1919" s="6" t="s">
        <v>4650</v>
      </c>
      <c r="I1919" s="6" t="str">
        <f t="shared" ref="I1919:I1982" si="930">"="&amp;H1919</f>
        <v>=1.388*100000000</v>
      </c>
      <c r="J1919" s="1">
        <f>1.388*100000000</f>
        <v>138800000</v>
      </c>
      <c r="K1919" s="10">
        <f t="shared" si="916"/>
        <v>0.45783005986766095</v>
      </c>
      <c r="L1919" s="7" t="s">
        <v>17151</v>
      </c>
      <c r="M1919" s="6" t="str">
        <f t="shared" ref="M1919:M1982" si="931">"="&amp;L1919</f>
        <v>=9521*10000</v>
      </c>
      <c r="N1919" s="1">
        <f>9521*10000</f>
        <v>95210000</v>
      </c>
      <c r="O1919" s="8">
        <f t="shared" si="917"/>
        <v>1.8574429771908763</v>
      </c>
      <c r="P1919" s="7" t="s">
        <v>13066</v>
      </c>
      <c r="Q1919" s="6" t="str">
        <f t="shared" ref="Q1919:Q1982" si="932">"="&amp;P1919</f>
        <v>=3332*10000</v>
      </c>
      <c r="R1919" s="11">
        <f>3332*10000</f>
        <v>33320000</v>
      </c>
      <c r="S1919" s="8">
        <f t="shared" si="918"/>
        <v>-0.91421215242018539</v>
      </c>
      <c r="T1919" s="6" t="s">
        <v>17152</v>
      </c>
      <c r="U1919" s="6" t="str">
        <f t="shared" ref="U1919:U1982" si="933">"="&amp;T1919</f>
        <v>=3.884*100000000</v>
      </c>
      <c r="V1919" s="1">
        <f>3.884*100000000</f>
        <v>388400000</v>
      </c>
      <c r="W1919" s="8">
        <f t="shared" si="919"/>
        <v>1.7256140350877194</v>
      </c>
      <c r="X1919" s="6" t="s">
        <v>5503</v>
      </c>
      <c r="Y1919" s="6" t="str">
        <f t="shared" ref="Y1919:Y1982" si="934">"="&amp;X1919</f>
        <v>=1.425*100000000</v>
      </c>
      <c r="Z1919" s="1">
        <f>1.425*100000000</f>
        <v>142500000</v>
      </c>
      <c r="AA1919" s="8">
        <f t="shared" si="920"/>
        <v>0.54037401362014914</v>
      </c>
      <c r="AB1919" s="7" t="s">
        <v>16179</v>
      </c>
      <c r="AC1919" s="6" t="str">
        <f t="shared" ref="AC1919:AC1982" si="935">"="&amp;AB1919</f>
        <v>=9251*10000</v>
      </c>
      <c r="AD1919" s="1">
        <f>9251*10000</f>
        <v>92510000</v>
      </c>
      <c r="AE1919" s="8">
        <f t="shared" si="921"/>
        <v>1.7353636901241869</v>
      </c>
      <c r="AF1919" s="7" t="s">
        <v>17153</v>
      </c>
      <c r="AG1919" s="6" t="str">
        <f t="shared" ref="AG1919:AG1982" si="936">"="&amp;AF1919</f>
        <v>=3382*10000</v>
      </c>
      <c r="AH1919" s="1">
        <f>3382*10000</f>
        <v>33820000</v>
      </c>
      <c r="AI1919" s="8">
        <f t="shared" si="922"/>
        <v>-0.94857055961070558</v>
      </c>
      <c r="AJ1919" s="6" t="s">
        <v>17154</v>
      </c>
      <c r="AK1919" s="6" t="str">
        <f t="shared" ref="AK1919:AK1982" si="937">"="&amp;AJ1919</f>
        <v>=6.576*100000000</v>
      </c>
      <c r="AL1919" s="1">
        <f>6.576*100000000</f>
        <v>657600000</v>
      </c>
      <c r="AM1919" s="8">
        <f t="shared" si="923"/>
        <v>3.8424153166421209</v>
      </c>
      <c r="AN1919" s="6" t="s">
        <v>6046</v>
      </c>
      <c r="AO1919" s="6" t="str">
        <f t="shared" ref="AO1919:AO1982" si="938">"="&amp;AN1919</f>
        <v>=1.358*100000000</v>
      </c>
      <c r="AP1919" s="1">
        <f>1.358*100000000</f>
        <v>135800000</v>
      </c>
      <c r="AQ1919" s="8">
        <f t="shared" si="924"/>
        <v>0.64665939129380379</v>
      </c>
      <c r="AR1919" s="7" t="s">
        <v>17155</v>
      </c>
      <c r="AS1919" s="6" t="str">
        <f t="shared" ref="AS1919:AS1982" si="939">"="&amp;AR1919</f>
        <v>=8247*10000</v>
      </c>
      <c r="AT1919" s="1">
        <f>8247*10000</f>
        <v>82470000</v>
      </c>
      <c r="AU1919" s="8">
        <f t="shared" si="925"/>
        <v>1.594212016357345</v>
      </c>
      <c r="AV1919" s="7" t="s">
        <v>15779</v>
      </c>
      <c r="AW1919" s="6" t="str">
        <f t="shared" ref="AW1919:AW1982" si="940">"="&amp;AV1919</f>
        <v>=3179*10000</v>
      </c>
      <c r="AX1919" s="1">
        <f>3179*10000</f>
        <v>31790000</v>
      </c>
      <c r="AY1919" s="10">
        <f t="shared" si="926"/>
        <v>-0.79777353689567432</v>
      </c>
      <c r="AZ1919" s="6" t="s">
        <v>9666</v>
      </c>
      <c r="BA1919" s="6" t="str">
        <f t="shared" ref="BA1919:BA1982" si="941">"="&amp;AZ1919</f>
        <v>=1.572*100000000</v>
      </c>
      <c r="BB1919" s="1">
        <f>1.572*100000000</f>
        <v>157200000</v>
      </c>
      <c r="BC1919" s="8">
        <f t="shared" si="927"/>
        <v>0.30132450331125826</v>
      </c>
      <c r="BD1919" s="6" t="s">
        <v>10377</v>
      </c>
      <c r="BE1919" s="6" t="str">
        <f t="shared" ref="BE1919:BE1982" si="942">"="&amp;BD1919</f>
        <v>=1.208*100000000</v>
      </c>
      <c r="BF1919" s="1">
        <f>1.208*100000000</f>
        <v>120800000</v>
      </c>
      <c r="BG1919" s="8">
        <f t="shared" si="928"/>
        <v>0.39847186848807592</v>
      </c>
      <c r="BH1919" s="7" t="s">
        <v>9552</v>
      </c>
      <c r="BI1919" s="6" t="str">
        <f t="shared" ref="BI1919:BI1982" si="943">"="&amp;BH1919</f>
        <v>=8638*10000</v>
      </c>
      <c r="BJ1919" s="1">
        <f>8638*10000</f>
        <v>86380000</v>
      </c>
      <c r="BK1919" s="7" t="s">
        <v>17156</v>
      </c>
      <c r="BL1919" s="1" t="str">
        <f t="shared" si="914"/>
        <v>=3650*10000</v>
      </c>
      <c r="BM1919" s="16">
        <f t="shared" si="929"/>
        <v>1.3665753424657534</v>
      </c>
      <c r="BN1919" s="1">
        <f>3650*10000</f>
        <v>36500000</v>
      </c>
    </row>
    <row r="1920" spans="1:66">
      <c r="A1920" s="18"/>
      <c r="B1920">
        <v>603776</v>
      </c>
      <c r="C1920" t="s">
        <v>58</v>
      </c>
      <c r="D1920" s="7" t="s">
        <v>16667</v>
      </c>
      <c r="E1920" s="7" t="str">
        <f t="shared" si="913"/>
        <v>=4831*10000</v>
      </c>
      <c r="F1920" s="1">
        <f>4831*10000</f>
        <v>48310000</v>
      </c>
      <c r="G1920" s="8">
        <f t="shared" si="915"/>
        <v>-0.63401515151515153</v>
      </c>
      <c r="H1920" s="6" t="s">
        <v>5000</v>
      </c>
      <c r="I1920" s="6" t="str">
        <f t="shared" si="930"/>
        <v>=1.320*100000000</v>
      </c>
      <c r="J1920" s="1">
        <f>1.32*100000000</f>
        <v>132000000</v>
      </c>
      <c r="K1920" s="10">
        <f t="shared" si="916"/>
        <v>0.39726897427754843</v>
      </c>
      <c r="L1920" s="7" t="s">
        <v>17157</v>
      </c>
      <c r="M1920" s="6" t="str">
        <f t="shared" si="931"/>
        <v>=9447*10000</v>
      </c>
      <c r="N1920" s="1">
        <f>9447*10000</f>
        <v>94470000</v>
      </c>
      <c r="O1920" s="8">
        <f t="shared" si="917"/>
        <v>1.8454819277108434</v>
      </c>
      <c r="P1920" s="7" t="s">
        <v>17158</v>
      </c>
      <c r="Q1920" s="6" t="str">
        <f t="shared" si="932"/>
        <v>=3320*10000</v>
      </c>
      <c r="R1920" s="11">
        <f>3320*10000</f>
        <v>33200000</v>
      </c>
      <c r="S1920" s="8">
        <f t="shared" si="918"/>
        <v>-0.9140341791817711</v>
      </c>
      <c r="T1920" s="6" t="s">
        <v>5204</v>
      </c>
      <c r="U1920" s="6" t="str">
        <f t="shared" si="933"/>
        <v>=3.862*100000000</v>
      </c>
      <c r="V1920" s="1">
        <f>3.862*100000000</f>
        <v>386200000</v>
      </c>
      <c r="W1920" s="8">
        <f t="shared" si="919"/>
        <v>1.7178043631245601</v>
      </c>
      <c r="X1920" s="6" t="s">
        <v>8493</v>
      </c>
      <c r="Y1920" s="6" t="str">
        <f t="shared" si="934"/>
        <v>=1.421*100000000</v>
      </c>
      <c r="Z1920" s="1">
        <f>1.421*100000000</f>
        <v>142100000</v>
      </c>
      <c r="AA1920" s="8">
        <f t="shared" si="920"/>
        <v>0.53971177809080073</v>
      </c>
      <c r="AB1920" s="7" t="s">
        <v>11263</v>
      </c>
      <c r="AC1920" s="6" t="str">
        <f t="shared" si="935"/>
        <v>=9229*10000</v>
      </c>
      <c r="AD1920" s="1">
        <f>9229*10000</f>
        <v>92290000</v>
      </c>
      <c r="AE1920" s="8">
        <f t="shared" si="921"/>
        <v>1.732899022801303</v>
      </c>
      <c r="AF1920" s="7" t="s">
        <v>17159</v>
      </c>
      <c r="AG1920" s="6" t="str">
        <f t="shared" si="936"/>
        <v>=3377*10000</v>
      </c>
      <c r="AH1920" s="1">
        <f>3377*10000</f>
        <v>33770000</v>
      </c>
      <c r="AI1920" s="8">
        <f t="shared" si="922"/>
        <v>-0.94857621440536011</v>
      </c>
      <c r="AJ1920" s="6" t="s">
        <v>17160</v>
      </c>
      <c r="AK1920" s="6" t="str">
        <f t="shared" si="937"/>
        <v>=6.567*100000000</v>
      </c>
      <c r="AL1920" s="1">
        <f>6.567*100000000</f>
        <v>656700000</v>
      </c>
      <c r="AM1920" s="8">
        <f t="shared" si="923"/>
        <v>3.8464944649446493</v>
      </c>
      <c r="AN1920" s="6" t="s">
        <v>6812</v>
      </c>
      <c r="AO1920" s="6" t="str">
        <f t="shared" si="938"/>
        <v>=1.355*100000000</v>
      </c>
      <c r="AP1920" s="1">
        <f>1.355*100000000</f>
        <v>135500000</v>
      </c>
      <c r="AQ1920" s="8">
        <f t="shared" si="924"/>
        <v>0.64902032371911889</v>
      </c>
      <c r="AR1920" s="7" t="s">
        <v>15511</v>
      </c>
      <c r="AS1920" s="6" t="str">
        <f t="shared" si="939"/>
        <v>=8217*10000</v>
      </c>
      <c r="AT1920" s="1">
        <f>8217*10000</f>
        <v>82170000</v>
      </c>
      <c r="AU1920" s="8">
        <f t="shared" si="925"/>
        <v>1.5702220832030027</v>
      </c>
      <c r="AV1920" s="7" t="s">
        <v>11481</v>
      </c>
      <c r="AW1920" s="6" t="str">
        <f t="shared" si="940"/>
        <v>=3197*10000</v>
      </c>
      <c r="AX1920" s="1">
        <f>3197*10000</f>
        <v>31970000</v>
      </c>
      <c r="AY1920" s="10">
        <f t="shared" si="926"/>
        <v>-0.79701587301587307</v>
      </c>
      <c r="AZ1920" s="6" t="s">
        <v>11266</v>
      </c>
      <c r="BA1920" s="6" t="str">
        <f t="shared" si="941"/>
        <v>=1.575*100000000</v>
      </c>
      <c r="BB1920" s="1">
        <f>1.575*100000000</f>
        <v>157500000</v>
      </c>
      <c r="BC1920" s="8">
        <f t="shared" si="927"/>
        <v>0.30165289256198347</v>
      </c>
      <c r="BD1920" s="6" t="s">
        <v>16424</v>
      </c>
      <c r="BE1920" s="6" t="str">
        <f t="shared" si="942"/>
        <v>=1.210*100000000</v>
      </c>
      <c r="BF1920" s="1">
        <f>1.21*100000000</f>
        <v>121000000</v>
      </c>
      <c r="BG1920" s="8">
        <f t="shared" si="928"/>
        <v>0.39916743755781686</v>
      </c>
      <c r="BH1920" s="7" t="s">
        <v>17161</v>
      </c>
      <c r="BI1920" s="6" t="str">
        <f t="shared" si="943"/>
        <v>=8648*10000</v>
      </c>
      <c r="BJ1920" s="1">
        <f>8648*10000</f>
        <v>86480000</v>
      </c>
      <c r="BK1920" s="7" t="s">
        <v>17162</v>
      </c>
      <c r="BL1920" s="1" t="str">
        <f t="shared" si="914"/>
        <v>=3662*10000</v>
      </c>
      <c r="BM1920" s="16">
        <f t="shared" si="929"/>
        <v>1.3615510649918077</v>
      </c>
      <c r="BN1920" s="1">
        <f>3662*10000</f>
        <v>36620000</v>
      </c>
    </row>
    <row r="1921" spans="1:66">
      <c r="A1921" s="19"/>
      <c r="B1921">
        <v>603776</v>
      </c>
      <c r="C1921" t="s">
        <v>68</v>
      </c>
      <c r="D1921" s="7" t="s">
        <v>9992</v>
      </c>
      <c r="E1921" s="7" t="str">
        <f t="shared" si="913"/>
        <v>=4321*10000</v>
      </c>
      <c r="F1921" s="1">
        <f>4321*10000</f>
        <v>43210000</v>
      </c>
      <c r="G1921" s="8">
        <f t="shared" si="915"/>
        <v>-0.6053881278538813</v>
      </c>
      <c r="H1921" s="6" t="s">
        <v>6533</v>
      </c>
      <c r="I1921" s="6" t="str">
        <f t="shared" si="930"/>
        <v>=1.095*100000000</v>
      </c>
      <c r="J1921" s="1">
        <f>1.095*100000000</f>
        <v>109500000</v>
      </c>
      <c r="K1921" s="10">
        <f t="shared" si="916"/>
        <v>0.34603564843269824</v>
      </c>
      <c r="L1921" s="7" t="s">
        <v>17163</v>
      </c>
      <c r="M1921" s="6" t="str">
        <f t="shared" si="931"/>
        <v>=8135*10000</v>
      </c>
      <c r="N1921" s="1">
        <f>8135*10000</f>
        <v>81350000</v>
      </c>
      <c r="O1921" s="8">
        <f t="shared" si="917"/>
        <v>1.8178039487357118</v>
      </c>
      <c r="P1921" s="7" t="s">
        <v>17164</v>
      </c>
      <c r="Q1921" s="6" t="str">
        <f t="shared" si="932"/>
        <v>=2887*10000</v>
      </c>
      <c r="R1921" s="11">
        <f>2887*10000</f>
        <v>28870000</v>
      </c>
      <c r="S1921" s="8">
        <f t="shared" si="918"/>
        <v>-0.94154687183640418</v>
      </c>
      <c r="T1921" s="6" t="s">
        <v>8606</v>
      </c>
      <c r="U1921" s="6" t="str">
        <f t="shared" si="933"/>
        <v>=4.939*100000000</v>
      </c>
      <c r="V1921" s="1">
        <f>4.939*100000000</f>
        <v>493900000</v>
      </c>
      <c r="W1921" s="8">
        <f t="shared" si="919"/>
        <v>3.5187557182067706</v>
      </c>
      <c r="X1921" s="6" t="s">
        <v>10492</v>
      </c>
      <c r="Y1921" s="6" t="str">
        <f t="shared" si="934"/>
        <v>=1.093*100000000</v>
      </c>
      <c r="Z1921" s="1">
        <f>1.093*100000000</f>
        <v>109300000</v>
      </c>
      <c r="AA1921" s="8">
        <f t="shared" si="920"/>
        <v>0.54160789844851909</v>
      </c>
      <c r="AB1921" s="7" t="s">
        <v>17165</v>
      </c>
      <c r="AC1921" s="6" t="str">
        <f t="shared" si="935"/>
        <v>=7090*10000</v>
      </c>
      <c r="AD1921" s="1">
        <f>7090*10000</f>
        <v>70900000</v>
      </c>
      <c r="AE1921" s="8">
        <f t="shared" si="921"/>
        <v>1.524928774928775</v>
      </c>
      <c r="AF1921" s="7" t="s">
        <v>17166</v>
      </c>
      <c r="AG1921" s="6" t="str">
        <f t="shared" si="936"/>
        <v>=2808*10000</v>
      </c>
      <c r="AH1921" s="1">
        <f>2808*10000</f>
        <v>28080000</v>
      </c>
      <c r="AI1921" s="8">
        <f t="shared" si="922"/>
        <v>-0.94381752701080435</v>
      </c>
      <c r="AJ1921" s="6" t="s">
        <v>9983</v>
      </c>
      <c r="AK1921" s="6" t="str">
        <f t="shared" si="937"/>
        <v>=4.998*100000000</v>
      </c>
      <c r="AL1921" s="1">
        <f>4.998*100000000</f>
        <v>499800000</v>
      </c>
      <c r="AM1921" s="8">
        <f t="shared" si="923"/>
        <v>3.6493023255813952</v>
      </c>
      <c r="AN1921" s="6" t="s">
        <v>2150</v>
      </c>
      <c r="AO1921" s="6" t="str">
        <f t="shared" si="938"/>
        <v>=1.075*100000000</v>
      </c>
      <c r="AP1921" s="1">
        <f>1.075*100000000</f>
        <v>107500000</v>
      </c>
      <c r="AQ1921" s="8">
        <f t="shared" si="924"/>
        <v>0.64700474950206832</v>
      </c>
      <c r="AR1921" s="7" t="s">
        <v>7307</v>
      </c>
      <c r="AS1921" s="6" t="str">
        <f t="shared" si="939"/>
        <v>=6527*10000</v>
      </c>
      <c r="AT1921" s="1">
        <f>6527*10000</f>
        <v>65270000</v>
      </c>
      <c r="AU1921" s="8">
        <f t="shared" si="925"/>
        <v>1.3335716839470861</v>
      </c>
      <c r="AV1921" s="7" t="s">
        <v>16513</v>
      </c>
      <c r="AW1921" s="6" t="str">
        <f t="shared" si="940"/>
        <v>=2797*10000</v>
      </c>
      <c r="AX1921" s="1">
        <f>2797*10000</f>
        <v>27970000</v>
      </c>
      <c r="AY1921" s="10">
        <f t="shared" si="926"/>
        <v>-0.77241659886086256</v>
      </c>
      <c r="AZ1921" s="6" t="s">
        <v>10561</v>
      </c>
      <c r="BA1921" s="6" t="str">
        <f t="shared" si="941"/>
        <v>=1.229*100000000</v>
      </c>
      <c r="BB1921" s="1">
        <f>1.229*100000000</f>
        <v>122900000.00000001</v>
      </c>
      <c r="BC1921" s="8">
        <f t="shared" si="927"/>
        <v>0.32678397927237413</v>
      </c>
      <c r="BD1921" s="7" t="s">
        <v>1047</v>
      </c>
      <c r="BE1921" s="6" t="str">
        <f t="shared" si="942"/>
        <v>=9263*10000</v>
      </c>
      <c r="BF1921" s="1">
        <f>9263*10000</f>
        <v>92630000</v>
      </c>
      <c r="BG1921" s="8">
        <f t="shared" si="928"/>
        <v>0.39125863622709522</v>
      </c>
      <c r="BH1921" s="7" t="s">
        <v>17167</v>
      </c>
      <c r="BI1921" s="6" t="str">
        <f t="shared" si="943"/>
        <v>=6658*10000</v>
      </c>
      <c r="BJ1921" s="1">
        <f>6658*10000</f>
        <v>66580000</v>
      </c>
      <c r="BK1921" s="7" t="s">
        <v>17168</v>
      </c>
      <c r="BL1921" s="1" t="str">
        <f t="shared" si="914"/>
        <v>=2789*10000</v>
      </c>
      <c r="BM1921" s="16">
        <f t="shared" si="929"/>
        <v>1.3872355683040516</v>
      </c>
      <c r="BN1921" s="1">
        <f>2789*10000</f>
        <v>27890000</v>
      </c>
    </row>
    <row r="1922" spans="1:66">
      <c r="A1922" s="17">
        <v>482</v>
      </c>
      <c r="B1922">
        <v>603806</v>
      </c>
      <c r="C1922" t="s">
        <v>31</v>
      </c>
      <c r="D1922" s="6" t="s">
        <v>6272</v>
      </c>
      <c r="E1922" s="7" t="str">
        <f t="shared" ref="E1922:E1985" si="944">"="&amp;D1922</f>
        <v>=128.6*100000000</v>
      </c>
      <c r="F1922" s="1">
        <f>128.6*100000000</f>
        <v>12860000000</v>
      </c>
      <c r="G1922" s="8">
        <f t="shared" si="915"/>
        <v>0.44008958566629341</v>
      </c>
      <c r="H1922" s="6" t="s">
        <v>857</v>
      </c>
      <c r="I1922" s="6" t="str">
        <f t="shared" si="930"/>
        <v>=89.30*100000000</v>
      </c>
      <c r="J1922" s="1">
        <f>89.3*100000000</f>
        <v>8930000000</v>
      </c>
      <c r="K1922" s="10">
        <f t="shared" si="916"/>
        <v>0.56228131560531835</v>
      </c>
      <c r="L1922" s="6" t="s">
        <v>2460</v>
      </c>
      <c r="M1922" s="6" t="str">
        <f t="shared" si="931"/>
        <v>=57.16*100000000</v>
      </c>
      <c r="N1922" s="1">
        <f>57.16*100000000</f>
        <v>5716000000</v>
      </c>
      <c r="O1922" s="8">
        <f t="shared" si="917"/>
        <v>1.031272210376688</v>
      </c>
      <c r="P1922" s="6" t="s">
        <v>1488</v>
      </c>
      <c r="Q1922" s="6" t="str">
        <f t="shared" si="932"/>
        <v>=28.14*100000000</v>
      </c>
      <c r="R1922" s="11">
        <f>28.14*100000000</f>
        <v>2814000000</v>
      </c>
      <c r="S1922" s="8">
        <f t="shared" si="918"/>
        <v>-0.66472060050041704</v>
      </c>
      <c r="T1922" s="6" t="s">
        <v>7375</v>
      </c>
      <c r="U1922" s="6" t="str">
        <f t="shared" si="933"/>
        <v>=83.93*100000000</v>
      </c>
      <c r="V1922" s="1">
        <f>83.93*100000000</f>
        <v>8393000000.000001</v>
      </c>
      <c r="W1922" s="8">
        <f t="shared" si="919"/>
        <v>0.53464984457853371</v>
      </c>
      <c r="X1922" s="6" t="s">
        <v>17169</v>
      </c>
      <c r="Y1922" s="6" t="str">
        <f t="shared" si="934"/>
        <v>=54.69*100000000</v>
      </c>
      <c r="Z1922" s="1">
        <f>54.69*100000000</f>
        <v>5469000000</v>
      </c>
      <c r="AA1922" s="8">
        <f t="shared" si="920"/>
        <v>0.61996445497630337</v>
      </c>
      <c r="AB1922" s="6" t="s">
        <v>8998</v>
      </c>
      <c r="AC1922" s="6" t="str">
        <f t="shared" si="935"/>
        <v>=33.76*100000000</v>
      </c>
      <c r="AD1922" s="1">
        <f>33.76*100000000</f>
        <v>3376000000</v>
      </c>
      <c r="AE1922" s="8">
        <f t="shared" si="921"/>
        <v>1.2372432074221338</v>
      </c>
      <c r="AF1922" s="6" t="s">
        <v>7176</v>
      </c>
      <c r="AG1922" s="6" t="str">
        <f t="shared" si="936"/>
        <v>=15.09*100000000</v>
      </c>
      <c r="AH1922" s="1">
        <f>15.09*100000000</f>
        <v>1509000000</v>
      </c>
      <c r="AI1922" s="8">
        <f t="shared" si="922"/>
        <v>-0.76340545625587963</v>
      </c>
      <c r="AJ1922" s="6" t="s">
        <v>302</v>
      </c>
      <c r="AK1922" s="6" t="str">
        <f t="shared" si="937"/>
        <v>=63.78*100000000</v>
      </c>
      <c r="AL1922" s="1">
        <f>63.78*100000000</f>
        <v>6378000000</v>
      </c>
      <c r="AM1922" s="8">
        <f t="shared" si="923"/>
        <v>0.38923981703332605</v>
      </c>
      <c r="AN1922" s="6" t="s">
        <v>17170</v>
      </c>
      <c r="AO1922" s="6" t="str">
        <f t="shared" si="938"/>
        <v>=45.91*100000000</v>
      </c>
      <c r="AP1922" s="1">
        <f>45.91*100000000</f>
        <v>4591000000</v>
      </c>
      <c r="AQ1922" s="8">
        <f t="shared" si="924"/>
        <v>0.54112118160456524</v>
      </c>
      <c r="AR1922" s="6" t="s">
        <v>16957</v>
      </c>
      <c r="AS1922" s="6" t="str">
        <f t="shared" si="939"/>
        <v>=29.79*100000000</v>
      </c>
      <c r="AT1922" s="1">
        <f>29.79*100000000</f>
        <v>2979000000</v>
      </c>
      <c r="AU1922" s="8">
        <f t="shared" si="925"/>
        <v>0.8445820433436535</v>
      </c>
      <c r="AV1922" s="6" t="s">
        <v>4541</v>
      </c>
      <c r="AW1922" s="6" t="str">
        <f t="shared" si="940"/>
        <v>=16.15*100000000</v>
      </c>
      <c r="AX1922" s="1">
        <f>16.15*100000000</f>
        <v>1614999999.9999998</v>
      </c>
      <c r="AY1922" s="10">
        <f t="shared" si="926"/>
        <v>-0.66424116424116419</v>
      </c>
      <c r="AZ1922" s="6" t="s">
        <v>17171</v>
      </c>
      <c r="BA1922" s="6" t="str">
        <f t="shared" si="941"/>
        <v>=48.10*100000000</v>
      </c>
      <c r="BB1922" s="1">
        <f>48.1*100000000</f>
        <v>4810000000</v>
      </c>
      <c r="BC1922" s="8">
        <f t="shared" si="927"/>
        <v>0.4101436528877162</v>
      </c>
      <c r="BD1922" s="6" t="s">
        <v>12839</v>
      </c>
      <c r="BE1922" s="6" t="str">
        <f t="shared" si="942"/>
        <v>=34.11*100000000</v>
      </c>
      <c r="BF1922" s="1">
        <f>34.11*100000000</f>
        <v>3411000000</v>
      </c>
      <c r="BG1922" s="8">
        <f t="shared" si="928"/>
        <v>0.55824577432617639</v>
      </c>
      <c r="BH1922" s="6" t="s">
        <v>3062</v>
      </c>
      <c r="BI1922" s="6" t="str">
        <f t="shared" si="943"/>
        <v>=21.89*100000000</v>
      </c>
      <c r="BJ1922" s="1">
        <f>21.89*100000000</f>
        <v>2189000000</v>
      </c>
      <c r="BK1922" s="6" t="s">
        <v>927</v>
      </c>
      <c r="BL1922" s="1" t="str">
        <f t="shared" ref="BL1922:BL1985" si="945">"="&amp;BK1922</f>
        <v>=10.60*100000000</v>
      </c>
      <c r="BM1922" s="16">
        <f t="shared" si="929"/>
        <v>1.0650943396226416</v>
      </c>
      <c r="BN1922" s="1">
        <f>10.6*100000000</f>
        <v>1060000000</v>
      </c>
    </row>
    <row r="1923" spans="1:66">
      <c r="A1923" s="18"/>
      <c r="B1923">
        <v>603806</v>
      </c>
      <c r="C1923" t="s">
        <v>48</v>
      </c>
      <c r="D1923" s="6" t="s">
        <v>7551</v>
      </c>
      <c r="E1923" s="7" t="str">
        <f t="shared" si="944"/>
        <v>=24.71*100000000</v>
      </c>
      <c r="F1923" s="1">
        <f>24.71*100000000</f>
        <v>2471000000</v>
      </c>
      <c r="G1923" s="8">
        <f t="shared" ref="G1923:G1986" si="946">(F1923-J1923)/J1923</f>
        <v>0.65284280936454853</v>
      </c>
      <c r="H1923" s="6" t="s">
        <v>4714</v>
      </c>
      <c r="I1923" s="6" t="str">
        <f t="shared" si="930"/>
        <v>=14.95*100000000</v>
      </c>
      <c r="J1923" s="1">
        <f>14.95*100000000</f>
        <v>1495000000</v>
      </c>
      <c r="K1923" s="10">
        <f t="shared" ref="K1923:K1986" si="947">(J1923-N1923)/N1923</f>
        <v>0.4224548049476689</v>
      </c>
      <c r="L1923" s="6" t="s">
        <v>7500</v>
      </c>
      <c r="M1923" s="6" t="str">
        <f t="shared" si="931"/>
        <v>=10.51*100000000</v>
      </c>
      <c r="N1923" s="1">
        <f>10.51*100000000</f>
        <v>1051000000</v>
      </c>
      <c r="O1923" s="8">
        <f t="shared" ref="O1923:O1986" si="948">(N1923-R1923)/R1923</f>
        <v>0.85002640380214756</v>
      </c>
      <c r="P1923" s="6" t="s">
        <v>17172</v>
      </c>
      <c r="Q1923" s="6" t="str">
        <f t="shared" si="932"/>
        <v>=5.681*100000000</v>
      </c>
      <c r="R1923" s="11">
        <f>5.681*100000000</f>
        <v>568100000</v>
      </c>
      <c r="S1923" s="8">
        <f t="shared" ref="S1923:S1986" si="949">(R1923-V1923)/V1923</f>
        <v>-0.68262569832402231</v>
      </c>
      <c r="T1923" s="6" t="s">
        <v>10753</v>
      </c>
      <c r="U1923" s="6" t="str">
        <f t="shared" si="933"/>
        <v>=17.90*100000000</v>
      </c>
      <c r="V1923" s="1">
        <f>17.9*100000000</f>
        <v>1789999999.9999998</v>
      </c>
      <c r="W1923" s="8">
        <f t="shared" ref="W1923:W1986" si="950">(V1923-Z1923)/Z1923</f>
        <v>0.76528599605522662</v>
      </c>
      <c r="X1923" s="6" t="s">
        <v>4629</v>
      </c>
      <c r="Y1923" s="6" t="str">
        <f t="shared" si="934"/>
        <v>=10.14*100000000</v>
      </c>
      <c r="Z1923" s="1">
        <f>10.14*100000000</f>
        <v>1014000000</v>
      </c>
      <c r="AA1923" s="8">
        <f t="shared" ref="AA1923:AA1986" si="951">(Z1923-AD1923)/AD1923</f>
        <v>0.90637337845459676</v>
      </c>
      <c r="AB1923" s="6" t="s">
        <v>1690</v>
      </c>
      <c r="AC1923" s="6" t="str">
        <f t="shared" si="935"/>
        <v>=5.319*100000000</v>
      </c>
      <c r="AD1923" s="1">
        <f>5.319*100000000</f>
        <v>531900000</v>
      </c>
      <c r="AE1923" s="8">
        <f t="shared" ref="AE1923:AE1986" si="952">(AD1923-AH1923)/AH1923</f>
        <v>1.8986376021798366</v>
      </c>
      <c r="AF1923" s="6" t="s">
        <v>2747</v>
      </c>
      <c r="AG1923" s="6" t="str">
        <f t="shared" si="936"/>
        <v>=1.835*100000000</v>
      </c>
      <c r="AH1923" s="1">
        <f>1.835*100000000</f>
        <v>183500000</v>
      </c>
      <c r="AI1923" s="8">
        <f t="shared" ref="AI1923:AI1986" si="953">(AH1923-AL1923)/AL1923</f>
        <v>-0.83226691042047529</v>
      </c>
      <c r="AJ1923" s="6" t="s">
        <v>159</v>
      </c>
      <c r="AK1923" s="6" t="str">
        <f t="shared" si="937"/>
        <v>=10.94*100000000</v>
      </c>
      <c r="AL1923" s="1">
        <f>10.94*100000000</f>
        <v>1094000000</v>
      </c>
      <c r="AM1923" s="8">
        <f t="shared" ref="AM1923:AM1986" si="954">(AL1923-AP1923)/AP1923</f>
        <v>0.57750540735400147</v>
      </c>
      <c r="AN1923" s="6" t="s">
        <v>1529</v>
      </c>
      <c r="AO1923" s="6" t="str">
        <f t="shared" si="938"/>
        <v>=6.935*100000000</v>
      </c>
      <c r="AP1923" s="1">
        <f>6.935*100000000</f>
        <v>693500000</v>
      </c>
      <c r="AQ1923" s="8">
        <f t="shared" ref="AQ1923:AQ1986" si="955">(AP1923-AT1923)/AT1923</f>
        <v>0.48628375482211728</v>
      </c>
      <c r="AR1923" s="6" t="s">
        <v>10130</v>
      </c>
      <c r="AS1923" s="6" t="str">
        <f t="shared" si="939"/>
        <v>=4.666*100000000</v>
      </c>
      <c r="AT1923" s="1">
        <f>4.666*100000000</f>
        <v>466600000.00000006</v>
      </c>
      <c r="AU1923" s="8">
        <f t="shared" ref="AU1923:AU1986" si="956">(AT1923-AX1923)/AX1923</f>
        <v>0.8471892319873322</v>
      </c>
      <c r="AV1923" s="6" t="s">
        <v>13424</v>
      </c>
      <c r="AW1923" s="6" t="str">
        <f t="shared" si="940"/>
        <v>=2.526*100000000</v>
      </c>
      <c r="AX1923" s="1">
        <f>2.526*100000000</f>
        <v>252599999.99999997</v>
      </c>
      <c r="AY1923" s="10">
        <f t="shared" ref="AY1923:AY1986" si="957">(AX1923-BB1923)/BB1923</f>
        <v>-0.70573159366262816</v>
      </c>
      <c r="AZ1923" s="6" t="s">
        <v>17173</v>
      </c>
      <c r="BA1923" s="6" t="str">
        <f t="shared" si="941"/>
        <v>=8.584*100000000</v>
      </c>
      <c r="BB1923" s="1">
        <f>8.584*100000000</f>
        <v>858400000</v>
      </c>
      <c r="BC1923" s="8">
        <f t="shared" ref="BC1923:BC1986" si="958">(BB1923-BF1923)/BF1923</f>
        <v>1.1122047244094488</v>
      </c>
      <c r="BD1923" s="6" t="s">
        <v>114</v>
      </c>
      <c r="BE1923" s="6" t="str">
        <f t="shared" si="942"/>
        <v>=4.064*100000000</v>
      </c>
      <c r="BF1923" s="1">
        <f>4.064*100000000</f>
        <v>406400000</v>
      </c>
      <c r="BG1923" s="8">
        <f t="shared" ref="BG1923:BG1986" si="959">(BF1923-BJ1923)/BJ1923</f>
        <v>0.53939393939393943</v>
      </c>
      <c r="BH1923" s="6" t="s">
        <v>17174</v>
      </c>
      <c r="BI1923" s="6" t="str">
        <f t="shared" si="943"/>
        <v>=2.640*100000000</v>
      </c>
      <c r="BJ1923" s="1">
        <f>2.64*100000000</f>
        <v>264000000</v>
      </c>
      <c r="BK1923" s="6" t="s">
        <v>15773</v>
      </c>
      <c r="BL1923" s="1" t="str">
        <f t="shared" si="945"/>
        <v>=1.205*100000000</v>
      </c>
      <c r="BM1923" s="16">
        <f t="shared" ref="BM1923:BM1986" si="960">(BJ1923-BN1923)/BN1923</f>
        <v>1.1908713692946058</v>
      </c>
      <c r="BN1923" s="1">
        <f>1.205*100000000</f>
        <v>120500000</v>
      </c>
    </row>
    <row r="1924" spans="1:66">
      <c r="A1924" s="18"/>
      <c r="B1924">
        <v>603806</v>
      </c>
      <c r="C1924" t="s">
        <v>58</v>
      </c>
      <c r="D1924" s="6" t="s">
        <v>12903</v>
      </c>
      <c r="E1924" s="7" t="str">
        <f t="shared" si="944"/>
        <v>=24.69*100000000</v>
      </c>
      <c r="F1924" s="1">
        <f>24.69*100000000</f>
        <v>2469000000</v>
      </c>
      <c r="G1924" s="8">
        <f t="shared" si="946"/>
        <v>0.6537173476222371</v>
      </c>
      <c r="H1924" s="6" t="s">
        <v>9115</v>
      </c>
      <c r="I1924" s="6" t="str">
        <f t="shared" si="930"/>
        <v>=14.93*100000000</v>
      </c>
      <c r="J1924" s="1">
        <f>14.93*100000000</f>
        <v>1493000000</v>
      </c>
      <c r="K1924" s="10">
        <f t="shared" si="947"/>
        <v>0.42055185537583256</v>
      </c>
      <c r="L1924" s="6" t="s">
        <v>7500</v>
      </c>
      <c r="M1924" s="6" t="str">
        <f t="shared" si="931"/>
        <v>=10.51*100000000</v>
      </c>
      <c r="N1924" s="1">
        <f>10.51*100000000</f>
        <v>1051000000</v>
      </c>
      <c r="O1924" s="8">
        <f t="shared" si="948"/>
        <v>0.85198237885462558</v>
      </c>
      <c r="P1924" s="6" t="s">
        <v>2670</v>
      </c>
      <c r="Q1924" s="6" t="str">
        <f t="shared" si="932"/>
        <v>=5.675*100000000</v>
      </c>
      <c r="R1924" s="11">
        <f>5.675*100000000</f>
        <v>567500000</v>
      </c>
      <c r="S1924" s="8">
        <f t="shared" si="949"/>
        <v>-0.68153759820426485</v>
      </c>
      <c r="T1924" s="6" t="s">
        <v>12288</v>
      </c>
      <c r="U1924" s="6" t="str">
        <f t="shared" si="933"/>
        <v>=17.82*100000000</v>
      </c>
      <c r="V1924" s="1">
        <f>17.82*100000000</f>
        <v>1782000000</v>
      </c>
      <c r="W1924" s="8">
        <f t="shared" si="950"/>
        <v>0.76086956521739146</v>
      </c>
      <c r="X1924" s="6" t="s">
        <v>11413</v>
      </c>
      <c r="Y1924" s="6" t="str">
        <f t="shared" si="934"/>
        <v>=10.12*100000000</v>
      </c>
      <c r="Z1924" s="1">
        <f>10.12*100000000</f>
        <v>1011999999.9999999</v>
      </c>
      <c r="AA1924" s="8">
        <f t="shared" si="951"/>
        <v>0.91195919138484771</v>
      </c>
      <c r="AB1924" s="6" t="s">
        <v>16647</v>
      </c>
      <c r="AC1924" s="6" t="str">
        <f t="shared" si="935"/>
        <v>=5.293*100000000</v>
      </c>
      <c r="AD1924" s="1">
        <f>5.293*100000000</f>
        <v>529300000</v>
      </c>
      <c r="AE1924" s="8">
        <f t="shared" si="952"/>
        <v>1.9259259259259258</v>
      </c>
      <c r="AF1924" s="6" t="s">
        <v>17175</v>
      </c>
      <c r="AG1924" s="6" t="str">
        <f t="shared" si="936"/>
        <v>=1.809*100000000</v>
      </c>
      <c r="AH1924" s="1">
        <f>1.809*100000000</f>
        <v>180900000</v>
      </c>
      <c r="AI1924" s="8">
        <f t="shared" si="953"/>
        <v>-0.83434065934065937</v>
      </c>
      <c r="AJ1924" s="6" t="s">
        <v>254</v>
      </c>
      <c r="AK1924" s="6" t="str">
        <f t="shared" si="937"/>
        <v>=10.92*100000000</v>
      </c>
      <c r="AL1924" s="1">
        <f>10.92*100000000</f>
        <v>1092000000</v>
      </c>
      <c r="AM1924" s="8">
        <f t="shared" si="954"/>
        <v>0.57780667533593411</v>
      </c>
      <c r="AN1924" s="6" t="s">
        <v>17176</v>
      </c>
      <c r="AO1924" s="6" t="str">
        <f t="shared" si="938"/>
        <v>=6.921*100000000</v>
      </c>
      <c r="AP1924" s="1">
        <f>6.921*100000000</f>
        <v>692100000</v>
      </c>
      <c r="AQ1924" s="8">
        <f t="shared" si="955"/>
        <v>0.48710786420283625</v>
      </c>
      <c r="AR1924" s="6" t="s">
        <v>17177</v>
      </c>
      <c r="AS1924" s="6" t="str">
        <f t="shared" si="939"/>
        <v>=4.654*100000000</v>
      </c>
      <c r="AT1924" s="1">
        <f>4.654*100000000</f>
        <v>465400000</v>
      </c>
      <c r="AU1924" s="8">
        <f t="shared" si="956"/>
        <v>0.84609282030940103</v>
      </c>
      <c r="AV1924" s="6" t="s">
        <v>3383</v>
      </c>
      <c r="AW1924" s="6" t="str">
        <f t="shared" si="940"/>
        <v>=2.521*100000000</v>
      </c>
      <c r="AX1924" s="1">
        <f>2.521*100000000</f>
        <v>252100000</v>
      </c>
      <c r="AY1924" s="10">
        <f t="shared" si="957"/>
        <v>-0.70542182752979665</v>
      </c>
      <c r="AZ1924" s="6" t="s">
        <v>150</v>
      </c>
      <c r="BA1924" s="6" t="str">
        <f t="shared" si="941"/>
        <v>=8.558*100000000</v>
      </c>
      <c r="BB1924" s="1">
        <f>8.558*100000000</f>
        <v>855800000</v>
      </c>
      <c r="BC1924" s="8">
        <f t="shared" si="958"/>
        <v>1.1151754819574888</v>
      </c>
      <c r="BD1924" s="6" t="s">
        <v>17178</v>
      </c>
      <c r="BE1924" s="6" t="str">
        <f t="shared" si="942"/>
        <v>=4.046*100000000</v>
      </c>
      <c r="BF1924" s="1">
        <f>4.046*100000000</f>
        <v>404600000</v>
      </c>
      <c r="BG1924" s="8">
        <f t="shared" si="959"/>
        <v>0.53723404255319152</v>
      </c>
      <c r="BH1924" s="6" t="s">
        <v>11594</v>
      </c>
      <c r="BI1924" s="6" t="str">
        <f t="shared" si="943"/>
        <v>=2.632*100000000</v>
      </c>
      <c r="BJ1924" s="1">
        <f>2.632*100000000</f>
        <v>263200000</v>
      </c>
      <c r="BK1924" s="6" t="s">
        <v>2162</v>
      </c>
      <c r="BL1924" s="1" t="str">
        <f t="shared" si="945"/>
        <v>=1.192*100000000</v>
      </c>
      <c r="BM1924" s="16">
        <f t="shared" si="960"/>
        <v>1.2080536912751678</v>
      </c>
      <c r="BN1924" s="1">
        <f>1.192*100000000</f>
        <v>119200000</v>
      </c>
    </row>
    <row r="1925" spans="1:66">
      <c r="A1925" s="19"/>
      <c r="B1925">
        <v>603806</v>
      </c>
      <c r="C1925" t="s">
        <v>68</v>
      </c>
      <c r="D1925" s="6" t="s">
        <v>4988</v>
      </c>
      <c r="E1925" s="7" t="str">
        <f t="shared" si="944"/>
        <v>=21.98*100000000</v>
      </c>
      <c r="F1925" s="1">
        <f>21.98*100000000</f>
        <v>2198000000</v>
      </c>
      <c r="G1925" s="8">
        <f t="shared" si="946"/>
        <v>0.64275037369207777</v>
      </c>
      <c r="H1925" s="6" t="s">
        <v>4143</v>
      </c>
      <c r="I1925" s="6" t="str">
        <f t="shared" si="930"/>
        <v>=13.38*100000000</v>
      </c>
      <c r="J1925" s="1">
        <f>13.38*100000000</f>
        <v>1338000000</v>
      </c>
      <c r="K1925" s="10">
        <f t="shared" si="947"/>
        <v>0.47812638091029608</v>
      </c>
      <c r="L1925" s="6" t="s">
        <v>9489</v>
      </c>
      <c r="M1925" s="6" t="str">
        <f t="shared" si="931"/>
        <v>=9.052*100000000</v>
      </c>
      <c r="N1925" s="1">
        <f>9.052*100000000</f>
        <v>905200000</v>
      </c>
      <c r="O1925" s="8">
        <f t="shared" si="948"/>
        <v>0.82647296206618215</v>
      </c>
      <c r="P1925" s="6" t="s">
        <v>8612</v>
      </c>
      <c r="Q1925" s="6" t="str">
        <f t="shared" si="932"/>
        <v>=4.956*100000000</v>
      </c>
      <c r="R1925" s="11">
        <f>4.956*100000000</f>
        <v>495600000.00000006</v>
      </c>
      <c r="S1925" s="8">
        <f t="shared" si="949"/>
        <v>-0.6833226837060703</v>
      </c>
      <c r="T1925" s="6" t="s">
        <v>6112</v>
      </c>
      <c r="U1925" s="6" t="str">
        <f t="shared" si="933"/>
        <v>=15.65*100000000</v>
      </c>
      <c r="V1925" s="1">
        <f>15.65*100000000</f>
        <v>1565000000</v>
      </c>
      <c r="W1925" s="8">
        <f t="shared" si="950"/>
        <v>0.79554841670491072</v>
      </c>
      <c r="X1925" s="6" t="s">
        <v>17179</v>
      </c>
      <c r="Y1925" s="6" t="str">
        <f t="shared" si="934"/>
        <v>=8.716*100000000</v>
      </c>
      <c r="Z1925" s="1">
        <f>8.716*100000000</f>
        <v>871599999.99999988</v>
      </c>
      <c r="AA1925" s="8">
        <f t="shared" si="951"/>
        <v>0.91224221149627005</v>
      </c>
      <c r="AB1925" s="6" t="s">
        <v>17180</v>
      </c>
      <c r="AC1925" s="6" t="str">
        <f t="shared" si="935"/>
        <v>=4.558*100000000</v>
      </c>
      <c r="AD1925" s="1">
        <f>4.558*100000000</f>
        <v>455800000</v>
      </c>
      <c r="AE1925" s="8">
        <f t="shared" si="952"/>
        <v>1.9501618122977347</v>
      </c>
      <c r="AF1925" s="6" t="s">
        <v>2917</v>
      </c>
      <c r="AG1925" s="6" t="str">
        <f t="shared" si="936"/>
        <v>=1.545*100000000</v>
      </c>
      <c r="AH1925" s="1">
        <f>1.545*100000000</f>
        <v>154500000</v>
      </c>
      <c r="AI1925" s="8">
        <f t="shared" si="953"/>
        <v>-0.83821989528795815</v>
      </c>
      <c r="AJ1925" s="6" t="s">
        <v>66</v>
      </c>
      <c r="AK1925" s="6" t="str">
        <f t="shared" si="937"/>
        <v>=9.550*100000000</v>
      </c>
      <c r="AL1925" s="1">
        <f>9.55*100000000</f>
        <v>955000000.00000012</v>
      </c>
      <c r="AM1925" s="8">
        <f t="shared" si="954"/>
        <v>0.61645226811103604</v>
      </c>
      <c r="AN1925" s="6" t="s">
        <v>4359</v>
      </c>
      <c r="AO1925" s="6" t="str">
        <f t="shared" si="938"/>
        <v>=5.908*100000000</v>
      </c>
      <c r="AP1925" s="1">
        <f>5.908*100000000</f>
        <v>590800000</v>
      </c>
      <c r="AQ1925" s="8">
        <f t="shared" si="955"/>
        <v>0.48778645177537144</v>
      </c>
      <c r="AR1925" s="6" t="s">
        <v>17181</v>
      </c>
      <c r="AS1925" s="6" t="str">
        <f t="shared" si="939"/>
        <v>=3.971*100000000</v>
      </c>
      <c r="AT1925" s="1">
        <f>3.971*100000000</f>
        <v>397100000</v>
      </c>
      <c r="AU1925" s="8">
        <f t="shared" si="956"/>
        <v>0.84440315838365076</v>
      </c>
      <c r="AV1925" s="6" t="s">
        <v>16995</v>
      </c>
      <c r="AW1925" s="6" t="str">
        <f t="shared" si="940"/>
        <v>=2.153*100000000</v>
      </c>
      <c r="AX1925" s="1">
        <f>2.153*100000000</f>
        <v>215300000</v>
      </c>
      <c r="AY1925" s="10">
        <f t="shared" si="957"/>
        <v>-0.71297160378616187</v>
      </c>
      <c r="AZ1925" s="6" t="s">
        <v>5055</v>
      </c>
      <c r="BA1925" s="6" t="str">
        <f t="shared" si="941"/>
        <v>=7.501*100000000</v>
      </c>
      <c r="BB1925" s="1">
        <f>7.501*100000000</f>
        <v>750100000</v>
      </c>
      <c r="BC1925" s="8">
        <f t="shared" si="958"/>
        <v>1.1591824985607369</v>
      </c>
      <c r="BD1925" s="6" t="s">
        <v>9071</v>
      </c>
      <c r="BE1925" s="6" t="str">
        <f t="shared" si="942"/>
        <v>=3.474*100000000</v>
      </c>
      <c r="BF1925" s="1">
        <f>3.474*100000000</f>
        <v>347400000</v>
      </c>
      <c r="BG1925" s="8">
        <f t="shared" si="959"/>
        <v>0.5426287744227356</v>
      </c>
      <c r="BH1925" s="6" t="s">
        <v>2869</v>
      </c>
      <c r="BI1925" s="6" t="str">
        <f t="shared" si="943"/>
        <v>=2.252*100000000</v>
      </c>
      <c r="BJ1925" s="1">
        <f>2.252*100000000</f>
        <v>225199999.99999997</v>
      </c>
      <c r="BK1925" s="6" t="s">
        <v>4430</v>
      </c>
      <c r="BL1925" s="1" t="str">
        <f t="shared" si="945"/>
        <v>=1.021*100000000</v>
      </c>
      <c r="BM1925" s="16">
        <f t="shared" si="960"/>
        <v>1.2056807051909892</v>
      </c>
      <c r="BN1925" s="1">
        <f>1.021*100000000</f>
        <v>102099999.99999999</v>
      </c>
    </row>
    <row r="1926" spans="1:66">
      <c r="A1926" s="17">
        <v>483</v>
      </c>
      <c r="B1926">
        <v>603809</v>
      </c>
      <c r="C1926" t="s">
        <v>31</v>
      </c>
      <c r="D1926" s="6" t="s">
        <v>4234</v>
      </c>
      <c r="E1926" s="7" t="str">
        <f t="shared" si="944"/>
        <v>=14.44*100000000</v>
      </c>
      <c r="F1926" s="1">
        <f>14.44*100000000</f>
        <v>1444000000</v>
      </c>
      <c r="G1926" s="8">
        <f t="shared" si="946"/>
        <v>0.35586854460093897</v>
      </c>
      <c r="H1926" s="6" t="s">
        <v>3146</v>
      </c>
      <c r="I1926" s="6" t="str">
        <f t="shared" si="930"/>
        <v>=10.65*100000000</v>
      </c>
      <c r="J1926" s="1">
        <f>10.65*100000000</f>
        <v>1065000000</v>
      </c>
      <c r="K1926" s="10">
        <f t="shared" si="947"/>
        <v>0.4589041095890411</v>
      </c>
      <c r="L1926" s="6" t="s">
        <v>11711</v>
      </c>
      <c r="M1926" s="6" t="str">
        <f t="shared" si="931"/>
        <v>=7.300*100000000</v>
      </c>
      <c r="N1926" s="1">
        <f>7.3*100000000</f>
        <v>730000000</v>
      </c>
      <c r="O1926" s="8">
        <f t="shared" si="948"/>
        <v>0.99508062312107137</v>
      </c>
      <c r="P1926" s="6" t="s">
        <v>4813</v>
      </c>
      <c r="Q1926" s="6" t="str">
        <f t="shared" si="932"/>
        <v>=3.659*100000000</v>
      </c>
      <c r="R1926" s="11">
        <f>3.659*100000000</f>
        <v>365900000</v>
      </c>
      <c r="S1926" s="8">
        <f t="shared" si="949"/>
        <v>-0.68753202391118706</v>
      </c>
      <c r="T1926" s="6" t="s">
        <v>1436</v>
      </c>
      <c r="U1926" s="6" t="str">
        <f t="shared" si="933"/>
        <v>=11.71*100000000</v>
      </c>
      <c r="V1926" s="1">
        <f>11.71*100000000</f>
        <v>1171000000</v>
      </c>
      <c r="W1926" s="8">
        <f t="shared" si="950"/>
        <v>0.47611244169923106</v>
      </c>
      <c r="X1926" s="6" t="s">
        <v>8766</v>
      </c>
      <c r="Y1926" s="6" t="str">
        <f t="shared" si="934"/>
        <v>=7.933*100000000</v>
      </c>
      <c r="Z1926" s="1">
        <f>7.933*100000000</f>
        <v>793300000</v>
      </c>
      <c r="AA1926" s="8">
        <f t="shared" si="951"/>
        <v>0.63331274449248509</v>
      </c>
      <c r="AB1926" s="6" t="s">
        <v>17182</v>
      </c>
      <c r="AC1926" s="6" t="str">
        <f t="shared" si="935"/>
        <v>=4.857*100000000</v>
      </c>
      <c r="AD1926" s="1">
        <f>4.857*100000000</f>
        <v>485700000</v>
      </c>
      <c r="AE1926" s="8">
        <f t="shared" si="952"/>
        <v>1.2538283062645013</v>
      </c>
      <c r="AF1926" s="6" t="s">
        <v>2155</v>
      </c>
      <c r="AG1926" s="6" t="str">
        <f t="shared" si="936"/>
        <v>=2.155*100000000</v>
      </c>
      <c r="AH1926" s="1">
        <f>2.155*100000000</f>
        <v>215499999.99999997</v>
      </c>
      <c r="AI1926" s="8">
        <f t="shared" si="953"/>
        <v>-0.76770507707232938</v>
      </c>
      <c r="AJ1926" s="6" t="s">
        <v>17183</v>
      </c>
      <c r="AK1926" s="6" t="str">
        <f t="shared" si="937"/>
        <v>=9.277*100000000</v>
      </c>
      <c r="AL1926" s="1">
        <f>9.277*100000000</f>
        <v>927699999.99999988</v>
      </c>
      <c r="AM1926" s="8">
        <f t="shared" si="954"/>
        <v>0.43562364593005243</v>
      </c>
      <c r="AN1926" s="6" t="s">
        <v>1415</v>
      </c>
      <c r="AO1926" s="6" t="str">
        <f t="shared" si="938"/>
        <v>=6.462*100000000</v>
      </c>
      <c r="AP1926" s="1">
        <f>6.462*100000000</f>
        <v>646200000</v>
      </c>
      <c r="AQ1926" s="8">
        <f t="shared" si="955"/>
        <v>0.44725643896976486</v>
      </c>
      <c r="AR1926" s="6" t="s">
        <v>1022</v>
      </c>
      <c r="AS1926" s="6" t="str">
        <f t="shared" si="939"/>
        <v>=4.465*100000000</v>
      </c>
      <c r="AT1926" s="1">
        <f>4.465*100000000</f>
        <v>446500000</v>
      </c>
      <c r="AU1926" s="8">
        <f t="shared" si="956"/>
        <v>0.79533574587856859</v>
      </c>
      <c r="AV1926" s="6" t="s">
        <v>3786</v>
      </c>
      <c r="AW1926" s="6" t="str">
        <f t="shared" si="940"/>
        <v>=2.487*100000000</v>
      </c>
      <c r="AX1926" s="1">
        <f>2.487*100000000</f>
        <v>248700000</v>
      </c>
      <c r="AY1926" s="10">
        <f t="shared" si="957"/>
        <v>-0.7326381423349817</v>
      </c>
      <c r="AZ1926" s="6" t="s">
        <v>17184</v>
      </c>
      <c r="BA1926" s="6" t="str">
        <f t="shared" si="941"/>
        <v>=9.302*100000000</v>
      </c>
      <c r="BB1926" s="1">
        <f>9.302*100000000</f>
        <v>930200000</v>
      </c>
      <c r="BC1926" s="8">
        <f t="shared" si="958"/>
        <v>0.36914924933765086</v>
      </c>
      <c r="BD1926" s="6" t="s">
        <v>17185</v>
      </c>
      <c r="BE1926" s="6" t="str">
        <f t="shared" si="942"/>
        <v>=6.794*100000000</v>
      </c>
      <c r="BF1926" s="1">
        <f>6.794*100000000</f>
        <v>679400000</v>
      </c>
      <c r="BG1926" s="8">
        <f t="shared" si="959"/>
        <v>0.48567679860048091</v>
      </c>
      <c r="BH1926" s="6" t="s">
        <v>9214</v>
      </c>
      <c r="BI1926" s="6" t="str">
        <f t="shared" si="943"/>
        <v>=4.573*100000000</v>
      </c>
      <c r="BJ1926" s="1">
        <f>4.573*100000000</f>
        <v>457300000.00000006</v>
      </c>
      <c r="BK1926" s="6" t="s">
        <v>11515</v>
      </c>
      <c r="BL1926" s="1" t="str">
        <f t="shared" si="945"/>
        <v>=2.486*100000000</v>
      </c>
      <c r="BM1926" s="16">
        <f t="shared" si="960"/>
        <v>0.8395012067578439</v>
      </c>
      <c r="BN1926" s="1">
        <f>2.486*100000000</f>
        <v>248600000.00000003</v>
      </c>
    </row>
    <row r="1927" spans="1:66">
      <c r="A1927" s="18"/>
      <c r="B1927">
        <v>603809</v>
      </c>
      <c r="C1927" t="s">
        <v>48</v>
      </c>
      <c r="D1927" s="6" t="s">
        <v>15478</v>
      </c>
      <c r="E1927" s="7" t="str">
        <f t="shared" si="944"/>
        <v>=2.507*100000000</v>
      </c>
      <c r="F1927" s="1">
        <f>2.507*100000000</f>
        <v>250700000</v>
      </c>
      <c r="G1927" s="8">
        <f t="shared" si="946"/>
        <v>0.11521352313167245</v>
      </c>
      <c r="H1927" s="6" t="s">
        <v>17186</v>
      </c>
      <c r="I1927" s="6" t="str">
        <f t="shared" si="930"/>
        <v>=2.248*100000000</v>
      </c>
      <c r="J1927" s="1">
        <f>2.248*100000000</f>
        <v>224800000.00000003</v>
      </c>
      <c r="K1927" s="10">
        <f t="shared" si="947"/>
        <v>0.3657351154313489</v>
      </c>
      <c r="L1927" s="6" t="s">
        <v>2045</v>
      </c>
      <c r="M1927" s="6" t="str">
        <f t="shared" si="931"/>
        <v>=1.646*100000000</v>
      </c>
      <c r="N1927" s="1">
        <f>1.646*100000000</f>
        <v>164600000</v>
      </c>
      <c r="O1927" s="8">
        <f t="shared" si="948"/>
        <v>0.97907899482986649</v>
      </c>
      <c r="P1927" s="7" t="s">
        <v>4991</v>
      </c>
      <c r="Q1927" s="6" t="str">
        <f t="shared" si="932"/>
        <v>=8317*10000</v>
      </c>
      <c r="R1927" s="11">
        <f>8317*10000</f>
        <v>83170000</v>
      </c>
      <c r="S1927" s="8">
        <f t="shared" si="949"/>
        <v>-0.62536036036036036</v>
      </c>
      <c r="T1927" s="6" t="s">
        <v>10300</v>
      </c>
      <c r="U1927" s="6" t="str">
        <f t="shared" si="933"/>
        <v>=2.220*100000000</v>
      </c>
      <c r="V1927" s="1">
        <f>2.22*100000000</f>
        <v>222000000.00000003</v>
      </c>
      <c r="W1927" s="8">
        <f t="shared" si="950"/>
        <v>0.34057971014492772</v>
      </c>
      <c r="X1927" s="6" t="s">
        <v>1954</v>
      </c>
      <c r="Y1927" s="6" t="str">
        <f t="shared" si="934"/>
        <v>=1.656*100000000</v>
      </c>
      <c r="Z1927" s="1">
        <f>1.656*100000000</f>
        <v>165600000</v>
      </c>
      <c r="AA1927" s="8">
        <f t="shared" si="951"/>
        <v>0.75238095238095237</v>
      </c>
      <c r="AB1927" s="7" t="s">
        <v>17187</v>
      </c>
      <c r="AC1927" s="6" t="str">
        <f t="shared" si="935"/>
        <v>=9450*10000</v>
      </c>
      <c r="AD1927" s="1">
        <f>9450*10000</f>
        <v>94500000</v>
      </c>
      <c r="AE1927" s="8">
        <f t="shared" si="952"/>
        <v>0.90793458509993941</v>
      </c>
      <c r="AF1927" s="7" t="s">
        <v>8328</v>
      </c>
      <c r="AG1927" s="6" t="str">
        <f t="shared" si="936"/>
        <v>=4953*10000</v>
      </c>
      <c r="AH1927" s="1">
        <f>4953*10000</f>
        <v>49530000</v>
      </c>
      <c r="AI1927" s="8">
        <f t="shared" si="953"/>
        <v>-0.66351902173913047</v>
      </c>
      <c r="AJ1927" s="6" t="s">
        <v>6588</v>
      </c>
      <c r="AK1927" s="6" t="str">
        <f t="shared" si="937"/>
        <v>=1.472*100000000</v>
      </c>
      <c r="AL1927" s="1">
        <f>1.472*100000000</f>
        <v>147200000</v>
      </c>
      <c r="AM1927" s="8">
        <f t="shared" si="954"/>
        <v>0.42497579864472429</v>
      </c>
      <c r="AN1927" s="6" t="s">
        <v>2065</v>
      </c>
      <c r="AO1927" s="6" t="str">
        <f t="shared" si="938"/>
        <v>=1.033*100000000</v>
      </c>
      <c r="AP1927" s="1">
        <f>1.033*100000000</f>
        <v>103299999.99999999</v>
      </c>
      <c r="AQ1927" s="8">
        <f t="shared" si="955"/>
        <v>0.38453290443640242</v>
      </c>
      <c r="AR1927" s="7" t="s">
        <v>2919</v>
      </c>
      <c r="AS1927" s="6" t="str">
        <f t="shared" si="939"/>
        <v>=7461*10000</v>
      </c>
      <c r="AT1927" s="1">
        <f>7461*10000</f>
        <v>74610000</v>
      </c>
      <c r="AU1927" s="8">
        <f t="shared" si="956"/>
        <v>0.61423626135871912</v>
      </c>
      <c r="AV1927" s="7" t="s">
        <v>15513</v>
      </c>
      <c r="AW1927" s="6" t="str">
        <f t="shared" si="940"/>
        <v>=4622*10000</v>
      </c>
      <c r="AX1927" s="1">
        <f>4622*10000</f>
        <v>46220000</v>
      </c>
      <c r="AY1927" s="10">
        <f t="shared" si="957"/>
        <v>-0.77050645481628599</v>
      </c>
      <c r="AZ1927" s="6" t="s">
        <v>6785</v>
      </c>
      <c r="BA1927" s="6" t="str">
        <f t="shared" si="941"/>
        <v>=2.014*100000000</v>
      </c>
      <c r="BB1927" s="1">
        <f>2.014*100000000</f>
        <v>201399999.99999997</v>
      </c>
      <c r="BC1927" s="8">
        <f t="shared" si="958"/>
        <v>0.3094928478543561</v>
      </c>
      <c r="BD1927" s="6" t="s">
        <v>7267</v>
      </c>
      <c r="BE1927" s="6" t="str">
        <f t="shared" si="942"/>
        <v>=1.538*100000000</v>
      </c>
      <c r="BF1927" s="1">
        <f>1.538*100000000</f>
        <v>153800000</v>
      </c>
      <c r="BG1927" s="8">
        <f t="shared" si="959"/>
        <v>0.40971585701191565</v>
      </c>
      <c r="BH1927" s="6" t="s">
        <v>6900</v>
      </c>
      <c r="BI1927" s="6" t="str">
        <f t="shared" si="943"/>
        <v>=1.091*100000000</v>
      </c>
      <c r="BJ1927" s="1">
        <f>1.091*100000000</f>
        <v>109100000</v>
      </c>
      <c r="BK1927" s="7" t="s">
        <v>17188</v>
      </c>
      <c r="BL1927" s="1" t="str">
        <f t="shared" si="945"/>
        <v>=5802*10000</v>
      </c>
      <c r="BM1927" s="16">
        <f t="shared" si="960"/>
        <v>0.88038607376766631</v>
      </c>
      <c r="BN1927" s="1">
        <f>5802*10000</f>
        <v>58020000</v>
      </c>
    </row>
    <row r="1928" spans="1:66">
      <c r="A1928" s="18"/>
      <c r="B1928">
        <v>603809</v>
      </c>
      <c r="C1928" t="s">
        <v>58</v>
      </c>
      <c r="D1928" s="6" t="s">
        <v>4060</v>
      </c>
      <c r="E1928" s="7" t="str">
        <f t="shared" si="944"/>
        <v>=2.505*100000000</v>
      </c>
      <c r="F1928" s="1">
        <f>2.505*100000000</f>
        <v>250500000</v>
      </c>
      <c r="G1928" s="8">
        <f t="shared" si="946"/>
        <v>0.11730597680642284</v>
      </c>
      <c r="H1928" s="6" t="s">
        <v>8795</v>
      </c>
      <c r="I1928" s="6" t="str">
        <f t="shared" si="930"/>
        <v>=2.242*100000000</v>
      </c>
      <c r="J1928" s="1">
        <f>2.242*100000000</f>
        <v>224200000</v>
      </c>
      <c r="K1928" s="10">
        <f t="shared" si="947"/>
        <v>0.35796486977589342</v>
      </c>
      <c r="L1928" s="6" t="s">
        <v>4666</v>
      </c>
      <c r="M1928" s="6" t="str">
        <f t="shared" si="931"/>
        <v>=1.651*100000000</v>
      </c>
      <c r="N1928" s="1">
        <f>1.651*100000000</f>
        <v>165100000</v>
      </c>
      <c r="O1928" s="8">
        <f t="shared" si="948"/>
        <v>0.98246878001921234</v>
      </c>
      <c r="P1928" s="7" t="s">
        <v>17189</v>
      </c>
      <c r="Q1928" s="6" t="str">
        <f t="shared" si="932"/>
        <v>=8328*10000</v>
      </c>
      <c r="R1928" s="11">
        <f>8328*10000</f>
        <v>83280000</v>
      </c>
      <c r="S1928" s="8">
        <f t="shared" si="949"/>
        <v>-0.62231292517006798</v>
      </c>
      <c r="T1928" s="6" t="s">
        <v>13426</v>
      </c>
      <c r="U1928" s="6" t="str">
        <f t="shared" si="933"/>
        <v>=2.205*100000000</v>
      </c>
      <c r="V1928" s="1">
        <f>2.205*100000000</f>
        <v>220500000</v>
      </c>
      <c r="W1928" s="8">
        <f t="shared" si="950"/>
        <v>0.32115038945476332</v>
      </c>
      <c r="X1928" s="6" t="s">
        <v>2431</v>
      </c>
      <c r="Y1928" s="6" t="str">
        <f t="shared" si="934"/>
        <v>=1.669*100000000</v>
      </c>
      <c r="Z1928" s="1">
        <f>1.669*100000000</f>
        <v>166900000</v>
      </c>
      <c r="AA1928" s="8">
        <f t="shared" si="951"/>
        <v>0.74162579567984976</v>
      </c>
      <c r="AB1928" s="7" t="s">
        <v>4737</v>
      </c>
      <c r="AC1928" s="6" t="str">
        <f t="shared" si="935"/>
        <v>=9583*10000</v>
      </c>
      <c r="AD1928" s="1">
        <f>9583*10000</f>
        <v>95830000</v>
      </c>
      <c r="AE1928" s="8">
        <f t="shared" si="952"/>
        <v>0.93400605449041374</v>
      </c>
      <c r="AF1928" s="7" t="s">
        <v>9112</v>
      </c>
      <c r="AG1928" s="6" t="str">
        <f t="shared" si="936"/>
        <v>=4955*10000</v>
      </c>
      <c r="AH1928" s="1">
        <f>4955*10000</f>
        <v>49550000</v>
      </c>
      <c r="AI1928" s="8">
        <f t="shared" si="953"/>
        <v>-0.667002688172043</v>
      </c>
      <c r="AJ1928" s="6" t="s">
        <v>4851</v>
      </c>
      <c r="AK1928" s="6" t="str">
        <f t="shared" si="937"/>
        <v>=1.488*100000000</v>
      </c>
      <c r="AL1928" s="1">
        <f>1.488*100000000</f>
        <v>148800000</v>
      </c>
      <c r="AM1928" s="8">
        <f t="shared" si="954"/>
        <v>0.43629343629343631</v>
      </c>
      <c r="AN1928" s="6" t="s">
        <v>344</v>
      </c>
      <c r="AO1928" s="6" t="str">
        <f t="shared" si="938"/>
        <v>=1.036*100000000</v>
      </c>
      <c r="AP1928" s="1">
        <f>1.036*100000000</f>
        <v>103600000</v>
      </c>
      <c r="AQ1928" s="8">
        <f t="shared" si="955"/>
        <v>0.38502673796791442</v>
      </c>
      <c r="AR1928" s="7" t="s">
        <v>17190</v>
      </c>
      <c r="AS1928" s="6" t="str">
        <f t="shared" si="939"/>
        <v>=7480*10000</v>
      </c>
      <c r="AT1928" s="1">
        <f>7480*10000</f>
        <v>74800000</v>
      </c>
      <c r="AU1928" s="8">
        <f t="shared" si="956"/>
        <v>0.61624891961970618</v>
      </c>
      <c r="AV1928" s="7" t="s">
        <v>11300</v>
      </c>
      <c r="AW1928" s="6" t="str">
        <f t="shared" si="940"/>
        <v>=4628*10000</v>
      </c>
      <c r="AX1928" s="1">
        <f>4628*10000</f>
        <v>46280000</v>
      </c>
      <c r="AY1928" s="10">
        <f t="shared" si="957"/>
        <v>-0.7712308452792882</v>
      </c>
      <c r="AZ1928" s="6" t="s">
        <v>9775</v>
      </c>
      <c r="BA1928" s="6" t="str">
        <f t="shared" si="941"/>
        <v>=2.023*100000000</v>
      </c>
      <c r="BB1928" s="1">
        <f>2.023*100000000</f>
        <v>202300000</v>
      </c>
      <c r="BC1928" s="8">
        <f t="shared" si="958"/>
        <v>0.340622929092114</v>
      </c>
      <c r="BD1928" s="6" t="s">
        <v>17191</v>
      </c>
      <c r="BE1928" s="6" t="str">
        <f t="shared" si="942"/>
        <v>=1.509*100000000</v>
      </c>
      <c r="BF1928" s="1">
        <f>1.509*100000000</f>
        <v>150900000</v>
      </c>
      <c r="BG1928" s="8">
        <f t="shared" si="959"/>
        <v>0.44263862332695986</v>
      </c>
      <c r="BH1928" s="6" t="s">
        <v>10249</v>
      </c>
      <c r="BI1928" s="6" t="str">
        <f t="shared" si="943"/>
        <v>=1.046*100000000</v>
      </c>
      <c r="BJ1928" s="1">
        <f>1.046*100000000</f>
        <v>104600000</v>
      </c>
      <c r="BK1928" s="7" t="s">
        <v>17188</v>
      </c>
      <c r="BL1928" s="1" t="str">
        <f t="shared" si="945"/>
        <v>=5802*10000</v>
      </c>
      <c r="BM1928" s="16">
        <f t="shared" si="960"/>
        <v>0.80282661151327128</v>
      </c>
      <c r="BN1928" s="1">
        <f>5802*10000</f>
        <v>58020000</v>
      </c>
    </row>
    <row r="1929" spans="1:66">
      <c r="A1929" s="19"/>
      <c r="B1929">
        <v>603809</v>
      </c>
      <c r="C1929" t="s">
        <v>68</v>
      </c>
      <c r="D1929" s="6" t="s">
        <v>13432</v>
      </c>
      <c r="E1929" s="7" t="str">
        <f t="shared" si="944"/>
        <v>=2.212*100000000</v>
      </c>
      <c r="F1929" s="1">
        <f>2.212*100000000</f>
        <v>221200000.00000003</v>
      </c>
      <c r="G1929" s="8">
        <f t="shared" si="946"/>
        <v>0.13669064748201454</v>
      </c>
      <c r="H1929" s="6" t="s">
        <v>12154</v>
      </c>
      <c r="I1929" s="6" t="str">
        <f t="shared" si="930"/>
        <v>=1.946*100000000</v>
      </c>
      <c r="J1929" s="1">
        <f>1.946*100000000</f>
        <v>194600000</v>
      </c>
      <c r="K1929" s="10">
        <f t="shared" si="947"/>
        <v>0.36370007007708477</v>
      </c>
      <c r="L1929" s="6" t="s">
        <v>12233</v>
      </c>
      <c r="M1929" s="6" t="str">
        <f t="shared" si="931"/>
        <v>=1.427*100000000</v>
      </c>
      <c r="N1929" s="1">
        <f>1.427*100000000</f>
        <v>142700000</v>
      </c>
      <c r="O1929" s="8">
        <f t="shared" si="948"/>
        <v>1.0132618510158014</v>
      </c>
      <c r="P1929" s="7" t="s">
        <v>17192</v>
      </c>
      <c r="Q1929" s="6" t="str">
        <f t="shared" si="932"/>
        <v>=7088*10000</v>
      </c>
      <c r="R1929" s="11">
        <f>7088*10000</f>
        <v>70880000</v>
      </c>
      <c r="S1929" s="8">
        <f t="shared" si="949"/>
        <v>-0.63236514522821574</v>
      </c>
      <c r="T1929" s="6" t="s">
        <v>3550</v>
      </c>
      <c r="U1929" s="6" t="str">
        <f t="shared" si="933"/>
        <v>=1.928*100000000</v>
      </c>
      <c r="V1929" s="1">
        <f>1.928*100000000</f>
        <v>192800000</v>
      </c>
      <c r="W1929" s="8">
        <f t="shared" si="950"/>
        <v>0.31784005468215992</v>
      </c>
      <c r="X1929" s="6" t="s">
        <v>17193</v>
      </c>
      <c r="Y1929" s="6" t="str">
        <f t="shared" si="934"/>
        <v>=1.463*100000000</v>
      </c>
      <c r="Z1929" s="1">
        <f>1.463*100000000</f>
        <v>146300000</v>
      </c>
      <c r="AA1929" s="8">
        <f t="shared" si="951"/>
        <v>0.74249642686993811</v>
      </c>
      <c r="AB1929" s="7" t="s">
        <v>17194</v>
      </c>
      <c r="AC1929" s="6" t="str">
        <f t="shared" si="935"/>
        <v>=8396*10000</v>
      </c>
      <c r="AD1929" s="1">
        <f>8396*10000</f>
        <v>83960000</v>
      </c>
      <c r="AE1929" s="8">
        <f t="shared" si="952"/>
        <v>0.99524714828897343</v>
      </c>
      <c r="AF1929" s="7" t="s">
        <v>17195</v>
      </c>
      <c r="AG1929" s="6" t="str">
        <f t="shared" si="936"/>
        <v>=4208*10000</v>
      </c>
      <c r="AH1929" s="1">
        <f>4208*10000</f>
        <v>42080000</v>
      </c>
      <c r="AI1929" s="8">
        <f t="shared" si="953"/>
        <v>-0.66918238993710688</v>
      </c>
      <c r="AJ1929" s="6" t="s">
        <v>2566</v>
      </c>
      <c r="AK1929" s="6" t="str">
        <f t="shared" si="937"/>
        <v>=1.272*100000000</v>
      </c>
      <c r="AL1929" s="1">
        <f>1.272*100000000</f>
        <v>127200000</v>
      </c>
      <c r="AM1929" s="8">
        <f t="shared" si="954"/>
        <v>0.44742831133363675</v>
      </c>
      <c r="AN1929" s="7" t="s">
        <v>17196</v>
      </c>
      <c r="AO1929" s="6" t="str">
        <f t="shared" si="938"/>
        <v>=8788*10000</v>
      </c>
      <c r="AP1929" s="1">
        <f>8788*10000</f>
        <v>87880000</v>
      </c>
      <c r="AQ1929" s="8">
        <f t="shared" si="955"/>
        <v>0.38918748024027822</v>
      </c>
      <c r="AR1929" s="7" t="s">
        <v>3921</v>
      </c>
      <c r="AS1929" s="6" t="str">
        <f t="shared" si="939"/>
        <v>=6326*10000</v>
      </c>
      <c r="AT1929" s="1">
        <f>6326*10000</f>
        <v>63260000</v>
      </c>
      <c r="AU1929" s="8">
        <f t="shared" si="956"/>
        <v>0.61336393777097675</v>
      </c>
      <c r="AV1929" s="7" t="s">
        <v>15910</v>
      </c>
      <c r="AW1929" s="6" t="str">
        <f t="shared" si="940"/>
        <v>=3921*10000</v>
      </c>
      <c r="AX1929" s="1">
        <f>3921*10000</f>
        <v>39210000</v>
      </c>
      <c r="AY1929" s="10">
        <f t="shared" si="957"/>
        <v>-0.77426597582037993</v>
      </c>
      <c r="AZ1929" s="6" t="s">
        <v>5531</v>
      </c>
      <c r="BA1929" s="6" t="str">
        <f t="shared" si="941"/>
        <v>=1.737*100000000</v>
      </c>
      <c r="BB1929" s="1">
        <f>1.737*100000000</f>
        <v>173700000</v>
      </c>
      <c r="BC1929" s="8">
        <f t="shared" si="958"/>
        <v>0.35385814497272033</v>
      </c>
      <c r="BD1929" s="6" t="s">
        <v>16039</v>
      </c>
      <c r="BE1929" s="6" t="str">
        <f t="shared" si="942"/>
        <v>=1.283*100000000</v>
      </c>
      <c r="BF1929" s="1">
        <f>1.283*100000000</f>
        <v>128299999.99999999</v>
      </c>
      <c r="BG1929" s="8">
        <f t="shared" si="959"/>
        <v>0.42349938977033158</v>
      </c>
      <c r="BH1929" s="7" t="s">
        <v>17197</v>
      </c>
      <c r="BI1929" s="6" t="str">
        <f t="shared" si="943"/>
        <v>=9013*10000</v>
      </c>
      <c r="BJ1929" s="1">
        <f>9013*10000</f>
        <v>90130000</v>
      </c>
      <c r="BK1929" s="7" t="s">
        <v>17198</v>
      </c>
      <c r="BL1929" s="1" t="str">
        <f t="shared" si="945"/>
        <v>=4940*10000</v>
      </c>
      <c r="BM1929" s="16">
        <f t="shared" si="960"/>
        <v>0.82449392712550607</v>
      </c>
      <c r="BN1929" s="1">
        <f>4940*10000</f>
        <v>49400000</v>
      </c>
    </row>
    <row r="1930" spans="1:66">
      <c r="A1930" s="17">
        <v>484</v>
      </c>
      <c r="B1930">
        <v>603813</v>
      </c>
      <c r="C1930" t="s">
        <v>31</v>
      </c>
      <c r="D1930" s="6" t="s">
        <v>3826</v>
      </c>
      <c r="E1930" s="7" t="str">
        <f t="shared" si="944"/>
        <v>=4.902*100000000</v>
      </c>
      <c r="F1930" s="1">
        <f>4.902*100000000</f>
        <v>490200000</v>
      </c>
      <c r="G1930" s="8">
        <f t="shared" si="946"/>
        <v>0.47828709288299154</v>
      </c>
      <c r="H1930" s="6" t="s">
        <v>17199</v>
      </c>
      <c r="I1930" s="6" t="str">
        <f t="shared" si="930"/>
        <v>=3.316*100000000</v>
      </c>
      <c r="J1930" s="1">
        <f>3.316*100000000</f>
        <v>331600000</v>
      </c>
      <c r="K1930" s="10">
        <f t="shared" si="947"/>
        <v>0.53874709976798163</v>
      </c>
      <c r="L1930" s="6" t="s">
        <v>2155</v>
      </c>
      <c r="M1930" s="6" t="str">
        <f t="shared" si="931"/>
        <v>=2.155*100000000</v>
      </c>
      <c r="N1930" s="1">
        <f>2.155*100000000</f>
        <v>215499999.99999997</v>
      </c>
      <c r="O1930" s="8">
        <f t="shared" si="948"/>
        <v>1.0291902071563086</v>
      </c>
      <c r="P1930" s="6" t="s">
        <v>104</v>
      </c>
      <c r="Q1930" s="6" t="str">
        <f t="shared" si="932"/>
        <v>=1.062*100000000</v>
      </c>
      <c r="R1930" s="11">
        <f>1.062*100000000</f>
        <v>106200000</v>
      </c>
      <c r="S1930" s="8">
        <f t="shared" si="949"/>
        <v>-0.76918061291023687</v>
      </c>
      <c r="T1930" s="6" t="s">
        <v>2354</v>
      </c>
      <c r="U1930" s="6" t="str">
        <f t="shared" si="933"/>
        <v>=4.601*100000000</v>
      </c>
      <c r="V1930" s="1">
        <f>4.601*100000000</f>
        <v>460100000</v>
      </c>
      <c r="W1930" s="8">
        <f t="shared" si="950"/>
        <v>0.39975661697596593</v>
      </c>
      <c r="X1930" s="6" t="s">
        <v>14685</v>
      </c>
      <c r="Y1930" s="6" t="str">
        <f t="shared" si="934"/>
        <v>=3.287*100000000</v>
      </c>
      <c r="Z1930" s="1">
        <f>3.287*100000000</f>
        <v>328700000</v>
      </c>
      <c r="AA1930" s="8">
        <f t="shared" si="951"/>
        <v>0.67618561958184598</v>
      </c>
      <c r="AB1930" s="6" t="s">
        <v>2169</v>
      </c>
      <c r="AC1930" s="6" t="str">
        <f t="shared" si="935"/>
        <v>=1.961*100000000</v>
      </c>
      <c r="AD1930" s="1">
        <f>1.961*100000000</f>
        <v>196100000</v>
      </c>
      <c r="AE1930" s="8">
        <f t="shared" si="952"/>
        <v>1.843677494199536</v>
      </c>
      <c r="AF1930" s="7" t="s">
        <v>5590</v>
      </c>
      <c r="AG1930" s="6" t="str">
        <f t="shared" si="936"/>
        <v>=6896*10000</v>
      </c>
      <c r="AH1930" s="1">
        <f>6896*10000</f>
        <v>68960000</v>
      </c>
      <c r="AI1930" s="8">
        <f t="shared" si="953"/>
        <v>-0.93324298160696995</v>
      </c>
      <c r="AJ1930" s="6" t="s">
        <v>1108</v>
      </c>
      <c r="AK1930" s="6" t="str">
        <f t="shared" si="937"/>
        <v>=10.33*100000000</v>
      </c>
      <c r="AL1930" s="1">
        <f>10.33*100000000</f>
        <v>1033000000</v>
      </c>
      <c r="AM1930" s="8">
        <f t="shared" si="954"/>
        <v>0.31760204081632654</v>
      </c>
      <c r="AN1930" s="6" t="s">
        <v>17200</v>
      </c>
      <c r="AO1930" s="6" t="str">
        <f t="shared" si="938"/>
        <v>=7.840*100000000</v>
      </c>
      <c r="AP1930" s="1">
        <f>7.84*100000000</f>
        <v>784000000</v>
      </c>
      <c r="AQ1930" s="8">
        <f t="shared" si="955"/>
        <v>0.71854449802718101</v>
      </c>
      <c r="AR1930" s="6" t="s">
        <v>17201</v>
      </c>
      <c r="AS1930" s="6" t="str">
        <f t="shared" si="939"/>
        <v>=4.562*100000000</v>
      </c>
      <c r="AT1930" s="1">
        <f>4.562*100000000</f>
        <v>456200000</v>
      </c>
      <c r="AU1930" s="8">
        <f t="shared" si="956"/>
        <v>0.85976355483081968</v>
      </c>
      <c r="AV1930" s="6" t="s">
        <v>17058</v>
      </c>
      <c r="AW1930" s="6" t="str">
        <f t="shared" si="940"/>
        <v>=2.453*100000000</v>
      </c>
      <c r="AX1930" s="1">
        <f>2.453*100000000</f>
        <v>245299999.99999997</v>
      </c>
      <c r="AY1930" s="10">
        <f t="shared" si="957"/>
        <v>-0.69868566515170127</v>
      </c>
      <c r="AZ1930" s="6" t="s">
        <v>17202</v>
      </c>
      <c r="BA1930" s="6" t="str">
        <f t="shared" si="941"/>
        <v>=8.141*100000000</v>
      </c>
      <c r="BB1930" s="1">
        <f>8.141*100000000</f>
        <v>814100000</v>
      </c>
      <c r="BC1930" s="8">
        <f t="shared" si="958"/>
        <v>0.39209986320109441</v>
      </c>
      <c r="BD1930" s="6" t="s">
        <v>17203</v>
      </c>
      <c r="BE1930" s="6" t="str">
        <f t="shared" si="942"/>
        <v>=5.848*100000000</v>
      </c>
      <c r="BF1930" s="1">
        <f>5.848*100000000</f>
        <v>584800000</v>
      </c>
      <c r="BG1930" s="8">
        <f t="shared" si="959"/>
        <v>0.9750084430935495</v>
      </c>
      <c r="BH1930" s="6" t="s">
        <v>12243</v>
      </c>
      <c r="BI1930" s="6" t="str">
        <f t="shared" si="943"/>
        <v>=2.961*100000000</v>
      </c>
      <c r="BJ1930" s="1">
        <f>2.961*100000000</f>
        <v>296100000</v>
      </c>
      <c r="BK1930" s="6" t="s">
        <v>5315</v>
      </c>
      <c r="BL1930" s="1" t="str">
        <f t="shared" si="945"/>
        <v>=1.175*100000000</v>
      </c>
      <c r="BM1930" s="16">
        <f t="shared" si="960"/>
        <v>1.52</v>
      </c>
      <c r="BN1930" s="1">
        <f>1.175*100000000</f>
        <v>117500000</v>
      </c>
    </row>
    <row r="1931" spans="1:66">
      <c r="A1931" s="18"/>
      <c r="B1931">
        <v>603813</v>
      </c>
      <c r="C1931" t="s">
        <v>48</v>
      </c>
      <c r="D1931" s="7" t="s">
        <v>17204</v>
      </c>
      <c r="E1931" s="7" t="str">
        <f t="shared" si="944"/>
        <v>=4250*10000</v>
      </c>
      <c r="F1931" s="1">
        <f>4250*10000</f>
        <v>42500000</v>
      </c>
      <c r="G1931" s="8">
        <f t="shared" si="946"/>
        <v>0.85589519650655022</v>
      </c>
      <c r="H1931" s="7" t="s">
        <v>2533</v>
      </c>
      <c r="I1931" s="6" t="str">
        <f t="shared" si="930"/>
        <v>=2290*10000</v>
      </c>
      <c r="J1931" s="1">
        <f>2290*10000</f>
        <v>22900000</v>
      </c>
      <c r="K1931" s="10">
        <f t="shared" si="947"/>
        <v>0.66182873730043545</v>
      </c>
      <c r="L1931" s="7" t="s">
        <v>17205</v>
      </c>
      <c r="M1931" s="6" t="str">
        <f t="shared" si="931"/>
        <v>=1378*10000</v>
      </c>
      <c r="N1931" s="1">
        <f>1378*10000</f>
        <v>13780000</v>
      </c>
      <c r="O1931" s="8">
        <f t="shared" si="948"/>
        <v>1.7341269841269842</v>
      </c>
      <c r="P1931" s="7" t="s">
        <v>17206</v>
      </c>
      <c r="Q1931" s="6" t="str">
        <f t="shared" si="932"/>
        <v>=504.0*10000</v>
      </c>
      <c r="R1931" s="11">
        <f>504*10000</f>
        <v>5040000</v>
      </c>
      <c r="S1931" s="8">
        <f t="shared" si="949"/>
        <v>-1.0313432835820895</v>
      </c>
      <c r="T1931" s="6">
        <f>-1.608*100000000</f>
        <v>-160800000</v>
      </c>
      <c r="U1931" s="6" t="str">
        <f t="shared" si="933"/>
        <v>=-160800000</v>
      </c>
      <c r="V1931" s="1">
        <f>-160800000</f>
        <v>-160800000</v>
      </c>
      <c r="W1931" s="8">
        <f t="shared" si="950"/>
        <v>-8.6317038443284293</v>
      </c>
      <c r="X1931" s="7" t="s">
        <v>16928</v>
      </c>
      <c r="Y1931" s="6" t="str">
        <f t="shared" si="934"/>
        <v>=2107*10000</v>
      </c>
      <c r="Z1931" s="1">
        <f>2107*10000</f>
        <v>21070000</v>
      </c>
      <c r="AA1931" s="8">
        <f t="shared" si="951"/>
        <v>3.7691263014938885</v>
      </c>
      <c r="AB1931" s="7" t="s">
        <v>17207</v>
      </c>
      <c r="AC1931" s="6" t="str">
        <f t="shared" si="935"/>
        <v>=441.8*10000</v>
      </c>
      <c r="AD1931" s="1">
        <f>441.8*10000</f>
        <v>4418000</v>
      </c>
      <c r="AE1931" s="8">
        <f t="shared" si="952"/>
        <v>3.6519953669579865</v>
      </c>
      <c r="AF1931" s="7" t="s">
        <v>17208</v>
      </c>
      <c r="AG1931" s="6" t="str">
        <f t="shared" si="936"/>
        <v>=94.97*10000</v>
      </c>
      <c r="AH1931" s="1">
        <f>94.97*10000</f>
        <v>949700</v>
      </c>
      <c r="AI1931" s="8">
        <f t="shared" si="953"/>
        <v>-0.98837860988742043</v>
      </c>
      <c r="AJ1931" s="7" t="s">
        <v>17209</v>
      </c>
      <c r="AK1931" s="6" t="str">
        <f t="shared" si="937"/>
        <v>=8172*10000</v>
      </c>
      <c r="AL1931" s="1">
        <f>8172*10000</f>
        <v>81720000</v>
      </c>
      <c r="AM1931" s="8">
        <f t="shared" si="954"/>
        <v>0.37483176312247646</v>
      </c>
      <c r="AN1931" s="7" t="s">
        <v>1043</v>
      </c>
      <c r="AO1931" s="6" t="str">
        <f t="shared" si="938"/>
        <v>=5944*10000</v>
      </c>
      <c r="AP1931" s="1">
        <f>5944*10000</f>
        <v>59440000</v>
      </c>
      <c r="AQ1931" s="8">
        <f t="shared" si="955"/>
        <v>0.52841347390074567</v>
      </c>
      <c r="AR1931" s="7" t="s">
        <v>17210</v>
      </c>
      <c r="AS1931" s="6" t="str">
        <f t="shared" si="939"/>
        <v>=3889*10000</v>
      </c>
      <c r="AT1931" s="1">
        <f>3889*10000</f>
        <v>38890000</v>
      </c>
      <c r="AU1931" s="8">
        <f t="shared" si="956"/>
        <v>1.3427710843373495</v>
      </c>
      <c r="AV1931" s="7" t="s">
        <v>17211</v>
      </c>
      <c r="AW1931" s="6" t="str">
        <f t="shared" si="940"/>
        <v>=1660*10000</v>
      </c>
      <c r="AX1931" s="1">
        <f>1660*10000</f>
        <v>16600000</v>
      </c>
      <c r="AY1931" s="10">
        <f t="shared" si="957"/>
        <v>-0.73763236921131659</v>
      </c>
      <c r="AZ1931" s="7" t="s">
        <v>7384</v>
      </c>
      <c r="BA1931" s="6" t="str">
        <f t="shared" si="941"/>
        <v>=6327*10000</v>
      </c>
      <c r="BB1931" s="1">
        <f>6327*10000</f>
        <v>63270000</v>
      </c>
      <c r="BC1931" s="8">
        <f t="shared" si="958"/>
        <v>0.357725321888412</v>
      </c>
      <c r="BD1931" s="7" t="s">
        <v>8804</v>
      </c>
      <c r="BE1931" s="6" t="str">
        <f t="shared" si="942"/>
        <v>=4660*10000</v>
      </c>
      <c r="BF1931" s="1">
        <f>4660*10000</f>
        <v>46600000</v>
      </c>
      <c r="BG1931" s="8">
        <f t="shared" si="959"/>
        <v>0.65718349928876241</v>
      </c>
      <c r="BH1931" s="7" t="s">
        <v>16406</v>
      </c>
      <c r="BI1931" s="6" t="str">
        <f t="shared" si="943"/>
        <v>=2812*10000</v>
      </c>
      <c r="BJ1931" s="1">
        <f>2812*10000</f>
        <v>28120000</v>
      </c>
      <c r="BK1931" s="7" t="s">
        <v>17212</v>
      </c>
      <c r="BL1931" s="1" t="str">
        <f t="shared" si="945"/>
        <v>=1141*10000</v>
      </c>
      <c r="BM1931" s="16">
        <f t="shared" si="960"/>
        <v>1.4645048203330413</v>
      </c>
      <c r="BN1931" s="1">
        <f>1141*10000</f>
        <v>11410000</v>
      </c>
    </row>
    <row r="1932" spans="1:66">
      <c r="A1932" s="18"/>
      <c r="B1932">
        <v>603813</v>
      </c>
      <c r="C1932" t="s">
        <v>58</v>
      </c>
      <c r="D1932" s="7" t="s">
        <v>17156</v>
      </c>
      <c r="E1932" s="7" t="str">
        <f t="shared" si="944"/>
        <v>=3650*10000</v>
      </c>
      <c r="F1932" s="1">
        <f>3650*10000</f>
        <v>36500000</v>
      </c>
      <c r="G1932" s="8">
        <f t="shared" si="946"/>
        <v>1.1332554061952074</v>
      </c>
      <c r="H1932" s="7" t="s">
        <v>7312</v>
      </c>
      <c r="I1932" s="6" t="str">
        <f t="shared" si="930"/>
        <v>=1711*10000</v>
      </c>
      <c r="J1932" s="1">
        <f>1711*10000</f>
        <v>17110000</v>
      </c>
      <c r="K1932" s="10">
        <f t="shared" si="947"/>
        <v>0.25901398086828553</v>
      </c>
      <c r="L1932" s="7" t="s">
        <v>14536</v>
      </c>
      <c r="M1932" s="6" t="str">
        <f t="shared" si="931"/>
        <v>=1359*10000</v>
      </c>
      <c r="N1932" s="1">
        <f>1359*10000</f>
        <v>13590000</v>
      </c>
      <c r="O1932" s="8">
        <f t="shared" si="948"/>
        <v>1.6501560062402496</v>
      </c>
      <c r="P1932" s="7" t="s">
        <v>17213</v>
      </c>
      <c r="Q1932" s="6" t="str">
        <f t="shared" si="932"/>
        <v>=512.8*10000</v>
      </c>
      <c r="R1932" s="11">
        <f>512.8*10000</f>
        <v>5128000</v>
      </c>
      <c r="S1932" s="8">
        <f t="shared" si="949"/>
        <v>-1.0319501557632398</v>
      </c>
      <c r="T1932" s="6">
        <f>-1.605*100000000</f>
        <v>-160500000</v>
      </c>
      <c r="U1932" s="6" t="str">
        <f t="shared" si="933"/>
        <v>=-160500000</v>
      </c>
      <c r="V1932" s="1">
        <f>-160500000</f>
        <v>-160500000</v>
      </c>
      <c r="W1932" s="8">
        <f t="shared" si="950"/>
        <v>-8.4581784386617098</v>
      </c>
      <c r="X1932" s="7" t="s">
        <v>17214</v>
      </c>
      <c r="Y1932" s="6" t="str">
        <f t="shared" si="934"/>
        <v>=2152*10000</v>
      </c>
      <c r="Z1932" s="1">
        <f>2152*10000</f>
        <v>21520000</v>
      </c>
      <c r="AA1932" s="8">
        <f t="shared" si="951"/>
        <v>3.5535336436732967</v>
      </c>
      <c r="AB1932" s="7" t="s">
        <v>17215</v>
      </c>
      <c r="AC1932" s="6" t="str">
        <f t="shared" si="935"/>
        <v>=472.6*10000</v>
      </c>
      <c r="AD1932" s="1">
        <f>472.6*10000</f>
        <v>4726000</v>
      </c>
      <c r="AE1932" s="8">
        <f t="shared" si="952"/>
        <v>2.9025598678777871</v>
      </c>
      <c r="AF1932" s="7" t="s">
        <v>17216</v>
      </c>
      <c r="AG1932" s="6" t="str">
        <f t="shared" si="936"/>
        <v>=121.1*10000</v>
      </c>
      <c r="AH1932" s="1">
        <f>121.1*10000</f>
        <v>1211000</v>
      </c>
      <c r="AI1932" s="8">
        <f t="shared" si="953"/>
        <v>-0.98505491793163025</v>
      </c>
      <c r="AJ1932" s="7" t="s">
        <v>15997</v>
      </c>
      <c r="AK1932" s="6" t="str">
        <f t="shared" si="937"/>
        <v>=8103*10000</v>
      </c>
      <c r="AL1932" s="1">
        <f>8103*10000</f>
        <v>81030000</v>
      </c>
      <c r="AM1932" s="8">
        <f t="shared" si="954"/>
        <v>0.3736226479064248</v>
      </c>
      <c r="AN1932" s="7" t="s">
        <v>15425</v>
      </c>
      <c r="AO1932" s="6" t="str">
        <f t="shared" si="938"/>
        <v>=5899*10000</v>
      </c>
      <c r="AP1932" s="1">
        <f>5899*10000</f>
        <v>58990000</v>
      </c>
      <c r="AQ1932" s="8">
        <f t="shared" si="955"/>
        <v>0.52982365145228216</v>
      </c>
      <c r="AR1932" s="7" t="s">
        <v>17217</v>
      </c>
      <c r="AS1932" s="6" t="str">
        <f t="shared" si="939"/>
        <v>=3856*10000</v>
      </c>
      <c r="AT1932" s="1">
        <f>3856*10000</f>
        <v>38560000</v>
      </c>
      <c r="AU1932" s="8">
        <f t="shared" si="956"/>
        <v>1.3670963781461019</v>
      </c>
      <c r="AV1932" s="7" t="s">
        <v>15220</v>
      </c>
      <c r="AW1932" s="6" t="str">
        <f t="shared" si="940"/>
        <v>=1629*10000</v>
      </c>
      <c r="AX1932" s="1">
        <f>1629*10000</f>
        <v>16290000</v>
      </c>
      <c r="AY1932" s="10">
        <f t="shared" si="957"/>
        <v>-0.75084123585194251</v>
      </c>
      <c r="AZ1932" s="7" t="s">
        <v>16510</v>
      </c>
      <c r="BA1932" s="6" t="str">
        <f t="shared" si="941"/>
        <v>=6538*10000</v>
      </c>
      <c r="BB1932" s="1">
        <f>6538*10000</f>
        <v>65380000</v>
      </c>
      <c r="BC1932" s="8">
        <f t="shared" si="958"/>
        <v>0.32214357937310417</v>
      </c>
      <c r="BD1932" s="7" t="s">
        <v>8478</v>
      </c>
      <c r="BE1932" s="6" t="str">
        <f t="shared" si="942"/>
        <v>=4945*10000</v>
      </c>
      <c r="BF1932" s="1">
        <f>4945*10000</f>
        <v>49450000</v>
      </c>
      <c r="BG1932" s="8">
        <f t="shared" si="959"/>
        <v>0.58798972382787407</v>
      </c>
      <c r="BH1932" s="7" t="s">
        <v>17218</v>
      </c>
      <c r="BI1932" s="6" t="str">
        <f t="shared" si="943"/>
        <v>=3114*10000</v>
      </c>
      <c r="BJ1932" s="1">
        <f>3114*10000</f>
        <v>31140000</v>
      </c>
      <c r="BK1932" s="7" t="s">
        <v>17219</v>
      </c>
      <c r="BL1932" s="1" t="str">
        <f t="shared" si="945"/>
        <v>=1140*10000</v>
      </c>
      <c r="BM1932" s="16">
        <f t="shared" si="960"/>
        <v>1.7315789473684211</v>
      </c>
      <c r="BN1932" s="1">
        <f>1140*10000</f>
        <v>11400000</v>
      </c>
    </row>
    <row r="1933" spans="1:66">
      <c r="A1933" s="19"/>
      <c r="B1933">
        <v>603813</v>
      </c>
      <c r="C1933" t="s">
        <v>68</v>
      </c>
      <c r="D1933" s="7" t="s">
        <v>17220</v>
      </c>
      <c r="E1933" s="7" t="str">
        <f t="shared" si="944"/>
        <v>=3092*10000</v>
      </c>
      <c r="F1933" s="1">
        <f>3092*10000</f>
        <v>30920000</v>
      </c>
      <c r="G1933" s="8">
        <f t="shared" si="946"/>
        <v>1.326561324303988</v>
      </c>
      <c r="H1933" s="7" t="s">
        <v>17221</v>
      </c>
      <c r="I1933" s="6" t="str">
        <f t="shared" si="930"/>
        <v>=1329*10000</v>
      </c>
      <c r="J1933" s="1">
        <f>1329*10000</f>
        <v>13290000</v>
      </c>
      <c r="K1933" s="10">
        <f t="shared" si="947"/>
        <v>0.26450999048525214</v>
      </c>
      <c r="L1933" s="7" t="s">
        <v>17222</v>
      </c>
      <c r="M1933" s="6" t="str">
        <f t="shared" si="931"/>
        <v>=1051*10000</v>
      </c>
      <c r="N1933" s="1">
        <f>1051*10000</f>
        <v>10510000</v>
      </c>
      <c r="O1933" s="8">
        <f t="shared" si="948"/>
        <v>1.9857954545454546</v>
      </c>
      <c r="P1933" s="7" t="s">
        <v>17223</v>
      </c>
      <c r="Q1933" s="6" t="str">
        <f t="shared" si="932"/>
        <v>=352.0*10000</v>
      </c>
      <c r="R1933" s="11">
        <f>352*10000</f>
        <v>3520000</v>
      </c>
      <c r="S1933" s="8">
        <f t="shared" si="949"/>
        <v>-1.0215027489309714</v>
      </c>
      <c r="T1933" s="6">
        <f>-1.637*100000000</f>
        <v>-163700000</v>
      </c>
      <c r="U1933" s="6" t="str">
        <f t="shared" si="933"/>
        <v>=-163700000</v>
      </c>
      <c r="V1933" s="1">
        <f>-163700000</f>
        <v>-163700000</v>
      </c>
      <c r="W1933" s="8">
        <f t="shared" si="950"/>
        <v>-11.884308510638299</v>
      </c>
      <c r="X1933" s="7" t="s">
        <v>15666</v>
      </c>
      <c r="Y1933" s="6" t="str">
        <f t="shared" si="934"/>
        <v>=1504*10000</v>
      </c>
      <c r="Z1933" s="1">
        <f>1504*10000</f>
        <v>15040000</v>
      </c>
      <c r="AA1933" s="8">
        <f t="shared" si="951"/>
        <v>9.2243371855880358</v>
      </c>
      <c r="AB1933" s="7" t="s">
        <v>15462</v>
      </c>
      <c r="AC1933" s="6" t="str">
        <f t="shared" si="935"/>
        <v>=147.1*10000</v>
      </c>
      <c r="AD1933" s="1">
        <f>147.1*10000</f>
        <v>1471000</v>
      </c>
      <c r="AE1933" s="8">
        <f t="shared" si="952"/>
        <v>2.0311147743663711</v>
      </c>
      <c r="AF1933" s="7" t="s">
        <v>17224</v>
      </c>
      <c r="AG1933" s="6" t="str">
        <f t="shared" si="936"/>
        <v>=48.53*10000</v>
      </c>
      <c r="AH1933" s="1">
        <f>48.53*10000</f>
        <v>485300</v>
      </c>
      <c r="AI1933" s="8">
        <f t="shared" si="953"/>
        <v>-0.99298902051430227</v>
      </c>
      <c r="AJ1933" s="7" t="s">
        <v>17225</v>
      </c>
      <c r="AK1933" s="6" t="str">
        <f t="shared" si="937"/>
        <v>=6922*10000</v>
      </c>
      <c r="AL1933" s="1">
        <f>6922*10000</f>
        <v>69220000</v>
      </c>
      <c r="AM1933" s="8">
        <f t="shared" si="954"/>
        <v>0.39697275479313826</v>
      </c>
      <c r="AN1933" s="7" t="s">
        <v>9112</v>
      </c>
      <c r="AO1933" s="6" t="str">
        <f t="shared" si="938"/>
        <v>=4955*10000</v>
      </c>
      <c r="AP1933" s="1">
        <f>4955*10000</f>
        <v>49550000</v>
      </c>
      <c r="AQ1933" s="8">
        <f t="shared" si="955"/>
        <v>0.51067073170731703</v>
      </c>
      <c r="AR1933" s="7" t="s">
        <v>17226</v>
      </c>
      <c r="AS1933" s="6" t="str">
        <f t="shared" si="939"/>
        <v>=3280*10000</v>
      </c>
      <c r="AT1933" s="1">
        <f>3280*10000</f>
        <v>32800000</v>
      </c>
      <c r="AU1933" s="8">
        <f t="shared" si="956"/>
        <v>1.4386617100371748</v>
      </c>
      <c r="AV1933" s="7" t="s">
        <v>17227</v>
      </c>
      <c r="AW1933" s="6" t="str">
        <f t="shared" si="940"/>
        <v>=1345*10000</v>
      </c>
      <c r="AX1933" s="1">
        <f>1345*10000</f>
        <v>13450000</v>
      </c>
      <c r="AY1933" s="10">
        <f t="shared" si="957"/>
        <v>-0.75625226531351941</v>
      </c>
      <c r="AZ1933" s="7" t="s">
        <v>17228</v>
      </c>
      <c r="BA1933" s="6" t="str">
        <f t="shared" si="941"/>
        <v>=5518*10000</v>
      </c>
      <c r="BB1933" s="1">
        <f>5518*10000</f>
        <v>55180000</v>
      </c>
      <c r="BC1933" s="8">
        <f t="shared" si="958"/>
        <v>0.33381677544114091</v>
      </c>
      <c r="BD1933" s="7" t="s">
        <v>17229</v>
      </c>
      <c r="BE1933" s="6" t="str">
        <f t="shared" si="942"/>
        <v>=4137*10000</v>
      </c>
      <c r="BF1933" s="1">
        <f>4137*10000</f>
        <v>41370000</v>
      </c>
      <c r="BG1933" s="8">
        <f t="shared" si="959"/>
        <v>0.54769921436588098</v>
      </c>
      <c r="BH1933" s="7" t="s">
        <v>17016</v>
      </c>
      <c r="BI1933" s="6" t="str">
        <f t="shared" si="943"/>
        <v>=2673*10000</v>
      </c>
      <c r="BJ1933" s="1">
        <f>2673*10000</f>
        <v>26730000</v>
      </c>
      <c r="BK1933" s="7" t="s">
        <v>4865</v>
      </c>
      <c r="BL1933" s="1" t="str">
        <f t="shared" si="945"/>
        <v>=1005*10000</v>
      </c>
      <c r="BM1933" s="16">
        <f t="shared" si="960"/>
        <v>1.6597014925373135</v>
      </c>
      <c r="BN1933" s="1">
        <f>1005*10000</f>
        <v>10050000</v>
      </c>
    </row>
    <row r="1934" spans="1:66">
      <c r="A1934" s="17">
        <v>485</v>
      </c>
      <c r="B1934">
        <v>603822</v>
      </c>
      <c r="C1934" t="s">
        <v>31</v>
      </c>
      <c r="D1934" s="6" t="s">
        <v>11583</v>
      </c>
      <c r="E1934" s="7" t="str">
        <f t="shared" si="944"/>
        <v>=19.16*100000000</v>
      </c>
      <c r="F1934" s="1">
        <f>19.16*100000000</f>
        <v>1916000000</v>
      </c>
      <c r="G1934" s="8">
        <f t="shared" si="946"/>
        <v>0.5340272217774219</v>
      </c>
      <c r="H1934" s="6" t="s">
        <v>6228</v>
      </c>
      <c r="I1934" s="6" t="str">
        <f t="shared" si="930"/>
        <v>=12.49*100000000</v>
      </c>
      <c r="J1934" s="1">
        <f>12.49*100000000</f>
        <v>1249000000</v>
      </c>
      <c r="K1934" s="10">
        <f t="shared" si="947"/>
        <v>0.72776317609627883</v>
      </c>
      <c r="L1934" s="6" t="s">
        <v>17230</v>
      </c>
      <c r="M1934" s="6" t="str">
        <f t="shared" si="931"/>
        <v>=7.229*100000000</v>
      </c>
      <c r="N1934" s="1">
        <f>7.229*100000000</f>
        <v>722900000</v>
      </c>
      <c r="O1934" s="8">
        <f t="shared" si="948"/>
        <v>1.2682773768434263</v>
      </c>
      <c r="P1934" s="6" t="s">
        <v>7131</v>
      </c>
      <c r="Q1934" s="6" t="str">
        <f t="shared" si="932"/>
        <v>=3.187*100000000</v>
      </c>
      <c r="R1934" s="11">
        <f>3.187*100000000</f>
        <v>318700000</v>
      </c>
      <c r="S1934" s="8">
        <f t="shared" si="949"/>
        <v>-0.74089430894308939</v>
      </c>
      <c r="T1934" s="6" t="s">
        <v>11050</v>
      </c>
      <c r="U1934" s="6" t="str">
        <f t="shared" si="933"/>
        <v>=12.30*100000000</v>
      </c>
      <c r="V1934" s="1">
        <f>12.3*100000000</f>
        <v>1230000000</v>
      </c>
      <c r="W1934" s="8">
        <f t="shared" si="950"/>
        <v>0.45441645973749534</v>
      </c>
      <c r="X1934" s="6" t="s">
        <v>9632</v>
      </c>
      <c r="Y1934" s="6" t="str">
        <f t="shared" si="934"/>
        <v>=8.457*100000000</v>
      </c>
      <c r="Z1934" s="1">
        <f>8.457*100000000</f>
        <v>845700000.00000012</v>
      </c>
      <c r="AA1934" s="8">
        <f t="shared" si="951"/>
        <v>0.84007832898172352</v>
      </c>
      <c r="AB1934" s="6" t="s">
        <v>15177</v>
      </c>
      <c r="AC1934" s="6" t="str">
        <f t="shared" si="935"/>
        <v>=4.596*100000000</v>
      </c>
      <c r="AD1934" s="1">
        <f>4.596*100000000</f>
        <v>459600000</v>
      </c>
      <c r="AE1934" s="8">
        <f t="shared" si="952"/>
        <v>0.91101871101871124</v>
      </c>
      <c r="AF1934" s="6" t="s">
        <v>1990</v>
      </c>
      <c r="AG1934" s="6" t="str">
        <f t="shared" si="936"/>
        <v>=2.405*100000000</v>
      </c>
      <c r="AH1934" s="1">
        <f>2.405*100000000</f>
        <v>240499999.99999997</v>
      </c>
      <c r="AI1934" s="8">
        <f t="shared" si="953"/>
        <v>-0.77627906976744188</v>
      </c>
      <c r="AJ1934" s="6" t="s">
        <v>4101</v>
      </c>
      <c r="AK1934" s="6" t="str">
        <f t="shared" si="937"/>
        <v>=10.75*100000000</v>
      </c>
      <c r="AL1934" s="1">
        <f>10.75*100000000</f>
        <v>1075000000</v>
      </c>
      <c r="AM1934" s="8">
        <f t="shared" si="954"/>
        <v>0.27038525171354288</v>
      </c>
      <c r="AN1934" s="6" t="s">
        <v>13162</v>
      </c>
      <c r="AO1934" s="6" t="str">
        <f t="shared" si="938"/>
        <v>=8.462*100000000</v>
      </c>
      <c r="AP1934" s="1">
        <f>8.462*100000000</f>
        <v>846200000</v>
      </c>
      <c r="AQ1934" s="8">
        <f t="shared" si="955"/>
        <v>0.68197177499503103</v>
      </c>
      <c r="AR1934" s="6" t="s">
        <v>1664</v>
      </c>
      <c r="AS1934" s="6" t="str">
        <f t="shared" si="939"/>
        <v>=5.031*100000000</v>
      </c>
      <c r="AT1934" s="1">
        <f>5.031*100000000</f>
        <v>503099999.99999994</v>
      </c>
      <c r="AU1934" s="8">
        <f t="shared" si="956"/>
        <v>1.4187499999999997</v>
      </c>
      <c r="AV1934" s="6" t="s">
        <v>8872</v>
      </c>
      <c r="AW1934" s="6" t="str">
        <f t="shared" si="940"/>
        <v>=2.080*100000000</v>
      </c>
      <c r="AX1934" s="1">
        <f>2.08*100000000</f>
        <v>208000000</v>
      </c>
      <c r="AY1934" s="10">
        <f t="shared" si="957"/>
        <v>-0.79980750721847926</v>
      </c>
      <c r="AZ1934" s="6" t="s">
        <v>2056</v>
      </c>
      <c r="BA1934" s="6" t="str">
        <f t="shared" si="941"/>
        <v>=10.39*100000000</v>
      </c>
      <c r="BB1934" s="1">
        <f>10.39*100000000</f>
        <v>1039000000</v>
      </c>
      <c r="BC1934" s="8">
        <f t="shared" si="958"/>
        <v>0.34498381877022655</v>
      </c>
      <c r="BD1934" s="6" t="s">
        <v>17231</v>
      </c>
      <c r="BE1934" s="6" t="str">
        <f t="shared" si="942"/>
        <v>=7.725*100000000</v>
      </c>
      <c r="BF1934" s="1">
        <f>7.725*100000000</f>
        <v>772500000</v>
      </c>
      <c r="BG1934" s="8">
        <f t="shared" si="959"/>
        <v>0.64396680144711638</v>
      </c>
      <c r="BH1934" s="6" t="s">
        <v>7379</v>
      </c>
      <c r="BI1934" s="6" t="str">
        <f t="shared" si="943"/>
        <v>=4.699*100000000</v>
      </c>
      <c r="BJ1934" s="1">
        <f>4.699*100000000</f>
        <v>469900000</v>
      </c>
      <c r="BK1934" s="6" t="s">
        <v>11797</v>
      </c>
      <c r="BL1934" s="1" t="str">
        <f t="shared" si="945"/>
        <v>=1.987*100000000</v>
      </c>
      <c r="BM1934" s="16">
        <f t="shared" si="960"/>
        <v>1.3648716658278812</v>
      </c>
      <c r="BN1934" s="1">
        <f>1.987*100000000</f>
        <v>198700000</v>
      </c>
    </row>
    <row r="1935" spans="1:66">
      <c r="A1935" s="18"/>
      <c r="B1935">
        <v>603822</v>
      </c>
      <c r="C1935" t="s">
        <v>48</v>
      </c>
      <c r="D1935" s="6" t="s">
        <v>10913</v>
      </c>
      <c r="E1935" s="7" t="str">
        <f t="shared" si="944"/>
        <v>=1.053*100000000</v>
      </c>
      <c r="F1935" s="1">
        <f>1.053*100000000</f>
        <v>105300000</v>
      </c>
      <c r="G1935" s="8">
        <f t="shared" si="946"/>
        <v>0.32087305569493224</v>
      </c>
      <c r="H1935" s="7" t="s">
        <v>3491</v>
      </c>
      <c r="I1935" s="6" t="str">
        <f t="shared" si="930"/>
        <v>=7972*10000</v>
      </c>
      <c r="J1935" s="1">
        <f>7972*10000</f>
        <v>79720000</v>
      </c>
      <c r="K1935" s="10">
        <f t="shared" si="947"/>
        <v>0.56559308719560097</v>
      </c>
      <c r="L1935" s="7" t="s">
        <v>16733</v>
      </c>
      <c r="M1935" s="6" t="str">
        <f t="shared" si="931"/>
        <v>=5092*10000</v>
      </c>
      <c r="N1935" s="1">
        <f>5092*10000</f>
        <v>50920000</v>
      </c>
      <c r="O1935" s="8">
        <f t="shared" si="948"/>
        <v>1.1825975139305616</v>
      </c>
      <c r="P1935" s="7" t="s">
        <v>17232</v>
      </c>
      <c r="Q1935" s="6" t="str">
        <f t="shared" si="932"/>
        <v>=2333*10000</v>
      </c>
      <c r="R1935" s="11">
        <f>2333*10000</f>
        <v>23330000</v>
      </c>
      <c r="S1935" s="8">
        <f t="shared" si="949"/>
        <v>-0.43524570321955941</v>
      </c>
      <c r="T1935" s="7" t="s">
        <v>17233</v>
      </c>
      <c r="U1935" s="6" t="str">
        <f t="shared" si="933"/>
        <v>=4131*10000</v>
      </c>
      <c r="V1935" s="1">
        <f>4131*10000</f>
        <v>41310000</v>
      </c>
      <c r="W1935" s="8">
        <f t="shared" si="950"/>
        <v>0.29824010056568195</v>
      </c>
      <c r="X1935" s="7" t="s">
        <v>10056</v>
      </c>
      <c r="Y1935" s="6" t="str">
        <f t="shared" si="934"/>
        <v>=3182*10000</v>
      </c>
      <c r="Z1935" s="1">
        <f>3182*10000</f>
        <v>31820000</v>
      </c>
      <c r="AA1935" s="8">
        <f t="shared" si="951"/>
        <v>0.6616187989556136</v>
      </c>
      <c r="AB1935" s="7" t="s">
        <v>17234</v>
      </c>
      <c r="AC1935" s="6" t="str">
        <f t="shared" si="935"/>
        <v>=1915*10000</v>
      </c>
      <c r="AD1935" s="1">
        <f>1915*10000</f>
        <v>19150000</v>
      </c>
      <c r="AE1935" s="8">
        <f t="shared" si="952"/>
        <v>3.585727969348659</v>
      </c>
      <c r="AF1935" s="7" t="s">
        <v>17235</v>
      </c>
      <c r="AG1935" s="6" t="str">
        <f t="shared" si="936"/>
        <v>=417.6*10000</v>
      </c>
      <c r="AH1935" s="1">
        <f>417.6*10000</f>
        <v>4176000</v>
      </c>
      <c r="AI1935" s="8">
        <f t="shared" si="953"/>
        <v>-0.94436450839328534</v>
      </c>
      <c r="AJ1935" s="7" t="s">
        <v>12763</v>
      </c>
      <c r="AK1935" s="6" t="str">
        <f t="shared" si="937"/>
        <v>=7506*10000</v>
      </c>
      <c r="AL1935" s="1">
        <f>7506*10000</f>
        <v>75060000</v>
      </c>
      <c r="AM1935" s="8">
        <f t="shared" si="954"/>
        <v>0.46515713449150886</v>
      </c>
      <c r="AN1935" s="7" t="s">
        <v>17236</v>
      </c>
      <c r="AO1935" s="6" t="str">
        <f t="shared" si="938"/>
        <v>=5123*10000</v>
      </c>
      <c r="AP1935" s="1">
        <f>5123*10000</f>
        <v>51230000</v>
      </c>
      <c r="AQ1935" s="8">
        <f t="shared" si="955"/>
        <v>0.41950678858409529</v>
      </c>
      <c r="AR1935" s="7" t="s">
        <v>5493</v>
      </c>
      <c r="AS1935" s="6" t="str">
        <f t="shared" si="939"/>
        <v>=3609*10000</v>
      </c>
      <c r="AT1935" s="1">
        <f>3609*10000</f>
        <v>36090000</v>
      </c>
      <c r="AU1935" s="8">
        <f t="shared" si="956"/>
        <v>7.0396524838494097</v>
      </c>
      <c r="AV1935" s="7" t="s">
        <v>17237</v>
      </c>
      <c r="AW1935" s="6" t="str">
        <f t="shared" si="940"/>
        <v>=448.9*10000</v>
      </c>
      <c r="AX1935" s="1">
        <f>448.9*10000</f>
        <v>4489000</v>
      </c>
      <c r="AY1935" s="10">
        <f t="shared" si="957"/>
        <v>-0.91860380779691753</v>
      </c>
      <c r="AZ1935" s="7" t="s">
        <v>17238</v>
      </c>
      <c r="BA1935" s="6" t="str">
        <f t="shared" si="941"/>
        <v>=5515*10000</v>
      </c>
      <c r="BB1935" s="1">
        <f>5515*10000</f>
        <v>55150000</v>
      </c>
      <c r="BC1935" s="8">
        <f t="shared" si="958"/>
        <v>0.30347435594422123</v>
      </c>
      <c r="BD1935" s="7" t="s">
        <v>17239</v>
      </c>
      <c r="BE1935" s="6" t="str">
        <f t="shared" si="942"/>
        <v>=4231*10000</v>
      </c>
      <c r="BF1935" s="1">
        <f>4231*10000</f>
        <v>42310000</v>
      </c>
      <c r="BG1935" s="8">
        <f t="shared" si="959"/>
        <v>0.39269256089532589</v>
      </c>
      <c r="BH1935" s="7" t="s">
        <v>17240</v>
      </c>
      <c r="BI1935" s="6" t="str">
        <f t="shared" si="943"/>
        <v>=3038*10000</v>
      </c>
      <c r="BJ1935" s="1">
        <f>3038*10000</f>
        <v>30380000</v>
      </c>
      <c r="BK1935" s="7" t="s">
        <v>9458</v>
      </c>
      <c r="BL1935" s="1" t="str">
        <f t="shared" si="945"/>
        <v>=822.2*10000</v>
      </c>
      <c r="BM1935" s="16">
        <f t="shared" si="960"/>
        <v>2.6949647287764535</v>
      </c>
      <c r="BN1935" s="1">
        <f>822.2*10000</f>
        <v>8222000</v>
      </c>
    </row>
    <row r="1936" spans="1:66">
      <c r="A1936" s="18"/>
      <c r="B1936">
        <v>603822</v>
      </c>
      <c r="C1936" t="s">
        <v>58</v>
      </c>
      <c r="D1936" s="6" t="s">
        <v>10529</v>
      </c>
      <c r="E1936" s="7" t="str">
        <f t="shared" si="944"/>
        <v>=1.043*100000000</v>
      </c>
      <c r="F1936" s="1">
        <f>1.043*100000000</f>
        <v>104300000</v>
      </c>
      <c r="G1936" s="8">
        <f t="shared" si="946"/>
        <v>0.31559031281533806</v>
      </c>
      <c r="H1936" s="7" t="s">
        <v>17241</v>
      </c>
      <c r="I1936" s="6" t="str">
        <f t="shared" si="930"/>
        <v>=7928*10000</v>
      </c>
      <c r="J1936" s="1">
        <f>7928*10000</f>
        <v>79280000</v>
      </c>
      <c r="K1936" s="10">
        <f t="shared" si="947"/>
        <v>0.56155209769548942</v>
      </c>
      <c r="L1936" s="7" t="s">
        <v>17242</v>
      </c>
      <c r="M1936" s="6" t="str">
        <f t="shared" si="931"/>
        <v>=5077*10000</v>
      </c>
      <c r="N1936" s="1">
        <f>5077*10000</f>
        <v>50770000</v>
      </c>
      <c r="O1936" s="8">
        <f t="shared" si="948"/>
        <v>1.1604255319148937</v>
      </c>
      <c r="P1936" s="7" t="s">
        <v>17243</v>
      </c>
      <c r="Q1936" s="6" t="str">
        <f t="shared" si="932"/>
        <v>=2350*10000</v>
      </c>
      <c r="R1936" s="11">
        <f>2350*10000</f>
        <v>23500000</v>
      </c>
      <c r="S1936" s="8">
        <f t="shared" si="949"/>
        <v>-0.40020418580908629</v>
      </c>
      <c r="T1936" s="7" t="s">
        <v>6923</v>
      </c>
      <c r="U1936" s="6" t="str">
        <f t="shared" si="933"/>
        <v>=3918*10000</v>
      </c>
      <c r="V1936" s="1">
        <f>3918*10000</f>
        <v>39180000</v>
      </c>
      <c r="W1936" s="8">
        <f t="shared" si="950"/>
        <v>0.17516496700659867</v>
      </c>
      <c r="X1936" s="7" t="s">
        <v>17244</v>
      </c>
      <c r="Y1936" s="6" t="str">
        <f t="shared" si="934"/>
        <v>=3334*10000</v>
      </c>
      <c r="Z1936" s="1">
        <f>3334*10000</f>
        <v>33340000</v>
      </c>
      <c r="AA1936" s="8">
        <f t="shared" si="951"/>
        <v>0.6686686686686687</v>
      </c>
      <c r="AB1936" s="7" t="s">
        <v>10792</v>
      </c>
      <c r="AC1936" s="6" t="str">
        <f t="shared" si="935"/>
        <v>=1998*10000</v>
      </c>
      <c r="AD1936" s="1">
        <f>1998*10000</f>
        <v>19980000</v>
      </c>
      <c r="AE1936" s="8">
        <f t="shared" si="952"/>
        <v>3.893460690668626</v>
      </c>
      <c r="AF1936" s="7" t="s">
        <v>17245</v>
      </c>
      <c r="AG1936" s="6" t="str">
        <f t="shared" si="936"/>
        <v>=408.3*10000</v>
      </c>
      <c r="AH1936" s="1">
        <f>408.3*10000</f>
        <v>4083000</v>
      </c>
      <c r="AI1936" s="8">
        <f t="shared" si="953"/>
        <v>-0.94035062089116139</v>
      </c>
      <c r="AJ1936" s="7" t="s">
        <v>17246</v>
      </c>
      <c r="AK1936" s="6" t="str">
        <f t="shared" si="937"/>
        <v>=6845*10000</v>
      </c>
      <c r="AL1936" s="1">
        <f>6845*10000</f>
        <v>68450000</v>
      </c>
      <c r="AM1936" s="8">
        <f t="shared" si="954"/>
        <v>0.35249950602647701</v>
      </c>
      <c r="AN1936" s="7" t="s">
        <v>2478</v>
      </c>
      <c r="AO1936" s="6" t="str">
        <f t="shared" si="938"/>
        <v>=5061*10000</v>
      </c>
      <c r="AP1936" s="1">
        <f>5061*10000</f>
        <v>50610000</v>
      </c>
      <c r="AQ1936" s="8">
        <f t="shared" si="955"/>
        <v>0.38429978118161928</v>
      </c>
      <c r="AR1936" s="7" t="s">
        <v>17247</v>
      </c>
      <c r="AS1936" s="6" t="str">
        <f t="shared" si="939"/>
        <v>=3656*10000</v>
      </c>
      <c r="AT1936" s="1">
        <f>3656*10000</f>
        <v>36560000</v>
      </c>
      <c r="AU1936" s="8">
        <f t="shared" si="956"/>
        <v>6.691984010098885</v>
      </c>
      <c r="AV1936" s="7" t="s">
        <v>17248</v>
      </c>
      <c r="AW1936" s="6" t="str">
        <f t="shared" si="940"/>
        <v>=475.3*10000</v>
      </c>
      <c r="AX1936" s="1">
        <f>475.3*10000</f>
        <v>4753000</v>
      </c>
      <c r="AY1936" s="10">
        <f t="shared" si="957"/>
        <v>-0.91468318075749422</v>
      </c>
      <c r="AZ1936" s="7" t="s">
        <v>17249</v>
      </c>
      <c r="BA1936" s="6" t="str">
        <f t="shared" si="941"/>
        <v>=5571*10000</v>
      </c>
      <c r="BB1936" s="1">
        <f>5571*10000</f>
        <v>55710000</v>
      </c>
      <c r="BC1936" s="8">
        <f t="shared" si="958"/>
        <v>0.31113203106613319</v>
      </c>
      <c r="BD1936" s="7" t="s">
        <v>17250</v>
      </c>
      <c r="BE1936" s="6" t="str">
        <f t="shared" si="942"/>
        <v>=4249*10000</v>
      </c>
      <c r="BF1936" s="1">
        <f>4249*10000</f>
        <v>42490000</v>
      </c>
      <c r="BG1936" s="8">
        <f t="shared" si="959"/>
        <v>0.38856209150326798</v>
      </c>
      <c r="BH1936" s="7" t="s">
        <v>17251</v>
      </c>
      <c r="BI1936" s="6" t="str">
        <f t="shared" si="943"/>
        <v>=3060*10000</v>
      </c>
      <c r="BJ1936" s="1">
        <f>3060*10000</f>
        <v>30600000</v>
      </c>
      <c r="BK1936" s="7" t="s">
        <v>17252</v>
      </c>
      <c r="BL1936" s="1" t="str">
        <f t="shared" si="945"/>
        <v>=872.5*10000</v>
      </c>
      <c r="BM1936" s="16">
        <f t="shared" si="960"/>
        <v>2.5071633237822351</v>
      </c>
      <c r="BN1936" s="1">
        <f>872.5*10000</f>
        <v>8725000</v>
      </c>
    </row>
    <row r="1937" spans="1:66">
      <c r="A1937" s="19"/>
      <c r="B1937">
        <v>603822</v>
      </c>
      <c r="C1937" t="s">
        <v>68</v>
      </c>
      <c r="D1937" s="6" t="s">
        <v>2179</v>
      </c>
      <c r="E1937" s="7" t="str">
        <f t="shared" si="944"/>
        <v>=1.034*100000000</v>
      </c>
      <c r="F1937" s="1">
        <f>1.034*100000000</f>
        <v>103400000</v>
      </c>
      <c r="G1937" s="8">
        <f t="shared" si="946"/>
        <v>0.42189218921892191</v>
      </c>
      <c r="H1937" s="7" t="s">
        <v>17253</v>
      </c>
      <c r="I1937" s="6" t="str">
        <f t="shared" si="930"/>
        <v>=7272*10000</v>
      </c>
      <c r="J1937" s="1">
        <f>7272*10000</f>
        <v>72720000</v>
      </c>
      <c r="K1937" s="10">
        <f t="shared" si="947"/>
        <v>0.6382068033340843</v>
      </c>
      <c r="L1937" s="7" t="s">
        <v>17254</v>
      </c>
      <c r="M1937" s="6" t="str">
        <f t="shared" si="931"/>
        <v>=4439*10000</v>
      </c>
      <c r="N1937" s="1">
        <f>4439*10000</f>
        <v>44390000</v>
      </c>
      <c r="O1937" s="8">
        <f t="shared" si="948"/>
        <v>1.1008045433033602</v>
      </c>
      <c r="P1937" s="7" t="s">
        <v>17255</v>
      </c>
      <c r="Q1937" s="6" t="str">
        <f t="shared" si="932"/>
        <v>=2113*10000</v>
      </c>
      <c r="R1937" s="11">
        <f>2113*10000</f>
        <v>21130000</v>
      </c>
      <c r="S1937" s="8">
        <f t="shared" si="949"/>
        <v>-0.47775580820563518</v>
      </c>
      <c r="T1937" s="7" t="s">
        <v>10794</v>
      </c>
      <c r="U1937" s="6" t="str">
        <f t="shared" si="933"/>
        <v>=4046*10000</v>
      </c>
      <c r="V1937" s="1">
        <f>4046*10000</f>
        <v>40460000</v>
      </c>
      <c r="W1937" s="8">
        <f t="shared" si="950"/>
        <v>0.16264367816091954</v>
      </c>
      <c r="X1937" s="7" t="s">
        <v>5938</v>
      </c>
      <c r="Y1937" s="6" t="str">
        <f t="shared" si="934"/>
        <v>=3480*10000</v>
      </c>
      <c r="Z1937" s="1">
        <f>3480*10000</f>
        <v>34800000</v>
      </c>
      <c r="AA1937" s="8">
        <f t="shared" si="951"/>
        <v>0.47833474936278675</v>
      </c>
      <c r="AB1937" s="7" t="s">
        <v>16147</v>
      </c>
      <c r="AC1937" s="6" t="str">
        <f t="shared" si="935"/>
        <v>=2354*10000</v>
      </c>
      <c r="AD1937" s="1">
        <f>2354*10000</f>
        <v>23540000</v>
      </c>
      <c r="AE1937" s="8">
        <f t="shared" si="952"/>
        <v>2.2603878116343492</v>
      </c>
      <c r="AF1937" s="7" t="s">
        <v>17256</v>
      </c>
      <c r="AG1937" s="6" t="str">
        <f t="shared" si="936"/>
        <v>=722.0*10000</v>
      </c>
      <c r="AH1937" s="1">
        <f>722*10000</f>
        <v>7220000</v>
      </c>
      <c r="AI1937" s="8">
        <f t="shared" si="953"/>
        <v>-0.88871763255240444</v>
      </c>
      <c r="AJ1937" s="7" t="s">
        <v>8508</v>
      </c>
      <c r="AK1937" s="6" t="str">
        <f t="shared" si="937"/>
        <v>=6488*10000</v>
      </c>
      <c r="AL1937" s="1">
        <f>6488*10000</f>
        <v>64880000</v>
      </c>
      <c r="AM1937" s="8">
        <f t="shared" si="954"/>
        <v>0.37167019027484144</v>
      </c>
      <c r="AN1937" s="7" t="s">
        <v>17257</v>
      </c>
      <c r="AO1937" s="6" t="str">
        <f t="shared" si="938"/>
        <v>=4730*10000</v>
      </c>
      <c r="AP1937" s="1">
        <f>4730*10000</f>
        <v>47300000</v>
      </c>
      <c r="AQ1937" s="8">
        <f t="shared" si="955"/>
        <v>0.43159806295399517</v>
      </c>
      <c r="AR1937" s="7" t="s">
        <v>15253</v>
      </c>
      <c r="AS1937" s="6" t="str">
        <f t="shared" si="939"/>
        <v>=3304*10000</v>
      </c>
      <c r="AT1937" s="1">
        <f>3304*10000</f>
        <v>33040000</v>
      </c>
      <c r="AU1937" s="8">
        <f t="shared" si="956"/>
        <v>4.8769121309142651</v>
      </c>
      <c r="AV1937" s="7" t="s">
        <v>17258</v>
      </c>
      <c r="AW1937" s="6" t="str">
        <f t="shared" si="940"/>
        <v>=562.2*10000</v>
      </c>
      <c r="AX1937" s="1">
        <f>562.2*10000</f>
        <v>5622000</v>
      </c>
      <c r="AY1937" s="10">
        <f t="shared" si="957"/>
        <v>-0.90005333333333337</v>
      </c>
      <c r="AZ1937" s="7" t="s">
        <v>17259</v>
      </c>
      <c r="BA1937" s="6" t="str">
        <f t="shared" si="941"/>
        <v>=5625*10000</v>
      </c>
      <c r="BB1937" s="1">
        <f>5625*10000</f>
        <v>56250000</v>
      </c>
      <c r="BC1937" s="8">
        <f t="shared" si="958"/>
        <v>0.35183850036049025</v>
      </c>
      <c r="BD1937" s="7" t="s">
        <v>11012</v>
      </c>
      <c r="BE1937" s="6" t="str">
        <f t="shared" si="942"/>
        <v>=4161*10000</v>
      </c>
      <c r="BF1937" s="1">
        <f>4161*10000</f>
        <v>41610000</v>
      </c>
      <c r="BG1937" s="8">
        <f t="shared" si="959"/>
        <v>0.43581780538302278</v>
      </c>
      <c r="BH1937" s="7" t="s">
        <v>17260</v>
      </c>
      <c r="BI1937" s="6" t="str">
        <f t="shared" si="943"/>
        <v>=2898*10000</v>
      </c>
      <c r="BJ1937" s="1">
        <f>2898*10000</f>
        <v>28980000</v>
      </c>
      <c r="BK1937" s="7" t="s">
        <v>17261</v>
      </c>
      <c r="BL1937" s="1" t="str">
        <f t="shared" si="945"/>
        <v>=865.7*10000</v>
      </c>
      <c r="BM1937" s="16">
        <f t="shared" si="960"/>
        <v>2.3475799930691927</v>
      </c>
      <c r="BN1937" s="1">
        <f>865.7*10000</f>
        <v>8657000</v>
      </c>
    </row>
    <row r="1938" spans="1:66">
      <c r="A1938" s="17">
        <v>486</v>
      </c>
      <c r="B1938">
        <v>603826</v>
      </c>
      <c r="C1938" t="s">
        <v>31</v>
      </c>
      <c r="D1938" s="6" t="s">
        <v>17262</v>
      </c>
      <c r="E1938" s="7" t="str">
        <f t="shared" si="944"/>
        <v>=8.931*100000000</v>
      </c>
      <c r="F1938" s="1">
        <f>8.931*100000000</f>
        <v>893099999.99999988</v>
      </c>
      <c r="G1938" s="8">
        <f t="shared" si="946"/>
        <v>0.33697604790419144</v>
      </c>
      <c r="H1938" s="6" t="s">
        <v>1554</v>
      </c>
      <c r="I1938" s="6" t="str">
        <f t="shared" si="930"/>
        <v>=6.680*100000000</v>
      </c>
      <c r="J1938" s="1">
        <f>6.68*100000000</f>
        <v>668000000</v>
      </c>
      <c r="K1938" s="10">
        <f t="shared" si="947"/>
        <v>0.46587667324994497</v>
      </c>
      <c r="L1938" s="6" t="s">
        <v>5485</v>
      </c>
      <c r="M1938" s="6" t="str">
        <f t="shared" si="931"/>
        <v>=4.557*100000000</v>
      </c>
      <c r="N1938" s="1">
        <f>4.557*100000000</f>
        <v>455700000.00000006</v>
      </c>
      <c r="O1938" s="8">
        <f t="shared" si="948"/>
        <v>1.1314312441534147</v>
      </c>
      <c r="P1938" s="6" t="s">
        <v>12223</v>
      </c>
      <c r="Q1938" s="6" t="str">
        <f t="shared" si="932"/>
        <v>=2.138*100000000</v>
      </c>
      <c r="R1938" s="11">
        <f>2.138*100000000</f>
        <v>213800000</v>
      </c>
      <c r="S1938" s="8">
        <f t="shared" si="949"/>
        <v>-0.71489531937591677</v>
      </c>
      <c r="T1938" s="6" t="s">
        <v>334</v>
      </c>
      <c r="U1938" s="6" t="str">
        <f t="shared" si="933"/>
        <v>=7.499*100000000</v>
      </c>
      <c r="V1938" s="1">
        <f>7.499*100000000</f>
        <v>749900000</v>
      </c>
      <c r="W1938" s="8">
        <f t="shared" si="950"/>
        <v>0.40799849793466031</v>
      </c>
      <c r="X1938" s="6" t="s">
        <v>15172</v>
      </c>
      <c r="Y1938" s="6" t="str">
        <f t="shared" si="934"/>
        <v>=5.326*100000000</v>
      </c>
      <c r="Z1938" s="1">
        <f>5.326*100000000</f>
        <v>532599999.99999994</v>
      </c>
      <c r="AA1938" s="8">
        <f t="shared" si="951"/>
        <v>0.60084159903817236</v>
      </c>
      <c r="AB1938" s="6" t="s">
        <v>17263</v>
      </c>
      <c r="AC1938" s="6" t="str">
        <f t="shared" si="935"/>
        <v>=3.327*100000000</v>
      </c>
      <c r="AD1938" s="1">
        <f>3.327*100000000</f>
        <v>332700000</v>
      </c>
      <c r="AE1938" s="8">
        <f t="shared" si="952"/>
        <v>1.0114873035066505</v>
      </c>
      <c r="AF1938" s="6" t="s">
        <v>12144</v>
      </c>
      <c r="AG1938" s="6" t="str">
        <f t="shared" si="936"/>
        <v>=1.654*100000000</v>
      </c>
      <c r="AH1938" s="1">
        <f>1.654*100000000</f>
        <v>165400000</v>
      </c>
      <c r="AI1938" s="8">
        <f t="shared" si="953"/>
        <v>-0.73192868719611026</v>
      </c>
      <c r="AJ1938" s="6" t="s">
        <v>11183</v>
      </c>
      <c r="AK1938" s="6" t="str">
        <f t="shared" si="937"/>
        <v>=6.170*100000000</v>
      </c>
      <c r="AL1938" s="1">
        <f>6.17*100000000</f>
        <v>617000000</v>
      </c>
      <c r="AM1938" s="8">
        <f t="shared" si="954"/>
        <v>0.40546697038724394</v>
      </c>
      <c r="AN1938" s="6" t="s">
        <v>16976</v>
      </c>
      <c r="AO1938" s="6" t="str">
        <f t="shared" si="938"/>
        <v>=4.390*100000000</v>
      </c>
      <c r="AP1938" s="1">
        <f>4.39*100000000</f>
        <v>438999999.99999994</v>
      </c>
      <c r="AQ1938" s="8">
        <f t="shared" si="955"/>
        <v>0.4901561439239645</v>
      </c>
      <c r="AR1938" s="6" t="s">
        <v>4260</v>
      </c>
      <c r="AS1938" s="6" t="str">
        <f t="shared" si="939"/>
        <v>=2.946*100000000</v>
      </c>
      <c r="AT1938" s="1">
        <f>2.946*100000000</f>
        <v>294600000</v>
      </c>
      <c r="AU1938" s="8">
        <f t="shared" si="956"/>
        <v>1.1725663716814159</v>
      </c>
      <c r="AV1938" s="6" t="s">
        <v>4467</v>
      </c>
      <c r="AW1938" s="6" t="str">
        <f t="shared" si="940"/>
        <v>=1.356*100000000</v>
      </c>
      <c r="AX1938" s="1">
        <f>1.356*100000000</f>
        <v>135600000</v>
      </c>
      <c r="AY1938" s="10">
        <f t="shared" si="957"/>
        <v>-0.76891615541922287</v>
      </c>
      <c r="AZ1938" s="6" t="s">
        <v>6495</v>
      </c>
      <c r="BA1938" s="6" t="str">
        <f t="shared" si="941"/>
        <v>=5.868*100000000</v>
      </c>
      <c r="BB1938" s="1">
        <f>5.868*100000000</f>
        <v>586800000</v>
      </c>
      <c r="BC1938" s="8">
        <f t="shared" si="958"/>
        <v>0.33363636363636345</v>
      </c>
      <c r="BD1938" s="6" t="s">
        <v>7771</v>
      </c>
      <c r="BE1938" s="6" t="str">
        <f t="shared" si="942"/>
        <v>=4.400*100000000</v>
      </c>
      <c r="BF1938" s="1">
        <f>4.4*100000000</f>
        <v>440000000.00000006</v>
      </c>
      <c r="BG1938" s="8">
        <f t="shared" si="959"/>
        <v>0.53043478260869581</v>
      </c>
      <c r="BH1938" s="6" t="s">
        <v>137</v>
      </c>
      <c r="BI1938" s="6" t="str">
        <f t="shared" si="943"/>
        <v>=2.875*100000000</v>
      </c>
      <c r="BJ1938" s="1">
        <f>2.875*100000000</f>
        <v>287500000</v>
      </c>
      <c r="BK1938" s="6" t="s">
        <v>4873</v>
      </c>
      <c r="BL1938" s="1" t="str">
        <f t="shared" si="945"/>
        <v>=1.181*100000000</v>
      </c>
      <c r="BM1938" s="16">
        <f t="shared" si="960"/>
        <v>1.4343776460626587</v>
      </c>
      <c r="BN1938" s="1">
        <f>1.181*100000000</f>
        <v>118100000</v>
      </c>
    </row>
    <row r="1939" spans="1:66">
      <c r="A1939" s="18"/>
      <c r="B1939">
        <v>603826</v>
      </c>
      <c r="C1939" t="s">
        <v>48</v>
      </c>
      <c r="D1939" s="6" t="s">
        <v>3577</v>
      </c>
      <c r="E1939" s="7" t="str">
        <f t="shared" si="944"/>
        <v>=1.704*100000000</v>
      </c>
      <c r="F1939" s="1">
        <f>1.704*100000000</f>
        <v>170400000</v>
      </c>
      <c r="G1939" s="8">
        <f t="shared" si="946"/>
        <v>0.11009771986970684</v>
      </c>
      <c r="H1939" s="6" t="s">
        <v>14686</v>
      </c>
      <c r="I1939" s="6" t="str">
        <f t="shared" si="930"/>
        <v>=1.535*100000000</v>
      </c>
      <c r="J1939" s="1">
        <f>1.535*100000000</f>
        <v>153500000</v>
      </c>
      <c r="K1939" s="10">
        <f t="shared" si="947"/>
        <v>0.48596321393998088</v>
      </c>
      <c r="L1939" s="6" t="s">
        <v>2065</v>
      </c>
      <c r="M1939" s="6" t="str">
        <f t="shared" si="931"/>
        <v>=1.033*100000000</v>
      </c>
      <c r="N1939" s="1">
        <f>1.033*100000000</f>
        <v>103299999.99999999</v>
      </c>
      <c r="O1939" s="8">
        <f t="shared" si="948"/>
        <v>0.99459355087854773</v>
      </c>
      <c r="P1939" s="7" t="s">
        <v>16556</v>
      </c>
      <c r="Q1939" s="6" t="str">
        <f t="shared" si="932"/>
        <v>=5179*10000</v>
      </c>
      <c r="R1939" s="11">
        <f>5179*10000</f>
        <v>51790000</v>
      </c>
      <c r="S1939" s="8">
        <f t="shared" si="949"/>
        <v>-0.71683980317113172</v>
      </c>
      <c r="T1939" s="6" t="s">
        <v>5053</v>
      </c>
      <c r="U1939" s="6" t="str">
        <f t="shared" si="933"/>
        <v>=1.829*100000000</v>
      </c>
      <c r="V1939" s="1">
        <f>1.829*100000000</f>
        <v>182900000</v>
      </c>
      <c r="W1939" s="8">
        <f t="shared" si="950"/>
        <v>0.37106446776611679</v>
      </c>
      <c r="X1939" s="6" t="s">
        <v>14774</v>
      </c>
      <c r="Y1939" s="6" t="str">
        <f t="shared" si="934"/>
        <v>=1.334*100000000</v>
      </c>
      <c r="Z1939" s="1">
        <f>1.334*100000000</f>
        <v>133400000.00000001</v>
      </c>
      <c r="AA1939" s="8">
        <f t="shared" si="951"/>
        <v>0.68031238191207977</v>
      </c>
      <c r="AB1939" s="7" t="s">
        <v>9850</v>
      </c>
      <c r="AC1939" s="6" t="str">
        <f t="shared" si="935"/>
        <v>=7939*10000</v>
      </c>
      <c r="AD1939" s="1">
        <f>7939*10000</f>
        <v>79390000</v>
      </c>
      <c r="AE1939" s="8">
        <f t="shared" si="952"/>
        <v>0.91670690487687112</v>
      </c>
      <c r="AF1939" s="7" t="s">
        <v>17264</v>
      </c>
      <c r="AG1939" s="6" t="str">
        <f t="shared" si="936"/>
        <v>=4142*10000</v>
      </c>
      <c r="AH1939" s="1">
        <f>4142*10000</f>
        <v>41420000</v>
      </c>
      <c r="AI1939" s="8">
        <f t="shared" si="953"/>
        <v>-0.76479273140261217</v>
      </c>
      <c r="AJ1939" s="6" t="s">
        <v>5194</v>
      </c>
      <c r="AK1939" s="6" t="str">
        <f t="shared" si="937"/>
        <v>=1.761*100000000</v>
      </c>
      <c r="AL1939" s="1">
        <f>1.761*100000000</f>
        <v>176100000</v>
      </c>
      <c r="AM1939" s="8">
        <f t="shared" si="954"/>
        <v>0.2958057395143488</v>
      </c>
      <c r="AN1939" s="6" t="s">
        <v>6039</v>
      </c>
      <c r="AO1939" s="6" t="str">
        <f t="shared" si="938"/>
        <v>=1.359*100000000</v>
      </c>
      <c r="AP1939" s="1">
        <f>1.359*100000000</f>
        <v>135900000</v>
      </c>
      <c r="AQ1939" s="8">
        <f t="shared" si="955"/>
        <v>0.42229199372056514</v>
      </c>
      <c r="AR1939" s="7" t="s">
        <v>17265</v>
      </c>
      <c r="AS1939" s="6" t="str">
        <f t="shared" si="939"/>
        <v>=9555*10000</v>
      </c>
      <c r="AT1939" s="1">
        <f>9555*10000</f>
        <v>95550000</v>
      </c>
      <c r="AU1939" s="8">
        <f t="shared" si="956"/>
        <v>1.3430603236880825</v>
      </c>
      <c r="AV1939" s="7" t="s">
        <v>17266</v>
      </c>
      <c r="AW1939" s="6" t="str">
        <f t="shared" si="940"/>
        <v>=4078*10000</v>
      </c>
      <c r="AX1939" s="1">
        <f>4078*10000</f>
        <v>40780000</v>
      </c>
      <c r="AY1939" s="10">
        <f t="shared" si="957"/>
        <v>-0.80525310410697226</v>
      </c>
      <c r="AZ1939" s="6" t="s">
        <v>10953</v>
      </c>
      <c r="BA1939" s="6" t="str">
        <f t="shared" si="941"/>
        <v>=2.094*100000000</v>
      </c>
      <c r="BB1939" s="1">
        <f>2.094*100000000</f>
        <v>209400000</v>
      </c>
      <c r="BC1939" s="8">
        <f t="shared" si="958"/>
        <v>0.28861538461538461</v>
      </c>
      <c r="BD1939" s="6" t="s">
        <v>1463</v>
      </c>
      <c r="BE1939" s="6" t="str">
        <f t="shared" si="942"/>
        <v>=1.625*100000000</v>
      </c>
      <c r="BF1939" s="1">
        <f>1.625*100000000</f>
        <v>162500000</v>
      </c>
      <c r="BG1939" s="8">
        <f t="shared" si="959"/>
        <v>0.55950095969289826</v>
      </c>
      <c r="BH1939" s="6" t="s">
        <v>1464</v>
      </c>
      <c r="BI1939" s="6" t="str">
        <f t="shared" si="943"/>
        <v>=1.042*100000000</v>
      </c>
      <c r="BJ1939" s="1">
        <f>1.042*100000000</f>
        <v>104200000</v>
      </c>
      <c r="BK1939" s="7" t="s">
        <v>11293</v>
      </c>
      <c r="BL1939" s="1" t="str">
        <f t="shared" si="945"/>
        <v>=4245*10000</v>
      </c>
      <c r="BM1939" s="16">
        <f t="shared" si="960"/>
        <v>1.4546525323910482</v>
      </c>
      <c r="BN1939" s="1">
        <f>4245*10000</f>
        <v>42450000</v>
      </c>
    </row>
    <row r="1940" spans="1:66">
      <c r="A1940" s="18"/>
      <c r="B1940">
        <v>603826</v>
      </c>
      <c r="C1940" t="s">
        <v>58</v>
      </c>
      <c r="D1940" s="6" t="s">
        <v>10892</v>
      </c>
      <c r="E1940" s="7" t="str">
        <f t="shared" si="944"/>
        <v>=1.698*100000000</v>
      </c>
      <c r="F1940" s="1">
        <f>1.698*100000000</f>
        <v>169800000</v>
      </c>
      <c r="G1940" s="8">
        <f t="shared" si="946"/>
        <v>0.10980392156862745</v>
      </c>
      <c r="H1940" s="6" t="s">
        <v>9084</v>
      </c>
      <c r="I1940" s="6" t="str">
        <f t="shared" si="930"/>
        <v>=1.530*100000000</v>
      </c>
      <c r="J1940" s="1">
        <f>1.53*100000000</f>
        <v>153000000</v>
      </c>
      <c r="K1940" s="10">
        <f t="shared" si="947"/>
        <v>0.48399612027158118</v>
      </c>
      <c r="L1940" s="6" t="s">
        <v>8056</v>
      </c>
      <c r="M1940" s="6" t="str">
        <f t="shared" si="931"/>
        <v>=1.031*100000000</v>
      </c>
      <c r="N1940" s="1">
        <f>1.031*100000000</f>
        <v>103099999.99999999</v>
      </c>
      <c r="O1940" s="8">
        <f t="shared" si="948"/>
        <v>0.99612778315585648</v>
      </c>
      <c r="P1940" s="7" t="s">
        <v>6073</v>
      </c>
      <c r="Q1940" s="6" t="str">
        <f t="shared" si="932"/>
        <v>=5165*10000</v>
      </c>
      <c r="R1940" s="11">
        <f>5165*10000</f>
        <v>51650000</v>
      </c>
      <c r="S1940" s="8">
        <f t="shared" si="949"/>
        <v>-0.71225626740947079</v>
      </c>
      <c r="T1940" s="6" t="s">
        <v>1585</v>
      </c>
      <c r="U1940" s="6" t="str">
        <f t="shared" si="933"/>
        <v>=1.795*100000000</v>
      </c>
      <c r="V1940" s="1">
        <f>1.795*100000000</f>
        <v>179500000</v>
      </c>
      <c r="W1940" s="8">
        <f t="shared" si="950"/>
        <v>0.37970791698693312</v>
      </c>
      <c r="X1940" s="6" t="s">
        <v>1478</v>
      </c>
      <c r="Y1940" s="6" t="str">
        <f t="shared" si="934"/>
        <v>=1.301*100000000</v>
      </c>
      <c r="Z1940" s="1">
        <f>1.301*100000000</f>
        <v>130100000</v>
      </c>
      <c r="AA1940" s="8">
        <f t="shared" si="951"/>
        <v>0.66623975409836067</v>
      </c>
      <c r="AB1940" s="7" t="s">
        <v>17267</v>
      </c>
      <c r="AC1940" s="6" t="str">
        <f t="shared" si="935"/>
        <v>=7808*10000</v>
      </c>
      <c r="AD1940" s="1">
        <f>7808*10000</f>
        <v>78080000</v>
      </c>
      <c r="AE1940" s="8">
        <f t="shared" si="952"/>
        <v>0.89422610383309076</v>
      </c>
      <c r="AF1940" s="7" t="s">
        <v>17268</v>
      </c>
      <c r="AG1940" s="6" t="str">
        <f t="shared" si="936"/>
        <v>=4122*10000</v>
      </c>
      <c r="AH1940" s="1">
        <f>4122*10000</f>
        <v>41220000</v>
      </c>
      <c r="AI1940" s="8">
        <f t="shared" si="953"/>
        <v>-0.7610434782608696</v>
      </c>
      <c r="AJ1940" s="6" t="s">
        <v>2529</v>
      </c>
      <c r="AK1940" s="6" t="str">
        <f t="shared" si="937"/>
        <v>=1.725*100000000</v>
      </c>
      <c r="AL1940" s="1">
        <f>1.725*100000000</f>
        <v>172500000</v>
      </c>
      <c r="AM1940" s="8">
        <f t="shared" si="954"/>
        <v>0.27494456762749447</v>
      </c>
      <c r="AN1940" s="6" t="s">
        <v>2571</v>
      </c>
      <c r="AO1940" s="6" t="str">
        <f t="shared" si="938"/>
        <v>=1.353*100000000</v>
      </c>
      <c r="AP1940" s="1">
        <f>1.353*100000000</f>
        <v>135300000</v>
      </c>
      <c r="AQ1940" s="8">
        <f t="shared" si="955"/>
        <v>0.41913152926368785</v>
      </c>
      <c r="AR1940" s="7" t="s">
        <v>15640</v>
      </c>
      <c r="AS1940" s="6" t="str">
        <f t="shared" si="939"/>
        <v>=9534*10000</v>
      </c>
      <c r="AT1940" s="1">
        <f>9534*10000</f>
        <v>95340000</v>
      </c>
      <c r="AU1940" s="8">
        <f t="shared" si="956"/>
        <v>1.3494332183341549</v>
      </c>
      <c r="AV1940" s="7" t="s">
        <v>17269</v>
      </c>
      <c r="AW1940" s="6" t="str">
        <f t="shared" si="940"/>
        <v>=4058*10000</v>
      </c>
      <c r="AX1940" s="1">
        <f>4058*10000</f>
        <v>40580000</v>
      </c>
      <c r="AY1940" s="10">
        <f t="shared" si="957"/>
        <v>-0.80602294455066925</v>
      </c>
      <c r="AZ1940" s="6" t="s">
        <v>7607</v>
      </c>
      <c r="BA1940" s="6" t="str">
        <f t="shared" si="941"/>
        <v>=2.092*100000000</v>
      </c>
      <c r="BB1940" s="1">
        <f>2.092*100000000</f>
        <v>209200000</v>
      </c>
      <c r="BC1940" s="8">
        <f t="shared" si="958"/>
        <v>0.28976572133168926</v>
      </c>
      <c r="BD1940" s="6" t="s">
        <v>2912</v>
      </c>
      <c r="BE1940" s="6" t="str">
        <f t="shared" si="942"/>
        <v>=1.622*100000000</v>
      </c>
      <c r="BF1940" s="1">
        <f>1.622*100000000</f>
        <v>162200000</v>
      </c>
      <c r="BG1940" s="8">
        <f t="shared" si="959"/>
        <v>0.56111645813282029</v>
      </c>
      <c r="BH1940" s="6" t="s">
        <v>15959</v>
      </c>
      <c r="BI1940" s="6" t="str">
        <f t="shared" si="943"/>
        <v>=1.039*100000000</v>
      </c>
      <c r="BJ1940" s="1">
        <f>1.039*100000000</f>
        <v>103899999.99999999</v>
      </c>
      <c r="BK1940" s="7" t="s">
        <v>16446</v>
      </c>
      <c r="BL1940" s="1" t="str">
        <f t="shared" si="945"/>
        <v>=4224*10000</v>
      </c>
      <c r="BM1940" s="16">
        <f t="shared" si="960"/>
        <v>1.4597537878787876</v>
      </c>
      <c r="BN1940" s="1">
        <f>4224*10000</f>
        <v>42240000</v>
      </c>
    </row>
    <row r="1941" spans="1:66">
      <c r="A1941" s="19"/>
      <c r="B1941">
        <v>603826</v>
      </c>
      <c r="C1941" t="s">
        <v>68</v>
      </c>
      <c r="D1941" s="6" t="s">
        <v>2219</v>
      </c>
      <c r="E1941" s="7" t="str">
        <f t="shared" si="944"/>
        <v>=1.485*100000000</v>
      </c>
      <c r="F1941" s="1">
        <f>1.485*100000000</f>
        <v>148500000</v>
      </c>
      <c r="G1941" s="8">
        <f t="shared" si="946"/>
        <v>0.11486486486486487</v>
      </c>
      <c r="H1941" s="6" t="s">
        <v>1748</v>
      </c>
      <c r="I1941" s="6" t="str">
        <f t="shared" si="930"/>
        <v>=1.332*100000000</v>
      </c>
      <c r="J1941" s="1">
        <f>1.332*100000000</f>
        <v>133200000</v>
      </c>
      <c r="K1941" s="10">
        <f t="shared" si="947"/>
        <v>0.47377738437707456</v>
      </c>
      <c r="L1941" s="7" t="s">
        <v>9169</v>
      </c>
      <c r="M1941" s="6" t="str">
        <f t="shared" si="931"/>
        <v>=9038*10000</v>
      </c>
      <c r="N1941" s="1">
        <f>9038*10000</f>
        <v>90380000</v>
      </c>
      <c r="O1941" s="8">
        <f t="shared" si="948"/>
        <v>0.97724786698753008</v>
      </c>
      <c r="P1941" s="7" t="s">
        <v>17270</v>
      </c>
      <c r="Q1941" s="6" t="str">
        <f t="shared" si="932"/>
        <v>=4571*10000</v>
      </c>
      <c r="R1941" s="11">
        <f>4571*10000</f>
        <v>45710000</v>
      </c>
      <c r="S1941" s="8">
        <f t="shared" si="949"/>
        <v>-0.71749072929542645</v>
      </c>
      <c r="T1941" s="6" t="s">
        <v>1779</v>
      </c>
      <c r="U1941" s="6" t="str">
        <f t="shared" si="933"/>
        <v>=1.618*100000000</v>
      </c>
      <c r="V1941" s="1">
        <f>1.618*100000000</f>
        <v>161800000</v>
      </c>
      <c r="W1941" s="8">
        <f t="shared" si="950"/>
        <v>0.36195286195286197</v>
      </c>
      <c r="X1941" s="6" t="s">
        <v>1956</v>
      </c>
      <c r="Y1941" s="6" t="str">
        <f t="shared" si="934"/>
        <v>=1.188*100000000</v>
      </c>
      <c r="Z1941" s="1">
        <f>1.188*100000000</f>
        <v>118800000</v>
      </c>
      <c r="AA1941" s="8">
        <f t="shared" si="951"/>
        <v>0.74628840217551085</v>
      </c>
      <c r="AB1941" s="7" t="s">
        <v>17271</v>
      </c>
      <c r="AC1941" s="6" t="str">
        <f t="shared" si="935"/>
        <v>=6803*10000</v>
      </c>
      <c r="AD1941" s="1">
        <f>6803*10000</f>
        <v>68030000</v>
      </c>
      <c r="AE1941" s="8">
        <f t="shared" si="952"/>
        <v>0.89235048678720441</v>
      </c>
      <c r="AF1941" s="7" t="s">
        <v>17272</v>
      </c>
      <c r="AG1941" s="6" t="str">
        <f t="shared" si="936"/>
        <v>=3595*10000</v>
      </c>
      <c r="AH1941" s="1">
        <f>3595*10000</f>
        <v>35950000</v>
      </c>
      <c r="AI1941" s="8">
        <f t="shared" si="953"/>
        <v>-0.75872483221476505</v>
      </c>
      <c r="AJ1941" s="6" t="s">
        <v>11541</v>
      </c>
      <c r="AK1941" s="6" t="str">
        <f t="shared" si="937"/>
        <v>=1.490*100000000</v>
      </c>
      <c r="AL1941" s="1">
        <f>1.49*100000000</f>
        <v>149000000</v>
      </c>
      <c r="AM1941" s="8">
        <f t="shared" si="954"/>
        <v>0.2778730703259007</v>
      </c>
      <c r="AN1941" s="6" t="s">
        <v>6606</v>
      </c>
      <c r="AO1941" s="6" t="str">
        <f t="shared" si="938"/>
        <v>=1.166*100000000</v>
      </c>
      <c r="AP1941" s="1">
        <f>1.166*100000000</f>
        <v>116599999.99999999</v>
      </c>
      <c r="AQ1941" s="8">
        <f t="shared" si="955"/>
        <v>0.41728455086908939</v>
      </c>
      <c r="AR1941" s="7" t="s">
        <v>17273</v>
      </c>
      <c r="AS1941" s="6" t="str">
        <f t="shared" si="939"/>
        <v>=8227*10000</v>
      </c>
      <c r="AT1941" s="1">
        <f>8227*10000</f>
        <v>82270000</v>
      </c>
      <c r="AU1941" s="8">
        <f t="shared" si="956"/>
        <v>1.3365521158761715</v>
      </c>
      <c r="AV1941" s="7" t="s">
        <v>2608</v>
      </c>
      <c r="AW1941" s="6" t="str">
        <f t="shared" si="940"/>
        <v>=3521*10000</v>
      </c>
      <c r="AX1941" s="1">
        <f>3521*10000</f>
        <v>35210000</v>
      </c>
      <c r="AY1941" s="10">
        <f t="shared" si="957"/>
        <v>-0.80438888888888893</v>
      </c>
      <c r="AZ1941" s="6" t="s">
        <v>4281</v>
      </c>
      <c r="BA1941" s="6" t="str">
        <f t="shared" si="941"/>
        <v>=1.800*100000000</v>
      </c>
      <c r="BB1941" s="1">
        <f>1.8*100000000</f>
        <v>180000000</v>
      </c>
      <c r="BC1941" s="8">
        <f t="shared" si="958"/>
        <v>0.28939828080229224</v>
      </c>
      <c r="BD1941" s="6" t="s">
        <v>3000</v>
      </c>
      <c r="BE1941" s="6" t="str">
        <f t="shared" si="942"/>
        <v>=1.396*100000000</v>
      </c>
      <c r="BF1941" s="1">
        <f>1.396*100000000</f>
        <v>139600000</v>
      </c>
      <c r="BG1941" s="8">
        <f t="shared" si="959"/>
        <v>0.5639704234819628</v>
      </c>
      <c r="BH1941" s="7" t="s">
        <v>16112</v>
      </c>
      <c r="BI1941" s="6" t="str">
        <f t="shared" si="943"/>
        <v>=8926*10000</v>
      </c>
      <c r="BJ1941" s="1">
        <f>8926*10000</f>
        <v>89260000</v>
      </c>
      <c r="BK1941" s="7" t="s">
        <v>17274</v>
      </c>
      <c r="BL1941" s="1" t="str">
        <f t="shared" si="945"/>
        <v>=3674*10000</v>
      </c>
      <c r="BM1941" s="16">
        <f t="shared" si="960"/>
        <v>1.4295046271094176</v>
      </c>
      <c r="BN1941" s="1">
        <f>3674*10000</f>
        <v>36740000</v>
      </c>
    </row>
    <row r="1942" spans="1:66">
      <c r="A1942" s="17">
        <v>487</v>
      </c>
      <c r="B1942">
        <v>603859</v>
      </c>
      <c r="C1942" t="s">
        <v>31</v>
      </c>
      <c r="D1942" s="6" t="s">
        <v>2444</v>
      </c>
      <c r="E1942" s="7" t="str">
        <f t="shared" si="944"/>
        <v>=11.41*100000000</v>
      </c>
      <c r="F1942" s="1">
        <f>11.41*100000000</f>
        <v>1141000000</v>
      </c>
      <c r="G1942" s="8">
        <f t="shared" si="946"/>
        <v>0.43000375986965783</v>
      </c>
      <c r="H1942" s="6" t="s">
        <v>15235</v>
      </c>
      <c r="I1942" s="6" t="str">
        <f t="shared" si="930"/>
        <v>=7.979*100000000</v>
      </c>
      <c r="J1942" s="1">
        <f>7.979*100000000</f>
        <v>797900000</v>
      </c>
      <c r="K1942" s="10">
        <f t="shared" si="947"/>
        <v>0.52067848294263386</v>
      </c>
      <c r="L1942" s="6" t="s">
        <v>8816</v>
      </c>
      <c r="M1942" s="6" t="str">
        <f t="shared" si="931"/>
        <v>=5.247*100000000</v>
      </c>
      <c r="N1942" s="1">
        <f>5.247*100000000</f>
        <v>524700000</v>
      </c>
      <c r="O1942" s="8">
        <f t="shared" si="948"/>
        <v>1.5396902226524687</v>
      </c>
      <c r="P1942" s="6" t="s">
        <v>10582</v>
      </c>
      <c r="Q1942" s="6" t="str">
        <f t="shared" si="932"/>
        <v>=2.066*100000000</v>
      </c>
      <c r="R1942" s="11">
        <f>2.066*100000000</f>
        <v>206599999.99999997</v>
      </c>
      <c r="S1942" s="8">
        <f t="shared" si="949"/>
        <v>-0.78296039499947478</v>
      </c>
      <c r="T1942" s="6" t="s">
        <v>56</v>
      </c>
      <c r="U1942" s="6" t="str">
        <f t="shared" si="933"/>
        <v>=9.519*100000000</v>
      </c>
      <c r="V1942" s="1">
        <f>9.519*100000000</f>
        <v>951900000</v>
      </c>
      <c r="W1942" s="8">
        <f t="shared" si="950"/>
        <v>0.40108919634972034</v>
      </c>
      <c r="X1942" s="6" t="s">
        <v>17185</v>
      </c>
      <c r="Y1942" s="6" t="str">
        <f t="shared" si="934"/>
        <v>=6.794*100000000</v>
      </c>
      <c r="Z1942" s="1">
        <f>6.794*100000000</f>
        <v>679400000</v>
      </c>
      <c r="AA1942" s="8">
        <f t="shared" si="951"/>
        <v>0.70617780010045206</v>
      </c>
      <c r="AB1942" s="6" t="s">
        <v>4042</v>
      </c>
      <c r="AC1942" s="6" t="str">
        <f t="shared" si="935"/>
        <v>=3.982*100000000</v>
      </c>
      <c r="AD1942" s="1">
        <f>3.982*100000000</f>
        <v>398200000</v>
      </c>
      <c r="AE1942" s="8">
        <f t="shared" si="952"/>
        <v>1.4641089108910892</v>
      </c>
      <c r="AF1942" s="6" t="s">
        <v>7664</v>
      </c>
      <c r="AG1942" s="6" t="str">
        <f t="shared" si="936"/>
        <v>=1.616*100000000</v>
      </c>
      <c r="AH1942" s="1">
        <f>1.616*100000000</f>
        <v>161600000</v>
      </c>
      <c r="AI1942" s="8">
        <f t="shared" si="953"/>
        <v>-0.78897884565160614</v>
      </c>
      <c r="AJ1942" s="6" t="s">
        <v>8225</v>
      </c>
      <c r="AK1942" s="6" t="str">
        <f t="shared" si="937"/>
        <v>=7.658*100000000</v>
      </c>
      <c r="AL1942" s="1">
        <f>7.658*100000000</f>
        <v>765800000</v>
      </c>
      <c r="AM1942" s="8">
        <f t="shared" si="954"/>
        <v>0.47212610534409843</v>
      </c>
      <c r="AN1942" s="6" t="s">
        <v>16371</v>
      </c>
      <c r="AO1942" s="6" t="str">
        <f t="shared" si="938"/>
        <v>=5.202*100000000</v>
      </c>
      <c r="AP1942" s="1">
        <f>5.202*100000000</f>
        <v>520200000</v>
      </c>
      <c r="AQ1942" s="8">
        <f t="shared" si="955"/>
        <v>0.74212993971868724</v>
      </c>
      <c r="AR1942" s="6" t="s">
        <v>17275</v>
      </c>
      <c r="AS1942" s="6" t="str">
        <f t="shared" si="939"/>
        <v>=2.986*100000000</v>
      </c>
      <c r="AT1942" s="1">
        <f>2.986*100000000</f>
        <v>298600000</v>
      </c>
      <c r="AU1942" s="8">
        <f t="shared" si="956"/>
        <v>2.4862813776999415</v>
      </c>
      <c r="AV1942" s="7" t="s">
        <v>5488</v>
      </c>
      <c r="AW1942" s="6" t="str">
        <f t="shared" si="940"/>
        <v>=8565*10000</v>
      </c>
      <c r="AX1942" s="1">
        <f>8565*10000</f>
        <v>85650000</v>
      </c>
      <c r="AY1942" s="10">
        <f t="shared" si="957"/>
        <v>-0.79007352941176467</v>
      </c>
      <c r="AZ1942" s="6" t="s">
        <v>10287</v>
      </c>
      <c r="BA1942" s="6" t="str">
        <f t="shared" si="941"/>
        <v>=4.080*100000000</v>
      </c>
      <c r="BB1942" s="1">
        <f>4.08*100000000</f>
        <v>408000000</v>
      </c>
      <c r="BC1942" s="8">
        <f t="shared" si="958"/>
        <v>0.51560178306092119</v>
      </c>
      <c r="BD1942" s="6" t="s">
        <v>17276</v>
      </c>
      <c r="BE1942" s="6" t="str">
        <f t="shared" si="942"/>
        <v>=2.692*100000000</v>
      </c>
      <c r="BF1942" s="1">
        <f>2.692*100000000</f>
        <v>269200000</v>
      </c>
      <c r="BG1942" s="8">
        <f t="shared" si="959"/>
        <v>0.64046313223644125</v>
      </c>
      <c r="BH1942" s="6" t="s">
        <v>17277</v>
      </c>
      <c r="BI1942" s="6" t="str">
        <f t="shared" si="943"/>
        <v>=1.641*100000000</v>
      </c>
      <c r="BJ1942" s="1">
        <f>1.641*100000000</f>
        <v>164100000</v>
      </c>
      <c r="BK1942" s="7" t="s">
        <v>17278</v>
      </c>
      <c r="BL1942" s="1" t="str">
        <f t="shared" si="945"/>
        <v>=6503*10000</v>
      </c>
      <c r="BM1942" s="16">
        <f t="shared" si="960"/>
        <v>1.5234507150545902</v>
      </c>
      <c r="BN1942" s="1">
        <f>6503*10000</f>
        <v>65030000</v>
      </c>
    </row>
    <row r="1943" spans="1:66">
      <c r="A1943" s="18"/>
      <c r="B1943">
        <v>603859</v>
      </c>
      <c r="C1943" t="s">
        <v>48</v>
      </c>
      <c r="D1943" s="6" t="s">
        <v>15990</v>
      </c>
      <c r="E1943" s="7" t="str">
        <f t="shared" si="944"/>
        <v>=1.875*100000000</v>
      </c>
      <c r="F1943" s="1">
        <f>1.875*100000000</f>
        <v>187500000</v>
      </c>
      <c r="G1943" s="8">
        <f t="shared" si="946"/>
        <v>0.49164677804295959</v>
      </c>
      <c r="H1943" s="6" t="s">
        <v>6033</v>
      </c>
      <c r="I1943" s="6" t="str">
        <f t="shared" si="930"/>
        <v>=1.257*100000000</v>
      </c>
      <c r="J1943" s="1">
        <f>1.257*100000000</f>
        <v>125699999.99999999</v>
      </c>
      <c r="K1943" s="10">
        <f t="shared" si="947"/>
        <v>0.78348467650397258</v>
      </c>
      <c r="L1943" s="7" t="s">
        <v>15088</v>
      </c>
      <c r="M1943" s="6" t="str">
        <f t="shared" si="931"/>
        <v>=7048*10000</v>
      </c>
      <c r="N1943" s="1">
        <f>7048*10000</f>
        <v>70480000</v>
      </c>
      <c r="O1943" s="8">
        <f t="shared" si="948"/>
        <v>1.1260935143288084</v>
      </c>
      <c r="P1943" s="7" t="s">
        <v>2599</v>
      </c>
      <c r="Q1943" s="6" t="str">
        <f t="shared" si="932"/>
        <v>=3315*10000</v>
      </c>
      <c r="R1943" s="11">
        <f>3315*10000</f>
        <v>33150000</v>
      </c>
      <c r="S1943" s="8">
        <f t="shared" si="949"/>
        <v>-0.7573206442166911</v>
      </c>
      <c r="T1943" s="6" t="s">
        <v>8280</v>
      </c>
      <c r="U1943" s="6" t="str">
        <f t="shared" si="933"/>
        <v>=1.366*100000000</v>
      </c>
      <c r="V1943" s="1">
        <f>1.366*100000000</f>
        <v>136600000</v>
      </c>
      <c r="W1943" s="8">
        <f t="shared" si="950"/>
        <v>0.4232131694102938</v>
      </c>
      <c r="X1943" s="7" t="s">
        <v>2689</v>
      </c>
      <c r="Y1943" s="6" t="str">
        <f t="shared" si="934"/>
        <v>=9598*10000</v>
      </c>
      <c r="Z1943" s="1">
        <f>9598*10000</f>
        <v>95980000</v>
      </c>
      <c r="AA1943" s="8">
        <f t="shared" si="951"/>
        <v>1.1140969162995595</v>
      </c>
      <c r="AB1943" s="7" t="s">
        <v>17279</v>
      </c>
      <c r="AC1943" s="6" t="str">
        <f t="shared" si="935"/>
        <v>=4540*10000</v>
      </c>
      <c r="AD1943" s="1">
        <f>4540*10000</f>
        <v>45400000</v>
      </c>
      <c r="AE1943" s="8">
        <f t="shared" si="952"/>
        <v>1.4714207947740883</v>
      </c>
      <c r="AF1943" s="7" t="s">
        <v>4459</v>
      </c>
      <c r="AG1943" s="6" t="str">
        <f t="shared" si="936"/>
        <v>=1837*10000</v>
      </c>
      <c r="AH1943" s="1">
        <f>1837*10000</f>
        <v>18370000</v>
      </c>
      <c r="AI1943" s="8">
        <f t="shared" si="953"/>
        <v>-0.83435527502254281</v>
      </c>
      <c r="AJ1943" s="6" t="s">
        <v>10021</v>
      </c>
      <c r="AK1943" s="6" t="str">
        <f t="shared" si="937"/>
        <v>=1.109*100000000</v>
      </c>
      <c r="AL1943" s="1">
        <f>1.109*100000000</f>
        <v>110900000</v>
      </c>
      <c r="AM1943" s="8">
        <f t="shared" si="954"/>
        <v>0.55867884750527053</v>
      </c>
      <c r="AN1943" s="7" t="s">
        <v>17280</v>
      </c>
      <c r="AO1943" s="6" t="str">
        <f t="shared" si="938"/>
        <v>=7115*10000</v>
      </c>
      <c r="AP1943" s="1">
        <f>7115*10000</f>
        <v>71150000</v>
      </c>
      <c r="AQ1943" s="8">
        <f t="shared" si="955"/>
        <v>0.76507070205904237</v>
      </c>
      <c r="AR1943" s="7" t="s">
        <v>11766</v>
      </c>
      <c r="AS1943" s="6" t="str">
        <f t="shared" si="939"/>
        <v>=4031*10000</v>
      </c>
      <c r="AT1943" s="1">
        <f>4031*10000</f>
        <v>40310000</v>
      </c>
      <c r="AU1943" s="8">
        <f t="shared" si="956"/>
        <v>2.7778819119025306</v>
      </c>
      <c r="AV1943" s="7" t="s">
        <v>4188</v>
      </c>
      <c r="AW1943" s="6" t="str">
        <f t="shared" si="940"/>
        <v>=1067*10000</v>
      </c>
      <c r="AX1943" s="1">
        <f>1067*10000</f>
        <v>10670000</v>
      </c>
      <c r="AY1943" s="10">
        <f t="shared" si="957"/>
        <v>-0.81707526144351106</v>
      </c>
      <c r="AZ1943" s="7" t="s">
        <v>17281</v>
      </c>
      <c r="BA1943" s="6" t="str">
        <f t="shared" si="941"/>
        <v>=5833*10000</v>
      </c>
      <c r="BB1943" s="1">
        <f>5833*10000</f>
        <v>58330000</v>
      </c>
      <c r="BC1943" s="8">
        <f t="shared" si="958"/>
        <v>2.0020586721564593</v>
      </c>
      <c r="BD1943" s="7" t="s">
        <v>7332</v>
      </c>
      <c r="BE1943" s="6" t="str">
        <f t="shared" si="942"/>
        <v>=1943*10000</v>
      </c>
      <c r="BF1943" s="1">
        <f>1943*10000</f>
        <v>19430000</v>
      </c>
      <c r="BG1943" s="8">
        <f t="shared" si="959"/>
        <v>0.78420569329660239</v>
      </c>
      <c r="BH1943" s="7" t="s">
        <v>17282</v>
      </c>
      <c r="BI1943" s="6" t="str">
        <f t="shared" si="943"/>
        <v>=1089*10000</v>
      </c>
      <c r="BJ1943" s="1">
        <f>1089*10000</f>
        <v>10890000</v>
      </c>
      <c r="BK1943" s="7" t="s">
        <v>15340</v>
      </c>
      <c r="BL1943" s="1" t="str">
        <f t="shared" si="945"/>
        <v>=455.4*10000</v>
      </c>
      <c r="BM1943" s="16">
        <f t="shared" si="960"/>
        <v>1.3913043478260869</v>
      </c>
      <c r="BN1943" s="1">
        <f>455.4*10000</f>
        <v>4554000</v>
      </c>
    </row>
    <row r="1944" spans="1:66">
      <c r="A1944" s="18"/>
      <c r="B1944">
        <v>603859</v>
      </c>
      <c r="C1944" t="s">
        <v>58</v>
      </c>
      <c r="D1944" s="6" t="s">
        <v>17283</v>
      </c>
      <c r="E1944" s="7" t="str">
        <f t="shared" si="944"/>
        <v>=1.824*100000000</v>
      </c>
      <c r="F1944" s="1">
        <f>1.824*100000000</f>
        <v>182400000</v>
      </c>
      <c r="G1944" s="8">
        <f t="shared" si="946"/>
        <v>0.46153846153846156</v>
      </c>
      <c r="H1944" s="6" t="s">
        <v>9663</v>
      </c>
      <c r="I1944" s="6" t="str">
        <f t="shared" si="930"/>
        <v>=1.248*100000000</v>
      </c>
      <c r="J1944" s="1">
        <f>1.248*100000000</f>
        <v>124800000</v>
      </c>
      <c r="K1944" s="10">
        <f t="shared" si="947"/>
        <v>0.78566318500500787</v>
      </c>
      <c r="L1944" s="7" t="s">
        <v>17284</v>
      </c>
      <c r="M1944" s="6" t="str">
        <f t="shared" si="931"/>
        <v>=6989*10000</v>
      </c>
      <c r="N1944" s="1">
        <f>6989*10000</f>
        <v>69890000</v>
      </c>
      <c r="O1944" s="8">
        <f t="shared" si="948"/>
        <v>1.1425505824647455</v>
      </c>
      <c r="P1944" s="7" t="s">
        <v>17285</v>
      </c>
      <c r="Q1944" s="6" t="str">
        <f t="shared" si="932"/>
        <v>=3262*10000</v>
      </c>
      <c r="R1944" s="11">
        <f>3262*10000</f>
        <v>32620000</v>
      </c>
      <c r="S1944" s="8">
        <f t="shared" si="949"/>
        <v>-0.75890613451589062</v>
      </c>
      <c r="T1944" s="6" t="s">
        <v>2571</v>
      </c>
      <c r="U1944" s="6" t="str">
        <f t="shared" si="933"/>
        <v>=1.353*100000000</v>
      </c>
      <c r="V1944" s="1">
        <f>1.353*100000000</f>
        <v>135300000</v>
      </c>
      <c r="W1944" s="8">
        <f t="shared" si="950"/>
        <v>0.41290726817042606</v>
      </c>
      <c r="X1944" s="7" t="s">
        <v>17286</v>
      </c>
      <c r="Y1944" s="6" t="str">
        <f t="shared" si="934"/>
        <v>=9576*10000</v>
      </c>
      <c r="Z1944" s="1">
        <f>9576*10000</f>
        <v>95760000</v>
      </c>
      <c r="AA1944" s="8">
        <f t="shared" si="951"/>
        <v>1.1261101243339253</v>
      </c>
      <c r="AB1944" s="7" t="s">
        <v>12506</v>
      </c>
      <c r="AC1944" s="6" t="str">
        <f t="shared" si="935"/>
        <v>=4504*10000</v>
      </c>
      <c r="AD1944" s="1">
        <f>4504*10000</f>
        <v>45040000</v>
      </c>
      <c r="AE1944" s="8">
        <f t="shared" si="952"/>
        <v>1.4518236254763202</v>
      </c>
      <c r="AF1944" s="7" t="s">
        <v>4459</v>
      </c>
      <c r="AG1944" s="6" t="str">
        <f t="shared" si="936"/>
        <v>=1837*10000</v>
      </c>
      <c r="AH1944" s="1">
        <f>1837*10000</f>
        <v>18370000</v>
      </c>
      <c r="AI1944" s="8">
        <f t="shared" si="953"/>
        <v>-0.8305350553505535</v>
      </c>
      <c r="AJ1944" s="6" t="s">
        <v>2094</v>
      </c>
      <c r="AK1944" s="6" t="str">
        <f t="shared" si="937"/>
        <v>=1.084*100000000</v>
      </c>
      <c r="AL1944" s="1">
        <f>1.084*100000000</f>
        <v>108400000.00000001</v>
      </c>
      <c r="AM1944" s="8">
        <f t="shared" si="954"/>
        <v>0.52247191011235972</v>
      </c>
      <c r="AN1944" s="7" t="s">
        <v>11323</v>
      </c>
      <c r="AO1944" s="6" t="str">
        <f t="shared" si="938"/>
        <v>=7120*10000</v>
      </c>
      <c r="AP1944" s="1">
        <f>7120*10000</f>
        <v>71200000</v>
      </c>
      <c r="AQ1944" s="8">
        <f t="shared" si="955"/>
        <v>0.76237623762376239</v>
      </c>
      <c r="AR1944" s="7" t="s">
        <v>17287</v>
      </c>
      <c r="AS1944" s="6" t="str">
        <f t="shared" si="939"/>
        <v>=4040*10000</v>
      </c>
      <c r="AT1944" s="1">
        <f>4040*10000</f>
        <v>40400000</v>
      </c>
      <c r="AU1944" s="8">
        <f t="shared" si="956"/>
        <v>2.7476808905380334</v>
      </c>
      <c r="AV1944" s="7" t="s">
        <v>17288</v>
      </c>
      <c r="AW1944" s="6" t="str">
        <f t="shared" si="940"/>
        <v>=1078*10000</v>
      </c>
      <c r="AX1944" s="1">
        <f>1078*10000</f>
        <v>10780000</v>
      </c>
      <c r="AY1944" s="10">
        <f t="shared" si="957"/>
        <v>-0.83245259558594964</v>
      </c>
      <c r="AZ1944" s="7" t="s">
        <v>17289</v>
      </c>
      <c r="BA1944" s="6" t="str">
        <f t="shared" si="941"/>
        <v>=6434*10000</v>
      </c>
      <c r="BB1944" s="1">
        <f>6434*10000</f>
        <v>64340000</v>
      </c>
      <c r="BC1944" s="8">
        <f t="shared" si="958"/>
        <v>1.4660789574549635</v>
      </c>
      <c r="BD1944" s="7" t="s">
        <v>8436</v>
      </c>
      <c r="BE1944" s="6" t="str">
        <f t="shared" si="942"/>
        <v>=2609*10000</v>
      </c>
      <c r="BF1944" s="1">
        <f>2609*10000</f>
        <v>26090000</v>
      </c>
      <c r="BG1944" s="8">
        <f t="shared" si="959"/>
        <v>0.45835662381218556</v>
      </c>
      <c r="BH1944" s="7" t="s">
        <v>17290</v>
      </c>
      <c r="BI1944" s="6" t="str">
        <f t="shared" si="943"/>
        <v>=1789*10000</v>
      </c>
      <c r="BJ1944" s="1">
        <f>1789*10000</f>
        <v>17890000</v>
      </c>
      <c r="BK1944" s="7" t="s">
        <v>17291</v>
      </c>
      <c r="BL1944" s="1" t="str">
        <f t="shared" si="945"/>
        <v>=912.3*10000</v>
      </c>
      <c r="BM1944" s="16">
        <f t="shared" si="960"/>
        <v>0.96097774854762685</v>
      </c>
      <c r="BN1944" s="1">
        <f>912.3*10000</f>
        <v>9123000</v>
      </c>
    </row>
    <row r="1945" spans="1:66">
      <c r="A1945" s="19"/>
      <c r="B1945">
        <v>603859</v>
      </c>
      <c r="C1945" t="s">
        <v>68</v>
      </c>
      <c r="D1945" s="6" t="s">
        <v>1562</v>
      </c>
      <c r="E1945" s="7" t="str">
        <f t="shared" si="944"/>
        <v>=1.667*100000000</v>
      </c>
      <c r="F1945" s="1">
        <f>1.667*100000000</f>
        <v>166700000</v>
      </c>
      <c r="G1945" s="8">
        <f t="shared" si="946"/>
        <v>0.48972296693476319</v>
      </c>
      <c r="H1945" s="6" t="s">
        <v>8716</v>
      </c>
      <c r="I1945" s="6" t="str">
        <f t="shared" si="930"/>
        <v>=1.119*100000000</v>
      </c>
      <c r="J1945" s="1">
        <f>1.119*100000000</f>
        <v>111900000</v>
      </c>
      <c r="K1945" s="10">
        <f t="shared" si="947"/>
        <v>0.92235011166466241</v>
      </c>
      <c r="L1945" s="7" t="s">
        <v>15013</v>
      </c>
      <c r="M1945" s="6" t="str">
        <f t="shared" si="931"/>
        <v>=5821*10000</v>
      </c>
      <c r="N1945" s="1">
        <f>5821*10000</f>
        <v>58210000</v>
      </c>
      <c r="O1945" s="8">
        <f t="shared" si="948"/>
        <v>1.2908303817394726</v>
      </c>
      <c r="P1945" s="7" t="s">
        <v>17292</v>
      </c>
      <c r="Q1945" s="6" t="str">
        <f t="shared" si="932"/>
        <v>=2541*10000</v>
      </c>
      <c r="R1945" s="11">
        <f>2541*10000</f>
        <v>25410000</v>
      </c>
      <c r="S1945" s="8">
        <f t="shared" si="949"/>
        <v>-0.78930348258706473</v>
      </c>
      <c r="T1945" s="6" t="s">
        <v>16255</v>
      </c>
      <c r="U1945" s="6" t="str">
        <f t="shared" si="933"/>
        <v>=1.206*100000000</v>
      </c>
      <c r="V1945" s="1">
        <f>1.206*100000000</f>
        <v>120600000</v>
      </c>
      <c r="W1945" s="8">
        <f t="shared" si="950"/>
        <v>0.5048664836536062</v>
      </c>
      <c r="X1945" s="7" t="s">
        <v>17293</v>
      </c>
      <c r="Y1945" s="6" t="str">
        <f t="shared" si="934"/>
        <v>=8014*10000</v>
      </c>
      <c r="Z1945" s="1">
        <f>8014*10000</f>
        <v>80140000</v>
      </c>
      <c r="AA1945" s="8">
        <f t="shared" si="951"/>
        <v>1.1387776888177208</v>
      </c>
      <c r="AB1945" s="7" t="s">
        <v>17294</v>
      </c>
      <c r="AC1945" s="6" t="str">
        <f t="shared" si="935"/>
        <v>=3747*10000</v>
      </c>
      <c r="AD1945" s="1">
        <f>3747*10000</f>
        <v>37470000</v>
      </c>
      <c r="AE1945" s="8">
        <f t="shared" si="952"/>
        <v>1.6350210970464134</v>
      </c>
      <c r="AF1945" s="7" t="s">
        <v>16134</v>
      </c>
      <c r="AG1945" s="6" t="str">
        <f t="shared" si="936"/>
        <v>=1422*10000</v>
      </c>
      <c r="AH1945" s="1">
        <f>1422*10000</f>
        <v>14220000</v>
      </c>
      <c r="AI1945" s="8">
        <f t="shared" si="953"/>
        <v>-0.85822532402791618</v>
      </c>
      <c r="AJ1945" s="6" t="s">
        <v>2918</v>
      </c>
      <c r="AK1945" s="6" t="str">
        <f t="shared" si="937"/>
        <v>=1.003*100000000</v>
      </c>
      <c r="AL1945" s="1">
        <f>1.003*100000000</f>
        <v>100299999.99999999</v>
      </c>
      <c r="AM1945" s="8">
        <f t="shared" si="954"/>
        <v>0.65021388614675857</v>
      </c>
      <c r="AN1945" s="7" t="s">
        <v>17295</v>
      </c>
      <c r="AO1945" s="6" t="str">
        <f t="shared" si="938"/>
        <v>=6078*10000</v>
      </c>
      <c r="AP1945" s="1">
        <f>6078*10000</f>
        <v>60780000</v>
      </c>
      <c r="AQ1945" s="8">
        <f t="shared" si="955"/>
        <v>0.78554641598119856</v>
      </c>
      <c r="AR1945" s="7" t="s">
        <v>9167</v>
      </c>
      <c r="AS1945" s="6" t="str">
        <f t="shared" si="939"/>
        <v>=3404*10000</v>
      </c>
      <c r="AT1945" s="1">
        <f>3404*10000</f>
        <v>34040000</v>
      </c>
      <c r="AU1945" s="8">
        <f t="shared" si="956"/>
        <v>3.0639923591212987</v>
      </c>
      <c r="AV1945" s="7" t="s">
        <v>17296</v>
      </c>
      <c r="AW1945" s="6" t="str">
        <f t="shared" si="940"/>
        <v>=837.6*10000</v>
      </c>
      <c r="AX1945" s="1">
        <f>837.6*10000</f>
        <v>8376000</v>
      </c>
      <c r="AY1945" s="10">
        <f t="shared" si="957"/>
        <v>-0.86704761904761907</v>
      </c>
      <c r="AZ1945" s="7" t="s">
        <v>12043</v>
      </c>
      <c r="BA1945" s="6" t="str">
        <f t="shared" si="941"/>
        <v>=6300*10000</v>
      </c>
      <c r="BB1945" s="1">
        <f>6300*10000</f>
        <v>63000000</v>
      </c>
      <c r="BC1945" s="8">
        <f t="shared" si="958"/>
        <v>1.5830258302583027</v>
      </c>
      <c r="BD1945" s="7" t="s">
        <v>8886</v>
      </c>
      <c r="BE1945" s="6" t="str">
        <f t="shared" si="942"/>
        <v>=2439*10000</v>
      </c>
      <c r="BF1945" s="1">
        <f>2439*10000</f>
        <v>24390000</v>
      </c>
      <c r="BG1945" s="8">
        <f t="shared" si="959"/>
        <v>0.3602900167317345</v>
      </c>
      <c r="BH1945" s="7" t="s">
        <v>17297</v>
      </c>
      <c r="BI1945" s="6" t="str">
        <f t="shared" si="943"/>
        <v>=1793*10000</v>
      </c>
      <c r="BJ1945" s="1">
        <f>1793*10000</f>
        <v>17930000</v>
      </c>
      <c r="BK1945" s="7" t="s">
        <v>17298</v>
      </c>
      <c r="BL1945" s="1" t="str">
        <f t="shared" si="945"/>
        <v>=821.7*10000</v>
      </c>
      <c r="BM1945" s="16">
        <f t="shared" si="960"/>
        <v>1.1820615796519411</v>
      </c>
      <c r="BN1945" s="1">
        <f>821.7*10000</f>
        <v>8217000</v>
      </c>
    </row>
    <row r="1946" spans="1:66">
      <c r="A1946" s="17">
        <v>488</v>
      </c>
      <c r="B1946">
        <v>603860</v>
      </c>
      <c r="C1946" t="s">
        <v>31</v>
      </c>
      <c r="D1946" s="6" t="s">
        <v>17299</v>
      </c>
      <c r="E1946" s="7" t="str">
        <f t="shared" si="944"/>
        <v>=2.033*100000000</v>
      </c>
      <c r="F1946" s="1">
        <f>2.033*100000000</f>
        <v>203300000</v>
      </c>
      <c r="G1946" s="8">
        <f t="shared" si="946"/>
        <v>1.455610580988042</v>
      </c>
      <c r="H1946" s="7" t="s">
        <v>2191</v>
      </c>
      <c r="I1946" s="6" t="str">
        <f t="shared" si="930"/>
        <v>=8279*10000</v>
      </c>
      <c r="J1946" s="1">
        <f>8279*10000</f>
        <v>82790000</v>
      </c>
      <c r="K1946" s="10">
        <f t="shared" si="947"/>
        <v>0.58056510118365789</v>
      </c>
      <c r="L1946" s="7" t="s">
        <v>17300</v>
      </c>
      <c r="M1946" s="6" t="str">
        <f t="shared" si="931"/>
        <v>=5238*10000</v>
      </c>
      <c r="N1946" s="1">
        <f>5238*10000</f>
        <v>52380000</v>
      </c>
      <c r="O1946" s="8">
        <f t="shared" si="948"/>
        <v>1.2893356643356644</v>
      </c>
      <c r="P1946" s="7" t="s">
        <v>17301</v>
      </c>
      <c r="Q1946" s="6" t="str">
        <f t="shared" si="932"/>
        <v>=2288*10000</v>
      </c>
      <c r="R1946" s="11">
        <f>2288*10000</f>
        <v>22880000</v>
      </c>
      <c r="S1946" s="8">
        <f t="shared" si="949"/>
        <v>-0.87267668336115745</v>
      </c>
      <c r="T1946" s="6" t="s">
        <v>1600</v>
      </c>
      <c r="U1946" s="6" t="str">
        <f t="shared" si="933"/>
        <v>=1.797*100000000</v>
      </c>
      <c r="V1946" s="1">
        <f>1.797*100000000</f>
        <v>179700000</v>
      </c>
      <c r="W1946" s="8">
        <f t="shared" si="950"/>
        <v>1.1449033182143711</v>
      </c>
      <c r="X1946" s="7" t="s">
        <v>17302</v>
      </c>
      <c r="Y1946" s="6" t="str">
        <f t="shared" si="934"/>
        <v>=8378*10000</v>
      </c>
      <c r="Z1946" s="1">
        <f>8378*10000</f>
        <v>83780000</v>
      </c>
      <c r="AA1946" s="8">
        <f t="shared" si="951"/>
        <v>1.0564555719194895</v>
      </c>
      <c r="AB1946" s="7" t="s">
        <v>17303</v>
      </c>
      <c r="AC1946" s="6" t="str">
        <f t="shared" si="935"/>
        <v>=4074*10000</v>
      </c>
      <c r="AD1946" s="1">
        <f>4074*10000</f>
        <v>40740000</v>
      </c>
      <c r="AE1946" s="8">
        <f t="shared" si="952"/>
        <v>2.779220779220779</v>
      </c>
      <c r="AF1946" s="7" t="s">
        <v>17288</v>
      </c>
      <c r="AG1946" s="6" t="str">
        <f t="shared" si="936"/>
        <v>=1078*10000</v>
      </c>
      <c r="AH1946" s="1">
        <f>1078*10000</f>
        <v>10780000</v>
      </c>
      <c r="AI1946" s="8">
        <f t="shared" si="953"/>
        <v>-0.95027675276752765</v>
      </c>
      <c r="AJ1946" s="6" t="s">
        <v>4405</v>
      </c>
      <c r="AK1946" s="6" t="str">
        <f t="shared" si="937"/>
        <v>=2.168*100000000</v>
      </c>
      <c r="AL1946" s="1">
        <f>2.168*100000000</f>
        <v>216800000.00000003</v>
      </c>
      <c r="AM1946" s="8">
        <f t="shared" si="954"/>
        <v>0.85775492716366775</v>
      </c>
      <c r="AN1946" s="6" t="s">
        <v>2072</v>
      </c>
      <c r="AO1946" s="6" t="str">
        <f t="shared" si="938"/>
        <v>=1.167*100000000</v>
      </c>
      <c r="AP1946" s="1">
        <f>1.167*100000000</f>
        <v>116700000</v>
      </c>
      <c r="AQ1946" s="8">
        <f t="shared" si="955"/>
        <v>0.58948515390901657</v>
      </c>
      <c r="AR1946" s="7" t="s">
        <v>17304</v>
      </c>
      <c r="AS1946" s="6" t="str">
        <f t="shared" si="939"/>
        <v>=7342*10000</v>
      </c>
      <c r="AT1946" s="1">
        <f>7342*10000</f>
        <v>73420000</v>
      </c>
      <c r="AU1946" s="8">
        <f t="shared" si="956"/>
        <v>1.2161183217627527</v>
      </c>
      <c r="AV1946" s="7" t="s">
        <v>17305</v>
      </c>
      <c r="AW1946" s="6" t="str">
        <f t="shared" si="940"/>
        <v>=3313*10000</v>
      </c>
      <c r="AX1946" s="1">
        <f>3313*10000</f>
        <v>33130000</v>
      </c>
      <c r="AY1946" s="10">
        <f t="shared" si="957"/>
        <v>-0.84125539051269771</v>
      </c>
      <c r="AZ1946" s="6" t="s">
        <v>7935</v>
      </c>
      <c r="BA1946" s="6" t="str">
        <f t="shared" si="941"/>
        <v>=2.087*100000000</v>
      </c>
      <c r="BB1946" s="1">
        <f>2.087*100000000</f>
        <v>208700000.00000003</v>
      </c>
      <c r="BC1946" s="8">
        <f t="shared" si="958"/>
        <v>0.73627287853577394</v>
      </c>
      <c r="BD1946" s="6" t="s">
        <v>15992</v>
      </c>
      <c r="BE1946" s="6" t="str">
        <f t="shared" si="942"/>
        <v>=1.202*100000000</v>
      </c>
      <c r="BF1946" s="1">
        <f>1.202*100000000</f>
        <v>120200000</v>
      </c>
      <c r="BG1946" s="8">
        <f t="shared" si="959"/>
        <v>0.59310801855533468</v>
      </c>
      <c r="BH1946" s="7" t="s">
        <v>17306</v>
      </c>
      <c r="BI1946" s="6" t="str">
        <f t="shared" si="943"/>
        <v>=7545*10000</v>
      </c>
      <c r="BJ1946" s="1">
        <f>7545*10000</f>
        <v>75450000</v>
      </c>
      <c r="BK1946" s="7" t="s">
        <v>17307</v>
      </c>
      <c r="BL1946" s="1" t="str">
        <f t="shared" si="945"/>
        <v>=2443*10000</v>
      </c>
      <c r="BM1946" s="16">
        <f t="shared" si="960"/>
        <v>2.088415882112157</v>
      </c>
      <c r="BN1946" s="1">
        <f>2443*10000</f>
        <v>24430000</v>
      </c>
    </row>
    <row r="1947" spans="1:66">
      <c r="A1947" s="18"/>
      <c r="B1947">
        <v>603860</v>
      </c>
      <c r="C1947" t="s">
        <v>48</v>
      </c>
      <c r="D1947" s="7" t="s">
        <v>11480</v>
      </c>
      <c r="E1947" s="7" t="str">
        <f t="shared" si="944"/>
        <v>=4228*10000</v>
      </c>
      <c r="F1947" s="1">
        <f>4228*10000</f>
        <v>42280000</v>
      </c>
      <c r="G1947" s="8">
        <f t="shared" si="946"/>
        <v>-15.939929328621908</v>
      </c>
      <c r="H1947" s="7">
        <f>-283*10000</f>
        <v>-2830000</v>
      </c>
      <c r="I1947" s="6" t="str">
        <f t="shared" si="930"/>
        <v>=-2830000</v>
      </c>
      <c r="J1947" s="1">
        <f>-2830000</f>
        <v>-2830000</v>
      </c>
      <c r="K1947" s="10">
        <f t="shared" si="947"/>
        <v>-0.72007912957467857</v>
      </c>
      <c r="L1947" s="7">
        <f>-1011*10000</f>
        <v>-10110000</v>
      </c>
      <c r="M1947" s="6" t="str">
        <f t="shared" si="931"/>
        <v>=-10110000</v>
      </c>
      <c r="N1947" s="1">
        <f>-10110000</f>
        <v>-10110000</v>
      </c>
      <c r="O1947" s="8">
        <f t="shared" si="948"/>
        <v>0.56598513011152418</v>
      </c>
      <c r="P1947" s="7">
        <f>-645.6*10000</f>
        <v>-6456000</v>
      </c>
      <c r="Q1947" s="6" t="str">
        <f t="shared" si="932"/>
        <v>=-6456000</v>
      </c>
      <c r="R1947" s="11">
        <f>-6456000</f>
        <v>-6456000</v>
      </c>
      <c r="S1947" s="8">
        <f t="shared" si="949"/>
        <v>-1.1627016129032257</v>
      </c>
      <c r="T1947" s="7" t="s">
        <v>12070</v>
      </c>
      <c r="U1947" s="6" t="str">
        <f t="shared" si="933"/>
        <v>=3968*10000</v>
      </c>
      <c r="V1947" s="1">
        <f>3968*10000</f>
        <v>39680000</v>
      </c>
      <c r="W1947" s="8">
        <f t="shared" si="950"/>
        <v>-15.3042537851478</v>
      </c>
      <c r="X1947" s="7">
        <f>-277.4*10000</f>
        <v>-2774000</v>
      </c>
      <c r="Y1947" s="6" t="str">
        <f t="shared" si="934"/>
        <v>=-2774000</v>
      </c>
      <c r="Z1947" s="1">
        <f>-2774000</f>
        <v>-2774000</v>
      </c>
      <c r="AA1947" s="8">
        <f t="shared" si="951"/>
        <v>-0.78294209702660411</v>
      </c>
      <c r="AB1947" s="7">
        <f>-1278*10000</f>
        <v>-12780000</v>
      </c>
      <c r="AC1947" s="6" t="str">
        <f t="shared" si="935"/>
        <v>=-12780000</v>
      </c>
      <c r="AD1947" s="1">
        <f>-12780000</f>
        <v>-12780000</v>
      </c>
      <c r="AE1947" s="8">
        <f t="shared" si="952"/>
        <v>7.575757575757576E-2</v>
      </c>
      <c r="AF1947" s="7">
        <f>-1188*10000</f>
        <v>-11880000</v>
      </c>
      <c r="AG1947" s="6" t="str">
        <f t="shared" si="936"/>
        <v>=-11880000</v>
      </c>
      <c r="AH1947" s="1">
        <f>-11880000</f>
        <v>-11880000</v>
      </c>
      <c r="AI1947" s="8">
        <f t="shared" si="953"/>
        <v>-1.1830226467416423</v>
      </c>
      <c r="AJ1947" s="7" t="s">
        <v>17308</v>
      </c>
      <c r="AK1947" s="6" t="str">
        <f t="shared" si="937"/>
        <v>=6491*10000</v>
      </c>
      <c r="AL1947" s="1">
        <f>6491*10000</f>
        <v>64910000</v>
      </c>
      <c r="AM1947" s="8">
        <f t="shared" si="954"/>
        <v>2.5334784975503539</v>
      </c>
      <c r="AN1947" s="7" t="s">
        <v>4459</v>
      </c>
      <c r="AO1947" s="6" t="str">
        <f t="shared" si="938"/>
        <v>=1837*10000</v>
      </c>
      <c r="AP1947" s="1">
        <f>1837*10000</f>
        <v>18370000</v>
      </c>
      <c r="AQ1947" s="8">
        <f t="shared" si="955"/>
        <v>1.1518097692397797</v>
      </c>
      <c r="AR1947" s="7" t="s">
        <v>17309</v>
      </c>
      <c r="AS1947" s="6" t="str">
        <f t="shared" si="939"/>
        <v>=853.7*10000</v>
      </c>
      <c r="AT1947" s="1">
        <f>853.7*10000</f>
        <v>8537000</v>
      </c>
      <c r="AU1947" s="8">
        <f t="shared" si="956"/>
        <v>1.9468415602347255</v>
      </c>
      <c r="AV1947" s="7" t="s">
        <v>17310</v>
      </c>
      <c r="AW1947" s="6" t="str">
        <f t="shared" si="940"/>
        <v>=289.7*10000</v>
      </c>
      <c r="AX1947" s="1">
        <f>289.7*10000</f>
        <v>2897000</v>
      </c>
      <c r="AY1947" s="10">
        <f t="shared" si="957"/>
        <v>-0.94664825046040513</v>
      </c>
      <c r="AZ1947" s="7" t="s">
        <v>7295</v>
      </c>
      <c r="BA1947" s="6" t="str">
        <f t="shared" si="941"/>
        <v>=5430*10000</v>
      </c>
      <c r="BB1947" s="1">
        <f>5430*10000</f>
        <v>54300000</v>
      </c>
      <c r="BC1947" s="8">
        <f t="shared" si="958"/>
        <v>2.2730560578661843</v>
      </c>
      <c r="BD1947" s="7" t="s">
        <v>17311</v>
      </c>
      <c r="BE1947" s="6" t="str">
        <f t="shared" si="942"/>
        <v>=1659*10000</v>
      </c>
      <c r="BF1947" s="1">
        <f>1659*10000</f>
        <v>16590000</v>
      </c>
      <c r="BG1947" s="8">
        <f t="shared" si="959"/>
        <v>1.1231123624264141</v>
      </c>
      <c r="BH1947" s="7" t="s">
        <v>17312</v>
      </c>
      <c r="BI1947" s="6" t="str">
        <f t="shared" si="943"/>
        <v>=781.4*10000</v>
      </c>
      <c r="BJ1947" s="1">
        <f>781.4*10000</f>
        <v>7814000</v>
      </c>
      <c r="BK1947" s="7" t="s">
        <v>17313</v>
      </c>
      <c r="BL1947" s="1" t="str">
        <f t="shared" si="945"/>
        <v>=235.1*10000</v>
      </c>
      <c r="BM1947" s="16">
        <f t="shared" si="960"/>
        <v>2.3236920459378987</v>
      </c>
      <c r="BN1947" s="1">
        <f>235.1*10000</f>
        <v>2351000</v>
      </c>
    </row>
    <row r="1948" spans="1:66">
      <c r="A1948" s="18"/>
      <c r="B1948">
        <v>603860</v>
      </c>
      <c r="C1948" t="s">
        <v>58</v>
      </c>
      <c r="D1948" s="7" t="s">
        <v>17239</v>
      </c>
      <c r="E1948" s="7" t="str">
        <f t="shared" si="944"/>
        <v>=4231*10000</v>
      </c>
      <c r="F1948" s="1">
        <f>4231*10000</f>
        <v>42310000</v>
      </c>
      <c r="G1948" s="8">
        <f t="shared" si="946"/>
        <v>-16.143163922691482</v>
      </c>
      <c r="H1948" s="7">
        <f>-279.4*10000</f>
        <v>-2794000</v>
      </c>
      <c r="I1948" s="6" t="str">
        <f t="shared" si="930"/>
        <v>=-2794000</v>
      </c>
      <c r="J1948" s="1">
        <f>-2794000</f>
        <v>-2794000</v>
      </c>
      <c r="K1948" s="10">
        <f t="shared" si="947"/>
        <v>-0.72391304347826091</v>
      </c>
      <c r="L1948" s="7">
        <f>-1012*10000</f>
        <v>-10120000</v>
      </c>
      <c r="M1948" s="6" t="str">
        <f t="shared" si="931"/>
        <v>=-10120000</v>
      </c>
      <c r="N1948" s="1">
        <f>-10120000</f>
        <v>-10120000</v>
      </c>
      <c r="O1948" s="8">
        <f t="shared" si="948"/>
        <v>0.56753407682775714</v>
      </c>
      <c r="P1948" s="7">
        <f>-645.6*10000</f>
        <v>-6456000</v>
      </c>
      <c r="Q1948" s="6" t="str">
        <f t="shared" si="932"/>
        <v>=-6456000</v>
      </c>
      <c r="R1948" s="11">
        <f>-6456000</f>
        <v>-6456000</v>
      </c>
      <c r="S1948" s="8">
        <f t="shared" si="949"/>
        <v>-1.1615615615615615</v>
      </c>
      <c r="T1948" s="7" t="s">
        <v>17314</v>
      </c>
      <c r="U1948" s="6" t="str">
        <f t="shared" si="933"/>
        <v>=3996*10000</v>
      </c>
      <c r="V1948" s="1">
        <f>3996*10000</f>
        <v>39960000</v>
      </c>
      <c r="W1948" s="8">
        <f t="shared" si="950"/>
        <v>-15.353448275862069</v>
      </c>
      <c r="X1948" s="7">
        <f>-278.4*10000</f>
        <v>-2784000</v>
      </c>
      <c r="Y1948" s="6" t="str">
        <f t="shared" si="934"/>
        <v>=-2784000</v>
      </c>
      <c r="Z1948" s="1">
        <f>-2784000</f>
        <v>-2784000</v>
      </c>
      <c r="AA1948" s="8">
        <f t="shared" si="951"/>
        <v>-0.78232994526974198</v>
      </c>
      <c r="AB1948" s="7">
        <f>-1279*10000</f>
        <v>-12790000</v>
      </c>
      <c r="AC1948" s="6" t="str">
        <f t="shared" si="935"/>
        <v>=-12790000</v>
      </c>
      <c r="AD1948" s="1">
        <f>-12790000</f>
        <v>-12790000</v>
      </c>
      <c r="AE1948" s="8">
        <f t="shared" si="952"/>
        <v>7.6599326599326598E-2</v>
      </c>
      <c r="AF1948" s="7">
        <f>-1188*10000</f>
        <v>-11880000</v>
      </c>
      <c r="AG1948" s="6" t="str">
        <f t="shared" si="936"/>
        <v>=-11880000</v>
      </c>
      <c r="AH1948" s="1">
        <f>-11880000</f>
        <v>-11880000</v>
      </c>
      <c r="AI1948" s="8">
        <f t="shared" si="953"/>
        <v>-1.1830790568654646</v>
      </c>
      <c r="AJ1948" s="7" t="s">
        <v>13134</v>
      </c>
      <c r="AK1948" s="6" t="str">
        <f t="shared" si="937"/>
        <v>=6489*10000</v>
      </c>
      <c r="AL1948" s="1">
        <f>6489*10000</f>
        <v>64890000</v>
      </c>
      <c r="AM1948" s="8">
        <f t="shared" si="954"/>
        <v>2.5362397820163487</v>
      </c>
      <c r="AN1948" s="7" t="s">
        <v>11139</v>
      </c>
      <c r="AO1948" s="6" t="str">
        <f t="shared" si="938"/>
        <v>=1835*10000</v>
      </c>
      <c r="AP1948" s="1">
        <f>1835*10000</f>
        <v>18350000</v>
      </c>
      <c r="AQ1948" s="8">
        <f t="shared" si="955"/>
        <v>1.1492152728976341</v>
      </c>
      <c r="AR1948" s="7" t="s">
        <v>17315</v>
      </c>
      <c r="AS1948" s="6" t="str">
        <f t="shared" si="939"/>
        <v>=853.8*10000</v>
      </c>
      <c r="AT1948" s="1">
        <f>853.8*10000</f>
        <v>8538000</v>
      </c>
      <c r="AU1948" s="8">
        <f t="shared" si="956"/>
        <v>1.9471867449085261</v>
      </c>
      <c r="AV1948" s="7" t="s">
        <v>17310</v>
      </c>
      <c r="AW1948" s="6" t="str">
        <f t="shared" si="940"/>
        <v>=289.7*10000</v>
      </c>
      <c r="AX1948" s="1">
        <f>289.7*10000</f>
        <v>2897000</v>
      </c>
      <c r="AY1948" s="10">
        <f t="shared" si="957"/>
        <v>-0.94777357129980166</v>
      </c>
      <c r="AZ1948" s="7" t="s">
        <v>17316</v>
      </c>
      <c r="BA1948" s="6" t="str">
        <f t="shared" si="941"/>
        <v>=5547*10000</v>
      </c>
      <c r="BB1948" s="1">
        <f>5547*10000</f>
        <v>55470000</v>
      </c>
      <c r="BC1948" s="8">
        <f t="shared" si="958"/>
        <v>2.1215531795160381</v>
      </c>
      <c r="BD1948" s="7" t="s">
        <v>17317</v>
      </c>
      <c r="BE1948" s="6" t="str">
        <f t="shared" si="942"/>
        <v>=1777*10000</v>
      </c>
      <c r="BF1948" s="1">
        <f>1777*10000</f>
        <v>17770000</v>
      </c>
      <c r="BG1948" s="8">
        <f t="shared" si="959"/>
        <v>1.2741233683132838</v>
      </c>
      <c r="BH1948" s="7" t="s">
        <v>17312</v>
      </c>
      <c r="BI1948" s="6" t="str">
        <f t="shared" si="943"/>
        <v>=781.4*10000</v>
      </c>
      <c r="BJ1948" s="1">
        <f>781.4*10000</f>
        <v>7814000</v>
      </c>
      <c r="BK1948" s="7" t="s">
        <v>17313</v>
      </c>
      <c r="BL1948" s="1" t="str">
        <f t="shared" si="945"/>
        <v>=235.1*10000</v>
      </c>
      <c r="BM1948" s="16">
        <f t="shared" si="960"/>
        <v>2.3236920459378987</v>
      </c>
      <c r="BN1948" s="1">
        <f>235.1*10000</f>
        <v>2351000</v>
      </c>
    </row>
    <row r="1949" spans="1:66">
      <c r="A1949" s="19"/>
      <c r="B1949">
        <v>603860</v>
      </c>
      <c r="C1949" t="s">
        <v>68</v>
      </c>
      <c r="D1949" s="7" t="s">
        <v>8418</v>
      </c>
      <c r="E1949" s="7" t="str">
        <f t="shared" si="944"/>
        <v>=3619*10000</v>
      </c>
      <c r="F1949" s="1">
        <f>3619*10000</f>
        <v>36190000</v>
      </c>
      <c r="G1949" s="8">
        <f t="shared" si="946"/>
        <v>-12.118279569892474</v>
      </c>
      <c r="H1949" s="7">
        <f>-325.5*10000</f>
        <v>-3255000</v>
      </c>
      <c r="I1949" s="6" t="str">
        <f t="shared" si="930"/>
        <v>=-3255000</v>
      </c>
      <c r="J1949" s="1">
        <f>-3255000</f>
        <v>-3255000</v>
      </c>
      <c r="K1949" s="10">
        <f t="shared" si="947"/>
        <v>-0.67482517482517479</v>
      </c>
      <c r="L1949" s="7">
        <f>-1001*10000</f>
        <v>-10010000</v>
      </c>
      <c r="M1949" s="6" t="str">
        <f t="shared" si="931"/>
        <v>=-10010000</v>
      </c>
      <c r="N1949" s="1">
        <f>-10010000</f>
        <v>-10010000</v>
      </c>
      <c r="O1949" s="8">
        <f t="shared" si="948"/>
        <v>0.58411141003323308</v>
      </c>
      <c r="P1949" s="7">
        <f>-631.9*10000</f>
        <v>-6319000</v>
      </c>
      <c r="Q1949" s="6" t="str">
        <f t="shared" si="932"/>
        <v>=-6319000</v>
      </c>
      <c r="R1949" s="11">
        <f>-6319000</f>
        <v>-6319000</v>
      </c>
      <c r="S1949" s="8">
        <f t="shared" si="949"/>
        <v>-1.183053302433372</v>
      </c>
      <c r="T1949" s="7" t="s">
        <v>17318</v>
      </c>
      <c r="U1949" s="6" t="str">
        <f t="shared" si="933"/>
        <v>=3452*10000</v>
      </c>
      <c r="V1949" s="1">
        <f>3452*10000</f>
        <v>34520000</v>
      </c>
      <c r="W1949" s="8">
        <f t="shared" si="950"/>
        <v>-12.415343915343914</v>
      </c>
      <c r="X1949" s="7">
        <f>-302.4*10000</f>
        <v>-3024000</v>
      </c>
      <c r="Y1949" s="6" t="str">
        <f t="shared" si="934"/>
        <v>=-3024000</v>
      </c>
      <c r="Z1949" s="1">
        <f>-3024000</f>
        <v>-3024000</v>
      </c>
      <c r="AA1949" s="8">
        <f t="shared" si="951"/>
        <v>-0.75942720763723148</v>
      </c>
      <c r="AB1949" s="7">
        <f>-1257*10000</f>
        <v>-12570000</v>
      </c>
      <c r="AC1949" s="6" t="str">
        <f t="shared" si="935"/>
        <v>=-12570000</v>
      </c>
      <c r="AD1949" s="1">
        <f>-12570000</f>
        <v>-12570000</v>
      </c>
      <c r="AE1949" s="8">
        <f t="shared" si="952"/>
        <v>7.5278015397775871E-2</v>
      </c>
      <c r="AF1949" s="7">
        <f>-1169*10000</f>
        <v>-11690000</v>
      </c>
      <c r="AG1949" s="6" t="str">
        <f t="shared" si="936"/>
        <v>=-11690000</v>
      </c>
      <c r="AH1949" s="1">
        <f>-11690000</f>
        <v>-11690000</v>
      </c>
      <c r="AI1949" s="8">
        <f t="shared" si="953"/>
        <v>-1.2092731829573935</v>
      </c>
      <c r="AJ1949" s="7" t="s">
        <v>17319</v>
      </c>
      <c r="AK1949" s="6" t="str">
        <f t="shared" si="937"/>
        <v>=5586*10000</v>
      </c>
      <c r="AL1949" s="1">
        <f>5586*10000</f>
        <v>55860000</v>
      </c>
      <c r="AM1949" s="8">
        <f t="shared" si="954"/>
        <v>2.6485956890920965</v>
      </c>
      <c r="AN1949" s="7" t="s">
        <v>15149</v>
      </c>
      <c r="AO1949" s="6" t="str">
        <f t="shared" si="938"/>
        <v>=1531*10000</v>
      </c>
      <c r="AP1949" s="1">
        <f>1531*10000</f>
        <v>15310000</v>
      </c>
      <c r="AQ1949" s="8">
        <f t="shared" si="955"/>
        <v>1.1281623575201556</v>
      </c>
      <c r="AR1949" s="7" t="s">
        <v>17320</v>
      </c>
      <c r="AS1949" s="6" t="str">
        <f t="shared" si="939"/>
        <v>=719.4*10000</v>
      </c>
      <c r="AT1949" s="1">
        <f>719.4*10000</f>
        <v>7194000</v>
      </c>
      <c r="AU1949" s="8">
        <f t="shared" si="956"/>
        <v>1.9208282582216809</v>
      </c>
      <c r="AV1949" s="7" t="s">
        <v>17321</v>
      </c>
      <c r="AW1949" s="6" t="str">
        <f t="shared" si="940"/>
        <v>=246.3*10000</v>
      </c>
      <c r="AX1949" s="1">
        <f>246.3*10000</f>
        <v>2463000</v>
      </c>
      <c r="AY1949" s="10">
        <f t="shared" si="957"/>
        <v>-0.94863399374348278</v>
      </c>
      <c r="AZ1949" s="7" t="s">
        <v>11359</v>
      </c>
      <c r="BA1949" s="6" t="str">
        <f t="shared" si="941"/>
        <v>=4795*10000</v>
      </c>
      <c r="BB1949" s="1">
        <f>4795*10000</f>
        <v>47950000</v>
      </c>
      <c r="BC1949" s="8">
        <f t="shared" si="958"/>
        <v>2.1587615283267456</v>
      </c>
      <c r="BD1949" s="7" t="s">
        <v>3281</v>
      </c>
      <c r="BE1949" s="6" t="str">
        <f t="shared" si="942"/>
        <v>=1518*10000</v>
      </c>
      <c r="BF1949" s="1">
        <f>1518*10000</f>
        <v>15180000</v>
      </c>
      <c r="BG1949" s="8">
        <f t="shared" si="959"/>
        <v>1.2173531989482911</v>
      </c>
      <c r="BH1949" s="7" t="s">
        <v>17322</v>
      </c>
      <c r="BI1949" s="6" t="str">
        <f t="shared" si="943"/>
        <v>=684.6*10000</v>
      </c>
      <c r="BJ1949" s="1">
        <f>684.6*10000</f>
        <v>6846000</v>
      </c>
      <c r="BK1949" s="7" t="s">
        <v>17323</v>
      </c>
      <c r="BL1949" s="1" t="str">
        <f t="shared" si="945"/>
        <v>=185.2*10000</v>
      </c>
      <c r="BM1949" s="16">
        <f t="shared" si="960"/>
        <v>2.6965442764578835</v>
      </c>
      <c r="BN1949" s="1">
        <f>185.2*10000</f>
        <v>1852000</v>
      </c>
    </row>
    <row r="1950" spans="1:66">
      <c r="A1950" s="17">
        <v>489</v>
      </c>
      <c r="B1950">
        <v>603866</v>
      </c>
      <c r="C1950" t="s">
        <v>31</v>
      </c>
      <c r="D1950" s="6" t="s">
        <v>17324</v>
      </c>
      <c r="E1950" s="7" t="str">
        <f t="shared" si="944"/>
        <v>=63.35*100000000</v>
      </c>
      <c r="F1950" s="1">
        <f>63.35*100000000</f>
        <v>6335000000</v>
      </c>
      <c r="G1950" s="8">
        <f t="shared" si="946"/>
        <v>0.35856744585031097</v>
      </c>
      <c r="H1950" s="6" t="s">
        <v>300</v>
      </c>
      <c r="I1950" s="6" t="str">
        <f t="shared" si="930"/>
        <v>=46.63*100000000</v>
      </c>
      <c r="J1950" s="1">
        <f>46.63*100000000</f>
        <v>4663000000</v>
      </c>
      <c r="K1950" s="10">
        <f t="shared" si="947"/>
        <v>0.58659407961891796</v>
      </c>
      <c r="L1950" s="6" t="s">
        <v>17325</v>
      </c>
      <c r="M1950" s="6" t="str">
        <f t="shared" si="931"/>
        <v>=29.39*100000000</v>
      </c>
      <c r="N1950" s="1">
        <f>29.39*100000000</f>
        <v>2939000000</v>
      </c>
      <c r="O1950" s="8">
        <f t="shared" si="948"/>
        <v>1.2147701582516957</v>
      </c>
      <c r="P1950" s="6" t="s">
        <v>4844</v>
      </c>
      <c r="Q1950" s="6" t="str">
        <f t="shared" si="932"/>
        <v>=13.27*100000000</v>
      </c>
      <c r="R1950" s="11">
        <f>13.27*100000000</f>
        <v>1327000000</v>
      </c>
      <c r="S1950" s="8">
        <f t="shared" si="949"/>
        <v>-0.77746100955894681</v>
      </c>
      <c r="T1950" s="6" t="s">
        <v>17326</v>
      </c>
      <c r="U1950" s="6" t="str">
        <f t="shared" si="933"/>
        <v>=59.63*100000000</v>
      </c>
      <c r="V1950" s="1">
        <f>59.63*100000000</f>
        <v>5963000000</v>
      </c>
      <c r="W1950" s="8">
        <f t="shared" si="950"/>
        <v>0.36390667886550776</v>
      </c>
      <c r="X1950" s="6" t="s">
        <v>17327</v>
      </c>
      <c r="Y1950" s="6" t="str">
        <f t="shared" si="934"/>
        <v>=43.72*100000000</v>
      </c>
      <c r="Z1950" s="1">
        <f>43.72*100000000</f>
        <v>4372000000</v>
      </c>
      <c r="AA1950" s="8">
        <f t="shared" si="951"/>
        <v>0.59620299379335528</v>
      </c>
      <c r="AB1950" s="6" t="s">
        <v>17328</v>
      </c>
      <c r="AC1950" s="6" t="str">
        <f t="shared" si="935"/>
        <v>=27.39*100000000</v>
      </c>
      <c r="AD1950" s="1">
        <f>27.39*100000000</f>
        <v>2739000000</v>
      </c>
      <c r="AE1950" s="8">
        <f t="shared" si="952"/>
        <v>1.0702947845804989</v>
      </c>
      <c r="AF1950" s="6" t="s">
        <v>7965</v>
      </c>
      <c r="AG1950" s="6" t="str">
        <f t="shared" si="936"/>
        <v>=13.23*100000000</v>
      </c>
      <c r="AH1950" s="1">
        <f>13.23*100000000</f>
        <v>1323000000</v>
      </c>
      <c r="AI1950" s="8">
        <f t="shared" si="953"/>
        <v>-0.76559177888022678</v>
      </c>
      <c r="AJ1950" s="6" t="s">
        <v>17329</v>
      </c>
      <c r="AK1950" s="6" t="str">
        <f t="shared" si="937"/>
        <v>=56.44*100000000</v>
      </c>
      <c r="AL1950" s="1">
        <f>56.44*100000000</f>
        <v>5644000000</v>
      </c>
      <c r="AM1950" s="8">
        <f t="shared" si="954"/>
        <v>0.36923823386705484</v>
      </c>
      <c r="AN1950" s="6" t="s">
        <v>17330</v>
      </c>
      <c r="AO1950" s="6" t="str">
        <f t="shared" si="938"/>
        <v>=41.22*100000000</v>
      </c>
      <c r="AP1950" s="1">
        <f>41.22*100000000</f>
        <v>4122000000</v>
      </c>
      <c r="AQ1950" s="8">
        <f t="shared" si="955"/>
        <v>0.61141516810007823</v>
      </c>
      <c r="AR1950" s="6" t="s">
        <v>8232</v>
      </c>
      <c r="AS1950" s="6" t="str">
        <f t="shared" si="939"/>
        <v>=25.58*100000000</v>
      </c>
      <c r="AT1950" s="1">
        <f>25.58*100000000</f>
        <v>2558000000</v>
      </c>
      <c r="AU1950" s="8">
        <f t="shared" si="956"/>
        <v>1.2399299474605954</v>
      </c>
      <c r="AV1950" s="6" t="s">
        <v>3970</v>
      </c>
      <c r="AW1950" s="6" t="str">
        <f t="shared" si="940"/>
        <v>=11.42*100000000</v>
      </c>
      <c r="AX1950" s="1">
        <f>11.42*100000000</f>
        <v>1142000000</v>
      </c>
      <c r="AY1950" s="10">
        <f t="shared" si="957"/>
        <v>-0.76370784192013241</v>
      </c>
      <c r="AZ1950" s="6" t="s">
        <v>17331</v>
      </c>
      <c r="BA1950" s="6" t="str">
        <f t="shared" si="941"/>
        <v>=48.33*100000000</v>
      </c>
      <c r="BB1950" s="1">
        <f>48.33*100000000</f>
        <v>4833000000</v>
      </c>
      <c r="BC1950" s="8">
        <f t="shared" si="958"/>
        <v>0.3714528944381385</v>
      </c>
      <c r="BD1950" s="6" t="s">
        <v>14713</v>
      </c>
      <c r="BE1950" s="6" t="str">
        <f t="shared" si="942"/>
        <v>=35.24*100000000</v>
      </c>
      <c r="BF1950" s="1">
        <f>35.24*100000000</f>
        <v>3524000000</v>
      </c>
      <c r="BG1950" s="8">
        <f t="shared" si="959"/>
        <v>0.62621135209967693</v>
      </c>
      <c r="BH1950" s="6" t="s">
        <v>5367</v>
      </c>
      <c r="BI1950" s="6" t="str">
        <f t="shared" si="943"/>
        <v>=21.67*100000000</v>
      </c>
      <c r="BJ1950" s="1">
        <f>21.67*100000000</f>
        <v>2167000000</v>
      </c>
      <c r="BK1950" s="6" t="s">
        <v>8100</v>
      </c>
      <c r="BL1950" s="1" t="str">
        <f t="shared" si="945"/>
        <v>=9.889*100000000</v>
      </c>
      <c r="BM1950" s="16">
        <f t="shared" si="960"/>
        <v>1.1913236929922137</v>
      </c>
      <c r="BN1950" s="1">
        <f>9.889*100000000</f>
        <v>988899999.99999988</v>
      </c>
    </row>
    <row r="1951" spans="1:66">
      <c r="A1951" s="18"/>
      <c r="B1951">
        <v>603866</v>
      </c>
      <c r="C1951" t="s">
        <v>48</v>
      </c>
      <c r="D1951" s="6" t="s">
        <v>17332</v>
      </c>
      <c r="E1951" s="7" t="str">
        <f t="shared" si="944"/>
        <v>=9.696*100000000</v>
      </c>
      <c r="F1951" s="1">
        <f>9.696*100000000</f>
        <v>969600000</v>
      </c>
      <c r="G1951" s="8">
        <f t="shared" si="946"/>
        <v>0.34722801167152978</v>
      </c>
      <c r="H1951" s="6" t="s">
        <v>11232</v>
      </c>
      <c r="I1951" s="6" t="str">
        <f t="shared" si="930"/>
        <v>=7.197*100000000</v>
      </c>
      <c r="J1951" s="1">
        <f>7.197*100000000</f>
        <v>719700000</v>
      </c>
      <c r="K1951" s="10">
        <f t="shared" si="947"/>
        <v>0.54111349036402567</v>
      </c>
      <c r="L1951" s="6" t="s">
        <v>15184</v>
      </c>
      <c r="M1951" s="6" t="str">
        <f t="shared" si="931"/>
        <v>=4.670*100000000</v>
      </c>
      <c r="N1951" s="1">
        <f>4.67*100000000</f>
        <v>467000000</v>
      </c>
      <c r="O1951" s="8">
        <f t="shared" si="948"/>
        <v>1.2802734375</v>
      </c>
      <c r="P1951" s="6" t="s">
        <v>1034</v>
      </c>
      <c r="Q1951" s="6" t="str">
        <f t="shared" si="932"/>
        <v>=2.048*100000000</v>
      </c>
      <c r="R1951" s="11">
        <f>2.048*100000000</f>
        <v>204800000</v>
      </c>
      <c r="S1951" s="8">
        <f t="shared" si="949"/>
        <v>-0.81827861579414374</v>
      </c>
      <c r="T1951" s="6" t="s">
        <v>4842</v>
      </c>
      <c r="U1951" s="6" t="str">
        <f t="shared" si="933"/>
        <v>=11.27*100000000</v>
      </c>
      <c r="V1951" s="1">
        <f>11.27*100000000</f>
        <v>1127000000</v>
      </c>
      <c r="W1951" s="8">
        <f t="shared" si="950"/>
        <v>0.29391504018369674</v>
      </c>
      <c r="X1951" s="6" t="s">
        <v>11271</v>
      </c>
      <c r="Y1951" s="6" t="str">
        <f t="shared" si="934"/>
        <v>=8.710*100000000</v>
      </c>
      <c r="Z1951" s="1">
        <f>8.71*100000000</f>
        <v>871000000.00000012</v>
      </c>
      <c r="AA1951" s="8">
        <f t="shared" si="951"/>
        <v>0.64619164619164626</v>
      </c>
      <c r="AB1951" s="6" t="s">
        <v>1568</v>
      </c>
      <c r="AC1951" s="6" t="str">
        <f t="shared" si="935"/>
        <v>=5.291*100000000</v>
      </c>
      <c r="AD1951" s="1">
        <f>5.291*100000000</f>
        <v>529100000.00000006</v>
      </c>
      <c r="AE1951" s="8">
        <f t="shared" si="952"/>
        <v>1.1257533145841705</v>
      </c>
      <c r="AF1951" s="6" t="s">
        <v>17333</v>
      </c>
      <c r="AG1951" s="6" t="str">
        <f t="shared" si="936"/>
        <v>=2.489*100000000</v>
      </c>
      <c r="AH1951" s="1">
        <f>2.489*100000000</f>
        <v>248900000</v>
      </c>
      <c r="AI1951" s="8">
        <f t="shared" si="953"/>
        <v>-0.7115874855156431</v>
      </c>
      <c r="AJ1951" s="6" t="s">
        <v>10807</v>
      </c>
      <c r="AK1951" s="6" t="str">
        <f t="shared" si="937"/>
        <v>=8.630*100000000</v>
      </c>
      <c r="AL1951" s="1">
        <f>8.63*100000000</f>
        <v>863000000.00000012</v>
      </c>
      <c r="AM1951" s="8">
        <f t="shared" si="954"/>
        <v>0.35415032166954358</v>
      </c>
      <c r="AN1951" s="6" t="s">
        <v>1641</v>
      </c>
      <c r="AO1951" s="6" t="str">
        <f t="shared" si="938"/>
        <v>=6.373*100000000</v>
      </c>
      <c r="AP1951" s="1">
        <f>6.373*100000000</f>
        <v>637300000</v>
      </c>
      <c r="AQ1951" s="8">
        <f t="shared" si="955"/>
        <v>0.66396866840731072</v>
      </c>
      <c r="AR1951" s="6" t="s">
        <v>17334</v>
      </c>
      <c r="AS1951" s="6" t="str">
        <f t="shared" si="939"/>
        <v>=3.830*100000000</v>
      </c>
      <c r="AT1951" s="1">
        <f>3.83*100000000</f>
        <v>383000000</v>
      </c>
      <c r="AU1951" s="8">
        <f t="shared" si="956"/>
        <v>1.5180802103879028</v>
      </c>
      <c r="AV1951" s="6" t="s">
        <v>11383</v>
      </c>
      <c r="AW1951" s="6" t="str">
        <f t="shared" si="940"/>
        <v>=1.521*100000000</v>
      </c>
      <c r="AX1951" s="1">
        <f>1.521*100000000</f>
        <v>152100000</v>
      </c>
      <c r="AY1951" s="10">
        <f t="shared" si="957"/>
        <v>-0.81543502002184198</v>
      </c>
      <c r="AZ1951" s="6" t="s">
        <v>7095</v>
      </c>
      <c r="BA1951" s="6" t="str">
        <f t="shared" si="941"/>
        <v>=8.241*100000000</v>
      </c>
      <c r="BB1951" s="1">
        <f>8.241*100000000</f>
        <v>824100000</v>
      </c>
      <c r="BC1951" s="8">
        <f t="shared" si="958"/>
        <v>0.39583333333333331</v>
      </c>
      <c r="BD1951" s="6" t="s">
        <v>196</v>
      </c>
      <c r="BE1951" s="6" t="str">
        <f t="shared" si="942"/>
        <v>=5.904*100000000</v>
      </c>
      <c r="BF1951" s="1">
        <f>5.904*100000000</f>
        <v>590400000</v>
      </c>
      <c r="BG1951" s="8">
        <f t="shared" si="959"/>
        <v>0.76713558814726135</v>
      </c>
      <c r="BH1951" s="6" t="s">
        <v>3485</v>
      </c>
      <c r="BI1951" s="6" t="str">
        <f t="shared" si="943"/>
        <v>=3.341*100000000</v>
      </c>
      <c r="BJ1951" s="1">
        <f>3.341*100000000</f>
        <v>334100000</v>
      </c>
      <c r="BK1951" s="6" t="s">
        <v>2215</v>
      </c>
      <c r="BL1951" s="1" t="str">
        <f t="shared" si="945"/>
        <v>=1.369*100000000</v>
      </c>
      <c r="BM1951" s="16">
        <f t="shared" si="960"/>
        <v>1.4404674945215485</v>
      </c>
      <c r="BN1951" s="1">
        <f>1.369*100000000</f>
        <v>136900000</v>
      </c>
    </row>
    <row r="1952" spans="1:66">
      <c r="A1952" s="18"/>
      <c r="B1952">
        <v>603866</v>
      </c>
      <c r="C1952" t="s">
        <v>58</v>
      </c>
      <c r="D1952" s="6" t="s">
        <v>1338</v>
      </c>
      <c r="E1952" s="7" t="str">
        <f t="shared" si="944"/>
        <v>=9.828*100000000</v>
      </c>
      <c r="F1952" s="1">
        <f>9.828*100000000</f>
        <v>982799999.99999988</v>
      </c>
      <c r="G1952" s="8">
        <f t="shared" si="946"/>
        <v>0.34667032063579045</v>
      </c>
      <c r="H1952" s="6" t="s">
        <v>17335</v>
      </c>
      <c r="I1952" s="6" t="str">
        <f t="shared" si="930"/>
        <v>=7.298*100000000</v>
      </c>
      <c r="J1952" s="1">
        <f>7.298*100000000</f>
        <v>729800000</v>
      </c>
      <c r="K1952" s="10">
        <f t="shared" si="947"/>
        <v>0.53998733910107621</v>
      </c>
      <c r="L1952" s="6" t="s">
        <v>13435</v>
      </c>
      <c r="M1952" s="6" t="str">
        <f t="shared" si="931"/>
        <v>=4.739*100000000</v>
      </c>
      <c r="N1952" s="1">
        <f>4.739*100000000</f>
        <v>473900000</v>
      </c>
      <c r="O1952" s="8">
        <f t="shared" si="948"/>
        <v>1.2761767531219983</v>
      </c>
      <c r="P1952" s="6" t="s">
        <v>11536</v>
      </c>
      <c r="Q1952" s="6" t="str">
        <f t="shared" si="932"/>
        <v>=2.082*100000000</v>
      </c>
      <c r="R1952" s="11">
        <f>2.082*100000000</f>
        <v>208199999.99999997</v>
      </c>
      <c r="S1952" s="8">
        <f t="shared" si="949"/>
        <v>-0.8170474516695958</v>
      </c>
      <c r="T1952" s="6" t="s">
        <v>8450</v>
      </c>
      <c r="U1952" s="6" t="str">
        <f t="shared" si="933"/>
        <v>=11.38*100000000</v>
      </c>
      <c r="V1952" s="1">
        <f>11.38*100000000</f>
        <v>1138000000</v>
      </c>
      <c r="W1952" s="8">
        <f t="shared" si="950"/>
        <v>0.29054207303243368</v>
      </c>
      <c r="X1952" s="6" t="s">
        <v>3833</v>
      </c>
      <c r="Y1952" s="6" t="str">
        <f t="shared" si="934"/>
        <v>=8.818*100000000</v>
      </c>
      <c r="Z1952" s="1">
        <f>8.818*100000000</f>
        <v>881800000</v>
      </c>
      <c r="AA1952" s="8">
        <f t="shared" si="951"/>
        <v>0.64330972791651153</v>
      </c>
      <c r="AB1952" s="6" t="s">
        <v>17336</v>
      </c>
      <c r="AC1952" s="6" t="str">
        <f t="shared" si="935"/>
        <v>=5.366*100000000</v>
      </c>
      <c r="AD1952" s="1">
        <f>5.366*100000000</f>
        <v>536599999.99999994</v>
      </c>
      <c r="AE1952" s="8">
        <f t="shared" si="952"/>
        <v>1.1429712460063894</v>
      </c>
      <c r="AF1952" s="6" t="s">
        <v>2888</v>
      </c>
      <c r="AG1952" s="6" t="str">
        <f t="shared" si="936"/>
        <v>=2.504*100000000</v>
      </c>
      <c r="AH1952" s="1">
        <f>2.504*100000000</f>
        <v>250400000</v>
      </c>
      <c r="AI1952" s="8">
        <f t="shared" si="953"/>
        <v>-0.71340276982946094</v>
      </c>
      <c r="AJ1952" s="6" t="s">
        <v>17337</v>
      </c>
      <c r="AK1952" s="6" t="str">
        <f t="shared" si="937"/>
        <v>=8.737*100000000</v>
      </c>
      <c r="AL1952" s="1">
        <f>8.737*100000000</f>
        <v>873700000</v>
      </c>
      <c r="AM1952" s="8">
        <f t="shared" si="954"/>
        <v>0.35394390206105686</v>
      </c>
      <c r="AN1952" s="6" t="s">
        <v>17338</v>
      </c>
      <c r="AO1952" s="6" t="str">
        <f t="shared" si="938"/>
        <v>=6.453*100000000</v>
      </c>
      <c r="AP1952" s="1">
        <f>6.453*100000000</f>
        <v>645300000</v>
      </c>
      <c r="AQ1952" s="8">
        <f t="shared" si="955"/>
        <v>0.66271579489822208</v>
      </c>
      <c r="AR1952" s="6" t="s">
        <v>17339</v>
      </c>
      <c r="AS1952" s="6" t="str">
        <f t="shared" si="939"/>
        <v>=3.881*100000000</v>
      </c>
      <c r="AT1952" s="1">
        <f>3.881*100000000</f>
        <v>388100000</v>
      </c>
      <c r="AU1952" s="8">
        <f t="shared" si="956"/>
        <v>1.5103492884864165</v>
      </c>
      <c r="AV1952" s="6" t="s">
        <v>10544</v>
      </c>
      <c r="AW1952" s="6" t="str">
        <f t="shared" si="940"/>
        <v>=1.546*100000000</v>
      </c>
      <c r="AX1952" s="1">
        <f>1.546*100000000</f>
        <v>154600000</v>
      </c>
      <c r="AY1952" s="10">
        <f t="shared" si="957"/>
        <v>-0.81246967491508981</v>
      </c>
      <c r="AZ1952" s="6" t="s">
        <v>17340</v>
      </c>
      <c r="BA1952" s="6" t="str">
        <f t="shared" si="941"/>
        <v>=8.244*100000000</v>
      </c>
      <c r="BB1952" s="1">
        <f>8.244*100000000</f>
        <v>824400000</v>
      </c>
      <c r="BC1952" s="8">
        <f t="shared" si="958"/>
        <v>0.38298943130347257</v>
      </c>
      <c r="BD1952" s="6" t="s">
        <v>17341</v>
      </c>
      <c r="BE1952" s="6" t="str">
        <f t="shared" si="942"/>
        <v>=5.961*100000000</v>
      </c>
      <c r="BF1952" s="1">
        <f>5.961*100000000</f>
        <v>596100000</v>
      </c>
      <c r="BG1952" s="8">
        <f t="shared" si="959"/>
        <v>0.7651761918862896</v>
      </c>
      <c r="BH1952" s="6" t="s">
        <v>2648</v>
      </c>
      <c r="BI1952" s="6" t="str">
        <f t="shared" si="943"/>
        <v>=3.377*100000000</v>
      </c>
      <c r="BJ1952" s="1">
        <f>3.377*100000000</f>
        <v>337700000</v>
      </c>
      <c r="BK1952" s="6" t="s">
        <v>2160</v>
      </c>
      <c r="BL1952" s="1" t="str">
        <f t="shared" si="945"/>
        <v>=1.387*100000000</v>
      </c>
      <c r="BM1952" s="16">
        <f t="shared" si="960"/>
        <v>1.4347512617159337</v>
      </c>
      <c r="BN1952" s="1">
        <f>1.387*100000000</f>
        <v>138700000</v>
      </c>
    </row>
    <row r="1953" spans="1:66">
      <c r="A1953" s="19"/>
      <c r="B1953">
        <v>603866</v>
      </c>
      <c r="C1953" t="s">
        <v>68</v>
      </c>
      <c r="D1953" s="6" t="s">
        <v>359</v>
      </c>
      <c r="E1953" s="7" t="str">
        <f t="shared" si="944"/>
        <v>=7.633*100000000</v>
      </c>
      <c r="F1953" s="1">
        <f>7.633*100000000</f>
        <v>763300000</v>
      </c>
      <c r="G1953" s="8">
        <f t="shared" si="946"/>
        <v>0.343128629245117</v>
      </c>
      <c r="H1953" s="6" t="s">
        <v>17342</v>
      </c>
      <c r="I1953" s="6" t="str">
        <f t="shared" si="930"/>
        <v>=5.683*100000000</v>
      </c>
      <c r="J1953" s="1">
        <f>5.683*100000000</f>
        <v>568300000</v>
      </c>
      <c r="K1953" s="10">
        <f t="shared" si="947"/>
        <v>0.5388572975900352</v>
      </c>
      <c r="L1953" s="6" t="s">
        <v>17343</v>
      </c>
      <c r="M1953" s="6" t="str">
        <f t="shared" si="931"/>
        <v>=3.693*100000000</v>
      </c>
      <c r="N1953" s="1">
        <f>3.693*100000000</f>
        <v>369300000</v>
      </c>
      <c r="O1953" s="8">
        <f t="shared" si="948"/>
        <v>1.2684275184275184</v>
      </c>
      <c r="P1953" s="6" t="s">
        <v>15494</v>
      </c>
      <c r="Q1953" s="6" t="str">
        <f t="shared" si="932"/>
        <v>=1.628*100000000</v>
      </c>
      <c r="R1953" s="11">
        <f>1.628*100000000</f>
        <v>162800000</v>
      </c>
      <c r="S1953" s="8">
        <f t="shared" si="949"/>
        <v>-0.8155867693701857</v>
      </c>
      <c r="T1953" s="6" t="s">
        <v>17344</v>
      </c>
      <c r="U1953" s="6" t="str">
        <f t="shared" si="933"/>
        <v>=8.828*100000000</v>
      </c>
      <c r="V1953" s="1">
        <f>8.828*100000000</f>
        <v>882799999.99999988</v>
      </c>
      <c r="W1953" s="8">
        <f t="shared" si="950"/>
        <v>0.28688046647230303</v>
      </c>
      <c r="X1953" s="6" t="s">
        <v>493</v>
      </c>
      <c r="Y1953" s="6" t="str">
        <f t="shared" si="934"/>
        <v>=6.860*100000000</v>
      </c>
      <c r="Z1953" s="1">
        <f>6.86*100000000</f>
        <v>686000000</v>
      </c>
      <c r="AA1953" s="8">
        <f t="shared" si="951"/>
        <v>0.64232702896815919</v>
      </c>
      <c r="AB1953" s="6" t="s">
        <v>13515</v>
      </c>
      <c r="AC1953" s="6" t="str">
        <f t="shared" si="935"/>
        <v>=4.177*100000000</v>
      </c>
      <c r="AD1953" s="1">
        <f>4.177*100000000</f>
        <v>417699999.99999994</v>
      </c>
      <c r="AE1953" s="8">
        <f t="shared" si="952"/>
        <v>1.1486625514403288</v>
      </c>
      <c r="AF1953" s="6" t="s">
        <v>17345</v>
      </c>
      <c r="AG1953" s="6" t="str">
        <f t="shared" si="936"/>
        <v>=1.944*100000000</v>
      </c>
      <c r="AH1953" s="1">
        <f>1.944*100000000</f>
        <v>194400000</v>
      </c>
      <c r="AI1953" s="8">
        <f t="shared" si="953"/>
        <v>-0.71553994732221249</v>
      </c>
      <c r="AJ1953" s="6" t="s">
        <v>17346</v>
      </c>
      <c r="AK1953" s="6" t="str">
        <f t="shared" si="937"/>
        <v>=6.834*100000000</v>
      </c>
      <c r="AL1953" s="1">
        <f>6.834*100000000</f>
        <v>683400000</v>
      </c>
      <c r="AM1953" s="8">
        <f t="shared" si="954"/>
        <v>0.3583780560524748</v>
      </c>
      <c r="AN1953" s="6" t="s">
        <v>1664</v>
      </c>
      <c r="AO1953" s="6" t="str">
        <f t="shared" si="938"/>
        <v>=5.031*100000000</v>
      </c>
      <c r="AP1953" s="1">
        <f>5.031*100000000</f>
        <v>503099999.99999994</v>
      </c>
      <c r="AQ1953" s="8">
        <f t="shared" si="955"/>
        <v>0.65656898254856744</v>
      </c>
      <c r="AR1953" s="6" t="s">
        <v>13428</v>
      </c>
      <c r="AS1953" s="6" t="str">
        <f t="shared" si="939"/>
        <v>=3.037*100000000</v>
      </c>
      <c r="AT1953" s="1">
        <f>3.037*100000000</f>
        <v>303700000</v>
      </c>
      <c r="AU1953" s="8">
        <f t="shared" si="956"/>
        <v>1.5078447563996695</v>
      </c>
      <c r="AV1953" s="6" t="s">
        <v>261</v>
      </c>
      <c r="AW1953" s="6" t="str">
        <f t="shared" si="940"/>
        <v>=1.211*100000000</v>
      </c>
      <c r="AX1953" s="1">
        <f>1.211*100000000</f>
        <v>121100000.00000001</v>
      </c>
      <c r="AY1953" s="10">
        <f t="shared" si="957"/>
        <v>-0.81142946122703208</v>
      </c>
      <c r="AZ1953" s="6" t="s">
        <v>17347</v>
      </c>
      <c r="BA1953" s="6" t="str">
        <f t="shared" si="941"/>
        <v>=6.422*100000000</v>
      </c>
      <c r="BB1953" s="1">
        <f>6.422*100000000</f>
        <v>642200000</v>
      </c>
      <c r="BC1953" s="8">
        <f t="shared" si="958"/>
        <v>0.38764044943820225</v>
      </c>
      <c r="BD1953" s="6" t="s">
        <v>17348</v>
      </c>
      <c r="BE1953" s="6" t="str">
        <f t="shared" si="942"/>
        <v>=4.628*100000000</v>
      </c>
      <c r="BF1953" s="1">
        <f>4.628*100000000</f>
        <v>462800000</v>
      </c>
      <c r="BG1953" s="8">
        <f t="shared" si="959"/>
        <v>0.7603651578546976</v>
      </c>
      <c r="BH1953" s="6" t="s">
        <v>16903</v>
      </c>
      <c r="BI1953" s="6" t="str">
        <f t="shared" si="943"/>
        <v>=2.629*100000000</v>
      </c>
      <c r="BJ1953" s="1">
        <f>2.629*100000000</f>
        <v>262900000</v>
      </c>
      <c r="BK1953" s="6" t="s">
        <v>8532</v>
      </c>
      <c r="BL1953" s="1" t="str">
        <f t="shared" si="945"/>
        <v>=1.081*100000000</v>
      </c>
      <c r="BM1953" s="16">
        <f t="shared" si="960"/>
        <v>1.4320074005550416</v>
      </c>
      <c r="BN1953" s="1">
        <f>1.081*100000000</f>
        <v>108100000</v>
      </c>
    </row>
    <row r="1954" spans="1:66">
      <c r="A1954" s="17">
        <v>490</v>
      </c>
      <c r="B1954">
        <v>603877</v>
      </c>
      <c r="C1954" t="s">
        <v>31</v>
      </c>
      <c r="D1954" s="6" t="s">
        <v>17349</v>
      </c>
      <c r="E1954" s="7" t="str">
        <f t="shared" si="944"/>
        <v>=109.2*100000000</v>
      </c>
      <c r="F1954" s="1">
        <f>109.2*100000000</f>
        <v>10920000000</v>
      </c>
      <c r="G1954" s="8">
        <f t="shared" si="946"/>
        <v>0.473883115130247</v>
      </c>
      <c r="H1954" s="6" t="s">
        <v>17350</v>
      </c>
      <c r="I1954" s="6" t="str">
        <f t="shared" si="930"/>
        <v>=74.09*100000000</v>
      </c>
      <c r="J1954" s="1">
        <f>74.09*100000000</f>
        <v>7409000000</v>
      </c>
      <c r="K1954" s="10">
        <f t="shared" si="947"/>
        <v>0.4773678963110668</v>
      </c>
      <c r="L1954" s="6" t="s">
        <v>17351</v>
      </c>
      <c r="M1954" s="6" t="str">
        <f t="shared" si="931"/>
        <v>=50.15*100000000</v>
      </c>
      <c r="N1954" s="1">
        <f>50.15*100000000</f>
        <v>5015000000</v>
      </c>
      <c r="O1954" s="8">
        <f t="shared" si="948"/>
        <v>0.87827715355805247</v>
      </c>
      <c r="P1954" s="6" t="s">
        <v>2139</v>
      </c>
      <c r="Q1954" s="6" t="str">
        <f t="shared" si="932"/>
        <v>=26.70*100000000</v>
      </c>
      <c r="R1954" s="11">
        <f>26.7*100000000</f>
        <v>2670000000</v>
      </c>
      <c r="S1954" s="8">
        <f t="shared" si="949"/>
        <v>-0.7155640779801854</v>
      </c>
      <c r="T1954" s="6" t="s">
        <v>17352</v>
      </c>
      <c r="U1954" s="6" t="str">
        <f t="shared" si="933"/>
        <v>=93.87*100000000</v>
      </c>
      <c r="V1954" s="1">
        <f>93.87*100000000</f>
        <v>9387000000</v>
      </c>
      <c r="W1954" s="8">
        <f t="shared" si="950"/>
        <v>0.70023546458974828</v>
      </c>
      <c r="X1954" s="6" t="s">
        <v>17353</v>
      </c>
      <c r="Y1954" s="6" t="str">
        <f t="shared" si="934"/>
        <v>=55.21*100000000</v>
      </c>
      <c r="Z1954" s="1">
        <f>55.21*100000000</f>
        <v>5521000000</v>
      </c>
      <c r="AA1954" s="8">
        <f t="shared" si="951"/>
        <v>0.71619521293130251</v>
      </c>
      <c r="AB1954" s="6" t="s">
        <v>1737</v>
      </c>
      <c r="AC1954" s="6" t="str">
        <f t="shared" si="935"/>
        <v>=32.17*100000000</v>
      </c>
      <c r="AD1954" s="1">
        <f>32.17*100000000</f>
        <v>3217000000</v>
      </c>
      <c r="AE1954" s="8">
        <f t="shared" si="952"/>
        <v>1.3261026753434562</v>
      </c>
      <c r="AF1954" s="6" t="s">
        <v>9100</v>
      </c>
      <c r="AG1954" s="6" t="str">
        <f t="shared" si="936"/>
        <v>=13.83*100000000</v>
      </c>
      <c r="AH1954" s="1">
        <f>13.83*100000000</f>
        <v>1383000000</v>
      </c>
      <c r="AI1954" s="8">
        <f t="shared" si="953"/>
        <v>-0.82555499495459128</v>
      </c>
      <c r="AJ1954" s="6" t="s">
        <v>17354</v>
      </c>
      <c r="AK1954" s="6" t="str">
        <f t="shared" si="937"/>
        <v>=79.28*100000000</v>
      </c>
      <c r="AL1954" s="1">
        <f>79.28*100000000</f>
        <v>7928000000</v>
      </c>
      <c r="AM1954" s="8">
        <f t="shared" si="954"/>
        <v>0.58464921047371576</v>
      </c>
      <c r="AN1954" s="6" t="s">
        <v>2828</v>
      </c>
      <c r="AO1954" s="6" t="str">
        <f t="shared" si="938"/>
        <v>=50.03*100000000</v>
      </c>
      <c r="AP1954" s="1">
        <f>50.03*100000000</f>
        <v>5003000000</v>
      </c>
      <c r="AQ1954" s="8">
        <f t="shared" si="955"/>
        <v>0.60352564102564099</v>
      </c>
      <c r="AR1954" s="6" t="s">
        <v>17355</v>
      </c>
      <c r="AS1954" s="6" t="str">
        <f t="shared" si="939"/>
        <v>=31.20*100000000</v>
      </c>
      <c r="AT1954" s="1">
        <f>31.2*100000000</f>
        <v>3120000000</v>
      </c>
      <c r="AU1954" s="8">
        <f t="shared" si="956"/>
        <v>0.88065099457504525</v>
      </c>
      <c r="AV1954" s="6" t="s">
        <v>10207</v>
      </c>
      <c r="AW1954" s="6" t="str">
        <f t="shared" si="940"/>
        <v>=16.59*100000000</v>
      </c>
      <c r="AX1954" s="1">
        <f>16.59*100000000</f>
        <v>1659000000</v>
      </c>
      <c r="AY1954" s="10">
        <f t="shared" si="957"/>
        <v>-0.78488070539419086</v>
      </c>
      <c r="AZ1954" s="6" t="s">
        <v>14133</v>
      </c>
      <c r="BA1954" s="6" t="str">
        <f t="shared" si="941"/>
        <v>=77.12*100000000</v>
      </c>
      <c r="BB1954" s="1">
        <f>77.12*100000000</f>
        <v>7712000000</v>
      </c>
      <c r="BC1954" s="8">
        <f t="shared" si="958"/>
        <v>0.57774140752864156</v>
      </c>
      <c r="BD1954" s="6" t="s">
        <v>1429</v>
      </c>
      <c r="BE1954" s="6" t="str">
        <f t="shared" si="942"/>
        <v>=48.88*100000000</v>
      </c>
      <c r="BF1954" s="1">
        <f>48.88*100000000</f>
        <v>4888000000</v>
      </c>
      <c r="BG1954" s="8">
        <f t="shared" si="959"/>
        <v>0.54244241085515932</v>
      </c>
      <c r="BH1954" s="6" t="s">
        <v>11104</v>
      </c>
      <c r="BI1954" s="6" t="str">
        <f t="shared" si="943"/>
        <v>=31.69*100000000</v>
      </c>
      <c r="BJ1954" s="1">
        <f>31.69*100000000</f>
        <v>3169000000</v>
      </c>
      <c r="BK1954" s="6" t="s">
        <v>5635</v>
      </c>
      <c r="BL1954" s="1" t="str">
        <f t="shared" si="945"/>
        <v>=17.37*100000000</v>
      </c>
      <c r="BM1954" s="16">
        <f t="shared" si="960"/>
        <v>0.82440990213010934</v>
      </c>
      <c r="BN1954" s="1">
        <f>17.37*100000000</f>
        <v>1737000000</v>
      </c>
    </row>
    <row r="1955" spans="1:66">
      <c r="A1955" s="18"/>
      <c r="B1955">
        <v>603877</v>
      </c>
      <c r="C1955" t="s">
        <v>48</v>
      </c>
      <c r="D1955" s="6" t="s">
        <v>17356</v>
      </c>
      <c r="E1955" s="7" t="str">
        <f t="shared" si="944"/>
        <v>=9.877*100000000</v>
      </c>
      <c r="F1955" s="1">
        <f>9.877*100000000</f>
        <v>987700000.00000012</v>
      </c>
      <c r="G1955" s="8">
        <f t="shared" si="946"/>
        <v>0.24568041367133323</v>
      </c>
      <c r="H1955" s="6" t="s">
        <v>17357</v>
      </c>
      <c r="I1955" s="6" t="str">
        <f t="shared" si="930"/>
        <v>=7.929*100000000</v>
      </c>
      <c r="J1955" s="1">
        <f>7.929*100000000</f>
        <v>792900000</v>
      </c>
      <c r="K1955" s="10">
        <f t="shared" si="947"/>
        <v>0.41085409252669042</v>
      </c>
      <c r="L1955" s="6" t="s">
        <v>4082</v>
      </c>
      <c r="M1955" s="6" t="str">
        <f t="shared" si="931"/>
        <v>=5.620*100000000</v>
      </c>
      <c r="N1955" s="1">
        <f>5.62*100000000</f>
        <v>562000000</v>
      </c>
      <c r="O1955" s="8">
        <f t="shared" si="948"/>
        <v>1.0296135789093535</v>
      </c>
      <c r="P1955" s="6" t="s">
        <v>2396</v>
      </c>
      <c r="Q1955" s="6" t="str">
        <f t="shared" si="932"/>
        <v>=2.769*100000000</v>
      </c>
      <c r="R1955" s="11">
        <f>2.769*100000000</f>
        <v>276900000</v>
      </c>
      <c r="S1955" s="8">
        <f t="shared" si="949"/>
        <v>-0.7008426966292135</v>
      </c>
      <c r="T1955" s="6" t="s">
        <v>17358</v>
      </c>
      <c r="U1955" s="6" t="str">
        <f t="shared" si="933"/>
        <v>=9.256*100000000</v>
      </c>
      <c r="V1955" s="1">
        <f>9.256*100000000</f>
        <v>925600000</v>
      </c>
      <c r="W1955" s="8">
        <f t="shared" si="950"/>
        <v>1.2460567823343844</v>
      </c>
      <c r="X1955" s="6" t="s">
        <v>14531</v>
      </c>
      <c r="Y1955" s="6" t="str">
        <f t="shared" si="934"/>
        <v>=4.121*100000000</v>
      </c>
      <c r="Z1955" s="1">
        <f>4.121*100000000</f>
        <v>412100000.00000006</v>
      </c>
      <c r="AA1955" s="8">
        <f t="shared" si="951"/>
        <v>1.6759740259740263</v>
      </c>
      <c r="AB1955" s="6" t="s">
        <v>12759</v>
      </c>
      <c r="AC1955" s="6" t="str">
        <f t="shared" si="935"/>
        <v>=1.540*100000000</v>
      </c>
      <c r="AD1955" s="1">
        <f>1.54*100000000</f>
        <v>154000000</v>
      </c>
      <c r="AE1955" s="8">
        <f t="shared" si="952"/>
        <v>6.7777777777777777</v>
      </c>
      <c r="AF1955" s="7" t="s">
        <v>17359</v>
      </c>
      <c r="AG1955" s="6" t="str">
        <f t="shared" si="936"/>
        <v>=1980*10000</v>
      </c>
      <c r="AH1955" s="1">
        <f>1980*10000</f>
        <v>19800000</v>
      </c>
      <c r="AI1955" s="8">
        <f t="shared" si="953"/>
        <v>-0.97214014352047273</v>
      </c>
      <c r="AJ1955" s="6" t="s">
        <v>17360</v>
      </c>
      <c r="AK1955" s="6" t="str">
        <f t="shared" si="937"/>
        <v>=7.107*100000000</v>
      </c>
      <c r="AL1955" s="1">
        <f>7.107*100000000</f>
        <v>710700000</v>
      </c>
      <c r="AM1955" s="8">
        <f t="shared" si="954"/>
        <v>1.41078697421981</v>
      </c>
      <c r="AN1955" s="6" t="s">
        <v>6151</v>
      </c>
      <c r="AO1955" s="6" t="str">
        <f t="shared" si="938"/>
        <v>=2.948*100000000</v>
      </c>
      <c r="AP1955" s="1">
        <f>2.948*100000000</f>
        <v>294800000</v>
      </c>
      <c r="AQ1955" s="8">
        <f t="shared" si="955"/>
        <v>0.5714285714285714</v>
      </c>
      <c r="AR1955" s="6" t="s">
        <v>1551</v>
      </c>
      <c r="AS1955" s="6" t="str">
        <f t="shared" si="939"/>
        <v>=1.876*100000000</v>
      </c>
      <c r="AT1955" s="1">
        <f>1.876*100000000</f>
        <v>187600000</v>
      </c>
      <c r="AU1955" s="8">
        <f t="shared" si="956"/>
        <v>0.45992217898832699</v>
      </c>
      <c r="AV1955" s="6" t="s">
        <v>2086</v>
      </c>
      <c r="AW1955" s="6" t="str">
        <f t="shared" si="940"/>
        <v>=1.285*100000000</v>
      </c>
      <c r="AX1955" s="1">
        <f>1.285*100000000</f>
        <v>128499999.99999999</v>
      </c>
      <c r="AY1955" s="10">
        <f t="shared" si="957"/>
        <v>-0.82855236824549705</v>
      </c>
      <c r="AZ1955" s="6" t="s">
        <v>17361</v>
      </c>
      <c r="BA1955" s="6" t="str">
        <f t="shared" si="941"/>
        <v>=7.495*100000000</v>
      </c>
      <c r="BB1955" s="1">
        <f>7.495*100000000</f>
        <v>749500000</v>
      </c>
      <c r="BC1955" s="8">
        <f t="shared" si="958"/>
        <v>1.1643084031186832</v>
      </c>
      <c r="BD1955" s="6" t="s">
        <v>4815</v>
      </c>
      <c r="BE1955" s="6" t="str">
        <f t="shared" si="942"/>
        <v>=3.463*100000000</v>
      </c>
      <c r="BF1955" s="1">
        <f>3.463*100000000</f>
        <v>346300000</v>
      </c>
      <c r="BG1955" s="8">
        <f t="shared" si="959"/>
        <v>0.47487223168654175</v>
      </c>
      <c r="BH1955" s="6" t="s">
        <v>17362</v>
      </c>
      <c r="BI1955" s="6" t="str">
        <f t="shared" si="943"/>
        <v>=2.348*100000000</v>
      </c>
      <c r="BJ1955" s="1">
        <f>2.348*100000000</f>
        <v>234800000</v>
      </c>
      <c r="BK1955" s="6" t="s">
        <v>1950</v>
      </c>
      <c r="BL1955" s="1" t="str">
        <f t="shared" si="945"/>
        <v>=1.806*100000000</v>
      </c>
      <c r="BM1955" s="16">
        <f t="shared" si="960"/>
        <v>0.30011074197120707</v>
      </c>
      <c r="BN1955" s="1">
        <f>1.806*100000000</f>
        <v>180600000</v>
      </c>
    </row>
    <row r="1956" spans="1:66">
      <c r="A1956" s="18"/>
      <c r="B1956">
        <v>603877</v>
      </c>
      <c r="C1956" t="s">
        <v>58</v>
      </c>
      <c r="D1956" s="6" t="s">
        <v>14463</v>
      </c>
      <c r="E1956" s="7" t="str">
        <f t="shared" si="944"/>
        <v>=9.493*100000000</v>
      </c>
      <c r="F1956" s="1">
        <f>9.493*100000000</f>
        <v>949300000</v>
      </c>
      <c r="G1956" s="8">
        <f t="shared" si="946"/>
        <v>0.25303590285110877</v>
      </c>
      <c r="H1956" s="6" t="s">
        <v>16274</v>
      </c>
      <c r="I1956" s="6" t="str">
        <f t="shared" si="930"/>
        <v>=7.576*100000000</v>
      </c>
      <c r="J1956" s="1">
        <f>7.576*100000000</f>
        <v>757600000</v>
      </c>
      <c r="K1956" s="10">
        <f t="shared" si="947"/>
        <v>0.35285714285714287</v>
      </c>
      <c r="L1956" s="6" t="s">
        <v>17363</v>
      </c>
      <c r="M1956" s="6" t="str">
        <f t="shared" si="931"/>
        <v>=5.600*100000000</v>
      </c>
      <c r="N1956" s="1">
        <f>5.6*100000000</f>
        <v>560000000</v>
      </c>
      <c r="O1956" s="8">
        <f t="shared" si="948"/>
        <v>1.0267824828085415</v>
      </c>
      <c r="P1956" s="6" t="s">
        <v>9281</v>
      </c>
      <c r="Q1956" s="6" t="str">
        <f t="shared" si="932"/>
        <v>=2.763*100000000</v>
      </c>
      <c r="R1956" s="11">
        <f>2.763*100000000</f>
        <v>276300000</v>
      </c>
      <c r="S1956" s="8">
        <f t="shared" si="949"/>
        <v>-0.69516769638128861</v>
      </c>
      <c r="T1956" s="6" t="s">
        <v>17364</v>
      </c>
      <c r="U1956" s="6" t="str">
        <f t="shared" si="933"/>
        <v>=9.064*100000000</v>
      </c>
      <c r="V1956" s="1">
        <f>9.064*100000000</f>
        <v>906400000</v>
      </c>
      <c r="W1956" s="8">
        <f t="shared" si="950"/>
        <v>1.2474584676419536</v>
      </c>
      <c r="X1956" s="6" t="s">
        <v>6364</v>
      </c>
      <c r="Y1956" s="6" t="str">
        <f t="shared" si="934"/>
        <v>=4.033*100000000</v>
      </c>
      <c r="Z1956" s="1">
        <f>4.033*100000000</f>
        <v>403300000.00000006</v>
      </c>
      <c r="AA1956" s="8">
        <f t="shared" si="951"/>
        <v>1.7250000000000003</v>
      </c>
      <c r="AB1956" s="6" t="s">
        <v>1701</v>
      </c>
      <c r="AC1956" s="6" t="str">
        <f t="shared" si="935"/>
        <v>=1.480*100000000</v>
      </c>
      <c r="AD1956" s="1">
        <f>1.48*100000000</f>
        <v>148000000</v>
      </c>
      <c r="AE1956" s="8">
        <f t="shared" si="952"/>
        <v>8.9596231493943481</v>
      </c>
      <c r="AF1956" s="7" t="s">
        <v>6074</v>
      </c>
      <c r="AG1956" s="6" t="str">
        <f t="shared" si="936"/>
        <v>=1486*10000</v>
      </c>
      <c r="AH1956" s="1">
        <f>1486*10000</f>
        <v>14860000</v>
      </c>
      <c r="AI1956" s="8">
        <f t="shared" si="953"/>
        <v>-0.97903498871331829</v>
      </c>
      <c r="AJ1956" s="6" t="s">
        <v>11995</v>
      </c>
      <c r="AK1956" s="6" t="str">
        <f t="shared" si="937"/>
        <v>=7.088*100000000</v>
      </c>
      <c r="AL1956" s="1">
        <f>7.088*100000000</f>
        <v>708800000</v>
      </c>
      <c r="AM1956" s="8">
        <f t="shared" si="954"/>
        <v>1.4332303467215928</v>
      </c>
      <c r="AN1956" s="6" t="s">
        <v>5846</v>
      </c>
      <c r="AO1956" s="6" t="str">
        <f t="shared" si="938"/>
        <v>=2.913*100000000</v>
      </c>
      <c r="AP1956" s="1">
        <f>2.913*100000000</f>
        <v>291300000</v>
      </c>
      <c r="AQ1956" s="8">
        <f t="shared" si="955"/>
        <v>0.5585874799357945</v>
      </c>
      <c r="AR1956" s="6" t="s">
        <v>15479</v>
      </c>
      <c r="AS1956" s="6" t="str">
        <f t="shared" si="939"/>
        <v>=1.869*100000000</v>
      </c>
      <c r="AT1956" s="1">
        <f>1.869*100000000</f>
        <v>186900000</v>
      </c>
      <c r="AU1956" s="8">
        <f t="shared" si="956"/>
        <v>0.45447470817120639</v>
      </c>
      <c r="AV1956" s="6" t="s">
        <v>2086</v>
      </c>
      <c r="AW1956" s="6" t="str">
        <f t="shared" si="940"/>
        <v>=1.285*100000000</v>
      </c>
      <c r="AX1956" s="1">
        <f>1.285*100000000</f>
        <v>128499999.99999999</v>
      </c>
      <c r="AY1956" s="10">
        <f t="shared" si="957"/>
        <v>-0.83977556109725682</v>
      </c>
      <c r="AZ1956" s="6" t="s">
        <v>8771</v>
      </c>
      <c r="BA1956" s="6" t="str">
        <f t="shared" si="941"/>
        <v>=8.020*100000000</v>
      </c>
      <c r="BB1956" s="1">
        <f>8.02*100000000</f>
        <v>802000000</v>
      </c>
      <c r="BC1956" s="8">
        <f t="shared" si="958"/>
        <v>1.0691434468524252</v>
      </c>
      <c r="BD1956" s="6" t="s">
        <v>12207</v>
      </c>
      <c r="BE1956" s="6" t="str">
        <f t="shared" si="942"/>
        <v>=3.876*100000000</v>
      </c>
      <c r="BF1956" s="1">
        <f>3.876*100000000</f>
        <v>387600000</v>
      </c>
      <c r="BG1956" s="8">
        <f t="shared" si="959"/>
        <v>0.39424460431654679</v>
      </c>
      <c r="BH1956" s="6" t="s">
        <v>1678</v>
      </c>
      <c r="BI1956" s="6" t="str">
        <f t="shared" si="943"/>
        <v>=2.780*100000000</v>
      </c>
      <c r="BJ1956" s="1">
        <f>2.78*100000000</f>
        <v>278000000</v>
      </c>
      <c r="BK1956" s="6" t="s">
        <v>2300</v>
      </c>
      <c r="BL1956" s="1" t="str">
        <f t="shared" si="945"/>
        <v>=1.807*100000000</v>
      </c>
      <c r="BM1956" s="16">
        <f t="shared" si="960"/>
        <v>0.53846153846153844</v>
      </c>
      <c r="BN1956" s="1">
        <f>1.807*100000000</f>
        <v>180700000</v>
      </c>
    </row>
    <row r="1957" spans="1:66">
      <c r="A1957" s="19"/>
      <c r="B1957">
        <v>603877</v>
      </c>
      <c r="C1957" t="s">
        <v>68</v>
      </c>
      <c r="D1957" s="6" t="s">
        <v>17365</v>
      </c>
      <c r="E1957" s="7" t="str">
        <f t="shared" si="944"/>
        <v>=6.767*100000000</v>
      </c>
      <c r="F1957" s="1">
        <f>6.767*100000000</f>
        <v>676700000</v>
      </c>
      <c r="G1957" s="8">
        <f t="shared" si="946"/>
        <v>0.2232465654374548</v>
      </c>
      <c r="H1957" s="6" t="s">
        <v>9206</v>
      </c>
      <c r="I1957" s="6" t="str">
        <f t="shared" si="930"/>
        <v>=5.532*100000000</v>
      </c>
      <c r="J1957" s="1">
        <f>5.532*100000000</f>
        <v>553200000</v>
      </c>
      <c r="K1957" s="10">
        <f t="shared" si="947"/>
        <v>0.34762484774665026</v>
      </c>
      <c r="L1957" s="6" t="s">
        <v>3792</v>
      </c>
      <c r="M1957" s="6" t="str">
        <f t="shared" si="931"/>
        <v>=4.105*100000000</v>
      </c>
      <c r="N1957" s="1">
        <f>4.105*100000000</f>
        <v>410500000.00000006</v>
      </c>
      <c r="O1957" s="8">
        <f t="shared" si="948"/>
        <v>1.0211718365337275</v>
      </c>
      <c r="P1957" s="6" t="s">
        <v>17366</v>
      </c>
      <c r="Q1957" s="6" t="str">
        <f t="shared" si="932"/>
        <v>=2.031*100000000</v>
      </c>
      <c r="R1957" s="11">
        <f>2.031*100000000</f>
        <v>203100000</v>
      </c>
      <c r="S1957" s="8">
        <f t="shared" si="949"/>
        <v>-0.71260789585396911</v>
      </c>
      <c r="T1957" s="6" t="s">
        <v>17367</v>
      </c>
      <c r="U1957" s="6" t="str">
        <f t="shared" si="933"/>
        <v>=7.067*100000000</v>
      </c>
      <c r="V1957" s="1">
        <f>7.067*100000000</f>
        <v>706700000</v>
      </c>
      <c r="W1957" s="8">
        <f t="shared" si="950"/>
        <v>1.3162897410685022</v>
      </c>
      <c r="X1957" s="6" t="s">
        <v>15838</v>
      </c>
      <c r="Y1957" s="6" t="str">
        <f t="shared" si="934"/>
        <v>=3.051*100000000</v>
      </c>
      <c r="Z1957" s="1">
        <f>3.051*100000000</f>
        <v>305100000</v>
      </c>
      <c r="AA1957" s="8">
        <f t="shared" si="951"/>
        <v>1.6032423208191127</v>
      </c>
      <c r="AB1957" s="6" t="s">
        <v>2545</v>
      </c>
      <c r="AC1957" s="6" t="str">
        <f t="shared" si="935"/>
        <v>=1.172*100000000</v>
      </c>
      <c r="AD1957" s="1">
        <f>1.172*100000000</f>
        <v>117200000</v>
      </c>
      <c r="AE1957" s="8">
        <f t="shared" si="952"/>
        <v>14.984724495362792</v>
      </c>
      <c r="AF1957" s="7" t="s">
        <v>17368</v>
      </c>
      <c r="AG1957" s="6" t="str">
        <f t="shared" si="936"/>
        <v>=733.2*10000</v>
      </c>
      <c r="AH1957" s="1">
        <f>733.2*10000</f>
        <v>7332000</v>
      </c>
      <c r="AI1957" s="8">
        <f t="shared" si="953"/>
        <v>-0.98649972380777018</v>
      </c>
      <c r="AJ1957" s="6" t="s">
        <v>17369</v>
      </c>
      <c r="AK1957" s="6" t="str">
        <f t="shared" si="937"/>
        <v>=5.431*100000000</v>
      </c>
      <c r="AL1957" s="1">
        <f>5.431*100000000</f>
        <v>543100000</v>
      </c>
      <c r="AM1957" s="8">
        <f t="shared" si="954"/>
        <v>1.7019900497512441</v>
      </c>
      <c r="AN1957" s="6" t="s">
        <v>3385</v>
      </c>
      <c r="AO1957" s="6" t="str">
        <f t="shared" si="938"/>
        <v>=2.010*100000000</v>
      </c>
      <c r="AP1957" s="1">
        <f>2.01*100000000</f>
        <v>200999999.99999997</v>
      </c>
      <c r="AQ1957" s="8">
        <f t="shared" si="955"/>
        <v>0.57031249999999978</v>
      </c>
      <c r="AR1957" s="6" t="s">
        <v>11690</v>
      </c>
      <c r="AS1957" s="6" t="str">
        <f t="shared" si="939"/>
        <v>=1.280*100000000</v>
      </c>
      <c r="AT1957" s="1">
        <f>1.28*100000000</f>
        <v>128000000</v>
      </c>
      <c r="AU1957" s="8">
        <f t="shared" si="956"/>
        <v>0.52217861814722322</v>
      </c>
      <c r="AV1957" s="7" t="s">
        <v>17370</v>
      </c>
      <c r="AW1957" s="6" t="str">
        <f t="shared" si="940"/>
        <v>=8409*10000</v>
      </c>
      <c r="AX1957" s="1">
        <f>8409*10000</f>
        <v>84090000</v>
      </c>
      <c r="AY1957" s="10">
        <f t="shared" si="957"/>
        <v>-0.84991968588256295</v>
      </c>
      <c r="AZ1957" s="6" t="s">
        <v>17371</v>
      </c>
      <c r="BA1957" s="6" t="str">
        <f t="shared" si="941"/>
        <v>=5.603*100000000</v>
      </c>
      <c r="BB1957" s="1">
        <f>5.603*100000000</f>
        <v>560300000</v>
      </c>
      <c r="BC1957" s="8">
        <f t="shared" si="958"/>
        <v>1.0441444728201386</v>
      </c>
      <c r="BD1957" s="6" t="s">
        <v>10193</v>
      </c>
      <c r="BE1957" s="6" t="str">
        <f t="shared" si="942"/>
        <v>=2.741*100000000</v>
      </c>
      <c r="BF1957" s="1">
        <f>2.741*100000000</f>
        <v>274100000</v>
      </c>
      <c r="BG1957" s="8">
        <f t="shared" si="959"/>
        <v>0.42611862643080123</v>
      </c>
      <c r="BH1957" s="6" t="s">
        <v>17372</v>
      </c>
      <c r="BI1957" s="6" t="str">
        <f t="shared" si="943"/>
        <v>=1.922*100000000</v>
      </c>
      <c r="BJ1957" s="1">
        <f>1.922*100000000</f>
        <v>192200000</v>
      </c>
      <c r="BK1957" s="6" t="s">
        <v>7900</v>
      </c>
      <c r="BL1957" s="1" t="str">
        <f t="shared" si="945"/>
        <v>=1.303*100000000</v>
      </c>
      <c r="BM1957" s="16">
        <f t="shared" si="960"/>
        <v>0.47505755947812739</v>
      </c>
      <c r="BN1957" s="1">
        <f>1.303*100000000</f>
        <v>130300000</v>
      </c>
    </row>
    <row r="1958" spans="1:66">
      <c r="A1958" s="17">
        <v>491</v>
      </c>
      <c r="B1958">
        <v>603881</v>
      </c>
      <c r="C1958" t="s">
        <v>31</v>
      </c>
      <c r="D1958" s="6" t="s">
        <v>4984</v>
      </c>
      <c r="E1958" s="7" t="str">
        <f t="shared" si="944"/>
        <v>=12.06*100000000</v>
      </c>
      <c r="F1958" s="1">
        <f>12.06*100000000</f>
        <v>1206000000</v>
      </c>
      <c r="G1958" s="8">
        <f t="shared" si="946"/>
        <v>0.41069130892502048</v>
      </c>
      <c r="H1958" s="6" t="s">
        <v>17373</v>
      </c>
      <c r="I1958" s="6" t="str">
        <f t="shared" si="930"/>
        <v>=8.549*100000000</v>
      </c>
      <c r="J1958" s="1">
        <f>8.549*100000000</f>
        <v>854900000</v>
      </c>
      <c r="K1958" s="10">
        <f t="shared" si="947"/>
        <v>0.55464629932715037</v>
      </c>
      <c r="L1958" s="6" t="s">
        <v>17374</v>
      </c>
      <c r="M1958" s="6" t="str">
        <f t="shared" si="931"/>
        <v>=5.499*100000000</v>
      </c>
      <c r="N1958" s="1">
        <f>5.499*100000000</f>
        <v>549900000</v>
      </c>
      <c r="O1958" s="8">
        <f t="shared" si="948"/>
        <v>1.0884922142043296</v>
      </c>
      <c r="P1958" s="6" t="s">
        <v>17375</v>
      </c>
      <c r="Q1958" s="6" t="str">
        <f t="shared" si="932"/>
        <v>=2.633*100000000</v>
      </c>
      <c r="R1958" s="11">
        <f>2.633*100000000</f>
        <v>263300000</v>
      </c>
      <c r="S1958" s="8">
        <f t="shared" si="949"/>
        <v>-0.7105639221721447</v>
      </c>
      <c r="T1958" s="6" t="s">
        <v>17376</v>
      </c>
      <c r="U1958" s="6" t="str">
        <f t="shared" si="933"/>
        <v>=9.097*100000000</v>
      </c>
      <c r="V1958" s="1">
        <f>9.097*100000000</f>
        <v>909700000</v>
      </c>
      <c r="W1958" s="8">
        <f t="shared" si="950"/>
        <v>0.39545942629237613</v>
      </c>
      <c r="X1958" s="6" t="s">
        <v>9618</v>
      </c>
      <c r="Y1958" s="6" t="str">
        <f t="shared" si="934"/>
        <v>=6.519*100000000</v>
      </c>
      <c r="Z1958" s="1">
        <f>6.519*100000000</f>
        <v>651900000</v>
      </c>
      <c r="AA1958" s="8">
        <f t="shared" si="951"/>
        <v>0.65625</v>
      </c>
      <c r="AB1958" s="6" t="s">
        <v>16290</v>
      </c>
      <c r="AC1958" s="6" t="str">
        <f t="shared" si="935"/>
        <v>=3.936*100000000</v>
      </c>
      <c r="AD1958" s="1">
        <f>3.936*100000000</f>
        <v>393600000</v>
      </c>
      <c r="AE1958" s="8">
        <f t="shared" si="952"/>
        <v>1.25947187141217</v>
      </c>
      <c r="AF1958" s="6" t="s">
        <v>246</v>
      </c>
      <c r="AG1958" s="6" t="str">
        <f t="shared" si="936"/>
        <v>=1.742*100000000</v>
      </c>
      <c r="AH1958" s="1">
        <f>1.742*100000000</f>
        <v>174200000</v>
      </c>
      <c r="AI1958" s="8">
        <f t="shared" si="953"/>
        <v>-0.76025323424167357</v>
      </c>
      <c r="AJ1958" s="6" t="s">
        <v>17377</v>
      </c>
      <c r="AK1958" s="6" t="str">
        <f t="shared" si="937"/>
        <v>=7.266*100000000</v>
      </c>
      <c r="AL1958" s="1">
        <f>7.266*100000000</f>
        <v>726600000</v>
      </c>
      <c r="AM1958" s="8">
        <f t="shared" si="954"/>
        <v>0.30448833034111311</v>
      </c>
      <c r="AN1958" s="6" t="s">
        <v>9729</v>
      </c>
      <c r="AO1958" s="6" t="str">
        <f t="shared" si="938"/>
        <v>=5.570*100000000</v>
      </c>
      <c r="AP1958" s="1">
        <f>5.57*100000000</f>
        <v>557000000</v>
      </c>
      <c r="AQ1958" s="8">
        <f t="shared" si="955"/>
        <v>0.43556701030927836</v>
      </c>
      <c r="AR1958" s="6" t="s">
        <v>8080</v>
      </c>
      <c r="AS1958" s="6" t="str">
        <f t="shared" si="939"/>
        <v>=3.880*100000000</v>
      </c>
      <c r="AT1958" s="1">
        <f>3.88*100000000</f>
        <v>388000000</v>
      </c>
      <c r="AU1958" s="8">
        <f t="shared" si="956"/>
        <v>1.0335429769392033</v>
      </c>
      <c r="AV1958" s="6" t="s">
        <v>4756</v>
      </c>
      <c r="AW1958" s="6" t="str">
        <f t="shared" si="940"/>
        <v>=1.908*100000000</v>
      </c>
      <c r="AX1958" s="1">
        <f>1.908*100000000</f>
        <v>190800000</v>
      </c>
      <c r="AY1958" s="10">
        <f t="shared" si="957"/>
        <v>-0.79026052544794989</v>
      </c>
      <c r="AZ1958" s="6" t="s">
        <v>17376</v>
      </c>
      <c r="BA1958" s="6" t="str">
        <f t="shared" si="941"/>
        <v>=9.097*100000000</v>
      </c>
      <c r="BB1958" s="1">
        <f>9.097*100000000</f>
        <v>909700000</v>
      </c>
      <c r="BC1958" s="8">
        <f t="shared" si="958"/>
        <v>0.8459821428571429</v>
      </c>
      <c r="BD1958" s="6" t="s">
        <v>7933</v>
      </c>
      <c r="BE1958" s="6" t="str">
        <f t="shared" si="942"/>
        <v>=4.928*100000000</v>
      </c>
      <c r="BF1958" s="1">
        <f>4.928*100000000</f>
        <v>492800000</v>
      </c>
      <c r="BG1958" s="8">
        <f t="shared" si="959"/>
        <v>0.52758834469931803</v>
      </c>
      <c r="BH1958" s="6" t="s">
        <v>17378</v>
      </c>
      <c r="BI1958" s="6" t="str">
        <f t="shared" si="943"/>
        <v>=3.226*100000000</v>
      </c>
      <c r="BJ1958" s="1">
        <f>3.226*100000000</f>
        <v>322600000</v>
      </c>
      <c r="BK1958" s="6" t="s">
        <v>2996</v>
      </c>
      <c r="BL1958" s="1" t="str">
        <f t="shared" si="945"/>
        <v>=1.508*100000000</v>
      </c>
      <c r="BM1958" s="16">
        <f t="shared" si="960"/>
        <v>1.1392572944297081</v>
      </c>
      <c r="BN1958" s="1">
        <f>1.508*100000000</f>
        <v>150800000</v>
      </c>
    </row>
    <row r="1959" spans="1:66">
      <c r="A1959" s="18"/>
      <c r="B1959">
        <v>603881</v>
      </c>
      <c r="C1959" t="s">
        <v>48</v>
      </c>
      <c r="D1959" s="6" t="s">
        <v>6141</v>
      </c>
      <c r="E1959" s="7" t="str">
        <f t="shared" si="944"/>
        <v>=1.325*100000000</v>
      </c>
      <c r="F1959" s="1">
        <f>1.325*100000000</f>
        <v>132500000</v>
      </c>
      <c r="G1959" s="8">
        <f t="shared" si="946"/>
        <v>0.11531986531986532</v>
      </c>
      <c r="H1959" s="6" t="s">
        <v>1956</v>
      </c>
      <c r="I1959" s="6" t="str">
        <f t="shared" si="930"/>
        <v>=1.188*100000000</v>
      </c>
      <c r="J1959" s="1">
        <f>1.188*100000000</f>
        <v>118800000</v>
      </c>
      <c r="K1959" s="10">
        <f t="shared" si="947"/>
        <v>0.69957081545064381</v>
      </c>
      <c r="L1959" s="7" t="s">
        <v>17379</v>
      </c>
      <c r="M1959" s="6" t="str">
        <f t="shared" si="931"/>
        <v>=6990*10000</v>
      </c>
      <c r="N1959" s="1">
        <f>6990*10000</f>
        <v>69900000</v>
      </c>
      <c r="O1959" s="8">
        <f t="shared" si="948"/>
        <v>0.82221063607924927</v>
      </c>
      <c r="P1959" s="7" t="s">
        <v>17380</v>
      </c>
      <c r="Q1959" s="6" t="str">
        <f t="shared" si="932"/>
        <v>=3836*10000</v>
      </c>
      <c r="R1959" s="11">
        <f>3836*10000</f>
        <v>38360000</v>
      </c>
      <c r="S1959" s="8">
        <f t="shared" si="949"/>
        <v>-0.76466257668711657</v>
      </c>
      <c r="T1959" s="6" t="s">
        <v>9661</v>
      </c>
      <c r="U1959" s="6" t="str">
        <f t="shared" si="933"/>
        <v>=1.630*100000000</v>
      </c>
      <c r="V1959" s="1">
        <f>1.63*100000000</f>
        <v>163000000</v>
      </c>
      <c r="W1959" s="8">
        <f t="shared" si="950"/>
        <v>0.23204837490551777</v>
      </c>
      <c r="X1959" s="6" t="s">
        <v>4431</v>
      </c>
      <c r="Y1959" s="6" t="str">
        <f t="shared" si="934"/>
        <v>=1.323*100000000</v>
      </c>
      <c r="Z1959" s="1">
        <f>1.323*100000000</f>
        <v>132300000</v>
      </c>
      <c r="AA1959" s="8">
        <f t="shared" si="951"/>
        <v>0.80441898527004907</v>
      </c>
      <c r="AB1959" s="7" t="s">
        <v>17381</v>
      </c>
      <c r="AC1959" s="6" t="str">
        <f t="shared" si="935"/>
        <v>=7332*10000</v>
      </c>
      <c r="AD1959" s="1">
        <f>7332*10000</f>
        <v>73320000</v>
      </c>
      <c r="AE1959" s="8">
        <f t="shared" si="952"/>
        <v>1.0682651622002821</v>
      </c>
      <c r="AF1959" s="7" t="s">
        <v>2604</v>
      </c>
      <c r="AG1959" s="6" t="str">
        <f t="shared" si="936"/>
        <v>=3545*10000</v>
      </c>
      <c r="AH1959" s="1">
        <f>3545*10000</f>
        <v>35450000</v>
      </c>
      <c r="AI1959" s="8">
        <f t="shared" si="953"/>
        <v>-0.70284995808885165</v>
      </c>
      <c r="AJ1959" s="6" t="s">
        <v>2097</v>
      </c>
      <c r="AK1959" s="6" t="str">
        <f t="shared" si="937"/>
        <v>=1.193*100000000</v>
      </c>
      <c r="AL1959" s="1">
        <f>1.193*100000000</f>
        <v>119300000</v>
      </c>
      <c r="AM1959" s="8">
        <f t="shared" si="954"/>
        <v>0.12441093308199812</v>
      </c>
      <c r="AN1959" s="6" t="s">
        <v>5203</v>
      </c>
      <c r="AO1959" s="6" t="str">
        <f t="shared" si="938"/>
        <v>=1.061*100000000</v>
      </c>
      <c r="AP1959" s="1">
        <f>1.061*100000000</f>
        <v>106100000</v>
      </c>
      <c r="AQ1959" s="8">
        <f t="shared" si="955"/>
        <v>0.33207784055241685</v>
      </c>
      <c r="AR1959" s="7" t="s">
        <v>12042</v>
      </c>
      <c r="AS1959" s="6" t="str">
        <f t="shared" si="939"/>
        <v>=7965*10000</v>
      </c>
      <c r="AT1959" s="1">
        <f>7965*10000</f>
        <v>79650000</v>
      </c>
      <c r="AU1959" s="8">
        <f t="shared" si="956"/>
        <v>0.85103416221240991</v>
      </c>
      <c r="AV1959" s="7" t="s">
        <v>17382</v>
      </c>
      <c r="AW1959" s="6" t="str">
        <f t="shared" si="940"/>
        <v>=4303*10000</v>
      </c>
      <c r="AX1959" s="1">
        <f>4303*10000</f>
        <v>43030000</v>
      </c>
      <c r="AY1959" s="10">
        <f t="shared" si="957"/>
        <v>-0.73841945288753796</v>
      </c>
      <c r="AZ1959" s="6" t="s">
        <v>2783</v>
      </c>
      <c r="BA1959" s="6" t="str">
        <f t="shared" si="941"/>
        <v>=1.645*100000000</v>
      </c>
      <c r="BB1959" s="1">
        <f>1.645*100000000</f>
        <v>164500000</v>
      </c>
      <c r="BC1959" s="8">
        <f t="shared" si="958"/>
        <v>0.47006255585344059</v>
      </c>
      <c r="BD1959" s="6" t="s">
        <v>8716</v>
      </c>
      <c r="BE1959" s="6" t="str">
        <f t="shared" si="942"/>
        <v>=1.119*100000000</v>
      </c>
      <c r="BF1959" s="1">
        <f>1.119*100000000</f>
        <v>111900000</v>
      </c>
      <c r="BG1959" s="8">
        <f t="shared" si="959"/>
        <v>0.39058034049956508</v>
      </c>
      <c r="BH1959" s="7" t="s">
        <v>17383</v>
      </c>
      <c r="BI1959" s="6" t="str">
        <f t="shared" si="943"/>
        <v>=8047*10000</v>
      </c>
      <c r="BJ1959" s="1">
        <f>8047*10000</f>
        <v>80470000</v>
      </c>
      <c r="BK1959" s="7" t="s">
        <v>17384</v>
      </c>
      <c r="BL1959" s="1" t="str">
        <f t="shared" si="945"/>
        <v>=4003*10000</v>
      </c>
      <c r="BM1959" s="16">
        <f t="shared" si="960"/>
        <v>1.0102423182613041</v>
      </c>
      <c r="BN1959" s="1">
        <f>4003*10000</f>
        <v>40030000</v>
      </c>
    </row>
    <row r="1960" spans="1:66">
      <c r="A1960" s="18"/>
      <c r="B1960">
        <v>603881</v>
      </c>
      <c r="C1960" t="s">
        <v>58</v>
      </c>
      <c r="D1960" s="6" t="s">
        <v>14774</v>
      </c>
      <c r="E1960" s="7" t="str">
        <f t="shared" si="944"/>
        <v>=1.334*100000000</v>
      </c>
      <c r="F1960" s="1">
        <f>1.334*100000000</f>
        <v>133400000.00000001</v>
      </c>
      <c r="G1960" s="8">
        <f t="shared" si="946"/>
        <v>0.1144527986633251</v>
      </c>
      <c r="H1960" s="6" t="s">
        <v>3933</v>
      </c>
      <c r="I1960" s="6" t="str">
        <f t="shared" si="930"/>
        <v>=1.197*100000000</v>
      </c>
      <c r="J1960" s="1">
        <f>1.197*100000000</f>
        <v>119700000</v>
      </c>
      <c r="K1960" s="10">
        <f t="shared" si="947"/>
        <v>0.69115569369878493</v>
      </c>
      <c r="L1960" s="7" t="s">
        <v>17385</v>
      </c>
      <c r="M1960" s="6" t="str">
        <f t="shared" si="931"/>
        <v>=7078*10000</v>
      </c>
      <c r="N1960" s="1">
        <f>7078*10000</f>
        <v>70780000</v>
      </c>
      <c r="O1960" s="8">
        <f t="shared" si="948"/>
        <v>0.84467031535053427</v>
      </c>
      <c r="P1960" s="7" t="s">
        <v>2567</v>
      </c>
      <c r="Q1960" s="6" t="str">
        <f t="shared" si="932"/>
        <v>=3837*10000</v>
      </c>
      <c r="R1960" s="11">
        <f>3837*10000</f>
        <v>38370000</v>
      </c>
      <c r="S1960" s="8">
        <f t="shared" si="949"/>
        <v>-0.76546454767726158</v>
      </c>
      <c r="T1960" s="6" t="s">
        <v>17386</v>
      </c>
      <c r="U1960" s="6" t="str">
        <f t="shared" si="933"/>
        <v>=1.636*100000000</v>
      </c>
      <c r="V1960" s="1">
        <f>1.636*100000000</f>
        <v>163600000</v>
      </c>
      <c r="W1960" s="8">
        <f t="shared" si="950"/>
        <v>0.22915101427498122</v>
      </c>
      <c r="X1960" s="6" t="s">
        <v>6892</v>
      </c>
      <c r="Y1960" s="6" t="str">
        <f t="shared" si="934"/>
        <v>=1.331*100000000</v>
      </c>
      <c r="Z1960" s="1">
        <f>1.331*100000000</f>
        <v>133100000</v>
      </c>
      <c r="AA1960" s="8">
        <f t="shared" si="951"/>
        <v>0.80989937449007343</v>
      </c>
      <c r="AB1960" s="7" t="s">
        <v>17387</v>
      </c>
      <c r="AC1960" s="6" t="str">
        <f t="shared" si="935"/>
        <v>=7354*10000</v>
      </c>
      <c r="AD1960" s="1">
        <f>7354*10000</f>
        <v>73540000</v>
      </c>
      <c r="AE1960" s="8">
        <f t="shared" si="952"/>
        <v>1.0657303370786517</v>
      </c>
      <c r="AF1960" s="7" t="s">
        <v>2605</v>
      </c>
      <c r="AG1960" s="6" t="str">
        <f t="shared" si="936"/>
        <v>=3560*10000</v>
      </c>
      <c r="AH1960" s="1">
        <f>3560*10000</f>
        <v>35600000</v>
      </c>
      <c r="AI1960" s="8">
        <f t="shared" si="953"/>
        <v>-0.70891251022076862</v>
      </c>
      <c r="AJ1960" s="6" t="s">
        <v>2093</v>
      </c>
      <c r="AK1960" s="6" t="str">
        <f t="shared" si="937"/>
        <v>=1.223*100000000</v>
      </c>
      <c r="AL1960" s="1">
        <f>1.223*100000000</f>
        <v>122300000.00000001</v>
      </c>
      <c r="AM1960" s="8">
        <f t="shared" si="954"/>
        <v>0.1313598519888993</v>
      </c>
      <c r="AN1960" s="6" t="s">
        <v>8532</v>
      </c>
      <c r="AO1960" s="6" t="str">
        <f t="shared" si="938"/>
        <v>=1.081*100000000</v>
      </c>
      <c r="AP1960" s="1">
        <f>1.081*100000000</f>
        <v>108100000</v>
      </c>
      <c r="AQ1960" s="8">
        <f t="shared" si="955"/>
        <v>0.32410583047525721</v>
      </c>
      <c r="AR1960" s="7" t="s">
        <v>17388</v>
      </c>
      <c r="AS1960" s="6" t="str">
        <f t="shared" si="939"/>
        <v>=8164*10000</v>
      </c>
      <c r="AT1960" s="1">
        <f>8164*10000</f>
        <v>81640000</v>
      </c>
      <c r="AU1960" s="8">
        <f t="shared" si="956"/>
        <v>0.89728096676737157</v>
      </c>
      <c r="AV1960" s="7" t="s">
        <v>17382</v>
      </c>
      <c r="AW1960" s="6" t="str">
        <f t="shared" si="940"/>
        <v>=4303*10000</v>
      </c>
      <c r="AX1960" s="1">
        <f>4303*10000</f>
        <v>43030000</v>
      </c>
      <c r="AY1960" s="10">
        <f t="shared" si="957"/>
        <v>-0.74078313253012051</v>
      </c>
      <c r="AZ1960" s="6" t="s">
        <v>14908</v>
      </c>
      <c r="BA1960" s="6" t="str">
        <f t="shared" si="941"/>
        <v>=1.660*100000000</v>
      </c>
      <c r="BB1960" s="1">
        <f>1.66*100000000</f>
        <v>166000000</v>
      </c>
      <c r="BC1960" s="8">
        <f t="shared" si="958"/>
        <v>0.46126760563380304</v>
      </c>
      <c r="BD1960" s="6" t="s">
        <v>257</v>
      </c>
      <c r="BE1960" s="6" t="str">
        <f t="shared" si="942"/>
        <v>=1.136*100000000</v>
      </c>
      <c r="BF1960" s="1">
        <f>1.136*100000000</f>
        <v>113599999.99999999</v>
      </c>
      <c r="BG1960" s="8">
        <f t="shared" si="959"/>
        <v>0.40907963284544757</v>
      </c>
      <c r="BH1960" s="7" t="s">
        <v>17389</v>
      </c>
      <c r="BI1960" s="6" t="str">
        <f t="shared" si="943"/>
        <v>=8062*10000</v>
      </c>
      <c r="BJ1960" s="1">
        <f>8062*10000</f>
        <v>80620000</v>
      </c>
      <c r="BK1960" s="7" t="s">
        <v>15410</v>
      </c>
      <c r="BL1960" s="1" t="str">
        <f t="shared" si="945"/>
        <v>=4006*10000</v>
      </c>
      <c r="BM1960" s="16">
        <f t="shared" si="960"/>
        <v>1.0124812780828756</v>
      </c>
      <c r="BN1960" s="1">
        <f>4006*10000</f>
        <v>40060000</v>
      </c>
    </row>
    <row r="1961" spans="1:66">
      <c r="A1961" s="19"/>
      <c r="B1961">
        <v>603881</v>
      </c>
      <c r="C1961" t="s">
        <v>68</v>
      </c>
      <c r="D1961" s="7" t="s">
        <v>16666</v>
      </c>
      <c r="E1961" s="7" t="str">
        <f t="shared" si="944"/>
        <v>=9939*10000</v>
      </c>
      <c r="F1961" s="1">
        <f>9939*10000</f>
        <v>99390000</v>
      </c>
      <c r="G1961" s="8">
        <f t="shared" si="946"/>
        <v>2.4850484636007423E-2</v>
      </c>
      <c r="H1961" s="7" t="s">
        <v>5785</v>
      </c>
      <c r="I1961" s="6" t="str">
        <f t="shared" si="930"/>
        <v>=9698*10000</v>
      </c>
      <c r="J1961" s="1">
        <f>9698*10000</f>
        <v>96980000</v>
      </c>
      <c r="K1961" s="10">
        <f t="shared" si="947"/>
        <v>0.72225182028058954</v>
      </c>
      <c r="L1961" s="7" t="s">
        <v>17390</v>
      </c>
      <c r="M1961" s="6" t="str">
        <f t="shared" si="931"/>
        <v>=5631*10000</v>
      </c>
      <c r="N1961" s="1">
        <f>5631*10000</f>
        <v>56310000</v>
      </c>
      <c r="O1961" s="8">
        <f t="shared" si="948"/>
        <v>0.84986859395532199</v>
      </c>
      <c r="P1961" s="7" t="s">
        <v>17391</v>
      </c>
      <c r="Q1961" s="6" t="str">
        <f t="shared" si="932"/>
        <v>=3044*10000</v>
      </c>
      <c r="R1961" s="11">
        <f>3044*10000</f>
        <v>30440000</v>
      </c>
      <c r="S1961" s="8">
        <f t="shared" si="949"/>
        <v>-0.77317436661698957</v>
      </c>
      <c r="T1961" s="6" t="s">
        <v>4381</v>
      </c>
      <c r="U1961" s="6" t="str">
        <f t="shared" si="933"/>
        <v>=1.342*100000000</v>
      </c>
      <c r="V1961" s="1">
        <f>1.342*100000000</f>
        <v>134200000.00000001</v>
      </c>
      <c r="W1961" s="8">
        <f t="shared" si="950"/>
        <v>0.21668177697189497</v>
      </c>
      <c r="X1961" s="6" t="s">
        <v>2913</v>
      </c>
      <c r="Y1961" s="6" t="str">
        <f t="shared" si="934"/>
        <v>=1.103*100000000</v>
      </c>
      <c r="Z1961" s="1">
        <f>1.103*100000000</f>
        <v>110300000</v>
      </c>
      <c r="AA1961" s="8">
        <f t="shared" si="951"/>
        <v>0.82314049586776861</v>
      </c>
      <c r="AB1961" s="7" t="s">
        <v>17392</v>
      </c>
      <c r="AC1961" s="6" t="str">
        <f t="shared" si="935"/>
        <v>=6050*10000</v>
      </c>
      <c r="AD1961" s="1">
        <f>6050*10000</f>
        <v>60500000</v>
      </c>
      <c r="AE1961" s="8">
        <f t="shared" si="952"/>
        <v>1.0648464163822526</v>
      </c>
      <c r="AF1961" s="7" t="s">
        <v>17393</v>
      </c>
      <c r="AG1961" s="6" t="str">
        <f t="shared" si="936"/>
        <v>=2930*10000</v>
      </c>
      <c r="AH1961" s="1">
        <f>2930*10000</f>
        <v>29300000</v>
      </c>
      <c r="AI1961" s="8">
        <f t="shared" si="953"/>
        <v>-0.73460144927536231</v>
      </c>
      <c r="AJ1961" s="6" t="s">
        <v>12737</v>
      </c>
      <c r="AK1961" s="6" t="str">
        <f t="shared" si="937"/>
        <v>=1.104*100000000</v>
      </c>
      <c r="AL1961" s="1">
        <f>1.104*100000000</f>
        <v>110400000.00000001</v>
      </c>
      <c r="AM1961" s="8">
        <f t="shared" si="954"/>
        <v>0.18125401241172709</v>
      </c>
      <c r="AN1961" s="7" t="s">
        <v>17394</v>
      </c>
      <c r="AO1961" s="6" t="str">
        <f t="shared" si="938"/>
        <v>=9346*10000</v>
      </c>
      <c r="AP1961" s="1">
        <f>9346*10000</f>
        <v>93460000</v>
      </c>
      <c r="AQ1961" s="8">
        <f t="shared" si="955"/>
        <v>0.35214120370370372</v>
      </c>
      <c r="AR1961" s="7" t="s">
        <v>17395</v>
      </c>
      <c r="AS1961" s="6" t="str">
        <f t="shared" si="939"/>
        <v>=6912*10000</v>
      </c>
      <c r="AT1961" s="1">
        <f>6912*10000</f>
        <v>69120000</v>
      </c>
      <c r="AU1961" s="8">
        <f t="shared" si="956"/>
        <v>0.92053348152264514</v>
      </c>
      <c r="AV1961" s="7" t="s">
        <v>17396</v>
      </c>
      <c r="AW1961" s="6" t="str">
        <f t="shared" si="940"/>
        <v>=3599*10000</v>
      </c>
      <c r="AX1961" s="1">
        <f>3599*10000</f>
        <v>35990000</v>
      </c>
      <c r="AY1961" s="10">
        <f t="shared" si="957"/>
        <v>-0.74867318435754193</v>
      </c>
      <c r="AZ1961" s="6" t="s">
        <v>12025</v>
      </c>
      <c r="BA1961" s="6" t="str">
        <f t="shared" si="941"/>
        <v>=1.432*100000000</v>
      </c>
      <c r="BB1961" s="1">
        <f>1.432*100000000</f>
        <v>143200000</v>
      </c>
      <c r="BC1961" s="8">
        <f t="shared" si="958"/>
        <v>0.49509292127792859</v>
      </c>
      <c r="BD1961" s="7" t="s">
        <v>17397</v>
      </c>
      <c r="BE1961" s="6" t="str">
        <f t="shared" si="942"/>
        <v>=9578*10000</v>
      </c>
      <c r="BF1961" s="1">
        <f>9578*10000</f>
        <v>95780000</v>
      </c>
      <c r="BG1961" s="8">
        <f t="shared" si="959"/>
        <v>0.45939357001371323</v>
      </c>
      <c r="BH1961" s="7" t="s">
        <v>17398</v>
      </c>
      <c r="BI1961" s="6" t="str">
        <f t="shared" si="943"/>
        <v>=6563*10000</v>
      </c>
      <c r="BJ1961" s="1">
        <f>6563*10000</f>
        <v>65630000</v>
      </c>
      <c r="BK1961" s="7" t="s">
        <v>17399</v>
      </c>
      <c r="BL1961" s="1" t="str">
        <f t="shared" si="945"/>
        <v>=3367*10000</v>
      </c>
      <c r="BM1961" s="16">
        <f t="shared" si="960"/>
        <v>0.94921294921294919</v>
      </c>
      <c r="BN1961" s="1">
        <f>3367*10000</f>
        <v>33670000</v>
      </c>
    </row>
    <row r="1962" spans="1:66">
      <c r="A1962" s="17">
        <v>492</v>
      </c>
      <c r="B1962">
        <v>603886</v>
      </c>
      <c r="C1962" t="s">
        <v>31</v>
      </c>
      <c r="D1962" s="6" t="s">
        <v>4621</v>
      </c>
      <c r="E1962" s="7" t="str">
        <f t="shared" si="944"/>
        <v>=25.84*100000000</v>
      </c>
      <c r="F1962" s="1">
        <f>25.84*100000000</f>
        <v>2584000000</v>
      </c>
      <c r="G1962" s="8">
        <f t="shared" si="946"/>
        <v>0.23992322456813819</v>
      </c>
      <c r="H1962" s="6" t="s">
        <v>9230</v>
      </c>
      <c r="I1962" s="6" t="str">
        <f t="shared" si="930"/>
        <v>=20.84*100000000</v>
      </c>
      <c r="J1962" s="1">
        <f>20.84*100000000</f>
        <v>2084000000</v>
      </c>
      <c r="K1962" s="10">
        <f t="shared" si="947"/>
        <v>1.0777666999002993</v>
      </c>
      <c r="L1962" s="6" t="s">
        <v>1121</v>
      </c>
      <c r="M1962" s="6" t="str">
        <f t="shared" si="931"/>
        <v>=10.03*100000000</v>
      </c>
      <c r="N1962" s="1">
        <f>10.03*100000000</f>
        <v>1002999999.9999999</v>
      </c>
      <c r="O1962" s="8">
        <f t="shared" si="948"/>
        <v>1.4851337958374631</v>
      </c>
      <c r="P1962" s="6" t="s">
        <v>9052</v>
      </c>
      <c r="Q1962" s="6" t="str">
        <f t="shared" si="932"/>
        <v>=4.036*100000000</v>
      </c>
      <c r="R1962" s="11">
        <f>4.036*100000000</f>
        <v>403599999.99999994</v>
      </c>
      <c r="S1962" s="8">
        <f t="shared" si="949"/>
        <v>-0.82475032566217976</v>
      </c>
      <c r="T1962" s="6" t="s">
        <v>13732</v>
      </c>
      <c r="U1962" s="6" t="str">
        <f t="shared" si="933"/>
        <v>=23.03*100000000</v>
      </c>
      <c r="V1962" s="1">
        <f>23.03*100000000</f>
        <v>2303000000</v>
      </c>
      <c r="W1962" s="8">
        <f t="shared" si="950"/>
        <v>0.23551502145922748</v>
      </c>
      <c r="X1962" s="6" t="s">
        <v>7350</v>
      </c>
      <c r="Y1962" s="6" t="str">
        <f t="shared" si="934"/>
        <v>=18.64*100000000</v>
      </c>
      <c r="Z1962" s="1">
        <f>18.64*100000000</f>
        <v>1864000000</v>
      </c>
      <c r="AA1962" s="8">
        <f t="shared" si="951"/>
        <v>1.2323353293413173</v>
      </c>
      <c r="AB1962" s="6" t="s">
        <v>17400</v>
      </c>
      <c r="AC1962" s="6" t="str">
        <f t="shared" si="935"/>
        <v>=8.350*100000000</v>
      </c>
      <c r="AD1962" s="1">
        <f>8.35*100000000</f>
        <v>835000000</v>
      </c>
      <c r="AE1962" s="8">
        <f t="shared" si="952"/>
        <v>1.6600828289264098</v>
      </c>
      <c r="AF1962" s="6" t="s">
        <v>9239</v>
      </c>
      <c r="AG1962" s="6" t="str">
        <f t="shared" si="936"/>
        <v>=3.139*100000000</v>
      </c>
      <c r="AH1962" s="1">
        <f>3.139*100000000</f>
        <v>313900000</v>
      </c>
      <c r="AI1962" s="8">
        <f t="shared" si="953"/>
        <v>-0.8587944219523167</v>
      </c>
      <c r="AJ1962" s="6" t="s">
        <v>8693</v>
      </c>
      <c r="AK1962" s="6" t="str">
        <f t="shared" si="937"/>
        <v>=22.23*100000000</v>
      </c>
      <c r="AL1962" s="1">
        <f>22.23*100000000</f>
        <v>2223000000</v>
      </c>
      <c r="AM1962" s="8">
        <f t="shared" si="954"/>
        <v>0.24259362772498602</v>
      </c>
      <c r="AN1962" s="6" t="s">
        <v>1900</v>
      </c>
      <c r="AO1962" s="6" t="str">
        <f t="shared" si="938"/>
        <v>=17.89*100000000</v>
      </c>
      <c r="AP1962" s="1">
        <f>17.89*100000000</f>
        <v>1789000000</v>
      </c>
      <c r="AQ1962" s="8">
        <f t="shared" si="955"/>
        <v>1.1481748318924114</v>
      </c>
      <c r="AR1962" s="6" t="s">
        <v>3987</v>
      </c>
      <c r="AS1962" s="6" t="str">
        <f t="shared" si="939"/>
        <v>=8.328*100000000</v>
      </c>
      <c r="AT1962" s="1">
        <f>8.328*100000000</f>
        <v>832799999.99999988</v>
      </c>
      <c r="AU1962" s="8">
        <f t="shared" si="956"/>
        <v>1.4443792192544758</v>
      </c>
      <c r="AV1962" s="6" t="s">
        <v>17401</v>
      </c>
      <c r="AW1962" s="6" t="str">
        <f t="shared" si="940"/>
        <v>=3.407*100000000</v>
      </c>
      <c r="AX1962" s="1">
        <f>3.407*100000000</f>
        <v>340700000</v>
      </c>
      <c r="AY1962" s="10">
        <f t="shared" si="957"/>
        <v>-0.82731880385200207</v>
      </c>
      <c r="AZ1962" s="6" t="s">
        <v>17402</v>
      </c>
      <c r="BA1962" s="6" t="str">
        <f t="shared" si="941"/>
        <v>=19.73*100000000</v>
      </c>
      <c r="BB1962" s="1">
        <f>19.73*100000000</f>
        <v>1973000000</v>
      </c>
      <c r="BC1962" s="8">
        <f t="shared" si="958"/>
        <v>0.20012165450121638</v>
      </c>
      <c r="BD1962" s="6" t="s">
        <v>2843</v>
      </c>
      <c r="BE1962" s="6" t="str">
        <f t="shared" si="942"/>
        <v>=16.44*100000000</v>
      </c>
      <c r="BF1962" s="1">
        <f>16.44*100000000</f>
        <v>1644000000.0000002</v>
      </c>
      <c r="BG1962" s="8">
        <f t="shared" si="959"/>
        <v>1.2748028227480286</v>
      </c>
      <c r="BH1962" s="6" t="s">
        <v>17403</v>
      </c>
      <c r="BI1962" s="6" t="str">
        <f t="shared" si="943"/>
        <v>=7.227*100000000</v>
      </c>
      <c r="BJ1962" s="1">
        <f>7.227*100000000</f>
        <v>722700000</v>
      </c>
      <c r="BK1962" s="6" t="s">
        <v>17404</v>
      </c>
      <c r="BL1962" s="1" t="str">
        <f t="shared" si="945"/>
        <v>=2.754*100000000</v>
      </c>
      <c r="BM1962" s="16">
        <f t="shared" si="960"/>
        <v>1.6241830065359477</v>
      </c>
      <c r="BN1962" s="1">
        <f>2.754*100000000</f>
        <v>275400000</v>
      </c>
    </row>
    <row r="1963" spans="1:66">
      <c r="A1963" s="18"/>
      <c r="B1963">
        <v>603886</v>
      </c>
      <c r="C1963" t="s">
        <v>48</v>
      </c>
      <c r="D1963" s="6" t="s">
        <v>17405</v>
      </c>
      <c r="E1963" s="7" t="str">
        <f t="shared" si="944"/>
        <v>=4.308*100000000</v>
      </c>
      <c r="F1963" s="1">
        <f>4.308*100000000</f>
        <v>430800000</v>
      </c>
      <c r="G1963" s="8">
        <f t="shared" si="946"/>
        <v>2.4007606370335156E-2</v>
      </c>
      <c r="H1963" s="6" t="s">
        <v>3496</v>
      </c>
      <c r="I1963" s="6" t="str">
        <f t="shared" si="930"/>
        <v>=4.207*100000000</v>
      </c>
      <c r="J1963" s="1">
        <f>4.207*100000000</f>
        <v>420700000</v>
      </c>
      <c r="K1963" s="10">
        <f t="shared" si="947"/>
        <v>3.7179544689918136</v>
      </c>
      <c r="L1963" s="7" t="s">
        <v>17406</v>
      </c>
      <c r="M1963" s="6" t="str">
        <f t="shared" si="931"/>
        <v>=8917*10000</v>
      </c>
      <c r="N1963" s="1">
        <f>8917*10000</f>
        <v>89170000</v>
      </c>
      <c r="O1963" s="8">
        <f t="shared" si="948"/>
        <v>6.1969330104923328</v>
      </c>
      <c r="P1963" s="7" t="s">
        <v>15423</v>
      </c>
      <c r="Q1963" s="6" t="str">
        <f t="shared" si="932"/>
        <v>=1239*10000</v>
      </c>
      <c r="R1963" s="11">
        <f>1239*10000</f>
        <v>12390000</v>
      </c>
      <c r="S1963" s="8">
        <f t="shared" si="949"/>
        <v>-0.96717011128775832</v>
      </c>
      <c r="T1963" s="6" t="s">
        <v>11652</v>
      </c>
      <c r="U1963" s="6" t="str">
        <f t="shared" si="933"/>
        <v>=3.774*100000000</v>
      </c>
      <c r="V1963" s="1">
        <f>3.774*100000000</f>
        <v>377400000</v>
      </c>
      <c r="W1963" s="8">
        <f t="shared" si="950"/>
        <v>4.6589018302828619E-2</v>
      </c>
      <c r="X1963" s="6" t="s">
        <v>10934</v>
      </c>
      <c r="Y1963" s="6" t="str">
        <f t="shared" si="934"/>
        <v>=3.606*100000000</v>
      </c>
      <c r="Z1963" s="1">
        <f>3.606*100000000</f>
        <v>360600000</v>
      </c>
      <c r="AA1963" s="8">
        <f t="shared" si="951"/>
        <v>7.2554945054945055</v>
      </c>
      <c r="AB1963" s="7" t="s">
        <v>17407</v>
      </c>
      <c r="AC1963" s="6" t="str">
        <f t="shared" si="935"/>
        <v>=4368*10000</v>
      </c>
      <c r="AD1963" s="1">
        <f>4368*10000</f>
        <v>43680000</v>
      </c>
      <c r="AE1963" s="8">
        <f t="shared" si="952"/>
        <v>-2.5088082901554403</v>
      </c>
      <c r="AF1963" s="7">
        <f>-2895*10000</f>
        <v>-28950000</v>
      </c>
      <c r="AG1963" s="6" t="str">
        <f t="shared" si="936"/>
        <v>=-28950000</v>
      </c>
      <c r="AH1963" s="1">
        <f>-28950000</f>
        <v>-28950000</v>
      </c>
      <c r="AI1963" s="8">
        <f t="shared" si="953"/>
        <v>-1.0874358199939596</v>
      </c>
      <c r="AJ1963" s="6" t="s">
        <v>17408</v>
      </c>
      <c r="AK1963" s="6" t="str">
        <f t="shared" si="937"/>
        <v>=3.311*100000000</v>
      </c>
      <c r="AL1963" s="1">
        <f>3.311*100000000</f>
        <v>331100000</v>
      </c>
      <c r="AM1963" s="8">
        <f t="shared" si="954"/>
        <v>-6.389595702572802E-2</v>
      </c>
      <c r="AN1963" s="6" t="s">
        <v>1660</v>
      </c>
      <c r="AO1963" s="6" t="str">
        <f t="shared" si="938"/>
        <v>=3.537*100000000</v>
      </c>
      <c r="AP1963" s="1">
        <f>3.537*100000000</f>
        <v>353700000</v>
      </c>
      <c r="AQ1963" s="8">
        <f t="shared" si="955"/>
        <v>4.4315110565110567</v>
      </c>
      <c r="AR1963" s="7" t="s">
        <v>7615</v>
      </c>
      <c r="AS1963" s="6" t="str">
        <f t="shared" si="939"/>
        <v>=6512*10000</v>
      </c>
      <c r="AT1963" s="1">
        <f>6512*10000</f>
        <v>65120000</v>
      </c>
      <c r="AU1963" s="8">
        <f t="shared" si="956"/>
        <v>-47.714490674318505</v>
      </c>
      <c r="AV1963" s="7">
        <f>-139.4*10000</f>
        <v>-1394000</v>
      </c>
      <c r="AW1963" s="6" t="str">
        <f t="shared" si="940"/>
        <v>=-1394000</v>
      </c>
      <c r="AX1963" s="1">
        <f>-1394000</f>
        <v>-1394000</v>
      </c>
      <c r="AY1963" s="10">
        <f t="shared" si="957"/>
        <v>-1.004419784400761</v>
      </c>
      <c r="AZ1963" s="6" t="s">
        <v>9870</v>
      </c>
      <c r="BA1963" s="6" t="str">
        <f t="shared" si="941"/>
        <v>=3.154*100000000</v>
      </c>
      <c r="BB1963" s="1">
        <f>3.154*100000000</f>
        <v>315400000</v>
      </c>
      <c r="BC1963" s="8">
        <f t="shared" si="958"/>
        <v>-2.0496894409937887E-2</v>
      </c>
      <c r="BD1963" s="6" t="s">
        <v>14241</v>
      </c>
      <c r="BE1963" s="6" t="str">
        <f t="shared" si="942"/>
        <v>=3.220*100000000</v>
      </c>
      <c r="BF1963" s="1">
        <f>3.22*100000000</f>
        <v>322000000</v>
      </c>
      <c r="BG1963" s="8">
        <f t="shared" si="959"/>
        <v>7.5935414998665598</v>
      </c>
      <c r="BH1963" s="7" t="s">
        <v>17294</v>
      </c>
      <c r="BI1963" s="6" t="str">
        <f t="shared" si="943"/>
        <v>=3747*10000</v>
      </c>
      <c r="BJ1963" s="1">
        <f>3747*10000</f>
        <v>37470000</v>
      </c>
      <c r="BK1963" s="7">
        <f>-2703*10000</f>
        <v>-27030000</v>
      </c>
      <c r="BL1963" s="1" t="str">
        <f t="shared" si="945"/>
        <v>=-27030000</v>
      </c>
      <c r="BM1963" s="16">
        <f t="shared" si="960"/>
        <v>-2.3862375138734739</v>
      </c>
      <c r="BN1963" s="1">
        <f>-27030000</f>
        <v>-27030000</v>
      </c>
    </row>
    <row r="1964" spans="1:66">
      <c r="A1964" s="18"/>
      <c r="B1964">
        <v>603886</v>
      </c>
      <c r="C1964" t="s">
        <v>58</v>
      </c>
      <c r="D1964" s="6" t="s">
        <v>6908</v>
      </c>
      <c r="E1964" s="7" t="str">
        <f t="shared" si="944"/>
        <v>=4.290*100000000</v>
      </c>
      <c r="F1964" s="1">
        <f>4.29*100000000</f>
        <v>429000000</v>
      </c>
      <c r="G1964" s="8">
        <f t="shared" si="946"/>
        <v>3.4981905910735973E-2</v>
      </c>
      <c r="H1964" s="6" t="s">
        <v>17409</v>
      </c>
      <c r="I1964" s="6" t="str">
        <f t="shared" si="930"/>
        <v>=4.145*100000000</v>
      </c>
      <c r="J1964" s="1">
        <f>4.145*100000000</f>
        <v>414499999.99999994</v>
      </c>
      <c r="K1964" s="10">
        <f t="shared" si="947"/>
        <v>3.9035845262037139</v>
      </c>
      <c r="L1964" s="7" t="s">
        <v>9771</v>
      </c>
      <c r="M1964" s="6" t="str">
        <f t="shared" si="931"/>
        <v>=8453*10000</v>
      </c>
      <c r="N1964" s="1">
        <f>8453*10000</f>
        <v>84530000</v>
      </c>
      <c r="O1964" s="8">
        <f t="shared" si="948"/>
        <v>6.3954505686789149</v>
      </c>
      <c r="P1964" s="7" t="s">
        <v>4209</v>
      </c>
      <c r="Q1964" s="6" t="str">
        <f t="shared" si="932"/>
        <v>=1143*10000</v>
      </c>
      <c r="R1964" s="11">
        <f>1143*10000</f>
        <v>11430000</v>
      </c>
      <c r="S1964" s="8">
        <f t="shared" si="949"/>
        <v>-0.96945483698556922</v>
      </c>
      <c r="T1964" s="6" t="s">
        <v>121</v>
      </c>
      <c r="U1964" s="6" t="str">
        <f t="shared" si="933"/>
        <v>=3.742*100000000</v>
      </c>
      <c r="V1964" s="1">
        <f>3.742*100000000</f>
        <v>374200000</v>
      </c>
      <c r="W1964" s="8">
        <f t="shared" si="950"/>
        <v>4.1179744017807454E-2</v>
      </c>
      <c r="X1964" s="6" t="s">
        <v>9535</v>
      </c>
      <c r="Y1964" s="6" t="str">
        <f t="shared" si="934"/>
        <v>=3.594*100000000</v>
      </c>
      <c r="Z1964" s="1">
        <f>3.594*100000000</f>
        <v>359400000</v>
      </c>
      <c r="AA1964" s="8">
        <f t="shared" si="951"/>
        <v>7.2830145194745333</v>
      </c>
      <c r="AB1964" s="7" t="s">
        <v>16591</v>
      </c>
      <c r="AC1964" s="6" t="str">
        <f t="shared" si="935"/>
        <v>=4339*10000</v>
      </c>
      <c r="AD1964" s="1">
        <f>4339*10000</f>
        <v>43390000</v>
      </c>
      <c r="AE1964" s="8">
        <f t="shared" si="952"/>
        <v>-2.4824051930304067</v>
      </c>
      <c r="AF1964" s="7">
        <f>-2927*10000</f>
        <v>-29270000</v>
      </c>
      <c r="AG1964" s="6" t="str">
        <f t="shared" si="936"/>
        <v>=-29270000</v>
      </c>
      <c r="AH1964" s="1">
        <f>-29270000</f>
        <v>-29270000</v>
      </c>
      <c r="AI1964" s="8">
        <f t="shared" si="953"/>
        <v>-1.0929206349206348</v>
      </c>
      <c r="AJ1964" s="6" t="s">
        <v>17410</v>
      </c>
      <c r="AK1964" s="6" t="str">
        <f t="shared" si="937"/>
        <v>=3.150*100000000</v>
      </c>
      <c r="AL1964" s="1">
        <f>3.15*100000000</f>
        <v>315000000</v>
      </c>
      <c r="AM1964" s="8">
        <f t="shared" si="954"/>
        <v>-6.8598462448255473E-2</v>
      </c>
      <c r="AN1964" s="6" t="s">
        <v>17411</v>
      </c>
      <c r="AO1964" s="6" t="str">
        <f t="shared" si="938"/>
        <v>=3.382*100000000</v>
      </c>
      <c r="AP1964" s="1">
        <f>3.382*100000000</f>
        <v>338200000</v>
      </c>
      <c r="AQ1964" s="8">
        <f t="shared" si="955"/>
        <v>4.9626234132581102</v>
      </c>
      <c r="AR1964" s="7" t="s">
        <v>17412</v>
      </c>
      <c r="AS1964" s="6" t="str">
        <f t="shared" si="939"/>
        <v>=5672*10000</v>
      </c>
      <c r="AT1964" s="1">
        <f>5672*10000</f>
        <v>56720000</v>
      </c>
      <c r="AU1964" s="8">
        <f t="shared" si="956"/>
        <v>-38.071895424836605</v>
      </c>
      <c r="AV1964" s="7">
        <f>-153*10000</f>
        <v>-1530000</v>
      </c>
      <c r="AW1964" s="6" t="str">
        <f t="shared" si="940"/>
        <v>=-1530000</v>
      </c>
      <c r="AX1964" s="1">
        <f>-1530000</f>
        <v>-1530000</v>
      </c>
      <c r="AY1964" s="10">
        <f t="shared" si="957"/>
        <v>-1.0049578742709009</v>
      </c>
      <c r="AZ1964" s="6" t="s">
        <v>17413</v>
      </c>
      <c r="BA1964" s="6" t="str">
        <f t="shared" si="941"/>
        <v>=3.086*100000000</v>
      </c>
      <c r="BB1964" s="1">
        <f>3.086*100000000</f>
        <v>308600000</v>
      </c>
      <c r="BC1964" s="8">
        <f t="shared" si="958"/>
        <v>-3.5624999999999997E-2</v>
      </c>
      <c r="BD1964" s="6" t="s">
        <v>17414</v>
      </c>
      <c r="BE1964" s="6" t="str">
        <f t="shared" si="942"/>
        <v>=3.200*100000000</v>
      </c>
      <c r="BF1964" s="1">
        <f>3.2*100000000</f>
        <v>320000000</v>
      </c>
      <c r="BG1964" s="8">
        <f t="shared" si="959"/>
        <v>7.3682008368200833</v>
      </c>
      <c r="BH1964" s="7" t="s">
        <v>17022</v>
      </c>
      <c r="BI1964" s="6" t="str">
        <f t="shared" si="943"/>
        <v>=3824*10000</v>
      </c>
      <c r="BJ1964" s="1">
        <f>3824*10000</f>
        <v>38240000</v>
      </c>
      <c r="BK1964" s="7">
        <f>-2616*10000</f>
        <v>-26160000</v>
      </c>
      <c r="BL1964" s="1" t="str">
        <f t="shared" si="945"/>
        <v>=-26160000</v>
      </c>
      <c r="BM1964" s="16">
        <f t="shared" si="960"/>
        <v>-2.4617737003058102</v>
      </c>
      <c r="BN1964" s="1">
        <f>-26160000</f>
        <v>-26160000</v>
      </c>
    </row>
    <row r="1965" spans="1:66">
      <c r="A1965" s="19"/>
      <c r="B1965">
        <v>603886</v>
      </c>
      <c r="C1965" t="s">
        <v>68</v>
      </c>
      <c r="D1965" s="6" t="s">
        <v>11746</v>
      </c>
      <c r="E1965" s="7" t="str">
        <f t="shared" si="944"/>
        <v>=3.398*100000000</v>
      </c>
      <c r="F1965" s="1">
        <f>3.398*100000000</f>
        <v>339800000</v>
      </c>
      <c r="G1965" s="8">
        <f t="shared" si="946"/>
        <v>2.2569966897381884E-2</v>
      </c>
      <c r="H1965" s="6" t="s">
        <v>15120</v>
      </c>
      <c r="I1965" s="6" t="str">
        <f t="shared" si="930"/>
        <v>=3.323*100000000</v>
      </c>
      <c r="J1965" s="1">
        <f>3.323*100000000</f>
        <v>332300000</v>
      </c>
      <c r="K1965" s="10">
        <f t="shared" si="947"/>
        <v>4.3813765182186231</v>
      </c>
      <c r="L1965" s="7" t="s">
        <v>9939</v>
      </c>
      <c r="M1965" s="6" t="str">
        <f t="shared" si="931"/>
        <v>=6175*10000</v>
      </c>
      <c r="N1965" s="1">
        <f>6175*10000</f>
        <v>61750000</v>
      </c>
      <c r="O1965" s="8">
        <f t="shared" si="948"/>
        <v>45.324081020255065</v>
      </c>
      <c r="P1965" s="7" t="s">
        <v>17415</v>
      </c>
      <c r="Q1965" s="6" t="str">
        <f t="shared" si="932"/>
        <v>=133.3*10000</v>
      </c>
      <c r="R1965" s="11">
        <f>133.3*10000</f>
        <v>1333000</v>
      </c>
      <c r="S1965" s="8">
        <f t="shared" si="949"/>
        <v>-0.99555666666666665</v>
      </c>
      <c r="T1965" s="6" t="s">
        <v>11078</v>
      </c>
      <c r="U1965" s="6" t="str">
        <f t="shared" si="933"/>
        <v>=3.000*100000000</v>
      </c>
      <c r="V1965" s="1">
        <f>3*100000000</f>
        <v>300000000</v>
      </c>
      <c r="W1965" s="8">
        <f t="shared" si="950"/>
        <v>2.3890784982935155E-2</v>
      </c>
      <c r="X1965" s="6" t="s">
        <v>17416</v>
      </c>
      <c r="Y1965" s="6" t="str">
        <f t="shared" si="934"/>
        <v>=2.930*100000000</v>
      </c>
      <c r="Z1965" s="1">
        <f>2.93*100000000</f>
        <v>293000000</v>
      </c>
      <c r="AA1965" s="8">
        <f t="shared" si="951"/>
        <v>10.535433070866143</v>
      </c>
      <c r="AB1965" s="7" t="s">
        <v>3771</v>
      </c>
      <c r="AC1965" s="6" t="str">
        <f t="shared" si="935"/>
        <v>=2540*10000</v>
      </c>
      <c r="AD1965" s="1">
        <f>2540*10000</f>
        <v>25400000</v>
      </c>
      <c r="AE1965" s="8">
        <f t="shared" si="952"/>
        <v>-1.822538860103627</v>
      </c>
      <c r="AF1965" s="7">
        <f>-3088*10000</f>
        <v>-30880000</v>
      </c>
      <c r="AG1965" s="6" t="str">
        <f t="shared" si="936"/>
        <v>=-30880000</v>
      </c>
      <c r="AH1965" s="1">
        <f>-30880000</f>
        <v>-30880000</v>
      </c>
      <c r="AI1965" s="8">
        <f t="shared" si="953"/>
        <v>-1.1246166263115414</v>
      </c>
      <c r="AJ1965" s="6" t="s">
        <v>10830</v>
      </c>
      <c r="AK1965" s="6" t="str">
        <f t="shared" si="937"/>
        <v>=2.478*100000000</v>
      </c>
      <c r="AL1965" s="1">
        <f>2.478*100000000</f>
        <v>247800000.00000003</v>
      </c>
      <c r="AM1965" s="8">
        <f t="shared" si="954"/>
        <v>-9.989102796948772E-2</v>
      </c>
      <c r="AN1965" s="6" t="s">
        <v>4759</v>
      </c>
      <c r="AO1965" s="6" t="str">
        <f t="shared" si="938"/>
        <v>=2.753*100000000</v>
      </c>
      <c r="AP1965" s="1">
        <f>2.753*100000000</f>
        <v>275300000</v>
      </c>
      <c r="AQ1965" s="8">
        <f t="shared" si="955"/>
        <v>6.748381649310442</v>
      </c>
      <c r="AR1965" s="7" t="s">
        <v>6605</v>
      </c>
      <c r="AS1965" s="6" t="str">
        <f t="shared" si="939"/>
        <v>=3553*10000</v>
      </c>
      <c r="AT1965" s="1">
        <f>3553*10000</f>
        <v>35530000</v>
      </c>
      <c r="AU1965" s="8">
        <f t="shared" si="956"/>
        <v>-6.2012882447665056</v>
      </c>
      <c r="AV1965" s="7">
        <f>-683.1*10000</f>
        <v>-6831000</v>
      </c>
      <c r="AW1965" s="6" t="str">
        <f t="shared" si="940"/>
        <v>=-6831000</v>
      </c>
      <c r="AX1965" s="1">
        <f>-6831000</f>
        <v>-6831000</v>
      </c>
      <c r="AY1965" s="10">
        <f t="shared" si="957"/>
        <v>-1.0269148936170214</v>
      </c>
      <c r="AZ1965" s="6" t="s">
        <v>15710</v>
      </c>
      <c r="BA1965" s="6" t="str">
        <f t="shared" si="941"/>
        <v>=2.538*100000000</v>
      </c>
      <c r="BB1965" s="1">
        <f>2.538*100000000</f>
        <v>253799999.99999997</v>
      </c>
      <c r="BC1965" s="8">
        <f t="shared" si="958"/>
        <v>-1.3986013986013988E-2</v>
      </c>
      <c r="BD1965" s="6" t="s">
        <v>3451</v>
      </c>
      <c r="BE1965" s="6" t="str">
        <f t="shared" si="942"/>
        <v>=2.574*100000000</v>
      </c>
      <c r="BF1965" s="1">
        <f>2.574*100000000</f>
        <v>257399999.99999997</v>
      </c>
      <c r="BG1965" s="8">
        <f t="shared" si="959"/>
        <v>8.8696319018404903</v>
      </c>
      <c r="BH1965" s="7" t="s">
        <v>17080</v>
      </c>
      <c r="BI1965" s="6" t="str">
        <f t="shared" si="943"/>
        <v>=2608*10000</v>
      </c>
      <c r="BJ1965" s="1">
        <f>2608*10000</f>
        <v>26080000</v>
      </c>
      <c r="BK1965" s="7">
        <f>-2752*10000</f>
        <v>-27520000</v>
      </c>
      <c r="BL1965" s="1" t="str">
        <f t="shared" si="945"/>
        <v>=-27520000</v>
      </c>
      <c r="BM1965" s="16">
        <f t="shared" si="960"/>
        <v>-1.9476744186046511</v>
      </c>
      <c r="BN1965" s="1">
        <f>-27520000</f>
        <v>-27520000</v>
      </c>
    </row>
    <row r="1966" spans="1:66">
      <c r="A1966" s="17">
        <v>493</v>
      </c>
      <c r="B1966">
        <v>603896</v>
      </c>
      <c r="C1966" t="s">
        <v>31</v>
      </c>
      <c r="D1966" s="6" t="s">
        <v>17417</v>
      </c>
      <c r="E1966" s="7" t="str">
        <f t="shared" si="944"/>
        <v>=7.671*100000000</v>
      </c>
      <c r="F1966" s="1">
        <f>7.671*100000000</f>
        <v>767100000</v>
      </c>
      <c r="G1966" s="8">
        <f t="shared" si="946"/>
        <v>0.59912445278298931</v>
      </c>
      <c r="H1966" s="6" t="s">
        <v>1468</v>
      </c>
      <c r="I1966" s="6" t="str">
        <f t="shared" si="930"/>
        <v>=4.797*100000000</v>
      </c>
      <c r="J1966" s="1">
        <f>4.797*100000000</f>
        <v>479700000</v>
      </c>
      <c r="K1966" s="10">
        <f t="shared" si="947"/>
        <v>0.51086614173228351</v>
      </c>
      <c r="L1966" s="6" t="s">
        <v>3437</v>
      </c>
      <c r="M1966" s="6" t="str">
        <f t="shared" si="931"/>
        <v>=3.175*100000000</v>
      </c>
      <c r="N1966" s="1">
        <f>3.175*100000000</f>
        <v>317500000</v>
      </c>
      <c r="O1966" s="8">
        <f t="shared" si="948"/>
        <v>0.82366456059735782</v>
      </c>
      <c r="P1966" s="6" t="s">
        <v>5163</v>
      </c>
      <c r="Q1966" s="6" t="str">
        <f t="shared" si="932"/>
        <v>=1.741*100000000</v>
      </c>
      <c r="R1966" s="11">
        <f>1.741*100000000</f>
        <v>174100000</v>
      </c>
      <c r="S1966" s="8">
        <f t="shared" si="949"/>
        <v>-0.72630089608552117</v>
      </c>
      <c r="T1966" s="6" t="s">
        <v>17418</v>
      </c>
      <c r="U1966" s="6" t="str">
        <f t="shared" si="933"/>
        <v>=6.361*100000000</v>
      </c>
      <c r="V1966" s="1">
        <f>6.361*100000000</f>
        <v>636100000</v>
      </c>
      <c r="W1966" s="8">
        <f t="shared" si="950"/>
        <v>0.61446700507614216</v>
      </c>
      <c r="X1966" s="6" t="s">
        <v>12161</v>
      </c>
      <c r="Y1966" s="6" t="str">
        <f t="shared" si="934"/>
        <v>=3.940*100000000</v>
      </c>
      <c r="Z1966" s="1">
        <f>3.94*100000000</f>
        <v>394000000</v>
      </c>
      <c r="AA1966" s="8">
        <f t="shared" si="951"/>
        <v>0.66807790008467405</v>
      </c>
      <c r="AB1966" s="6" t="s">
        <v>15466</v>
      </c>
      <c r="AC1966" s="6" t="str">
        <f t="shared" si="935"/>
        <v>=2.362*100000000</v>
      </c>
      <c r="AD1966" s="1">
        <f>2.362*100000000</f>
        <v>236200000</v>
      </c>
      <c r="AE1966" s="8">
        <f t="shared" si="952"/>
        <v>0.77861445783132532</v>
      </c>
      <c r="AF1966" s="6" t="s">
        <v>4979</v>
      </c>
      <c r="AG1966" s="6" t="str">
        <f t="shared" si="936"/>
        <v>=1.328*100000000</v>
      </c>
      <c r="AH1966" s="1">
        <f>1.328*100000000</f>
        <v>132800000</v>
      </c>
      <c r="AI1966" s="8">
        <f t="shared" si="953"/>
        <v>-0.75713240673006588</v>
      </c>
      <c r="AJ1966" s="6" t="s">
        <v>7673</v>
      </c>
      <c r="AK1966" s="6" t="str">
        <f t="shared" si="937"/>
        <v>=5.468*100000000</v>
      </c>
      <c r="AL1966" s="1">
        <f>5.468*100000000</f>
        <v>546800000</v>
      </c>
      <c r="AM1966" s="8">
        <f t="shared" si="954"/>
        <v>0.59092231597323241</v>
      </c>
      <c r="AN1966" s="6" t="s">
        <v>6325</v>
      </c>
      <c r="AO1966" s="6" t="str">
        <f t="shared" si="938"/>
        <v>=3.437*100000000</v>
      </c>
      <c r="AP1966" s="1">
        <f>3.437*100000000</f>
        <v>343700000</v>
      </c>
      <c r="AQ1966" s="8">
        <f t="shared" si="955"/>
        <v>0.35049115913555995</v>
      </c>
      <c r="AR1966" s="6" t="s">
        <v>16027</v>
      </c>
      <c r="AS1966" s="6" t="str">
        <f t="shared" si="939"/>
        <v>=2.545*100000000</v>
      </c>
      <c r="AT1966" s="1">
        <f>2.545*100000000</f>
        <v>254500000</v>
      </c>
      <c r="AU1966" s="8">
        <f t="shared" si="956"/>
        <v>0.53776435045317217</v>
      </c>
      <c r="AV1966" s="6" t="s">
        <v>17419</v>
      </c>
      <c r="AW1966" s="6" t="str">
        <f t="shared" si="940"/>
        <v>=1.655*100000000</v>
      </c>
      <c r="AX1966" s="1">
        <f>1.655*100000000</f>
        <v>165500000</v>
      </c>
      <c r="AY1966" s="10">
        <f t="shared" si="957"/>
        <v>-0.67644183773216027</v>
      </c>
      <c r="AZ1966" s="6" t="s">
        <v>6328</v>
      </c>
      <c r="BA1966" s="6" t="str">
        <f t="shared" si="941"/>
        <v>=5.115*100000000</v>
      </c>
      <c r="BB1966" s="1">
        <f>5.115*100000000</f>
        <v>511500000</v>
      </c>
      <c r="BC1966" s="8">
        <f t="shared" si="958"/>
        <v>0.57724329324699353</v>
      </c>
      <c r="BD1966" s="6" t="s">
        <v>915</v>
      </c>
      <c r="BE1966" s="6" t="str">
        <f t="shared" si="942"/>
        <v>=3.243*100000000</v>
      </c>
      <c r="BF1966" s="1">
        <f>3.243*100000000</f>
        <v>324300000</v>
      </c>
      <c r="BG1966" s="8">
        <f t="shared" si="959"/>
        <v>0.4286343612334802</v>
      </c>
      <c r="BH1966" s="6" t="s">
        <v>8407</v>
      </c>
      <c r="BI1966" s="6" t="str">
        <f t="shared" si="943"/>
        <v>=2.270*100000000</v>
      </c>
      <c r="BJ1966" s="1">
        <f>2.27*100000000</f>
        <v>227000000</v>
      </c>
      <c r="BK1966" s="6" t="s">
        <v>2052</v>
      </c>
      <c r="BL1966" s="1" t="str">
        <f t="shared" si="945"/>
        <v>=1.265*100000000</v>
      </c>
      <c r="BM1966" s="16">
        <f t="shared" si="960"/>
        <v>0.79446640316205552</v>
      </c>
      <c r="BN1966" s="1">
        <f>1.265*100000000</f>
        <v>126499999.99999999</v>
      </c>
    </row>
    <row r="1967" spans="1:66">
      <c r="A1967" s="18"/>
      <c r="B1967">
        <v>603896</v>
      </c>
      <c r="C1967" t="s">
        <v>48</v>
      </c>
      <c r="D1967" s="6" t="s">
        <v>1446</v>
      </c>
      <c r="E1967" s="7" t="str">
        <f t="shared" si="944"/>
        <v>=2.072*100000000</v>
      </c>
      <c r="F1967" s="1">
        <f>2.072*100000000</f>
        <v>207200000</v>
      </c>
      <c r="G1967" s="8">
        <f t="shared" si="946"/>
        <v>1.286723319721885</v>
      </c>
      <c r="H1967" s="7" t="s">
        <v>3928</v>
      </c>
      <c r="I1967" s="6" t="str">
        <f t="shared" si="930"/>
        <v>=9061*10000</v>
      </c>
      <c r="J1967" s="1">
        <f>9061*10000</f>
        <v>90610000</v>
      </c>
      <c r="K1967" s="10">
        <f t="shared" si="947"/>
        <v>0.60656028368794324</v>
      </c>
      <c r="L1967" s="7" t="s">
        <v>16319</v>
      </c>
      <c r="M1967" s="6" t="str">
        <f t="shared" si="931"/>
        <v>=5640*10000</v>
      </c>
      <c r="N1967" s="1">
        <f>5640*10000</f>
        <v>56400000</v>
      </c>
      <c r="O1967" s="8">
        <f t="shared" si="948"/>
        <v>0.36396614268440147</v>
      </c>
      <c r="P1967" s="7" t="s">
        <v>17420</v>
      </c>
      <c r="Q1967" s="6" t="str">
        <f t="shared" si="932"/>
        <v>=4135*10000</v>
      </c>
      <c r="R1967" s="11">
        <f>4135*10000</f>
        <v>41350000</v>
      </c>
      <c r="S1967" s="8">
        <f t="shared" si="949"/>
        <v>-0.73977344241661425</v>
      </c>
      <c r="T1967" s="6" t="s">
        <v>2165</v>
      </c>
      <c r="U1967" s="6" t="str">
        <f t="shared" si="933"/>
        <v>=1.589*100000000</v>
      </c>
      <c r="V1967" s="1">
        <f>1.589*100000000</f>
        <v>158900000</v>
      </c>
      <c r="W1967" s="8">
        <f t="shared" si="950"/>
        <v>1.2446673258934877</v>
      </c>
      <c r="X1967" s="7" t="s">
        <v>7613</v>
      </c>
      <c r="Y1967" s="6" t="str">
        <f t="shared" si="934"/>
        <v>=7079*10000</v>
      </c>
      <c r="Z1967" s="1">
        <f>7079*10000</f>
        <v>70790000</v>
      </c>
      <c r="AA1967" s="8">
        <f t="shared" si="951"/>
        <v>0.63562846580406651</v>
      </c>
      <c r="AB1967" s="7" t="s">
        <v>16041</v>
      </c>
      <c r="AC1967" s="6" t="str">
        <f t="shared" si="935"/>
        <v>=4328*10000</v>
      </c>
      <c r="AD1967" s="1">
        <f>4328*10000</f>
        <v>43280000</v>
      </c>
      <c r="AE1967" s="8">
        <f t="shared" si="952"/>
        <v>0.27858197932053175</v>
      </c>
      <c r="AF1967" s="7" t="s">
        <v>17421</v>
      </c>
      <c r="AG1967" s="6" t="str">
        <f t="shared" si="936"/>
        <v>=3385*10000</v>
      </c>
      <c r="AH1967" s="1">
        <f>3385*10000</f>
        <v>33850000</v>
      </c>
      <c r="AI1967" s="8">
        <f t="shared" si="953"/>
        <v>-0.73513302034428796</v>
      </c>
      <c r="AJ1967" s="6" t="s">
        <v>5505</v>
      </c>
      <c r="AK1967" s="6" t="str">
        <f t="shared" si="937"/>
        <v>=1.278*100000000</v>
      </c>
      <c r="AL1967" s="1">
        <f>1.278*100000000</f>
        <v>127800000</v>
      </c>
      <c r="AM1967" s="8">
        <f t="shared" si="954"/>
        <v>1.1598783167145512</v>
      </c>
      <c r="AN1967" s="7" t="s">
        <v>12049</v>
      </c>
      <c r="AO1967" s="6" t="str">
        <f t="shared" si="938"/>
        <v>=5917*10000</v>
      </c>
      <c r="AP1967" s="1">
        <f>5917*10000</f>
        <v>59170000</v>
      </c>
      <c r="AQ1967" s="8">
        <f t="shared" si="955"/>
        <v>0.22937876584250988</v>
      </c>
      <c r="AR1967" s="7" t="s">
        <v>3719</v>
      </c>
      <c r="AS1967" s="6" t="str">
        <f t="shared" si="939"/>
        <v>=4813*10000</v>
      </c>
      <c r="AT1967" s="1">
        <f>4813*10000</f>
        <v>48130000</v>
      </c>
      <c r="AU1967" s="8">
        <f t="shared" si="956"/>
        <v>0.10796500920810313</v>
      </c>
      <c r="AV1967" s="7" t="s">
        <v>17422</v>
      </c>
      <c r="AW1967" s="6" t="str">
        <f t="shared" si="940"/>
        <v>=4344*10000</v>
      </c>
      <c r="AX1967" s="1">
        <f>4344*10000</f>
        <v>43440000</v>
      </c>
      <c r="AY1967" s="10">
        <f t="shared" si="957"/>
        <v>-0.60616500453309152</v>
      </c>
      <c r="AZ1967" s="6" t="s">
        <v>2913</v>
      </c>
      <c r="BA1967" s="6" t="str">
        <f t="shared" si="941"/>
        <v>=1.103*100000000</v>
      </c>
      <c r="BB1967" s="1">
        <f>1.103*100000000</f>
        <v>110300000</v>
      </c>
      <c r="BC1967" s="8">
        <f t="shared" si="958"/>
        <v>0.77302684455875259</v>
      </c>
      <c r="BD1967" s="7" t="s">
        <v>17423</v>
      </c>
      <c r="BE1967" s="6" t="str">
        <f t="shared" si="942"/>
        <v>=6221*10000</v>
      </c>
      <c r="BF1967" s="1">
        <f>6221*10000</f>
        <v>62210000</v>
      </c>
      <c r="BG1967" s="8">
        <f t="shared" si="959"/>
        <v>0.15161051462421327</v>
      </c>
      <c r="BH1967" s="7" t="s">
        <v>17424</v>
      </c>
      <c r="BI1967" s="6" t="str">
        <f t="shared" si="943"/>
        <v>=5402*10000</v>
      </c>
      <c r="BJ1967" s="1">
        <f>5402*10000</f>
        <v>54020000</v>
      </c>
      <c r="BK1967" s="7" t="s">
        <v>17425</v>
      </c>
      <c r="BL1967" s="1" t="str">
        <f t="shared" si="945"/>
        <v>=3606*10000</v>
      </c>
      <c r="BM1967" s="16">
        <f t="shared" si="960"/>
        <v>0.49805879090404881</v>
      </c>
      <c r="BN1967" s="1">
        <f>3606*10000</f>
        <v>36060000</v>
      </c>
    </row>
    <row r="1968" spans="1:66">
      <c r="A1968" s="18"/>
      <c r="B1968">
        <v>603896</v>
      </c>
      <c r="C1968" t="s">
        <v>58</v>
      </c>
      <c r="D1968" s="6" t="s">
        <v>10124</v>
      </c>
      <c r="E1968" s="7" t="str">
        <f t="shared" si="944"/>
        <v>=2.011*100000000</v>
      </c>
      <c r="F1968" s="1">
        <f>2.011*100000000</f>
        <v>201100000</v>
      </c>
      <c r="G1968" s="8">
        <f t="shared" si="946"/>
        <v>1.2995997712978844</v>
      </c>
      <c r="H1968" s="7" t="s">
        <v>17426</v>
      </c>
      <c r="I1968" s="6" t="str">
        <f t="shared" si="930"/>
        <v>=8745*10000</v>
      </c>
      <c r="J1968" s="1">
        <f>8745*10000</f>
        <v>87450000</v>
      </c>
      <c r="K1968" s="10">
        <f t="shared" si="947"/>
        <v>0.60135506317524268</v>
      </c>
      <c r="L1968" s="7" t="s">
        <v>17427</v>
      </c>
      <c r="M1968" s="6" t="str">
        <f t="shared" si="931"/>
        <v>=5461*10000</v>
      </c>
      <c r="N1968" s="1">
        <f>5461*10000</f>
        <v>54610000</v>
      </c>
      <c r="O1968" s="8">
        <f t="shared" si="948"/>
        <v>0.32645129948991986</v>
      </c>
      <c r="P1968" s="7" t="s">
        <v>15748</v>
      </c>
      <c r="Q1968" s="6" t="str">
        <f t="shared" si="932"/>
        <v>=4117*10000</v>
      </c>
      <c r="R1968" s="11">
        <f>4117*10000</f>
        <v>41170000</v>
      </c>
      <c r="S1968" s="8">
        <f t="shared" si="949"/>
        <v>-0.7321405335068315</v>
      </c>
      <c r="T1968" s="6" t="s">
        <v>3972</v>
      </c>
      <c r="U1968" s="6" t="str">
        <f t="shared" si="933"/>
        <v>=1.537*100000000</v>
      </c>
      <c r="V1968" s="1">
        <f>1.537*100000000</f>
        <v>153700000</v>
      </c>
      <c r="W1968" s="8">
        <f t="shared" si="950"/>
        <v>1.2807538210416975</v>
      </c>
      <c r="X1968" s="7" t="s">
        <v>17428</v>
      </c>
      <c r="Y1968" s="6" t="str">
        <f t="shared" si="934"/>
        <v>=6739*10000</v>
      </c>
      <c r="Z1968" s="1">
        <f>6739*10000</f>
        <v>67390000</v>
      </c>
      <c r="AA1968" s="8">
        <f t="shared" si="951"/>
        <v>0.59465215333648835</v>
      </c>
      <c r="AB1968" s="7" t="s">
        <v>11144</v>
      </c>
      <c r="AC1968" s="6" t="str">
        <f t="shared" si="935"/>
        <v>=4226*10000</v>
      </c>
      <c r="AD1968" s="1">
        <f>4226*10000</f>
        <v>42260000</v>
      </c>
      <c r="AE1968" s="8">
        <f t="shared" si="952"/>
        <v>0.29393753827311697</v>
      </c>
      <c r="AF1968" s="7" t="s">
        <v>17429</v>
      </c>
      <c r="AG1968" s="6" t="str">
        <f t="shared" si="936"/>
        <v>=3266*10000</v>
      </c>
      <c r="AH1968" s="1">
        <f>3266*10000</f>
        <v>32660000</v>
      </c>
      <c r="AI1968" s="8">
        <f t="shared" si="953"/>
        <v>-0.73872000000000004</v>
      </c>
      <c r="AJ1968" s="6" t="s">
        <v>2838</v>
      </c>
      <c r="AK1968" s="6" t="str">
        <f t="shared" si="937"/>
        <v>=1.250*100000000</v>
      </c>
      <c r="AL1968" s="1">
        <f>1.25*100000000</f>
        <v>125000000</v>
      </c>
      <c r="AM1968" s="8">
        <f t="shared" si="954"/>
        <v>1.1872265966754156</v>
      </c>
      <c r="AN1968" s="7" t="s">
        <v>17430</v>
      </c>
      <c r="AO1968" s="6" t="str">
        <f t="shared" si="938"/>
        <v>=5715*10000</v>
      </c>
      <c r="AP1968" s="1">
        <f>5715*10000</f>
        <v>57150000</v>
      </c>
      <c r="AQ1968" s="8">
        <f t="shared" si="955"/>
        <v>0.22586872586872586</v>
      </c>
      <c r="AR1968" s="7" t="s">
        <v>2926</v>
      </c>
      <c r="AS1968" s="6" t="str">
        <f t="shared" si="939"/>
        <v>=4662*10000</v>
      </c>
      <c r="AT1968" s="1">
        <f>4662*10000</f>
        <v>46620000</v>
      </c>
      <c r="AU1968" s="8">
        <f t="shared" si="956"/>
        <v>7.1970567946654407E-2</v>
      </c>
      <c r="AV1968" s="7" t="s">
        <v>17431</v>
      </c>
      <c r="AW1968" s="6" t="str">
        <f t="shared" si="940"/>
        <v>=4349*10000</v>
      </c>
      <c r="AX1968" s="1">
        <f>4349*10000</f>
        <v>43490000</v>
      </c>
      <c r="AY1968" s="10">
        <f t="shared" si="957"/>
        <v>-0.60499545867393278</v>
      </c>
      <c r="AZ1968" s="6" t="s">
        <v>7720</v>
      </c>
      <c r="BA1968" s="6" t="str">
        <f t="shared" si="941"/>
        <v>=1.101*100000000</v>
      </c>
      <c r="BB1968" s="1">
        <f>1.101*100000000</f>
        <v>110100000</v>
      </c>
      <c r="BC1968" s="8">
        <f t="shared" si="958"/>
        <v>0.83286166139503914</v>
      </c>
      <c r="BD1968" s="7" t="s">
        <v>17432</v>
      </c>
      <c r="BE1968" s="6" t="str">
        <f t="shared" si="942"/>
        <v>=6007*10000</v>
      </c>
      <c r="BF1968" s="1">
        <f>6007*10000</f>
        <v>60070000</v>
      </c>
      <c r="BG1968" s="8">
        <f t="shared" si="959"/>
        <v>0.11117277099519053</v>
      </c>
      <c r="BH1968" s="7" t="s">
        <v>17433</v>
      </c>
      <c r="BI1968" s="6" t="str">
        <f t="shared" si="943"/>
        <v>=5406*10000</v>
      </c>
      <c r="BJ1968" s="1">
        <f>5406*10000</f>
        <v>54060000</v>
      </c>
      <c r="BK1968" s="7" t="s">
        <v>17434</v>
      </c>
      <c r="BL1968" s="1" t="str">
        <f t="shared" si="945"/>
        <v>=3617*10000</v>
      </c>
      <c r="BM1968" s="16">
        <f t="shared" si="960"/>
        <v>0.49460879181642248</v>
      </c>
      <c r="BN1968" s="1">
        <f>3617*10000</f>
        <v>36170000</v>
      </c>
    </row>
    <row r="1969" spans="1:66">
      <c r="A1969" s="19"/>
      <c r="B1969">
        <v>603896</v>
      </c>
      <c r="C1969" t="s">
        <v>68</v>
      </c>
      <c r="D1969" s="6" t="s">
        <v>4805</v>
      </c>
      <c r="E1969" s="7" t="str">
        <f t="shared" si="944"/>
        <v>=2.003*100000000</v>
      </c>
      <c r="F1969" s="1">
        <f>2.003*100000000</f>
        <v>200300000</v>
      </c>
      <c r="G1969" s="8">
        <f t="shared" si="946"/>
        <v>1.3110649590400369</v>
      </c>
      <c r="H1969" s="7" t="s">
        <v>17435</v>
      </c>
      <c r="I1969" s="6" t="str">
        <f t="shared" si="930"/>
        <v>=8667*10000</v>
      </c>
      <c r="J1969" s="1">
        <f>8667*10000</f>
        <v>86670000</v>
      </c>
      <c r="K1969" s="10">
        <f t="shared" si="947"/>
        <v>0.57581818181818178</v>
      </c>
      <c r="L1969" s="7" t="s">
        <v>17436</v>
      </c>
      <c r="M1969" s="6" t="str">
        <f t="shared" si="931"/>
        <v>=5500*10000</v>
      </c>
      <c r="N1969" s="1">
        <f>5500*10000</f>
        <v>55000000</v>
      </c>
      <c r="O1969" s="8">
        <f t="shared" si="948"/>
        <v>0.33398011156924567</v>
      </c>
      <c r="P1969" s="7" t="s">
        <v>11365</v>
      </c>
      <c r="Q1969" s="6" t="str">
        <f t="shared" si="932"/>
        <v>=4123*10000</v>
      </c>
      <c r="R1969" s="11">
        <f>4123*10000</f>
        <v>41230000</v>
      </c>
      <c r="S1969" s="8">
        <f t="shared" si="949"/>
        <v>-0.72821357943309162</v>
      </c>
      <c r="T1969" s="6" t="s">
        <v>6592</v>
      </c>
      <c r="U1969" s="6" t="str">
        <f t="shared" si="933"/>
        <v>=1.517*100000000</v>
      </c>
      <c r="V1969" s="1">
        <f>1.517*100000000</f>
        <v>151700000</v>
      </c>
      <c r="W1969" s="8">
        <f t="shared" si="950"/>
        <v>1.2641791044776118</v>
      </c>
      <c r="X1969" s="7" t="s">
        <v>16511</v>
      </c>
      <c r="Y1969" s="6" t="str">
        <f t="shared" si="934"/>
        <v>=6700*10000</v>
      </c>
      <c r="Z1969" s="1">
        <f>6700*10000</f>
        <v>67000000</v>
      </c>
      <c r="AA1969" s="8">
        <f t="shared" si="951"/>
        <v>0.58205430932703661</v>
      </c>
      <c r="AB1969" s="7" t="s">
        <v>10972</v>
      </c>
      <c r="AC1969" s="6" t="str">
        <f t="shared" si="935"/>
        <v>=4235*10000</v>
      </c>
      <c r="AD1969" s="1">
        <f>4235*10000</f>
        <v>42350000</v>
      </c>
      <c r="AE1969" s="8">
        <f t="shared" si="952"/>
        <v>0.29076501066747945</v>
      </c>
      <c r="AF1969" s="7" t="s">
        <v>17437</v>
      </c>
      <c r="AG1969" s="6" t="str">
        <f t="shared" si="936"/>
        <v>=3281*10000</v>
      </c>
      <c r="AH1969" s="1">
        <f>3281*10000</f>
        <v>32810000</v>
      </c>
      <c r="AI1969" s="8">
        <f t="shared" si="953"/>
        <v>-0.73518966908797423</v>
      </c>
      <c r="AJ1969" s="6" t="s">
        <v>4274</v>
      </c>
      <c r="AK1969" s="6" t="str">
        <f t="shared" si="937"/>
        <v>=1.239*100000000</v>
      </c>
      <c r="AL1969" s="1">
        <f>1.239*100000000</f>
        <v>123900000.00000001</v>
      </c>
      <c r="AM1969" s="8">
        <f t="shared" si="954"/>
        <v>1.1733029293106476</v>
      </c>
      <c r="AN1969" s="7" t="s">
        <v>17438</v>
      </c>
      <c r="AO1969" s="6" t="str">
        <f t="shared" si="938"/>
        <v>=5701*10000</v>
      </c>
      <c r="AP1969" s="1">
        <f>5701*10000</f>
        <v>57010000</v>
      </c>
      <c r="AQ1969" s="8">
        <f t="shared" si="955"/>
        <v>0.21868319794784097</v>
      </c>
      <c r="AR1969" s="7" t="s">
        <v>17439</v>
      </c>
      <c r="AS1969" s="6" t="str">
        <f t="shared" si="939"/>
        <v>=4678*10000</v>
      </c>
      <c r="AT1969" s="1">
        <f>4678*10000</f>
        <v>46780000</v>
      </c>
      <c r="AU1969" s="8">
        <f t="shared" si="956"/>
        <v>8.0120064650196263E-2</v>
      </c>
      <c r="AV1969" s="7" t="s">
        <v>17440</v>
      </c>
      <c r="AW1969" s="6" t="str">
        <f t="shared" si="940"/>
        <v>=4331*10000</v>
      </c>
      <c r="AX1969" s="1">
        <f>4331*10000</f>
        <v>43310000</v>
      </c>
      <c r="AY1969" s="10">
        <f t="shared" si="957"/>
        <v>-0.59786443825441038</v>
      </c>
      <c r="AZ1969" s="6" t="s">
        <v>9948</v>
      </c>
      <c r="BA1969" s="6" t="str">
        <f t="shared" si="941"/>
        <v>=1.077*100000000</v>
      </c>
      <c r="BB1969" s="1">
        <f>1.077*100000000</f>
        <v>107700000</v>
      </c>
      <c r="BC1969" s="8">
        <f t="shared" si="958"/>
        <v>0.79500000000000004</v>
      </c>
      <c r="BD1969" s="7" t="s">
        <v>17441</v>
      </c>
      <c r="BE1969" s="6" t="str">
        <f t="shared" si="942"/>
        <v>=6000*10000</v>
      </c>
      <c r="BF1969" s="1">
        <f>6000*10000</f>
        <v>60000000</v>
      </c>
      <c r="BG1969" s="8">
        <f t="shared" si="959"/>
        <v>0.11028867505551443</v>
      </c>
      <c r="BH1969" s="7" t="s">
        <v>16855</v>
      </c>
      <c r="BI1969" s="6" t="str">
        <f t="shared" si="943"/>
        <v>=5404*10000</v>
      </c>
      <c r="BJ1969" s="1">
        <f>5404*10000</f>
        <v>54040000</v>
      </c>
      <c r="BK1969" s="7" t="s">
        <v>17434</v>
      </c>
      <c r="BL1969" s="1" t="str">
        <f t="shared" si="945"/>
        <v>=3617*10000</v>
      </c>
      <c r="BM1969" s="16">
        <f t="shared" si="960"/>
        <v>0.4940558473873376</v>
      </c>
      <c r="BN1969" s="1">
        <f>3617*10000</f>
        <v>36170000</v>
      </c>
    </row>
    <row r="1970" spans="1:66">
      <c r="A1970" s="17">
        <v>494</v>
      </c>
      <c r="B1970">
        <v>603897</v>
      </c>
      <c r="C1970" t="s">
        <v>31</v>
      </c>
      <c r="D1970" s="6" t="s">
        <v>8562</v>
      </c>
      <c r="E1970" s="7" t="str">
        <f t="shared" si="944"/>
        <v>=107.3*100000000</v>
      </c>
      <c r="F1970" s="1">
        <f>107.3*100000000</f>
        <v>10730000000</v>
      </c>
      <c r="G1970" s="8">
        <f t="shared" si="946"/>
        <v>0.33924113829256114</v>
      </c>
      <c r="H1970" s="6" t="s">
        <v>17442</v>
      </c>
      <c r="I1970" s="6" t="str">
        <f t="shared" si="930"/>
        <v>=80.12*100000000</v>
      </c>
      <c r="J1970" s="1">
        <f>80.12*100000000</f>
        <v>8012000000</v>
      </c>
      <c r="K1970" s="10">
        <f t="shared" si="947"/>
        <v>0.58183613030602177</v>
      </c>
      <c r="L1970" s="6" t="s">
        <v>14321</v>
      </c>
      <c r="M1970" s="6" t="str">
        <f t="shared" si="931"/>
        <v>=50.65*100000000</v>
      </c>
      <c r="N1970" s="1">
        <f>50.65*100000000</f>
        <v>5065000000</v>
      </c>
      <c r="O1970" s="8">
        <f t="shared" si="948"/>
        <v>1.3547187354718735</v>
      </c>
      <c r="P1970" s="6" t="s">
        <v>8362</v>
      </c>
      <c r="Q1970" s="6" t="str">
        <f t="shared" si="932"/>
        <v>=21.51*100000000</v>
      </c>
      <c r="R1970" s="11">
        <f>21.51*100000000</f>
        <v>2151000000</v>
      </c>
      <c r="S1970" s="8">
        <f t="shared" si="949"/>
        <v>-0.65710186513629842</v>
      </c>
      <c r="T1970" s="6" t="s">
        <v>17443</v>
      </c>
      <c r="U1970" s="6" t="str">
        <f t="shared" si="933"/>
        <v>=62.73*100000000</v>
      </c>
      <c r="V1970" s="1">
        <f>62.73*100000000</f>
        <v>6273000000</v>
      </c>
      <c r="W1970" s="8">
        <f t="shared" si="950"/>
        <v>0.51485148514851498</v>
      </c>
      <c r="X1970" s="6" t="s">
        <v>5760</v>
      </c>
      <c r="Y1970" s="6" t="str">
        <f t="shared" si="934"/>
        <v>=41.41*100000000</v>
      </c>
      <c r="Z1970" s="1">
        <f>41.41*100000000</f>
        <v>4140999999.9999995</v>
      </c>
      <c r="AA1970" s="8">
        <f t="shared" si="951"/>
        <v>0.85362578334825401</v>
      </c>
      <c r="AB1970" s="6" t="s">
        <v>6173</v>
      </c>
      <c r="AC1970" s="6" t="str">
        <f t="shared" si="935"/>
        <v>=22.34*100000000</v>
      </c>
      <c r="AD1970" s="1">
        <f>22.34*100000000</f>
        <v>2234000000</v>
      </c>
      <c r="AE1970" s="8">
        <f t="shared" si="952"/>
        <v>1.4256243213897934</v>
      </c>
      <c r="AF1970" s="6" t="s">
        <v>8780</v>
      </c>
      <c r="AG1970" s="6" t="str">
        <f t="shared" si="936"/>
        <v>=9.210*100000000</v>
      </c>
      <c r="AH1970" s="1">
        <f>9.21*100000000</f>
        <v>921000000.00000012</v>
      </c>
      <c r="AI1970" s="8">
        <f t="shared" si="953"/>
        <v>-0.81472540736270371</v>
      </c>
      <c r="AJ1970" s="6" t="s">
        <v>17444</v>
      </c>
      <c r="AK1970" s="6" t="str">
        <f t="shared" si="937"/>
        <v>=49.71*100000000</v>
      </c>
      <c r="AL1970" s="1">
        <f>49.71*100000000</f>
        <v>4971000000</v>
      </c>
      <c r="AM1970" s="8">
        <f t="shared" si="954"/>
        <v>0.38313856427378967</v>
      </c>
      <c r="AN1970" s="6" t="s">
        <v>6204</v>
      </c>
      <c r="AO1970" s="6" t="str">
        <f t="shared" si="938"/>
        <v>=35.94*100000000</v>
      </c>
      <c r="AP1970" s="1">
        <f>35.94*100000000</f>
        <v>3594000000</v>
      </c>
      <c r="AQ1970" s="8">
        <f t="shared" si="955"/>
        <v>0.50250836120401343</v>
      </c>
      <c r="AR1970" s="6" t="s">
        <v>5885</v>
      </c>
      <c r="AS1970" s="6" t="str">
        <f t="shared" si="939"/>
        <v>=23.92*100000000</v>
      </c>
      <c r="AT1970" s="1">
        <f>23.92*100000000</f>
        <v>2392000000</v>
      </c>
      <c r="AU1970" s="8">
        <f t="shared" si="956"/>
        <v>1.081810269799826</v>
      </c>
      <c r="AV1970" s="6" t="s">
        <v>5631</v>
      </c>
      <c r="AW1970" s="6" t="str">
        <f t="shared" si="940"/>
        <v>=11.49*100000000</v>
      </c>
      <c r="AX1970" s="1">
        <f>11.49*100000000</f>
        <v>1149000000</v>
      </c>
      <c r="AY1970" s="10">
        <f t="shared" si="957"/>
        <v>-0.76923076923076927</v>
      </c>
      <c r="AZ1970" s="6" t="s">
        <v>17445</v>
      </c>
      <c r="BA1970" s="6" t="str">
        <f t="shared" si="941"/>
        <v>=49.79*100000000</v>
      </c>
      <c r="BB1970" s="1">
        <f>49.79*100000000</f>
        <v>4979000000</v>
      </c>
      <c r="BC1970" s="8">
        <f t="shared" si="958"/>
        <v>0.32879637042967708</v>
      </c>
      <c r="BD1970" s="6" t="s">
        <v>5396</v>
      </c>
      <c r="BE1970" s="6" t="str">
        <f t="shared" si="942"/>
        <v>=37.47*100000000</v>
      </c>
      <c r="BF1970" s="1">
        <f>37.47*100000000</f>
        <v>3747000000</v>
      </c>
      <c r="BG1970" s="8">
        <f t="shared" si="959"/>
        <v>0.51332794830371564</v>
      </c>
      <c r="BH1970" s="6" t="s">
        <v>17446</v>
      </c>
      <c r="BI1970" s="6" t="str">
        <f t="shared" si="943"/>
        <v>=24.76*100000000</v>
      </c>
      <c r="BJ1970" s="1">
        <f>24.76*100000000</f>
        <v>2476000000</v>
      </c>
      <c r="BK1970" s="6" t="s">
        <v>6952</v>
      </c>
      <c r="BL1970" s="1" t="str">
        <f t="shared" si="945"/>
        <v>=11.14*100000000</v>
      </c>
      <c r="BM1970" s="16">
        <f t="shared" si="960"/>
        <v>1.2226211849192101</v>
      </c>
      <c r="BN1970" s="1">
        <f>11.14*100000000</f>
        <v>1114000000</v>
      </c>
    </row>
    <row r="1971" spans="1:66">
      <c r="A1971" s="18"/>
      <c r="B1971">
        <v>603897</v>
      </c>
      <c r="C1971" t="s">
        <v>48</v>
      </c>
      <c r="D1971" s="6" t="s">
        <v>8932</v>
      </c>
      <c r="E1971" s="7" t="str">
        <f t="shared" si="944"/>
        <v>=3.976*100000000</v>
      </c>
      <c r="F1971" s="1">
        <f>3.976*100000000</f>
        <v>397600000</v>
      </c>
      <c r="G1971" s="8">
        <f t="shared" si="946"/>
        <v>0.18227772821885221</v>
      </c>
      <c r="H1971" s="6" t="s">
        <v>17447</v>
      </c>
      <c r="I1971" s="6" t="str">
        <f t="shared" si="930"/>
        <v>=3.363*100000000</v>
      </c>
      <c r="J1971" s="1">
        <f>3.363*100000000</f>
        <v>336300000</v>
      </c>
      <c r="K1971" s="10">
        <f t="shared" si="947"/>
        <v>0.34681617941529835</v>
      </c>
      <c r="L1971" s="6" t="s">
        <v>8528</v>
      </c>
      <c r="M1971" s="6" t="str">
        <f t="shared" si="931"/>
        <v>=2.497*100000000</v>
      </c>
      <c r="N1971" s="1">
        <f>2.497*100000000</f>
        <v>249700000</v>
      </c>
      <c r="O1971" s="8">
        <f t="shared" si="948"/>
        <v>1.5964437974420298</v>
      </c>
      <c r="P1971" s="7" t="s">
        <v>16838</v>
      </c>
      <c r="Q1971" s="6" t="str">
        <f t="shared" si="932"/>
        <v>=9617*10000</v>
      </c>
      <c r="R1971" s="11">
        <f>9617*10000</f>
        <v>96170000</v>
      </c>
      <c r="S1971" s="8">
        <f t="shared" si="949"/>
        <v>-0.54421800947867294</v>
      </c>
      <c r="T1971" s="6" t="s">
        <v>17448</v>
      </c>
      <c r="U1971" s="6" t="str">
        <f t="shared" si="933"/>
        <v>=2.110*100000000</v>
      </c>
      <c r="V1971" s="1">
        <f>2.11*100000000</f>
        <v>211000000</v>
      </c>
      <c r="W1971" s="8">
        <f t="shared" si="950"/>
        <v>0.44917582417582419</v>
      </c>
      <c r="X1971" s="6" t="s">
        <v>3879</v>
      </c>
      <c r="Y1971" s="6" t="str">
        <f t="shared" si="934"/>
        <v>=1.456*100000000</v>
      </c>
      <c r="Z1971" s="1">
        <f>1.456*100000000</f>
        <v>145600000</v>
      </c>
      <c r="AA1971" s="8">
        <f t="shared" si="951"/>
        <v>0.68538025234402133</v>
      </c>
      <c r="AB1971" s="7" t="s">
        <v>17449</v>
      </c>
      <c r="AC1971" s="6" t="str">
        <f t="shared" si="935"/>
        <v>=8639*10000</v>
      </c>
      <c r="AD1971" s="1">
        <f>8639*10000</f>
        <v>86390000</v>
      </c>
      <c r="AE1971" s="8">
        <f t="shared" si="952"/>
        <v>0.86105127100387768</v>
      </c>
      <c r="AF1971" s="7" t="s">
        <v>16316</v>
      </c>
      <c r="AG1971" s="6" t="str">
        <f t="shared" si="936"/>
        <v>=4642*10000</v>
      </c>
      <c r="AH1971" s="1">
        <f>4642*10000</f>
        <v>46420000</v>
      </c>
      <c r="AI1971" s="8">
        <f t="shared" si="953"/>
        <v>-0.74716775599128538</v>
      </c>
      <c r="AJ1971" s="6" t="s">
        <v>2297</v>
      </c>
      <c r="AK1971" s="6" t="str">
        <f t="shared" si="937"/>
        <v>=1.836*100000000</v>
      </c>
      <c r="AL1971" s="1">
        <f>1.836*100000000</f>
        <v>183600000</v>
      </c>
      <c r="AM1971" s="8">
        <f t="shared" si="954"/>
        <v>0.33527272727272728</v>
      </c>
      <c r="AN1971" s="6" t="s">
        <v>4981</v>
      </c>
      <c r="AO1971" s="6" t="str">
        <f t="shared" si="938"/>
        <v>=1.375*100000000</v>
      </c>
      <c r="AP1971" s="1">
        <f>1.375*100000000</f>
        <v>137500000</v>
      </c>
      <c r="AQ1971" s="8">
        <f t="shared" si="955"/>
        <v>0.60051216389244555</v>
      </c>
      <c r="AR1971" s="7" t="s">
        <v>7897</v>
      </c>
      <c r="AS1971" s="6" t="str">
        <f t="shared" si="939"/>
        <v>=8591*10000</v>
      </c>
      <c r="AT1971" s="1">
        <f>8591*10000</f>
        <v>85910000</v>
      </c>
      <c r="AU1971" s="8">
        <f t="shared" si="956"/>
        <v>0.97767034990791901</v>
      </c>
      <c r="AV1971" s="7" t="s">
        <v>17422</v>
      </c>
      <c r="AW1971" s="6" t="str">
        <f t="shared" si="940"/>
        <v>=4344*10000</v>
      </c>
      <c r="AX1971" s="1">
        <f>4344*10000</f>
        <v>43440000</v>
      </c>
      <c r="AY1971" s="10">
        <f t="shared" si="957"/>
        <v>-0.7879941434846266</v>
      </c>
      <c r="AZ1971" s="6" t="s">
        <v>2882</v>
      </c>
      <c r="BA1971" s="6" t="str">
        <f t="shared" si="941"/>
        <v>=2.049*100000000</v>
      </c>
      <c r="BB1971" s="1">
        <f>2.049*100000000</f>
        <v>204900000</v>
      </c>
      <c r="BC1971" s="8">
        <f t="shared" si="958"/>
        <v>0.29111531190926276</v>
      </c>
      <c r="BD1971" s="6" t="s">
        <v>1449</v>
      </c>
      <c r="BE1971" s="6" t="str">
        <f t="shared" si="942"/>
        <v>=1.587*100000000</v>
      </c>
      <c r="BF1971" s="1">
        <f>1.587*100000000</f>
        <v>158700000</v>
      </c>
      <c r="BG1971" s="8">
        <f t="shared" si="959"/>
        <v>0.65209244222361029</v>
      </c>
      <c r="BH1971" s="7" t="s">
        <v>15424</v>
      </c>
      <c r="BI1971" s="6" t="str">
        <f t="shared" si="943"/>
        <v>=9606*10000</v>
      </c>
      <c r="BJ1971" s="1">
        <f>9606*10000</f>
        <v>96060000</v>
      </c>
      <c r="BK1971" s="7" t="s">
        <v>11430</v>
      </c>
      <c r="BL1971" s="1" t="str">
        <f t="shared" si="945"/>
        <v>=4450*10000</v>
      </c>
      <c r="BM1971" s="16">
        <f t="shared" si="960"/>
        <v>1.1586516853932585</v>
      </c>
      <c r="BN1971" s="1">
        <f>4450*10000</f>
        <v>44500000</v>
      </c>
    </row>
    <row r="1972" spans="1:66">
      <c r="A1972" s="18"/>
      <c r="B1972">
        <v>603897</v>
      </c>
      <c r="C1972" t="s">
        <v>58</v>
      </c>
      <c r="D1972" s="6" t="s">
        <v>17450</v>
      </c>
      <c r="E1972" s="7" t="str">
        <f t="shared" si="944"/>
        <v>=3.956*100000000</v>
      </c>
      <c r="F1972" s="1">
        <f>3.956*100000000</f>
        <v>395600000</v>
      </c>
      <c r="G1972" s="8">
        <f t="shared" si="946"/>
        <v>0.17808219178082191</v>
      </c>
      <c r="H1972" s="6" t="s">
        <v>17451</v>
      </c>
      <c r="I1972" s="6" t="str">
        <f t="shared" si="930"/>
        <v>=3.358*100000000</v>
      </c>
      <c r="J1972" s="1">
        <f>3.358*100000000</f>
        <v>335800000</v>
      </c>
      <c r="K1972" s="10">
        <f t="shared" si="947"/>
        <v>0.3475120385232745</v>
      </c>
      <c r="L1972" s="6" t="s">
        <v>15485</v>
      </c>
      <c r="M1972" s="6" t="str">
        <f t="shared" si="931"/>
        <v>=2.492*100000000</v>
      </c>
      <c r="N1972" s="1">
        <f>2.492*100000000</f>
        <v>249200000</v>
      </c>
      <c r="O1972" s="8">
        <f t="shared" si="948"/>
        <v>1.5912446708952896</v>
      </c>
      <c r="P1972" s="7" t="s">
        <v>16838</v>
      </c>
      <c r="Q1972" s="6" t="str">
        <f t="shared" si="932"/>
        <v>=9617*10000</v>
      </c>
      <c r="R1972" s="11">
        <f>9617*10000</f>
        <v>96170000</v>
      </c>
      <c r="S1972" s="8">
        <f t="shared" si="949"/>
        <v>-0.53897411313518695</v>
      </c>
      <c r="T1972" s="6" t="s">
        <v>3665</v>
      </c>
      <c r="U1972" s="6" t="str">
        <f t="shared" si="933"/>
        <v>=2.086*100000000</v>
      </c>
      <c r="V1972" s="1">
        <f>2.086*100000000</f>
        <v>208600000</v>
      </c>
      <c r="W1972" s="8">
        <f t="shared" si="950"/>
        <v>0.43269230769230771</v>
      </c>
      <c r="X1972" s="6" t="s">
        <v>3879</v>
      </c>
      <c r="Y1972" s="6" t="str">
        <f t="shared" si="934"/>
        <v>=1.456*100000000</v>
      </c>
      <c r="Z1972" s="1">
        <f>1.456*100000000</f>
        <v>145600000</v>
      </c>
      <c r="AA1972" s="8">
        <f t="shared" si="951"/>
        <v>0.68577052217205048</v>
      </c>
      <c r="AB1972" s="7" t="s">
        <v>7688</v>
      </c>
      <c r="AC1972" s="6" t="str">
        <f t="shared" si="935"/>
        <v>=8637*10000</v>
      </c>
      <c r="AD1972" s="1">
        <f>8637*10000</f>
        <v>86370000</v>
      </c>
      <c r="AE1972" s="8">
        <f t="shared" si="952"/>
        <v>0.86062042223179669</v>
      </c>
      <c r="AF1972" s="7" t="s">
        <v>16316</v>
      </c>
      <c r="AG1972" s="6" t="str">
        <f t="shared" si="936"/>
        <v>=4642*10000</v>
      </c>
      <c r="AH1972" s="1">
        <f>4642*10000</f>
        <v>46420000</v>
      </c>
      <c r="AI1972" s="8">
        <f t="shared" si="953"/>
        <v>-0.74633879781420764</v>
      </c>
      <c r="AJ1972" s="6" t="s">
        <v>6963</v>
      </c>
      <c r="AK1972" s="6" t="str">
        <f t="shared" si="937"/>
        <v>=1.830*100000000</v>
      </c>
      <c r="AL1972" s="1">
        <f>1.83*100000000</f>
        <v>183000000</v>
      </c>
      <c r="AM1972" s="8">
        <f t="shared" si="954"/>
        <v>0.33090909090909093</v>
      </c>
      <c r="AN1972" s="6" t="s">
        <v>4981</v>
      </c>
      <c r="AO1972" s="6" t="str">
        <f t="shared" si="938"/>
        <v>=1.375*100000000</v>
      </c>
      <c r="AP1972" s="1">
        <f>1.375*100000000</f>
        <v>137500000</v>
      </c>
      <c r="AQ1972" s="8">
        <f t="shared" si="955"/>
        <v>0.60051216389244555</v>
      </c>
      <c r="AR1972" s="7" t="s">
        <v>7897</v>
      </c>
      <c r="AS1972" s="6" t="str">
        <f t="shared" si="939"/>
        <v>=8591*10000</v>
      </c>
      <c r="AT1972" s="1">
        <f>8591*10000</f>
        <v>85910000</v>
      </c>
      <c r="AU1972" s="8">
        <f t="shared" si="956"/>
        <v>0.97767034990791901</v>
      </c>
      <c r="AV1972" s="7" t="s">
        <v>17422</v>
      </c>
      <c r="AW1972" s="6" t="str">
        <f t="shared" si="940"/>
        <v>=4344*10000</v>
      </c>
      <c r="AX1972" s="1">
        <f>4344*10000</f>
        <v>43440000</v>
      </c>
      <c r="AY1972" s="10">
        <f t="shared" si="957"/>
        <v>-0.80009203865623557</v>
      </c>
      <c r="AZ1972" s="6" t="s">
        <v>12529</v>
      </c>
      <c r="BA1972" s="6" t="str">
        <f t="shared" si="941"/>
        <v>=2.173*100000000</v>
      </c>
      <c r="BB1972" s="1">
        <f>2.173*100000000</f>
        <v>217300000</v>
      </c>
      <c r="BC1972" s="8">
        <f t="shared" si="958"/>
        <v>0.27001753360607833</v>
      </c>
      <c r="BD1972" s="6" t="s">
        <v>5705</v>
      </c>
      <c r="BE1972" s="6" t="str">
        <f t="shared" si="942"/>
        <v>=1.711*100000000</v>
      </c>
      <c r="BF1972" s="1">
        <f>1.711*100000000</f>
        <v>171100000</v>
      </c>
      <c r="BG1972" s="8">
        <f t="shared" si="959"/>
        <v>0.60657276995305165</v>
      </c>
      <c r="BH1972" s="6" t="s">
        <v>7680</v>
      </c>
      <c r="BI1972" s="6" t="str">
        <f t="shared" si="943"/>
        <v>=1.065*100000000</v>
      </c>
      <c r="BJ1972" s="1">
        <f>1.065*100000000</f>
        <v>106500000</v>
      </c>
      <c r="BK1972" s="7" t="s">
        <v>17452</v>
      </c>
      <c r="BL1972" s="1" t="str">
        <f t="shared" si="945"/>
        <v>=5292*10000</v>
      </c>
      <c r="BM1972" s="16">
        <f t="shared" si="960"/>
        <v>1.0124716553287982</v>
      </c>
      <c r="BN1972" s="1">
        <f>5292*10000</f>
        <v>52920000</v>
      </c>
    </row>
    <row r="1973" spans="1:66">
      <c r="A1973" s="19"/>
      <c r="B1973">
        <v>603897</v>
      </c>
      <c r="C1973" t="s">
        <v>68</v>
      </c>
      <c r="D1973" s="6" t="s">
        <v>17453</v>
      </c>
      <c r="E1973" s="7" t="str">
        <f t="shared" si="944"/>
        <v>=3.411*100000000</v>
      </c>
      <c r="F1973" s="1">
        <f>3.411*100000000</f>
        <v>341100000</v>
      </c>
      <c r="G1973" s="8">
        <f t="shared" si="946"/>
        <v>0.15666327568667346</v>
      </c>
      <c r="H1973" s="6" t="s">
        <v>130</v>
      </c>
      <c r="I1973" s="6" t="str">
        <f t="shared" si="930"/>
        <v>=2.949*100000000</v>
      </c>
      <c r="J1973" s="1">
        <f>2.949*100000000</f>
        <v>294900000</v>
      </c>
      <c r="K1973" s="10">
        <f t="shared" si="947"/>
        <v>0.40294957183634633</v>
      </c>
      <c r="L1973" s="6" t="s">
        <v>8605</v>
      </c>
      <c r="M1973" s="6" t="str">
        <f t="shared" si="931"/>
        <v>=2.102*100000000</v>
      </c>
      <c r="N1973" s="1">
        <f>2.102*100000000</f>
        <v>210200000</v>
      </c>
      <c r="O1973" s="8">
        <f t="shared" si="948"/>
        <v>1.6893551688843398</v>
      </c>
      <c r="P1973" s="7" t="s">
        <v>16778</v>
      </c>
      <c r="Q1973" s="6" t="str">
        <f t="shared" si="932"/>
        <v>=7816*10000</v>
      </c>
      <c r="R1973" s="11">
        <f>7816*10000</f>
        <v>78160000</v>
      </c>
      <c r="S1973" s="8">
        <f t="shared" si="949"/>
        <v>-0.55132032146957521</v>
      </c>
      <c r="T1973" s="6" t="s">
        <v>246</v>
      </c>
      <c r="U1973" s="6" t="str">
        <f t="shared" si="933"/>
        <v>=1.742*100000000</v>
      </c>
      <c r="V1973" s="1">
        <f>1.742*100000000</f>
        <v>174200000</v>
      </c>
      <c r="W1973" s="8">
        <f t="shared" si="950"/>
        <v>0.38583929992044569</v>
      </c>
      <c r="X1973" s="6" t="s">
        <v>6033</v>
      </c>
      <c r="Y1973" s="6" t="str">
        <f t="shared" si="934"/>
        <v>=1.257*100000000</v>
      </c>
      <c r="Z1973" s="1">
        <f>1.257*100000000</f>
        <v>125699999.99999999</v>
      </c>
      <c r="AA1973" s="8">
        <f t="shared" si="951"/>
        <v>0.6722096581082877</v>
      </c>
      <c r="AB1973" s="7" t="s">
        <v>3846</v>
      </c>
      <c r="AC1973" s="6" t="str">
        <f t="shared" si="935"/>
        <v>=7517*10000</v>
      </c>
      <c r="AD1973" s="1">
        <f>7517*10000</f>
        <v>75170000</v>
      </c>
      <c r="AE1973" s="8">
        <f t="shared" si="952"/>
        <v>0.90448441854573092</v>
      </c>
      <c r="AF1973" s="7" t="s">
        <v>17454</v>
      </c>
      <c r="AG1973" s="6" t="str">
        <f t="shared" si="936"/>
        <v>=3947*10000</v>
      </c>
      <c r="AH1973" s="1">
        <f>3947*10000</f>
        <v>39470000</v>
      </c>
      <c r="AI1973" s="8">
        <f t="shared" si="953"/>
        <v>-0.74666238767650839</v>
      </c>
      <c r="AJ1973" s="6" t="s">
        <v>17059</v>
      </c>
      <c r="AK1973" s="6" t="str">
        <f t="shared" si="937"/>
        <v>=1.558*100000000</v>
      </c>
      <c r="AL1973" s="1">
        <f>1.558*100000000</f>
        <v>155800000</v>
      </c>
      <c r="AM1973" s="8">
        <f t="shared" si="954"/>
        <v>0.33276304533789564</v>
      </c>
      <c r="AN1973" s="6" t="s">
        <v>5179</v>
      </c>
      <c r="AO1973" s="6" t="str">
        <f t="shared" si="938"/>
        <v>=1.169*100000000</v>
      </c>
      <c r="AP1973" s="1">
        <f>1.169*100000000</f>
        <v>116900000</v>
      </c>
      <c r="AQ1973" s="8">
        <f t="shared" si="955"/>
        <v>0.58336719490721933</v>
      </c>
      <c r="AR1973" s="7" t="s">
        <v>9658</v>
      </c>
      <c r="AS1973" s="6" t="str">
        <f t="shared" si="939"/>
        <v>=7383*10000</v>
      </c>
      <c r="AT1973" s="1">
        <f>7383*10000</f>
        <v>73830000</v>
      </c>
      <c r="AU1973" s="8">
        <f t="shared" si="956"/>
        <v>1.0361279646993933</v>
      </c>
      <c r="AV1973" s="7" t="s">
        <v>17455</v>
      </c>
      <c r="AW1973" s="6" t="str">
        <f t="shared" si="940"/>
        <v>=3626*10000</v>
      </c>
      <c r="AX1973" s="1">
        <f>3626*10000</f>
        <v>36260000</v>
      </c>
      <c r="AY1973" s="10">
        <f t="shared" si="957"/>
        <v>-0.79944690265486729</v>
      </c>
      <c r="AZ1973" s="6" t="s">
        <v>13523</v>
      </c>
      <c r="BA1973" s="6" t="str">
        <f t="shared" si="941"/>
        <v>=1.808*100000000</v>
      </c>
      <c r="BB1973" s="1">
        <f>1.808*100000000</f>
        <v>180800000</v>
      </c>
      <c r="BC1973" s="8">
        <f t="shared" si="958"/>
        <v>0.27234342012667134</v>
      </c>
      <c r="BD1973" s="6" t="s">
        <v>8493</v>
      </c>
      <c r="BE1973" s="6" t="str">
        <f t="shared" si="942"/>
        <v>=1.421*100000000</v>
      </c>
      <c r="BF1973" s="1">
        <f>1.421*100000000</f>
        <v>142100000</v>
      </c>
      <c r="BG1973" s="8">
        <f t="shared" si="959"/>
        <v>0.66082281439925195</v>
      </c>
      <c r="BH1973" s="7" t="s">
        <v>17456</v>
      </c>
      <c r="BI1973" s="6" t="str">
        <f t="shared" si="943"/>
        <v>=8556*10000</v>
      </c>
      <c r="BJ1973" s="1">
        <f>8556*10000</f>
        <v>85560000</v>
      </c>
      <c r="BK1973" s="7" t="s">
        <v>17457</v>
      </c>
      <c r="BL1973" s="1" t="str">
        <f t="shared" si="945"/>
        <v>=4178*10000</v>
      </c>
      <c r="BM1973" s="16">
        <f t="shared" si="960"/>
        <v>1.0478697941598851</v>
      </c>
      <c r="BN1973" s="1">
        <f>4178*10000</f>
        <v>41780000</v>
      </c>
    </row>
    <row r="1974" spans="1:66">
      <c r="A1974" s="17">
        <v>495</v>
      </c>
      <c r="B1974">
        <v>603899</v>
      </c>
      <c r="C1974" t="s">
        <v>31</v>
      </c>
      <c r="D1974" s="6" t="s">
        <v>17458</v>
      </c>
      <c r="E1974" s="7" t="str">
        <f t="shared" si="944"/>
        <v>=176.1*100000000</v>
      </c>
      <c r="F1974" s="1">
        <f>176.1*100000000</f>
        <v>17610000000</v>
      </c>
      <c r="G1974" s="8">
        <f t="shared" si="946"/>
        <v>0.44938271604938274</v>
      </c>
      <c r="H1974" s="6" t="s">
        <v>2507</v>
      </c>
      <c r="I1974" s="6" t="str">
        <f t="shared" si="930"/>
        <v>=121.5*100000000</v>
      </c>
      <c r="J1974" s="1">
        <f>121.5*100000000</f>
        <v>12150000000</v>
      </c>
      <c r="K1974" s="10">
        <f t="shared" si="947"/>
        <v>0.58079625292740045</v>
      </c>
      <c r="L1974" s="6" t="s">
        <v>17459</v>
      </c>
      <c r="M1974" s="6" t="str">
        <f t="shared" si="931"/>
        <v>=76.86*100000000</v>
      </c>
      <c r="N1974" s="1">
        <f>76.86*100000000</f>
        <v>7686000000</v>
      </c>
      <c r="O1974" s="8">
        <f t="shared" si="948"/>
        <v>1.0162644281217212</v>
      </c>
      <c r="P1974" s="6" t="s">
        <v>5409</v>
      </c>
      <c r="Q1974" s="6" t="str">
        <f t="shared" si="932"/>
        <v>=38.12*100000000</v>
      </c>
      <c r="R1974" s="11">
        <f>38.12*100000000</f>
        <v>3811999999.9999995</v>
      </c>
      <c r="S1974" s="8">
        <f t="shared" si="949"/>
        <v>-0.70989345509893453</v>
      </c>
      <c r="T1974" s="6" t="s">
        <v>4694</v>
      </c>
      <c r="U1974" s="6" t="str">
        <f t="shared" si="933"/>
        <v>=131.4*100000000</v>
      </c>
      <c r="V1974" s="1">
        <f>131.4*100000000</f>
        <v>13140000000</v>
      </c>
      <c r="W1974" s="8">
        <f t="shared" si="950"/>
        <v>0.53900210822206607</v>
      </c>
      <c r="X1974" s="6" t="s">
        <v>17460</v>
      </c>
      <c r="Y1974" s="6" t="str">
        <f t="shared" si="934"/>
        <v>=85.38*100000000</v>
      </c>
      <c r="Z1974" s="1">
        <f>85.38*100000000</f>
        <v>8538000000</v>
      </c>
      <c r="AA1974" s="8">
        <f t="shared" si="951"/>
        <v>0.79332073093887834</v>
      </c>
      <c r="AB1974" s="6" t="s">
        <v>17461</v>
      </c>
      <c r="AC1974" s="6" t="str">
        <f t="shared" si="935"/>
        <v>=47.61*100000000</v>
      </c>
      <c r="AD1974" s="1">
        <f>47.61*100000000</f>
        <v>4761000000</v>
      </c>
      <c r="AE1974" s="8">
        <f t="shared" si="952"/>
        <v>1.284548944337812</v>
      </c>
      <c r="AF1974" s="6" t="s">
        <v>9230</v>
      </c>
      <c r="AG1974" s="6" t="str">
        <f t="shared" si="936"/>
        <v>=20.84*100000000</v>
      </c>
      <c r="AH1974" s="1">
        <f>20.84*100000000</f>
        <v>2084000000</v>
      </c>
      <c r="AI1974" s="8">
        <f t="shared" si="953"/>
        <v>-0.81292639138240574</v>
      </c>
      <c r="AJ1974" s="6" t="s">
        <v>3241</v>
      </c>
      <c r="AK1974" s="6" t="str">
        <f t="shared" si="937"/>
        <v>=111.4*100000000</v>
      </c>
      <c r="AL1974" s="1">
        <f>111.4*100000000</f>
        <v>11140000000</v>
      </c>
      <c r="AM1974" s="8">
        <f t="shared" si="954"/>
        <v>0.40178683780042784</v>
      </c>
      <c r="AN1974" s="6" t="s">
        <v>17462</v>
      </c>
      <c r="AO1974" s="6" t="str">
        <f t="shared" si="938"/>
        <v>=79.47*100000000</v>
      </c>
      <c r="AP1974" s="1">
        <f>79.47*100000000</f>
        <v>7947000000</v>
      </c>
      <c r="AQ1974" s="8">
        <f t="shared" si="955"/>
        <v>0.64228146311221324</v>
      </c>
      <c r="AR1974" s="6" t="s">
        <v>1492</v>
      </c>
      <c r="AS1974" s="6" t="str">
        <f t="shared" si="939"/>
        <v>=48.39*100000000</v>
      </c>
      <c r="AT1974" s="1">
        <f>48.39*100000000</f>
        <v>4839000000</v>
      </c>
      <c r="AU1974" s="8">
        <f t="shared" si="956"/>
        <v>1.053904923599321</v>
      </c>
      <c r="AV1974" s="6" t="s">
        <v>5418</v>
      </c>
      <c r="AW1974" s="6" t="str">
        <f t="shared" si="940"/>
        <v>=23.56*100000000</v>
      </c>
      <c r="AX1974" s="1">
        <f>23.56*100000000</f>
        <v>2356000000</v>
      </c>
      <c r="AY1974" s="10">
        <f t="shared" si="957"/>
        <v>-0.72396016403046282</v>
      </c>
      <c r="AZ1974" s="6" t="s">
        <v>17463</v>
      </c>
      <c r="BA1974" s="6" t="str">
        <f t="shared" si="941"/>
        <v>=85.35*100000000</v>
      </c>
      <c r="BB1974" s="1">
        <f>85.35*100000000</f>
        <v>8534999999.999999</v>
      </c>
      <c r="BC1974" s="8">
        <f t="shared" si="958"/>
        <v>0.3936969301110384</v>
      </c>
      <c r="BD1974" s="6" t="s">
        <v>17464</v>
      </c>
      <c r="BE1974" s="6" t="str">
        <f t="shared" si="942"/>
        <v>=61.24*100000000</v>
      </c>
      <c r="BF1974" s="1">
        <f>61.24*100000000</f>
        <v>6124000000</v>
      </c>
      <c r="BG1974" s="8">
        <f t="shared" si="959"/>
        <v>0.6171111697913918</v>
      </c>
      <c r="BH1974" s="6" t="s">
        <v>17465</v>
      </c>
      <c r="BI1974" s="6" t="str">
        <f t="shared" si="943"/>
        <v>=37.87*100000000</v>
      </c>
      <c r="BJ1974" s="1">
        <f>37.87*100000000</f>
        <v>3786999999.9999995</v>
      </c>
      <c r="BK1974" s="6" t="s">
        <v>17466</v>
      </c>
      <c r="BL1974" s="1" t="str">
        <f t="shared" si="945"/>
        <v>=18.40*100000000</v>
      </c>
      <c r="BM1974" s="16">
        <f t="shared" si="960"/>
        <v>1.0581521739130435</v>
      </c>
      <c r="BN1974" s="1">
        <f>18.4*100000000</f>
        <v>1839999999.9999998</v>
      </c>
    </row>
    <row r="1975" spans="1:66">
      <c r="A1975" s="18"/>
      <c r="B1975">
        <v>603899</v>
      </c>
      <c r="C1975" t="s">
        <v>48</v>
      </c>
      <c r="D1975" s="6" t="s">
        <v>10697</v>
      </c>
      <c r="E1975" s="7" t="str">
        <f t="shared" si="944"/>
        <v>=17.81*100000000</v>
      </c>
      <c r="F1975" s="1">
        <f>17.81*100000000</f>
        <v>1780999999.9999998</v>
      </c>
      <c r="G1975" s="8">
        <f t="shared" si="946"/>
        <v>0.3533434650455925</v>
      </c>
      <c r="H1975" s="6" t="s">
        <v>9758</v>
      </c>
      <c r="I1975" s="6" t="str">
        <f t="shared" si="930"/>
        <v>=13.16*100000000</v>
      </c>
      <c r="J1975" s="1">
        <f>13.16*100000000</f>
        <v>1316000000</v>
      </c>
      <c r="K1975" s="10">
        <f t="shared" si="947"/>
        <v>0.66413758219524532</v>
      </c>
      <c r="L1975" s="6" t="s">
        <v>17467</v>
      </c>
      <c r="M1975" s="6" t="str">
        <f t="shared" si="931"/>
        <v>=7.908*100000000</v>
      </c>
      <c r="N1975" s="1">
        <f>7.908*100000000</f>
        <v>790800000</v>
      </c>
      <c r="O1975" s="8">
        <f t="shared" si="948"/>
        <v>1.0245775729646698</v>
      </c>
      <c r="P1975" s="6" t="s">
        <v>11535</v>
      </c>
      <c r="Q1975" s="6" t="str">
        <f t="shared" si="932"/>
        <v>=3.906*100000000</v>
      </c>
      <c r="R1975" s="11">
        <f>3.906*100000000</f>
        <v>390600000</v>
      </c>
      <c r="S1975" s="8">
        <f t="shared" si="949"/>
        <v>-0.72278211497515965</v>
      </c>
      <c r="T1975" s="6" t="s">
        <v>5168</v>
      </c>
      <c r="U1975" s="6" t="str">
        <f t="shared" si="933"/>
        <v>=14.09*100000000</v>
      </c>
      <c r="V1975" s="1">
        <f>14.09*100000000</f>
        <v>1409000000</v>
      </c>
      <c r="W1975" s="8">
        <f t="shared" si="950"/>
        <v>0.40059642147117297</v>
      </c>
      <c r="X1975" s="6" t="s">
        <v>17468</v>
      </c>
      <c r="Y1975" s="6" t="str">
        <f t="shared" si="934"/>
        <v>=10.06*100000000</v>
      </c>
      <c r="Z1975" s="1">
        <f>10.06*100000000</f>
        <v>1006000000</v>
      </c>
      <c r="AA1975" s="8">
        <f t="shared" si="951"/>
        <v>1.0572597137014317</v>
      </c>
      <c r="AB1975" s="6" t="s">
        <v>14417</v>
      </c>
      <c r="AC1975" s="6" t="str">
        <f t="shared" si="935"/>
        <v>=4.890*100000000</v>
      </c>
      <c r="AD1975" s="1">
        <f>4.89*100000000</f>
        <v>488999999.99999994</v>
      </c>
      <c r="AE1975" s="8">
        <f t="shared" si="952"/>
        <v>1.0960137162451773</v>
      </c>
      <c r="AF1975" s="6" t="s">
        <v>4831</v>
      </c>
      <c r="AG1975" s="6" t="str">
        <f t="shared" si="936"/>
        <v>=2.333*100000000</v>
      </c>
      <c r="AH1975" s="1">
        <f>2.333*100000000</f>
        <v>233300000.00000003</v>
      </c>
      <c r="AI1975" s="8">
        <f t="shared" si="953"/>
        <v>-0.81816056118472336</v>
      </c>
      <c r="AJ1975" s="6" t="s">
        <v>162</v>
      </c>
      <c r="AK1975" s="6" t="str">
        <f t="shared" si="937"/>
        <v>=12.83*100000000</v>
      </c>
      <c r="AL1975" s="1">
        <f>12.83*100000000</f>
        <v>1283000000</v>
      </c>
      <c r="AM1975" s="8">
        <f t="shared" si="954"/>
        <v>0.3370154230929554</v>
      </c>
      <c r="AN1975" s="6" t="s">
        <v>17469</v>
      </c>
      <c r="AO1975" s="6" t="str">
        <f t="shared" si="938"/>
        <v>=9.596*100000000</v>
      </c>
      <c r="AP1975" s="1">
        <f>9.596*100000000</f>
        <v>959600000</v>
      </c>
      <c r="AQ1975" s="8">
        <f t="shared" si="955"/>
        <v>0.76559337626494939</v>
      </c>
      <c r="AR1975" s="6" t="s">
        <v>1510</v>
      </c>
      <c r="AS1975" s="6" t="str">
        <f t="shared" si="939"/>
        <v>=5.435*100000000</v>
      </c>
      <c r="AT1975" s="1">
        <f>5.435*100000000</f>
        <v>543500000</v>
      </c>
      <c r="AU1975" s="8">
        <f t="shared" si="956"/>
        <v>0.92321302193913657</v>
      </c>
      <c r="AV1975" s="6" t="s">
        <v>15531</v>
      </c>
      <c r="AW1975" s="6" t="str">
        <f t="shared" si="940"/>
        <v>=2.826*100000000</v>
      </c>
      <c r="AX1975" s="1">
        <f>2.826*100000000</f>
        <v>282600000</v>
      </c>
      <c r="AY1975" s="10">
        <f t="shared" si="957"/>
        <v>-0.69765700224671012</v>
      </c>
      <c r="AZ1975" s="6" t="s">
        <v>17470</v>
      </c>
      <c r="BA1975" s="6" t="str">
        <f t="shared" si="941"/>
        <v>=9.347*100000000</v>
      </c>
      <c r="BB1975" s="1">
        <f>9.347*100000000</f>
        <v>934700000</v>
      </c>
      <c r="BC1975" s="8">
        <f t="shared" si="958"/>
        <v>0.33319070032805592</v>
      </c>
      <c r="BD1975" s="6" t="s">
        <v>7802</v>
      </c>
      <c r="BE1975" s="6" t="str">
        <f t="shared" si="942"/>
        <v>=7.011*100000000</v>
      </c>
      <c r="BF1975" s="1">
        <f>7.011*100000000</f>
        <v>701100000</v>
      </c>
      <c r="BG1975" s="8">
        <f t="shared" si="959"/>
        <v>0.67127532777115617</v>
      </c>
      <c r="BH1975" s="6" t="s">
        <v>17471</v>
      </c>
      <c r="BI1975" s="6" t="str">
        <f t="shared" si="943"/>
        <v>=4.195*100000000</v>
      </c>
      <c r="BJ1975" s="1">
        <f>4.195*100000000</f>
        <v>419500000</v>
      </c>
      <c r="BK1975" s="6" t="s">
        <v>2869</v>
      </c>
      <c r="BL1975" s="1" t="str">
        <f t="shared" si="945"/>
        <v>=2.252*100000000</v>
      </c>
      <c r="BM1975" s="16">
        <f t="shared" si="960"/>
        <v>0.8627886323268209</v>
      </c>
      <c r="BN1975" s="1">
        <f>2.252*100000000</f>
        <v>225199999.99999997</v>
      </c>
    </row>
    <row r="1976" spans="1:66">
      <c r="A1976" s="18"/>
      <c r="B1976">
        <v>603899</v>
      </c>
      <c r="C1976" t="s">
        <v>58</v>
      </c>
      <c r="D1976" s="6" t="s">
        <v>3022</v>
      </c>
      <c r="E1976" s="7" t="str">
        <f t="shared" si="944"/>
        <v>=18.61*100000000</v>
      </c>
      <c r="F1976" s="1">
        <f>18.61*100000000</f>
        <v>1861000000</v>
      </c>
      <c r="G1976" s="8">
        <f t="shared" si="946"/>
        <v>0.34077809798270892</v>
      </c>
      <c r="H1976" s="6" t="s">
        <v>1834</v>
      </c>
      <c r="I1976" s="6" t="str">
        <f t="shared" si="930"/>
        <v>=13.88*100000000</v>
      </c>
      <c r="J1976" s="1">
        <f>13.88*100000000</f>
        <v>1388000000</v>
      </c>
      <c r="K1976" s="10">
        <f t="shared" si="947"/>
        <v>0.7083076923076923</v>
      </c>
      <c r="L1976" s="6" t="s">
        <v>17472</v>
      </c>
      <c r="M1976" s="6" t="str">
        <f t="shared" si="931"/>
        <v>=8.125*100000000</v>
      </c>
      <c r="N1976" s="1">
        <f>8.125*100000000</f>
        <v>812500000</v>
      </c>
      <c r="O1976" s="8">
        <f t="shared" si="948"/>
        <v>0.98849730788056756</v>
      </c>
      <c r="P1976" s="6" t="s">
        <v>17473</v>
      </c>
      <c r="Q1976" s="6" t="str">
        <f t="shared" si="932"/>
        <v>=4.086*100000000</v>
      </c>
      <c r="R1976" s="11">
        <f>4.086*100000000</f>
        <v>408600000.00000006</v>
      </c>
      <c r="S1976" s="8">
        <f t="shared" si="949"/>
        <v>-0.73065260382333552</v>
      </c>
      <c r="T1976" s="6" t="s">
        <v>4493</v>
      </c>
      <c r="U1976" s="6" t="str">
        <f t="shared" si="933"/>
        <v>=15.17*100000000</v>
      </c>
      <c r="V1976" s="1">
        <f>15.17*100000000</f>
        <v>1517000000</v>
      </c>
      <c r="W1976" s="8">
        <f t="shared" si="950"/>
        <v>0.36789900811541931</v>
      </c>
      <c r="X1976" s="6" t="s">
        <v>4498</v>
      </c>
      <c r="Y1976" s="6" t="str">
        <f t="shared" si="934"/>
        <v>=11.09*100000000</v>
      </c>
      <c r="Z1976" s="1">
        <f>11.09*100000000</f>
        <v>1109000000</v>
      </c>
      <c r="AA1976" s="8">
        <f t="shared" si="951"/>
        <v>0.98106466595212571</v>
      </c>
      <c r="AB1976" s="6" t="s">
        <v>6953</v>
      </c>
      <c r="AC1976" s="6" t="str">
        <f t="shared" si="935"/>
        <v>=5.598*100000000</v>
      </c>
      <c r="AD1976" s="1">
        <f>5.598*100000000</f>
        <v>559800000</v>
      </c>
      <c r="AE1976" s="8">
        <f t="shared" si="952"/>
        <v>1.0725657164013329</v>
      </c>
      <c r="AF1976" s="6" t="s">
        <v>17474</v>
      </c>
      <c r="AG1976" s="6" t="str">
        <f t="shared" si="936"/>
        <v>=2.701*100000000</v>
      </c>
      <c r="AH1976" s="1">
        <f>2.701*100000000</f>
        <v>270100000</v>
      </c>
      <c r="AI1976" s="8">
        <f t="shared" si="953"/>
        <v>-0.79126738794435858</v>
      </c>
      <c r="AJ1976" s="6" t="s">
        <v>913</v>
      </c>
      <c r="AK1976" s="6" t="str">
        <f t="shared" si="937"/>
        <v>=12.94*100000000</v>
      </c>
      <c r="AL1976" s="1">
        <f>12.94*100000000</f>
        <v>1294000000</v>
      </c>
      <c r="AM1976" s="8">
        <f t="shared" si="954"/>
        <v>0.3135722261699318</v>
      </c>
      <c r="AN1976" s="6" t="s">
        <v>17475</v>
      </c>
      <c r="AO1976" s="6" t="str">
        <f t="shared" si="938"/>
        <v>=9.851*100000000</v>
      </c>
      <c r="AP1976" s="1">
        <f>9.851*100000000</f>
        <v>985100000.00000012</v>
      </c>
      <c r="AQ1976" s="8">
        <f t="shared" si="955"/>
        <v>0.71411171045763022</v>
      </c>
      <c r="AR1976" s="6" t="s">
        <v>17476</v>
      </c>
      <c r="AS1976" s="6" t="str">
        <f t="shared" si="939"/>
        <v>=5.747*100000000</v>
      </c>
      <c r="AT1976" s="1">
        <f>5.747*100000000</f>
        <v>574700000</v>
      </c>
      <c r="AU1976" s="8">
        <f t="shared" si="956"/>
        <v>0.83668903803131989</v>
      </c>
      <c r="AV1976" s="6" t="s">
        <v>1420</v>
      </c>
      <c r="AW1976" s="6" t="str">
        <f t="shared" si="940"/>
        <v>=3.129*100000000</v>
      </c>
      <c r="AX1976" s="1">
        <f>3.129*100000000</f>
        <v>312900000</v>
      </c>
      <c r="AY1976" s="10">
        <f t="shared" si="957"/>
        <v>-0.67413038950218707</v>
      </c>
      <c r="AZ1976" s="6" t="s">
        <v>17477</v>
      </c>
      <c r="BA1976" s="6" t="str">
        <f t="shared" si="941"/>
        <v>=9.602*100000000</v>
      </c>
      <c r="BB1976" s="1">
        <f>9.602*100000000</f>
        <v>960200000</v>
      </c>
      <c r="BC1976" s="8">
        <f t="shared" si="958"/>
        <v>0.29441898085737395</v>
      </c>
      <c r="BD1976" s="6" t="s">
        <v>13436</v>
      </c>
      <c r="BE1976" s="6" t="str">
        <f t="shared" si="942"/>
        <v>=7.418*100000000</v>
      </c>
      <c r="BF1976" s="1">
        <f>7.418*100000000</f>
        <v>741800000</v>
      </c>
      <c r="BG1976" s="8">
        <f t="shared" si="959"/>
        <v>0.67335889916535074</v>
      </c>
      <c r="BH1976" s="6" t="s">
        <v>17478</v>
      </c>
      <c r="BI1976" s="6" t="str">
        <f t="shared" si="943"/>
        <v>=4.433*100000000</v>
      </c>
      <c r="BJ1976" s="1">
        <f>4.433*100000000</f>
        <v>443300000</v>
      </c>
      <c r="BK1976" s="6" t="s">
        <v>1977</v>
      </c>
      <c r="BL1976" s="1" t="str">
        <f t="shared" si="945"/>
        <v>=2.413*100000000</v>
      </c>
      <c r="BM1976" s="16">
        <f t="shared" si="960"/>
        <v>0.83713220058019089</v>
      </c>
      <c r="BN1976" s="1">
        <f>2.413*100000000</f>
        <v>241299999.99999997</v>
      </c>
    </row>
    <row r="1977" spans="1:66">
      <c r="A1977" s="19"/>
      <c r="B1977">
        <v>603899</v>
      </c>
      <c r="C1977" t="s">
        <v>68</v>
      </c>
      <c r="D1977" s="6" t="s">
        <v>6570</v>
      </c>
      <c r="E1977" s="7" t="str">
        <f t="shared" si="944"/>
        <v>=15.34*100000000</v>
      </c>
      <c r="F1977" s="1">
        <f>15.34*100000000</f>
        <v>1534000000</v>
      </c>
      <c r="G1977" s="8">
        <f t="shared" si="946"/>
        <v>0.3708668453976765</v>
      </c>
      <c r="H1977" s="6" t="s">
        <v>10751</v>
      </c>
      <c r="I1977" s="6" t="str">
        <f t="shared" si="930"/>
        <v>=11.19*100000000</v>
      </c>
      <c r="J1977" s="1">
        <f>11.19*100000000</f>
        <v>1119000000</v>
      </c>
      <c r="K1977" s="10">
        <f t="shared" si="947"/>
        <v>0.68447990365798583</v>
      </c>
      <c r="L1977" s="6" t="s">
        <v>17479</v>
      </c>
      <c r="M1977" s="6" t="str">
        <f t="shared" si="931"/>
        <v>=6.643*100000000</v>
      </c>
      <c r="N1977" s="1">
        <f>6.643*100000000</f>
        <v>664300000</v>
      </c>
      <c r="O1977" s="8">
        <f t="shared" si="948"/>
        <v>1.0118110236220472</v>
      </c>
      <c r="P1977" s="6" t="s">
        <v>2384</v>
      </c>
      <c r="Q1977" s="6" t="str">
        <f t="shared" si="932"/>
        <v>=3.302*100000000</v>
      </c>
      <c r="R1977" s="11">
        <f>3.302*100000000</f>
        <v>330200000</v>
      </c>
      <c r="S1977" s="8">
        <f t="shared" si="949"/>
        <v>-0.73327948303715673</v>
      </c>
      <c r="T1977" s="6" t="s">
        <v>6194</v>
      </c>
      <c r="U1977" s="6" t="str">
        <f t="shared" si="933"/>
        <v>=12.38*100000000</v>
      </c>
      <c r="V1977" s="1">
        <f>12.38*100000000</f>
        <v>1238000000</v>
      </c>
      <c r="W1977" s="8">
        <f t="shared" si="950"/>
        <v>0.38463259143272543</v>
      </c>
      <c r="X1977" s="6" t="s">
        <v>17480</v>
      </c>
      <c r="Y1977" s="6" t="str">
        <f t="shared" si="934"/>
        <v>=8.941*100000000</v>
      </c>
      <c r="Z1977" s="1">
        <f>8.941*100000000</f>
        <v>894100000.00000012</v>
      </c>
      <c r="AA1977" s="8">
        <f t="shared" si="951"/>
        <v>0.99175762976163984</v>
      </c>
      <c r="AB1977" s="6" t="s">
        <v>17481</v>
      </c>
      <c r="AC1977" s="6" t="str">
        <f t="shared" si="935"/>
        <v>=4.489*100000000</v>
      </c>
      <c r="AD1977" s="1">
        <f>4.489*100000000</f>
        <v>448900000</v>
      </c>
      <c r="AE1977" s="8">
        <f t="shared" si="952"/>
        <v>1.081131200741771</v>
      </c>
      <c r="AF1977" s="6" t="s">
        <v>15439</v>
      </c>
      <c r="AG1977" s="6" t="str">
        <f t="shared" si="936"/>
        <v>=2.157*100000000</v>
      </c>
      <c r="AH1977" s="1">
        <f>2.157*100000000</f>
        <v>215700000</v>
      </c>
      <c r="AI1977" s="8">
        <f t="shared" si="953"/>
        <v>-0.79953531598513006</v>
      </c>
      <c r="AJ1977" s="6" t="s">
        <v>649</v>
      </c>
      <c r="AK1977" s="6" t="str">
        <f t="shared" si="937"/>
        <v>=10.76*100000000</v>
      </c>
      <c r="AL1977" s="1">
        <f>10.76*100000000</f>
        <v>1076000000</v>
      </c>
      <c r="AM1977" s="8">
        <f t="shared" si="954"/>
        <v>0.32398178909806796</v>
      </c>
      <c r="AN1977" s="6" t="s">
        <v>2627</v>
      </c>
      <c r="AO1977" s="6" t="str">
        <f t="shared" si="938"/>
        <v>=8.127*100000000</v>
      </c>
      <c r="AP1977" s="1">
        <f>8.127*100000000</f>
        <v>812700000.00000012</v>
      </c>
      <c r="AQ1977" s="8">
        <f t="shared" si="955"/>
        <v>0.71238938053097345</v>
      </c>
      <c r="AR1977" s="6" t="s">
        <v>11858</v>
      </c>
      <c r="AS1977" s="6" t="str">
        <f t="shared" si="939"/>
        <v>=4.746*100000000</v>
      </c>
      <c r="AT1977" s="1">
        <f>4.746*100000000</f>
        <v>474600000.00000006</v>
      </c>
      <c r="AU1977" s="8">
        <f t="shared" si="956"/>
        <v>0.82819722650231142</v>
      </c>
      <c r="AV1977" s="6" t="s">
        <v>487</v>
      </c>
      <c r="AW1977" s="6" t="str">
        <f t="shared" si="940"/>
        <v>=2.596*100000000</v>
      </c>
      <c r="AX1977" s="1">
        <f>2.596*100000000</f>
        <v>259600000</v>
      </c>
      <c r="AY1977" s="10">
        <f t="shared" si="957"/>
        <v>-0.67863332508046537</v>
      </c>
      <c r="AZ1977" s="6" t="s">
        <v>5736</v>
      </c>
      <c r="BA1977" s="6" t="str">
        <f t="shared" si="941"/>
        <v>=8.078*100000000</v>
      </c>
      <c r="BB1977" s="1">
        <f>8.078*100000000</f>
        <v>807799999.99999988</v>
      </c>
      <c r="BC1977" s="8">
        <f t="shared" si="958"/>
        <v>0.280596068484464</v>
      </c>
      <c r="BD1977" s="6" t="s">
        <v>6330</v>
      </c>
      <c r="BE1977" s="6" t="str">
        <f t="shared" si="942"/>
        <v>=6.308*100000000</v>
      </c>
      <c r="BF1977" s="1">
        <f>6.308*100000000</f>
        <v>630800000</v>
      </c>
      <c r="BG1977" s="8">
        <f t="shared" si="959"/>
        <v>0.68123667377398722</v>
      </c>
      <c r="BH1977" s="6" t="s">
        <v>11960</v>
      </c>
      <c r="BI1977" s="6" t="str">
        <f t="shared" si="943"/>
        <v>=3.752*100000000</v>
      </c>
      <c r="BJ1977" s="1">
        <f>3.752*100000000</f>
        <v>375200000</v>
      </c>
      <c r="BK1977" s="6" t="s">
        <v>9252</v>
      </c>
      <c r="BL1977" s="1" t="str">
        <f t="shared" si="945"/>
        <v>=1.999*100000000</v>
      </c>
      <c r="BM1977" s="16">
        <f t="shared" si="960"/>
        <v>0.87693846923461727</v>
      </c>
      <c r="BN1977" s="1">
        <f>1.999*100000000</f>
        <v>199900000</v>
      </c>
    </row>
    <row r="1978" spans="1:66">
      <c r="A1978" s="17">
        <v>496</v>
      </c>
      <c r="B1978">
        <v>603901</v>
      </c>
      <c r="C1978" t="s">
        <v>31</v>
      </c>
      <c r="D1978" s="6" t="s">
        <v>9707</v>
      </c>
      <c r="E1978" s="7" t="str">
        <f t="shared" si="944"/>
        <v>=27.07*100000000</v>
      </c>
      <c r="F1978" s="1">
        <f>27.07*100000000</f>
        <v>2707000000</v>
      </c>
      <c r="G1978" s="8">
        <f t="shared" si="946"/>
        <v>0.36717171717171715</v>
      </c>
      <c r="H1978" s="6" t="s">
        <v>1961</v>
      </c>
      <c r="I1978" s="6" t="str">
        <f t="shared" si="930"/>
        <v>=19.80*100000000</v>
      </c>
      <c r="J1978" s="1">
        <f>19.8*100000000</f>
        <v>1980000000</v>
      </c>
      <c r="K1978" s="10">
        <f t="shared" si="947"/>
        <v>0.59677419354838712</v>
      </c>
      <c r="L1978" s="6" t="s">
        <v>3689</v>
      </c>
      <c r="M1978" s="6" t="str">
        <f t="shared" si="931"/>
        <v>=12.40*100000000</v>
      </c>
      <c r="N1978" s="1">
        <f>12.4*100000000</f>
        <v>1240000000</v>
      </c>
      <c r="O1978" s="8">
        <f t="shared" si="948"/>
        <v>1.4342363564978404</v>
      </c>
      <c r="P1978" s="6" t="s">
        <v>12150</v>
      </c>
      <c r="Q1978" s="6" t="str">
        <f t="shared" si="932"/>
        <v>=5.094*100000000</v>
      </c>
      <c r="R1978" s="11">
        <f>5.094*100000000</f>
        <v>509400000.00000006</v>
      </c>
      <c r="S1978" s="8">
        <f t="shared" si="949"/>
        <v>-0.74782178217821782</v>
      </c>
      <c r="T1978" s="6" t="s">
        <v>17482</v>
      </c>
      <c r="U1978" s="6" t="str">
        <f t="shared" si="933"/>
        <v>=20.20*100000000</v>
      </c>
      <c r="V1978" s="1">
        <f>20.2*100000000</f>
        <v>2020000000</v>
      </c>
      <c r="W1978" s="8">
        <f t="shared" si="950"/>
        <v>0.47985347985347987</v>
      </c>
      <c r="X1978" s="6" t="s">
        <v>155</v>
      </c>
      <c r="Y1978" s="6" t="str">
        <f t="shared" si="934"/>
        <v>=13.65*100000000</v>
      </c>
      <c r="Z1978" s="1">
        <f>13.65*100000000</f>
        <v>1365000000</v>
      </c>
      <c r="AA1978" s="8">
        <f t="shared" si="951"/>
        <v>0.76744788294704136</v>
      </c>
      <c r="AB1978" s="6" t="s">
        <v>17483</v>
      </c>
      <c r="AC1978" s="6" t="str">
        <f t="shared" si="935"/>
        <v>=7.723*100000000</v>
      </c>
      <c r="AD1978" s="1">
        <f>7.723*100000000</f>
        <v>772300000</v>
      </c>
      <c r="AE1978" s="8">
        <f t="shared" si="952"/>
        <v>1.6890668523676879</v>
      </c>
      <c r="AF1978" s="6" t="s">
        <v>4488</v>
      </c>
      <c r="AG1978" s="6" t="str">
        <f t="shared" si="936"/>
        <v>=2.872*100000000</v>
      </c>
      <c r="AH1978" s="1">
        <f>2.872*100000000</f>
        <v>287200000</v>
      </c>
      <c r="AI1978" s="8">
        <f t="shared" si="953"/>
        <v>-0.84649919828968467</v>
      </c>
      <c r="AJ1978" s="6" t="s">
        <v>3035</v>
      </c>
      <c r="AK1978" s="6" t="str">
        <f t="shared" si="937"/>
        <v>=18.71*100000000</v>
      </c>
      <c r="AL1978" s="1">
        <f>18.71*100000000</f>
        <v>1871000000</v>
      </c>
      <c r="AM1978" s="8">
        <f t="shared" si="954"/>
        <v>0.37472446730345332</v>
      </c>
      <c r="AN1978" s="6" t="s">
        <v>2074</v>
      </c>
      <c r="AO1978" s="6" t="str">
        <f t="shared" si="938"/>
        <v>=13.61*100000000</v>
      </c>
      <c r="AP1978" s="1">
        <f>13.61*100000000</f>
        <v>1361000000</v>
      </c>
      <c r="AQ1978" s="8">
        <f t="shared" si="955"/>
        <v>0.54308390022675734</v>
      </c>
      <c r="AR1978" s="6" t="s">
        <v>7800</v>
      </c>
      <c r="AS1978" s="6" t="str">
        <f t="shared" si="939"/>
        <v>=8.820*100000000</v>
      </c>
      <c r="AT1978" s="1">
        <f>8.82*100000000</f>
        <v>882000000</v>
      </c>
      <c r="AU1978" s="8">
        <f t="shared" si="956"/>
        <v>1.1761658031088082</v>
      </c>
      <c r="AV1978" s="6" t="s">
        <v>5427</v>
      </c>
      <c r="AW1978" s="6" t="str">
        <f t="shared" si="940"/>
        <v>=4.053*100000000</v>
      </c>
      <c r="AX1978" s="1">
        <f>4.053*100000000</f>
        <v>405300000</v>
      </c>
      <c r="AY1978" s="10">
        <f t="shared" si="957"/>
        <v>-0.7545124167171412</v>
      </c>
      <c r="AZ1978" s="6" t="s">
        <v>4529</v>
      </c>
      <c r="BA1978" s="6" t="str">
        <f t="shared" si="941"/>
        <v>=16.51*100000000</v>
      </c>
      <c r="BB1978" s="1">
        <f>16.51*100000000</f>
        <v>1651000000.0000002</v>
      </c>
      <c r="BC1978" s="8">
        <f t="shared" si="958"/>
        <v>0.42696629213483167</v>
      </c>
      <c r="BD1978" s="6" t="s">
        <v>3152</v>
      </c>
      <c r="BE1978" s="6" t="str">
        <f t="shared" si="942"/>
        <v>=11.57*100000000</v>
      </c>
      <c r="BF1978" s="1">
        <f>11.57*100000000</f>
        <v>1157000000</v>
      </c>
      <c r="BG1978" s="8">
        <f t="shared" si="959"/>
        <v>0.53733723093276642</v>
      </c>
      <c r="BH1978" s="6" t="s">
        <v>7798</v>
      </c>
      <c r="BI1978" s="6" t="str">
        <f t="shared" si="943"/>
        <v>=7.526*100000000</v>
      </c>
      <c r="BJ1978" s="1">
        <f>7.526*100000000</f>
        <v>752600000</v>
      </c>
      <c r="BK1978" s="6" t="s">
        <v>8165</v>
      </c>
      <c r="BL1978" s="1" t="str">
        <f t="shared" si="945"/>
        <v>=3.016*100000000</v>
      </c>
      <c r="BM1978" s="16">
        <f t="shared" si="960"/>
        <v>1.4953580901856764</v>
      </c>
      <c r="BN1978" s="1">
        <f>3.016*100000000</f>
        <v>301600000</v>
      </c>
    </row>
    <row r="1979" spans="1:66">
      <c r="A1979" s="18"/>
      <c r="B1979">
        <v>603901</v>
      </c>
      <c r="C1979" t="s">
        <v>48</v>
      </c>
      <c r="D1979" s="6" t="s">
        <v>10330</v>
      </c>
      <c r="E1979" s="7" t="str">
        <f t="shared" si="944"/>
        <v>=2.967*100000000</v>
      </c>
      <c r="F1979" s="1">
        <f>2.967*100000000</f>
        <v>296700000</v>
      </c>
      <c r="G1979" s="8">
        <f t="shared" si="946"/>
        <v>0.14203233256351039</v>
      </c>
      <c r="H1979" s="6" t="s">
        <v>13174</v>
      </c>
      <c r="I1979" s="6" t="str">
        <f t="shared" si="930"/>
        <v>=2.598*100000000</v>
      </c>
      <c r="J1979" s="1">
        <f>2.598*100000000</f>
        <v>259800000</v>
      </c>
      <c r="K1979" s="10">
        <f t="shared" si="947"/>
        <v>0.60966542750929364</v>
      </c>
      <c r="L1979" s="6" t="s">
        <v>2929</v>
      </c>
      <c r="M1979" s="6" t="str">
        <f t="shared" si="931"/>
        <v>=1.614*100000000</v>
      </c>
      <c r="N1979" s="1">
        <f>1.614*100000000</f>
        <v>161400000</v>
      </c>
      <c r="O1979" s="8">
        <f t="shared" si="948"/>
        <v>1.8142981691368789</v>
      </c>
      <c r="P1979" s="7" t="s">
        <v>17484</v>
      </c>
      <c r="Q1979" s="6" t="str">
        <f t="shared" si="932"/>
        <v>=5735*10000</v>
      </c>
      <c r="R1979" s="11">
        <f>5735*10000</f>
        <v>57350000</v>
      </c>
      <c r="S1979" s="8">
        <f t="shared" si="949"/>
        <v>-0.70130208333333333</v>
      </c>
      <c r="T1979" s="6" t="s">
        <v>1039</v>
      </c>
      <c r="U1979" s="6" t="str">
        <f t="shared" si="933"/>
        <v>=1.920*100000000</v>
      </c>
      <c r="V1979" s="1">
        <f>1.92*100000000</f>
        <v>192000000</v>
      </c>
      <c r="W1979" s="8">
        <f t="shared" si="950"/>
        <v>0.20678818353236958</v>
      </c>
      <c r="X1979" s="6" t="s">
        <v>6298</v>
      </c>
      <c r="Y1979" s="6" t="str">
        <f t="shared" si="934"/>
        <v>=1.591*100000000</v>
      </c>
      <c r="Z1979" s="1">
        <f>1.591*100000000</f>
        <v>159100000</v>
      </c>
      <c r="AA1979" s="8">
        <f t="shared" si="951"/>
        <v>0.550682261208577</v>
      </c>
      <c r="AB1979" s="6" t="s">
        <v>2208</v>
      </c>
      <c r="AC1979" s="6" t="str">
        <f t="shared" si="935"/>
        <v>=1.026*100000000</v>
      </c>
      <c r="AD1979" s="1">
        <f>1.026*100000000</f>
        <v>102600000</v>
      </c>
      <c r="AE1979" s="8">
        <f t="shared" si="952"/>
        <v>4.3830010493179437</v>
      </c>
      <c r="AF1979" s="7" t="s">
        <v>17485</v>
      </c>
      <c r="AG1979" s="6" t="str">
        <f t="shared" si="936"/>
        <v>=1906*10000</v>
      </c>
      <c r="AH1979" s="1">
        <f>1906*10000</f>
        <v>19060000</v>
      </c>
      <c r="AI1979" s="8">
        <f t="shared" si="953"/>
        <v>-0.83597246127366609</v>
      </c>
      <c r="AJ1979" s="6" t="s">
        <v>5579</v>
      </c>
      <c r="AK1979" s="6" t="str">
        <f t="shared" si="937"/>
        <v>=1.162*100000000</v>
      </c>
      <c r="AL1979" s="1">
        <f>1.162*100000000</f>
        <v>116199999.99999999</v>
      </c>
      <c r="AM1979" s="8">
        <f t="shared" si="954"/>
        <v>6.99815837937382E-2</v>
      </c>
      <c r="AN1979" s="6" t="s">
        <v>12597</v>
      </c>
      <c r="AO1979" s="6" t="str">
        <f t="shared" si="938"/>
        <v>=1.086*100000000</v>
      </c>
      <c r="AP1979" s="1">
        <f>1.086*100000000</f>
        <v>108600000.00000001</v>
      </c>
      <c r="AQ1979" s="8">
        <f t="shared" si="955"/>
        <v>0.58170696184095561</v>
      </c>
      <c r="AR1979" s="7" t="s">
        <v>17486</v>
      </c>
      <c r="AS1979" s="6" t="str">
        <f t="shared" si="939"/>
        <v>=6866*10000</v>
      </c>
      <c r="AT1979" s="1">
        <f>6866*10000</f>
        <v>68660000</v>
      </c>
      <c r="AU1979" s="8">
        <f t="shared" si="956"/>
        <v>2.0353669319186563</v>
      </c>
      <c r="AV1979" s="7" t="s">
        <v>17487</v>
      </c>
      <c r="AW1979" s="6" t="str">
        <f t="shared" si="940"/>
        <v>=2262*10000</v>
      </c>
      <c r="AX1979" s="1">
        <f>2262*10000</f>
        <v>22620000</v>
      </c>
      <c r="AY1979" s="10">
        <f t="shared" si="957"/>
        <v>-0.73077838609854795</v>
      </c>
      <c r="AZ1979" s="7" t="s">
        <v>17488</v>
      </c>
      <c r="BA1979" s="6" t="str">
        <f t="shared" si="941"/>
        <v>=8402*10000</v>
      </c>
      <c r="BB1979" s="1">
        <f>8402*10000</f>
        <v>84020000</v>
      </c>
      <c r="BC1979" s="8">
        <f t="shared" si="958"/>
        <v>7.7965695094158573E-3</v>
      </c>
      <c r="BD1979" s="7" t="s">
        <v>17489</v>
      </c>
      <c r="BE1979" s="6" t="str">
        <f t="shared" si="942"/>
        <v>=8337*10000</v>
      </c>
      <c r="BF1979" s="1">
        <f>8337*10000</f>
        <v>83370000</v>
      </c>
      <c r="BG1979" s="8">
        <f t="shared" si="959"/>
        <v>0.55309239940387478</v>
      </c>
      <c r="BH1979" s="7" t="s">
        <v>17490</v>
      </c>
      <c r="BI1979" s="6" t="str">
        <f t="shared" si="943"/>
        <v>=5368*10000</v>
      </c>
      <c r="BJ1979" s="1">
        <f>5368*10000</f>
        <v>53680000</v>
      </c>
      <c r="BK1979" s="7" t="s">
        <v>7603</v>
      </c>
      <c r="BL1979" s="1" t="str">
        <f t="shared" si="945"/>
        <v>=1648*10000</v>
      </c>
      <c r="BM1979" s="16">
        <f t="shared" si="960"/>
        <v>2.2572815533980584</v>
      </c>
      <c r="BN1979" s="1">
        <f>1648*10000</f>
        <v>16480000</v>
      </c>
    </row>
    <row r="1980" spans="1:66">
      <c r="A1980" s="18"/>
      <c r="B1980">
        <v>603901</v>
      </c>
      <c r="C1980" t="s">
        <v>58</v>
      </c>
      <c r="D1980" s="6" t="s">
        <v>16412</v>
      </c>
      <c r="E1980" s="7" t="str">
        <f t="shared" si="944"/>
        <v>=2.966*100000000</v>
      </c>
      <c r="F1980" s="1">
        <f>2.966*100000000</f>
        <v>296600000</v>
      </c>
      <c r="G1980" s="8">
        <f t="shared" si="946"/>
        <v>0.17605075337034115</v>
      </c>
      <c r="H1980" s="6" t="s">
        <v>17491</v>
      </c>
      <c r="I1980" s="6" t="str">
        <f t="shared" si="930"/>
        <v>=2.522*100000000</v>
      </c>
      <c r="J1980" s="1">
        <f>2.522*100000000</f>
        <v>252199999.99999997</v>
      </c>
      <c r="K1980" s="10">
        <f t="shared" si="947"/>
        <v>0.65052356020942392</v>
      </c>
      <c r="L1980" s="6" t="s">
        <v>3397</v>
      </c>
      <c r="M1980" s="6" t="str">
        <f t="shared" si="931"/>
        <v>=1.528*100000000</v>
      </c>
      <c r="N1980" s="1">
        <f>1.528*100000000</f>
        <v>152800000</v>
      </c>
      <c r="O1980" s="8">
        <f t="shared" si="948"/>
        <v>1.6629487626350645</v>
      </c>
      <c r="P1980" s="7" t="s">
        <v>17492</v>
      </c>
      <c r="Q1980" s="6" t="str">
        <f t="shared" si="932"/>
        <v>=5738*10000</v>
      </c>
      <c r="R1980" s="11">
        <f>5738*10000</f>
        <v>57380000</v>
      </c>
      <c r="S1980" s="8">
        <f t="shared" si="949"/>
        <v>-0.69720316622691292</v>
      </c>
      <c r="T1980" s="6" t="s">
        <v>10942</v>
      </c>
      <c r="U1980" s="6" t="str">
        <f t="shared" si="933"/>
        <v>=1.895*100000000</v>
      </c>
      <c r="V1980" s="1">
        <f>1.895*100000000</f>
        <v>189500000</v>
      </c>
      <c r="W1980" s="8">
        <f t="shared" si="950"/>
        <v>0.20088719898605831</v>
      </c>
      <c r="X1980" s="6" t="s">
        <v>15455</v>
      </c>
      <c r="Y1980" s="6" t="str">
        <f t="shared" si="934"/>
        <v>=1.578*100000000</v>
      </c>
      <c r="Z1980" s="1">
        <f>1.578*100000000</f>
        <v>157800000</v>
      </c>
      <c r="AA1980" s="8">
        <f t="shared" si="951"/>
        <v>0.5608308605341249</v>
      </c>
      <c r="AB1980" s="6" t="s">
        <v>2230</v>
      </c>
      <c r="AC1980" s="6" t="str">
        <f t="shared" si="935"/>
        <v>=1.011*100000000</v>
      </c>
      <c r="AD1980" s="1">
        <f>1.011*100000000</f>
        <v>101099999.99999999</v>
      </c>
      <c r="AE1980" s="8">
        <f t="shared" si="952"/>
        <v>4.6480446927374297</v>
      </c>
      <c r="AF1980" s="7" t="s">
        <v>17493</v>
      </c>
      <c r="AG1980" s="6" t="str">
        <f t="shared" si="936"/>
        <v>=1790*10000</v>
      </c>
      <c r="AH1980" s="1">
        <f>1790*10000</f>
        <v>17900000</v>
      </c>
      <c r="AI1980" s="8">
        <f t="shared" si="953"/>
        <v>-0.84542314335060442</v>
      </c>
      <c r="AJ1980" s="6" t="s">
        <v>4465</v>
      </c>
      <c r="AK1980" s="6" t="str">
        <f t="shared" si="937"/>
        <v>=1.158*100000000</v>
      </c>
      <c r="AL1980" s="1">
        <f>1.158*100000000</f>
        <v>115799999.99999999</v>
      </c>
      <c r="AM1980" s="8">
        <f t="shared" si="954"/>
        <v>6.8265682656826282E-2</v>
      </c>
      <c r="AN1980" s="6" t="s">
        <v>2094</v>
      </c>
      <c r="AO1980" s="6" t="str">
        <f t="shared" si="938"/>
        <v>=1.084*100000000</v>
      </c>
      <c r="AP1980" s="1">
        <f>1.084*100000000</f>
        <v>108400000.00000001</v>
      </c>
      <c r="AQ1980" s="8">
        <f t="shared" si="955"/>
        <v>0.57672727272727298</v>
      </c>
      <c r="AR1980" s="7" t="s">
        <v>8713</v>
      </c>
      <c r="AS1980" s="6" t="str">
        <f t="shared" si="939"/>
        <v>=6875*10000</v>
      </c>
      <c r="AT1980" s="1">
        <f>6875*10000</f>
        <v>68750000</v>
      </c>
      <c r="AU1980" s="8">
        <f t="shared" si="956"/>
        <v>2.0087527352297592</v>
      </c>
      <c r="AV1980" s="7" t="s">
        <v>7568</v>
      </c>
      <c r="AW1980" s="6" t="str">
        <f t="shared" si="940"/>
        <v>=2285*10000</v>
      </c>
      <c r="AX1980" s="1">
        <f>2285*10000</f>
        <v>22850000</v>
      </c>
      <c r="AY1980" s="10">
        <f t="shared" si="957"/>
        <v>-0.72624895171918058</v>
      </c>
      <c r="AZ1980" s="7" t="s">
        <v>17494</v>
      </c>
      <c r="BA1980" s="6" t="str">
        <f t="shared" si="941"/>
        <v>=8347*10000</v>
      </c>
      <c r="BB1980" s="1">
        <f>8347*10000</f>
        <v>83470000</v>
      </c>
      <c r="BC1980" s="8">
        <f t="shared" si="958"/>
        <v>-2.5907340413117048E-2</v>
      </c>
      <c r="BD1980" s="7" t="s">
        <v>17495</v>
      </c>
      <c r="BE1980" s="6" t="str">
        <f t="shared" si="942"/>
        <v>=8569*10000</v>
      </c>
      <c r="BF1980" s="1">
        <f>8569*10000</f>
        <v>85690000</v>
      </c>
      <c r="BG1980" s="8">
        <f t="shared" si="959"/>
        <v>0.59038604305864884</v>
      </c>
      <c r="BH1980" s="7" t="s">
        <v>16911</v>
      </c>
      <c r="BI1980" s="6" t="str">
        <f t="shared" si="943"/>
        <v>=5388*10000</v>
      </c>
      <c r="BJ1980" s="1">
        <f>5388*10000</f>
        <v>53880000</v>
      </c>
      <c r="BK1980" s="7" t="s">
        <v>17496</v>
      </c>
      <c r="BL1980" s="1" t="str">
        <f t="shared" si="945"/>
        <v>=1668*10000</v>
      </c>
      <c r="BM1980" s="16">
        <f t="shared" si="960"/>
        <v>2.2302158273381294</v>
      </c>
      <c r="BN1980" s="1">
        <f>1668*10000</f>
        <v>16680000</v>
      </c>
    </row>
    <row r="1981" spans="1:66">
      <c r="A1981" s="19"/>
      <c r="B1981">
        <v>603901</v>
      </c>
      <c r="C1981" t="s">
        <v>68</v>
      </c>
      <c r="D1981" s="6" t="s">
        <v>5849</v>
      </c>
      <c r="E1981" s="7" t="str">
        <f t="shared" si="944"/>
        <v>=2.587*100000000</v>
      </c>
      <c r="F1981" s="1">
        <f>2.587*100000000</f>
        <v>258700000.00000003</v>
      </c>
      <c r="G1981" s="8">
        <f t="shared" si="946"/>
        <v>0.19381633594831593</v>
      </c>
      <c r="H1981" s="6" t="s">
        <v>7141</v>
      </c>
      <c r="I1981" s="6" t="str">
        <f t="shared" si="930"/>
        <v>=2.167*100000000</v>
      </c>
      <c r="J1981" s="1">
        <f>2.167*100000000</f>
        <v>216699999.99999997</v>
      </c>
      <c r="K1981" s="10">
        <f t="shared" si="947"/>
        <v>0.64665653495440711</v>
      </c>
      <c r="L1981" s="6" t="s">
        <v>13130</v>
      </c>
      <c r="M1981" s="6" t="str">
        <f t="shared" si="931"/>
        <v>=1.316*100000000</v>
      </c>
      <c r="N1981" s="1">
        <f>1.316*100000000</f>
        <v>131600000</v>
      </c>
      <c r="O1981" s="8">
        <f t="shared" si="948"/>
        <v>1.6569755703613971</v>
      </c>
      <c r="P1981" s="7" t="s">
        <v>8328</v>
      </c>
      <c r="Q1981" s="6" t="str">
        <f t="shared" si="932"/>
        <v>=4953*10000</v>
      </c>
      <c r="R1981" s="11">
        <f>4953*10000</f>
        <v>49530000</v>
      </c>
      <c r="S1981" s="8">
        <f t="shared" si="949"/>
        <v>-0.71102683780630105</v>
      </c>
      <c r="T1981" s="6" t="s">
        <v>8107</v>
      </c>
      <c r="U1981" s="6" t="str">
        <f t="shared" si="933"/>
        <v>=1.714*100000000</v>
      </c>
      <c r="V1981" s="1">
        <f>1.714*100000000</f>
        <v>171400000</v>
      </c>
      <c r="W1981" s="8">
        <f t="shared" si="950"/>
        <v>0.2402315484804631</v>
      </c>
      <c r="X1981" s="6" t="s">
        <v>12531</v>
      </c>
      <c r="Y1981" s="6" t="str">
        <f t="shared" si="934"/>
        <v>=1.382*100000000</v>
      </c>
      <c r="Z1981" s="1">
        <f>1.382*100000000</f>
        <v>138200000</v>
      </c>
      <c r="AA1981" s="8">
        <f t="shared" si="951"/>
        <v>0.58577165806081466</v>
      </c>
      <c r="AB1981" s="7" t="s">
        <v>10585</v>
      </c>
      <c r="AC1981" s="6" t="str">
        <f t="shared" si="935"/>
        <v>=8715*10000</v>
      </c>
      <c r="AD1981" s="1">
        <f>8715*10000</f>
        <v>87150000</v>
      </c>
      <c r="AE1981" s="8">
        <f t="shared" si="952"/>
        <v>4.2946537059538272</v>
      </c>
      <c r="AF1981" s="7" t="s">
        <v>17497</v>
      </c>
      <c r="AG1981" s="6" t="str">
        <f t="shared" si="936"/>
        <v>=1646*10000</v>
      </c>
      <c r="AH1981" s="1">
        <f>1646*10000</f>
        <v>16460000</v>
      </c>
      <c r="AI1981" s="8">
        <f t="shared" si="953"/>
        <v>-0.83783251231527089</v>
      </c>
      <c r="AJ1981" s="6" t="s">
        <v>4010</v>
      </c>
      <c r="AK1981" s="6" t="str">
        <f t="shared" si="937"/>
        <v>=1.015*100000000</v>
      </c>
      <c r="AL1981" s="1">
        <f>1.015*100000000</f>
        <v>101499999.99999999</v>
      </c>
      <c r="AM1981" s="8">
        <f t="shared" si="954"/>
        <v>7.9327945555082782E-2</v>
      </c>
      <c r="AN1981" s="7" t="s">
        <v>8374</v>
      </c>
      <c r="AO1981" s="6" t="str">
        <f t="shared" si="938"/>
        <v>=9404*10000</v>
      </c>
      <c r="AP1981" s="1">
        <f>9404*10000</f>
        <v>94040000</v>
      </c>
      <c r="AQ1981" s="8">
        <f t="shared" si="955"/>
        <v>0.56316489361702127</v>
      </c>
      <c r="AR1981" s="7" t="s">
        <v>9487</v>
      </c>
      <c r="AS1981" s="6" t="str">
        <f t="shared" si="939"/>
        <v>=6016*10000</v>
      </c>
      <c r="AT1981" s="1">
        <f>6016*10000</f>
        <v>60160000</v>
      </c>
      <c r="AU1981" s="8">
        <f t="shared" si="956"/>
        <v>1.9034749034749034</v>
      </c>
      <c r="AV1981" s="7" t="s">
        <v>10893</v>
      </c>
      <c r="AW1981" s="6" t="str">
        <f t="shared" si="940"/>
        <v>=2072*10000</v>
      </c>
      <c r="AX1981" s="1">
        <f>2072*10000</f>
        <v>20720000</v>
      </c>
      <c r="AY1981" s="10">
        <f t="shared" si="957"/>
        <v>-0.71202223766504513</v>
      </c>
      <c r="AZ1981" s="7" t="s">
        <v>1246</v>
      </c>
      <c r="BA1981" s="6" t="str">
        <f t="shared" si="941"/>
        <v>=7195*10000</v>
      </c>
      <c r="BB1981" s="1">
        <f>7195*10000</f>
        <v>71950000</v>
      </c>
      <c r="BC1981" s="8">
        <f t="shared" si="958"/>
        <v>7.45221027479092E-2</v>
      </c>
      <c r="BD1981" s="7" t="s">
        <v>17498</v>
      </c>
      <c r="BE1981" s="6" t="str">
        <f t="shared" si="942"/>
        <v>=6696*10000</v>
      </c>
      <c r="BF1981" s="1">
        <f>6696*10000</f>
        <v>66960000</v>
      </c>
      <c r="BG1981" s="8">
        <f t="shared" si="959"/>
        <v>0.56888472352389874</v>
      </c>
      <c r="BH1981" s="7" t="s">
        <v>17499</v>
      </c>
      <c r="BI1981" s="6" t="str">
        <f t="shared" si="943"/>
        <v>=4268*10000</v>
      </c>
      <c r="BJ1981" s="1">
        <f>4268*10000</f>
        <v>42680000</v>
      </c>
      <c r="BK1981" s="7" t="s">
        <v>17500</v>
      </c>
      <c r="BL1981" s="1" t="str">
        <f t="shared" si="945"/>
        <v>=1336*10000</v>
      </c>
      <c r="BM1981" s="16">
        <f t="shared" si="960"/>
        <v>2.1946107784431139</v>
      </c>
      <c r="BN1981" s="1">
        <f>1336*10000</f>
        <v>13360000</v>
      </c>
    </row>
    <row r="1982" spans="1:66">
      <c r="A1982" s="17">
        <v>497</v>
      </c>
      <c r="B1982">
        <v>603906</v>
      </c>
      <c r="C1982" t="s">
        <v>31</v>
      </c>
      <c r="D1982" s="6" t="s">
        <v>13881</v>
      </c>
      <c r="E1982" s="7" t="str">
        <f t="shared" si="944"/>
        <v>=40.54*100000000</v>
      </c>
      <c r="F1982" s="1">
        <f>40.54*100000000</f>
        <v>4054000000</v>
      </c>
      <c r="G1982" s="8">
        <f t="shared" si="946"/>
        <v>0.75118790496760257</v>
      </c>
      <c r="H1982" s="6" t="s">
        <v>17501</v>
      </c>
      <c r="I1982" s="6" t="str">
        <f t="shared" si="930"/>
        <v>=23.15*100000000</v>
      </c>
      <c r="J1982" s="1">
        <f>23.15*100000000</f>
        <v>2315000000</v>
      </c>
      <c r="K1982" s="10">
        <f t="shared" si="947"/>
        <v>0.81426332288401249</v>
      </c>
      <c r="L1982" s="6" t="s">
        <v>8939</v>
      </c>
      <c r="M1982" s="6" t="str">
        <f t="shared" si="931"/>
        <v>=12.76*100000000</v>
      </c>
      <c r="N1982" s="1">
        <f>12.76*100000000</f>
        <v>1276000000</v>
      </c>
      <c r="O1982" s="8">
        <f t="shared" si="948"/>
        <v>1.1441774491682071</v>
      </c>
      <c r="P1982" s="6" t="s">
        <v>5839</v>
      </c>
      <c r="Q1982" s="6" t="str">
        <f t="shared" si="932"/>
        <v>=5.951*100000000</v>
      </c>
      <c r="R1982" s="11">
        <f>5.951*100000000</f>
        <v>595100000</v>
      </c>
      <c r="S1982" s="8">
        <f t="shared" si="949"/>
        <v>-0.68924281984334201</v>
      </c>
      <c r="T1982" s="6" t="s">
        <v>13549</v>
      </c>
      <c r="U1982" s="6" t="str">
        <f t="shared" si="933"/>
        <v>=19.15*100000000</v>
      </c>
      <c r="V1982" s="1">
        <f>19.15*100000000</f>
        <v>1914999999.9999998</v>
      </c>
      <c r="W1982" s="8">
        <f t="shared" si="950"/>
        <v>0.39781021897810204</v>
      </c>
      <c r="X1982" s="6" t="s">
        <v>4226</v>
      </c>
      <c r="Y1982" s="6" t="str">
        <f t="shared" si="934"/>
        <v>=13.70*100000000</v>
      </c>
      <c r="Z1982" s="1">
        <f>13.7*100000000</f>
        <v>1370000000</v>
      </c>
      <c r="AA1982" s="8">
        <f t="shared" si="951"/>
        <v>0.67175106772422211</v>
      </c>
      <c r="AB1982" s="6" t="s">
        <v>17502</v>
      </c>
      <c r="AC1982" s="6" t="str">
        <f t="shared" si="935"/>
        <v>=8.195*100000000</v>
      </c>
      <c r="AD1982" s="1">
        <f>8.195*100000000</f>
        <v>819500000</v>
      </c>
      <c r="AE1982" s="8">
        <f t="shared" si="952"/>
        <v>1.6073814826598791</v>
      </c>
      <c r="AF1982" s="6" t="s">
        <v>1530</v>
      </c>
      <c r="AG1982" s="6" t="str">
        <f t="shared" si="936"/>
        <v>=3.143*100000000</v>
      </c>
      <c r="AH1982" s="1">
        <f>3.143*100000000</f>
        <v>314300000</v>
      </c>
      <c r="AI1982" s="8">
        <f t="shared" si="953"/>
        <v>-0.81652072387624053</v>
      </c>
      <c r="AJ1982" s="6" t="s">
        <v>6002</v>
      </c>
      <c r="AK1982" s="6" t="str">
        <f t="shared" si="937"/>
        <v>=17.13*100000000</v>
      </c>
      <c r="AL1982" s="1">
        <f>17.13*100000000</f>
        <v>1713000000</v>
      </c>
      <c r="AM1982" s="8">
        <f t="shared" si="954"/>
        <v>0.40755957271980281</v>
      </c>
      <c r="AN1982" s="6" t="s">
        <v>6674</v>
      </c>
      <c r="AO1982" s="6" t="str">
        <f t="shared" si="938"/>
        <v>=12.17*100000000</v>
      </c>
      <c r="AP1982" s="1">
        <f>12.17*100000000</f>
        <v>1217000000</v>
      </c>
      <c r="AQ1982" s="8">
        <f t="shared" si="955"/>
        <v>0.47479398933591838</v>
      </c>
      <c r="AR1982" s="6" t="s">
        <v>17503</v>
      </c>
      <c r="AS1982" s="6" t="str">
        <f t="shared" si="939"/>
        <v>=8.252*100000000</v>
      </c>
      <c r="AT1982" s="1">
        <f>8.252*100000000</f>
        <v>825200000.00000012</v>
      </c>
      <c r="AU1982" s="8">
        <f t="shared" si="956"/>
        <v>0.88876173037308337</v>
      </c>
      <c r="AV1982" s="6" t="s">
        <v>17504</v>
      </c>
      <c r="AW1982" s="6" t="str">
        <f t="shared" si="940"/>
        <v>=4.369*100000000</v>
      </c>
      <c r="AX1982" s="1">
        <f>4.369*100000000</f>
        <v>436900000</v>
      </c>
      <c r="AY1982" s="10">
        <f t="shared" si="957"/>
        <v>-0.70834445927903866</v>
      </c>
      <c r="AZ1982" s="6" t="s">
        <v>9569</v>
      </c>
      <c r="BA1982" s="6" t="str">
        <f t="shared" si="941"/>
        <v>=14.98*100000000</v>
      </c>
      <c r="BB1982" s="1">
        <f>14.98*100000000</f>
        <v>1498000000</v>
      </c>
      <c r="BC1982" s="8">
        <f t="shared" si="958"/>
        <v>0.43075453677172859</v>
      </c>
      <c r="BD1982" s="6" t="s">
        <v>3623</v>
      </c>
      <c r="BE1982" s="6" t="str">
        <f t="shared" si="942"/>
        <v>=10.47*100000000</v>
      </c>
      <c r="BF1982" s="1">
        <f>10.47*100000000</f>
        <v>1047000000.0000001</v>
      </c>
      <c r="BG1982" s="8">
        <f t="shared" si="959"/>
        <v>0.53654241267977709</v>
      </c>
      <c r="BH1982" s="6" t="s">
        <v>17505</v>
      </c>
      <c r="BI1982" s="6" t="str">
        <f t="shared" si="943"/>
        <v>=6.814*100000000</v>
      </c>
      <c r="BJ1982" s="1">
        <f>6.814*100000000</f>
        <v>681400000</v>
      </c>
      <c r="BK1982" s="6" t="s">
        <v>17506</v>
      </c>
      <c r="BL1982" s="1" t="str">
        <f t="shared" si="945"/>
        <v>=3.455*100000000</v>
      </c>
      <c r="BM1982" s="16">
        <f t="shared" si="960"/>
        <v>0.97221418234442836</v>
      </c>
      <c r="BN1982" s="1">
        <f>3.455*100000000</f>
        <v>345500000</v>
      </c>
    </row>
    <row r="1983" spans="1:66">
      <c r="A1983" s="18"/>
      <c r="B1983">
        <v>603906</v>
      </c>
      <c r="C1983" t="s">
        <v>48</v>
      </c>
      <c r="D1983" s="6" t="s">
        <v>17507</v>
      </c>
      <c r="E1983" s="7" t="str">
        <f t="shared" si="944"/>
        <v>=5.064*100000000</v>
      </c>
      <c r="F1983" s="1">
        <f>5.064*100000000</f>
        <v>506400000</v>
      </c>
      <c r="G1983" s="8">
        <f t="shared" si="946"/>
        <v>1.0493727235936867</v>
      </c>
      <c r="H1983" s="6" t="s">
        <v>5289</v>
      </c>
      <c r="I1983" s="6" t="str">
        <f t="shared" ref="I1983:I2037" si="961">"="&amp;H1983</f>
        <v>=2.471*100000000</v>
      </c>
      <c r="J1983" s="1">
        <f>2.471*100000000</f>
        <v>247100000</v>
      </c>
      <c r="K1983" s="10">
        <f t="shared" si="947"/>
        <v>0.40717539863325741</v>
      </c>
      <c r="L1983" s="6" t="s">
        <v>11661</v>
      </c>
      <c r="M1983" s="6" t="str">
        <f t="shared" ref="M1983:M2037" si="962">"="&amp;L1983</f>
        <v>=1.756*100000000</v>
      </c>
      <c r="N1983" s="1">
        <f>1.756*100000000</f>
        <v>175600000</v>
      </c>
      <c r="O1983" s="8">
        <f t="shared" si="948"/>
        <v>1.1284848484848484</v>
      </c>
      <c r="P1983" s="7" t="s">
        <v>8937</v>
      </c>
      <c r="Q1983" s="6" t="str">
        <f t="shared" ref="Q1983:Q2037" si="963">"="&amp;P1983</f>
        <v>=8250*10000</v>
      </c>
      <c r="R1983" s="11">
        <f>8250*10000</f>
        <v>82500000</v>
      </c>
      <c r="S1983" s="8">
        <f t="shared" si="949"/>
        <v>-0.69680264608599785</v>
      </c>
      <c r="T1983" s="6" t="s">
        <v>17508</v>
      </c>
      <c r="U1983" s="6" t="str">
        <f t="shared" ref="U1983:U2037" si="964">"="&amp;T1983</f>
        <v>=2.721*100000000</v>
      </c>
      <c r="V1983" s="1">
        <f>2.721*100000000</f>
        <v>272100000</v>
      </c>
      <c r="W1983" s="8">
        <f t="shared" si="950"/>
        <v>0.45508021390374331</v>
      </c>
      <c r="X1983" s="6" t="s">
        <v>10537</v>
      </c>
      <c r="Y1983" s="6" t="str">
        <f t="shared" ref="Y1983:Y2037" si="965">"="&amp;X1983</f>
        <v>=1.870*100000000</v>
      </c>
      <c r="Z1983" s="1">
        <f>1.87*100000000</f>
        <v>187000000</v>
      </c>
      <c r="AA1983" s="8">
        <f t="shared" si="951"/>
        <v>0.64035087719298267</v>
      </c>
      <c r="AB1983" s="6" t="s">
        <v>6914</v>
      </c>
      <c r="AC1983" s="6" t="str">
        <f t="shared" ref="AC1983:AC2037" si="966">"="&amp;AB1983</f>
        <v>=1.140*100000000</v>
      </c>
      <c r="AD1983" s="1">
        <f>1.14*100000000</f>
        <v>113999999.99999999</v>
      </c>
      <c r="AE1983" s="8">
        <f t="shared" si="952"/>
        <v>2.2478632478632474</v>
      </c>
      <c r="AF1983" s="7" t="s">
        <v>17509</v>
      </c>
      <c r="AG1983" s="6" t="str">
        <f t="shared" ref="AG1983:AG2037" si="967">"="&amp;AF1983</f>
        <v>=3510*10000</v>
      </c>
      <c r="AH1983" s="1">
        <f>3510*10000</f>
        <v>35100000</v>
      </c>
      <c r="AI1983" s="8">
        <f t="shared" si="953"/>
        <v>-0.81037277147487841</v>
      </c>
      <c r="AJ1983" s="6" t="s">
        <v>5011</v>
      </c>
      <c r="AK1983" s="6" t="str">
        <f t="shared" ref="AK1983:AK2037" si="968">"="&amp;AJ1983</f>
        <v>=1.851*100000000</v>
      </c>
      <c r="AL1983" s="1">
        <f>1.851*100000000</f>
        <v>185100000</v>
      </c>
      <c r="AM1983" s="8">
        <f t="shared" si="954"/>
        <v>0.37111111111111111</v>
      </c>
      <c r="AN1983" s="6" t="s">
        <v>11547</v>
      </c>
      <c r="AO1983" s="6" t="str">
        <f t="shared" ref="AO1983:AO2037" si="969">"="&amp;AN1983</f>
        <v>=1.350*100000000</v>
      </c>
      <c r="AP1983" s="1">
        <f>1.35*100000000</f>
        <v>135000000</v>
      </c>
      <c r="AQ1983" s="8">
        <f t="shared" si="955"/>
        <v>0.52645861601085486</v>
      </c>
      <c r="AR1983" s="7" t="s">
        <v>17510</v>
      </c>
      <c r="AS1983" s="6" t="str">
        <f t="shared" ref="AS1983:AS2037" si="970">"="&amp;AR1983</f>
        <v>=8844*10000</v>
      </c>
      <c r="AT1983" s="1">
        <f>8844*10000</f>
        <v>88440000</v>
      </c>
      <c r="AU1983" s="8">
        <f t="shared" si="956"/>
        <v>0.7142857142857143</v>
      </c>
      <c r="AV1983" s="7" t="s">
        <v>17511</v>
      </c>
      <c r="AW1983" s="6" t="str">
        <f t="shared" ref="AW1983:AW2037" si="971">"="&amp;AV1983</f>
        <v>=5159*10000</v>
      </c>
      <c r="AX1983" s="1">
        <f>5159*10000</f>
        <v>51590000</v>
      </c>
      <c r="AY1983" s="10">
        <f t="shared" si="957"/>
        <v>-0.52756410256410258</v>
      </c>
      <c r="AZ1983" s="6" t="s">
        <v>2555</v>
      </c>
      <c r="BA1983" s="6" t="str">
        <f t="shared" ref="BA1983:BA2037" si="972">"="&amp;AZ1983</f>
        <v>=1.092*100000000</v>
      </c>
      <c r="BB1983" s="1">
        <f>1.092*100000000</f>
        <v>109200000.00000001</v>
      </c>
      <c r="BC1983" s="8">
        <f t="shared" si="958"/>
        <v>0.63301929116195621</v>
      </c>
      <c r="BD1983" s="7" t="s">
        <v>15638</v>
      </c>
      <c r="BE1983" s="6" t="str">
        <f t="shared" ref="BE1983:BE2037" si="973">"="&amp;BD1983</f>
        <v>=6687*10000</v>
      </c>
      <c r="BF1983" s="1">
        <f>6687*10000</f>
        <v>66870000</v>
      </c>
      <c r="BG1983" s="8">
        <f t="shared" si="959"/>
        <v>0.29970845481049563</v>
      </c>
      <c r="BH1983" s="7" t="s">
        <v>17512</v>
      </c>
      <c r="BI1983" s="6" t="str">
        <f t="shared" ref="BI1983:BI2037" si="974">"="&amp;BH1983</f>
        <v>=5145*10000</v>
      </c>
      <c r="BJ1983" s="1">
        <f>5145*10000</f>
        <v>51450000</v>
      </c>
      <c r="BK1983" s="7" t="s">
        <v>17513</v>
      </c>
      <c r="BL1983" s="1" t="str">
        <f t="shared" si="945"/>
        <v>=3346*10000</v>
      </c>
      <c r="BM1983" s="16">
        <f t="shared" si="960"/>
        <v>0.53765690376569042</v>
      </c>
      <c r="BN1983" s="1">
        <f>3346*10000</f>
        <v>33460000</v>
      </c>
    </row>
    <row r="1984" spans="1:66">
      <c r="A1984" s="18"/>
      <c r="B1984">
        <v>603906</v>
      </c>
      <c r="C1984" t="s">
        <v>58</v>
      </c>
      <c r="D1984" s="6" t="s">
        <v>3426</v>
      </c>
      <c r="E1984" s="7" t="str">
        <f t="shared" si="944"/>
        <v>=5.065*100000000</v>
      </c>
      <c r="F1984" s="1">
        <f>5.065*100000000</f>
        <v>506500000.00000006</v>
      </c>
      <c r="G1984" s="8">
        <f t="shared" si="946"/>
        <v>1.0075307173999211</v>
      </c>
      <c r="H1984" s="6" t="s">
        <v>8403</v>
      </c>
      <c r="I1984" s="6" t="str">
        <f t="shared" si="961"/>
        <v>=2.523*100000000</v>
      </c>
      <c r="J1984" s="1">
        <f>2.523*100000000</f>
        <v>252300000</v>
      </c>
      <c r="K1984" s="10">
        <f t="shared" si="947"/>
        <v>0.39008264462809916</v>
      </c>
      <c r="L1984" s="6" t="s">
        <v>2222</v>
      </c>
      <c r="M1984" s="6" t="str">
        <f t="shared" si="962"/>
        <v>=1.815*100000000</v>
      </c>
      <c r="N1984" s="1">
        <f>1.815*100000000</f>
        <v>181500000</v>
      </c>
      <c r="O1984" s="8">
        <f t="shared" si="948"/>
        <v>1.233296419342931</v>
      </c>
      <c r="P1984" s="7" t="s">
        <v>9897</v>
      </c>
      <c r="Q1984" s="6" t="str">
        <f t="shared" si="963"/>
        <v>=8127*10000</v>
      </c>
      <c r="R1984" s="11">
        <f>8127*10000</f>
        <v>81270000</v>
      </c>
      <c r="S1984" s="8">
        <f t="shared" si="949"/>
        <v>-0.70263446761800219</v>
      </c>
      <c r="T1984" s="6" t="s">
        <v>2310</v>
      </c>
      <c r="U1984" s="6" t="str">
        <f t="shared" si="964"/>
        <v>=2.733*100000000</v>
      </c>
      <c r="V1984" s="1">
        <f>2.733*100000000</f>
        <v>273300000</v>
      </c>
      <c r="W1984" s="8">
        <f t="shared" si="950"/>
        <v>0.44603174603174606</v>
      </c>
      <c r="X1984" s="6" t="s">
        <v>6286</v>
      </c>
      <c r="Y1984" s="6" t="str">
        <f t="shared" si="965"/>
        <v>=1.890*100000000</v>
      </c>
      <c r="Z1984" s="1">
        <f>1.89*100000000</f>
        <v>189000000</v>
      </c>
      <c r="AA1984" s="8">
        <f t="shared" si="951"/>
        <v>0.62650602409638578</v>
      </c>
      <c r="AB1984" s="6" t="s">
        <v>5579</v>
      </c>
      <c r="AC1984" s="6" t="str">
        <f t="shared" si="966"/>
        <v>=1.162*100000000</v>
      </c>
      <c r="AD1984" s="1">
        <f>1.162*100000000</f>
        <v>116199999.99999999</v>
      </c>
      <c r="AE1984" s="8">
        <f t="shared" si="952"/>
        <v>2.3030130756111422</v>
      </c>
      <c r="AF1984" s="7" t="s">
        <v>17514</v>
      </c>
      <c r="AG1984" s="6" t="str">
        <f t="shared" si="967"/>
        <v>=3518*10000</v>
      </c>
      <c r="AH1984" s="1">
        <f>3518*10000</f>
        <v>35180000</v>
      </c>
      <c r="AI1984" s="8">
        <f t="shared" si="953"/>
        <v>-0.81297182349813923</v>
      </c>
      <c r="AJ1984" s="6" t="s">
        <v>1511</v>
      </c>
      <c r="AK1984" s="6" t="str">
        <f t="shared" si="968"/>
        <v>=1.881*100000000</v>
      </c>
      <c r="AL1984" s="1">
        <f>1.881*100000000</f>
        <v>188100000</v>
      </c>
      <c r="AM1984" s="8">
        <f t="shared" si="954"/>
        <v>0.39540059347181011</v>
      </c>
      <c r="AN1984" s="6" t="s">
        <v>6508</v>
      </c>
      <c r="AO1984" s="6" t="str">
        <f t="shared" si="969"/>
        <v>=1.348*100000000</v>
      </c>
      <c r="AP1984" s="1">
        <f>1.348*100000000</f>
        <v>134800000</v>
      </c>
      <c r="AQ1984" s="8">
        <f t="shared" si="955"/>
        <v>0.52782500283350331</v>
      </c>
      <c r="AR1984" s="7" t="s">
        <v>4601</v>
      </c>
      <c r="AS1984" s="6" t="str">
        <f t="shared" si="970"/>
        <v>=8823*10000</v>
      </c>
      <c r="AT1984" s="1">
        <f>8823*10000</f>
        <v>88230000</v>
      </c>
      <c r="AU1984" s="8">
        <f t="shared" si="956"/>
        <v>0.71386946386946382</v>
      </c>
      <c r="AV1984" s="7" t="s">
        <v>8350</v>
      </c>
      <c r="AW1984" s="6" t="str">
        <f t="shared" si="971"/>
        <v>=5148*10000</v>
      </c>
      <c r="AX1984" s="1">
        <f>5148*10000</f>
        <v>51480000</v>
      </c>
      <c r="AY1984" s="10">
        <f t="shared" si="957"/>
        <v>-0.54158504007123776</v>
      </c>
      <c r="AZ1984" s="6" t="s">
        <v>9183</v>
      </c>
      <c r="BA1984" s="6" t="str">
        <f t="shared" si="972"/>
        <v>=1.123*100000000</v>
      </c>
      <c r="BB1984" s="1">
        <f>1.123*100000000</f>
        <v>112300000</v>
      </c>
      <c r="BC1984" s="8">
        <f t="shared" si="958"/>
        <v>0.60520297312750138</v>
      </c>
      <c r="BD1984" s="7" t="s">
        <v>17515</v>
      </c>
      <c r="BE1984" s="6" t="str">
        <f t="shared" si="973"/>
        <v>=6996*10000</v>
      </c>
      <c r="BF1984" s="1">
        <f>6996*10000</f>
        <v>69960000</v>
      </c>
      <c r="BG1984" s="8">
        <f t="shared" si="959"/>
        <v>0.29531568228105909</v>
      </c>
      <c r="BH1984" s="7" t="s">
        <v>17516</v>
      </c>
      <c r="BI1984" s="6" t="str">
        <f t="shared" si="974"/>
        <v>=5401*10000</v>
      </c>
      <c r="BJ1984" s="1">
        <f>5401*10000</f>
        <v>54010000</v>
      </c>
      <c r="BK1984" s="7" t="s">
        <v>17517</v>
      </c>
      <c r="BL1984" s="1" t="str">
        <f t="shared" si="945"/>
        <v>=3450*10000</v>
      </c>
      <c r="BM1984" s="16">
        <f t="shared" si="960"/>
        <v>0.5655072463768116</v>
      </c>
      <c r="BN1984" s="1">
        <f>3450*10000</f>
        <v>34500000</v>
      </c>
    </row>
    <row r="1985" spans="1:66">
      <c r="A1985" s="19"/>
      <c r="B1985">
        <v>603906</v>
      </c>
      <c r="C1985" t="s">
        <v>68</v>
      </c>
      <c r="D1985" s="6" t="s">
        <v>12525</v>
      </c>
      <c r="E1985" s="7" t="str">
        <f t="shared" si="944"/>
        <v>=4.332*100000000</v>
      </c>
      <c r="F1985" s="1">
        <f>4.332*100000000</f>
        <v>433200000</v>
      </c>
      <c r="G1985" s="8">
        <f t="shared" si="946"/>
        <v>0.9708826205641492</v>
      </c>
      <c r="H1985" s="6" t="s">
        <v>16426</v>
      </c>
      <c r="I1985" s="6" t="str">
        <f t="shared" si="961"/>
        <v>=2.198*100000000</v>
      </c>
      <c r="J1985" s="1">
        <f>2.198*100000000</f>
        <v>219800000</v>
      </c>
      <c r="K1985" s="10">
        <f t="shared" si="947"/>
        <v>0.35178351783517836</v>
      </c>
      <c r="L1985" s="6" t="s">
        <v>5818</v>
      </c>
      <c r="M1985" s="6" t="str">
        <f t="shared" si="962"/>
        <v>=1.626*100000000</v>
      </c>
      <c r="N1985" s="1">
        <f>1.626*100000000</f>
        <v>162600000</v>
      </c>
      <c r="O1985" s="8">
        <f t="shared" si="948"/>
        <v>1.3258475182377343</v>
      </c>
      <c r="P1985" s="7" t="s">
        <v>17518</v>
      </c>
      <c r="Q1985" s="6" t="str">
        <f t="shared" si="963"/>
        <v>=6991*10000</v>
      </c>
      <c r="R1985" s="11">
        <f>6991*10000</f>
        <v>69910000</v>
      </c>
      <c r="S1985" s="8">
        <f t="shared" si="949"/>
        <v>-0.70834376303712976</v>
      </c>
      <c r="T1985" s="6" t="s">
        <v>7651</v>
      </c>
      <c r="U1985" s="6" t="str">
        <f t="shared" si="964"/>
        <v>=2.397*100000000</v>
      </c>
      <c r="V1985" s="1">
        <f>2.397*100000000</f>
        <v>239699999.99999997</v>
      </c>
      <c r="W1985" s="8">
        <f t="shared" si="950"/>
        <v>0.46247712019524084</v>
      </c>
      <c r="X1985" s="6" t="s">
        <v>1688</v>
      </c>
      <c r="Y1985" s="6" t="str">
        <f t="shared" si="965"/>
        <v>=1.639*100000000</v>
      </c>
      <c r="Z1985" s="1">
        <f>1.639*100000000</f>
        <v>163900000</v>
      </c>
      <c r="AA1985" s="8">
        <f t="shared" si="951"/>
        <v>0.63572854291417169</v>
      </c>
      <c r="AB1985" s="6" t="s">
        <v>2523</v>
      </c>
      <c r="AC1985" s="6" t="str">
        <f t="shared" si="966"/>
        <v>=1.002*100000000</v>
      </c>
      <c r="AD1985" s="1">
        <f>1.002*100000000</f>
        <v>100200000</v>
      </c>
      <c r="AE1985" s="8">
        <f t="shared" si="952"/>
        <v>2.1961722488038276</v>
      </c>
      <c r="AF1985" s="7" t="s">
        <v>8269</v>
      </c>
      <c r="AG1985" s="6" t="str">
        <f t="shared" si="967"/>
        <v>=3135*10000</v>
      </c>
      <c r="AH1985" s="1">
        <f>3135*10000</f>
        <v>31350000</v>
      </c>
      <c r="AI1985" s="8">
        <f t="shared" si="953"/>
        <v>-0.80743243243243246</v>
      </c>
      <c r="AJ1985" s="6" t="s">
        <v>15494</v>
      </c>
      <c r="AK1985" s="6" t="str">
        <f t="shared" si="968"/>
        <v>=1.628*100000000</v>
      </c>
      <c r="AL1985" s="1">
        <f>1.628*100000000</f>
        <v>162800000</v>
      </c>
      <c r="AM1985" s="8">
        <f t="shared" si="954"/>
        <v>0.43562610229276916</v>
      </c>
      <c r="AN1985" s="6" t="s">
        <v>10000</v>
      </c>
      <c r="AO1985" s="6" t="str">
        <f t="shared" si="969"/>
        <v>=1.134*100000000</v>
      </c>
      <c r="AP1985" s="1">
        <f>1.134*100000000</f>
        <v>113399999.99999999</v>
      </c>
      <c r="AQ1985" s="8">
        <f t="shared" si="955"/>
        <v>0.53429847111351625</v>
      </c>
      <c r="AR1985" s="7" t="s">
        <v>17519</v>
      </c>
      <c r="AS1985" s="6" t="str">
        <f t="shared" si="970"/>
        <v>=7391*10000</v>
      </c>
      <c r="AT1985" s="1">
        <f>7391*10000</f>
        <v>73910000</v>
      </c>
      <c r="AU1985" s="8">
        <f t="shared" si="956"/>
        <v>0.69751952227836467</v>
      </c>
      <c r="AV1985" s="7" t="s">
        <v>10451</v>
      </c>
      <c r="AW1985" s="6" t="str">
        <f t="shared" si="971"/>
        <v>=4354*10000</v>
      </c>
      <c r="AX1985" s="1">
        <f>4354*10000</f>
        <v>43540000</v>
      </c>
      <c r="AY1985" s="10">
        <f t="shared" si="957"/>
        <v>-0.5625439565960012</v>
      </c>
      <c r="AZ1985" s="7" t="s">
        <v>2944</v>
      </c>
      <c r="BA1985" s="6" t="str">
        <f t="shared" si="972"/>
        <v>=9953*10000</v>
      </c>
      <c r="BB1985" s="1">
        <f>9953*10000</f>
        <v>99530000</v>
      </c>
      <c r="BC1985" s="8">
        <f t="shared" si="958"/>
        <v>0.66243527643226996</v>
      </c>
      <c r="BD1985" s="7" t="s">
        <v>9795</v>
      </c>
      <c r="BE1985" s="6" t="str">
        <f t="shared" si="973"/>
        <v>=5987*10000</v>
      </c>
      <c r="BF1985" s="1">
        <f>5987*10000</f>
        <v>59870000</v>
      </c>
      <c r="BG1985" s="8">
        <f t="shared" si="959"/>
        <v>0.33429908624916427</v>
      </c>
      <c r="BH1985" s="7" t="s">
        <v>17520</v>
      </c>
      <c r="BI1985" s="6" t="str">
        <f t="shared" si="974"/>
        <v>=4487*10000</v>
      </c>
      <c r="BJ1985" s="1">
        <f>4487*10000</f>
        <v>44870000</v>
      </c>
      <c r="BK1985" s="7" t="s">
        <v>17521</v>
      </c>
      <c r="BL1985" s="1" t="str">
        <f t="shared" si="945"/>
        <v>=2856*10000</v>
      </c>
      <c r="BM1985" s="16">
        <f t="shared" si="960"/>
        <v>0.57107843137254899</v>
      </c>
      <c r="BN1985" s="1">
        <f>2856*10000</f>
        <v>28560000</v>
      </c>
    </row>
    <row r="1986" spans="1:66">
      <c r="A1986" s="17">
        <v>498</v>
      </c>
      <c r="B1986">
        <v>603908</v>
      </c>
      <c r="C1986" t="s">
        <v>31</v>
      </c>
      <c r="D1986" s="6" t="s">
        <v>16816</v>
      </c>
      <c r="E1986" s="7" t="str">
        <f t="shared" ref="E1986:E2037" si="975">"="&amp;D1986</f>
        <v>=9.233*100000000</v>
      </c>
      <c r="F1986" s="1">
        <f>9.233*100000000</f>
        <v>923300000</v>
      </c>
      <c r="G1986" s="8">
        <f t="shared" si="946"/>
        <v>0.27545241055394393</v>
      </c>
      <c r="H1986" s="6" t="s">
        <v>11267</v>
      </c>
      <c r="I1986" s="6" t="str">
        <f t="shared" si="961"/>
        <v>=7.239*100000000</v>
      </c>
      <c r="J1986" s="1">
        <f>7.239*100000000</f>
        <v>723900000</v>
      </c>
      <c r="K1986" s="10">
        <f t="shared" si="947"/>
        <v>0.34654017857142855</v>
      </c>
      <c r="L1986" s="6" t="s">
        <v>17522</v>
      </c>
      <c r="M1986" s="6" t="str">
        <f t="shared" si="962"/>
        <v>=5.376*100000000</v>
      </c>
      <c r="N1986" s="1">
        <f>5.376*100000000</f>
        <v>537600000</v>
      </c>
      <c r="O1986" s="8">
        <f t="shared" si="948"/>
        <v>1.5624404194470924</v>
      </c>
      <c r="P1986" s="6" t="s">
        <v>8849</v>
      </c>
      <c r="Q1986" s="6" t="str">
        <f t="shared" si="963"/>
        <v>=2.098*100000000</v>
      </c>
      <c r="R1986" s="11">
        <f>2.098*100000000</f>
        <v>209800000</v>
      </c>
      <c r="S1986" s="8">
        <f t="shared" si="949"/>
        <v>-0.67356464913645553</v>
      </c>
      <c r="T1986" s="6" t="s">
        <v>164</v>
      </c>
      <c r="U1986" s="6" t="str">
        <f t="shared" si="964"/>
        <v>=6.427*100000000</v>
      </c>
      <c r="V1986" s="1">
        <f>6.427*100000000</f>
        <v>642700000</v>
      </c>
      <c r="W1986" s="8">
        <f t="shared" si="950"/>
        <v>0.25920846394984326</v>
      </c>
      <c r="X1986" s="6" t="s">
        <v>126</v>
      </c>
      <c r="Y1986" s="6" t="str">
        <f t="shared" si="965"/>
        <v>=5.104*100000000</v>
      </c>
      <c r="Z1986" s="1">
        <f>5.104*100000000</f>
        <v>510400000</v>
      </c>
      <c r="AA1986" s="8">
        <f t="shared" si="951"/>
        <v>0.36543606206527557</v>
      </c>
      <c r="AB1986" s="6" t="s">
        <v>17523</v>
      </c>
      <c r="AC1986" s="6" t="str">
        <f t="shared" si="966"/>
        <v>=3.738*100000000</v>
      </c>
      <c r="AD1986" s="1">
        <f>3.738*100000000</f>
        <v>373800000</v>
      </c>
      <c r="AE1986" s="8">
        <f t="shared" si="952"/>
        <v>1.2396644697423607</v>
      </c>
      <c r="AF1986" s="6" t="s">
        <v>2431</v>
      </c>
      <c r="AG1986" s="6" t="str">
        <f t="shared" si="967"/>
        <v>=1.669*100000000</v>
      </c>
      <c r="AH1986" s="1">
        <f>1.669*100000000</f>
        <v>166900000</v>
      </c>
      <c r="AI1986" s="8">
        <f t="shared" si="953"/>
        <v>-0.6847374386097469</v>
      </c>
      <c r="AJ1986" s="6" t="s">
        <v>17524</v>
      </c>
      <c r="AK1986" s="6" t="str">
        <f t="shared" si="968"/>
        <v>=5.294*100000000</v>
      </c>
      <c r="AL1986" s="1">
        <f>5.294*100000000</f>
        <v>529399999.99999994</v>
      </c>
      <c r="AM1986" s="8">
        <f t="shared" si="954"/>
        <v>0.1958436864693924</v>
      </c>
      <c r="AN1986" s="6" t="s">
        <v>9207</v>
      </c>
      <c r="AO1986" s="6" t="str">
        <f t="shared" si="969"/>
        <v>=4.427*100000000</v>
      </c>
      <c r="AP1986" s="1">
        <f>4.427*100000000</f>
        <v>442699999.99999994</v>
      </c>
      <c r="AQ1986" s="8">
        <f t="shared" si="955"/>
        <v>0.35216860109957221</v>
      </c>
      <c r="AR1986" s="6" t="s">
        <v>11697</v>
      </c>
      <c r="AS1986" s="6" t="str">
        <f t="shared" si="970"/>
        <v>=3.274*100000000</v>
      </c>
      <c r="AT1986" s="1">
        <f>3.274*100000000</f>
        <v>327400000</v>
      </c>
      <c r="AU1986" s="8">
        <f t="shared" si="956"/>
        <v>1.3269367448471927</v>
      </c>
      <c r="AV1986" s="6" t="s">
        <v>2210</v>
      </c>
      <c r="AW1986" s="6" t="str">
        <f t="shared" si="971"/>
        <v>=1.407*100000000</v>
      </c>
      <c r="AX1986" s="1">
        <f>1.407*100000000</f>
        <v>140700000</v>
      </c>
      <c r="AY1986" s="10">
        <f t="shared" si="957"/>
        <v>-0.74478505350988577</v>
      </c>
      <c r="AZ1986" s="6" t="s">
        <v>17525</v>
      </c>
      <c r="BA1986" s="6" t="str">
        <f t="shared" si="972"/>
        <v>=5.513*100000000</v>
      </c>
      <c r="BB1986" s="1">
        <f>5.513*100000000</f>
        <v>551300000</v>
      </c>
      <c r="BC1986" s="8">
        <f t="shared" si="958"/>
        <v>0.19873885627310284</v>
      </c>
      <c r="BD1986" s="6" t="s">
        <v>17526</v>
      </c>
      <c r="BE1986" s="6" t="str">
        <f t="shared" si="973"/>
        <v>=4.599*100000000</v>
      </c>
      <c r="BF1986" s="1">
        <f>4.599*100000000</f>
        <v>459900000</v>
      </c>
      <c r="BG1986" s="8">
        <f t="shared" si="959"/>
        <v>0.288957399103139</v>
      </c>
      <c r="BH1986" s="6" t="s">
        <v>6955</v>
      </c>
      <c r="BI1986" s="6" t="str">
        <f t="shared" si="974"/>
        <v>=3.568*100000000</v>
      </c>
      <c r="BJ1986" s="1">
        <f>3.568*100000000</f>
        <v>356800000</v>
      </c>
      <c r="BK1986" s="6" t="s">
        <v>4289</v>
      </c>
      <c r="BL1986" s="1" t="str">
        <f t="shared" ref="BL1986:BL2037" si="976">"="&amp;BK1986</f>
        <v>=1.533*100000000</v>
      </c>
      <c r="BM1986" s="16">
        <f t="shared" si="960"/>
        <v>1.3274624918460536</v>
      </c>
      <c r="BN1986" s="1">
        <f>1.533*100000000</f>
        <v>153300000</v>
      </c>
    </row>
    <row r="1987" spans="1:66">
      <c r="A1987" s="18"/>
      <c r="B1987">
        <v>603908</v>
      </c>
      <c r="C1987" t="s">
        <v>48</v>
      </c>
      <c r="D1987" s="7" t="s">
        <v>17527</v>
      </c>
      <c r="E1987" s="7" t="str">
        <f t="shared" si="975"/>
        <v>=9329*10000</v>
      </c>
      <c r="F1987" s="1">
        <f>9329*10000</f>
        <v>93290000</v>
      </c>
      <c r="G1987" s="8">
        <f t="shared" ref="G1987:G2037" si="977">(F1987-J1987)/J1987</f>
        <v>7.3779926335174953E-2</v>
      </c>
      <c r="H1987" s="7" t="s">
        <v>17528</v>
      </c>
      <c r="I1987" s="6" t="str">
        <f t="shared" si="961"/>
        <v>=8688*10000</v>
      </c>
      <c r="J1987" s="1">
        <f>8688*10000</f>
        <v>86880000</v>
      </c>
      <c r="K1987" s="10">
        <f t="shared" ref="K1987:K2037" si="978">(J1987-N1987)/N1987</f>
        <v>0.22194092827004219</v>
      </c>
      <c r="L1987" s="7" t="s">
        <v>17529</v>
      </c>
      <c r="M1987" s="6" t="str">
        <f t="shared" si="962"/>
        <v>=7110*10000</v>
      </c>
      <c r="N1987" s="1">
        <f>7110*10000</f>
        <v>71100000</v>
      </c>
      <c r="O1987" s="8">
        <f t="shared" ref="O1987:O2037" si="979">(N1987-R1987)/R1987</f>
        <v>1.5061684878392669</v>
      </c>
      <c r="P1987" s="7" t="s">
        <v>17530</v>
      </c>
      <c r="Q1987" s="6" t="str">
        <f t="shared" si="963"/>
        <v>=2837*10000</v>
      </c>
      <c r="R1987" s="11">
        <f>2837*10000</f>
        <v>28370000</v>
      </c>
      <c r="S1987" s="8">
        <f t="shared" ref="S1987:S2037" si="980">(R1987-V1987)/V1987</f>
        <v>-0.51768106086365184</v>
      </c>
      <c r="T1987" s="7" t="s">
        <v>16529</v>
      </c>
      <c r="U1987" s="6" t="str">
        <f t="shared" si="964"/>
        <v>=5882*10000</v>
      </c>
      <c r="V1987" s="1">
        <f>5882*10000</f>
        <v>58820000</v>
      </c>
      <c r="W1987" s="8">
        <f t="shared" ref="W1987:W2037" si="981">(V1987-Z1987)/Z1987</f>
        <v>-7.4138202424051627E-2</v>
      </c>
      <c r="X1987" s="7" t="s">
        <v>17531</v>
      </c>
      <c r="Y1987" s="6" t="str">
        <f t="shared" si="965"/>
        <v>=6353*10000</v>
      </c>
      <c r="Z1987" s="1">
        <f>6353*10000</f>
        <v>63530000</v>
      </c>
      <c r="AA1987" s="8">
        <f t="shared" ref="AA1987:AA2037" si="982">(Z1987-AD1987)/AD1987</f>
        <v>0.29785495403472934</v>
      </c>
      <c r="AB1987" s="7" t="s">
        <v>17532</v>
      </c>
      <c r="AC1987" s="6" t="str">
        <f t="shared" si="966"/>
        <v>=4895*10000</v>
      </c>
      <c r="AD1987" s="1">
        <f>4895*10000</f>
        <v>48950000</v>
      </c>
      <c r="AE1987" s="8">
        <f t="shared" ref="AE1987:AE2037" si="983">(AD1987-AH1987)/AH1987</f>
        <v>2.1868489583333335</v>
      </c>
      <c r="AF1987" s="7" t="s">
        <v>16307</v>
      </c>
      <c r="AG1987" s="6" t="str">
        <f t="shared" si="967"/>
        <v>=1536*10000</v>
      </c>
      <c r="AH1987" s="1">
        <f>1536*10000</f>
        <v>15360000</v>
      </c>
      <c r="AI1987" s="8">
        <f t="shared" ref="AI1987:AI2037" si="984">(AH1987-AL1987)/AL1987</f>
        <v>-0.70920106020446805</v>
      </c>
      <c r="AJ1987" s="7" t="s">
        <v>17533</v>
      </c>
      <c r="AK1987" s="6" t="str">
        <f t="shared" si="968"/>
        <v>=5282*10000</v>
      </c>
      <c r="AL1987" s="1">
        <f>5282*10000</f>
        <v>52820000</v>
      </c>
      <c r="AM1987" s="8">
        <f t="shared" ref="AM1987:AM2037" si="985">(AL1987-AP1987)/AP1987</f>
        <v>-5.3744177714080972E-2</v>
      </c>
      <c r="AN1987" s="7" t="s">
        <v>17534</v>
      </c>
      <c r="AO1987" s="6" t="str">
        <f t="shared" si="969"/>
        <v>=5582*10000</v>
      </c>
      <c r="AP1987" s="1">
        <f>5582*10000</f>
        <v>55820000</v>
      </c>
      <c r="AQ1987" s="8">
        <f t="shared" ref="AQ1987:AQ2037" si="986">(AP1987-AT1987)/AT1987</f>
        <v>0.14268167860798361</v>
      </c>
      <c r="AR1987" s="7" t="s">
        <v>3726</v>
      </c>
      <c r="AS1987" s="6" t="str">
        <f t="shared" si="970"/>
        <v>=4885*10000</v>
      </c>
      <c r="AT1987" s="1">
        <f>4885*10000</f>
        <v>48850000</v>
      </c>
      <c r="AU1987" s="8">
        <f t="shared" ref="AU1987:AU2037" si="987">(AT1987-AX1987)/AX1987</f>
        <v>1.9895960832313342</v>
      </c>
      <c r="AV1987" s="7" t="s">
        <v>15733</v>
      </c>
      <c r="AW1987" s="6" t="str">
        <f t="shared" si="971"/>
        <v>=1634*10000</v>
      </c>
      <c r="AX1987" s="1">
        <f>1634*10000</f>
        <v>16340000</v>
      </c>
      <c r="AY1987" s="10">
        <f t="shared" ref="AY1987:AY2037" si="988">(AX1987-BB1987)/BB1987</f>
        <v>-0.7113584172407702</v>
      </c>
      <c r="AZ1987" s="7" t="s">
        <v>10445</v>
      </c>
      <c r="BA1987" s="6" t="str">
        <f t="shared" si="972"/>
        <v>=5661*10000</v>
      </c>
      <c r="BB1987" s="1">
        <f>5661*10000</f>
        <v>56610000</v>
      </c>
      <c r="BC1987" s="8">
        <f t="shared" ref="BC1987:BC2037" si="989">(BB1987-BF1987)/BF1987</f>
        <v>1.670258620689655E-2</v>
      </c>
      <c r="BD1987" s="7" t="s">
        <v>7962</v>
      </c>
      <c r="BE1987" s="6" t="str">
        <f t="shared" si="973"/>
        <v>=5568*10000</v>
      </c>
      <c r="BF1987" s="1">
        <f>5568*10000</f>
        <v>55680000</v>
      </c>
      <c r="BG1987" s="8">
        <f t="shared" ref="BG1987:BG2037" si="990">(BF1987-BJ1987)/BJ1987</f>
        <v>7.1593533487297925E-2</v>
      </c>
      <c r="BH1987" s="7" t="s">
        <v>7548</v>
      </c>
      <c r="BI1987" s="6" t="str">
        <f t="shared" si="974"/>
        <v>=5196*10000</v>
      </c>
      <c r="BJ1987" s="1">
        <f>5196*10000</f>
        <v>51960000</v>
      </c>
      <c r="BK1987" s="7" t="s">
        <v>17535</v>
      </c>
      <c r="BL1987" s="1" t="str">
        <f t="shared" si="976"/>
        <v>=2646*10000</v>
      </c>
      <c r="BM1987" s="16">
        <f t="shared" ref="BM1987:BM2037" si="991">(BJ1987-BN1987)/BN1987</f>
        <v>0.96371882086167804</v>
      </c>
      <c r="BN1987" s="1">
        <f>2646*10000</f>
        <v>26460000</v>
      </c>
    </row>
    <row r="1988" spans="1:66">
      <c r="A1988" s="18"/>
      <c r="B1988">
        <v>603908</v>
      </c>
      <c r="C1988" t="s">
        <v>58</v>
      </c>
      <c r="D1988" s="7" t="s">
        <v>17536</v>
      </c>
      <c r="E1988" s="7" t="str">
        <f t="shared" si="975"/>
        <v>=9339*10000</v>
      </c>
      <c r="F1988" s="1">
        <f>9339*10000</f>
        <v>93390000</v>
      </c>
      <c r="G1988" s="8">
        <f t="shared" si="977"/>
        <v>7.716262975778547E-2</v>
      </c>
      <c r="H1988" s="7" t="s">
        <v>2787</v>
      </c>
      <c r="I1988" s="6" t="str">
        <f t="shared" si="961"/>
        <v>=8670*10000</v>
      </c>
      <c r="J1988" s="1">
        <f>8670*10000</f>
        <v>86700000</v>
      </c>
      <c r="K1988" s="10">
        <f t="shared" si="978"/>
        <v>0.22908987808335696</v>
      </c>
      <c r="L1988" s="7" t="s">
        <v>10375</v>
      </c>
      <c r="M1988" s="6" t="str">
        <f t="shared" si="962"/>
        <v>=7054*10000</v>
      </c>
      <c r="N1988" s="1">
        <f>7054*10000</f>
        <v>70540000</v>
      </c>
      <c r="O1988" s="8">
        <f t="shared" si="979"/>
        <v>1.4969911504424778</v>
      </c>
      <c r="P1988" s="7" t="s">
        <v>9760</v>
      </c>
      <c r="Q1988" s="6" t="str">
        <f t="shared" si="963"/>
        <v>=2825*10000</v>
      </c>
      <c r="R1988" s="11">
        <f>2825*10000</f>
        <v>28250000</v>
      </c>
      <c r="S1988" s="8">
        <f t="shared" si="980"/>
        <v>-0.51767116271128566</v>
      </c>
      <c r="T1988" s="7" t="s">
        <v>15525</v>
      </c>
      <c r="U1988" s="6" t="str">
        <f t="shared" si="964"/>
        <v>=5857*10000</v>
      </c>
      <c r="V1988" s="1">
        <f>5857*10000</f>
        <v>58570000</v>
      </c>
      <c r="W1988" s="8">
        <f t="shared" si="981"/>
        <v>-8.3268117076224765E-2</v>
      </c>
      <c r="X1988" s="7" t="s">
        <v>17537</v>
      </c>
      <c r="Y1988" s="6" t="str">
        <f t="shared" si="965"/>
        <v>=6389*10000</v>
      </c>
      <c r="Z1988" s="1">
        <f>6389*10000</f>
        <v>63890000</v>
      </c>
      <c r="AA1988" s="8">
        <f t="shared" si="982"/>
        <v>0.30307974709361618</v>
      </c>
      <c r="AB1988" s="7" t="s">
        <v>17538</v>
      </c>
      <c r="AC1988" s="6" t="str">
        <f t="shared" si="966"/>
        <v>=4903*10000</v>
      </c>
      <c r="AD1988" s="1">
        <f>4903*10000</f>
        <v>49030000</v>
      </c>
      <c r="AE1988" s="8">
        <f t="shared" si="983"/>
        <v>2.1920572916666665</v>
      </c>
      <c r="AF1988" s="7" t="s">
        <v>16307</v>
      </c>
      <c r="AG1988" s="6" t="str">
        <f t="shared" si="967"/>
        <v>=1536*10000</v>
      </c>
      <c r="AH1988" s="1">
        <f>1536*10000</f>
        <v>15360000</v>
      </c>
      <c r="AI1988" s="8">
        <f t="shared" si="984"/>
        <v>-0.71842346471127405</v>
      </c>
      <c r="AJ1988" s="7" t="s">
        <v>4980</v>
      </c>
      <c r="AK1988" s="6" t="str">
        <f t="shared" si="968"/>
        <v>=5455*10000</v>
      </c>
      <c r="AL1988" s="1">
        <f>5455*10000</f>
        <v>54550000</v>
      </c>
      <c r="AM1988" s="8">
        <f t="shared" si="985"/>
        <v>-4.4992997198879552E-2</v>
      </c>
      <c r="AN1988" s="7" t="s">
        <v>10354</v>
      </c>
      <c r="AO1988" s="6" t="str">
        <f t="shared" si="969"/>
        <v>=5712*10000</v>
      </c>
      <c r="AP1988" s="1">
        <f>5712*10000</f>
        <v>57120000</v>
      </c>
      <c r="AQ1988" s="8">
        <f t="shared" si="986"/>
        <v>0.16381418092909536</v>
      </c>
      <c r="AR1988" s="7" t="s">
        <v>17539</v>
      </c>
      <c r="AS1988" s="6" t="str">
        <f t="shared" si="970"/>
        <v>=4908*10000</v>
      </c>
      <c r="AT1988" s="1">
        <f>4908*10000</f>
        <v>49080000</v>
      </c>
      <c r="AU1988" s="8">
        <f t="shared" si="987"/>
        <v>1.8190695002871913</v>
      </c>
      <c r="AV1988" s="7" t="s">
        <v>16800</v>
      </c>
      <c r="AW1988" s="6" t="str">
        <f t="shared" si="971"/>
        <v>=1741*10000</v>
      </c>
      <c r="AX1988" s="1">
        <f>1741*10000</f>
        <v>17410000</v>
      </c>
      <c r="AY1988" s="10">
        <f t="shared" si="988"/>
        <v>-0.70660599932591839</v>
      </c>
      <c r="AZ1988" s="7" t="s">
        <v>2095</v>
      </c>
      <c r="BA1988" s="6" t="str">
        <f t="shared" si="972"/>
        <v>=5934*10000</v>
      </c>
      <c r="BB1988" s="1">
        <f>5934*10000</f>
        <v>59340000</v>
      </c>
      <c r="BC1988" s="8">
        <f t="shared" si="989"/>
        <v>2.7710426047800486E-2</v>
      </c>
      <c r="BD1988" s="7" t="s">
        <v>16868</v>
      </c>
      <c r="BE1988" s="6" t="str">
        <f t="shared" si="973"/>
        <v>=5774*10000</v>
      </c>
      <c r="BF1988" s="1">
        <f>5774*10000</f>
        <v>57740000</v>
      </c>
      <c r="BG1988" s="8">
        <f t="shared" si="990"/>
        <v>0.10740314537782893</v>
      </c>
      <c r="BH1988" s="7" t="s">
        <v>14529</v>
      </c>
      <c r="BI1988" s="6" t="str">
        <f t="shared" si="974"/>
        <v>=5214*10000</v>
      </c>
      <c r="BJ1988" s="1">
        <f>5214*10000</f>
        <v>52140000</v>
      </c>
      <c r="BK1988" s="7" t="s">
        <v>15805</v>
      </c>
      <c r="BL1988" s="1" t="str">
        <f t="shared" si="976"/>
        <v>=2656*10000</v>
      </c>
      <c r="BM1988" s="16">
        <f t="shared" si="991"/>
        <v>0.9631024096385542</v>
      </c>
      <c r="BN1988" s="1">
        <f>2656*10000</f>
        <v>26560000</v>
      </c>
    </row>
    <row r="1989" spans="1:66">
      <c r="A1989" s="19"/>
      <c r="B1989">
        <v>603908</v>
      </c>
      <c r="C1989" t="s">
        <v>68</v>
      </c>
      <c r="D1989" s="7" t="s">
        <v>5506</v>
      </c>
      <c r="E1989" s="7" t="str">
        <f t="shared" si="975"/>
        <v>=7861*10000</v>
      </c>
      <c r="F1989" s="1">
        <f>7861*10000</f>
        <v>78610000</v>
      </c>
      <c r="G1989" s="8">
        <f t="shared" si="977"/>
        <v>0.10036394176931691</v>
      </c>
      <c r="H1989" s="7" t="s">
        <v>15601</v>
      </c>
      <c r="I1989" s="6" t="str">
        <f t="shared" si="961"/>
        <v>=7144*10000</v>
      </c>
      <c r="J1989" s="1">
        <f>7144*10000</f>
        <v>71440000</v>
      </c>
      <c r="K1989" s="10">
        <f t="shared" si="978"/>
        <v>0.33707654875538084</v>
      </c>
      <c r="L1989" s="7" t="s">
        <v>8851</v>
      </c>
      <c r="M1989" s="6" t="str">
        <f t="shared" si="962"/>
        <v>=5343*10000</v>
      </c>
      <c r="N1989" s="1">
        <f>5343*10000</f>
        <v>53430000</v>
      </c>
      <c r="O1989" s="8">
        <f t="shared" si="979"/>
        <v>1.5190947666195191</v>
      </c>
      <c r="P1989" s="7" t="s">
        <v>17540</v>
      </c>
      <c r="Q1989" s="6" t="str">
        <f t="shared" si="963"/>
        <v>=2121*10000</v>
      </c>
      <c r="R1989" s="11">
        <f>2121*10000</f>
        <v>21210000</v>
      </c>
      <c r="S1989" s="8">
        <f t="shared" si="980"/>
        <v>-0.53861213835109856</v>
      </c>
      <c r="T1989" s="7" t="s">
        <v>17541</v>
      </c>
      <c r="U1989" s="6" t="str">
        <f t="shared" si="964"/>
        <v>=4597*10000</v>
      </c>
      <c r="V1989" s="1">
        <f>4597*10000</f>
        <v>45970000</v>
      </c>
      <c r="W1989" s="8">
        <f t="shared" si="981"/>
        <v>-7.2062979410577307E-2</v>
      </c>
      <c r="X1989" s="7" t="s">
        <v>16069</v>
      </c>
      <c r="Y1989" s="6" t="str">
        <f t="shared" si="965"/>
        <v>=4954*10000</v>
      </c>
      <c r="Z1989" s="1">
        <f>4954*10000</f>
        <v>49540000</v>
      </c>
      <c r="AA1989" s="8">
        <f t="shared" si="982"/>
        <v>0.31475583864118895</v>
      </c>
      <c r="AB1989" s="7" t="s">
        <v>17542</v>
      </c>
      <c r="AC1989" s="6" t="str">
        <f t="shared" si="966"/>
        <v>=3768*10000</v>
      </c>
      <c r="AD1989" s="1">
        <f>3768*10000</f>
        <v>37680000</v>
      </c>
      <c r="AE1989" s="8">
        <f t="shared" si="983"/>
        <v>2.0240770465489568</v>
      </c>
      <c r="AF1989" s="7" t="s">
        <v>8331</v>
      </c>
      <c r="AG1989" s="6" t="str">
        <f t="shared" si="967"/>
        <v>=1246*10000</v>
      </c>
      <c r="AH1989" s="1">
        <f>1246*10000</f>
        <v>12460000</v>
      </c>
      <c r="AI1989" s="8">
        <f t="shared" si="984"/>
        <v>-0.69453297376808043</v>
      </c>
      <c r="AJ1989" s="7" t="s">
        <v>17543</v>
      </c>
      <c r="AK1989" s="6" t="str">
        <f t="shared" si="968"/>
        <v>=4079*10000</v>
      </c>
      <c r="AL1989" s="1">
        <f>4079*10000</f>
        <v>40790000</v>
      </c>
      <c r="AM1989" s="8">
        <f t="shared" si="985"/>
        <v>-3.955733458912173E-2</v>
      </c>
      <c r="AN1989" s="7" t="s">
        <v>17544</v>
      </c>
      <c r="AO1989" s="6" t="str">
        <f t="shared" si="969"/>
        <v>=4247*10000</v>
      </c>
      <c r="AP1989" s="1">
        <f>4247*10000</f>
        <v>42470000</v>
      </c>
      <c r="AQ1989" s="8">
        <f t="shared" si="986"/>
        <v>0.14166666666666666</v>
      </c>
      <c r="AR1989" s="7" t="s">
        <v>17545</v>
      </c>
      <c r="AS1989" s="6" t="str">
        <f t="shared" si="970"/>
        <v>=3720*10000</v>
      </c>
      <c r="AT1989" s="1">
        <f>3720*10000</f>
        <v>37200000</v>
      </c>
      <c r="AU1989" s="8">
        <f t="shared" si="987"/>
        <v>1.9360694554064719</v>
      </c>
      <c r="AV1989" s="7" t="s">
        <v>17546</v>
      </c>
      <c r="AW1989" s="6" t="str">
        <f t="shared" si="971"/>
        <v>=1267*10000</v>
      </c>
      <c r="AX1989" s="1">
        <f>1267*10000</f>
        <v>12670000</v>
      </c>
      <c r="AY1989" s="10">
        <f t="shared" si="988"/>
        <v>-0.6924010682204419</v>
      </c>
      <c r="AZ1989" s="7" t="s">
        <v>17547</v>
      </c>
      <c r="BA1989" s="6" t="str">
        <f t="shared" si="972"/>
        <v>=4119*10000</v>
      </c>
      <c r="BB1989" s="1">
        <f>4119*10000</f>
        <v>41190000</v>
      </c>
      <c r="BC1989" s="8">
        <f t="shared" si="989"/>
        <v>-3.1962397179788486E-2</v>
      </c>
      <c r="BD1989" s="7" t="s">
        <v>17548</v>
      </c>
      <c r="BE1989" s="6" t="str">
        <f t="shared" si="973"/>
        <v>=4255*10000</v>
      </c>
      <c r="BF1989" s="1">
        <f>4255*10000</f>
        <v>42550000</v>
      </c>
      <c r="BG1989" s="8">
        <f t="shared" si="990"/>
        <v>9.5238095238095233E-2</v>
      </c>
      <c r="BH1989" s="7" t="s">
        <v>15644</v>
      </c>
      <c r="BI1989" s="6" t="str">
        <f t="shared" si="974"/>
        <v>=3885*10000</v>
      </c>
      <c r="BJ1989" s="1">
        <f>3885*10000</f>
        <v>38850000</v>
      </c>
      <c r="BK1989" s="7" t="s">
        <v>17549</v>
      </c>
      <c r="BL1989" s="1" t="str">
        <f t="shared" si="976"/>
        <v>=1981*10000</v>
      </c>
      <c r="BM1989" s="16">
        <f t="shared" si="991"/>
        <v>0.96113074204946991</v>
      </c>
      <c r="BN1989" s="1">
        <f>1981*10000</f>
        <v>19810000</v>
      </c>
    </row>
    <row r="1990" spans="1:66">
      <c r="A1990" s="17">
        <v>499</v>
      </c>
      <c r="B1990">
        <v>603909</v>
      </c>
      <c r="C1990" t="s">
        <v>31</v>
      </c>
      <c r="D1990" s="6" t="s">
        <v>12031</v>
      </c>
      <c r="E1990" s="7" t="str">
        <f t="shared" si="975"/>
        <v>=8.414*100000000</v>
      </c>
      <c r="F1990" s="1">
        <f>8.414*100000000</f>
        <v>841400000</v>
      </c>
      <c r="G1990" s="8">
        <f t="shared" si="977"/>
        <v>0.63601011083025472</v>
      </c>
      <c r="H1990" s="6" t="s">
        <v>17550</v>
      </c>
      <c r="I1990" s="6" t="str">
        <f t="shared" si="961"/>
        <v>=5.143*100000000</v>
      </c>
      <c r="J1990" s="1">
        <f>5.143*100000000</f>
        <v>514300000</v>
      </c>
      <c r="K1990" s="10">
        <f t="shared" si="978"/>
        <v>0.48085228908724448</v>
      </c>
      <c r="L1990" s="6" t="s">
        <v>2189</v>
      </c>
      <c r="M1990" s="6" t="str">
        <f t="shared" si="962"/>
        <v>=3.473*100000000</v>
      </c>
      <c r="N1990" s="1">
        <f>3.473*100000000</f>
        <v>347300000</v>
      </c>
      <c r="O1990" s="8">
        <f t="shared" si="979"/>
        <v>0.84439723844928305</v>
      </c>
      <c r="P1990" s="6" t="s">
        <v>11595</v>
      </c>
      <c r="Q1990" s="6" t="str">
        <f t="shared" si="963"/>
        <v>=1.883*100000000</v>
      </c>
      <c r="R1990" s="11">
        <f>1.883*100000000</f>
        <v>188300000</v>
      </c>
      <c r="S1990" s="8">
        <f t="shared" si="980"/>
        <v>-0.76365005648299233</v>
      </c>
      <c r="T1990" s="6" t="s">
        <v>8191</v>
      </c>
      <c r="U1990" s="6" t="str">
        <f t="shared" si="964"/>
        <v>=7.967*100000000</v>
      </c>
      <c r="V1990" s="1">
        <f>7.967*100000000</f>
        <v>796700000</v>
      </c>
      <c r="W1990" s="8">
        <f t="shared" si="981"/>
        <v>0.70162323793250725</v>
      </c>
      <c r="X1990" s="6" t="s">
        <v>17551</v>
      </c>
      <c r="Y1990" s="6" t="str">
        <f t="shared" si="965"/>
        <v>=4.682*100000000</v>
      </c>
      <c r="Z1990" s="1">
        <f>4.682*100000000</f>
        <v>468200000.00000006</v>
      </c>
      <c r="AA1990" s="8">
        <f t="shared" si="982"/>
        <v>0.65558698727015585</v>
      </c>
      <c r="AB1990" s="6" t="s">
        <v>11288</v>
      </c>
      <c r="AC1990" s="6" t="str">
        <f t="shared" si="966"/>
        <v>=2.828*100000000</v>
      </c>
      <c r="AD1990" s="1">
        <f>2.828*100000000</f>
        <v>282800000</v>
      </c>
      <c r="AE1990" s="8">
        <f t="shared" si="983"/>
        <v>1.7114093959731544</v>
      </c>
      <c r="AF1990" s="6" t="s">
        <v>10529</v>
      </c>
      <c r="AG1990" s="6" t="str">
        <f t="shared" si="967"/>
        <v>=1.043*100000000</v>
      </c>
      <c r="AH1990" s="1">
        <f>1.043*100000000</f>
        <v>104300000</v>
      </c>
      <c r="AI1990" s="8">
        <f t="shared" si="984"/>
        <v>-0.86319517313746064</v>
      </c>
      <c r="AJ1990" s="6" t="s">
        <v>8681</v>
      </c>
      <c r="AK1990" s="6" t="str">
        <f t="shared" si="968"/>
        <v>=7.624*100000000</v>
      </c>
      <c r="AL1990" s="1">
        <f>7.624*100000000</f>
        <v>762400000</v>
      </c>
      <c r="AM1990" s="8">
        <f t="shared" si="985"/>
        <v>0.6050526315789474</v>
      </c>
      <c r="AN1990" s="6" t="s">
        <v>11406</v>
      </c>
      <c r="AO1990" s="6" t="str">
        <f t="shared" si="969"/>
        <v>=4.750*100000000</v>
      </c>
      <c r="AP1990" s="1">
        <f>4.75*100000000</f>
        <v>475000000</v>
      </c>
      <c r="AQ1990" s="8">
        <f t="shared" si="986"/>
        <v>0.643598615916955</v>
      </c>
      <c r="AR1990" s="6" t="s">
        <v>16395</v>
      </c>
      <c r="AS1990" s="6" t="str">
        <f t="shared" si="970"/>
        <v>=2.890*100000000</v>
      </c>
      <c r="AT1990" s="1">
        <f>2.89*100000000</f>
        <v>289000000</v>
      </c>
      <c r="AU1990" s="8">
        <f t="shared" si="987"/>
        <v>0.98216735253772292</v>
      </c>
      <c r="AV1990" s="6" t="s">
        <v>3893</v>
      </c>
      <c r="AW1990" s="6" t="str">
        <f t="shared" si="971"/>
        <v>=1.458*100000000</v>
      </c>
      <c r="AX1990" s="1">
        <f>1.458*100000000</f>
        <v>145800000</v>
      </c>
      <c r="AY1990" s="10">
        <f t="shared" si="988"/>
        <v>-0.76864487464297049</v>
      </c>
      <c r="AZ1990" s="6" t="s">
        <v>17552</v>
      </c>
      <c r="BA1990" s="6" t="str">
        <f t="shared" si="972"/>
        <v>=6.302*100000000</v>
      </c>
      <c r="BB1990" s="1">
        <f>6.302*100000000</f>
        <v>630200000</v>
      </c>
      <c r="BC1990" s="8">
        <f t="shared" si="989"/>
        <v>0.8114400689853406</v>
      </c>
      <c r="BD1990" s="6" t="s">
        <v>16385</v>
      </c>
      <c r="BE1990" s="6" t="str">
        <f t="shared" si="973"/>
        <v>=3.479*100000000</v>
      </c>
      <c r="BF1990" s="1">
        <f>3.479*100000000</f>
        <v>347900000</v>
      </c>
      <c r="BG1990" s="8">
        <f t="shared" si="990"/>
        <v>0.79422382671480141</v>
      </c>
      <c r="BH1990" s="6" t="s">
        <v>5300</v>
      </c>
      <c r="BI1990" s="6" t="str">
        <f t="shared" si="974"/>
        <v>=1.939*100000000</v>
      </c>
      <c r="BJ1990" s="1">
        <f>1.939*100000000</f>
        <v>193900000</v>
      </c>
      <c r="BK1990" s="7" t="s">
        <v>15417</v>
      </c>
      <c r="BL1990" s="1" t="str">
        <f t="shared" si="976"/>
        <v>=7684*10000</v>
      </c>
      <c r="BM1990" s="16">
        <f t="shared" si="991"/>
        <v>1.5234252993232691</v>
      </c>
      <c r="BN1990" s="1">
        <f>7684*10000</f>
        <v>76840000</v>
      </c>
    </row>
    <row r="1991" spans="1:66">
      <c r="A1991" s="18"/>
      <c r="B1991">
        <v>603909</v>
      </c>
      <c r="C1991" t="s">
        <v>48</v>
      </c>
      <c r="D1991" s="7" t="s">
        <v>7040</v>
      </c>
      <c r="E1991" s="7" t="str">
        <f t="shared" si="975"/>
        <v>=5385*10000</v>
      </c>
      <c r="F1991" s="1">
        <f>5385*10000</f>
        <v>53850000</v>
      </c>
      <c r="G1991" s="8">
        <f t="shared" si="977"/>
        <v>0.68071161048689144</v>
      </c>
      <c r="H1991" s="7" t="s">
        <v>6528</v>
      </c>
      <c r="I1991" s="6" t="str">
        <f t="shared" si="961"/>
        <v>=3204*10000</v>
      </c>
      <c r="J1991" s="1">
        <f>3204*10000</f>
        <v>32040000</v>
      </c>
      <c r="K1991" s="10">
        <f t="shared" si="978"/>
        <v>0.2031543372136688</v>
      </c>
      <c r="L1991" s="7" t="s">
        <v>17553</v>
      </c>
      <c r="M1991" s="6" t="str">
        <f t="shared" si="962"/>
        <v>=2663*10000</v>
      </c>
      <c r="N1991" s="1">
        <f>2663*10000</f>
        <v>26630000</v>
      </c>
      <c r="O1991" s="8">
        <f t="shared" si="979"/>
        <v>0.71143958868894597</v>
      </c>
      <c r="P1991" s="7" t="s">
        <v>3181</v>
      </c>
      <c r="Q1991" s="6" t="str">
        <f t="shared" si="963"/>
        <v>=1556*10000</v>
      </c>
      <c r="R1991" s="11">
        <f>1556*10000</f>
        <v>15560000</v>
      </c>
      <c r="S1991" s="8">
        <f t="shared" si="980"/>
        <v>-0.74234144725948004</v>
      </c>
      <c r="T1991" s="7" t="s">
        <v>17554</v>
      </c>
      <c r="U1991" s="6" t="str">
        <f t="shared" si="964"/>
        <v>=6039*10000</v>
      </c>
      <c r="V1991" s="1">
        <f>6039*10000</f>
        <v>60390000</v>
      </c>
      <c r="W1991" s="8">
        <f t="shared" si="981"/>
        <v>0.3616685456595265</v>
      </c>
      <c r="X1991" s="7" t="s">
        <v>6626</v>
      </c>
      <c r="Y1991" s="6" t="str">
        <f t="shared" si="965"/>
        <v>=4435*10000</v>
      </c>
      <c r="Z1991" s="1">
        <f>4435*10000</f>
        <v>44350000</v>
      </c>
      <c r="AA1991" s="8">
        <f t="shared" si="982"/>
        <v>1.3015049299429164</v>
      </c>
      <c r="AB1991" s="7" t="s">
        <v>2546</v>
      </c>
      <c r="AC1991" s="6" t="str">
        <f t="shared" si="966"/>
        <v>=1927*10000</v>
      </c>
      <c r="AD1991" s="1">
        <f>1927*10000</f>
        <v>19270000</v>
      </c>
      <c r="AE1991" s="8">
        <f t="shared" si="983"/>
        <v>3.664730089566691</v>
      </c>
      <c r="AF1991" s="7" t="s">
        <v>17555</v>
      </c>
      <c r="AG1991" s="6" t="str">
        <f t="shared" si="967"/>
        <v>=413.1*10000</v>
      </c>
      <c r="AH1991" s="1">
        <f>413.1*10000</f>
        <v>4131000</v>
      </c>
      <c r="AI1991" s="8">
        <f t="shared" si="984"/>
        <v>-0.95481295121417631</v>
      </c>
      <c r="AJ1991" s="7" t="s">
        <v>16040</v>
      </c>
      <c r="AK1991" s="6" t="str">
        <f t="shared" si="968"/>
        <v>=9142*10000</v>
      </c>
      <c r="AL1991" s="1">
        <f>9142*10000</f>
        <v>91420000</v>
      </c>
      <c r="AM1991" s="8">
        <f t="shared" si="985"/>
        <v>0.76622874806800623</v>
      </c>
      <c r="AN1991" s="7" t="s">
        <v>15778</v>
      </c>
      <c r="AO1991" s="6" t="str">
        <f t="shared" si="969"/>
        <v>=5176*10000</v>
      </c>
      <c r="AP1991" s="1">
        <f>5176*10000</f>
        <v>51760000</v>
      </c>
      <c r="AQ1991" s="8">
        <f t="shared" si="986"/>
        <v>1.7753351206434316</v>
      </c>
      <c r="AR1991" s="7" t="s">
        <v>17556</v>
      </c>
      <c r="AS1991" s="6" t="str">
        <f t="shared" si="970"/>
        <v>=1865*10000</v>
      </c>
      <c r="AT1991" s="1">
        <f>1865*10000</f>
        <v>18650000</v>
      </c>
      <c r="AU1991" s="8">
        <f t="shared" si="987"/>
        <v>1.0812409329315924</v>
      </c>
      <c r="AV1991" s="7" t="s">
        <v>17557</v>
      </c>
      <c r="AW1991" s="6" t="str">
        <f t="shared" si="971"/>
        <v>=896.1*10000</v>
      </c>
      <c r="AX1991" s="1">
        <f>896.1*10000</f>
        <v>8961000</v>
      </c>
      <c r="AY1991" s="10">
        <f t="shared" si="988"/>
        <v>-0.89245079212674028</v>
      </c>
      <c r="AZ1991" s="7" t="s">
        <v>11268</v>
      </c>
      <c r="BA1991" s="6" t="str">
        <f t="shared" si="972"/>
        <v>=8332*10000</v>
      </c>
      <c r="BB1991" s="1">
        <f>8332*10000</f>
        <v>83320000</v>
      </c>
      <c r="BC1991" s="8">
        <f t="shared" si="989"/>
        <v>1.0396572827417381</v>
      </c>
      <c r="BD1991" s="7" t="s">
        <v>15551</v>
      </c>
      <c r="BE1991" s="6" t="str">
        <f t="shared" si="973"/>
        <v>=4085*10000</v>
      </c>
      <c r="BF1991" s="1">
        <f>4085*10000</f>
        <v>40850000</v>
      </c>
      <c r="BG1991" s="8">
        <f t="shared" si="990"/>
        <v>2.4443507588532882</v>
      </c>
      <c r="BH1991" s="7" t="s">
        <v>3799</v>
      </c>
      <c r="BI1991" s="6" t="str">
        <f t="shared" si="974"/>
        <v>=1186*10000</v>
      </c>
      <c r="BJ1991" s="1">
        <f>1186*10000</f>
        <v>11860000</v>
      </c>
      <c r="BK1991" s="7" t="s">
        <v>17558</v>
      </c>
      <c r="BL1991" s="1" t="str">
        <f t="shared" si="976"/>
        <v>=377.9*10000</v>
      </c>
      <c r="BM1991" s="16">
        <f t="shared" si="991"/>
        <v>2.1383964011643291</v>
      </c>
      <c r="BN1991" s="1">
        <f>377.9*10000</f>
        <v>3779000</v>
      </c>
    </row>
    <row r="1992" spans="1:66">
      <c r="A1992" s="18"/>
      <c r="B1992">
        <v>603909</v>
      </c>
      <c r="C1992" t="s">
        <v>58</v>
      </c>
      <c r="D1992" s="7" t="s">
        <v>7027</v>
      </c>
      <c r="E1992" s="7" t="str">
        <f t="shared" si="975"/>
        <v>=5075*10000</v>
      </c>
      <c r="F1992" s="1">
        <f>5075*10000</f>
        <v>50750000</v>
      </c>
      <c r="G1992" s="8">
        <f t="shared" si="977"/>
        <v>0.73563611491108072</v>
      </c>
      <c r="H1992" s="7" t="s">
        <v>6143</v>
      </c>
      <c r="I1992" s="6" t="str">
        <f t="shared" si="961"/>
        <v>=2924*10000</v>
      </c>
      <c r="J1992" s="1">
        <f>2924*10000</f>
        <v>29240000</v>
      </c>
      <c r="K1992" s="10">
        <f t="shared" si="978"/>
        <v>0.2218972001671542</v>
      </c>
      <c r="L1992" s="7" t="s">
        <v>17559</v>
      </c>
      <c r="M1992" s="6" t="str">
        <f t="shared" si="962"/>
        <v>=2393*10000</v>
      </c>
      <c r="N1992" s="1">
        <f>2393*10000</f>
        <v>23930000</v>
      </c>
      <c r="O1992" s="8">
        <f t="shared" si="979"/>
        <v>0.54287556415215987</v>
      </c>
      <c r="P1992" s="7" t="s">
        <v>17560</v>
      </c>
      <c r="Q1992" s="6" t="str">
        <f t="shared" si="963"/>
        <v>=1551*10000</v>
      </c>
      <c r="R1992" s="11">
        <f>1551*10000</f>
        <v>15510000</v>
      </c>
      <c r="S1992" s="8">
        <f t="shared" si="980"/>
        <v>-0.7376078497716122</v>
      </c>
      <c r="T1992" s="7" t="s">
        <v>17561</v>
      </c>
      <c r="U1992" s="6" t="str">
        <f t="shared" si="964"/>
        <v>=5911*10000</v>
      </c>
      <c r="V1992" s="1">
        <f>5911*10000</f>
        <v>59110000</v>
      </c>
      <c r="W1992" s="8">
        <f t="shared" si="981"/>
        <v>0.36670520231213871</v>
      </c>
      <c r="X1992" s="7" t="s">
        <v>5597</v>
      </c>
      <c r="Y1992" s="6" t="str">
        <f t="shared" si="965"/>
        <v>=4325*10000</v>
      </c>
      <c r="Z1992" s="1">
        <f>4325*10000</f>
        <v>43250000</v>
      </c>
      <c r="AA1992" s="8">
        <f t="shared" si="982"/>
        <v>1.3441734417344173</v>
      </c>
      <c r="AB1992" s="7" t="s">
        <v>17562</v>
      </c>
      <c r="AC1992" s="6" t="str">
        <f t="shared" si="966"/>
        <v>=1845*10000</v>
      </c>
      <c r="AD1992" s="1">
        <f>1845*10000</f>
        <v>18450000</v>
      </c>
      <c r="AE1992" s="8">
        <f t="shared" si="983"/>
        <v>3.9371153331549373</v>
      </c>
      <c r="AF1992" s="7" t="s">
        <v>17563</v>
      </c>
      <c r="AG1992" s="6" t="str">
        <f t="shared" si="967"/>
        <v>=373.7*10000</v>
      </c>
      <c r="AH1992" s="1">
        <f>373.7*10000</f>
        <v>3737000</v>
      </c>
      <c r="AI1992" s="8">
        <f t="shared" si="984"/>
        <v>-0.95949929554568114</v>
      </c>
      <c r="AJ1992" s="7" t="s">
        <v>16383</v>
      </c>
      <c r="AK1992" s="6" t="str">
        <f t="shared" si="968"/>
        <v>=9227*10000</v>
      </c>
      <c r="AL1992" s="1">
        <f>9227*10000</f>
        <v>92270000</v>
      </c>
      <c r="AM1992" s="8">
        <f t="shared" si="985"/>
        <v>0.80461568550752982</v>
      </c>
      <c r="AN1992" s="7" t="s">
        <v>17564</v>
      </c>
      <c r="AO1992" s="6" t="str">
        <f t="shared" si="969"/>
        <v>=5113*10000</v>
      </c>
      <c r="AP1992" s="1">
        <f>5113*10000</f>
        <v>51130000</v>
      </c>
      <c r="AQ1992" s="8">
        <f t="shared" si="986"/>
        <v>1.7772949483976099</v>
      </c>
      <c r="AR1992" s="7" t="s">
        <v>17565</v>
      </c>
      <c r="AS1992" s="6" t="str">
        <f t="shared" si="970"/>
        <v>=1841*10000</v>
      </c>
      <c r="AT1992" s="1">
        <f>1841*10000</f>
        <v>18410000</v>
      </c>
      <c r="AU1992" s="8">
        <f t="shared" si="987"/>
        <v>1.0476031587142698</v>
      </c>
      <c r="AV1992" s="7" t="s">
        <v>17566</v>
      </c>
      <c r="AW1992" s="6" t="str">
        <f t="shared" si="971"/>
        <v>=899.1*10000</v>
      </c>
      <c r="AX1992" s="1">
        <f>899.1*10000</f>
        <v>8991000</v>
      </c>
      <c r="AY1992" s="10">
        <f t="shared" si="988"/>
        <v>-0.89627365020766037</v>
      </c>
      <c r="AZ1992" s="7" t="s">
        <v>17567</v>
      </c>
      <c r="BA1992" s="6" t="str">
        <f t="shared" si="972"/>
        <v>=8668*10000</v>
      </c>
      <c r="BB1992" s="1">
        <f>8668*10000</f>
        <v>86680000</v>
      </c>
      <c r="BC1992" s="8">
        <f t="shared" si="989"/>
        <v>0.89133755182195074</v>
      </c>
      <c r="BD1992" s="7" t="s">
        <v>5870</v>
      </c>
      <c r="BE1992" s="6" t="str">
        <f t="shared" si="973"/>
        <v>=4583*10000</v>
      </c>
      <c r="BF1992" s="1">
        <f>4583*10000</f>
        <v>45830000</v>
      </c>
      <c r="BG1992" s="8">
        <f t="shared" si="990"/>
        <v>2.8287385129490392</v>
      </c>
      <c r="BH1992" s="7" t="s">
        <v>17568</v>
      </c>
      <c r="BI1992" s="6" t="str">
        <f t="shared" si="974"/>
        <v>=1197*10000</v>
      </c>
      <c r="BJ1992" s="1">
        <f>1197*10000</f>
        <v>11970000</v>
      </c>
      <c r="BK1992" s="7" t="s">
        <v>17569</v>
      </c>
      <c r="BL1992" s="1" t="str">
        <f t="shared" si="976"/>
        <v>=371.8*10000</v>
      </c>
      <c r="BM1992" s="16">
        <f t="shared" si="991"/>
        <v>2.2194728348574504</v>
      </c>
      <c r="BN1992" s="1">
        <f>371.8*10000</f>
        <v>3718000</v>
      </c>
    </row>
    <row r="1993" spans="1:66">
      <c r="A1993" s="19"/>
      <c r="B1993">
        <v>603909</v>
      </c>
      <c r="C1993" t="s">
        <v>68</v>
      </c>
      <c r="D1993" s="7" t="s">
        <v>15195</v>
      </c>
      <c r="E1993" s="7" t="str">
        <f t="shared" si="975"/>
        <v>=4502*10000</v>
      </c>
      <c r="F1993" s="1">
        <f>4502*10000</f>
        <v>45020000</v>
      </c>
      <c r="G1993" s="8">
        <f t="shared" si="977"/>
        <v>0.66371027346637101</v>
      </c>
      <c r="H1993" s="7" t="s">
        <v>13120</v>
      </c>
      <c r="I1993" s="6" t="str">
        <f t="shared" si="961"/>
        <v>=2706*10000</v>
      </c>
      <c r="J1993" s="1">
        <f>2706*10000</f>
        <v>27060000</v>
      </c>
      <c r="K1993" s="10">
        <f t="shared" si="978"/>
        <v>0.2096557890031292</v>
      </c>
      <c r="L1993" s="7" t="s">
        <v>3735</v>
      </c>
      <c r="M1993" s="6" t="str">
        <f t="shared" si="962"/>
        <v>=2237*10000</v>
      </c>
      <c r="N1993" s="1">
        <f>2237*10000</f>
        <v>22370000</v>
      </c>
      <c r="O1993" s="8">
        <f t="shared" si="979"/>
        <v>0.7408560311284047</v>
      </c>
      <c r="P1993" s="7" t="s">
        <v>17570</v>
      </c>
      <c r="Q1993" s="6" t="str">
        <f t="shared" si="963"/>
        <v>=1285*10000</v>
      </c>
      <c r="R1993" s="11">
        <f>1285*10000</f>
        <v>12850000</v>
      </c>
      <c r="S1993" s="8">
        <f t="shared" si="980"/>
        <v>-0.75264677574590955</v>
      </c>
      <c r="T1993" s="7" t="s">
        <v>10344</v>
      </c>
      <c r="U1993" s="6" t="str">
        <f t="shared" si="964"/>
        <v>=5195*10000</v>
      </c>
      <c r="V1993" s="1">
        <f>5195*10000</f>
        <v>51950000</v>
      </c>
      <c r="W1993" s="8">
        <f t="shared" si="981"/>
        <v>0.38755341880341881</v>
      </c>
      <c r="X1993" s="7" t="s">
        <v>17571</v>
      </c>
      <c r="Y1993" s="6" t="str">
        <f t="shared" si="965"/>
        <v>=3744*10000</v>
      </c>
      <c r="Z1993" s="1">
        <f>3744*10000</f>
        <v>37440000</v>
      </c>
      <c r="AA1993" s="8">
        <f t="shared" si="982"/>
        <v>1.2773722627737227</v>
      </c>
      <c r="AB1993" s="7" t="s">
        <v>2470</v>
      </c>
      <c r="AC1993" s="6" t="str">
        <f t="shared" si="966"/>
        <v>=1644*10000</v>
      </c>
      <c r="AD1993" s="1">
        <f>1644*10000</f>
        <v>16440000</v>
      </c>
      <c r="AE1993" s="8">
        <f t="shared" si="983"/>
        <v>5.2628571428571425</v>
      </c>
      <c r="AF1993" s="7" t="s">
        <v>17572</v>
      </c>
      <c r="AG1993" s="6" t="str">
        <f t="shared" si="967"/>
        <v>=262.5*10000</v>
      </c>
      <c r="AH1993" s="1">
        <f>262.5*10000</f>
        <v>2625000</v>
      </c>
      <c r="AI1993" s="8">
        <f t="shared" si="984"/>
        <v>-0.96546507038547558</v>
      </c>
      <c r="AJ1993" s="7" t="s">
        <v>17573</v>
      </c>
      <c r="AK1993" s="6" t="str">
        <f t="shared" si="968"/>
        <v>=7601*10000</v>
      </c>
      <c r="AL1993" s="1">
        <f>7601*10000</f>
        <v>76010000</v>
      </c>
      <c r="AM1993" s="8">
        <f t="shared" si="985"/>
        <v>0.73340935005701258</v>
      </c>
      <c r="AN1993" s="7" t="s">
        <v>16015</v>
      </c>
      <c r="AO1993" s="6" t="str">
        <f t="shared" si="969"/>
        <v>=4385*10000</v>
      </c>
      <c r="AP1993" s="1">
        <f>4385*10000</f>
        <v>43850000</v>
      </c>
      <c r="AQ1993" s="8">
        <f t="shared" si="986"/>
        <v>1.809096732863549</v>
      </c>
      <c r="AR1993" s="7" t="s">
        <v>17574</v>
      </c>
      <c r="AS1993" s="6" t="str">
        <f t="shared" si="970"/>
        <v>=1561*10000</v>
      </c>
      <c r="AT1993" s="1">
        <f>1561*10000</f>
        <v>15610000</v>
      </c>
      <c r="AU1993" s="8">
        <f t="shared" si="987"/>
        <v>1.191492348729468</v>
      </c>
      <c r="AV1993" s="7" t="s">
        <v>17575</v>
      </c>
      <c r="AW1993" s="6" t="str">
        <f t="shared" si="971"/>
        <v>=712.3*10000</v>
      </c>
      <c r="AX1993" s="1">
        <f>712.3*10000</f>
        <v>7123000</v>
      </c>
      <c r="AY1993" s="10">
        <f t="shared" si="988"/>
        <v>-0.89529619285609285</v>
      </c>
      <c r="AZ1993" s="7" t="s">
        <v>17271</v>
      </c>
      <c r="BA1993" s="6" t="str">
        <f t="shared" si="972"/>
        <v>=6803*10000</v>
      </c>
      <c r="BB1993" s="1">
        <f>6803*10000</f>
        <v>68030000</v>
      </c>
      <c r="BC1993" s="8">
        <f t="shared" si="989"/>
        <v>0.98107163657542229</v>
      </c>
      <c r="BD1993" s="7" t="s">
        <v>17576</v>
      </c>
      <c r="BE1993" s="6" t="str">
        <f t="shared" si="973"/>
        <v>=3434*10000</v>
      </c>
      <c r="BF1993" s="1">
        <f>3434*10000</f>
        <v>34340000</v>
      </c>
      <c r="BG1993" s="8">
        <f t="shared" si="990"/>
        <v>5.2778793418647165</v>
      </c>
      <c r="BH1993" s="7" t="s">
        <v>17577</v>
      </c>
      <c r="BI1993" s="6" t="str">
        <f t="shared" si="974"/>
        <v>=547.0*10000</v>
      </c>
      <c r="BJ1993" s="1">
        <f>547*10000</f>
        <v>5470000</v>
      </c>
      <c r="BK1993" s="7" t="s">
        <v>17578</v>
      </c>
      <c r="BL1993" s="1" t="str">
        <f t="shared" si="976"/>
        <v>=236.3*10000</v>
      </c>
      <c r="BM1993" s="16">
        <f t="shared" si="991"/>
        <v>1.3148539991536183</v>
      </c>
      <c r="BN1993" s="1">
        <f>236.3*10000</f>
        <v>2363000</v>
      </c>
    </row>
    <row r="1994" spans="1:66">
      <c r="A1994" s="17">
        <v>500</v>
      </c>
      <c r="B1994">
        <v>603912</v>
      </c>
      <c r="C1994" t="s">
        <v>31</v>
      </c>
      <c r="D1994" s="6" t="s">
        <v>17579</v>
      </c>
      <c r="E1994" s="7" t="str">
        <f t="shared" si="975"/>
        <v>=6.670*100000000</v>
      </c>
      <c r="F1994" s="1">
        <f>6.67*100000000</f>
        <v>667000000</v>
      </c>
      <c r="G1994" s="8">
        <f t="shared" si="977"/>
        <v>0.28466872110939906</v>
      </c>
      <c r="H1994" s="6" t="s">
        <v>17580</v>
      </c>
      <c r="I1994" s="6" t="str">
        <f t="shared" si="961"/>
        <v>=5.192*100000000</v>
      </c>
      <c r="J1994" s="1">
        <f>5.192*100000000</f>
        <v>519200000</v>
      </c>
      <c r="K1994" s="10">
        <f t="shared" si="978"/>
        <v>0.59803016312711599</v>
      </c>
      <c r="L1994" s="6" t="s">
        <v>10191</v>
      </c>
      <c r="M1994" s="6" t="str">
        <f t="shared" si="962"/>
        <v>=3.249*100000000</v>
      </c>
      <c r="N1994" s="1">
        <f>3.249*100000000</f>
        <v>324900000</v>
      </c>
      <c r="O1994" s="8">
        <f t="shared" si="979"/>
        <v>1.3767373811265544</v>
      </c>
      <c r="P1994" s="6" t="s">
        <v>2200</v>
      </c>
      <c r="Q1994" s="6" t="str">
        <f t="shared" si="963"/>
        <v>=1.367*100000000</v>
      </c>
      <c r="R1994" s="11">
        <f>1.367*100000000</f>
        <v>136700000</v>
      </c>
      <c r="S1994" s="8">
        <f t="shared" si="980"/>
        <v>-0.78138493523108909</v>
      </c>
      <c r="T1994" s="6" t="s">
        <v>17581</v>
      </c>
      <c r="U1994" s="6" t="str">
        <f t="shared" si="964"/>
        <v>=6.253*100000000</v>
      </c>
      <c r="V1994" s="1">
        <f>6.253*100000000</f>
        <v>625300000</v>
      </c>
      <c r="W1994" s="8">
        <f t="shared" si="981"/>
        <v>0.39638231353282716</v>
      </c>
      <c r="X1994" s="6" t="s">
        <v>10728</v>
      </c>
      <c r="Y1994" s="6" t="str">
        <f t="shared" si="965"/>
        <v>=4.478*100000000</v>
      </c>
      <c r="Z1994" s="1">
        <f>4.478*100000000</f>
        <v>447800000</v>
      </c>
      <c r="AA1994" s="8">
        <f t="shared" si="982"/>
        <v>0.80056292722155209</v>
      </c>
      <c r="AB1994" s="6" t="s">
        <v>3786</v>
      </c>
      <c r="AC1994" s="6" t="str">
        <f t="shared" si="966"/>
        <v>=2.487*100000000</v>
      </c>
      <c r="AD1994" s="1">
        <f>2.487*100000000</f>
        <v>248700000</v>
      </c>
      <c r="AE1994" s="8">
        <f t="shared" si="983"/>
        <v>2.1516918007857053</v>
      </c>
      <c r="AF1994" s="7" t="s">
        <v>17582</v>
      </c>
      <c r="AG1994" s="6" t="str">
        <f t="shared" si="967"/>
        <v>=7891*10000</v>
      </c>
      <c r="AH1994" s="1">
        <f>7891*10000</f>
        <v>78910000</v>
      </c>
      <c r="AI1994" s="8">
        <f t="shared" si="984"/>
        <v>-0.87647150907952409</v>
      </c>
      <c r="AJ1994" s="6" t="s">
        <v>14978</v>
      </c>
      <c r="AK1994" s="6" t="str">
        <f t="shared" si="968"/>
        <v>=6.388*100000000</v>
      </c>
      <c r="AL1994" s="1">
        <f>6.388*100000000</f>
        <v>638800000</v>
      </c>
      <c r="AM1994" s="8">
        <f t="shared" si="985"/>
        <v>0.27048528241845682</v>
      </c>
      <c r="AN1994" s="6" t="s">
        <v>17583</v>
      </c>
      <c r="AO1994" s="6" t="str">
        <f t="shared" si="969"/>
        <v>=5.028*100000000</v>
      </c>
      <c r="AP1994" s="1">
        <f>5.028*100000000</f>
        <v>502799999.99999994</v>
      </c>
      <c r="AQ1994" s="8">
        <f t="shared" si="986"/>
        <v>0.58712121212121193</v>
      </c>
      <c r="AR1994" s="6" t="s">
        <v>4833</v>
      </c>
      <c r="AS1994" s="6" t="str">
        <f t="shared" si="970"/>
        <v>=3.168*100000000</v>
      </c>
      <c r="AT1994" s="1">
        <f>3.168*100000000</f>
        <v>316800000</v>
      </c>
      <c r="AU1994" s="8">
        <f t="shared" si="987"/>
        <v>0.98496240601503759</v>
      </c>
      <c r="AV1994" s="6" t="s">
        <v>6121</v>
      </c>
      <c r="AW1994" s="6" t="str">
        <f t="shared" si="971"/>
        <v>=1.596*100000000</v>
      </c>
      <c r="AX1994" s="1">
        <f>1.596*100000000</f>
        <v>159600000</v>
      </c>
      <c r="AY1994" s="10">
        <f t="shared" si="988"/>
        <v>-0.70151486815036468</v>
      </c>
      <c r="AZ1994" s="6" t="s">
        <v>17584</v>
      </c>
      <c r="BA1994" s="6" t="str">
        <f t="shared" si="972"/>
        <v>=5.347*100000000</v>
      </c>
      <c r="BB1994" s="1">
        <f>5.347*100000000</f>
        <v>534700000.00000006</v>
      </c>
      <c r="BC1994" s="8">
        <f t="shared" si="989"/>
        <v>0.40858798735511082</v>
      </c>
      <c r="BD1994" s="6" t="s">
        <v>17585</v>
      </c>
      <c r="BE1994" s="6" t="str">
        <f t="shared" si="973"/>
        <v>=3.796*100000000</v>
      </c>
      <c r="BF1994" s="1">
        <f>3.796*100000000</f>
        <v>379600000</v>
      </c>
      <c r="BG1994" s="8">
        <f t="shared" si="990"/>
        <v>0.58762024257632794</v>
      </c>
      <c r="BH1994" s="6" t="s">
        <v>12777</v>
      </c>
      <c r="BI1994" s="6" t="str">
        <f t="shared" si="974"/>
        <v>=2.391*100000000</v>
      </c>
      <c r="BJ1994" s="1">
        <f>2.391*100000000</f>
        <v>239100000</v>
      </c>
      <c r="BK1994" s="7" t="s">
        <v>2007</v>
      </c>
      <c r="BL1994" s="1" t="str">
        <f t="shared" si="976"/>
        <v>=9843*10000</v>
      </c>
      <c r="BM1994" s="16">
        <f t="shared" si="991"/>
        <v>1.4291374580920451</v>
      </c>
      <c r="BN1994" s="1">
        <f>9843*10000</f>
        <v>98430000</v>
      </c>
    </row>
    <row r="1995" spans="1:66">
      <c r="A1995" s="18"/>
      <c r="B1995">
        <v>603912</v>
      </c>
      <c r="C1995" t="s">
        <v>48</v>
      </c>
      <c r="D1995" s="7" t="s">
        <v>17586</v>
      </c>
      <c r="E1995" s="7" t="str">
        <f t="shared" si="975"/>
        <v>=9898*10000</v>
      </c>
      <c r="F1995" s="1">
        <f>9898*10000</f>
        <v>98980000</v>
      </c>
      <c r="G1995" s="8">
        <f t="shared" si="977"/>
        <v>0.13535214498738243</v>
      </c>
      <c r="H1995" s="7" t="s">
        <v>17587</v>
      </c>
      <c r="I1995" s="6" t="str">
        <f t="shared" si="961"/>
        <v>=8718*10000</v>
      </c>
      <c r="J1995" s="1">
        <f>8718*10000</f>
        <v>87180000</v>
      </c>
      <c r="K1995" s="10">
        <f t="shared" si="978"/>
        <v>0.37053922339254836</v>
      </c>
      <c r="L1995" s="7" t="s">
        <v>17588</v>
      </c>
      <c r="M1995" s="6" t="str">
        <f t="shared" si="962"/>
        <v>=6361*10000</v>
      </c>
      <c r="N1995" s="1">
        <f>6361*10000</f>
        <v>63610000</v>
      </c>
      <c r="O1995" s="8">
        <f t="shared" si="979"/>
        <v>1.5784353465747871</v>
      </c>
      <c r="P1995" s="7" t="s">
        <v>17589</v>
      </c>
      <c r="Q1995" s="6" t="str">
        <f t="shared" si="963"/>
        <v>=2467*10000</v>
      </c>
      <c r="R1995" s="11">
        <f>2467*10000</f>
        <v>24670000</v>
      </c>
      <c r="S1995" s="8">
        <f t="shared" si="980"/>
        <v>-0.8106676899462778</v>
      </c>
      <c r="T1995" s="6" t="s">
        <v>7900</v>
      </c>
      <c r="U1995" s="6" t="str">
        <f t="shared" si="964"/>
        <v>=1.303*100000000</v>
      </c>
      <c r="V1995" s="1">
        <f>1.303*100000000</f>
        <v>130300000</v>
      </c>
      <c r="W1995" s="8">
        <f t="shared" si="981"/>
        <v>0.40152737442185649</v>
      </c>
      <c r="X1995" s="7" t="s">
        <v>17590</v>
      </c>
      <c r="Y1995" s="6" t="str">
        <f t="shared" si="965"/>
        <v>=9297*10000</v>
      </c>
      <c r="Z1995" s="1">
        <f>9297*10000</f>
        <v>92970000</v>
      </c>
      <c r="AA1995" s="8">
        <f t="shared" si="982"/>
        <v>1.1411791801013358</v>
      </c>
      <c r="AB1995" s="7" t="s">
        <v>17591</v>
      </c>
      <c r="AC1995" s="6" t="str">
        <f t="shared" si="966"/>
        <v>=4342*10000</v>
      </c>
      <c r="AD1995" s="1">
        <f>4342*10000</f>
        <v>43420000</v>
      </c>
      <c r="AE1995" s="8">
        <f t="shared" si="983"/>
        <v>11.451964439346142</v>
      </c>
      <c r="AF1995" s="7" t="s">
        <v>17592</v>
      </c>
      <c r="AG1995" s="6" t="str">
        <f t="shared" si="967"/>
        <v>=348.7*10000</v>
      </c>
      <c r="AH1995" s="1">
        <f>348.7*10000</f>
        <v>3487000</v>
      </c>
      <c r="AI1995" s="8">
        <f t="shared" si="984"/>
        <v>-0.96416238437821167</v>
      </c>
      <c r="AJ1995" s="7" t="s">
        <v>17593</v>
      </c>
      <c r="AK1995" s="6" t="str">
        <f t="shared" si="968"/>
        <v>=9730*10000</v>
      </c>
      <c r="AL1995" s="1">
        <f>9730*10000</f>
        <v>97300000</v>
      </c>
      <c r="AM1995" s="8">
        <f t="shared" si="985"/>
        <v>0.1294254207777133</v>
      </c>
      <c r="AN1995" s="7" t="s">
        <v>15909</v>
      </c>
      <c r="AO1995" s="6" t="str">
        <f t="shared" si="969"/>
        <v>=8615*10000</v>
      </c>
      <c r="AP1995" s="1">
        <f>8615*10000</f>
        <v>86150000</v>
      </c>
      <c r="AQ1995" s="8">
        <f t="shared" si="986"/>
        <v>0.48304355310724739</v>
      </c>
      <c r="AR1995" s="7" t="s">
        <v>17594</v>
      </c>
      <c r="AS1995" s="6" t="str">
        <f t="shared" si="970"/>
        <v>=5809*10000</v>
      </c>
      <c r="AT1995" s="1">
        <f>5809*10000</f>
        <v>58090000</v>
      </c>
      <c r="AU1995" s="8">
        <f t="shared" si="987"/>
        <v>0.81304619225967545</v>
      </c>
      <c r="AV1995" s="7" t="s">
        <v>6528</v>
      </c>
      <c r="AW1995" s="6" t="str">
        <f t="shared" si="971"/>
        <v>=3204*10000</v>
      </c>
      <c r="AX1995" s="1">
        <f>3204*10000</f>
        <v>32040000</v>
      </c>
      <c r="AY1995" s="10">
        <f t="shared" si="988"/>
        <v>-0.73887530562347192</v>
      </c>
      <c r="AZ1995" s="6" t="s">
        <v>12238</v>
      </c>
      <c r="BA1995" s="6" t="str">
        <f t="shared" si="972"/>
        <v>=1.227*100000000</v>
      </c>
      <c r="BB1995" s="1">
        <f>1.227*100000000</f>
        <v>122700000.00000001</v>
      </c>
      <c r="BC1995" s="8">
        <f t="shared" si="989"/>
        <v>0.32734746862829961</v>
      </c>
      <c r="BD1995" s="7" t="s">
        <v>17595</v>
      </c>
      <c r="BE1995" s="6" t="str">
        <f t="shared" si="973"/>
        <v>=9244*10000</v>
      </c>
      <c r="BF1995" s="1">
        <f>9244*10000</f>
        <v>92440000</v>
      </c>
      <c r="BG1995" s="8">
        <f t="shared" si="990"/>
        <v>0.56731095286537814</v>
      </c>
      <c r="BH1995" s="7" t="s">
        <v>7042</v>
      </c>
      <c r="BI1995" s="6" t="str">
        <f t="shared" si="974"/>
        <v>=5898*10000</v>
      </c>
      <c r="BJ1995" s="1">
        <f>5898*10000</f>
        <v>58980000</v>
      </c>
      <c r="BK1995" s="7" t="s">
        <v>4907</v>
      </c>
      <c r="BL1995" s="1" t="str">
        <f t="shared" si="976"/>
        <v>=2802*10000</v>
      </c>
      <c r="BM1995" s="16">
        <f t="shared" si="991"/>
        <v>1.1049250535331905</v>
      </c>
      <c r="BN1995" s="1">
        <f>2802*10000</f>
        <v>28020000</v>
      </c>
    </row>
    <row r="1996" spans="1:66">
      <c r="A1996" s="18"/>
      <c r="B1996">
        <v>603912</v>
      </c>
      <c r="C1996" t="s">
        <v>58</v>
      </c>
      <c r="D1996" s="7" t="s">
        <v>17596</v>
      </c>
      <c r="E1996" s="7" t="str">
        <f t="shared" si="975"/>
        <v>=9962*10000</v>
      </c>
      <c r="F1996" s="1">
        <f>9962*10000</f>
        <v>99620000</v>
      </c>
      <c r="G1996" s="8">
        <f t="shared" si="977"/>
        <v>0.14505747126436783</v>
      </c>
      <c r="H1996" s="7" t="s">
        <v>6411</v>
      </c>
      <c r="I1996" s="6" t="str">
        <f t="shared" si="961"/>
        <v>=8700*10000</v>
      </c>
      <c r="J1996" s="1">
        <f>8700*10000</f>
        <v>87000000</v>
      </c>
      <c r="K1996" s="10">
        <f t="shared" si="978"/>
        <v>0.37007874015748032</v>
      </c>
      <c r="L1996" s="7" t="s">
        <v>17597</v>
      </c>
      <c r="M1996" s="6" t="str">
        <f t="shared" si="962"/>
        <v>=6350*10000</v>
      </c>
      <c r="N1996" s="1">
        <f>6350*10000</f>
        <v>63500000</v>
      </c>
      <c r="O1996" s="8">
        <f t="shared" si="979"/>
        <v>1.5739764896635591</v>
      </c>
      <c r="P1996" s="7" t="s">
        <v>17589</v>
      </c>
      <c r="Q1996" s="6" t="str">
        <f t="shared" si="963"/>
        <v>=2467*10000</v>
      </c>
      <c r="R1996" s="11">
        <f>2467*10000</f>
        <v>24670000</v>
      </c>
      <c r="S1996" s="8">
        <f t="shared" si="980"/>
        <v>-0.80905572755417954</v>
      </c>
      <c r="T1996" s="6" t="s">
        <v>11080</v>
      </c>
      <c r="U1996" s="6" t="str">
        <f t="shared" si="964"/>
        <v>=1.292*100000000</v>
      </c>
      <c r="V1996" s="1">
        <f>1.292*100000000</f>
        <v>129200000</v>
      </c>
      <c r="W1996" s="8">
        <f t="shared" si="981"/>
        <v>0.4049586776859504</v>
      </c>
      <c r="X1996" s="7" t="s">
        <v>17598</v>
      </c>
      <c r="Y1996" s="6" t="str">
        <f t="shared" si="965"/>
        <v>=9196*10000</v>
      </c>
      <c r="Z1996" s="1">
        <f>9196*10000</f>
        <v>91960000</v>
      </c>
      <c r="AA1996" s="8">
        <f t="shared" si="982"/>
        <v>1.1683565196887526</v>
      </c>
      <c r="AB1996" s="7" t="s">
        <v>10355</v>
      </c>
      <c r="AC1996" s="6" t="str">
        <f t="shared" si="966"/>
        <v>=4241*10000</v>
      </c>
      <c r="AD1996" s="1">
        <f>4241*10000</f>
        <v>42410000</v>
      </c>
      <c r="AE1996" s="8">
        <f t="shared" si="983"/>
        <v>16.121517965280582</v>
      </c>
      <c r="AF1996" s="7" t="s">
        <v>17599</v>
      </c>
      <c r="AG1996" s="6" t="str">
        <f t="shared" si="967"/>
        <v>=247.7*10000</v>
      </c>
      <c r="AH1996" s="1">
        <f>247.7*10000</f>
        <v>2477000</v>
      </c>
      <c r="AI1996" s="8">
        <f t="shared" si="984"/>
        <v>-0.97452694364459069</v>
      </c>
      <c r="AJ1996" s="7" t="s">
        <v>17600</v>
      </c>
      <c r="AK1996" s="6" t="str">
        <f t="shared" si="968"/>
        <v>=9724*10000</v>
      </c>
      <c r="AL1996" s="1">
        <f>9724*10000</f>
        <v>97240000</v>
      </c>
      <c r="AM1996" s="8">
        <f t="shared" si="985"/>
        <v>0.12951562318503893</v>
      </c>
      <c r="AN1996" s="7" t="s">
        <v>17601</v>
      </c>
      <c r="AO1996" s="6" t="str">
        <f t="shared" si="969"/>
        <v>=8609*10000</v>
      </c>
      <c r="AP1996" s="1">
        <f>8609*10000</f>
        <v>86090000</v>
      </c>
      <c r="AQ1996" s="8">
        <f t="shared" si="986"/>
        <v>0.48201067309347562</v>
      </c>
      <c r="AR1996" s="7" t="s">
        <v>17594</v>
      </c>
      <c r="AS1996" s="6" t="str">
        <f t="shared" si="970"/>
        <v>=5809*10000</v>
      </c>
      <c r="AT1996" s="1">
        <f>5809*10000</f>
        <v>58090000</v>
      </c>
      <c r="AU1996" s="8">
        <f t="shared" si="987"/>
        <v>0.81304619225967545</v>
      </c>
      <c r="AV1996" s="7" t="s">
        <v>6528</v>
      </c>
      <c r="AW1996" s="6" t="str">
        <f t="shared" si="971"/>
        <v>=3204*10000</v>
      </c>
      <c r="AX1996" s="1">
        <f>3204*10000</f>
        <v>32040000</v>
      </c>
      <c r="AY1996" s="10">
        <f t="shared" si="988"/>
        <v>-0.73993506493506489</v>
      </c>
      <c r="AZ1996" s="6" t="s">
        <v>17602</v>
      </c>
      <c r="BA1996" s="6" t="str">
        <f t="shared" si="972"/>
        <v>=1.232*100000000</v>
      </c>
      <c r="BB1996" s="1">
        <f>1.232*100000000</f>
        <v>123200000</v>
      </c>
      <c r="BC1996" s="8">
        <f t="shared" si="989"/>
        <v>0.32544378698224852</v>
      </c>
      <c r="BD1996" s="7" t="s">
        <v>17603</v>
      </c>
      <c r="BE1996" s="6" t="str">
        <f t="shared" si="973"/>
        <v>=9295*10000</v>
      </c>
      <c r="BF1996" s="1">
        <f>9295*10000</f>
        <v>92950000</v>
      </c>
      <c r="BG1996" s="8">
        <f t="shared" si="990"/>
        <v>0.56008727760993626</v>
      </c>
      <c r="BH1996" s="7" t="s">
        <v>17604</v>
      </c>
      <c r="BI1996" s="6" t="str">
        <f t="shared" si="974"/>
        <v>=5958*10000</v>
      </c>
      <c r="BJ1996" s="1">
        <f>5958*10000</f>
        <v>59580000</v>
      </c>
      <c r="BK1996" s="7" t="s">
        <v>4907</v>
      </c>
      <c r="BL1996" s="1" t="str">
        <f t="shared" si="976"/>
        <v>=2802*10000</v>
      </c>
      <c r="BM1996" s="16">
        <f t="shared" si="991"/>
        <v>1.126338329764454</v>
      </c>
      <c r="BN1996" s="1">
        <f>2802*10000</f>
        <v>28020000</v>
      </c>
    </row>
    <row r="1997" spans="1:66">
      <c r="A1997" s="19"/>
      <c r="B1997">
        <v>603912</v>
      </c>
      <c r="C1997" t="s">
        <v>68</v>
      </c>
      <c r="D1997" s="7" t="s">
        <v>17605</v>
      </c>
      <c r="E1997" s="7" t="str">
        <f t="shared" si="975"/>
        <v>=8515*10000</v>
      </c>
      <c r="F1997" s="1">
        <f>8515*10000</f>
        <v>85150000</v>
      </c>
      <c r="G1997" s="8">
        <f t="shared" si="977"/>
        <v>0.1611891449611346</v>
      </c>
      <c r="H1997" s="7" t="s">
        <v>17606</v>
      </c>
      <c r="I1997" s="6" t="str">
        <f t="shared" si="961"/>
        <v>=7333*10000</v>
      </c>
      <c r="J1997" s="1">
        <f>7333*10000</f>
        <v>73330000</v>
      </c>
      <c r="K1997" s="10">
        <f t="shared" si="978"/>
        <v>0.38228086710650327</v>
      </c>
      <c r="L1997" s="7" t="s">
        <v>17607</v>
      </c>
      <c r="M1997" s="6" t="str">
        <f t="shared" si="962"/>
        <v>=5305*10000</v>
      </c>
      <c r="N1997" s="1">
        <f>5305*10000</f>
        <v>53050000</v>
      </c>
      <c r="O1997" s="8">
        <f t="shared" si="979"/>
        <v>1.396115627822945</v>
      </c>
      <c r="P1997" s="7" t="s">
        <v>17608</v>
      </c>
      <c r="Q1997" s="6" t="str">
        <f t="shared" si="963"/>
        <v>=2214*10000</v>
      </c>
      <c r="R1997" s="11">
        <f>2214*10000</f>
        <v>22140000</v>
      </c>
      <c r="S1997" s="8">
        <f t="shared" si="980"/>
        <v>-0.80814558058925479</v>
      </c>
      <c r="T1997" s="6" t="s">
        <v>2639</v>
      </c>
      <c r="U1997" s="6" t="str">
        <f t="shared" si="964"/>
        <v>=1.154*100000000</v>
      </c>
      <c r="V1997" s="1">
        <f>1.154*100000000</f>
        <v>115399999.99999999</v>
      </c>
      <c r="W1997" s="8">
        <f t="shared" si="981"/>
        <v>0.39271059618633825</v>
      </c>
      <c r="X1997" s="7" t="s">
        <v>9998</v>
      </c>
      <c r="Y1997" s="6" t="str">
        <f t="shared" si="965"/>
        <v>=8286*10000</v>
      </c>
      <c r="Z1997" s="1">
        <f>8286*10000</f>
        <v>82860000</v>
      </c>
      <c r="AA1997" s="8">
        <f t="shared" si="982"/>
        <v>1.1909042834479111</v>
      </c>
      <c r="AB1997" s="7" t="s">
        <v>1273</v>
      </c>
      <c r="AC1997" s="6" t="str">
        <f t="shared" si="966"/>
        <v>=3782*10000</v>
      </c>
      <c r="AD1997" s="1">
        <f>3782*10000</f>
        <v>37820000</v>
      </c>
      <c r="AE1997" s="8">
        <f t="shared" si="983"/>
        <v>11.846467391304348</v>
      </c>
      <c r="AF1997" s="7" t="s">
        <v>17609</v>
      </c>
      <c r="AG1997" s="6" t="str">
        <f t="shared" si="967"/>
        <v>=294.4*10000</v>
      </c>
      <c r="AH1997" s="1">
        <f>294.4*10000</f>
        <v>2944000</v>
      </c>
      <c r="AI1997" s="8">
        <f t="shared" si="984"/>
        <v>-0.96518860115880334</v>
      </c>
      <c r="AJ1997" s="7" t="s">
        <v>17610</v>
      </c>
      <c r="AK1997" s="6" t="str">
        <f t="shared" si="968"/>
        <v>=8457*10000</v>
      </c>
      <c r="AL1997" s="1">
        <f>8457*10000</f>
        <v>84570000</v>
      </c>
      <c r="AM1997" s="8">
        <f t="shared" si="985"/>
        <v>0.11511075949367089</v>
      </c>
      <c r="AN1997" s="7" t="s">
        <v>15040</v>
      </c>
      <c r="AO1997" s="6" t="str">
        <f t="shared" si="969"/>
        <v>=7584*10000</v>
      </c>
      <c r="AP1997" s="1">
        <f>7584*10000</f>
        <v>75840000</v>
      </c>
      <c r="AQ1997" s="8">
        <f t="shared" si="986"/>
        <v>0.4729073606525539</v>
      </c>
      <c r="AR1997" s="7" t="s">
        <v>17611</v>
      </c>
      <c r="AS1997" s="6" t="str">
        <f t="shared" si="970"/>
        <v>=5149*10000</v>
      </c>
      <c r="AT1997" s="1">
        <f>5149*10000</f>
        <v>51490000</v>
      </c>
      <c r="AU1997" s="8">
        <f t="shared" si="987"/>
        <v>0.85750360750360755</v>
      </c>
      <c r="AV1997" s="7" t="s">
        <v>6825</v>
      </c>
      <c r="AW1997" s="6" t="str">
        <f t="shared" si="971"/>
        <v>=2772*10000</v>
      </c>
      <c r="AX1997" s="1">
        <f>2772*10000</f>
        <v>27720000</v>
      </c>
      <c r="AY1997" s="10">
        <f t="shared" si="988"/>
        <v>-0.74020618556701034</v>
      </c>
      <c r="AZ1997" s="6" t="s">
        <v>1937</v>
      </c>
      <c r="BA1997" s="6" t="str">
        <f t="shared" si="972"/>
        <v>=1.067*100000000</v>
      </c>
      <c r="BB1997" s="1">
        <f>1.067*100000000</f>
        <v>106700000</v>
      </c>
      <c r="BC1997" s="8">
        <f t="shared" si="989"/>
        <v>0.35131712259371833</v>
      </c>
      <c r="BD1997" s="7" t="s">
        <v>17612</v>
      </c>
      <c r="BE1997" s="6" t="str">
        <f t="shared" si="973"/>
        <v>=7896*10000</v>
      </c>
      <c r="BF1997" s="1">
        <f>7896*10000</f>
        <v>78960000</v>
      </c>
      <c r="BG1997" s="8">
        <f t="shared" si="990"/>
        <v>0.56263605778745296</v>
      </c>
      <c r="BH1997" s="7" t="s">
        <v>9942</v>
      </c>
      <c r="BI1997" s="6" t="str">
        <f t="shared" si="974"/>
        <v>=5053*10000</v>
      </c>
      <c r="BJ1997" s="1">
        <f>5053*10000</f>
        <v>50530000</v>
      </c>
      <c r="BK1997" s="7" t="s">
        <v>11304</v>
      </c>
      <c r="BL1997" s="1" t="str">
        <f t="shared" si="976"/>
        <v>=2379*10000</v>
      </c>
      <c r="BM1997" s="16">
        <f t="shared" si="991"/>
        <v>1.1240016813787306</v>
      </c>
      <c r="BN1997" s="1">
        <f>2379*10000</f>
        <v>23790000</v>
      </c>
    </row>
    <row r="1998" spans="1:66">
      <c r="A1998" s="17">
        <v>501</v>
      </c>
      <c r="B1998">
        <v>603918</v>
      </c>
      <c r="C1998" t="s">
        <v>31</v>
      </c>
      <c r="D1998" s="6" t="s">
        <v>2433</v>
      </c>
      <c r="E1998" s="7" t="str">
        <f t="shared" si="975"/>
        <v>=11.22*100000000</v>
      </c>
      <c r="F1998" s="1">
        <f>11.22*100000000</f>
        <v>1122000000</v>
      </c>
      <c r="G1998" s="8">
        <f t="shared" si="977"/>
        <v>0.80705427605089386</v>
      </c>
      <c r="H1998" s="6" t="s">
        <v>17613</v>
      </c>
      <c r="I1998" s="6" t="str">
        <f t="shared" si="961"/>
        <v>=6.209*100000000</v>
      </c>
      <c r="J1998" s="1">
        <f>6.209*100000000</f>
        <v>620900000</v>
      </c>
      <c r="K1998" s="10">
        <f t="shared" si="978"/>
        <v>0.56674236689376734</v>
      </c>
      <c r="L1998" s="6" t="s">
        <v>5927</v>
      </c>
      <c r="M1998" s="6" t="str">
        <f t="shared" si="962"/>
        <v>=3.963*100000000</v>
      </c>
      <c r="N1998" s="1">
        <f>3.963*100000000</f>
        <v>396300000</v>
      </c>
      <c r="O1998" s="8">
        <f t="shared" si="979"/>
        <v>1.4208918753817961</v>
      </c>
      <c r="P1998" s="6" t="s">
        <v>3084</v>
      </c>
      <c r="Q1998" s="6" t="str">
        <f t="shared" si="963"/>
        <v>=1.637*100000000</v>
      </c>
      <c r="R1998" s="11">
        <f>1.637*100000000</f>
        <v>163700000</v>
      </c>
      <c r="S1998" s="8">
        <f t="shared" si="980"/>
        <v>-0.83695219123505971</v>
      </c>
      <c r="T1998" s="6" t="s">
        <v>602</v>
      </c>
      <c r="U1998" s="6" t="str">
        <f t="shared" si="964"/>
        <v>=10.04*100000000</v>
      </c>
      <c r="V1998" s="1">
        <f>10.04*100000000</f>
        <v>1003999999.9999999</v>
      </c>
      <c r="W1998" s="8">
        <f t="shared" si="981"/>
        <v>0.89899754113864172</v>
      </c>
      <c r="X1998" s="6" t="s">
        <v>9637</v>
      </c>
      <c r="Y1998" s="6" t="str">
        <f t="shared" si="965"/>
        <v>=5.287*100000000</v>
      </c>
      <c r="Z1998" s="1">
        <f>5.287*100000000</f>
        <v>528700000</v>
      </c>
      <c r="AA1998" s="8">
        <f t="shared" si="982"/>
        <v>0.75124213315667443</v>
      </c>
      <c r="AB1998" s="6" t="s">
        <v>12242</v>
      </c>
      <c r="AC1998" s="6" t="str">
        <f t="shared" si="966"/>
        <v>=3.019*100000000</v>
      </c>
      <c r="AD1998" s="1">
        <f>3.019*100000000</f>
        <v>301900000</v>
      </c>
      <c r="AE1998" s="8">
        <f t="shared" si="983"/>
        <v>3.1486876460079705</v>
      </c>
      <c r="AF1998" s="7" t="s">
        <v>17614</v>
      </c>
      <c r="AG1998" s="6" t="str">
        <f t="shared" si="967"/>
        <v>=7277*10000</v>
      </c>
      <c r="AH1998" s="1">
        <f>7277*10000</f>
        <v>72770000</v>
      </c>
      <c r="AI1998" s="8">
        <f t="shared" si="984"/>
        <v>-0.92296210035994075</v>
      </c>
      <c r="AJ1998" s="6" t="s">
        <v>17615</v>
      </c>
      <c r="AK1998" s="6" t="str">
        <f t="shared" si="968"/>
        <v>=9.446*100000000</v>
      </c>
      <c r="AL1998" s="1">
        <f>9.446*100000000</f>
        <v>944600000</v>
      </c>
      <c r="AM1998" s="8">
        <f t="shared" si="985"/>
        <v>0.75674167751534316</v>
      </c>
      <c r="AN1998" s="6" t="s">
        <v>17616</v>
      </c>
      <c r="AO1998" s="6" t="str">
        <f t="shared" si="969"/>
        <v>=5.377*100000000</v>
      </c>
      <c r="AP1998" s="1">
        <f>5.377*100000000</f>
        <v>537700000</v>
      </c>
      <c r="AQ1998" s="8">
        <f t="shared" si="986"/>
        <v>0.6007740398928253</v>
      </c>
      <c r="AR1998" s="6" t="s">
        <v>17617</v>
      </c>
      <c r="AS1998" s="6" t="str">
        <f t="shared" si="970"/>
        <v>=3.359*100000000</v>
      </c>
      <c r="AT1998" s="1">
        <f>3.359*100000000</f>
        <v>335900000</v>
      </c>
      <c r="AU1998" s="8">
        <f t="shared" si="987"/>
        <v>1.7991666666666666</v>
      </c>
      <c r="AV1998" s="6" t="s">
        <v>3578</v>
      </c>
      <c r="AW1998" s="6" t="str">
        <f t="shared" si="971"/>
        <v>=1.200*100000000</v>
      </c>
      <c r="AX1998" s="1">
        <f>1.2*100000000</f>
        <v>120000000</v>
      </c>
      <c r="AY1998" s="10">
        <f t="shared" si="988"/>
        <v>-0.85592508104214193</v>
      </c>
      <c r="AZ1998" s="6" t="s">
        <v>9507</v>
      </c>
      <c r="BA1998" s="6" t="str">
        <f t="shared" si="972"/>
        <v>=8.329*100000000</v>
      </c>
      <c r="BB1998" s="1">
        <f>8.329*100000000</f>
        <v>832900000.00000012</v>
      </c>
      <c r="BC1998" s="8">
        <f t="shared" si="989"/>
        <v>0.78772268727194705</v>
      </c>
      <c r="BD1998" s="6" t="s">
        <v>6689</v>
      </c>
      <c r="BE1998" s="6" t="str">
        <f t="shared" si="973"/>
        <v>=4.659*100000000</v>
      </c>
      <c r="BF1998" s="1">
        <f>4.659*100000000</f>
        <v>465900000</v>
      </c>
      <c r="BG1998" s="8">
        <f t="shared" si="990"/>
        <v>0.71792035398230092</v>
      </c>
      <c r="BH1998" s="6" t="s">
        <v>6400</v>
      </c>
      <c r="BI1998" s="6" t="str">
        <f t="shared" si="974"/>
        <v>=2.712*100000000</v>
      </c>
      <c r="BJ1998" s="1">
        <f>2.712*100000000</f>
        <v>271200000</v>
      </c>
      <c r="BK1998" s="7" t="s">
        <v>17618</v>
      </c>
      <c r="BL1998" s="1" t="str">
        <f t="shared" si="976"/>
        <v>=8604*10000</v>
      </c>
      <c r="BM1998" s="16">
        <f t="shared" si="991"/>
        <v>2.1520223152022315</v>
      </c>
      <c r="BN1998" s="1">
        <f>8604*10000</f>
        <v>86040000</v>
      </c>
    </row>
    <row r="1999" spans="1:66">
      <c r="A1999" s="18"/>
      <c r="B1999">
        <v>603918</v>
      </c>
      <c r="C1999" t="s">
        <v>48</v>
      </c>
      <c r="D1999" s="6" t="s">
        <v>8494</v>
      </c>
      <c r="E1999" s="7" t="str">
        <f t="shared" si="975"/>
        <v>=1.057*100000000</v>
      </c>
      <c r="F1999" s="1">
        <f>1.057*100000000</f>
        <v>105700000</v>
      </c>
      <c r="G1999" s="8">
        <f t="shared" si="977"/>
        <v>0.96103896103896103</v>
      </c>
      <c r="H1999" s="7" t="s">
        <v>17619</v>
      </c>
      <c r="I1999" s="6" t="str">
        <f t="shared" si="961"/>
        <v>=5390*10000</v>
      </c>
      <c r="J1999" s="1">
        <f>5390*10000</f>
        <v>53900000</v>
      </c>
      <c r="K1999" s="10">
        <f t="shared" si="978"/>
        <v>0.85862068965517246</v>
      </c>
      <c r="L1999" s="7" t="s">
        <v>17620</v>
      </c>
      <c r="M1999" s="6" t="str">
        <f t="shared" si="962"/>
        <v>=2900*10000</v>
      </c>
      <c r="N1999" s="1">
        <f>2900*10000</f>
        <v>29000000</v>
      </c>
      <c r="O1999" s="8">
        <f t="shared" si="979"/>
        <v>5.8622811168954092</v>
      </c>
      <c r="P1999" s="7" t="s">
        <v>17621</v>
      </c>
      <c r="Q1999" s="6" t="str">
        <f t="shared" si="963"/>
        <v>=422.6*10000</v>
      </c>
      <c r="R1999" s="11">
        <f>422.6*10000</f>
        <v>4226000</v>
      </c>
      <c r="S1999" s="8">
        <f t="shared" si="980"/>
        <v>-0.95739489867930239</v>
      </c>
      <c r="T1999" s="7" t="s">
        <v>17622</v>
      </c>
      <c r="U1999" s="6" t="str">
        <f t="shared" si="964"/>
        <v>=9919*10000</v>
      </c>
      <c r="V1999" s="1">
        <f>9919*10000</f>
        <v>99190000</v>
      </c>
      <c r="W1999" s="8">
        <f t="shared" si="981"/>
        <v>1.3780867897386717</v>
      </c>
      <c r="X1999" s="7" t="s">
        <v>17623</v>
      </c>
      <c r="Y1999" s="6" t="str">
        <f t="shared" si="965"/>
        <v>=4171*10000</v>
      </c>
      <c r="Z1999" s="1">
        <f>4171*10000</f>
        <v>41710000</v>
      </c>
      <c r="AA1999" s="8">
        <f t="shared" si="982"/>
        <v>2.9723809523809526</v>
      </c>
      <c r="AB1999" s="7" t="s">
        <v>4937</v>
      </c>
      <c r="AC1999" s="6" t="str">
        <f t="shared" si="966"/>
        <v>=1050*10000</v>
      </c>
      <c r="AD1999" s="1">
        <f>1050*10000</f>
        <v>10500000</v>
      </c>
      <c r="AE1999" s="8">
        <f t="shared" si="983"/>
        <v>-2.0105871029836382</v>
      </c>
      <c r="AF1999" s="7">
        <f>-1039*10000</f>
        <v>-10390000</v>
      </c>
      <c r="AG1999" s="6" t="str">
        <f t="shared" si="967"/>
        <v>=-10390000</v>
      </c>
      <c r="AH1999" s="1">
        <f>-10390000</f>
        <v>-10390000</v>
      </c>
      <c r="AI1999" s="8">
        <f t="shared" si="984"/>
        <v>-1.1470629865534323</v>
      </c>
      <c r="AJ1999" s="7" t="s">
        <v>15784</v>
      </c>
      <c r="AK1999" s="6" t="str">
        <f t="shared" si="968"/>
        <v>=7065*10000</v>
      </c>
      <c r="AL1999" s="1">
        <f>7065*10000</f>
        <v>70650000</v>
      </c>
      <c r="AM1999" s="8">
        <f t="shared" si="985"/>
        <v>1.1927374301675977</v>
      </c>
      <c r="AN1999" s="7" t="s">
        <v>17624</v>
      </c>
      <c r="AO1999" s="6" t="str">
        <f t="shared" si="969"/>
        <v>=3222*10000</v>
      </c>
      <c r="AP1999" s="1">
        <f>3222*10000</f>
        <v>32220000</v>
      </c>
      <c r="AQ1999" s="8">
        <f t="shared" si="986"/>
        <v>0.58484997540580419</v>
      </c>
      <c r="AR1999" s="7" t="s">
        <v>17625</v>
      </c>
      <c r="AS1999" s="6" t="str">
        <f t="shared" si="970"/>
        <v>=2033*10000</v>
      </c>
      <c r="AT1999" s="1">
        <f>2033*10000</f>
        <v>20330000</v>
      </c>
      <c r="AU1999" s="8">
        <f t="shared" si="987"/>
        <v>8.295839048925469</v>
      </c>
      <c r="AV1999" s="7" t="s">
        <v>17626</v>
      </c>
      <c r="AW1999" s="6" t="str">
        <f t="shared" si="971"/>
        <v>=218.7*10000</v>
      </c>
      <c r="AX1999" s="1">
        <f>218.7*10000</f>
        <v>2187000</v>
      </c>
      <c r="AY1999" s="10">
        <f t="shared" si="988"/>
        <v>-0.96274910577414408</v>
      </c>
      <c r="AZ1999" s="7" t="s">
        <v>13119</v>
      </c>
      <c r="BA1999" s="6" t="str">
        <f t="shared" si="972"/>
        <v>=5871*10000</v>
      </c>
      <c r="BB1999" s="1">
        <f>5871*10000</f>
        <v>58710000</v>
      </c>
      <c r="BC1999" s="8">
        <f t="shared" si="989"/>
        <v>0.76465284039675385</v>
      </c>
      <c r="BD1999" s="7" t="s">
        <v>10958</v>
      </c>
      <c r="BE1999" s="6" t="str">
        <f t="shared" si="973"/>
        <v>=3327*10000</v>
      </c>
      <c r="BF1999" s="1">
        <f>3327*10000</f>
        <v>33270000</v>
      </c>
      <c r="BG1999" s="8">
        <f t="shared" si="990"/>
        <v>1.1902567478604344</v>
      </c>
      <c r="BH1999" s="7" t="s">
        <v>6642</v>
      </c>
      <c r="BI1999" s="6" t="str">
        <f t="shared" si="974"/>
        <v>=1519*10000</v>
      </c>
      <c r="BJ1999" s="1">
        <f>1519*10000</f>
        <v>15190000</v>
      </c>
      <c r="BK1999" s="7" t="s">
        <v>17627</v>
      </c>
      <c r="BL1999" s="1" t="str">
        <f t="shared" si="976"/>
        <v>=58.41*10000</v>
      </c>
      <c r="BM1999" s="16">
        <f t="shared" si="991"/>
        <v>25.005820921075159</v>
      </c>
      <c r="BN1999" s="1">
        <f>58.41*10000</f>
        <v>584100</v>
      </c>
    </row>
    <row r="2000" spans="1:66">
      <c r="A2000" s="18"/>
      <c r="B2000">
        <v>603918</v>
      </c>
      <c r="C2000" t="s">
        <v>58</v>
      </c>
      <c r="D2000" s="6" t="s">
        <v>10249</v>
      </c>
      <c r="E2000" s="7" t="str">
        <f t="shared" si="975"/>
        <v>=1.046*100000000</v>
      </c>
      <c r="F2000" s="1">
        <f>1.046*100000000</f>
        <v>104600000</v>
      </c>
      <c r="G2000" s="8">
        <f t="shared" si="977"/>
        <v>0.95550570200037388</v>
      </c>
      <c r="H2000" s="7" t="s">
        <v>2491</v>
      </c>
      <c r="I2000" s="6" t="str">
        <f t="shared" si="961"/>
        <v>=5349*10000</v>
      </c>
      <c r="J2000" s="1">
        <f>5349*10000</f>
        <v>53490000</v>
      </c>
      <c r="K2000" s="10">
        <f t="shared" si="978"/>
        <v>0.86116910229645094</v>
      </c>
      <c r="L2000" s="7" t="s">
        <v>7706</v>
      </c>
      <c r="M2000" s="6" t="str">
        <f t="shared" si="962"/>
        <v>=2874*10000</v>
      </c>
      <c r="N2000" s="1">
        <f>2874*10000</f>
        <v>28740000</v>
      </c>
      <c r="O2000" s="8">
        <f t="shared" si="979"/>
        <v>5.8007572172266917</v>
      </c>
      <c r="P2000" s="7" t="s">
        <v>17621</v>
      </c>
      <c r="Q2000" s="6" t="str">
        <f t="shared" si="963"/>
        <v>=422.6*10000</v>
      </c>
      <c r="R2000" s="11">
        <f>422.6*10000</f>
        <v>4226000</v>
      </c>
      <c r="S2000" s="8">
        <f t="shared" si="980"/>
        <v>-0.95737771053958653</v>
      </c>
      <c r="T2000" s="7" t="s">
        <v>17628</v>
      </c>
      <c r="U2000" s="6" t="str">
        <f t="shared" si="964"/>
        <v>=9915*10000</v>
      </c>
      <c r="V2000" s="1">
        <f>9915*10000</f>
        <v>99150000</v>
      </c>
      <c r="W2000" s="8">
        <f t="shared" si="981"/>
        <v>1.3771277871014145</v>
      </c>
      <c r="X2000" s="7" t="s">
        <v>17623</v>
      </c>
      <c r="Y2000" s="6" t="str">
        <f t="shared" si="965"/>
        <v>=4171*10000</v>
      </c>
      <c r="Z2000" s="1">
        <f>4171*10000</f>
        <v>41710000</v>
      </c>
      <c r="AA2000" s="8">
        <f t="shared" si="982"/>
        <v>2.9723809523809526</v>
      </c>
      <c r="AB2000" s="7" t="s">
        <v>4937</v>
      </c>
      <c r="AC2000" s="6" t="str">
        <f t="shared" si="966"/>
        <v>=1050*10000</v>
      </c>
      <c r="AD2000" s="1">
        <f>1050*10000</f>
        <v>10500000</v>
      </c>
      <c r="AE2000" s="8">
        <f t="shared" si="983"/>
        <v>-2.0096153846153846</v>
      </c>
      <c r="AF2000" s="7">
        <f>-1040*10000</f>
        <v>-10400000</v>
      </c>
      <c r="AG2000" s="6" t="str">
        <f t="shared" si="967"/>
        <v>=-10400000</v>
      </c>
      <c r="AH2000" s="1">
        <f>-10400000</f>
        <v>-10400000</v>
      </c>
      <c r="AI2000" s="8">
        <f t="shared" si="984"/>
        <v>-1.1473296500920811</v>
      </c>
      <c r="AJ2000" s="7" t="s">
        <v>17629</v>
      </c>
      <c r="AK2000" s="6" t="str">
        <f t="shared" si="968"/>
        <v>=7059*10000</v>
      </c>
      <c r="AL2000" s="1">
        <f>7059*10000</f>
        <v>70590000</v>
      </c>
      <c r="AM2000" s="8">
        <f t="shared" si="985"/>
        <v>1.1908752327746741</v>
      </c>
      <c r="AN2000" s="7" t="s">
        <v>17624</v>
      </c>
      <c r="AO2000" s="6" t="str">
        <f t="shared" si="969"/>
        <v>=3222*10000</v>
      </c>
      <c r="AP2000" s="1">
        <f>3222*10000</f>
        <v>32220000</v>
      </c>
      <c r="AQ2000" s="8">
        <f t="shared" si="986"/>
        <v>0.58484997540580419</v>
      </c>
      <c r="AR2000" s="7" t="s">
        <v>17625</v>
      </c>
      <c r="AS2000" s="6" t="str">
        <f t="shared" si="970"/>
        <v>=2033*10000</v>
      </c>
      <c r="AT2000" s="1">
        <f>2033*10000</f>
        <v>20330000</v>
      </c>
      <c r="AU2000" s="8">
        <f t="shared" si="987"/>
        <v>8.295839048925469</v>
      </c>
      <c r="AV2000" s="7" t="s">
        <v>17626</v>
      </c>
      <c r="AW2000" s="6" t="str">
        <f t="shared" si="971"/>
        <v>=218.7*10000</v>
      </c>
      <c r="AX2000" s="1">
        <f>218.7*10000</f>
        <v>2187000</v>
      </c>
      <c r="AY2000" s="10">
        <f t="shared" si="988"/>
        <v>-0.96258340461933278</v>
      </c>
      <c r="AZ2000" s="7" t="s">
        <v>2834</v>
      </c>
      <c r="BA2000" s="6" t="str">
        <f t="shared" si="972"/>
        <v>=5845*10000</v>
      </c>
      <c r="BB2000" s="1">
        <f>5845*10000</f>
        <v>58450000</v>
      </c>
      <c r="BC2000" s="8">
        <f t="shared" si="989"/>
        <v>0.75789473684210529</v>
      </c>
      <c r="BD2000" s="7" t="s">
        <v>3553</v>
      </c>
      <c r="BE2000" s="6" t="str">
        <f t="shared" si="973"/>
        <v>=3325*10000</v>
      </c>
      <c r="BF2000" s="1">
        <f>3325*10000</f>
        <v>33250000</v>
      </c>
      <c r="BG2000" s="8">
        <f t="shared" si="990"/>
        <v>1.1918259723137772</v>
      </c>
      <c r="BH2000" s="7" t="s">
        <v>16180</v>
      </c>
      <c r="BI2000" s="6" t="str">
        <f t="shared" si="974"/>
        <v>=1517*10000</v>
      </c>
      <c r="BJ2000" s="1">
        <f>1517*10000</f>
        <v>15170000</v>
      </c>
      <c r="BK2000" s="7" t="s">
        <v>17627</v>
      </c>
      <c r="BL2000" s="1" t="str">
        <f t="shared" si="976"/>
        <v>=58.41*10000</v>
      </c>
      <c r="BM2000" s="16">
        <f t="shared" si="991"/>
        <v>24.971580208868346</v>
      </c>
      <c r="BN2000" s="1">
        <f>58.41*10000</f>
        <v>584100</v>
      </c>
    </row>
    <row r="2001" spans="1:66">
      <c r="A2001" s="19"/>
      <c r="B2001">
        <v>603918</v>
      </c>
      <c r="C2001" t="s">
        <v>68</v>
      </c>
      <c r="D2001" s="7" t="s">
        <v>17630</v>
      </c>
      <c r="E2001" s="7" t="str">
        <f t="shared" si="975"/>
        <v>=8762*10000</v>
      </c>
      <c r="F2001" s="1">
        <f>8762*10000</f>
        <v>87620000</v>
      </c>
      <c r="G2001" s="8">
        <f t="shared" si="977"/>
        <v>0.97209092955210441</v>
      </c>
      <c r="H2001" s="7" t="s">
        <v>8710</v>
      </c>
      <c r="I2001" s="6" t="str">
        <f t="shared" si="961"/>
        <v>=4443*10000</v>
      </c>
      <c r="J2001" s="1">
        <f>4443*10000</f>
        <v>44430000</v>
      </c>
      <c r="K2001" s="10">
        <f t="shared" si="978"/>
        <v>0.86211232187761944</v>
      </c>
      <c r="L2001" s="7" t="s">
        <v>8743</v>
      </c>
      <c r="M2001" s="6" t="str">
        <f t="shared" si="962"/>
        <v>=2386*10000</v>
      </c>
      <c r="N2001" s="1">
        <f>2386*10000</f>
        <v>23860000</v>
      </c>
      <c r="O2001" s="8">
        <f t="shared" si="979"/>
        <v>5.6928471248246844</v>
      </c>
      <c r="P2001" s="7" t="s">
        <v>17631</v>
      </c>
      <c r="Q2001" s="6" t="str">
        <f t="shared" si="963"/>
        <v>=356.5*10000</v>
      </c>
      <c r="R2001" s="11">
        <f>356.5*10000</f>
        <v>3565000</v>
      </c>
      <c r="S2001" s="8">
        <f t="shared" si="980"/>
        <v>-0.95973571267223856</v>
      </c>
      <c r="T2001" s="7" t="s">
        <v>17632</v>
      </c>
      <c r="U2001" s="6" t="str">
        <f t="shared" si="964"/>
        <v>=8854*10000</v>
      </c>
      <c r="V2001" s="1">
        <f>8854*10000</f>
        <v>88540000</v>
      </c>
      <c r="W2001" s="8">
        <f t="shared" si="981"/>
        <v>1.3208387942332895</v>
      </c>
      <c r="X2001" s="7" t="s">
        <v>17633</v>
      </c>
      <c r="Y2001" s="6" t="str">
        <f t="shared" si="965"/>
        <v>=3815*10000</v>
      </c>
      <c r="Z2001" s="1">
        <f>3815*10000</f>
        <v>38150000</v>
      </c>
      <c r="AA2001" s="8">
        <f t="shared" si="982"/>
        <v>2.7697628458498023</v>
      </c>
      <c r="AB2001" s="7" t="s">
        <v>17634</v>
      </c>
      <c r="AC2001" s="6" t="str">
        <f t="shared" si="966"/>
        <v>=1012*10000</v>
      </c>
      <c r="AD2001" s="1">
        <f>1012*10000</f>
        <v>10120000</v>
      </c>
      <c r="AE2001" s="8">
        <f t="shared" si="983"/>
        <v>-2.1917098445595853</v>
      </c>
      <c r="AF2001" s="7">
        <f>-849.2*10000</f>
        <v>-8492000</v>
      </c>
      <c r="AG2001" s="6" t="str">
        <f t="shared" si="967"/>
        <v>=-8492000</v>
      </c>
      <c r="AH2001" s="1">
        <f>-8492000</f>
        <v>-8492000</v>
      </c>
      <c r="AI2001" s="8">
        <f t="shared" si="984"/>
        <v>-1.1332287417634139</v>
      </c>
      <c r="AJ2001" s="7" t="s">
        <v>3185</v>
      </c>
      <c r="AK2001" s="6" t="str">
        <f t="shared" si="968"/>
        <v>=6374*10000</v>
      </c>
      <c r="AL2001" s="1">
        <f>6374*10000</f>
        <v>63740000</v>
      </c>
      <c r="AM2001" s="8">
        <f t="shared" si="985"/>
        <v>1.1382086548138208</v>
      </c>
      <c r="AN2001" s="7" t="s">
        <v>17635</v>
      </c>
      <c r="AO2001" s="6" t="str">
        <f t="shared" si="969"/>
        <v>=2981*10000</v>
      </c>
      <c r="AP2001" s="1">
        <f>2981*10000</f>
        <v>29810000</v>
      </c>
      <c r="AQ2001" s="8">
        <f t="shared" si="986"/>
        <v>0.62010869565217386</v>
      </c>
      <c r="AR2001" s="7" t="s">
        <v>16184</v>
      </c>
      <c r="AS2001" s="6" t="str">
        <f t="shared" si="970"/>
        <v>=1840*10000</v>
      </c>
      <c r="AT2001" s="1">
        <f>1840*10000</f>
        <v>18400000</v>
      </c>
      <c r="AU2001" s="8">
        <f t="shared" si="987"/>
        <v>7.6874409820585461</v>
      </c>
      <c r="AV2001" s="7" t="s">
        <v>17636</v>
      </c>
      <c r="AW2001" s="6" t="str">
        <f t="shared" si="971"/>
        <v>=211.8*10000</v>
      </c>
      <c r="AX2001" s="1">
        <f>211.8*10000</f>
        <v>2118000</v>
      </c>
      <c r="AY2001" s="10">
        <f t="shared" si="988"/>
        <v>-0.95865703689244586</v>
      </c>
      <c r="AZ2001" s="7" t="s">
        <v>17236</v>
      </c>
      <c r="BA2001" s="6" t="str">
        <f t="shared" si="972"/>
        <v>=5123*10000</v>
      </c>
      <c r="BB2001" s="1">
        <f>5123*10000</f>
        <v>51230000</v>
      </c>
      <c r="BC2001" s="8">
        <f t="shared" si="989"/>
        <v>0.90446096654275088</v>
      </c>
      <c r="BD2001" s="7" t="s">
        <v>17637</v>
      </c>
      <c r="BE2001" s="6" t="str">
        <f t="shared" si="973"/>
        <v>=2690*10000</v>
      </c>
      <c r="BF2001" s="1">
        <f>2690*10000</f>
        <v>26900000</v>
      </c>
      <c r="BG2001" s="8">
        <f t="shared" si="990"/>
        <v>1.1214511041009463</v>
      </c>
      <c r="BH2001" s="7" t="s">
        <v>3773</v>
      </c>
      <c r="BI2001" s="6" t="str">
        <f t="shared" si="974"/>
        <v>=1268*10000</v>
      </c>
      <c r="BJ2001" s="1">
        <f>1268*10000</f>
        <v>12680000</v>
      </c>
      <c r="BK2001" s="7" t="s">
        <v>17638</v>
      </c>
      <c r="BL2001" s="1" t="str">
        <f t="shared" si="976"/>
        <v>=30.33*10000</v>
      </c>
      <c r="BM2001" s="16">
        <f t="shared" si="991"/>
        <v>40.806791955159909</v>
      </c>
      <c r="BN2001" s="1">
        <f>30.33*10000</f>
        <v>303300</v>
      </c>
    </row>
    <row r="2002" spans="1:66">
      <c r="A2002" s="17">
        <v>502</v>
      </c>
      <c r="B2002">
        <v>603919</v>
      </c>
      <c r="C2002" t="s">
        <v>31</v>
      </c>
      <c r="D2002" s="6" t="s">
        <v>12338</v>
      </c>
      <c r="E2002" s="7" t="str">
        <f t="shared" si="975"/>
        <v>=17.88*100000000</v>
      </c>
      <c r="F2002" s="1">
        <f>17.88*100000000</f>
        <v>1788000000</v>
      </c>
      <c r="G2002" s="8">
        <f t="shared" si="977"/>
        <v>0.33333333333333331</v>
      </c>
      <c r="H2002" s="6" t="s">
        <v>9615</v>
      </c>
      <c r="I2002" s="6" t="str">
        <f t="shared" si="961"/>
        <v>=13.41*100000000</v>
      </c>
      <c r="J2002" s="1">
        <f>13.41*100000000</f>
        <v>1341000000</v>
      </c>
      <c r="K2002" s="10">
        <f t="shared" si="978"/>
        <v>0.3797715814384196</v>
      </c>
      <c r="L2002" s="6" t="s">
        <v>17639</v>
      </c>
      <c r="M2002" s="6" t="str">
        <f t="shared" si="962"/>
        <v>=9.719*100000000</v>
      </c>
      <c r="N2002" s="1">
        <f>9.719*100000000</f>
        <v>971900000</v>
      </c>
      <c r="O2002" s="8">
        <f t="shared" si="979"/>
        <v>0.91205980720047219</v>
      </c>
      <c r="P2002" s="6" t="s">
        <v>16608</v>
      </c>
      <c r="Q2002" s="6" t="str">
        <f t="shared" si="963"/>
        <v>=5.083*100000000</v>
      </c>
      <c r="R2002" s="11">
        <f>5.083*100000000</f>
        <v>508300000</v>
      </c>
      <c r="S2002" s="8">
        <f t="shared" si="980"/>
        <v>-0.70635470826112068</v>
      </c>
      <c r="T2002" s="6" t="s">
        <v>3658</v>
      </c>
      <c r="U2002" s="6" t="str">
        <f t="shared" si="964"/>
        <v>=17.31*100000000</v>
      </c>
      <c r="V2002" s="1">
        <f>17.31*100000000</f>
        <v>1730999999.9999998</v>
      </c>
      <c r="W2002" s="8">
        <f t="shared" si="981"/>
        <v>0.65645933014354063</v>
      </c>
      <c r="X2002" s="6" t="s">
        <v>2743</v>
      </c>
      <c r="Y2002" s="6" t="str">
        <f t="shared" si="965"/>
        <v>=10.45*100000000</v>
      </c>
      <c r="Z2002" s="1">
        <f>10.45*100000000</f>
        <v>1044999999.9999999</v>
      </c>
      <c r="AA2002" s="8">
        <f t="shared" si="982"/>
        <v>0.4687280393534784</v>
      </c>
      <c r="AB2002" s="6" t="s">
        <v>16684</v>
      </c>
      <c r="AC2002" s="6" t="str">
        <f t="shared" si="966"/>
        <v>=7.115*100000000</v>
      </c>
      <c r="AD2002" s="1">
        <f>7.115*100000000</f>
        <v>711500000</v>
      </c>
      <c r="AE2002" s="8">
        <f t="shared" si="983"/>
        <v>1.0773722627737226</v>
      </c>
      <c r="AF2002" s="6" t="s">
        <v>3660</v>
      </c>
      <c r="AG2002" s="6" t="str">
        <f t="shared" si="967"/>
        <v>=3.425*100000000</v>
      </c>
      <c r="AH2002" s="1">
        <f>3.425*100000000</f>
        <v>342500000</v>
      </c>
      <c r="AI2002" s="8">
        <f t="shared" si="984"/>
        <v>-0.79039167686658507</v>
      </c>
      <c r="AJ2002" s="6" t="s">
        <v>17640</v>
      </c>
      <c r="AK2002" s="6" t="str">
        <f t="shared" si="968"/>
        <v>=16.34*100000000</v>
      </c>
      <c r="AL2002" s="1">
        <f>16.34*100000000</f>
        <v>1634000000</v>
      </c>
      <c r="AM2002" s="8">
        <f t="shared" si="985"/>
        <v>0.47739602169981915</v>
      </c>
      <c r="AN2002" s="6" t="s">
        <v>3155</v>
      </c>
      <c r="AO2002" s="6" t="str">
        <f t="shared" si="969"/>
        <v>=11.06*100000000</v>
      </c>
      <c r="AP2002" s="1">
        <f>11.06*100000000</f>
        <v>1106000000</v>
      </c>
      <c r="AQ2002" s="8">
        <f t="shared" si="986"/>
        <v>0.35738831615120276</v>
      </c>
      <c r="AR2002" s="6" t="s">
        <v>17641</v>
      </c>
      <c r="AS2002" s="6" t="str">
        <f t="shared" si="970"/>
        <v>=8.148*100000000</v>
      </c>
      <c r="AT2002" s="1">
        <f>8.148*100000000</f>
        <v>814800000</v>
      </c>
      <c r="AU2002" s="8">
        <f t="shared" si="987"/>
        <v>0.58521400778210131</v>
      </c>
      <c r="AV2002" s="6" t="s">
        <v>17642</v>
      </c>
      <c r="AW2002" s="6" t="str">
        <f t="shared" si="971"/>
        <v>=5.140*100000000</v>
      </c>
      <c r="AX2002" s="1">
        <f>5.14*100000000</f>
        <v>513999999.99999994</v>
      </c>
      <c r="AY2002" s="10">
        <f t="shared" si="988"/>
        <v>-0.64842681258549928</v>
      </c>
      <c r="AZ2002" s="6" t="s">
        <v>17643</v>
      </c>
      <c r="BA2002" s="6" t="str">
        <f t="shared" si="972"/>
        <v>=14.62*100000000</v>
      </c>
      <c r="BB2002" s="1">
        <f>14.62*100000000</f>
        <v>1462000000</v>
      </c>
      <c r="BC2002" s="8">
        <f t="shared" si="989"/>
        <v>0.51486892549994823</v>
      </c>
      <c r="BD2002" s="6" t="s">
        <v>17644</v>
      </c>
      <c r="BE2002" s="6" t="str">
        <f t="shared" si="973"/>
        <v>=9.651*100000000</v>
      </c>
      <c r="BF2002" s="1">
        <f>9.651*100000000</f>
        <v>965100000</v>
      </c>
      <c r="BG2002" s="8">
        <f t="shared" si="990"/>
        <v>0.21549118387909319</v>
      </c>
      <c r="BH2002" s="6" t="s">
        <v>2070</v>
      </c>
      <c r="BI2002" s="6" t="str">
        <f t="shared" si="974"/>
        <v>=7.940*100000000</v>
      </c>
      <c r="BJ2002" s="1">
        <f>7.94*100000000</f>
        <v>794000000</v>
      </c>
      <c r="BK2002" s="6" t="s">
        <v>6000</v>
      </c>
      <c r="BL2002" s="1" t="str">
        <f t="shared" si="976"/>
        <v>=4.873*100000000</v>
      </c>
      <c r="BM2002" s="16">
        <f t="shared" si="991"/>
        <v>0.62938641493946235</v>
      </c>
      <c r="BN2002" s="1">
        <f>4.873*100000000</f>
        <v>487300000</v>
      </c>
    </row>
    <row r="2003" spans="1:66">
      <c r="A2003" s="18"/>
      <c r="B2003">
        <v>603919</v>
      </c>
      <c r="C2003" t="s">
        <v>48</v>
      </c>
      <c r="D2003" s="6" t="s">
        <v>1401</v>
      </c>
      <c r="E2003" s="7" t="str">
        <f t="shared" si="975"/>
        <v>=4.009*100000000</v>
      </c>
      <c r="F2003" s="1">
        <f>4.009*100000000</f>
        <v>400900000.00000006</v>
      </c>
      <c r="G2003" s="8">
        <f t="shared" si="977"/>
        <v>0.28865316618450676</v>
      </c>
      <c r="H2003" s="6" t="s">
        <v>10113</v>
      </c>
      <c r="I2003" s="6" t="str">
        <f t="shared" si="961"/>
        <v>=3.111*100000000</v>
      </c>
      <c r="J2003" s="1">
        <f>3.111*100000000</f>
        <v>311100000</v>
      </c>
      <c r="K2003" s="10">
        <f t="shared" si="978"/>
        <v>0.29463171036204744</v>
      </c>
      <c r="L2003" s="6" t="s">
        <v>17645</v>
      </c>
      <c r="M2003" s="6" t="str">
        <f t="shared" si="962"/>
        <v>=2.403*100000000</v>
      </c>
      <c r="N2003" s="1">
        <f>2.403*100000000</f>
        <v>240300000</v>
      </c>
      <c r="O2003" s="8">
        <f t="shared" si="979"/>
        <v>0.63580667120490131</v>
      </c>
      <c r="P2003" s="6" t="s">
        <v>8513</v>
      </c>
      <c r="Q2003" s="6" t="str">
        <f t="shared" si="963"/>
        <v>=1.469*100000000</v>
      </c>
      <c r="R2003" s="11">
        <f>1.469*100000000</f>
        <v>146900000</v>
      </c>
      <c r="S2003" s="8">
        <f t="shared" si="980"/>
        <v>-0.66191024165707713</v>
      </c>
      <c r="T2003" s="6" t="s">
        <v>8604</v>
      </c>
      <c r="U2003" s="6" t="str">
        <f t="shared" si="964"/>
        <v>=4.345*100000000</v>
      </c>
      <c r="V2003" s="1">
        <f>4.345*100000000</f>
        <v>434500000</v>
      </c>
      <c r="W2003" s="8">
        <f t="shared" si="981"/>
        <v>1.0275314979001402</v>
      </c>
      <c r="X2003" s="6" t="s">
        <v>4896</v>
      </c>
      <c r="Y2003" s="6" t="str">
        <f t="shared" si="965"/>
        <v>=2.143*100000000</v>
      </c>
      <c r="Z2003" s="1">
        <f>2.143*100000000</f>
        <v>214299999.99999997</v>
      </c>
      <c r="AA2003" s="8">
        <f t="shared" si="982"/>
        <v>0.38975356679636813</v>
      </c>
      <c r="AB2003" s="6" t="s">
        <v>16568</v>
      </c>
      <c r="AC2003" s="6" t="str">
        <f t="shared" si="966"/>
        <v>=1.542*100000000</v>
      </c>
      <c r="AD2003" s="1">
        <f>1.542*100000000</f>
        <v>154200000</v>
      </c>
      <c r="AE2003" s="8">
        <f t="shared" si="983"/>
        <v>1.0106923979658364</v>
      </c>
      <c r="AF2003" s="7" t="s">
        <v>17646</v>
      </c>
      <c r="AG2003" s="6" t="str">
        <f t="shared" si="967"/>
        <v>=7669*10000</v>
      </c>
      <c r="AH2003" s="1">
        <f>7669*10000</f>
        <v>76690000</v>
      </c>
      <c r="AI2003" s="8">
        <f t="shared" si="984"/>
        <v>-0.78088571428571429</v>
      </c>
      <c r="AJ2003" s="6" t="s">
        <v>16312</v>
      </c>
      <c r="AK2003" s="6" t="str">
        <f t="shared" si="968"/>
        <v>=3.500*100000000</v>
      </c>
      <c r="AL2003" s="1">
        <f>3.5*100000000</f>
        <v>350000000</v>
      </c>
      <c r="AM2003" s="8">
        <f t="shared" si="985"/>
        <v>0.62715016271501645</v>
      </c>
      <c r="AN2003" s="6" t="s">
        <v>7903</v>
      </c>
      <c r="AO2003" s="6" t="str">
        <f t="shared" si="969"/>
        <v>=2.151*100000000</v>
      </c>
      <c r="AP2003" s="1">
        <f>2.151*100000000</f>
        <v>215099999.99999997</v>
      </c>
      <c r="AQ2003" s="8">
        <f t="shared" si="986"/>
        <v>0.24335260115606919</v>
      </c>
      <c r="AR2003" s="6" t="s">
        <v>1066</v>
      </c>
      <c r="AS2003" s="6" t="str">
        <f t="shared" si="970"/>
        <v>=1.730*100000000</v>
      </c>
      <c r="AT2003" s="1">
        <f>1.73*100000000</f>
        <v>173000000</v>
      </c>
      <c r="AU2003" s="8">
        <f t="shared" si="987"/>
        <v>0.22695035460992907</v>
      </c>
      <c r="AV2003" s="6" t="s">
        <v>8041</v>
      </c>
      <c r="AW2003" s="6" t="str">
        <f t="shared" si="971"/>
        <v>=1.410*100000000</v>
      </c>
      <c r="AX2003" s="1">
        <f>1.41*100000000</f>
        <v>141000000</v>
      </c>
      <c r="AY2003" s="10">
        <f t="shared" si="988"/>
        <v>-0.57998212689901696</v>
      </c>
      <c r="AZ2003" s="6" t="s">
        <v>16909</v>
      </c>
      <c r="BA2003" s="6" t="str">
        <f t="shared" si="972"/>
        <v>=3.357*100000000</v>
      </c>
      <c r="BB2003" s="1">
        <f>3.357*100000000</f>
        <v>335700000</v>
      </c>
      <c r="BC2003" s="8">
        <f t="shared" si="989"/>
        <v>0.57383966244725737</v>
      </c>
      <c r="BD2003" s="6" t="s">
        <v>4641</v>
      </c>
      <c r="BE2003" s="6" t="str">
        <f t="shared" si="973"/>
        <v>=2.133*100000000</v>
      </c>
      <c r="BF2003" s="1">
        <f>2.133*100000000</f>
        <v>213300000</v>
      </c>
      <c r="BG2003" s="8">
        <f t="shared" si="990"/>
        <v>1.282051282051282E-2</v>
      </c>
      <c r="BH2003" s="6" t="s">
        <v>16019</v>
      </c>
      <c r="BI2003" s="6" t="str">
        <f t="shared" si="974"/>
        <v>=2.106*100000000</v>
      </c>
      <c r="BJ2003" s="1">
        <f>2.106*100000000</f>
        <v>210600000</v>
      </c>
      <c r="BK2003" s="6" t="s">
        <v>2207</v>
      </c>
      <c r="BL2003" s="1" t="str">
        <f t="shared" si="976"/>
        <v>=1.588*100000000</v>
      </c>
      <c r="BM2003" s="16">
        <f t="shared" si="991"/>
        <v>0.32619647355163728</v>
      </c>
      <c r="BN2003" s="1">
        <f>1.588*100000000</f>
        <v>158800000</v>
      </c>
    </row>
    <row r="2004" spans="1:66">
      <c r="A2004" s="18"/>
      <c r="B2004">
        <v>603919</v>
      </c>
      <c r="C2004" t="s">
        <v>58</v>
      </c>
      <c r="D2004" s="6" t="s">
        <v>11864</v>
      </c>
      <c r="E2004" s="7" t="str">
        <f t="shared" si="975"/>
        <v>=3.901*100000000</v>
      </c>
      <c r="F2004" s="1">
        <f>3.901*100000000</f>
        <v>390100000</v>
      </c>
      <c r="G2004" s="8">
        <f t="shared" si="977"/>
        <v>0.26001291989664083</v>
      </c>
      <c r="H2004" s="6" t="s">
        <v>17647</v>
      </c>
      <c r="I2004" s="6" t="str">
        <f t="shared" si="961"/>
        <v>=3.096*100000000</v>
      </c>
      <c r="J2004" s="1">
        <f>3.096*100000000</f>
        <v>309600000</v>
      </c>
      <c r="K2004" s="10">
        <f t="shared" si="978"/>
        <v>0.29161451814768474</v>
      </c>
      <c r="L2004" s="6" t="s">
        <v>7651</v>
      </c>
      <c r="M2004" s="6" t="str">
        <f t="shared" si="962"/>
        <v>=2.397*100000000</v>
      </c>
      <c r="N2004" s="1">
        <f>2.397*100000000</f>
        <v>239699999.99999997</v>
      </c>
      <c r="O2004" s="8">
        <f t="shared" si="979"/>
        <v>0.63283378746593988</v>
      </c>
      <c r="P2004" s="6" t="s">
        <v>5209</v>
      </c>
      <c r="Q2004" s="6" t="str">
        <f t="shared" si="963"/>
        <v>=1.468*100000000</v>
      </c>
      <c r="R2004" s="11">
        <f>1.468*100000000</f>
        <v>146800000</v>
      </c>
      <c r="S2004" s="8">
        <f t="shared" si="980"/>
        <v>-0.6513892187128949</v>
      </c>
      <c r="T2004" s="6" t="s">
        <v>6764</v>
      </c>
      <c r="U2004" s="6" t="str">
        <f t="shared" si="964"/>
        <v>=4.211*100000000</v>
      </c>
      <c r="V2004" s="1">
        <f>4.211*100000000</f>
        <v>421100000.00000006</v>
      </c>
      <c r="W2004" s="8">
        <f t="shared" si="981"/>
        <v>1.0836219693221181</v>
      </c>
      <c r="X2004" s="6" t="s">
        <v>6547</v>
      </c>
      <c r="Y2004" s="6" t="str">
        <f t="shared" si="965"/>
        <v>=2.021*100000000</v>
      </c>
      <c r="Z2004" s="1">
        <f>2.021*100000000</f>
        <v>202100000</v>
      </c>
      <c r="AA2004" s="8">
        <f t="shared" si="982"/>
        <v>0.33752481800132361</v>
      </c>
      <c r="AB2004" s="6" t="s">
        <v>9073</v>
      </c>
      <c r="AC2004" s="6" t="str">
        <f t="shared" si="966"/>
        <v>=1.511*100000000</v>
      </c>
      <c r="AD2004" s="1">
        <f>1.511*100000000</f>
        <v>151100000</v>
      </c>
      <c r="AE2004" s="8">
        <f t="shared" si="983"/>
        <v>1.043825240091979</v>
      </c>
      <c r="AF2004" s="7" t="s">
        <v>17648</v>
      </c>
      <c r="AG2004" s="6" t="str">
        <f t="shared" si="967"/>
        <v>=7393*10000</v>
      </c>
      <c r="AH2004" s="1">
        <f>7393*10000</f>
        <v>73930000</v>
      </c>
      <c r="AI2004" s="8">
        <f t="shared" si="984"/>
        <v>-0.78539912917271404</v>
      </c>
      <c r="AJ2004" s="6" t="s">
        <v>1589</v>
      </c>
      <c r="AK2004" s="6" t="str">
        <f t="shared" si="968"/>
        <v>=3.445*100000000</v>
      </c>
      <c r="AL2004" s="1">
        <f>3.445*100000000</f>
        <v>344500000</v>
      </c>
      <c r="AM2004" s="8">
        <f t="shared" si="985"/>
        <v>0.64360687022900764</v>
      </c>
      <c r="AN2004" s="6" t="s">
        <v>9651</v>
      </c>
      <c r="AO2004" s="6" t="str">
        <f t="shared" si="969"/>
        <v>=2.096*100000000</v>
      </c>
      <c r="AP2004" s="1">
        <f>2.096*100000000</f>
        <v>209600000</v>
      </c>
      <c r="AQ2004" s="8">
        <f t="shared" si="986"/>
        <v>0.20114613180515759</v>
      </c>
      <c r="AR2004" s="6" t="s">
        <v>8302</v>
      </c>
      <c r="AS2004" s="6" t="str">
        <f t="shared" si="970"/>
        <v>=1.745*100000000</v>
      </c>
      <c r="AT2004" s="1">
        <f>1.745*100000000</f>
        <v>174500000</v>
      </c>
      <c r="AU2004" s="8">
        <f t="shared" si="987"/>
        <v>0.22370266479663395</v>
      </c>
      <c r="AV2004" s="6" t="s">
        <v>9272</v>
      </c>
      <c r="AW2004" s="6" t="str">
        <f t="shared" si="971"/>
        <v>=1.426*100000000</v>
      </c>
      <c r="AX2004" s="1">
        <f>1.426*100000000</f>
        <v>142600000</v>
      </c>
      <c r="AY2004" s="10">
        <f t="shared" si="988"/>
        <v>-0.57508939213349231</v>
      </c>
      <c r="AZ2004" s="6" t="s">
        <v>17649</v>
      </c>
      <c r="BA2004" s="6" t="str">
        <f t="shared" si="972"/>
        <v>=3.356*100000000</v>
      </c>
      <c r="BB2004" s="1">
        <f>3.356*100000000</f>
        <v>335600000</v>
      </c>
      <c r="BC2004" s="8">
        <f t="shared" si="989"/>
        <v>0.56311131811830484</v>
      </c>
      <c r="BD2004" s="6" t="s">
        <v>1768</v>
      </c>
      <c r="BE2004" s="6" t="str">
        <f t="shared" si="973"/>
        <v>=2.147*100000000</v>
      </c>
      <c r="BF2004" s="1">
        <f>2.147*100000000</f>
        <v>214699999.99999997</v>
      </c>
      <c r="BG2004" s="8">
        <f t="shared" si="990"/>
        <v>1.6571969696969557E-2</v>
      </c>
      <c r="BH2004" s="6" t="s">
        <v>8486</v>
      </c>
      <c r="BI2004" s="6" t="str">
        <f t="shared" si="974"/>
        <v>=2.112*100000000</v>
      </c>
      <c r="BJ2004" s="1">
        <f>2.112*100000000</f>
        <v>211200000</v>
      </c>
      <c r="BK2004" s="6" t="s">
        <v>6810</v>
      </c>
      <c r="BL2004" s="1" t="str">
        <f t="shared" si="976"/>
        <v>=1.594*100000000</v>
      </c>
      <c r="BM2004" s="16">
        <f t="shared" si="991"/>
        <v>0.32496863237139273</v>
      </c>
      <c r="BN2004" s="1">
        <f>1.594*100000000</f>
        <v>159400000</v>
      </c>
    </row>
    <row r="2005" spans="1:66">
      <c r="A2005" s="19"/>
      <c r="B2005">
        <v>603919</v>
      </c>
      <c r="C2005" t="s">
        <v>68</v>
      </c>
      <c r="D2005" s="6" t="s">
        <v>17650</v>
      </c>
      <c r="E2005" s="7" t="str">
        <f t="shared" si="975"/>
        <v>=3.247*100000000</v>
      </c>
      <c r="F2005" s="1">
        <f>3.247*100000000</f>
        <v>324700000</v>
      </c>
      <c r="G2005" s="8">
        <f t="shared" si="977"/>
        <v>0.33566433566433568</v>
      </c>
      <c r="H2005" s="6" t="s">
        <v>9529</v>
      </c>
      <c r="I2005" s="6" t="str">
        <f t="shared" si="961"/>
        <v>=2.431*100000000</v>
      </c>
      <c r="J2005" s="1">
        <f>2.431*100000000</f>
        <v>243100000</v>
      </c>
      <c r="K2005" s="10">
        <f t="shared" si="978"/>
        <v>0.29722518676627535</v>
      </c>
      <c r="L2005" s="6" t="s">
        <v>11053</v>
      </c>
      <c r="M2005" s="6" t="str">
        <f t="shared" si="962"/>
        <v>=1.874*100000000</v>
      </c>
      <c r="N2005" s="1">
        <f>1.874*100000000</f>
        <v>187400000</v>
      </c>
      <c r="O2005" s="8">
        <f t="shared" si="979"/>
        <v>0.6253252385082394</v>
      </c>
      <c r="P2005" s="6" t="s">
        <v>2969</v>
      </c>
      <c r="Q2005" s="6" t="str">
        <f t="shared" si="963"/>
        <v>=1.153*100000000</v>
      </c>
      <c r="R2005" s="11">
        <f>1.153*100000000</f>
        <v>115300000</v>
      </c>
      <c r="S2005" s="8">
        <f t="shared" si="980"/>
        <v>-0.6519770600664051</v>
      </c>
      <c r="T2005" s="6" t="s">
        <v>10890</v>
      </c>
      <c r="U2005" s="6" t="str">
        <f t="shared" si="964"/>
        <v>=3.313*100000000</v>
      </c>
      <c r="V2005" s="1">
        <f>3.313*100000000</f>
        <v>331300000</v>
      </c>
      <c r="W2005" s="8">
        <f t="shared" si="981"/>
        <v>1.086272040302267</v>
      </c>
      <c r="X2005" s="6" t="s">
        <v>2207</v>
      </c>
      <c r="Y2005" s="6" t="str">
        <f t="shared" si="965"/>
        <v>=1.588*100000000</v>
      </c>
      <c r="Z2005" s="1">
        <f>1.588*100000000</f>
        <v>158800000</v>
      </c>
      <c r="AA2005" s="8">
        <f t="shared" si="982"/>
        <v>0.3211314475873544</v>
      </c>
      <c r="AB2005" s="6" t="s">
        <v>15992</v>
      </c>
      <c r="AC2005" s="6" t="str">
        <f t="shared" si="966"/>
        <v>=1.202*100000000</v>
      </c>
      <c r="AD2005" s="1">
        <f>1.202*100000000</f>
        <v>120200000</v>
      </c>
      <c r="AE2005" s="8">
        <f t="shared" si="983"/>
        <v>1.0777873811581677</v>
      </c>
      <c r="AF2005" s="7" t="s">
        <v>3201</v>
      </c>
      <c r="AG2005" s="6" t="str">
        <f t="shared" si="967"/>
        <v>=5785*10000</v>
      </c>
      <c r="AH2005" s="1">
        <f>5785*10000</f>
        <v>57850000</v>
      </c>
      <c r="AI2005" s="8">
        <f t="shared" si="984"/>
        <v>-0.78621581670362162</v>
      </c>
      <c r="AJ2005" s="6" t="s">
        <v>10776</v>
      </c>
      <c r="AK2005" s="6" t="str">
        <f t="shared" si="968"/>
        <v>=2.706*100000000</v>
      </c>
      <c r="AL2005" s="1">
        <f>2.706*100000000</f>
        <v>270600000</v>
      </c>
      <c r="AM2005" s="8">
        <f t="shared" si="985"/>
        <v>0.66523076923076918</v>
      </c>
      <c r="AN2005" s="6" t="s">
        <v>1463</v>
      </c>
      <c r="AO2005" s="6" t="str">
        <f t="shared" si="969"/>
        <v>=1.625*100000000</v>
      </c>
      <c r="AP2005" s="1">
        <f>1.625*100000000</f>
        <v>162500000</v>
      </c>
      <c r="AQ2005" s="8">
        <f t="shared" si="986"/>
        <v>0.20370370370370369</v>
      </c>
      <c r="AR2005" s="6" t="s">
        <v>11547</v>
      </c>
      <c r="AS2005" s="6" t="str">
        <f t="shared" si="970"/>
        <v>=1.350*100000000</v>
      </c>
      <c r="AT2005" s="1">
        <f>1.35*100000000</f>
        <v>135000000</v>
      </c>
      <c r="AU2005" s="8">
        <f t="shared" si="987"/>
        <v>0.23626373626373609</v>
      </c>
      <c r="AV2005" s="6" t="s">
        <v>2555</v>
      </c>
      <c r="AW2005" s="6" t="str">
        <f t="shared" si="971"/>
        <v>=1.092*100000000</v>
      </c>
      <c r="AX2005" s="1">
        <f>1.092*100000000</f>
        <v>109200000.00000001</v>
      </c>
      <c r="AY2005" s="10">
        <f t="shared" si="988"/>
        <v>-0.57772621809744784</v>
      </c>
      <c r="AZ2005" s="6" t="s">
        <v>1723</v>
      </c>
      <c r="BA2005" s="6" t="str">
        <f t="shared" si="972"/>
        <v>=2.586*100000000</v>
      </c>
      <c r="BB2005" s="1">
        <f>2.586*100000000</f>
        <v>258600000</v>
      </c>
      <c r="BC2005" s="8">
        <f t="shared" si="989"/>
        <v>0.61221945137157108</v>
      </c>
      <c r="BD2005" s="6" t="s">
        <v>1229</v>
      </c>
      <c r="BE2005" s="6" t="str">
        <f t="shared" si="973"/>
        <v>=1.604*100000000</v>
      </c>
      <c r="BF2005" s="1">
        <f>1.604*100000000</f>
        <v>160400000</v>
      </c>
      <c r="BG2005" s="8">
        <f t="shared" si="990"/>
        <v>1.7766497461928935E-2</v>
      </c>
      <c r="BH2005" s="6" t="s">
        <v>11469</v>
      </c>
      <c r="BI2005" s="6" t="str">
        <f t="shared" si="974"/>
        <v>=1.576*100000000</v>
      </c>
      <c r="BJ2005" s="1">
        <f>1.576*100000000</f>
        <v>157600000</v>
      </c>
      <c r="BK2005" s="6" t="s">
        <v>11320</v>
      </c>
      <c r="BL2005" s="1" t="str">
        <f t="shared" si="976"/>
        <v>=1.212*100000000</v>
      </c>
      <c r="BM2005" s="16">
        <f t="shared" si="991"/>
        <v>0.30033003300330036</v>
      </c>
      <c r="BN2005" s="1">
        <f>1.212*100000000</f>
        <v>121200000</v>
      </c>
    </row>
    <row r="2006" spans="1:66">
      <c r="A2006" s="17">
        <v>503</v>
      </c>
      <c r="B2006">
        <v>603929</v>
      </c>
      <c r="C2006" t="s">
        <v>31</v>
      </c>
      <c r="D2006" s="6" t="s">
        <v>1969</v>
      </c>
      <c r="E2006" s="7" t="str">
        <f t="shared" si="975"/>
        <v>=22.12*100000000</v>
      </c>
      <c r="F2006" s="1">
        <f>22.12*100000000</f>
        <v>2212000000</v>
      </c>
      <c r="G2006" s="8">
        <f t="shared" si="977"/>
        <v>0.4610303830911493</v>
      </c>
      <c r="H2006" s="6" t="s">
        <v>2779</v>
      </c>
      <c r="I2006" s="6" t="str">
        <f t="shared" si="961"/>
        <v>=15.14*100000000</v>
      </c>
      <c r="J2006" s="1">
        <f>15.14*100000000</f>
        <v>1514000000</v>
      </c>
      <c r="K2006" s="10">
        <f t="shared" si="978"/>
        <v>0.54489795918367323</v>
      </c>
      <c r="L2006" s="6" t="s">
        <v>17651</v>
      </c>
      <c r="M2006" s="6" t="str">
        <f t="shared" si="962"/>
        <v>=9.800*100000000</v>
      </c>
      <c r="N2006" s="1">
        <f>9.8*100000000</f>
        <v>980000000.00000012</v>
      </c>
      <c r="O2006" s="8">
        <f t="shared" si="979"/>
        <v>2.2919046019482705</v>
      </c>
      <c r="P2006" s="6" t="s">
        <v>17652</v>
      </c>
      <c r="Q2006" s="6" t="str">
        <f t="shared" si="963"/>
        <v>=2.977*100000000</v>
      </c>
      <c r="R2006" s="11">
        <f>2.977*100000000</f>
        <v>297700000</v>
      </c>
      <c r="S2006" s="8">
        <f t="shared" si="980"/>
        <v>-0.67968581880783296</v>
      </c>
      <c r="T2006" s="6" t="s">
        <v>1109</v>
      </c>
      <c r="U2006" s="6" t="str">
        <f t="shared" si="964"/>
        <v>=9.294*100000000</v>
      </c>
      <c r="V2006" s="1">
        <f>9.294*100000000</f>
        <v>929400000</v>
      </c>
      <c r="W2006" s="8">
        <f t="shared" si="981"/>
        <v>0.99356499356499361</v>
      </c>
      <c r="X2006" s="6" t="s">
        <v>17653</v>
      </c>
      <c r="Y2006" s="6" t="str">
        <f t="shared" si="965"/>
        <v>=4.662*100000000</v>
      </c>
      <c r="Z2006" s="1">
        <f>4.662*100000000</f>
        <v>466200000</v>
      </c>
      <c r="AA2006" s="8">
        <f t="shared" si="982"/>
        <v>0.6295001747640685</v>
      </c>
      <c r="AB2006" s="6" t="s">
        <v>8846</v>
      </c>
      <c r="AC2006" s="6" t="str">
        <f t="shared" si="966"/>
        <v>=2.861*100000000</v>
      </c>
      <c r="AD2006" s="1">
        <f>2.861*100000000</f>
        <v>286100000</v>
      </c>
      <c r="AE2006" s="8">
        <f t="shared" si="983"/>
        <v>1.0020993701889434</v>
      </c>
      <c r="AF2006" s="6" t="s">
        <v>3573</v>
      </c>
      <c r="AG2006" s="6" t="str">
        <f t="shared" si="967"/>
        <v>=1.429*100000000</v>
      </c>
      <c r="AH2006" s="1">
        <f>1.429*100000000</f>
        <v>142900000</v>
      </c>
      <c r="AI2006" s="8">
        <f t="shared" si="984"/>
        <v>-0.92443151771549448</v>
      </c>
      <c r="AJ2006" s="6" t="s">
        <v>1825</v>
      </c>
      <c r="AK2006" s="6" t="str">
        <f t="shared" si="968"/>
        <v>=18.91*100000000</v>
      </c>
      <c r="AL2006" s="1">
        <f>18.91*100000000</f>
        <v>1891000000</v>
      </c>
      <c r="AM2006" s="8">
        <f t="shared" si="985"/>
        <v>0.42609351432880843</v>
      </c>
      <c r="AN2006" s="6" t="s">
        <v>12345</v>
      </c>
      <c r="AO2006" s="6" t="str">
        <f t="shared" si="969"/>
        <v>=13.26*100000000</v>
      </c>
      <c r="AP2006" s="1">
        <f>13.26*100000000</f>
        <v>1326000000</v>
      </c>
      <c r="AQ2006" s="8">
        <f t="shared" si="986"/>
        <v>0.31809145129224653</v>
      </c>
      <c r="AR2006" s="6" t="s">
        <v>17468</v>
      </c>
      <c r="AS2006" s="6" t="str">
        <f t="shared" si="970"/>
        <v>=10.06*100000000</v>
      </c>
      <c r="AT2006" s="1">
        <f>10.06*100000000</f>
        <v>1006000000</v>
      </c>
      <c r="AU2006" s="8">
        <f t="shared" si="987"/>
        <v>0.65134602757715032</v>
      </c>
      <c r="AV2006" s="6" t="s">
        <v>17654</v>
      </c>
      <c r="AW2006" s="6" t="str">
        <f t="shared" si="971"/>
        <v>=6.092*100000000</v>
      </c>
      <c r="AX2006" s="1">
        <f>6.092*100000000</f>
        <v>609200000</v>
      </c>
      <c r="AY2006" s="10">
        <f t="shared" si="988"/>
        <v>-0.72996453900709224</v>
      </c>
      <c r="AZ2006" s="6" t="s">
        <v>17655</v>
      </c>
      <c r="BA2006" s="6" t="str">
        <f t="shared" si="972"/>
        <v>=22.56*100000000</v>
      </c>
      <c r="BB2006" s="1">
        <f>22.56*100000000</f>
        <v>2256000000</v>
      </c>
      <c r="BC2006" s="8">
        <f t="shared" si="989"/>
        <v>0.20900321543408359</v>
      </c>
      <c r="BD2006" s="6" t="s">
        <v>5992</v>
      </c>
      <c r="BE2006" s="6" t="str">
        <f t="shared" si="973"/>
        <v>=18.66*100000000</v>
      </c>
      <c r="BF2006" s="1">
        <f>18.66*100000000</f>
        <v>1866000000</v>
      </c>
      <c r="BG2006" s="8">
        <f t="shared" si="990"/>
        <v>0.33000712758374912</v>
      </c>
      <c r="BH2006" s="6" t="s">
        <v>6219</v>
      </c>
      <c r="BI2006" s="6" t="str">
        <f t="shared" si="974"/>
        <v>=14.03*100000000</v>
      </c>
      <c r="BJ2006" s="1">
        <f>14.03*100000000</f>
        <v>1403000000</v>
      </c>
      <c r="BK2006" s="6" t="s">
        <v>8968</v>
      </c>
      <c r="BL2006" s="1" t="str">
        <f t="shared" si="976"/>
        <v>=6.169*100000000</v>
      </c>
      <c r="BM2006" s="16">
        <f t="shared" si="991"/>
        <v>1.2742745988004538</v>
      </c>
      <c r="BN2006" s="1">
        <f>6.169*100000000</f>
        <v>616900000</v>
      </c>
    </row>
    <row r="2007" spans="1:66">
      <c r="A2007" s="18"/>
      <c r="B2007">
        <v>603929</v>
      </c>
      <c r="C2007" t="s">
        <v>48</v>
      </c>
      <c r="D2007" s="7" t="s">
        <v>17656</v>
      </c>
      <c r="E2007" s="7" t="str">
        <f t="shared" si="975"/>
        <v>=2346*10000</v>
      </c>
      <c r="F2007" s="1">
        <f>2346*10000</f>
        <v>23460000</v>
      </c>
      <c r="G2007" s="8">
        <f t="shared" si="977"/>
        <v>1.0364583333333333</v>
      </c>
      <c r="H2007" s="7" t="s">
        <v>2497</v>
      </c>
      <c r="I2007" s="6" t="str">
        <f t="shared" si="961"/>
        <v>=1152*10000</v>
      </c>
      <c r="J2007" s="1">
        <f>1152*10000</f>
        <v>11520000</v>
      </c>
      <c r="K2007" s="10">
        <f t="shared" si="978"/>
        <v>-8.0458715596330279</v>
      </c>
      <c r="L2007" s="7">
        <f>-163.5*10000</f>
        <v>-1635000</v>
      </c>
      <c r="M2007" s="6" t="str">
        <f t="shared" si="962"/>
        <v>=-1635000</v>
      </c>
      <c r="N2007" s="1">
        <f>-1635000</f>
        <v>-1635000</v>
      </c>
      <c r="O2007" s="8">
        <f t="shared" si="979"/>
        <v>-0.84413727359389901</v>
      </c>
      <c r="P2007" s="7">
        <f>-1049*10000</f>
        <v>-10490000</v>
      </c>
      <c r="Q2007" s="6" t="str">
        <f t="shared" si="963"/>
        <v>=-10490000</v>
      </c>
      <c r="R2007" s="11">
        <f>-10490000</f>
        <v>-10490000</v>
      </c>
      <c r="S2007" s="8">
        <f t="shared" si="980"/>
        <v>-0.73516788689724821</v>
      </c>
      <c r="T2007" s="7">
        <f>-3961*10000</f>
        <v>-39610000</v>
      </c>
      <c r="U2007" s="6" t="str">
        <f t="shared" si="964"/>
        <v>=-39610000</v>
      </c>
      <c r="V2007" s="1">
        <f>-39610000</f>
        <v>-39610000</v>
      </c>
      <c r="W2007" s="8">
        <f t="shared" si="981"/>
        <v>2.0945312500000002</v>
      </c>
      <c r="X2007" s="7">
        <f>-1280*10000</f>
        <v>-12800000</v>
      </c>
      <c r="Y2007" s="6" t="str">
        <f t="shared" si="965"/>
        <v>=-12800000</v>
      </c>
      <c r="Z2007" s="1">
        <f>-12800000</f>
        <v>-12800000</v>
      </c>
      <c r="AA2007" s="8">
        <f t="shared" si="982"/>
        <v>-6.4584221748400852</v>
      </c>
      <c r="AB2007" s="7" t="s">
        <v>17657</v>
      </c>
      <c r="AC2007" s="6" t="str">
        <f t="shared" si="966"/>
        <v>=234.5*10000</v>
      </c>
      <c r="AD2007" s="1">
        <f>234.5*10000</f>
        <v>2345000</v>
      </c>
      <c r="AE2007" s="8">
        <f t="shared" si="983"/>
        <v>-1.4347423062662217</v>
      </c>
      <c r="AF2007" s="7">
        <f>-539.4*10000</f>
        <v>-5394000</v>
      </c>
      <c r="AG2007" s="6" t="str">
        <f t="shared" si="967"/>
        <v>=-5394000</v>
      </c>
      <c r="AH2007" s="1">
        <f>-5394000</f>
        <v>-5394000</v>
      </c>
      <c r="AI2007" s="8">
        <f t="shared" si="984"/>
        <v>-1.0431865492393915</v>
      </c>
      <c r="AJ2007" s="6" t="s">
        <v>8073</v>
      </c>
      <c r="AK2007" s="6" t="str">
        <f t="shared" si="968"/>
        <v>=1.249*100000000</v>
      </c>
      <c r="AL2007" s="1">
        <f>1.249*100000000</f>
        <v>124900000.00000001</v>
      </c>
      <c r="AM2007" s="8">
        <f t="shared" si="985"/>
        <v>0.22691552062868384</v>
      </c>
      <c r="AN2007" s="6" t="s">
        <v>2234</v>
      </c>
      <c r="AO2007" s="6" t="str">
        <f t="shared" si="969"/>
        <v>=1.018*100000000</v>
      </c>
      <c r="AP2007" s="1">
        <f>1.018*100000000</f>
        <v>101800000</v>
      </c>
      <c r="AQ2007" s="8">
        <f t="shared" si="986"/>
        <v>0.52281226626776367</v>
      </c>
      <c r="AR2007" s="7" t="s">
        <v>17658</v>
      </c>
      <c r="AS2007" s="6" t="str">
        <f t="shared" si="970"/>
        <v>=6685*10000</v>
      </c>
      <c r="AT2007" s="1">
        <f>6685*10000</f>
        <v>66850000</v>
      </c>
      <c r="AU2007" s="8">
        <f t="shared" si="987"/>
        <v>0.52277904328018221</v>
      </c>
      <c r="AV2007" s="7" t="s">
        <v>17659</v>
      </c>
      <c r="AW2007" s="6" t="str">
        <f t="shared" si="971"/>
        <v>=4390*10000</v>
      </c>
      <c r="AX2007" s="1">
        <f>4390*10000</f>
        <v>43900000</v>
      </c>
      <c r="AY2007" s="10">
        <f t="shared" si="988"/>
        <v>-0.7689473684210526</v>
      </c>
      <c r="AZ2007" s="6" t="s">
        <v>17660</v>
      </c>
      <c r="BA2007" s="6" t="str">
        <f t="shared" si="972"/>
        <v>=1.900*100000000</v>
      </c>
      <c r="BB2007" s="1">
        <f>1.9*100000000</f>
        <v>190000000</v>
      </c>
      <c r="BC2007" s="8">
        <f t="shared" si="989"/>
        <v>0.15012106537530268</v>
      </c>
      <c r="BD2007" s="6" t="s">
        <v>10131</v>
      </c>
      <c r="BE2007" s="6" t="str">
        <f t="shared" si="973"/>
        <v>=1.652*100000000</v>
      </c>
      <c r="BF2007" s="1">
        <f>1.652*100000000</f>
        <v>165200000</v>
      </c>
      <c r="BG2007" s="8">
        <f t="shared" si="990"/>
        <v>0.34090909090909088</v>
      </c>
      <c r="BH2007" s="6" t="s">
        <v>17602</v>
      </c>
      <c r="BI2007" s="6" t="str">
        <f t="shared" si="974"/>
        <v>=1.232*100000000</v>
      </c>
      <c r="BJ2007" s="1">
        <f>1.232*100000000</f>
        <v>123200000</v>
      </c>
      <c r="BK2007" s="7" t="s">
        <v>6300</v>
      </c>
      <c r="BL2007" s="1" t="str">
        <f t="shared" si="976"/>
        <v>=4777*10000</v>
      </c>
      <c r="BM2007" s="16">
        <f t="shared" si="991"/>
        <v>1.5790244923592214</v>
      </c>
      <c r="BN2007" s="1">
        <f>4777*10000</f>
        <v>47770000</v>
      </c>
    </row>
    <row r="2008" spans="1:66">
      <c r="A2008" s="18"/>
      <c r="B2008">
        <v>603929</v>
      </c>
      <c r="C2008" t="s">
        <v>58</v>
      </c>
      <c r="D2008" s="7" t="s">
        <v>5489</v>
      </c>
      <c r="E2008" s="7" t="str">
        <f t="shared" si="975"/>
        <v>=2669*10000</v>
      </c>
      <c r="F2008" s="1">
        <f>2669*10000</f>
        <v>26690000</v>
      </c>
      <c r="G2008" s="8">
        <f t="shared" si="977"/>
        <v>0.77106834771068344</v>
      </c>
      <c r="H2008" s="7" t="s">
        <v>15854</v>
      </c>
      <c r="I2008" s="6" t="str">
        <f t="shared" si="961"/>
        <v>=1507*10000</v>
      </c>
      <c r="J2008" s="1">
        <f>1507*10000</f>
        <v>15070000</v>
      </c>
      <c r="K2008" s="10">
        <f t="shared" si="978"/>
        <v>7.7820512820512819</v>
      </c>
      <c r="L2008" s="7" t="s">
        <v>17661</v>
      </c>
      <c r="M2008" s="6" t="str">
        <f t="shared" si="962"/>
        <v>=171.6*10000</v>
      </c>
      <c r="N2008" s="1">
        <f>171.6*10000</f>
        <v>1716000</v>
      </c>
      <c r="O2008" s="8">
        <f t="shared" si="979"/>
        <v>-1.2117995556652679</v>
      </c>
      <c r="P2008" s="7">
        <f>-810.2*10000</f>
        <v>-8102000</v>
      </c>
      <c r="Q2008" s="6" t="str">
        <f t="shared" si="963"/>
        <v>=-8102000</v>
      </c>
      <c r="R2008" s="11">
        <f>-8102000</f>
        <v>-8102000</v>
      </c>
      <c r="S2008" s="8">
        <f t="shared" si="980"/>
        <v>-0.78463583200425302</v>
      </c>
      <c r="T2008" s="7">
        <f>-3762*10000</f>
        <v>-37620000</v>
      </c>
      <c r="U2008" s="6" t="str">
        <f t="shared" si="964"/>
        <v>=-37620000</v>
      </c>
      <c r="V2008" s="1">
        <f>-37620000</f>
        <v>-37620000</v>
      </c>
      <c r="W2008" s="8">
        <f t="shared" si="981"/>
        <v>2.6312741312741315</v>
      </c>
      <c r="X2008" s="7">
        <f>-1036*10000</f>
        <v>-10360000</v>
      </c>
      <c r="Y2008" s="6" t="str">
        <f t="shared" si="965"/>
        <v>=-10360000</v>
      </c>
      <c r="Z2008" s="1">
        <f>-10360000</f>
        <v>-10360000</v>
      </c>
      <c r="AA2008" s="8">
        <f t="shared" si="982"/>
        <v>-3.1547420965058235</v>
      </c>
      <c r="AB2008" s="7" t="s">
        <v>17662</v>
      </c>
      <c r="AC2008" s="6" t="str">
        <f t="shared" si="966"/>
        <v>=480.8*10000</v>
      </c>
      <c r="AD2008" s="1">
        <f>480.8*10000</f>
        <v>4808000</v>
      </c>
      <c r="AE2008" s="8">
        <f t="shared" si="983"/>
        <v>-1.9170322334541292</v>
      </c>
      <c r="AF2008" s="7">
        <f>-524.3*10000</f>
        <v>-5243000</v>
      </c>
      <c r="AG2008" s="6" t="str">
        <f t="shared" si="967"/>
        <v>=-5243000</v>
      </c>
      <c r="AH2008" s="1">
        <f>-5243000</f>
        <v>-5243000</v>
      </c>
      <c r="AI2008" s="8">
        <f t="shared" si="984"/>
        <v>-1.0418769968051118</v>
      </c>
      <c r="AJ2008" s="6" t="s">
        <v>9645</v>
      </c>
      <c r="AK2008" s="6" t="str">
        <f t="shared" si="968"/>
        <v>=1.252*100000000</v>
      </c>
      <c r="AL2008" s="1">
        <f>1.252*100000000</f>
        <v>125200000</v>
      </c>
      <c r="AM2008" s="8">
        <f t="shared" si="985"/>
        <v>0.22504892367906065</v>
      </c>
      <c r="AN2008" s="6" t="s">
        <v>2931</v>
      </c>
      <c r="AO2008" s="6" t="str">
        <f t="shared" si="969"/>
        <v>=1.022*100000000</v>
      </c>
      <c r="AP2008" s="1">
        <f>1.022*100000000</f>
        <v>102200000</v>
      </c>
      <c r="AQ2008" s="8">
        <f t="shared" si="986"/>
        <v>0.51992861392028555</v>
      </c>
      <c r="AR2008" s="7" t="s">
        <v>16898</v>
      </c>
      <c r="AS2008" s="6" t="str">
        <f t="shared" si="970"/>
        <v>=6724*10000</v>
      </c>
      <c r="AT2008" s="1">
        <f>6724*10000</f>
        <v>67240000</v>
      </c>
      <c r="AU2008" s="8">
        <f t="shared" si="987"/>
        <v>0.5164636896707262</v>
      </c>
      <c r="AV2008" s="7" t="s">
        <v>17663</v>
      </c>
      <c r="AW2008" s="6" t="str">
        <f t="shared" si="971"/>
        <v>=4434*10000</v>
      </c>
      <c r="AX2008" s="1">
        <f>4434*10000</f>
        <v>44340000</v>
      </c>
      <c r="AY2008" s="10">
        <f t="shared" si="988"/>
        <v>-0.76650868878357026</v>
      </c>
      <c r="AZ2008" s="6" t="s">
        <v>9429</v>
      </c>
      <c r="BA2008" s="6" t="str">
        <f t="shared" si="972"/>
        <v>=1.899*100000000</v>
      </c>
      <c r="BB2008" s="1">
        <f>1.899*100000000</f>
        <v>189900000</v>
      </c>
      <c r="BC2008" s="8">
        <f t="shared" si="989"/>
        <v>0.15090909090909091</v>
      </c>
      <c r="BD2008" s="6" t="s">
        <v>12504</v>
      </c>
      <c r="BE2008" s="6" t="str">
        <f t="shared" si="973"/>
        <v>=1.650*100000000</v>
      </c>
      <c r="BF2008" s="1">
        <f>1.65*100000000</f>
        <v>165000000</v>
      </c>
      <c r="BG2008" s="8">
        <f t="shared" si="990"/>
        <v>0.3392857142857143</v>
      </c>
      <c r="BH2008" s="6" t="s">
        <v>17602</v>
      </c>
      <c r="BI2008" s="6" t="str">
        <f t="shared" si="974"/>
        <v>=1.232*100000000</v>
      </c>
      <c r="BJ2008" s="1">
        <f>1.232*100000000</f>
        <v>123200000</v>
      </c>
      <c r="BK2008" s="7" t="s">
        <v>6300</v>
      </c>
      <c r="BL2008" s="1" t="str">
        <f t="shared" si="976"/>
        <v>=4777*10000</v>
      </c>
      <c r="BM2008" s="16">
        <f t="shared" si="991"/>
        <v>1.5790244923592214</v>
      </c>
      <c r="BN2008" s="1">
        <f>4777*10000</f>
        <v>47770000</v>
      </c>
    </row>
    <row r="2009" spans="1:66">
      <c r="A2009" s="19"/>
      <c r="B2009">
        <v>603929</v>
      </c>
      <c r="C2009" t="s">
        <v>68</v>
      </c>
      <c r="D2009" s="7" t="s">
        <v>17664</v>
      </c>
      <c r="E2009" s="7" t="str">
        <f t="shared" si="975"/>
        <v>=2564*10000</v>
      </c>
      <c r="F2009" s="1">
        <f>2564*10000</f>
        <v>25640000</v>
      </c>
      <c r="G2009" s="8">
        <f t="shared" si="977"/>
        <v>0.31893004115226337</v>
      </c>
      <c r="H2009" s="7" t="s">
        <v>11597</v>
      </c>
      <c r="I2009" s="6" t="str">
        <f t="shared" si="961"/>
        <v>=1944*10000</v>
      </c>
      <c r="J2009" s="1">
        <f>1944*10000</f>
        <v>19440000</v>
      </c>
      <c r="K2009" s="10">
        <f t="shared" si="978"/>
        <v>3.1282650244213208</v>
      </c>
      <c r="L2009" s="7" t="s">
        <v>17665</v>
      </c>
      <c r="M2009" s="6" t="str">
        <f t="shared" si="962"/>
        <v>=470.9*10000</v>
      </c>
      <c r="N2009" s="1">
        <f>470.9*10000</f>
        <v>4709000</v>
      </c>
      <c r="O2009" s="8">
        <f t="shared" si="979"/>
        <v>-1.5381099302936807</v>
      </c>
      <c r="P2009" s="7">
        <f>-875.1*10000</f>
        <v>-8751000</v>
      </c>
      <c r="Q2009" s="6" t="str">
        <f t="shared" si="963"/>
        <v>=-8751000</v>
      </c>
      <c r="R2009" s="11">
        <f>-8751000</f>
        <v>-8751000</v>
      </c>
      <c r="S2009" s="8">
        <f t="shared" si="980"/>
        <v>-0.74649478563151794</v>
      </c>
      <c r="T2009" s="7">
        <f>-3452*10000</f>
        <v>-34520000</v>
      </c>
      <c r="U2009" s="6" t="str">
        <f t="shared" si="964"/>
        <v>=-34520000</v>
      </c>
      <c r="V2009" s="1">
        <f>-34520000</f>
        <v>-34520000</v>
      </c>
      <c r="W2009" s="8">
        <f t="shared" si="981"/>
        <v>2.1043165467625897</v>
      </c>
      <c r="X2009" s="7">
        <f>-1112*10000</f>
        <v>-11120000</v>
      </c>
      <c r="Y2009" s="6" t="str">
        <f t="shared" si="965"/>
        <v>=-11120000</v>
      </c>
      <c r="Z2009" s="1">
        <f>-11120000</f>
        <v>-11120000</v>
      </c>
      <c r="AA2009" s="8">
        <f t="shared" si="982"/>
        <v>-4.9502664298401422</v>
      </c>
      <c r="AB2009" s="7" t="s">
        <v>17666</v>
      </c>
      <c r="AC2009" s="6" t="str">
        <f t="shared" si="966"/>
        <v>=281.5*10000</v>
      </c>
      <c r="AD2009" s="1">
        <f>281.5*10000</f>
        <v>2815000</v>
      </c>
      <c r="AE2009" s="8">
        <f t="shared" si="983"/>
        <v>-1.4258698940998487</v>
      </c>
      <c r="AF2009" s="7">
        <f>-661*10000</f>
        <v>-6610000</v>
      </c>
      <c r="AG2009" s="6" t="str">
        <f t="shared" si="967"/>
        <v>=-6610000</v>
      </c>
      <c r="AH2009" s="1">
        <f>-6610000</f>
        <v>-6610000</v>
      </c>
      <c r="AI2009" s="8">
        <f t="shared" si="984"/>
        <v>-1.0624173748819641</v>
      </c>
      <c r="AJ2009" s="6" t="s">
        <v>4908</v>
      </c>
      <c r="AK2009" s="6" t="str">
        <f t="shared" si="968"/>
        <v>=1.059*100000000</v>
      </c>
      <c r="AL2009" s="1">
        <f>1.059*100000000</f>
        <v>105900000</v>
      </c>
      <c r="AM2009" s="8">
        <f t="shared" si="985"/>
        <v>0.22526900381811871</v>
      </c>
      <c r="AN2009" s="7" t="s">
        <v>17667</v>
      </c>
      <c r="AO2009" s="6" t="str">
        <f t="shared" si="969"/>
        <v>=8643*10000</v>
      </c>
      <c r="AP2009" s="1">
        <f>8643*10000</f>
        <v>86430000</v>
      </c>
      <c r="AQ2009" s="8">
        <f t="shared" si="986"/>
        <v>0.48607290233837691</v>
      </c>
      <c r="AR2009" s="7" t="s">
        <v>17668</v>
      </c>
      <c r="AS2009" s="6" t="str">
        <f t="shared" si="970"/>
        <v>=5816*10000</v>
      </c>
      <c r="AT2009" s="1">
        <f>5816*10000</f>
        <v>58160000</v>
      </c>
      <c r="AU2009" s="8">
        <f t="shared" si="987"/>
        <v>0.53781068217874139</v>
      </c>
      <c r="AV2009" s="7" t="s">
        <v>1273</v>
      </c>
      <c r="AW2009" s="6" t="str">
        <f t="shared" si="971"/>
        <v>=3782*10000</v>
      </c>
      <c r="AX2009" s="1">
        <f>3782*10000</f>
        <v>37820000</v>
      </c>
      <c r="AY2009" s="10">
        <f t="shared" si="988"/>
        <v>-0.76596534653465342</v>
      </c>
      <c r="AZ2009" s="6" t="s">
        <v>7664</v>
      </c>
      <c r="BA2009" s="6" t="str">
        <f t="shared" si="972"/>
        <v>=1.616*100000000</v>
      </c>
      <c r="BB2009" s="1">
        <f>1.616*100000000</f>
        <v>161600000</v>
      </c>
      <c r="BC2009" s="8">
        <f t="shared" si="989"/>
        <v>0.15346181299072092</v>
      </c>
      <c r="BD2009" s="6" t="s">
        <v>17669</v>
      </c>
      <c r="BE2009" s="6" t="str">
        <f t="shared" si="973"/>
        <v>=1.401*100000000</v>
      </c>
      <c r="BF2009" s="1">
        <f>1.401*100000000</f>
        <v>140100000</v>
      </c>
      <c r="BG2009" s="8">
        <f t="shared" si="990"/>
        <v>0.37622789783889982</v>
      </c>
      <c r="BH2009" s="6" t="s">
        <v>2234</v>
      </c>
      <c r="BI2009" s="6" t="str">
        <f t="shared" si="974"/>
        <v>=1.018*100000000</v>
      </c>
      <c r="BJ2009" s="1">
        <f>1.018*100000000</f>
        <v>101800000</v>
      </c>
      <c r="BK2009" s="7" t="s">
        <v>17670</v>
      </c>
      <c r="BL2009" s="1" t="str">
        <f t="shared" si="976"/>
        <v>=3991*10000</v>
      </c>
      <c r="BM2009" s="16">
        <f t="shared" si="991"/>
        <v>1.5507391631170133</v>
      </c>
      <c r="BN2009" s="1">
        <f>3991*10000</f>
        <v>39910000</v>
      </c>
    </row>
    <row r="2010" spans="1:66">
      <c r="A2010" s="17">
        <v>504</v>
      </c>
      <c r="B2010">
        <v>603933</v>
      </c>
      <c r="C2010" t="s">
        <v>31</v>
      </c>
      <c r="D2010" s="6" t="s">
        <v>17671</v>
      </c>
      <c r="E2010" s="7" t="str">
        <f t="shared" si="975"/>
        <v>=20.85*100000000</v>
      </c>
      <c r="F2010" s="1">
        <f>20.85*100000000</f>
        <v>2085000000.0000002</v>
      </c>
      <c r="G2010" s="8">
        <f t="shared" si="977"/>
        <v>0.31878557874762825</v>
      </c>
      <c r="H2010" s="6" t="s">
        <v>248</v>
      </c>
      <c r="I2010" s="6" t="str">
        <f t="shared" si="961"/>
        <v>=15.81*100000000</v>
      </c>
      <c r="J2010" s="1">
        <f>15.81*100000000</f>
        <v>1581000000</v>
      </c>
      <c r="K2010" s="10">
        <f t="shared" si="978"/>
        <v>0.4957426679280984</v>
      </c>
      <c r="L2010" s="6" t="s">
        <v>930</v>
      </c>
      <c r="M2010" s="6" t="str">
        <f t="shared" si="962"/>
        <v>=10.57*100000000</v>
      </c>
      <c r="N2010" s="1">
        <f>10.57*100000000</f>
        <v>1057000000</v>
      </c>
      <c r="O2010" s="8">
        <f t="shared" si="979"/>
        <v>1.193856371938564</v>
      </c>
      <c r="P2010" s="6" t="s">
        <v>17672</v>
      </c>
      <c r="Q2010" s="6" t="str">
        <f t="shared" si="963"/>
        <v>=4.818*100000000</v>
      </c>
      <c r="R2010" s="11">
        <f>4.818*100000000</f>
        <v>481799999.99999994</v>
      </c>
      <c r="S2010" s="8">
        <f t="shared" si="980"/>
        <v>-0.67815631262525045</v>
      </c>
      <c r="T2010" s="6" t="s">
        <v>1738</v>
      </c>
      <c r="U2010" s="6" t="str">
        <f t="shared" si="964"/>
        <v>=14.97*100000000</v>
      </c>
      <c r="V2010" s="1">
        <f>14.97*100000000</f>
        <v>1497000000</v>
      </c>
      <c r="W2010" s="8">
        <f t="shared" si="981"/>
        <v>0.39515377446411931</v>
      </c>
      <c r="X2010" s="6" t="s">
        <v>2138</v>
      </c>
      <c r="Y2010" s="6" t="str">
        <f t="shared" si="965"/>
        <v>=10.73*100000000</v>
      </c>
      <c r="Z2010" s="1">
        <f>10.73*100000000</f>
        <v>1073000000</v>
      </c>
      <c r="AA2010" s="8">
        <f t="shared" si="982"/>
        <v>0.59648861776521356</v>
      </c>
      <c r="AB2010" s="6" t="s">
        <v>8470</v>
      </c>
      <c r="AC2010" s="6" t="str">
        <f t="shared" si="966"/>
        <v>=6.721*100000000</v>
      </c>
      <c r="AD2010" s="1">
        <f>6.721*100000000</f>
        <v>672100000</v>
      </c>
      <c r="AE2010" s="8">
        <f t="shared" si="983"/>
        <v>1.2629629629629631</v>
      </c>
      <c r="AF2010" s="6" t="s">
        <v>7853</v>
      </c>
      <c r="AG2010" s="6" t="str">
        <f t="shared" si="967"/>
        <v>=2.970*100000000</v>
      </c>
      <c r="AH2010" s="1">
        <f>2.97*100000000</f>
        <v>297000000</v>
      </c>
      <c r="AI2010" s="8">
        <f t="shared" si="984"/>
        <v>-0.79905277401894448</v>
      </c>
      <c r="AJ2010" s="6" t="s">
        <v>12475</v>
      </c>
      <c r="AK2010" s="6" t="str">
        <f t="shared" si="968"/>
        <v>=14.78*100000000</v>
      </c>
      <c r="AL2010" s="1">
        <f>14.78*100000000</f>
        <v>1478000000</v>
      </c>
      <c r="AM2010" s="8">
        <f t="shared" si="985"/>
        <v>0.34485896269335758</v>
      </c>
      <c r="AN2010" s="6" t="s">
        <v>4075</v>
      </c>
      <c r="AO2010" s="6" t="str">
        <f t="shared" si="969"/>
        <v>=10.99*100000000</v>
      </c>
      <c r="AP2010" s="1">
        <f>10.99*100000000</f>
        <v>1099000000</v>
      </c>
      <c r="AQ2010" s="8">
        <f t="shared" si="986"/>
        <v>0.44187877197585934</v>
      </c>
      <c r="AR2010" s="6" t="s">
        <v>17673</v>
      </c>
      <c r="AS2010" s="6" t="str">
        <f t="shared" si="970"/>
        <v>=7.622*100000000</v>
      </c>
      <c r="AT2010" s="1">
        <f>7.622*100000000</f>
        <v>762200000</v>
      </c>
      <c r="AU2010" s="8">
        <f t="shared" si="987"/>
        <v>1.1739874500855676</v>
      </c>
      <c r="AV2010" s="6" t="s">
        <v>10480</v>
      </c>
      <c r="AW2010" s="6" t="str">
        <f t="shared" si="971"/>
        <v>=3.506*100000000</v>
      </c>
      <c r="AX2010" s="1">
        <f>3.506*100000000</f>
        <v>350600000</v>
      </c>
      <c r="AY2010" s="10">
        <f t="shared" si="988"/>
        <v>-0.81079330814894768</v>
      </c>
      <c r="AZ2010" s="6" t="s">
        <v>6876</v>
      </c>
      <c r="BA2010" s="6" t="str">
        <f t="shared" si="972"/>
        <v>=18.53*100000000</v>
      </c>
      <c r="BB2010" s="1">
        <f>18.53*100000000</f>
        <v>1853000000</v>
      </c>
      <c r="BC2010" s="8">
        <f t="shared" si="989"/>
        <v>0.2486522911051213</v>
      </c>
      <c r="BD2010" s="6" t="s">
        <v>6951</v>
      </c>
      <c r="BE2010" s="6" t="str">
        <f t="shared" si="973"/>
        <v>=14.84*100000000</v>
      </c>
      <c r="BF2010" s="1">
        <f>14.84*100000000</f>
        <v>1484000000</v>
      </c>
      <c r="BG2010" s="8">
        <f t="shared" si="990"/>
        <v>0.46930693069306928</v>
      </c>
      <c r="BH2010" s="6" t="s">
        <v>3659</v>
      </c>
      <c r="BI2010" s="6" t="str">
        <f t="shared" si="974"/>
        <v>=10.10*100000000</v>
      </c>
      <c r="BJ2010" s="1">
        <f>10.1*100000000</f>
        <v>1010000000</v>
      </c>
      <c r="BK2010" s="6" t="s">
        <v>17201</v>
      </c>
      <c r="BL2010" s="1" t="str">
        <f t="shared" si="976"/>
        <v>=4.562*100000000</v>
      </c>
      <c r="BM2010" s="16">
        <f t="shared" si="991"/>
        <v>1.2139412538360368</v>
      </c>
      <c r="BN2010" s="1">
        <f>4.562*100000000</f>
        <v>456200000</v>
      </c>
    </row>
    <row r="2011" spans="1:66">
      <c r="A2011" s="18"/>
      <c r="B2011">
        <v>603933</v>
      </c>
      <c r="C2011" t="s">
        <v>48</v>
      </c>
      <c r="D2011" s="7" t="s">
        <v>17674</v>
      </c>
      <c r="E2011" s="7" t="str">
        <f t="shared" si="975"/>
        <v>=9419*10000</v>
      </c>
      <c r="F2011" s="1">
        <f>9419*10000</f>
        <v>94190000</v>
      </c>
      <c r="G2011" s="8">
        <f t="shared" si="977"/>
        <v>-3.6222244960605748E-2</v>
      </c>
      <c r="H2011" s="7" t="s">
        <v>17675</v>
      </c>
      <c r="I2011" s="6" t="str">
        <f t="shared" si="961"/>
        <v>=9773*10000</v>
      </c>
      <c r="J2011" s="1">
        <f>9773*10000</f>
        <v>97730000</v>
      </c>
      <c r="K2011" s="10">
        <f t="shared" si="978"/>
        <v>0.32893663312483001</v>
      </c>
      <c r="L2011" s="7" t="s">
        <v>17387</v>
      </c>
      <c r="M2011" s="6" t="str">
        <f t="shared" si="962"/>
        <v>=7354*10000</v>
      </c>
      <c r="N2011" s="1">
        <f>7354*10000</f>
        <v>73540000</v>
      </c>
      <c r="O2011" s="8">
        <f t="shared" si="979"/>
        <v>1.3915447154471545</v>
      </c>
      <c r="P2011" s="7" t="s">
        <v>10838</v>
      </c>
      <c r="Q2011" s="6" t="str">
        <f t="shared" si="963"/>
        <v>=3075*10000</v>
      </c>
      <c r="R2011" s="11">
        <f>3075*10000</f>
        <v>30750000</v>
      </c>
      <c r="S2011" s="8">
        <f t="shared" si="980"/>
        <v>0.24746450304259635</v>
      </c>
      <c r="T2011" s="7" t="s">
        <v>10065</v>
      </c>
      <c r="U2011" s="6" t="str">
        <f t="shared" si="964"/>
        <v>=2465*10000</v>
      </c>
      <c r="V2011" s="1">
        <f>2465*10000</f>
        <v>24650000</v>
      </c>
      <c r="W2011" s="8">
        <f t="shared" si="981"/>
        <v>0.78882438316400583</v>
      </c>
      <c r="X2011" s="7" t="s">
        <v>17205</v>
      </c>
      <c r="Y2011" s="6" t="str">
        <f t="shared" si="965"/>
        <v>=1378*10000</v>
      </c>
      <c r="Z2011" s="1">
        <f>1378*10000</f>
        <v>13780000</v>
      </c>
      <c r="AA2011" s="8">
        <f t="shared" si="982"/>
        <v>4.3149129447388343E-2</v>
      </c>
      <c r="AB2011" s="7" t="s">
        <v>9975</v>
      </c>
      <c r="AC2011" s="6" t="str">
        <f t="shared" si="966"/>
        <v>=1321*10000</v>
      </c>
      <c r="AD2011" s="1">
        <f>1321*10000</f>
        <v>13210000</v>
      </c>
      <c r="AE2011" s="8">
        <f t="shared" si="983"/>
        <v>16.279267495094832</v>
      </c>
      <c r="AF2011" s="7" t="s">
        <v>17676</v>
      </c>
      <c r="AG2011" s="6" t="str">
        <f t="shared" si="967"/>
        <v>=76.45*10000</v>
      </c>
      <c r="AH2011" s="1">
        <f>76.45*10000</f>
        <v>764500</v>
      </c>
      <c r="AI2011" s="8">
        <f t="shared" si="984"/>
        <v>-0.96847422680412376</v>
      </c>
      <c r="AJ2011" s="7" t="s">
        <v>2700</v>
      </c>
      <c r="AK2011" s="6" t="str">
        <f t="shared" si="968"/>
        <v>=2425*10000</v>
      </c>
      <c r="AL2011" s="1">
        <f>2425*10000</f>
        <v>24250000</v>
      </c>
      <c r="AM2011" s="8">
        <f t="shared" si="985"/>
        <v>-0.26581895246745385</v>
      </c>
      <c r="AN2011" s="7" t="s">
        <v>17677</v>
      </c>
      <c r="AO2011" s="6" t="str">
        <f t="shared" si="969"/>
        <v>=3303*10000</v>
      </c>
      <c r="AP2011" s="1">
        <f>3303*10000</f>
        <v>33030000</v>
      </c>
      <c r="AQ2011" s="8">
        <f t="shared" si="986"/>
        <v>9.4796155120981107E-2</v>
      </c>
      <c r="AR2011" s="7" t="s">
        <v>17678</v>
      </c>
      <c r="AS2011" s="6" t="str">
        <f t="shared" si="970"/>
        <v>=3017*10000</v>
      </c>
      <c r="AT2011" s="1">
        <f>3017*10000</f>
        <v>30170000</v>
      </c>
      <c r="AU2011" s="8">
        <f t="shared" si="987"/>
        <v>1.4369951534733441</v>
      </c>
      <c r="AV2011" s="7" t="s">
        <v>9443</v>
      </c>
      <c r="AW2011" s="6" t="str">
        <f t="shared" si="971"/>
        <v>=1238*10000</v>
      </c>
      <c r="AX2011" s="1">
        <f>1238*10000</f>
        <v>12380000</v>
      </c>
      <c r="AY2011" s="10">
        <f t="shared" si="988"/>
        <v>-0.90677710843373494</v>
      </c>
      <c r="AZ2011" s="6" t="s">
        <v>4979</v>
      </c>
      <c r="BA2011" s="6" t="str">
        <f t="shared" si="972"/>
        <v>=1.328*100000000</v>
      </c>
      <c r="BB2011" s="1">
        <f>1.328*100000000</f>
        <v>132800000</v>
      </c>
      <c r="BC2011" s="8">
        <f t="shared" si="989"/>
        <v>8.6743044189852694E-2</v>
      </c>
      <c r="BD2011" s="6" t="s">
        <v>2553</v>
      </c>
      <c r="BE2011" s="6" t="str">
        <f t="shared" si="973"/>
        <v>=1.222*100000000</v>
      </c>
      <c r="BF2011" s="1">
        <f>1.222*100000000</f>
        <v>122200000</v>
      </c>
      <c r="BG2011" s="8">
        <f t="shared" si="990"/>
        <v>0.29093598140714133</v>
      </c>
      <c r="BH2011" s="7" t="s">
        <v>17679</v>
      </c>
      <c r="BI2011" s="6" t="str">
        <f t="shared" si="974"/>
        <v>=9466*10000</v>
      </c>
      <c r="BJ2011" s="1">
        <f>9466*10000</f>
        <v>94660000</v>
      </c>
      <c r="BK2011" s="7" t="s">
        <v>6936</v>
      </c>
      <c r="BL2011" s="1" t="str">
        <f t="shared" si="976"/>
        <v>=4687*10000</v>
      </c>
      <c r="BM2011" s="16">
        <f t="shared" si="991"/>
        <v>1.0196287604011094</v>
      </c>
      <c r="BN2011" s="1">
        <f>4687*10000</f>
        <v>46870000</v>
      </c>
    </row>
    <row r="2012" spans="1:66">
      <c r="A2012" s="18"/>
      <c r="B2012">
        <v>603933</v>
      </c>
      <c r="C2012" t="s">
        <v>58</v>
      </c>
      <c r="D2012" s="7" t="s">
        <v>17680</v>
      </c>
      <c r="E2012" s="7" t="str">
        <f t="shared" si="975"/>
        <v>=9245*10000</v>
      </c>
      <c r="F2012" s="1">
        <f>9245*10000</f>
        <v>92450000</v>
      </c>
      <c r="G2012" s="8">
        <f t="shared" si="977"/>
        <v>-3.5270792027548785E-2</v>
      </c>
      <c r="H2012" s="7" t="s">
        <v>4737</v>
      </c>
      <c r="I2012" s="6" t="str">
        <f t="shared" si="961"/>
        <v>=9583*10000</v>
      </c>
      <c r="J2012" s="1">
        <f>9583*10000</f>
        <v>95830000</v>
      </c>
      <c r="K2012" s="10">
        <f t="shared" si="978"/>
        <v>0.33710059997209429</v>
      </c>
      <c r="L2012" s="7" t="s">
        <v>8514</v>
      </c>
      <c r="M2012" s="6" t="str">
        <f t="shared" si="962"/>
        <v>=7167*10000</v>
      </c>
      <c r="N2012" s="1">
        <f>7167*10000</f>
        <v>71670000</v>
      </c>
      <c r="O2012" s="8">
        <f t="shared" si="979"/>
        <v>1.3299739921976592</v>
      </c>
      <c r="P2012" s="7" t="s">
        <v>16577</v>
      </c>
      <c r="Q2012" s="6" t="str">
        <f t="shared" si="963"/>
        <v>=3076*10000</v>
      </c>
      <c r="R2012" s="11">
        <f>3076*10000</f>
        <v>30760000</v>
      </c>
      <c r="S2012" s="8">
        <f t="shared" si="980"/>
        <v>0.29898648648648651</v>
      </c>
      <c r="T2012" s="7" t="s">
        <v>9168</v>
      </c>
      <c r="U2012" s="6" t="str">
        <f t="shared" si="964"/>
        <v>=2368*10000</v>
      </c>
      <c r="V2012" s="1">
        <f>2368*10000</f>
        <v>23680000</v>
      </c>
      <c r="W2012" s="8">
        <f t="shared" si="981"/>
        <v>0.81734458940905608</v>
      </c>
      <c r="X2012" s="7" t="s">
        <v>17681</v>
      </c>
      <c r="Y2012" s="6" t="str">
        <f t="shared" si="965"/>
        <v>=1303*10000</v>
      </c>
      <c r="Z2012" s="1">
        <f>1303*10000</f>
        <v>13030000</v>
      </c>
      <c r="AA2012" s="8">
        <f t="shared" si="982"/>
        <v>6.9786535303776681E-2</v>
      </c>
      <c r="AB2012" s="7" t="s">
        <v>8355</v>
      </c>
      <c r="AC2012" s="6" t="str">
        <f t="shared" si="966"/>
        <v>=1218*10000</v>
      </c>
      <c r="AD2012" s="1">
        <f>1218*10000</f>
        <v>12180000</v>
      </c>
      <c r="AE2012" s="8">
        <f t="shared" si="983"/>
        <v>-18.964601769911503</v>
      </c>
      <c r="AF2012" s="7">
        <f>-67.8*10000</f>
        <v>-678000</v>
      </c>
      <c r="AG2012" s="6" t="str">
        <f t="shared" si="967"/>
        <v>=-678000</v>
      </c>
      <c r="AH2012" s="1">
        <f>-678000</f>
        <v>-678000</v>
      </c>
      <c r="AI2012" s="8">
        <f t="shared" si="984"/>
        <v>-1.0286317567567567</v>
      </c>
      <c r="AJ2012" s="7" t="s">
        <v>9168</v>
      </c>
      <c r="AK2012" s="6" t="str">
        <f t="shared" si="968"/>
        <v>=2368*10000</v>
      </c>
      <c r="AL2012" s="1">
        <f>2368*10000</f>
        <v>23680000</v>
      </c>
      <c r="AM2012" s="8">
        <f t="shared" si="985"/>
        <v>-0.29961549837326235</v>
      </c>
      <c r="AN2012" s="7" t="s">
        <v>2473</v>
      </c>
      <c r="AO2012" s="6" t="str">
        <f t="shared" si="969"/>
        <v>=3381*10000</v>
      </c>
      <c r="AP2012" s="1">
        <f>3381*10000</f>
        <v>33810000</v>
      </c>
      <c r="AQ2012" s="8">
        <f t="shared" si="986"/>
        <v>0.1184254052265961</v>
      </c>
      <c r="AR2012" s="7" t="s">
        <v>17682</v>
      </c>
      <c r="AS2012" s="6" t="str">
        <f t="shared" si="970"/>
        <v>=3023*10000</v>
      </c>
      <c r="AT2012" s="1">
        <f>3023*10000</f>
        <v>30230000</v>
      </c>
      <c r="AU2012" s="8">
        <f t="shared" si="987"/>
        <v>1.4398708635996771</v>
      </c>
      <c r="AV2012" s="7" t="s">
        <v>15423</v>
      </c>
      <c r="AW2012" s="6" t="str">
        <f t="shared" si="971"/>
        <v>=1239*10000</v>
      </c>
      <c r="AX2012" s="1">
        <f>1239*10000</f>
        <v>12390000</v>
      </c>
      <c r="AY2012" s="10">
        <f t="shared" si="988"/>
        <v>-0.9058510638297872</v>
      </c>
      <c r="AZ2012" s="6" t="s">
        <v>13130</v>
      </c>
      <c r="BA2012" s="6" t="str">
        <f t="shared" si="972"/>
        <v>=1.316*100000000</v>
      </c>
      <c r="BB2012" s="1">
        <f>1.316*100000000</f>
        <v>131600000</v>
      </c>
      <c r="BC2012" s="8">
        <f t="shared" si="989"/>
        <v>8.0459770114942528E-2</v>
      </c>
      <c r="BD2012" s="6" t="s">
        <v>8714</v>
      </c>
      <c r="BE2012" s="6" t="str">
        <f t="shared" si="973"/>
        <v>=1.218*100000000</v>
      </c>
      <c r="BF2012" s="1">
        <f>1.218*100000000</f>
        <v>121800000</v>
      </c>
      <c r="BG2012" s="8">
        <f t="shared" si="990"/>
        <v>0.29093799682034976</v>
      </c>
      <c r="BH2012" s="7" t="s">
        <v>17683</v>
      </c>
      <c r="BI2012" s="6" t="str">
        <f t="shared" si="974"/>
        <v>=9435*10000</v>
      </c>
      <c r="BJ2012" s="1">
        <f>9435*10000</f>
        <v>94350000</v>
      </c>
      <c r="BK2012" s="7" t="s">
        <v>17684</v>
      </c>
      <c r="BL2012" s="1" t="str">
        <f t="shared" si="976"/>
        <v>=4683*10000</v>
      </c>
      <c r="BM2012" s="16">
        <f t="shared" si="991"/>
        <v>1.0147341447789879</v>
      </c>
      <c r="BN2012" s="1">
        <f>4683*10000</f>
        <v>46830000</v>
      </c>
    </row>
    <row r="2013" spans="1:66">
      <c r="A2013" s="19"/>
      <c r="B2013">
        <v>603933</v>
      </c>
      <c r="C2013" t="s">
        <v>68</v>
      </c>
      <c r="D2013" s="7" t="s">
        <v>7609</v>
      </c>
      <c r="E2013" s="7" t="str">
        <f t="shared" si="975"/>
        <v>=8013*10000</v>
      </c>
      <c r="F2013" s="1">
        <f>8013*10000</f>
        <v>80130000</v>
      </c>
      <c r="G2013" s="8">
        <f t="shared" si="977"/>
        <v>-5.3376365441906654E-3</v>
      </c>
      <c r="H2013" s="7" t="s">
        <v>17685</v>
      </c>
      <c r="I2013" s="6" t="str">
        <f t="shared" si="961"/>
        <v>=8056*10000</v>
      </c>
      <c r="J2013" s="1">
        <f>8056*10000</f>
        <v>80560000</v>
      </c>
      <c r="K2013" s="10">
        <f t="shared" si="978"/>
        <v>0.43370706531411285</v>
      </c>
      <c r="L2013" s="7" t="s">
        <v>17686</v>
      </c>
      <c r="M2013" s="6" t="str">
        <f t="shared" si="962"/>
        <v>=5619*10000</v>
      </c>
      <c r="N2013" s="1">
        <f>5619*10000</f>
        <v>56190000</v>
      </c>
      <c r="O2013" s="8">
        <f t="shared" si="979"/>
        <v>1.0612619222303741</v>
      </c>
      <c r="P2013" s="7" t="s">
        <v>17687</v>
      </c>
      <c r="Q2013" s="6" t="str">
        <f t="shared" si="963"/>
        <v>=2726*10000</v>
      </c>
      <c r="R2013" s="11">
        <f>2726*10000</f>
        <v>27260000</v>
      </c>
      <c r="S2013" s="8">
        <f t="shared" si="980"/>
        <v>0.14345637583892618</v>
      </c>
      <c r="T2013" s="7" t="s">
        <v>17688</v>
      </c>
      <c r="U2013" s="6" t="str">
        <f t="shared" si="964"/>
        <v>=2384*10000</v>
      </c>
      <c r="V2013" s="1">
        <f>2384*10000</f>
        <v>23840000</v>
      </c>
      <c r="W2013" s="8">
        <f t="shared" si="981"/>
        <v>0.49186483103879852</v>
      </c>
      <c r="X2013" s="7" t="s">
        <v>17689</v>
      </c>
      <c r="Y2013" s="6" t="str">
        <f t="shared" si="965"/>
        <v>=1598*10000</v>
      </c>
      <c r="Z2013" s="1">
        <f>1598*10000</f>
        <v>15980000</v>
      </c>
      <c r="AA2013" s="8">
        <f t="shared" si="982"/>
        <v>0.16133720930232559</v>
      </c>
      <c r="AB2013" s="7" t="s">
        <v>7259</v>
      </c>
      <c r="AC2013" s="6" t="str">
        <f t="shared" si="966"/>
        <v>=1376*10000</v>
      </c>
      <c r="AD2013" s="1">
        <f>1376*10000</f>
        <v>13760000</v>
      </c>
      <c r="AE2013" s="8">
        <f t="shared" si="983"/>
        <v>24.686018293821167</v>
      </c>
      <c r="AF2013" s="7" t="s">
        <v>17690</v>
      </c>
      <c r="AG2013" s="6" t="str">
        <f t="shared" si="967"/>
        <v>=53.57*10000</v>
      </c>
      <c r="AH2013" s="1">
        <f>53.57*10000</f>
        <v>535700</v>
      </c>
      <c r="AI2013" s="8">
        <f t="shared" si="984"/>
        <v>-0.9807232817560273</v>
      </c>
      <c r="AJ2013" s="7" t="s">
        <v>11362</v>
      </c>
      <c r="AK2013" s="6" t="str">
        <f t="shared" si="968"/>
        <v>=2779*10000</v>
      </c>
      <c r="AL2013" s="1">
        <f>2779*10000</f>
        <v>27790000</v>
      </c>
      <c r="AM2013" s="8">
        <f t="shared" si="985"/>
        <v>-0.19097525473071325</v>
      </c>
      <c r="AN2013" s="7" t="s">
        <v>4862</v>
      </c>
      <c r="AO2013" s="6" t="str">
        <f t="shared" si="969"/>
        <v>=3435*10000</v>
      </c>
      <c r="AP2013" s="1">
        <f>3435*10000</f>
        <v>34350000</v>
      </c>
      <c r="AQ2013" s="8">
        <f t="shared" si="986"/>
        <v>0.18693849343469246</v>
      </c>
      <c r="AR2013" s="7" t="s">
        <v>6925</v>
      </c>
      <c r="AS2013" s="6" t="str">
        <f t="shared" si="970"/>
        <v>=2894*10000</v>
      </c>
      <c r="AT2013" s="1">
        <f>2894*10000</f>
        <v>28940000</v>
      </c>
      <c r="AU2013" s="8">
        <f t="shared" si="987"/>
        <v>1.3151999999999999</v>
      </c>
      <c r="AV2013" s="7" t="s">
        <v>15670</v>
      </c>
      <c r="AW2013" s="6" t="str">
        <f t="shared" si="971"/>
        <v>=1250*10000</v>
      </c>
      <c r="AX2013" s="1">
        <f>1250*10000</f>
        <v>12500000</v>
      </c>
      <c r="AY2013" s="10">
        <f t="shared" si="988"/>
        <v>-0.88839285714285721</v>
      </c>
      <c r="AZ2013" s="6" t="s">
        <v>7446</v>
      </c>
      <c r="BA2013" s="6" t="str">
        <f t="shared" si="972"/>
        <v>=1.120*100000000</v>
      </c>
      <c r="BB2013" s="1">
        <f>1.12*100000000</f>
        <v>112000000.00000001</v>
      </c>
      <c r="BC2013" s="8">
        <f t="shared" si="989"/>
        <v>8.0038572806171951E-2</v>
      </c>
      <c r="BD2013" s="6" t="s">
        <v>2194</v>
      </c>
      <c r="BE2013" s="6" t="str">
        <f t="shared" si="973"/>
        <v>=1.037*100000000</v>
      </c>
      <c r="BF2013" s="1">
        <f>1.037*100000000</f>
        <v>103699999.99999999</v>
      </c>
      <c r="BG2013" s="8">
        <f t="shared" si="990"/>
        <v>0.31382237425566939</v>
      </c>
      <c r="BH2013" s="7" t="s">
        <v>17691</v>
      </c>
      <c r="BI2013" s="6" t="str">
        <f t="shared" si="974"/>
        <v>=7893*10000</v>
      </c>
      <c r="BJ2013" s="1">
        <f>7893*10000</f>
        <v>78930000</v>
      </c>
      <c r="BK2013" s="7" t="s">
        <v>17692</v>
      </c>
      <c r="BL2013" s="1" t="str">
        <f t="shared" si="976"/>
        <v>=3886*10000</v>
      </c>
      <c r="BM2013" s="16">
        <f t="shared" si="991"/>
        <v>1.0311374163664437</v>
      </c>
      <c r="BN2013" s="1">
        <f>3886*10000</f>
        <v>38860000</v>
      </c>
    </row>
    <row r="2014" spans="1:66">
      <c r="A2014" s="17">
        <v>505</v>
      </c>
      <c r="B2014">
        <v>603938</v>
      </c>
      <c r="C2014" t="s">
        <v>31</v>
      </c>
      <c r="D2014" s="6" t="s">
        <v>239</v>
      </c>
      <c r="E2014" s="7" t="str">
        <f t="shared" si="975"/>
        <v>=15.99*100000000</v>
      </c>
      <c r="F2014" s="1">
        <f>15.99*100000000</f>
        <v>1599000000</v>
      </c>
      <c r="G2014" s="8">
        <f t="shared" si="977"/>
        <v>0.41254416961130741</v>
      </c>
      <c r="H2014" s="6" t="s">
        <v>9921</v>
      </c>
      <c r="I2014" s="6" t="str">
        <f t="shared" si="961"/>
        <v>=11.32*100000000</v>
      </c>
      <c r="J2014" s="1">
        <f>11.32*100000000</f>
        <v>1132000000</v>
      </c>
      <c r="K2014" s="10">
        <f t="shared" si="978"/>
        <v>0.78351977312115961</v>
      </c>
      <c r="L2014" s="6" t="s">
        <v>7850</v>
      </c>
      <c r="M2014" s="6" t="str">
        <f t="shared" si="962"/>
        <v>=6.347*100000000</v>
      </c>
      <c r="N2014" s="1">
        <f>6.347*100000000</f>
        <v>634700000</v>
      </c>
      <c r="O2014" s="8">
        <f t="shared" si="979"/>
        <v>1.2030544949670254</v>
      </c>
      <c r="P2014" s="6" t="s">
        <v>15056</v>
      </c>
      <c r="Q2014" s="6" t="str">
        <f t="shared" si="963"/>
        <v>=2.881*100000000</v>
      </c>
      <c r="R2014" s="11">
        <f>2.881*100000000</f>
        <v>288100000</v>
      </c>
      <c r="S2014" s="8">
        <f t="shared" si="980"/>
        <v>-0.71361829025844925</v>
      </c>
      <c r="T2014" s="6" t="s">
        <v>17468</v>
      </c>
      <c r="U2014" s="6" t="str">
        <f t="shared" si="964"/>
        <v>=10.06*100000000</v>
      </c>
      <c r="V2014" s="1">
        <f>10.06*100000000</f>
        <v>1006000000</v>
      </c>
      <c r="W2014" s="8">
        <f t="shared" si="981"/>
        <v>0.35854152599594868</v>
      </c>
      <c r="X2014" s="6" t="s">
        <v>17693</v>
      </c>
      <c r="Y2014" s="6" t="str">
        <f t="shared" si="965"/>
        <v>=7.405*100000000</v>
      </c>
      <c r="Z2014" s="1">
        <f>7.405*100000000</f>
        <v>740500000</v>
      </c>
      <c r="AA2014" s="8">
        <f t="shared" si="982"/>
        <v>0.52680412371134044</v>
      </c>
      <c r="AB2014" s="6" t="s">
        <v>17694</v>
      </c>
      <c r="AC2014" s="6" t="str">
        <f t="shared" si="966"/>
        <v>=4.850*100000000</v>
      </c>
      <c r="AD2014" s="1">
        <f>4.85*100000000</f>
        <v>484999999.99999994</v>
      </c>
      <c r="AE2014" s="8">
        <f t="shared" si="983"/>
        <v>1.0735356990166736</v>
      </c>
      <c r="AF2014" s="6" t="s">
        <v>1498</v>
      </c>
      <c r="AG2014" s="6" t="str">
        <f t="shared" si="967"/>
        <v>=2.339*100000000</v>
      </c>
      <c r="AH2014" s="1">
        <f>2.339*100000000</f>
        <v>233900000</v>
      </c>
      <c r="AI2014" s="8">
        <f t="shared" si="984"/>
        <v>-0.79783923941227308</v>
      </c>
      <c r="AJ2014" s="6" t="s">
        <v>3152</v>
      </c>
      <c r="AK2014" s="6" t="str">
        <f t="shared" si="968"/>
        <v>=11.57*100000000</v>
      </c>
      <c r="AL2014" s="1">
        <f>11.57*100000000</f>
        <v>1157000000</v>
      </c>
      <c r="AM2014" s="8">
        <f t="shared" si="985"/>
        <v>0.29897833164926463</v>
      </c>
      <c r="AN2014" s="6" t="s">
        <v>6071</v>
      </c>
      <c r="AO2014" s="6" t="str">
        <f t="shared" si="969"/>
        <v>=8.907*100000000</v>
      </c>
      <c r="AP2014" s="1">
        <f>8.907*100000000</f>
        <v>890700000</v>
      </c>
      <c r="AQ2014" s="8">
        <f t="shared" si="986"/>
        <v>0.48375812093953025</v>
      </c>
      <c r="AR2014" s="6" t="s">
        <v>17695</v>
      </c>
      <c r="AS2014" s="6" t="str">
        <f t="shared" si="970"/>
        <v>=6.003*100000000</v>
      </c>
      <c r="AT2014" s="1">
        <f>6.003*100000000</f>
        <v>600300000</v>
      </c>
      <c r="AU2014" s="8">
        <f t="shared" si="987"/>
        <v>1.0191725529767912</v>
      </c>
      <c r="AV2014" s="6" t="s">
        <v>17696</v>
      </c>
      <c r="AW2014" s="6" t="str">
        <f t="shared" si="971"/>
        <v>=2.973*100000000</v>
      </c>
      <c r="AX2014" s="1">
        <f>2.973*100000000</f>
        <v>297300000</v>
      </c>
      <c r="AY2014" s="10">
        <f t="shared" si="988"/>
        <v>-0.73070652173913042</v>
      </c>
      <c r="AZ2014" s="6" t="s">
        <v>4258</v>
      </c>
      <c r="BA2014" s="6" t="str">
        <f t="shared" si="972"/>
        <v>=11.04*100000000</v>
      </c>
      <c r="BB2014" s="1">
        <f>11.04*100000000</f>
        <v>1104000000</v>
      </c>
      <c r="BC2014" s="8">
        <f t="shared" si="989"/>
        <v>0.33076181292189027</v>
      </c>
      <c r="BD2014" s="6" t="s">
        <v>17697</v>
      </c>
      <c r="BE2014" s="6" t="str">
        <f t="shared" si="973"/>
        <v>=8.296*100000000</v>
      </c>
      <c r="BF2014" s="1">
        <f>8.296*100000000</f>
        <v>829599999.99999988</v>
      </c>
      <c r="BG2014" s="8">
        <f t="shared" si="990"/>
        <v>0.43256777758590897</v>
      </c>
      <c r="BH2014" s="6" t="s">
        <v>17698</v>
      </c>
      <c r="BI2014" s="6" t="str">
        <f t="shared" si="974"/>
        <v>=5.791*100000000</v>
      </c>
      <c r="BJ2014" s="1">
        <f>5.791*100000000</f>
        <v>579100000</v>
      </c>
      <c r="BK2014" s="6" t="s">
        <v>15438</v>
      </c>
      <c r="BL2014" s="1" t="str">
        <f t="shared" si="976"/>
        <v>=2.815*100000000</v>
      </c>
      <c r="BM2014" s="16">
        <f t="shared" si="991"/>
        <v>1.0571936056838367</v>
      </c>
      <c r="BN2014" s="1">
        <f>2.815*100000000</f>
        <v>281500000</v>
      </c>
    </row>
    <row r="2015" spans="1:66">
      <c r="A2015" s="18"/>
      <c r="B2015">
        <v>603938</v>
      </c>
      <c r="C2015" t="s">
        <v>48</v>
      </c>
      <c r="D2015" s="6" t="s">
        <v>10818</v>
      </c>
      <c r="E2015" s="7" t="str">
        <f t="shared" si="975"/>
        <v>=3.925*100000000</v>
      </c>
      <c r="F2015" s="1">
        <f>3.925*100000000</f>
        <v>392500000</v>
      </c>
      <c r="G2015" s="8">
        <f t="shared" si="977"/>
        <v>0.32601351351351349</v>
      </c>
      <c r="H2015" s="6" t="s">
        <v>11768</v>
      </c>
      <c r="I2015" s="6" t="str">
        <f t="shared" si="961"/>
        <v>=2.960*100000000</v>
      </c>
      <c r="J2015" s="1">
        <f>2.96*100000000</f>
        <v>296000000</v>
      </c>
      <c r="K2015" s="10">
        <f t="shared" si="978"/>
        <v>0.70017231476163122</v>
      </c>
      <c r="L2015" s="6" t="s">
        <v>5163</v>
      </c>
      <c r="M2015" s="6" t="str">
        <f t="shared" si="962"/>
        <v>=1.741*100000000</v>
      </c>
      <c r="N2015" s="1">
        <f>1.741*100000000</f>
        <v>174100000</v>
      </c>
      <c r="O2015" s="8">
        <f t="shared" si="979"/>
        <v>1.8048976961495087</v>
      </c>
      <c r="P2015" s="7" t="s">
        <v>17699</v>
      </c>
      <c r="Q2015" s="6" t="str">
        <f t="shared" si="963"/>
        <v>=6207*10000</v>
      </c>
      <c r="R2015" s="11">
        <f>6207*10000</f>
        <v>62070000</v>
      </c>
      <c r="S2015" s="8">
        <f t="shared" si="980"/>
        <v>-0.45504828797190516</v>
      </c>
      <c r="T2015" s="6" t="s">
        <v>2930</v>
      </c>
      <c r="U2015" s="6" t="str">
        <f t="shared" si="964"/>
        <v>=1.139*100000000</v>
      </c>
      <c r="V2015" s="1">
        <f>1.139*100000000</f>
        <v>113900000</v>
      </c>
      <c r="W2015" s="8">
        <f t="shared" si="981"/>
        <v>0.47271786914921127</v>
      </c>
      <c r="X2015" s="7" t="s">
        <v>17700</v>
      </c>
      <c r="Y2015" s="6" t="str">
        <f t="shared" si="965"/>
        <v>=7734*10000</v>
      </c>
      <c r="Z2015" s="1">
        <f>7734*10000</f>
        <v>77340000</v>
      </c>
      <c r="AA2015" s="8">
        <f t="shared" si="982"/>
        <v>0.86002886002886003</v>
      </c>
      <c r="AB2015" s="7" t="s">
        <v>17701</v>
      </c>
      <c r="AC2015" s="6" t="str">
        <f t="shared" si="966"/>
        <v>=4158*10000</v>
      </c>
      <c r="AD2015" s="1">
        <f>4158*10000</f>
        <v>41580000</v>
      </c>
      <c r="AE2015" s="8">
        <f t="shared" si="983"/>
        <v>1.8382252559726961</v>
      </c>
      <c r="AF2015" s="7" t="s">
        <v>12373</v>
      </c>
      <c r="AG2015" s="6" t="str">
        <f t="shared" si="967"/>
        <v>=1465*10000</v>
      </c>
      <c r="AH2015" s="1">
        <f>1465*10000</f>
        <v>14650000</v>
      </c>
      <c r="AI2015" s="8">
        <f t="shared" si="984"/>
        <v>-0.88137651821862351</v>
      </c>
      <c r="AJ2015" s="6" t="s">
        <v>12066</v>
      </c>
      <c r="AK2015" s="6" t="str">
        <f t="shared" si="968"/>
        <v>=1.235*100000000</v>
      </c>
      <c r="AL2015" s="1">
        <f>1.235*100000000</f>
        <v>123500000.00000001</v>
      </c>
      <c r="AM2015" s="8">
        <f t="shared" si="985"/>
        <v>0.22885572139303514</v>
      </c>
      <c r="AN2015" s="6" t="s">
        <v>8847</v>
      </c>
      <c r="AO2015" s="6" t="str">
        <f t="shared" si="969"/>
        <v>=1.005*100000000</v>
      </c>
      <c r="AP2015" s="1">
        <f>1.005*100000000</f>
        <v>100499999.99999999</v>
      </c>
      <c r="AQ2015" s="8">
        <f t="shared" si="986"/>
        <v>0.45294202689027013</v>
      </c>
      <c r="AR2015" s="7" t="s">
        <v>2168</v>
      </c>
      <c r="AS2015" s="6" t="str">
        <f t="shared" si="970"/>
        <v>=6917*10000</v>
      </c>
      <c r="AT2015" s="1">
        <f>6917*10000</f>
        <v>69170000</v>
      </c>
      <c r="AU2015" s="8">
        <f t="shared" si="987"/>
        <v>1.0519133788193415</v>
      </c>
      <c r="AV2015" s="7" t="s">
        <v>16409</v>
      </c>
      <c r="AW2015" s="6" t="str">
        <f t="shared" si="971"/>
        <v>=3371*10000</v>
      </c>
      <c r="AX2015" s="1">
        <f>3371*10000</f>
        <v>33710000</v>
      </c>
      <c r="AY2015" s="10">
        <f t="shared" si="988"/>
        <v>-0.74520030234315948</v>
      </c>
      <c r="AZ2015" s="6" t="s">
        <v>4431</v>
      </c>
      <c r="BA2015" s="6" t="str">
        <f t="shared" si="972"/>
        <v>=1.323*100000000</v>
      </c>
      <c r="BB2015" s="1">
        <f>1.323*100000000</f>
        <v>132300000</v>
      </c>
      <c r="BC2015" s="8">
        <f t="shared" si="989"/>
        <v>0.16154521510096576</v>
      </c>
      <c r="BD2015" s="6" t="s">
        <v>2930</v>
      </c>
      <c r="BE2015" s="6" t="str">
        <f t="shared" si="973"/>
        <v>=1.139*100000000</v>
      </c>
      <c r="BF2015" s="1">
        <f>1.139*100000000</f>
        <v>113900000</v>
      </c>
      <c r="BG2015" s="8">
        <f t="shared" si="990"/>
        <v>0.17277594728171333</v>
      </c>
      <c r="BH2015" s="7" t="s">
        <v>3896</v>
      </c>
      <c r="BI2015" s="6" t="str">
        <f t="shared" si="974"/>
        <v>=9712*10000</v>
      </c>
      <c r="BJ2015" s="1">
        <f>9712*10000</f>
        <v>97120000</v>
      </c>
      <c r="BK2015" s="7" t="s">
        <v>3576</v>
      </c>
      <c r="BL2015" s="1" t="str">
        <f t="shared" si="976"/>
        <v>=5750*10000</v>
      </c>
      <c r="BM2015" s="16">
        <f t="shared" si="991"/>
        <v>0.68904347826086954</v>
      </c>
      <c r="BN2015" s="1">
        <f>5750*10000</f>
        <v>57500000</v>
      </c>
    </row>
    <row r="2016" spans="1:66">
      <c r="A2016" s="18"/>
      <c r="B2016">
        <v>603938</v>
      </c>
      <c r="C2016" t="s">
        <v>58</v>
      </c>
      <c r="D2016" s="6" t="s">
        <v>12510</v>
      </c>
      <c r="E2016" s="7" t="str">
        <f t="shared" si="975"/>
        <v>=3.900*100000000</v>
      </c>
      <c r="F2016" s="1">
        <f>3.9*100000000</f>
        <v>390000000</v>
      </c>
      <c r="G2016" s="8">
        <f t="shared" si="977"/>
        <v>0.33333333333333331</v>
      </c>
      <c r="H2016" s="6" t="s">
        <v>9504</v>
      </c>
      <c r="I2016" s="6" t="str">
        <f t="shared" si="961"/>
        <v>=2.925*100000000</v>
      </c>
      <c r="J2016" s="1">
        <f>2.925*100000000</f>
        <v>292500000</v>
      </c>
      <c r="K2016" s="10">
        <f t="shared" si="978"/>
        <v>0.67717889908256879</v>
      </c>
      <c r="L2016" s="6" t="s">
        <v>2795</v>
      </c>
      <c r="M2016" s="6" t="str">
        <f t="shared" si="962"/>
        <v>=1.744*100000000</v>
      </c>
      <c r="N2016" s="1">
        <f>1.744*100000000</f>
        <v>174400000</v>
      </c>
      <c r="O2016" s="8">
        <f t="shared" si="979"/>
        <v>1.8047603731103248</v>
      </c>
      <c r="P2016" s="7" t="s">
        <v>9789</v>
      </c>
      <c r="Q2016" s="6" t="str">
        <f t="shared" si="963"/>
        <v>=6218*10000</v>
      </c>
      <c r="R2016" s="11">
        <f>6218*10000</f>
        <v>62180000</v>
      </c>
      <c r="S2016" s="8">
        <f t="shared" si="980"/>
        <v>-0.45930434782608687</v>
      </c>
      <c r="T2016" s="6" t="s">
        <v>16260</v>
      </c>
      <c r="U2016" s="6" t="str">
        <f t="shared" si="964"/>
        <v>=1.150*100000000</v>
      </c>
      <c r="V2016" s="1">
        <f>1.15*100000000</f>
        <v>114999999.99999999</v>
      </c>
      <c r="W2016" s="8">
        <f t="shared" si="981"/>
        <v>0.45238696640565779</v>
      </c>
      <c r="X2016" s="7" t="s">
        <v>17702</v>
      </c>
      <c r="Y2016" s="6" t="str">
        <f t="shared" si="965"/>
        <v>=7918*10000</v>
      </c>
      <c r="Z2016" s="1">
        <f>7918*10000</f>
        <v>79180000</v>
      </c>
      <c r="AA2016" s="8">
        <f t="shared" si="982"/>
        <v>0.81563861499656043</v>
      </c>
      <c r="AB2016" s="7" t="s">
        <v>10552</v>
      </c>
      <c r="AC2016" s="6" t="str">
        <f t="shared" si="966"/>
        <v>=4361*10000</v>
      </c>
      <c r="AD2016" s="1">
        <f>4361*10000</f>
        <v>43610000</v>
      </c>
      <c r="AE2016" s="8">
        <f t="shared" si="983"/>
        <v>1.9248826291079812</v>
      </c>
      <c r="AF2016" s="7" t="s">
        <v>2597</v>
      </c>
      <c r="AG2016" s="6" t="str">
        <f t="shared" si="967"/>
        <v>=1491*10000</v>
      </c>
      <c r="AH2016" s="1">
        <f>1491*10000</f>
        <v>14910000</v>
      </c>
      <c r="AI2016" s="8">
        <f t="shared" si="984"/>
        <v>-0.88222748815165875</v>
      </c>
      <c r="AJ2016" s="6" t="s">
        <v>16837</v>
      </c>
      <c r="AK2016" s="6" t="str">
        <f t="shared" si="968"/>
        <v>=1.266*100000000</v>
      </c>
      <c r="AL2016" s="1">
        <f>1.266*100000000</f>
        <v>126600000</v>
      </c>
      <c r="AM2016" s="8">
        <f t="shared" si="985"/>
        <v>0.22437137330754353</v>
      </c>
      <c r="AN2016" s="6" t="s">
        <v>2179</v>
      </c>
      <c r="AO2016" s="6" t="str">
        <f t="shared" si="969"/>
        <v>=1.034*100000000</v>
      </c>
      <c r="AP2016" s="1">
        <f>1.034*100000000</f>
        <v>103400000</v>
      </c>
      <c r="AQ2016" s="8">
        <f t="shared" si="986"/>
        <v>0.43491534832084372</v>
      </c>
      <c r="AR2016" s="7" t="s">
        <v>17703</v>
      </c>
      <c r="AS2016" s="6" t="str">
        <f t="shared" si="970"/>
        <v>=7206*10000</v>
      </c>
      <c r="AT2016" s="1">
        <f>7206*10000</f>
        <v>72060000</v>
      </c>
      <c r="AU2016" s="8">
        <f t="shared" si="987"/>
        <v>1.1225331369661267</v>
      </c>
      <c r="AV2016" s="7" t="s">
        <v>11423</v>
      </c>
      <c r="AW2016" s="6" t="str">
        <f t="shared" si="971"/>
        <v>=3395*10000</v>
      </c>
      <c r="AX2016" s="1">
        <f>3395*10000</f>
        <v>33950000</v>
      </c>
      <c r="AY2016" s="10">
        <f t="shared" si="988"/>
        <v>-0.74588323353293418</v>
      </c>
      <c r="AZ2016" s="6" t="s">
        <v>16681</v>
      </c>
      <c r="BA2016" s="6" t="str">
        <f t="shared" si="972"/>
        <v>=1.336*100000000</v>
      </c>
      <c r="BB2016" s="1">
        <f>1.336*100000000</f>
        <v>133600000.00000001</v>
      </c>
      <c r="BC2016" s="8">
        <f t="shared" si="989"/>
        <v>0.16072980017376207</v>
      </c>
      <c r="BD2016" s="6" t="s">
        <v>7907</v>
      </c>
      <c r="BE2016" s="6" t="str">
        <f t="shared" si="973"/>
        <v>=1.151*100000000</v>
      </c>
      <c r="BF2016" s="1">
        <f>1.151*100000000</f>
        <v>115100000</v>
      </c>
      <c r="BG2016" s="8">
        <f t="shared" si="990"/>
        <v>0.17389087200407954</v>
      </c>
      <c r="BH2016" s="7" t="s">
        <v>3974</v>
      </c>
      <c r="BI2016" s="6" t="str">
        <f t="shared" si="974"/>
        <v>=9805*10000</v>
      </c>
      <c r="BJ2016" s="1">
        <f>9805*10000</f>
        <v>98050000</v>
      </c>
      <c r="BK2016" s="7" t="s">
        <v>17704</v>
      </c>
      <c r="BL2016" s="1" t="str">
        <f t="shared" si="976"/>
        <v>=5777*10000</v>
      </c>
      <c r="BM2016" s="16">
        <f t="shared" si="991"/>
        <v>0.69724770642201839</v>
      </c>
      <c r="BN2016" s="1">
        <f>5777*10000</f>
        <v>57770000</v>
      </c>
    </row>
    <row r="2017" spans="1:66">
      <c r="A2017" s="19"/>
      <c r="B2017">
        <v>603938</v>
      </c>
      <c r="C2017" t="s">
        <v>68</v>
      </c>
      <c r="D2017" s="6" t="s">
        <v>3634</v>
      </c>
      <c r="E2017" s="7" t="str">
        <f t="shared" si="975"/>
        <v>=3.349*100000000</v>
      </c>
      <c r="F2017" s="1">
        <f>3.349*100000000</f>
        <v>334900000</v>
      </c>
      <c r="G2017" s="8">
        <f t="shared" si="977"/>
        <v>0.36415478615071284</v>
      </c>
      <c r="H2017" s="6" t="s">
        <v>11811</v>
      </c>
      <c r="I2017" s="6" t="str">
        <f t="shared" si="961"/>
        <v>=2.455*100000000</v>
      </c>
      <c r="J2017" s="1">
        <f>2.455*100000000</f>
        <v>245500000</v>
      </c>
      <c r="K2017" s="10">
        <f t="shared" si="978"/>
        <v>0.6689326988443236</v>
      </c>
      <c r="L2017" s="6" t="s">
        <v>4597</v>
      </c>
      <c r="M2017" s="6" t="str">
        <f t="shared" si="962"/>
        <v>=1.471*100000000</v>
      </c>
      <c r="N2017" s="1">
        <f>1.471*100000000</f>
        <v>147100000</v>
      </c>
      <c r="O2017" s="8">
        <f t="shared" si="979"/>
        <v>1.8702439024390245</v>
      </c>
      <c r="P2017" s="7" t="s">
        <v>9692</v>
      </c>
      <c r="Q2017" s="6" t="str">
        <f t="shared" si="963"/>
        <v>=5125*10000</v>
      </c>
      <c r="R2017" s="11">
        <f>5125*10000</f>
        <v>51250000</v>
      </c>
      <c r="S2017" s="8">
        <f t="shared" si="980"/>
        <v>-0.47001034126163393</v>
      </c>
      <c r="T2017" s="7" t="s">
        <v>17705</v>
      </c>
      <c r="U2017" s="6" t="str">
        <f t="shared" si="964"/>
        <v>=9670*10000</v>
      </c>
      <c r="V2017" s="1">
        <f>9670*10000</f>
        <v>96700000</v>
      </c>
      <c r="W2017" s="8">
        <f t="shared" si="981"/>
        <v>0.45632530120481929</v>
      </c>
      <c r="X2017" s="7" t="s">
        <v>17706</v>
      </c>
      <c r="Y2017" s="6" t="str">
        <f t="shared" si="965"/>
        <v>=6640*10000</v>
      </c>
      <c r="Z2017" s="1">
        <f>6640*10000</f>
        <v>66400000</v>
      </c>
      <c r="AA2017" s="8">
        <f t="shared" si="982"/>
        <v>0.81321682140906604</v>
      </c>
      <c r="AB2017" s="7" t="s">
        <v>17162</v>
      </c>
      <c r="AC2017" s="6" t="str">
        <f t="shared" si="966"/>
        <v>=3662*10000</v>
      </c>
      <c r="AD2017" s="1">
        <f>3662*10000</f>
        <v>36620000</v>
      </c>
      <c r="AE2017" s="8">
        <f t="shared" si="983"/>
        <v>1.9342948717948718</v>
      </c>
      <c r="AF2017" s="7" t="s">
        <v>9359</v>
      </c>
      <c r="AG2017" s="6" t="str">
        <f t="shared" si="967"/>
        <v>=1248*10000</v>
      </c>
      <c r="AH2017" s="1">
        <f>1248*10000</f>
        <v>12480000</v>
      </c>
      <c r="AI2017" s="8">
        <f t="shared" si="984"/>
        <v>-0.88379888268156426</v>
      </c>
      <c r="AJ2017" s="6" t="s">
        <v>5589</v>
      </c>
      <c r="AK2017" s="6" t="str">
        <f t="shared" si="968"/>
        <v>=1.074*100000000</v>
      </c>
      <c r="AL2017" s="1">
        <f>1.074*100000000</f>
        <v>107400000</v>
      </c>
      <c r="AM2017" s="8">
        <f t="shared" si="985"/>
        <v>0.2327823691460055</v>
      </c>
      <c r="AN2017" s="7" t="s">
        <v>17707</v>
      </c>
      <c r="AO2017" s="6" t="str">
        <f t="shared" si="969"/>
        <v>=8712*10000</v>
      </c>
      <c r="AP2017" s="1">
        <f>8712*10000</f>
        <v>87120000</v>
      </c>
      <c r="AQ2017" s="8">
        <f t="shared" si="986"/>
        <v>0.41612483745123535</v>
      </c>
      <c r="AR2017" s="7" t="s">
        <v>5473</v>
      </c>
      <c r="AS2017" s="6" t="str">
        <f t="shared" si="970"/>
        <v>=6152*10000</v>
      </c>
      <c r="AT2017" s="1">
        <f>6152*10000</f>
        <v>61520000</v>
      </c>
      <c r="AU2017" s="8">
        <f t="shared" si="987"/>
        <v>1.1994994637111192</v>
      </c>
      <c r="AV2017" s="7" t="s">
        <v>16513</v>
      </c>
      <c r="AW2017" s="6" t="str">
        <f t="shared" si="971"/>
        <v>=2797*10000</v>
      </c>
      <c r="AX2017" s="1">
        <f>2797*10000</f>
        <v>27970000</v>
      </c>
      <c r="AY2017" s="10">
        <f t="shared" si="988"/>
        <v>-0.75269672855879755</v>
      </c>
      <c r="AZ2017" s="6" t="s">
        <v>4468</v>
      </c>
      <c r="BA2017" s="6" t="str">
        <f t="shared" si="972"/>
        <v>=1.131*100000000</v>
      </c>
      <c r="BB2017" s="1">
        <f>1.131*100000000</f>
        <v>113100000</v>
      </c>
      <c r="BC2017" s="8">
        <f t="shared" si="989"/>
        <v>0.2979114069313748</v>
      </c>
      <c r="BD2017" s="7" t="s">
        <v>17708</v>
      </c>
      <c r="BE2017" s="6" t="str">
        <f t="shared" si="973"/>
        <v>=8714*10000</v>
      </c>
      <c r="BF2017" s="1">
        <f>8714*10000</f>
        <v>87140000</v>
      </c>
      <c r="BG2017" s="8">
        <f t="shared" si="990"/>
        <v>0.1817195551939246</v>
      </c>
      <c r="BH2017" s="7" t="s">
        <v>17709</v>
      </c>
      <c r="BI2017" s="6" t="str">
        <f t="shared" si="974"/>
        <v>=7374*10000</v>
      </c>
      <c r="BJ2017" s="1">
        <f>7374*10000</f>
        <v>73740000</v>
      </c>
      <c r="BK2017" s="7" t="s">
        <v>17440</v>
      </c>
      <c r="BL2017" s="1" t="str">
        <f t="shared" si="976"/>
        <v>=4331*10000</v>
      </c>
      <c r="BM2017" s="16">
        <f t="shared" si="991"/>
        <v>0.70260909720618792</v>
      </c>
      <c r="BN2017" s="1">
        <f>4331*10000</f>
        <v>43310000</v>
      </c>
    </row>
    <row r="2018" spans="1:66">
      <c r="A2018" s="17">
        <v>506</v>
      </c>
      <c r="B2018">
        <v>603977</v>
      </c>
      <c r="C2018" t="s">
        <v>31</v>
      </c>
      <c r="D2018" s="6" t="s">
        <v>8671</v>
      </c>
      <c r="E2018" s="7" t="str">
        <f t="shared" si="975"/>
        <v>=19.88*100000000</v>
      </c>
      <c r="F2018" s="1">
        <f>19.88*100000000</f>
        <v>1988000000</v>
      </c>
      <c r="G2018" s="8">
        <f t="shared" si="977"/>
        <v>0.4880239520958084</v>
      </c>
      <c r="H2018" s="6" t="s">
        <v>7759</v>
      </c>
      <c r="I2018" s="6" t="str">
        <f t="shared" si="961"/>
        <v>=13.36*100000000</v>
      </c>
      <c r="J2018" s="1">
        <f>13.36*100000000</f>
        <v>1336000000</v>
      </c>
      <c r="K2018" s="10">
        <f t="shared" si="978"/>
        <v>0.64228641671788567</v>
      </c>
      <c r="L2018" s="6" t="s">
        <v>17710</v>
      </c>
      <c r="M2018" s="6" t="str">
        <f t="shared" si="962"/>
        <v>=8.135*100000000</v>
      </c>
      <c r="N2018" s="1">
        <f>8.135*100000000</f>
        <v>813500000</v>
      </c>
      <c r="O2018" s="8">
        <f t="shared" si="979"/>
        <v>1.3613933236574747</v>
      </c>
      <c r="P2018" s="6" t="s">
        <v>1589</v>
      </c>
      <c r="Q2018" s="6" t="str">
        <f t="shared" si="963"/>
        <v>=3.445*100000000</v>
      </c>
      <c r="R2018" s="11">
        <f>3.445*100000000</f>
        <v>344500000</v>
      </c>
      <c r="S2018" s="8">
        <f t="shared" si="980"/>
        <v>-0.8037037037037037</v>
      </c>
      <c r="T2018" s="6" t="s">
        <v>10138</v>
      </c>
      <c r="U2018" s="6" t="str">
        <f t="shared" si="964"/>
        <v>=17.55*100000000</v>
      </c>
      <c r="V2018" s="1">
        <f>17.55*100000000</f>
        <v>1755000000</v>
      </c>
      <c r="W2018" s="8">
        <f t="shared" si="981"/>
        <v>0.51293103448275867</v>
      </c>
      <c r="X2018" s="6" t="s">
        <v>5356</v>
      </c>
      <c r="Y2018" s="6" t="str">
        <f t="shared" si="965"/>
        <v>=11.60*100000000</v>
      </c>
      <c r="Z2018" s="1">
        <f>11.6*100000000</f>
        <v>1160000000</v>
      </c>
      <c r="AA2018" s="8">
        <f t="shared" si="982"/>
        <v>0.6897305171158048</v>
      </c>
      <c r="AB2018" s="6" t="s">
        <v>17711</v>
      </c>
      <c r="AC2018" s="6" t="str">
        <f t="shared" si="966"/>
        <v>=6.865*100000000</v>
      </c>
      <c r="AD2018" s="1">
        <f>6.865*100000000</f>
        <v>686500000</v>
      </c>
      <c r="AE2018" s="8">
        <f t="shared" si="983"/>
        <v>2.0282311424790471</v>
      </c>
      <c r="AF2018" s="6" t="s">
        <v>17712</v>
      </c>
      <c r="AG2018" s="6" t="str">
        <f t="shared" si="967"/>
        <v>=2.267*100000000</v>
      </c>
      <c r="AH2018" s="1">
        <f>2.267*100000000</f>
        <v>226700000</v>
      </c>
      <c r="AI2018" s="8">
        <f t="shared" si="984"/>
        <v>-0.84246004169562194</v>
      </c>
      <c r="AJ2018" s="6" t="s">
        <v>8386</v>
      </c>
      <c r="AK2018" s="6" t="str">
        <f t="shared" si="968"/>
        <v>=14.39*100000000</v>
      </c>
      <c r="AL2018" s="1">
        <f>14.39*100000000</f>
        <v>1439000000</v>
      </c>
      <c r="AM2018" s="8">
        <f t="shared" si="985"/>
        <v>0.41494591937069814</v>
      </c>
      <c r="AN2018" s="6" t="s">
        <v>6860</v>
      </c>
      <c r="AO2018" s="6" t="str">
        <f t="shared" si="969"/>
        <v>=10.17*100000000</v>
      </c>
      <c r="AP2018" s="1">
        <f>10.17*100000000</f>
        <v>1017000000</v>
      </c>
      <c r="AQ2018" s="8">
        <f t="shared" si="986"/>
        <v>0.6324237560192616</v>
      </c>
      <c r="AR2018" s="6" t="s">
        <v>17713</v>
      </c>
      <c r="AS2018" s="6" t="str">
        <f t="shared" si="970"/>
        <v>=6.230*100000000</v>
      </c>
      <c r="AT2018" s="1">
        <f>6.23*100000000</f>
        <v>623000000</v>
      </c>
      <c r="AU2018" s="8">
        <f t="shared" si="987"/>
        <v>1.5797101449275361</v>
      </c>
      <c r="AV2018" s="6" t="s">
        <v>15464</v>
      </c>
      <c r="AW2018" s="6" t="str">
        <f t="shared" si="971"/>
        <v>=2.415*100000000</v>
      </c>
      <c r="AX2018" s="1">
        <f>2.415*100000000</f>
        <v>241500000</v>
      </c>
      <c r="AY2018" s="10">
        <f t="shared" si="988"/>
        <v>-0.72187032131751694</v>
      </c>
      <c r="AZ2018" s="6" t="s">
        <v>17714</v>
      </c>
      <c r="BA2018" s="6" t="str">
        <f t="shared" si="972"/>
        <v>=8.683*100000000</v>
      </c>
      <c r="BB2018" s="1">
        <f>8.683*100000000</f>
        <v>868300000</v>
      </c>
      <c r="BC2018" s="8">
        <f t="shared" si="989"/>
        <v>0.78295687885010268</v>
      </c>
      <c r="BD2018" s="6" t="s">
        <v>2652</v>
      </c>
      <c r="BE2018" s="6" t="str">
        <f t="shared" si="973"/>
        <v>=4.870*100000000</v>
      </c>
      <c r="BF2018" s="1">
        <f>4.87*100000000</f>
        <v>487000000</v>
      </c>
      <c r="BG2018" s="8">
        <f t="shared" si="990"/>
        <v>0.59881812212738017</v>
      </c>
      <c r="BH2018" s="6" t="s">
        <v>7441</v>
      </c>
      <c r="BI2018" s="6" t="str">
        <f t="shared" si="974"/>
        <v>=3.046*100000000</v>
      </c>
      <c r="BJ2018" s="1">
        <f>3.046*100000000</f>
        <v>304600000</v>
      </c>
      <c r="BK2018" s="6" t="s">
        <v>2238</v>
      </c>
      <c r="BL2018" s="1" t="str">
        <f t="shared" si="976"/>
        <v>=1.187*100000000</v>
      </c>
      <c r="BM2018" s="16">
        <f t="shared" si="991"/>
        <v>1.5661331086773378</v>
      </c>
      <c r="BN2018" s="1">
        <f>1.187*100000000</f>
        <v>118700000</v>
      </c>
    </row>
    <row r="2019" spans="1:66">
      <c r="A2019" s="18"/>
      <c r="B2019">
        <v>603977</v>
      </c>
      <c r="C2019" t="s">
        <v>48</v>
      </c>
      <c r="D2019" s="6" t="s">
        <v>17715</v>
      </c>
      <c r="E2019" s="7" t="str">
        <f t="shared" si="975"/>
        <v>=3.160*100000000</v>
      </c>
      <c r="F2019" s="1">
        <f>3.16*100000000</f>
        <v>316000000</v>
      </c>
      <c r="G2019" s="8">
        <f t="shared" si="977"/>
        <v>0.49550402271651678</v>
      </c>
      <c r="H2019" s="6" t="s">
        <v>7863</v>
      </c>
      <c r="I2019" s="6" t="str">
        <f t="shared" si="961"/>
        <v>=2.113*100000000</v>
      </c>
      <c r="J2019" s="1">
        <f>2.113*100000000</f>
        <v>211300000</v>
      </c>
      <c r="K2019" s="10">
        <f t="shared" si="978"/>
        <v>0.73909465020576115</v>
      </c>
      <c r="L2019" s="6" t="s">
        <v>3932</v>
      </c>
      <c r="M2019" s="6" t="str">
        <f t="shared" si="962"/>
        <v>=1.215*100000000</v>
      </c>
      <c r="N2019" s="1">
        <f>1.215*100000000</f>
        <v>121500000.00000001</v>
      </c>
      <c r="O2019" s="8">
        <f t="shared" si="979"/>
        <v>2.0923899210995169</v>
      </c>
      <c r="P2019" s="7" t="s">
        <v>8626</v>
      </c>
      <c r="Q2019" s="6" t="str">
        <f t="shared" si="963"/>
        <v>=3929*10000</v>
      </c>
      <c r="R2019" s="11">
        <f>3929*10000</f>
        <v>39290000</v>
      </c>
      <c r="S2019" s="8">
        <f t="shared" si="980"/>
        <v>-0.84622309197651668</v>
      </c>
      <c r="T2019" s="6" t="s">
        <v>6297</v>
      </c>
      <c r="U2019" s="6" t="str">
        <f t="shared" si="964"/>
        <v>=2.555*100000000</v>
      </c>
      <c r="V2019" s="1">
        <f>2.555*100000000</f>
        <v>255500000.00000003</v>
      </c>
      <c r="W2019" s="8">
        <f t="shared" si="981"/>
        <v>0.34402945817990549</v>
      </c>
      <c r="X2019" s="6" t="s">
        <v>7442</v>
      </c>
      <c r="Y2019" s="6" t="str">
        <f t="shared" si="965"/>
        <v>=1.901*100000000</v>
      </c>
      <c r="Z2019" s="1">
        <f>1.901*100000000</f>
        <v>190100000</v>
      </c>
      <c r="AA2019" s="8">
        <f t="shared" si="982"/>
        <v>0.76345083487940635</v>
      </c>
      <c r="AB2019" s="6" t="s">
        <v>2153</v>
      </c>
      <c r="AC2019" s="6" t="str">
        <f t="shared" si="966"/>
        <v>=1.078*100000000</v>
      </c>
      <c r="AD2019" s="1">
        <f>1.078*100000000</f>
        <v>107800000</v>
      </c>
      <c r="AE2019" s="8">
        <f t="shared" si="983"/>
        <v>7.3565891472868215</v>
      </c>
      <c r="AF2019" s="7" t="s">
        <v>2484</v>
      </c>
      <c r="AG2019" s="6" t="str">
        <f t="shared" si="967"/>
        <v>=1290*10000</v>
      </c>
      <c r="AH2019" s="1">
        <f>1290*10000</f>
        <v>12900000</v>
      </c>
      <c r="AI2019" s="8">
        <f t="shared" si="984"/>
        <v>-0.92530399536768959</v>
      </c>
      <c r="AJ2019" s="6" t="s">
        <v>2980</v>
      </c>
      <c r="AK2019" s="6" t="str">
        <f t="shared" si="968"/>
        <v>=1.727*100000000</v>
      </c>
      <c r="AL2019" s="1">
        <f>1.727*100000000</f>
        <v>172700000</v>
      </c>
      <c r="AM2019" s="8">
        <f t="shared" si="985"/>
        <v>0.24423631123919309</v>
      </c>
      <c r="AN2019" s="6" t="s">
        <v>4650</v>
      </c>
      <c r="AO2019" s="6" t="str">
        <f t="shared" si="969"/>
        <v>=1.388*100000000</v>
      </c>
      <c r="AP2019" s="1">
        <f>1.388*100000000</f>
        <v>138800000</v>
      </c>
      <c r="AQ2019" s="8">
        <f t="shared" si="986"/>
        <v>0.84109298315426451</v>
      </c>
      <c r="AR2019" s="7" t="s">
        <v>17716</v>
      </c>
      <c r="AS2019" s="6" t="str">
        <f t="shared" si="970"/>
        <v>=7539*10000</v>
      </c>
      <c r="AT2019" s="1">
        <f>7539*10000</f>
        <v>75390000</v>
      </c>
      <c r="AU2019" s="8">
        <f t="shared" si="987"/>
        <v>5.6657824933687007</v>
      </c>
      <c r="AV2019" s="7" t="s">
        <v>17717</v>
      </c>
      <c r="AW2019" s="6" t="str">
        <f t="shared" si="971"/>
        <v>=1131*10000</v>
      </c>
      <c r="AX2019" s="1">
        <f>1131*10000</f>
        <v>11310000</v>
      </c>
      <c r="AY2019" s="10">
        <f t="shared" si="988"/>
        <v>-0.87130177514792895</v>
      </c>
      <c r="AZ2019" s="7" t="s">
        <v>17196</v>
      </c>
      <c r="BA2019" s="6" t="str">
        <f t="shared" si="972"/>
        <v>=8788*10000</v>
      </c>
      <c r="BB2019" s="1">
        <f>8788*10000</f>
        <v>87880000</v>
      </c>
      <c r="BC2019" s="8">
        <f t="shared" si="989"/>
        <v>0.35366605052372152</v>
      </c>
      <c r="BD2019" s="7" t="s">
        <v>17718</v>
      </c>
      <c r="BE2019" s="6" t="str">
        <f t="shared" si="973"/>
        <v>=6492*10000</v>
      </c>
      <c r="BF2019" s="1">
        <f>6492*10000</f>
        <v>64920000</v>
      </c>
      <c r="BG2019" s="8">
        <f t="shared" si="990"/>
        <v>0.47780559981789211</v>
      </c>
      <c r="BH2019" s="7" t="s">
        <v>16304</v>
      </c>
      <c r="BI2019" s="6" t="str">
        <f t="shared" si="974"/>
        <v>=4393*10000</v>
      </c>
      <c r="BJ2019" s="1">
        <f>4393*10000</f>
        <v>43930000</v>
      </c>
      <c r="BK2019" s="7" t="s">
        <v>17719</v>
      </c>
      <c r="BL2019" s="1" t="str">
        <f t="shared" si="976"/>
        <v>=1297*10000</v>
      </c>
      <c r="BM2019" s="16">
        <f t="shared" si="991"/>
        <v>2.3870470316114107</v>
      </c>
      <c r="BN2019" s="1">
        <f>1297*10000</f>
        <v>12970000</v>
      </c>
    </row>
    <row r="2020" spans="1:66">
      <c r="A2020" s="18"/>
      <c r="B2020">
        <v>603977</v>
      </c>
      <c r="C2020" t="s">
        <v>58</v>
      </c>
      <c r="D2020" s="6" t="s">
        <v>10219</v>
      </c>
      <c r="E2020" s="7" t="str">
        <f t="shared" si="975"/>
        <v>=3.148*100000000</v>
      </c>
      <c r="F2020" s="1">
        <f>3.148*100000000</f>
        <v>314800000</v>
      </c>
      <c r="G2020" s="8">
        <f t="shared" si="977"/>
        <v>0.49335863377609107</v>
      </c>
      <c r="H2020" s="6" t="s">
        <v>17005</v>
      </c>
      <c r="I2020" s="6" t="str">
        <f t="shared" si="961"/>
        <v>=2.108*100000000</v>
      </c>
      <c r="J2020" s="1">
        <f>2.108*100000000</f>
        <v>210800000</v>
      </c>
      <c r="K2020" s="10">
        <f t="shared" si="978"/>
        <v>0.7349794238683125</v>
      </c>
      <c r="L2020" s="6" t="s">
        <v>3932</v>
      </c>
      <c r="M2020" s="6" t="str">
        <f t="shared" si="962"/>
        <v>=1.215*100000000</v>
      </c>
      <c r="N2020" s="1">
        <f>1.215*100000000</f>
        <v>121500000.00000001</v>
      </c>
      <c r="O2020" s="8">
        <f t="shared" si="979"/>
        <v>2.0728376327769351</v>
      </c>
      <c r="P2020" s="7" t="s">
        <v>17720</v>
      </c>
      <c r="Q2020" s="6" t="str">
        <f t="shared" si="963"/>
        <v>=3954*10000</v>
      </c>
      <c r="R2020" s="11">
        <f>3954*10000</f>
        <v>39540000</v>
      </c>
      <c r="S2020" s="8">
        <f t="shared" si="980"/>
        <v>-0.83900651465798048</v>
      </c>
      <c r="T2020" s="6" t="s">
        <v>1457</v>
      </c>
      <c r="U2020" s="6" t="str">
        <f t="shared" si="964"/>
        <v>=2.456*100000000</v>
      </c>
      <c r="V2020" s="1">
        <f>2.456*100000000</f>
        <v>245600000</v>
      </c>
      <c r="W2020" s="8">
        <f t="shared" si="981"/>
        <v>0.321140398063475</v>
      </c>
      <c r="X2020" s="6" t="s">
        <v>4758</v>
      </c>
      <c r="Y2020" s="6" t="str">
        <f t="shared" si="965"/>
        <v>=1.859*100000000</v>
      </c>
      <c r="Z2020" s="1">
        <f>1.859*100000000</f>
        <v>185900000</v>
      </c>
      <c r="AA2020" s="8">
        <f t="shared" si="982"/>
        <v>0.74553990610328635</v>
      </c>
      <c r="AB2020" s="6" t="s">
        <v>7680</v>
      </c>
      <c r="AC2020" s="6" t="str">
        <f t="shared" si="966"/>
        <v>=1.065*100000000</v>
      </c>
      <c r="AD2020" s="1">
        <f>1.065*100000000</f>
        <v>106500000</v>
      </c>
      <c r="AE2020" s="8">
        <f t="shared" si="983"/>
        <v>7.3268178264268959</v>
      </c>
      <c r="AF2020" s="7" t="s">
        <v>7458</v>
      </c>
      <c r="AG2020" s="6" t="str">
        <f t="shared" si="967"/>
        <v>=1279*10000</v>
      </c>
      <c r="AH2020" s="1">
        <f>1279*10000</f>
        <v>12790000</v>
      </c>
      <c r="AI2020" s="8">
        <f t="shared" si="984"/>
        <v>-0.92559627690517743</v>
      </c>
      <c r="AJ2020" s="6" t="s">
        <v>17721</v>
      </c>
      <c r="AK2020" s="6" t="str">
        <f t="shared" si="968"/>
        <v>=1.719*100000000</v>
      </c>
      <c r="AL2020" s="1">
        <f>1.719*100000000</f>
        <v>171900000</v>
      </c>
      <c r="AM2020" s="8">
        <f t="shared" si="985"/>
        <v>0.23847262247838616</v>
      </c>
      <c r="AN2020" s="6" t="s">
        <v>4650</v>
      </c>
      <c r="AO2020" s="6" t="str">
        <f t="shared" si="969"/>
        <v>=1.388*100000000</v>
      </c>
      <c r="AP2020" s="1">
        <f>1.388*100000000</f>
        <v>138800000</v>
      </c>
      <c r="AQ2020" s="8">
        <f t="shared" si="986"/>
        <v>0.84011666445711253</v>
      </c>
      <c r="AR2020" s="7" t="s">
        <v>17722</v>
      </c>
      <c r="AS2020" s="6" t="str">
        <f t="shared" si="970"/>
        <v>=7543*10000</v>
      </c>
      <c r="AT2020" s="1">
        <f>7543*10000</f>
        <v>75430000</v>
      </c>
      <c r="AU2020" s="8">
        <f t="shared" si="987"/>
        <v>5.6341248900615657</v>
      </c>
      <c r="AV2020" s="7" t="s">
        <v>10311</v>
      </c>
      <c r="AW2020" s="6" t="str">
        <f t="shared" si="971"/>
        <v>=1137*10000</v>
      </c>
      <c r="AX2020" s="1">
        <f>1137*10000</f>
        <v>11370000</v>
      </c>
      <c r="AY2020" s="10">
        <f t="shared" si="988"/>
        <v>-0.86922015182884749</v>
      </c>
      <c r="AZ2020" s="7" t="s">
        <v>17723</v>
      </c>
      <c r="BA2020" s="6" t="str">
        <f t="shared" si="972"/>
        <v>=8694*10000</v>
      </c>
      <c r="BB2020" s="1">
        <f>8694*10000</f>
        <v>86940000</v>
      </c>
      <c r="BC2020" s="8">
        <f t="shared" si="989"/>
        <v>0.33343558282208591</v>
      </c>
      <c r="BD2020" s="7" t="s">
        <v>16971</v>
      </c>
      <c r="BE2020" s="6" t="str">
        <f t="shared" si="973"/>
        <v>=6520*10000</v>
      </c>
      <c r="BF2020" s="1">
        <f>6520*10000</f>
        <v>65200000</v>
      </c>
      <c r="BG2020" s="8">
        <f t="shared" si="990"/>
        <v>0.48553201184780131</v>
      </c>
      <c r="BH2020" s="7" t="s">
        <v>3697</v>
      </c>
      <c r="BI2020" s="6" t="str">
        <f t="shared" si="974"/>
        <v>=4389*10000</v>
      </c>
      <c r="BJ2020" s="1">
        <f>4389*10000</f>
        <v>43890000</v>
      </c>
      <c r="BK2020" s="7" t="s">
        <v>17724</v>
      </c>
      <c r="BL2020" s="1" t="str">
        <f t="shared" si="976"/>
        <v>=1293*10000</v>
      </c>
      <c r="BM2020" s="16">
        <f t="shared" si="991"/>
        <v>2.394431554524362</v>
      </c>
      <c r="BN2020" s="1">
        <f>1293*10000</f>
        <v>12930000</v>
      </c>
    </row>
    <row r="2021" spans="1:66">
      <c r="A2021" s="19"/>
      <c r="B2021">
        <v>603977</v>
      </c>
      <c r="C2021" t="s">
        <v>68</v>
      </c>
      <c r="D2021" s="6" t="s">
        <v>8084</v>
      </c>
      <c r="E2021" s="7" t="str">
        <f t="shared" si="975"/>
        <v>=2.795*100000000</v>
      </c>
      <c r="F2021" s="1">
        <f>2.795*100000000</f>
        <v>279500000</v>
      </c>
      <c r="G2021" s="8">
        <f t="shared" si="977"/>
        <v>0.51902173913043481</v>
      </c>
      <c r="H2021" s="6" t="s">
        <v>13849</v>
      </c>
      <c r="I2021" s="6" t="str">
        <f t="shared" si="961"/>
        <v>=1.840*100000000</v>
      </c>
      <c r="J2021" s="1">
        <f>1.84*100000000</f>
        <v>184000000</v>
      </c>
      <c r="K2021" s="10">
        <f t="shared" si="978"/>
        <v>0.79337231968810917</v>
      </c>
      <c r="L2021" s="6" t="s">
        <v>2208</v>
      </c>
      <c r="M2021" s="6" t="str">
        <f t="shared" si="962"/>
        <v>=1.026*100000000</v>
      </c>
      <c r="N2021" s="1">
        <f>1.026*100000000</f>
        <v>102600000</v>
      </c>
      <c r="O2021" s="8">
        <f t="shared" si="979"/>
        <v>1.9381443298969072</v>
      </c>
      <c r="P2021" s="7" t="s">
        <v>17725</v>
      </c>
      <c r="Q2021" s="6" t="str">
        <f t="shared" si="963"/>
        <v>=3492*10000</v>
      </c>
      <c r="R2021" s="11">
        <f>3492*10000</f>
        <v>34920000</v>
      </c>
      <c r="S2021" s="8">
        <f t="shared" si="980"/>
        <v>-0.84018306636155604</v>
      </c>
      <c r="T2021" s="6" t="s">
        <v>10016</v>
      </c>
      <c r="U2021" s="6" t="str">
        <f t="shared" si="964"/>
        <v>=2.185*100000000</v>
      </c>
      <c r="V2021" s="1">
        <f>2.185*100000000</f>
        <v>218500000</v>
      </c>
      <c r="W2021" s="8">
        <f t="shared" si="981"/>
        <v>0.35630043451272503</v>
      </c>
      <c r="X2021" s="6" t="s">
        <v>7271</v>
      </c>
      <c r="Y2021" s="6" t="str">
        <f t="shared" si="965"/>
        <v>=1.611*100000000</v>
      </c>
      <c r="Z2021" s="1">
        <f>1.611*100000000</f>
        <v>161100000</v>
      </c>
      <c r="AA2021" s="8">
        <f t="shared" si="982"/>
        <v>0.73898963730569944</v>
      </c>
      <c r="AB2021" s="7" t="s">
        <v>17726</v>
      </c>
      <c r="AC2021" s="6" t="str">
        <f t="shared" si="966"/>
        <v>=9264*10000</v>
      </c>
      <c r="AD2021" s="1">
        <f>9264*10000</f>
        <v>92640000</v>
      </c>
      <c r="AE2021" s="8">
        <f t="shared" si="983"/>
        <v>8.3604122461351924</v>
      </c>
      <c r="AF2021" s="7" t="s">
        <v>17727</v>
      </c>
      <c r="AG2021" s="6" t="str">
        <f t="shared" si="967"/>
        <v>=989.7*10000</v>
      </c>
      <c r="AH2021" s="1">
        <f>989.7*10000</f>
        <v>9897000</v>
      </c>
      <c r="AI2021" s="8">
        <f t="shared" si="984"/>
        <v>-0.93655769230769226</v>
      </c>
      <c r="AJ2021" s="6" t="s">
        <v>4885</v>
      </c>
      <c r="AK2021" s="6" t="str">
        <f t="shared" si="968"/>
        <v>=1.560*100000000</v>
      </c>
      <c r="AL2021" s="1">
        <f>1.56*100000000</f>
        <v>156000000</v>
      </c>
      <c r="AM2021" s="8">
        <f t="shared" si="985"/>
        <v>0.29353233830845771</v>
      </c>
      <c r="AN2021" s="6" t="s">
        <v>16255</v>
      </c>
      <c r="AO2021" s="6" t="str">
        <f t="shared" si="969"/>
        <v>=1.206*100000000</v>
      </c>
      <c r="AP2021" s="1">
        <f>1.206*100000000</f>
        <v>120600000</v>
      </c>
      <c r="AQ2021" s="8">
        <f t="shared" si="986"/>
        <v>0.80863827234553087</v>
      </c>
      <c r="AR2021" s="7" t="s">
        <v>7252</v>
      </c>
      <c r="AS2021" s="6" t="str">
        <f t="shared" si="970"/>
        <v>=6668*10000</v>
      </c>
      <c r="AT2021" s="1">
        <f>6668*10000</f>
        <v>66680000</v>
      </c>
      <c r="AU2021" s="8">
        <f t="shared" si="987"/>
        <v>6.337147887323944</v>
      </c>
      <c r="AV2021" s="7" t="s">
        <v>17728</v>
      </c>
      <c r="AW2021" s="6" t="str">
        <f t="shared" si="971"/>
        <v>=908.8*10000</v>
      </c>
      <c r="AX2021" s="1">
        <f>908.8*10000</f>
        <v>9088000</v>
      </c>
      <c r="AY2021" s="10">
        <f t="shared" si="988"/>
        <v>-0.88120261437908498</v>
      </c>
      <c r="AZ2021" s="7" t="s">
        <v>15506</v>
      </c>
      <c r="BA2021" s="6" t="str">
        <f t="shared" si="972"/>
        <v>=7650*10000</v>
      </c>
      <c r="BB2021" s="1">
        <f>7650*10000</f>
        <v>76500000</v>
      </c>
      <c r="BC2021" s="8">
        <f t="shared" si="989"/>
        <v>0.3921747042766151</v>
      </c>
      <c r="BD2021" s="7" t="s">
        <v>17729</v>
      </c>
      <c r="BE2021" s="6" t="str">
        <f t="shared" si="973"/>
        <v>=5495*10000</v>
      </c>
      <c r="BF2021" s="1">
        <f>5495*10000</f>
        <v>54950000</v>
      </c>
      <c r="BG2021" s="8">
        <f t="shared" si="990"/>
        <v>0.48634027589937789</v>
      </c>
      <c r="BH2021" s="7" t="s">
        <v>17730</v>
      </c>
      <c r="BI2021" s="6" t="str">
        <f t="shared" si="974"/>
        <v>=3697*10000</v>
      </c>
      <c r="BJ2021" s="1">
        <f>3697*10000</f>
        <v>36970000</v>
      </c>
      <c r="BK2021" s="7" t="s">
        <v>17731</v>
      </c>
      <c r="BL2021" s="1" t="str">
        <f t="shared" si="976"/>
        <v>=1126*10000</v>
      </c>
      <c r="BM2021" s="16">
        <f t="shared" si="991"/>
        <v>2.2833037300177619</v>
      </c>
      <c r="BN2021" s="1">
        <f>1126*10000</f>
        <v>11260000</v>
      </c>
    </row>
    <row r="2022" spans="1:66">
      <c r="A2022" s="17">
        <v>507</v>
      </c>
      <c r="B2022">
        <v>603989</v>
      </c>
      <c r="C2022" t="s">
        <v>31</v>
      </c>
      <c r="D2022" s="6" t="s">
        <v>5905</v>
      </c>
      <c r="E2022" s="7" t="str">
        <f t="shared" si="975"/>
        <v>=32.34*100000000</v>
      </c>
      <c r="F2022" s="1">
        <f>32.34*100000000</f>
        <v>3234000000.0000005</v>
      </c>
      <c r="G2022" s="8">
        <f t="shared" si="977"/>
        <v>0.35825283494330135</v>
      </c>
      <c r="H2022" s="6" t="s">
        <v>8036</v>
      </c>
      <c r="I2022" s="6" t="str">
        <f t="shared" si="961"/>
        <v>=23.81*100000000</v>
      </c>
      <c r="J2022" s="1">
        <f>23.81*100000000</f>
        <v>2381000000</v>
      </c>
      <c r="K2022" s="10">
        <f t="shared" si="978"/>
        <v>0.57265521796565388</v>
      </c>
      <c r="L2022" s="6" t="s">
        <v>2779</v>
      </c>
      <c r="M2022" s="6" t="str">
        <f t="shared" si="962"/>
        <v>=15.14*100000000</v>
      </c>
      <c r="N2022" s="1">
        <f>15.14*100000000</f>
        <v>1514000000</v>
      </c>
      <c r="O2022" s="8">
        <f t="shared" si="979"/>
        <v>1.2456244437852269</v>
      </c>
      <c r="P2022" s="6" t="s">
        <v>9245</v>
      </c>
      <c r="Q2022" s="6" t="str">
        <f t="shared" si="963"/>
        <v>=6.742*100000000</v>
      </c>
      <c r="R2022" s="11">
        <f>6.742*100000000</f>
        <v>674200000</v>
      </c>
      <c r="S2022" s="8">
        <f t="shared" si="980"/>
        <v>-0.73214143822010325</v>
      </c>
      <c r="T2022" s="6" t="s">
        <v>5906</v>
      </c>
      <c r="U2022" s="6" t="str">
        <f t="shared" si="964"/>
        <v>=25.17*100000000</v>
      </c>
      <c r="V2022" s="1">
        <f>25.17*100000000</f>
        <v>2517000000</v>
      </c>
      <c r="W2022" s="8">
        <f t="shared" si="981"/>
        <v>0.4391080617495714</v>
      </c>
      <c r="X2022" s="6" t="s">
        <v>7238</v>
      </c>
      <c r="Y2022" s="6" t="str">
        <f t="shared" si="965"/>
        <v>=17.49*100000000</v>
      </c>
      <c r="Z2022" s="1">
        <f>17.49*100000000</f>
        <v>1748999999.9999998</v>
      </c>
      <c r="AA2022" s="8">
        <f t="shared" si="982"/>
        <v>0.62244897959183654</v>
      </c>
      <c r="AB2022" s="6" t="s">
        <v>9154</v>
      </c>
      <c r="AC2022" s="6" t="str">
        <f t="shared" si="966"/>
        <v>=10.78*100000000</v>
      </c>
      <c r="AD2022" s="1">
        <f>10.78*100000000</f>
        <v>1078000000</v>
      </c>
      <c r="AE2022" s="8">
        <f t="shared" si="983"/>
        <v>1.5281425891181988</v>
      </c>
      <c r="AF2022" s="6" t="s">
        <v>17732</v>
      </c>
      <c r="AG2022" s="6" t="str">
        <f t="shared" si="967"/>
        <v>=4.264*100000000</v>
      </c>
      <c r="AH2022" s="1">
        <f>4.264*100000000</f>
        <v>426400000</v>
      </c>
      <c r="AI2022" s="8">
        <f t="shared" si="984"/>
        <v>-0.81082519964507538</v>
      </c>
      <c r="AJ2022" s="6" t="s">
        <v>3407</v>
      </c>
      <c r="AK2022" s="6" t="str">
        <f t="shared" si="968"/>
        <v>=22.54*100000000</v>
      </c>
      <c r="AL2022" s="1">
        <f>22.54*100000000</f>
        <v>2254000000</v>
      </c>
      <c r="AM2022" s="8">
        <f t="shared" si="985"/>
        <v>0.3904996915484269</v>
      </c>
      <c r="AN2022" s="6" t="s">
        <v>2441</v>
      </c>
      <c r="AO2022" s="6" t="str">
        <f t="shared" si="969"/>
        <v>=16.21*100000000</v>
      </c>
      <c r="AP2022" s="1">
        <f>16.21*100000000</f>
        <v>1621000000</v>
      </c>
      <c r="AQ2022" s="8">
        <f t="shared" si="986"/>
        <v>0.53358561967833495</v>
      </c>
      <c r="AR2022" s="6" t="s">
        <v>930</v>
      </c>
      <c r="AS2022" s="6" t="str">
        <f t="shared" si="970"/>
        <v>=10.57*100000000</v>
      </c>
      <c r="AT2022" s="1">
        <f>10.57*100000000</f>
        <v>1057000000</v>
      </c>
      <c r="AU2022" s="8">
        <f t="shared" si="987"/>
        <v>1.0164059519267454</v>
      </c>
      <c r="AV2022" s="6" t="s">
        <v>11275</v>
      </c>
      <c r="AW2022" s="6" t="str">
        <f t="shared" si="971"/>
        <v>=5.242*100000000</v>
      </c>
      <c r="AX2022" s="1">
        <f>5.242*100000000</f>
        <v>524200000</v>
      </c>
      <c r="AY2022" s="10">
        <f t="shared" si="988"/>
        <v>-0.7579870729455217</v>
      </c>
      <c r="AZ2022" s="6" t="s">
        <v>5374</v>
      </c>
      <c r="BA2022" s="6" t="str">
        <f t="shared" si="972"/>
        <v>=21.66*100000000</v>
      </c>
      <c r="BB2022" s="1">
        <f>21.66*100000000</f>
        <v>2166000000</v>
      </c>
      <c r="BC2022" s="8">
        <f t="shared" si="989"/>
        <v>0.34953271028037386</v>
      </c>
      <c r="BD2022" s="6" t="s">
        <v>4423</v>
      </c>
      <c r="BE2022" s="6" t="str">
        <f t="shared" si="973"/>
        <v>=16.05*100000000</v>
      </c>
      <c r="BF2022" s="1">
        <f>16.05*100000000</f>
        <v>1605000000</v>
      </c>
      <c r="BG2022" s="8">
        <f t="shared" si="990"/>
        <v>0.59701492537313416</v>
      </c>
      <c r="BH2022" s="6" t="s">
        <v>1093</v>
      </c>
      <c r="BI2022" s="6" t="str">
        <f t="shared" si="974"/>
        <v>=10.05*100000000</v>
      </c>
      <c r="BJ2022" s="1">
        <f>10.05*100000000</f>
        <v>1005000000.0000001</v>
      </c>
      <c r="BK2022" s="6" t="s">
        <v>13674</v>
      </c>
      <c r="BL2022" s="1" t="str">
        <f t="shared" si="976"/>
        <v>=4.271*100000000</v>
      </c>
      <c r="BM2022" s="16">
        <f t="shared" si="991"/>
        <v>1.3530789042378837</v>
      </c>
      <c r="BN2022" s="1">
        <f>4.271*100000000</f>
        <v>427100000</v>
      </c>
    </row>
    <row r="2023" spans="1:66">
      <c r="A2023" s="18"/>
      <c r="B2023">
        <v>603989</v>
      </c>
      <c r="C2023" t="s">
        <v>48</v>
      </c>
      <c r="D2023" s="6" t="s">
        <v>6688</v>
      </c>
      <c r="E2023" s="7" t="str">
        <f t="shared" si="975"/>
        <v>=5.686*100000000</v>
      </c>
      <c r="F2023" s="1">
        <f>5.686*100000000</f>
        <v>568600000</v>
      </c>
      <c r="G2023" s="8">
        <f t="shared" si="977"/>
        <v>0.35866188769414598</v>
      </c>
      <c r="H2023" s="6" t="s">
        <v>11192</v>
      </c>
      <c r="I2023" s="6" t="str">
        <f t="shared" si="961"/>
        <v>=4.185*100000000</v>
      </c>
      <c r="J2023" s="1">
        <f>4.185*100000000</f>
        <v>418499999.99999994</v>
      </c>
      <c r="K2023" s="10">
        <f t="shared" si="978"/>
        <v>0.53128430296377582</v>
      </c>
      <c r="L2023" s="6" t="s">
        <v>2310</v>
      </c>
      <c r="M2023" s="6" t="str">
        <f t="shared" si="962"/>
        <v>=2.733*100000000</v>
      </c>
      <c r="N2023" s="1">
        <f>2.733*100000000</f>
        <v>273300000</v>
      </c>
      <c r="O2023" s="8">
        <f t="shared" si="979"/>
        <v>1.0548872180451128</v>
      </c>
      <c r="P2023" s="6" t="s">
        <v>1927</v>
      </c>
      <c r="Q2023" s="6" t="str">
        <f t="shared" si="963"/>
        <v>=1.330*100000000</v>
      </c>
      <c r="R2023" s="11">
        <f>1.33*100000000</f>
        <v>133000000</v>
      </c>
      <c r="S2023" s="8">
        <f t="shared" si="980"/>
        <v>-0.69997744191292577</v>
      </c>
      <c r="T2023" s="6" t="s">
        <v>17478</v>
      </c>
      <c r="U2023" s="6" t="str">
        <f t="shared" si="964"/>
        <v>=4.433*100000000</v>
      </c>
      <c r="V2023" s="1">
        <f>4.433*100000000</f>
        <v>443300000</v>
      </c>
      <c r="W2023" s="8">
        <f t="shared" si="981"/>
        <v>0.42494374799099965</v>
      </c>
      <c r="X2023" s="6" t="s">
        <v>10113</v>
      </c>
      <c r="Y2023" s="6" t="str">
        <f t="shared" si="965"/>
        <v>=3.111*100000000</v>
      </c>
      <c r="Z2023" s="1">
        <f>3.111*100000000</f>
        <v>311100000</v>
      </c>
      <c r="AA2023" s="8">
        <f t="shared" si="982"/>
        <v>0.56646525679758308</v>
      </c>
      <c r="AB2023" s="6" t="s">
        <v>8148</v>
      </c>
      <c r="AC2023" s="6" t="str">
        <f t="shared" si="966"/>
        <v>=1.986*100000000</v>
      </c>
      <c r="AD2023" s="1">
        <f>1.986*100000000</f>
        <v>198600000</v>
      </c>
      <c r="AE2023" s="8">
        <f t="shared" si="983"/>
        <v>1.8711869307503253</v>
      </c>
      <c r="AF2023" s="7" t="s">
        <v>2168</v>
      </c>
      <c r="AG2023" s="6" t="str">
        <f t="shared" si="967"/>
        <v>=6917*10000</v>
      </c>
      <c r="AH2023" s="1">
        <f>6917*10000</f>
        <v>69170000</v>
      </c>
      <c r="AI2023" s="8">
        <f t="shared" si="984"/>
        <v>-0.82089590885551522</v>
      </c>
      <c r="AJ2023" s="6" t="s">
        <v>5204</v>
      </c>
      <c r="AK2023" s="6" t="str">
        <f t="shared" si="968"/>
        <v>=3.862*100000000</v>
      </c>
      <c r="AL2023" s="1">
        <f>3.862*100000000</f>
        <v>386200000</v>
      </c>
      <c r="AM2023" s="8">
        <f t="shared" si="985"/>
        <v>0.56546412646939603</v>
      </c>
      <c r="AN2023" s="6" t="s">
        <v>3375</v>
      </c>
      <c r="AO2023" s="6" t="str">
        <f t="shared" si="969"/>
        <v>=2.467*100000000</v>
      </c>
      <c r="AP2023" s="1">
        <f>2.467*100000000</f>
        <v>246700000</v>
      </c>
      <c r="AQ2023" s="8">
        <f t="shared" si="986"/>
        <v>0.67367706919945725</v>
      </c>
      <c r="AR2023" s="6" t="s">
        <v>10387</v>
      </c>
      <c r="AS2023" s="6" t="str">
        <f t="shared" si="970"/>
        <v>=1.474*100000000</v>
      </c>
      <c r="AT2023" s="1">
        <f>1.474*100000000</f>
        <v>147400000</v>
      </c>
      <c r="AU2023" s="8">
        <f t="shared" si="987"/>
        <v>1.471495640509725</v>
      </c>
      <c r="AV2023" s="7" t="s">
        <v>17733</v>
      </c>
      <c r="AW2023" s="6" t="str">
        <f t="shared" si="971"/>
        <v>=5964*10000</v>
      </c>
      <c r="AX2023" s="1">
        <f>5964*10000</f>
        <v>59640000</v>
      </c>
      <c r="AY2023" s="10">
        <f t="shared" si="988"/>
        <v>-0.82375886524822695</v>
      </c>
      <c r="AZ2023" s="6" t="s">
        <v>12910</v>
      </c>
      <c r="BA2023" s="6" t="str">
        <f t="shared" si="972"/>
        <v>=3.384*100000000</v>
      </c>
      <c r="BB2023" s="1">
        <f>3.384*100000000</f>
        <v>338400000</v>
      </c>
      <c r="BC2023" s="8">
        <f t="shared" si="989"/>
        <v>0.32498042286609258</v>
      </c>
      <c r="BD2023" s="6" t="s">
        <v>15090</v>
      </c>
      <c r="BE2023" s="6" t="str">
        <f t="shared" si="973"/>
        <v>=2.554*100000000</v>
      </c>
      <c r="BF2023" s="1">
        <f>2.554*100000000</f>
        <v>255399999.99999997</v>
      </c>
      <c r="BG2023" s="8">
        <f t="shared" si="990"/>
        <v>0.76016540317022718</v>
      </c>
      <c r="BH2023" s="6" t="s">
        <v>5318</v>
      </c>
      <c r="BI2023" s="6" t="str">
        <f t="shared" si="974"/>
        <v>=1.451*100000000</v>
      </c>
      <c r="BJ2023" s="1">
        <f>1.451*100000000</f>
        <v>145100000</v>
      </c>
      <c r="BK2023" s="7" t="s">
        <v>16315</v>
      </c>
      <c r="BL2023" s="1" t="str">
        <f t="shared" si="976"/>
        <v>=4704*10000</v>
      </c>
      <c r="BM2023" s="16">
        <f t="shared" si="991"/>
        <v>2.0846088435374148</v>
      </c>
      <c r="BN2023" s="1">
        <f>4704*10000</f>
        <v>47040000</v>
      </c>
    </row>
    <row r="2024" spans="1:66">
      <c r="A2024" s="18"/>
      <c r="B2024">
        <v>603989</v>
      </c>
      <c r="C2024" t="s">
        <v>58</v>
      </c>
      <c r="D2024" s="6" t="s">
        <v>17734</v>
      </c>
      <c r="E2024" s="7" t="str">
        <f t="shared" si="975"/>
        <v>=5.694*100000000</v>
      </c>
      <c r="F2024" s="1">
        <f>5.694*100000000</f>
        <v>569400000</v>
      </c>
      <c r="G2024" s="8">
        <f t="shared" si="977"/>
        <v>0.3563601715102428</v>
      </c>
      <c r="H2024" s="6" t="s">
        <v>6373</v>
      </c>
      <c r="I2024" s="6" t="str">
        <f t="shared" si="961"/>
        <v>=4.198*100000000</v>
      </c>
      <c r="J2024" s="1">
        <f>4.198*100000000</f>
        <v>419800000.00000006</v>
      </c>
      <c r="K2024" s="10">
        <f t="shared" si="978"/>
        <v>0.53155782561109111</v>
      </c>
      <c r="L2024" s="6" t="s">
        <v>10193</v>
      </c>
      <c r="M2024" s="6" t="str">
        <f t="shared" si="962"/>
        <v>=2.741*100000000</v>
      </c>
      <c r="N2024" s="1">
        <f>2.741*100000000</f>
        <v>274100000</v>
      </c>
      <c r="O2024" s="8">
        <f t="shared" si="979"/>
        <v>1.0516467065868262</v>
      </c>
      <c r="P2024" s="6" t="s">
        <v>16681</v>
      </c>
      <c r="Q2024" s="6" t="str">
        <f t="shared" si="963"/>
        <v>=1.336*100000000</v>
      </c>
      <c r="R2024" s="11">
        <f>1.336*100000000</f>
        <v>133600000.00000001</v>
      </c>
      <c r="S2024" s="8">
        <f t="shared" si="980"/>
        <v>-0.70011223344556683</v>
      </c>
      <c r="T2024" s="6" t="s">
        <v>17735</v>
      </c>
      <c r="U2024" s="6" t="str">
        <f t="shared" si="964"/>
        <v>=4.455*100000000</v>
      </c>
      <c r="V2024" s="1">
        <f>4.455*100000000</f>
        <v>445500000</v>
      </c>
      <c r="W2024" s="8">
        <f t="shared" si="981"/>
        <v>0.41114982578397213</v>
      </c>
      <c r="X2024" s="6" t="s">
        <v>16900</v>
      </c>
      <c r="Y2024" s="6" t="str">
        <f t="shared" si="965"/>
        <v>=3.157*100000000</v>
      </c>
      <c r="Z2024" s="1">
        <f>3.157*100000000</f>
        <v>315700000</v>
      </c>
      <c r="AA2024" s="8">
        <f t="shared" si="982"/>
        <v>0.54754901960784319</v>
      </c>
      <c r="AB2024" s="6" t="s">
        <v>13060</v>
      </c>
      <c r="AC2024" s="6" t="str">
        <f t="shared" si="966"/>
        <v>=2.040*100000000</v>
      </c>
      <c r="AD2024" s="1">
        <f>2.04*100000000</f>
        <v>204000000</v>
      </c>
      <c r="AE2024" s="8">
        <f t="shared" si="983"/>
        <v>1.768729641693811</v>
      </c>
      <c r="AF2024" s="7" t="s">
        <v>17736</v>
      </c>
      <c r="AG2024" s="6" t="str">
        <f t="shared" si="967"/>
        <v>=7368*10000</v>
      </c>
      <c r="AH2024" s="1">
        <f>7368*10000</f>
        <v>73680000</v>
      </c>
      <c r="AI2024" s="8">
        <f t="shared" si="984"/>
        <v>-0.8128999492127984</v>
      </c>
      <c r="AJ2024" s="6" t="s">
        <v>4977</v>
      </c>
      <c r="AK2024" s="6" t="str">
        <f t="shared" si="968"/>
        <v>=3.938*100000000</v>
      </c>
      <c r="AL2024" s="1">
        <f>3.938*100000000</f>
        <v>393800000</v>
      </c>
      <c r="AM2024" s="8">
        <f t="shared" si="985"/>
        <v>0.51170825335892511</v>
      </c>
      <c r="AN2024" s="6" t="s">
        <v>9718</v>
      </c>
      <c r="AO2024" s="6" t="str">
        <f t="shared" si="969"/>
        <v>=2.605*100000000</v>
      </c>
      <c r="AP2024" s="1">
        <f>2.605*100000000</f>
        <v>260500000</v>
      </c>
      <c r="AQ2024" s="8">
        <f t="shared" si="986"/>
        <v>0.62406483790523692</v>
      </c>
      <c r="AR2024" s="6" t="s">
        <v>1229</v>
      </c>
      <c r="AS2024" s="6" t="str">
        <f t="shared" si="970"/>
        <v>=1.604*100000000</v>
      </c>
      <c r="AT2024" s="1">
        <f>1.604*100000000</f>
        <v>160400000</v>
      </c>
      <c r="AU2024" s="8">
        <f t="shared" si="987"/>
        <v>1.3598646461674269</v>
      </c>
      <c r="AV2024" s="7" t="s">
        <v>17737</v>
      </c>
      <c r="AW2024" s="6" t="str">
        <f t="shared" si="971"/>
        <v>=6797*10000</v>
      </c>
      <c r="AX2024" s="1">
        <f>6797*10000</f>
        <v>67970000</v>
      </c>
      <c r="AY2024" s="10">
        <f t="shared" si="988"/>
        <v>-0.80651864503273551</v>
      </c>
      <c r="AZ2024" s="6" t="s">
        <v>11704</v>
      </c>
      <c r="BA2024" s="6" t="str">
        <f t="shared" si="972"/>
        <v>=3.513*100000000</v>
      </c>
      <c r="BB2024" s="1">
        <f>3.513*100000000</f>
        <v>351300000</v>
      </c>
      <c r="BC2024" s="8">
        <f t="shared" si="989"/>
        <v>0.311310190369541</v>
      </c>
      <c r="BD2024" s="6" t="s">
        <v>11971</v>
      </c>
      <c r="BE2024" s="6" t="str">
        <f t="shared" si="973"/>
        <v>=2.679*100000000</v>
      </c>
      <c r="BF2024" s="1">
        <f>2.679*100000000</f>
        <v>267899999.99999997</v>
      </c>
      <c r="BG2024" s="8">
        <f t="shared" si="990"/>
        <v>0.69556962025316438</v>
      </c>
      <c r="BH2024" s="6" t="s">
        <v>17043</v>
      </c>
      <c r="BI2024" s="6" t="str">
        <f t="shared" si="974"/>
        <v>=1.580*100000000</v>
      </c>
      <c r="BJ2024" s="1">
        <f>1.58*100000000</f>
        <v>158000000</v>
      </c>
      <c r="BK2024" s="7" t="s">
        <v>15000</v>
      </c>
      <c r="BL2024" s="1" t="str">
        <f t="shared" si="976"/>
        <v>=6047*10000</v>
      </c>
      <c r="BM2024" s="16">
        <f t="shared" si="991"/>
        <v>1.6128658839093766</v>
      </c>
      <c r="BN2024" s="1">
        <f>6047*10000</f>
        <v>60470000</v>
      </c>
    </row>
    <row r="2025" spans="1:66">
      <c r="A2025" s="19"/>
      <c r="B2025">
        <v>603989</v>
      </c>
      <c r="C2025" t="s">
        <v>68</v>
      </c>
      <c r="D2025" s="6" t="s">
        <v>17738</v>
      </c>
      <c r="E2025" s="7" t="str">
        <f t="shared" si="975"/>
        <v>=4.900*100000000</v>
      </c>
      <c r="F2025" s="1">
        <f>4.9*100000000</f>
        <v>490000000.00000006</v>
      </c>
      <c r="G2025" s="8">
        <f t="shared" si="977"/>
        <v>0.3618677042801558</v>
      </c>
      <c r="H2025" s="6" t="s">
        <v>1752</v>
      </c>
      <c r="I2025" s="6" t="str">
        <f t="shared" si="961"/>
        <v>=3.598*100000000</v>
      </c>
      <c r="J2025" s="1">
        <f>3.598*100000000</f>
        <v>359800000</v>
      </c>
      <c r="K2025" s="10">
        <f t="shared" si="978"/>
        <v>0.53892215568862278</v>
      </c>
      <c r="L2025" s="6" t="s">
        <v>10237</v>
      </c>
      <c r="M2025" s="6" t="str">
        <f t="shared" si="962"/>
        <v>=2.338*100000000</v>
      </c>
      <c r="N2025" s="1">
        <f>2.338*100000000</f>
        <v>233800000</v>
      </c>
      <c r="O2025" s="8">
        <f t="shared" si="979"/>
        <v>1.058098591549296</v>
      </c>
      <c r="P2025" s="6" t="s">
        <v>257</v>
      </c>
      <c r="Q2025" s="6" t="str">
        <f t="shared" si="963"/>
        <v>=1.136*100000000</v>
      </c>
      <c r="R2025" s="11">
        <f>1.136*100000000</f>
        <v>113599999.99999999</v>
      </c>
      <c r="S2025" s="8">
        <f t="shared" si="980"/>
        <v>-0.70354906054279753</v>
      </c>
      <c r="T2025" s="6" t="s">
        <v>2331</v>
      </c>
      <c r="U2025" s="6" t="str">
        <f t="shared" si="964"/>
        <v>=3.832*100000000</v>
      </c>
      <c r="V2025" s="1">
        <f>3.832*100000000</f>
        <v>383200000</v>
      </c>
      <c r="W2025" s="8">
        <f t="shared" si="981"/>
        <v>0.42242019302152933</v>
      </c>
      <c r="X2025" s="6" t="s">
        <v>15242</v>
      </c>
      <c r="Y2025" s="6" t="str">
        <f t="shared" si="965"/>
        <v>=2.694*100000000</v>
      </c>
      <c r="Z2025" s="1">
        <f>2.694*100000000</f>
        <v>269400000</v>
      </c>
      <c r="AA2025" s="8">
        <f t="shared" si="982"/>
        <v>0.53068181818181814</v>
      </c>
      <c r="AB2025" s="6" t="s">
        <v>4975</v>
      </c>
      <c r="AC2025" s="6" t="str">
        <f t="shared" si="966"/>
        <v>=1.760*100000000</v>
      </c>
      <c r="AD2025" s="1">
        <f>1.76*100000000</f>
        <v>176000000</v>
      </c>
      <c r="AE2025" s="8">
        <f t="shared" si="983"/>
        <v>1.8350515463917525</v>
      </c>
      <c r="AF2025" s="7" t="s">
        <v>10555</v>
      </c>
      <c r="AG2025" s="6" t="str">
        <f t="shared" si="967"/>
        <v>=6208*10000</v>
      </c>
      <c r="AH2025" s="1">
        <f>6208*10000</f>
        <v>62080000</v>
      </c>
      <c r="AI2025" s="8">
        <f t="shared" si="984"/>
        <v>-0.81551263001485885</v>
      </c>
      <c r="AJ2025" s="6" t="s">
        <v>1642</v>
      </c>
      <c r="AK2025" s="6" t="str">
        <f t="shared" si="968"/>
        <v>=3.365*100000000</v>
      </c>
      <c r="AL2025" s="1">
        <f>3.365*100000000</f>
        <v>336500000</v>
      </c>
      <c r="AM2025" s="8">
        <f t="shared" si="985"/>
        <v>0.552121771217712</v>
      </c>
      <c r="AN2025" s="6" t="s">
        <v>4405</v>
      </c>
      <c r="AO2025" s="6" t="str">
        <f t="shared" si="969"/>
        <v>=2.168*100000000</v>
      </c>
      <c r="AP2025" s="1">
        <f>2.168*100000000</f>
        <v>216800000.00000003</v>
      </c>
      <c r="AQ2025" s="8">
        <f t="shared" si="986"/>
        <v>0.63130173062452999</v>
      </c>
      <c r="AR2025" s="6" t="s">
        <v>5183</v>
      </c>
      <c r="AS2025" s="6" t="str">
        <f t="shared" si="970"/>
        <v>=1.329*100000000</v>
      </c>
      <c r="AT2025" s="1">
        <f>1.329*100000000</f>
        <v>132900000</v>
      </c>
      <c r="AU2025" s="8">
        <f t="shared" si="987"/>
        <v>1.2725718194254445</v>
      </c>
      <c r="AV2025" s="7" t="s">
        <v>15012</v>
      </c>
      <c r="AW2025" s="6" t="str">
        <f t="shared" si="971"/>
        <v>=5848*10000</v>
      </c>
      <c r="AX2025" s="1">
        <f>5848*10000</f>
        <v>58480000</v>
      </c>
      <c r="AY2025" s="10">
        <f t="shared" si="988"/>
        <v>-0.80467601870407479</v>
      </c>
      <c r="AZ2025" s="6" t="s">
        <v>6544</v>
      </c>
      <c r="BA2025" s="6" t="str">
        <f t="shared" si="972"/>
        <v>=2.994*100000000</v>
      </c>
      <c r="BB2025" s="1">
        <f>2.994*100000000</f>
        <v>299400000</v>
      </c>
      <c r="BC2025" s="8">
        <f t="shared" si="989"/>
        <v>0.32595217006200178</v>
      </c>
      <c r="BD2025" s="6" t="s">
        <v>10499</v>
      </c>
      <c r="BE2025" s="6" t="str">
        <f t="shared" si="973"/>
        <v>=2.258*100000000</v>
      </c>
      <c r="BF2025" s="1">
        <f>2.258*100000000</f>
        <v>225800000</v>
      </c>
      <c r="BG2025" s="8">
        <f t="shared" si="990"/>
        <v>0.71190295678544346</v>
      </c>
      <c r="BH2025" s="6" t="s">
        <v>3449</v>
      </c>
      <c r="BI2025" s="6" t="str">
        <f t="shared" si="974"/>
        <v>=1.319*100000000</v>
      </c>
      <c r="BJ2025" s="1">
        <f>1.319*100000000</f>
        <v>131900000</v>
      </c>
      <c r="BK2025" s="7" t="s">
        <v>17739</v>
      </c>
      <c r="BL2025" s="1" t="str">
        <f t="shared" si="976"/>
        <v>=5160*10000</v>
      </c>
      <c r="BM2025" s="16">
        <f t="shared" si="991"/>
        <v>1.556201550387597</v>
      </c>
      <c r="BN2025" s="1">
        <f>5160*10000</f>
        <v>51600000</v>
      </c>
    </row>
    <row r="2026" spans="1:66">
      <c r="A2026" s="17">
        <v>508</v>
      </c>
      <c r="B2026">
        <v>603993</v>
      </c>
      <c r="C2026" t="s">
        <v>31</v>
      </c>
      <c r="D2026" s="6" t="s">
        <v>17740</v>
      </c>
      <c r="E2026" s="7" t="str">
        <f t="shared" si="975"/>
        <v>=1739*100000000</v>
      </c>
      <c r="F2026" s="1">
        <f>1739*100000000</f>
        <v>173900000000</v>
      </c>
      <c r="G2026" s="8">
        <f t="shared" si="977"/>
        <v>0.3736176935229068</v>
      </c>
      <c r="H2026" s="6" t="s">
        <v>17741</v>
      </c>
      <c r="I2026" s="6" t="str">
        <f t="shared" si="961"/>
        <v>=1266*100000000</v>
      </c>
      <c r="J2026" s="1">
        <f>1266*100000000</f>
        <v>126600000000</v>
      </c>
      <c r="K2026" s="10">
        <f t="shared" si="978"/>
        <v>0.49257250648431972</v>
      </c>
      <c r="L2026" s="6" t="s">
        <v>17742</v>
      </c>
      <c r="M2026" s="6" t="str">
        <f t="shared" si="962"/>
        <v>=848.2*100000000</v>
      </c>
      <c r="N2026" s="1">
        <f>848.2*100000000</f>
        <v>84820000000</v>
      </c>
      <c r="O2026" s="8">
        <f t="shared" si="979"/>
        <v>1.124749498997996</v>
      </c>
      <c r="P2026" s="6" t="s">
        <v>17743</v>
      </c>
      <c r="Q2026" s="6" t="str">
        <f t="shared" si="963"/>
        <v>=399.2*100000000</v>
      </c>
      <c r="R2026" s="11">
        <f>399.2*100000000</f>
        <v>39920000000</v>
      </c>
      <c r="S2026" s="8">
        <f t="shared" si="980"/>
        <v>-0.64672566371681417</v>
      </c>
      <c r="T2026" s="6" t="s">
        <v>17744</v>
      </c>
      <c r="U2026" s="6" t="str">
        <f t="shared" si="964"/>
        <v>=1130*100000000</v>
      </c>
      <c r="V2026" s="1">
        <f>1130*100000000</f>
        <v>113000000000</v>
      </c>
      <c r="W2026" s="8">
        <f t="shared" si="981"/>
        <v>0.40704769020047316</v>
      </c>
      <c r="X2026" s="6" t="s">
        <v>17745</v>
      </c>
      <c r="Y2026" s="6" t="str">
        <f t="shared" si="965"/>
        <v>=803.1*100000000</v>
      </c>
      <c r="Z2026" s="1">
        <f>803.1*100000000</f>
        <v>80310000000</v>
      </c>
      <c r="AA2026" s="8">
        <f t="shared" si="982"/>
        <v>0.71822849807445444</v>
      </c>
      <c r="AB2026" s="6" t="s">
        <v>17746</v>
      </c>
      <c r="AC2026" s="6" t="str">
        <f t="shared" si="966"/>
        <v>=467.4*100000000</v>
      </c>
      <c r="AD2026" s="1">
        <f>467.4*100000000</f>
        <v>46740000000</v>
      </c>
      <c r="AE2026" s="8">
        <f t="shared" si="983"/>
        <v>1.0884718498659518</v>
      </c>
      <c r="AF2026" s="6" t="s">
        <v>6260</v>
      </c>
      <c r="AG2026" s="6" t="str">
        <f t="shared" si="967"/>
        <v>=223.8*100000000</v>
      </c>
      <c r="AH2026" s="1">
        <f>223.8*100000000</f>
        <v>22380000000</v>
      </c>
      <c r="AI2026" s="8">
        <f t="shared" si="984"/>
        <v>-0.67414094350611531</v>
      </c>
      <c r="AJ2026" s="6" t="s">
        <v>17747</v>
      </c>
      <c r="AK2026" s="6" t="str">
        <f t="shared" si="968"/>
        <v>=686.8*100000000</v>
      </c>
      <c r="AL2026" s="1">
        <f>686.8*100000000</f>
        <v>68679999999.999992</v>
      </c>
      <c r="AM2026" s="8">
        <f t="shared" si="985"/>
        <v>1.0556719545046387</v>
      </c>
      <c r="AN2026" s="6" t="s">
        <v>17748</v>
      </c>
      <c r="AO2026" s="6" t="str">
        <f t="shared" si="969"/>
        <v>=334.1*100000000</v>
      </c>
      <c r="AP2026" s="1">
        <f>334.1*100000000</f>
        <v>33410000000.000004</v>
      </c>
      <c r="AQ2026" s="8">
        <f t="shared" si="986"/>
        <v>2.3480308648161143</v>
      </c>
      <c r="AR2026" s="6" t="s">
        <v>17749</v>
      </c>
      <c r="AS2026" s="6" t="str">
        <f t="shared" si="970"/>
        <v>=99.79*100000000</v>
      </c>
      <c r="AT2026" s="1">
        <f>99.79*100000000</f>
        <v>9979000000</v>
      </c>
      <c r="AU2026" s="8">
        <f t="shared" si="987"/>
        <v>1.2284502009825815</v>
      </c>
      <c r="AV2026" s="6" t="s">
        <v>11655</v>
      </c>
      <c r="AW2026" s="6" t="str">
        <f t="shared" si="971"/>
        <v>=44.78*100000000</v>
      </c>
      <c r="AX2026" s="1">
        <f>44.78*100000000</f>
        <v>4478000000</v>
      </c>
      <c r="AY2026" s="10">
        <f t="shared" si="988"/>
        <v>-0.82750385208012334</v>
      </c>
      <c r="AZ2026" s="6" t="s">
        <v>14589</v>
      </c>
      <c r="BA2026" s="6" t="str">
        <f t="shared" si="972"/>
        <v>=259.6*100000000</v>
      </c>
      <c r="BB2026" s="1">
        <f>259.6*100000000</f>
        <v>25960000000.000004</v>
      </c>
      <c r="BC2026" s="8">
        <f t="shared" si="989"/>
        <v>0.29282868525896433</v>
      </c>
      <c r="BD2026" s="6" t="s">
        <v>3636</v>
      </c>
      <c r="BE2026" s="6" t="str">
        <f t="shared" si="973"/>
        <v>=200.8*100000000</v>
      </c>
      <c r="BF2026" s="1">
        <f>200.8*100000000</f>
        <v>20080000000</v>
      </c>
      <c r="BG2026" s="8">
        <f t="shared" si="990"/>
        <v>0.42816500711237554</v>
      </c>
      <c r="BH2026" s="6" t="s">
        <v>17750</v>
      </c>
      <c r="BI2026" s="6" t="str">
        <f t="shared" si="974"/>
        <v>=140.6*100000000</v>
      </c>
      <c r="BJ2026" s="1">
        <f>140.6*100000000</f>
        <v>14060000000</v>
      </c>
      <c r="BK2026" s="6" t="s">
        <v>17751</v>
      </c>
      <c r="BL2026" s="1" t="str">
        <f t="shared" si="976"/>
        <v>=74.32*100000000</v>
      </c>
      <c r="BM2026" s="16">
        <f t="shared" si="991"/>
        <v>0.89181916038751374</v>
      </c>
      <c r="BN2026" s="1">
        <f>74.32*100000000</f>
        <v>7431999999.999999</v>
      </c>
    </row>
    <row r="2027" spans="1:66">
      <c r="A2027" s="18"/>
      <c r="B2027">
        <v>603993</v>
      </c>
      <c r="C2027" t="s">
        <v>48</v>
      </c>
      <c r="D2027" s="6" t="s">
        <v>9624</v>
      </c>
      <c r="E2027" s="7" t="str">
        <f t="shared" si="975"/>
        <v>=87.89*100000000</v>
      </c>
      <c r="F2027" s="1">
        <f>87.89*100000000</f>
        <v>8789000000</v>
      </c>
      <c r="G2027" s="8">
        <f t="shared" si="977"/>
        <v>0.37737031813195426</v>
      </c>
      <c r="H2027" s="6" t="s">
        <v>4699</v>
      </c>
      <c r="I2027" s="6" t="str">
        <f t="shared" si="961"/>
        <v>=63.81*100000000</v>
      </c>
      <c r="J2027" s="1">
        <f>63.81*100000000</f>
        <v>6381000000</v>
      </c>
      <c r="K2027" s="10">
        <f t="shared" si="978"/>
        <v>0.46353211009174311</v>
      </c>
      <c r="L2027" s="6" t="s">
        <v>14620</v>
      </c>
      <c r="M2027" s="6" t="str">
        <f t="shared" si="962"/>
        <v>=43.60*100000000</v>
      </c>
      <c r="N2027" s="1">
        <f>43.6*100000000</f>
        <v>4360000000</v>
      </c>
      <c r="O2027" s="8">
        <f t="shared" si="979"/>
        <v>1.3093220338983051</v>
      </c>
      <c r="P2027" s="6" t="s">
        <v>8669</v>
      </c>
      <c r="Q2027" s="6" t="str">
        <f t="shared" si="963"/>
        <v>=18.88*100000000</v>
      </c>
      <c r="R2027" s="11">
        <f>18.88*100000000</f>
        <v>1888000000</v>
      </c>
      <c r="S2027" s="8">
        <f t="shared" si="980"/>
        <v>-0.35934848998982016</v>
      </c>
      <c r="T2027" s="6" t="s">
        <v>9136</v>
      </c>
      <c r="U2027" s="6" t="str">
        <f t="shared" si="964"/>
        <v>=29.47*100000000</v>
      </c>
      <c r="V2027" s="1">
        <f>29.47*100000000</f>
        <v>2947000000</v>
      </c>
      <c r="W2027" s="8">
        <f t="shared" si="981"/>
        <v>0.98852901484480427</v>
      </c>
      <c r="X2027" s="6" t="s">
        <v>3632</v>
      </c>
      <c r="Y2027" s="6" t="str">
        <f t="shared" si="965"/>
        <v>=14.82*100000000</v>
      </c>
      <c r="Z2027" s="1">
        <f>14.82*100000000</f>
        <v>1482000000</v>
      </c>
      <c r="AA2027" s="8">
        <f t="shared" si="982"/>
        <v>3.2282453637660486</v>
      </c>
      <c r="AB2027" s="6" t="s">
        <v>11708</v>
      </c>
      <c r="AC2027" s="6" t="str">
        <f t="shared" si="966"/>
        <v>=3.505*100000000</v>
      </c>
      <c r="AD2027" s="1">
        <f>3.505*100000000</f>
        <v>350500000</v>
      </c>
      <c r="AE2027" s="8">
        <f t="shared" si="983"/>
        <v>1.5215827338129497</v>
      </c>
      <c r="AF2027" s="6" t="s">
        <v>8057</v>
      </c>
      <c r="AG2027" s="6" t="str">
        <f t="shared" si="967"/>
        <v>=1.390*100000000</v>
      </c>
      <c r="AH2027" s="1">
        <f>1.39*100000000</f>
        <v>139000000</v>
      </c>
      <c r="AI2027" s="8">
        <f t="shared" si="984"/>
        <v>-0.93744374437443745</v>
      </c>
      <c r="AJ2027" s="6" t="s">
        <v>14151</v>
      </c>
      <c r="AK2027" s="6" t="str">
        <f t="shared" si="968"/>
        <v>=22.22*100000000</v>
      </c>
      <c r="AL2027" s="1">
        <f>22.22*100000000</f>
        <v>2222000000</v>
      </c>
      <c r="AM2027" s="8">
        <f t="shared" si="985"/>
        <v>0.56810162314749468</v>
      </c>
      <c r="AN2027" s="6" t="s">
        <v>8109</v>
      </c>
      <c r="AO2027" s="6" t="str">
        <f t="shared" si="969"/>
        <v>=14.17*100000000</v>
      </c>
      <c r="AP2027" s="1">
        <f>14.17*100000000</f>
        <v>1417000000</v>
      </c>
      <c r="AQ2027" s="8">
        <f t="shared" si="986"/>
        <v>0.71155936707331802</v>
      </c>
      <c r="AR2027" s="6" t="s">
        <v>17752</v>
      </c>
      <c r="AS2027" s="6" t="str">
        <f t="shared" si="970"/>
        <v>=8.279*100000000</v>
      </c>
      <c r="AT2027" s="1">
        <f>8.279*100000000</f>
        <v>827900000</v>
      </c>
      <c r="AU2027" s="8">
        <f t="shared" si="987"/>
        <v>6.4990942028985499</v>
      </c>
      <c r="AV2027" s="6" t="s">
        <v>12737</v>
      </c>
      <c r="AW2027" s="6" t="str">
        <f t="shared" si="971"/>
        <v>=1.104*100000000</v>
      </c>
      <c r="AX2027" s="1">
        <f>1.104*100000000</f>
        <v>110400000.00000001</v>
      </c>
      <c r="AY2027" s="10">
        <f t="shared" si="988"/>
        <v>-0.98435817512043067</v>
      </c>
      <c r="AZ2027" s="6" t="s">
        <v>10712</v>
      </c>
      <c r="BA2027" s="6" t="str">
        <f t="shared" si="972"/>
        <v>=70.58*100000000</v>
      </c>
      <c r="BB2027" s="1">
        <f>70.58*100000000</f>
        <v>7058000000</v>
      </c>
      <c r="BC2027" s="8">
        <f t="shared" si="989"/>
        <v>0.17437603993344425</v>
      </c>
      <c r="BD2027" s="6" t="s">
        <v>17753</v>
      </c>
      <c r="BE2027" s="6" t="str">
        <f t="shared" si="973"/>
        <v>=60.10*100000000</v>
      </c>
      <c r="BF2027" s="1">
        <f>60.1*100000000</f>
        <v>6010000000</v>
      </c>
      <c r="BG2027" s="8">
        <f t="shared" si="990"/>
        <v>0.28666238492828089</v>
      </c>
      <c r="BH2027" s="6" t="s">
        <v>17754</v>
      </c>
      <c r="BI2027" s="6" t="str">
        <f t="shared" si="974"/>
        <v>=46.71*100000000</v>
      </c>
      <c r="BJ2027" s="1">
        <f>46.71*100000000</f>
        <v>4671000000</v>
      </c>
      <c r="BK2027" s="6" t="s">
        <v>17755</v>
      </c>
      <c r="BL2027" s="1" t="str">
        <f t="shared" si="976"/>
        <v>=25.86*100000000</v>
      </c>
      <c r="BM2027" s="16">
        <f t="shared" si="991"/>
        <v>0.80626450116009285</v>
      </c>
      <c r="BN2027" s="1">
        <f>25.86*100000000</f>
        <v>2586000000</v>
      </c>
    </row>
    <row r="2028" spans="1:66">
      <c r="A2028" s="18"/>
      <c r="B2028">
        <v>603993</v>
      </c>
      <c r="C2028" t="s">
        <v>58</v>
      </c>
      <c r="D2028" s="6" t="s">
        <v>17756</v>
      </c>
      <c r="E2028" s="7" t="str">
        <f t="shared" si="975"/>
        <v>=87.55*100000000</v>
      </c>
      <c r="F2028" s="1">
        <f>87.55*100000000</f>
        <v>8755000000</v>
      </c>
      <c r="G2028" s="8">
        <f t="shared" si="977"/>
        <v>0.37333333333333335</v>
      </c>
      <c r="H2028" s="6" t="s">
        <v>17757</v>
      </c>
      <c r="I2028" s="6" t="str">
        <f t="shared" si="961"/>
        <v>=63.75*100000000</v>
      </c>
      <c r="J2028" s="1">
        <f>63.75*100000000</f>
        <v>6375000000</v>
      </c>
      <c r="K2028" s="10">
        <f t="shared" si="978"/>
        <v>0.46215596330275227</v>
      </c>
      <c r="L2028" s="6" t="s">
        <v>14620</v>
      </c>
      <c r="M2028" s="6" t="str">
        <f t="shared" si="962"/>
        <v>=43.60*100000000</v>
      </c>
      <c r="N2028" s="1">
        <f>43.6*100000000</f>
        <v>4360000000</v>
      </c>
      <c r="O2028" s="8">
        <f t="shared" si="979"/>
        <v>1.3093220338983051</v>
      </c>
      <c r="P2028" s="6" t="s">
        <v>8669</v>
      </c>
      <c r="Q2028" s="6" t="str">
        <f t="shared" si="963"/>
        <v>=18.88*100000000</v>
      </c>
      <c r="R2028" s="11">
        <f>18.88*100000000</f>
        <v>1888000000</v>
      </c>
      <c r="S2028" s="8">
        <f t="shared" si="980"/>
        <v>-0.34353268428372741</v>
      </c>
      <c r="T2028" s="6" t="s">
        <v>17758</v>
      </c>
      <c r="U2028" s="6" t="str">
        <f t="shared" si="964"/>
        <v>=28.76*100000000</v>
      </c>
      <c r="V2028" s="1">
        <f>28.76*100000000</f>
        <v>2876000000</v>
      </c>
      <c r="W2028" s="8">
        <f t="shared" si="981"/>
        <v>0.94587280108254401</v>
      </c>
      <c r="X2028" s="6" t="s">
        <v>12475</v>
      </c>
      <c r="Y2028" s="6" t="str">
        <f t="shared" si="965"/>
        <v>=14.78*100000000</v>
      </c>
      <c r="Z2028" s="1">
        <f>14.78*100000000</f>
        <v>1478000000</v>
      </c>
      <c r="AA2028" s="8">
        <f t="shared" si="982"/>
        <v>3.216833095577746</v>
      </c>
      <c r="AB2028" s="6" t="s">
        <v>11708</v>
      </c>
      <c r="AC2028" s="6" t="str">
        <f t="shared" si="966"/>
        <v>=3.505*100000000</v>
      </c>
      <c r="AD2028" s="1">
        <f>3.505*100000000</f>
        <v>350500000</v>
      </c>
      <c r="AE2028" s="8">
        <f t="shared" si="983"/>
        <v>1.5640087783467447</v>
      </c>
      <c r="AF2028" s="6" t="s">
        <v>2200</v>
      </c>
      <c r="AG2028" s="6" t="str">
        <f t="shared" si="967"/>
        <v>=1.367*100000000</v>
      </c>
      <c r="AH2028" s="1">
        <f>1.367*100000000</f>
        <v>136700000</v>
      </c>
      <c r="AI2028" s="8">
        <f t="shared" si="984"/>
        <v>-0.94202714164546231</v>
      </c>
      <c r="AJ2028" s="6" t="s">
        <v>17759</v>
      </c>
      <c r="AK2028" s="6" t="str">
        <f t="shared" si="968"/>
        <v>=23.58*100000000</v>
      </c>
      <c r="AL2028" s="1">
        <f>23.58*100000000</f>
        <v>2358000000</v>
      </c>
      <c r="AM2028" s="8">
        <f t="shared" si="985"/>
        <v>0.65939479239971854</v>
      </c>
      <c r="AN2028" s="6" t="s">
        <v>2468</v>
      </c>
      <c r="AO2028" s="6" t="str">
        <f t="shared" si="969"/>
        <v>=14.21*100000000</v>
      </c>
      <c r="AP2028" s="1">
        <f>14.21*100000000</f>
        <v>1421000000</v>
      </c>
      <c r="AQ2028" s="8">
        <f t="shared" si="986"/>
        <v>0.72472387425658424</v>
      </c>
      <c r="AR2028" s="6" t="s">
        <v>17760</v>
      </c>
      <c r="AS2028" s="6" t="str">
        <f t="shared" si="970"/>
        <v>=8.239*100000000</v>
      </c>
      <c r="AT2028" s="1">
        <f>8.239*100000000</f>
        <v>823900000.00000012</v>
      </c>
      <c r="AU2028" s="8">
        <f t="shared" si="987"/>
        <v>6.7580037664783434</v>
      </c>
      <c r="AV2028" s="6" t="s">
        <v>104</v>
      </c>
      <c r="AW2028" s="6" t="str">
        <f t="shared" si="971"/>
        <v>=1.062*100000000</v>
      </c>
      <c r="AX2028" s="1">
        <f>1.062*100000000</f>
        <v>106200000</v>
      </c>
      <c r="AY2028" s="10">
        <f t="shared" si="988"/>
        <v>-0.98480686695278974</v>
      </c>
      <c r="AZ2028" s="6" t="s">
        <v>17761</v>
      </c>
      <c r="BA2028" s="6" t="str">
        <f t="shared" si="972"/>
        <v>=69.90*100000000</v>
      </c>
      <c r="BB2028" s="1">
        <f>69.9*100000000</f>
        <v>6990000000.000001</v>
      </c>
      <c r="BC2028" s="8">
        <f t="shared" si="989"/>
        <v>0.17222874392084536</v>
      </c>
      <c r="BD2028" s="6" t="s">
        <v>17326</v>
      </c>
      <c r="BE2028" s="6" t="str">
        <f t="shared" si="973"/>
        <v>=59.63*100000000</v>
      </c>
      <c r="BF2028" s="1">
        <f>59.63*100000000</f>
        <v>5963000000</v>
      </c>
      <c r="BG2028" s="8">
        <f t="shared" si="990"/>
        <v>0.28957612456747406</v>
      </c>
      <c r="BH2028" s="6" t="s">
        <v>17762</v>
      </c>
      <c r="BI2028" s="6" t="str">
        <f t="shared" si="974"/>
        <v>=46.24*100000000</v>
      </c>
      <c r="BJ2028" s="1">
        <f>46.24*100000000</f>
        <v>4624000000</v>
      </c>
      <c r="BK2028" s="6" t="s">
        <v>1352</v>
      </c>
      <c r="BL2028" s="1" t="str">
        <f t="shared" si="976"/>
        <v>=25.76*100000000</v>
      </c>
      <c r="BM2028" s="16">
        <f t="shared" si="991"/>
        <v>0.79503105590062106</v>
      </c>
      <c r="BN2028" s="1">
        <f>25.76*100000000</f>
        <v>2576000000</v>
      </c>
    </row>
    <row r="2029" spans="1:66">
      <c r="A2029" s="19"/>
      <c r="B2029">
        <v>603993</v>
      </c>
      <c r="C2029" t="s">
        <v>68</v>
      </c>
      <c r="D2029" s="6" t="s">
        <v>17763</v>
      </c>
      <c r="E2029" s="7" t="str">
        <f t="shared" si="975"/>
        <v>=54.28*100000000</v>
      </c>
      <c r="F2029" s="1">
        <f>54.28*100000000</f>
        <v>5428000000</v>
      </c>
      <c r="G2029" s="8">
        <f t="shared" si="977"/>
        <v>0.28717097462651175</v>
      </c>
      <c r="H2029" s="6" t="s">
        <v>13115</v>
      </c>
      <c r="I2029" s="6" t="str">
        <f t="shared" si="961"/>
        <v>=42.17*100000000</v>
      </c>
      <c r="J2029" s="1">
        <f>42.17*100000000</f>
        <v>4217000000</v>
      </c>
      <c r="K2029" s="10">
        <f t="shared" si="978"/>
        <v>0.48852806212495586</v>
      </c>
      <c r="L2029" s="6" t="s">
        <v>17764</v>
      </c>
      <c r="M2029" s="6" t="str">
        <f t="shared" si="962"/>
        <v>=28.33*100000000</v>
      </c>
      <c r="N2029" s="1">
        <f>28.33*100000000</f>
        <v>2833000000</v>
      </c>
      <c r="O2029" s="8">
        <f t="shared" si="979"/>
        <v>1.3126530612244898</v>
      </c>
      <c r="P2029" s="6" t="s">
        <v>9748</v>
      </c>
      <c r="Q2029" s="6" t="str">
        <f t="shared" si="963"/>
        <v>=12.25*100000000</v>
      </c>
      <c r="R2029" s="11">
        <f>12.25*100000000</f>
        <v>1225000000</v>
      </c>
      <c r="S2029" s="8">
        <f t="shared" si="980"/>
        <v>-0.50584913271480436</v>
      </c>
      <c r="T2029" s="6" t="s">
        <v>11897</v>
      </c>
      <c r="U2029" s="6" t="str">
        <f t="shared" si="964"/>
        <v>=24.79*100000000</v>
      </c>
      <c r="V2029" s="1">
        <f>24.79*100000000</f>
        <v>2479000000</v>
      </c>
      <c r="W2029" s="8">
        <f t="shared" si="981"/>
        <v>0.45140515222482458</v>
      </c>
      <c r="X2029" s="6" t="s">
        <v>8596</v>
      </c>
      <c r="Y2029" s="6" t="str">
        <f t="shared" si="965"/>
        <v>=17.08*100000000</v>
      </c>
      <c r="Z2029" s="1">
        <f>17.08*100000000</f>
        <v>1707999999.9999998</v>
      </c>
      <c r="AA2029" s="8">
        <f t="shared" si="982"/>
        <v>0.7045908183632732</v>
      </c>
      <c r="AB2029" s="6" t="s">
        <v>5088</v>
      </c>
      <c r="AC2029" s="6" t="str">
        <f t="shared" si="966"/>
        <v>=10.02*100000000</v>
      </c>
      <c r="AD2029" s="1">
        <f>10.02*100000000</f>
        <v>1002000000</v>
      </c>
      <c r="AE2029" s="8">
        <f t="shared" si="983"/>
        <v>1.3834443387250237</v>
      </c>
      <c r="AF2029" s="6" t="s">
        <v>2816</v>
      </c>
      <c r="AG2029" s="6" t="str">
        <f t="shared" si="967"/>
        <v>=4.204*100000000</v>
      </c>
      <c r="AH2029" s="1">
        <f>4.204*100000000</f>
        <v>420400000</v>
      </c>
      <c r="AI2029" s="8">
        <f t="shared" si="984"/>
        <v>-0.76194790486976216</v>
      </c>
      <c r="AJ2029" s="6" t="s">
        <v>15135</v>
      </c>
      <c r="AK2029" s="6" t="str">
        <f t="shared" si="968"/>
        <v>=17.66*100000000</v>
      </c>
      <c r="AL2029" s="1">
        <f>17.66*100000000</f>
        <v>1766000000</v>
      </c>
      <c r="AM2029" s="8">
        <f t="shared" si="985"/>
        <v>0.49915110356536502</v>
      </c>
      <c r="AN2029" s="6" t="s">
        <v>2035</v>
      </c>
      <c r="AO2029" s="6" t="str">
        <f t="shared" si="969"/>
        <v>=11.78*100000000</v>
      </c>
      <c r="AP2029" s="1">
        <f>11.78*100000000</f>
        <v>1178000000</v>
      </c>
      <c r="AQ2029" s="8">
        <f t="shared" si="986"/>
        <v>0.52294764059469945</v>
      </c>
      <c r="AR2029" s="6" t="s">
        <v>12307</v>
      </c>
      <c r="AS2029" s="6" t="str">
        <f t="shared" si="970"/>
        <v>=7.735*100000000</v>
      </c>
      <c r="AT2029" s="1">
        <f>7.735*100000000</f>
        <v>773500000</v>
      </c>
      <c r="AU2029" s="8">
        <f t="shared" si="987"/>
        <v>2.0262128325508608</v>
      </c>
      <c r="AV2029" s="6" t="s">
        <v>4169</v>
      </c>
      <c r="AW2029" s="6" t="str">
        <f t="shared" si="971"/>
        <v>=2.556*100000000</v>
      </c>
      <c r="AX2029" s="1">
        <f>2.556*100000000</f>
        <v>255600000</v>
      </c>
      <c r="AY2029" s="10">
        <f t="shared" si="988"/>
        <v>-0.95036893203883499</v>
      </c>
      <c r="AZ2029" s="6" t="s">
        <v>17765</v>
      </c>
      <c r="BA2029" s="6" t="str">
        <f t="shared" si="972"/>
        <v>=51.50*100000000</v>
      </c>
      <c r="BB2029" s="1">
        <f>51.5*100000000</f>
        <v>5150000000</v>
      </c>
      <c r="BC2029" s="8">
        <f t="shared" si="989"/>
        <v>0.10089781958101753</v>
      </c>
      <c r="BD2029" s="6" t="s">
        <v>3339</v>
      </c>
      <c r="BE2029" s="6" t="str">
        <f t="shared" si="973"/>
        <v>=46.78*100000000</v>
      </c>
      <c r="BF2029" s="1">
        <f>46.78*100000000</f>
        <v>4678000000</v>
      </c>
      <c r="BG2029" s="8">
        <f t="shared" si="990"/>
        <v>0.29908358789225215</v>
      </c>
      <c r="BH2029" s="6" t="s">
        <v>17766</v>
      </c>
      <c r="BI2029" s="6" t="str">
        <f t="shared" si="974"/>
        <v>=36.01*100000000</v>
      </c>
      <c r="BJ2029" s="1">
        <f>36.01*100000000</f>
        <v>3601000000</v>
      </c>
      <c r="BK2029" s="6" t="s">
        <v>6876</v>
      </c>
      <c r="BL2029" s="1" t="str">
        <f t="shared" si="976"/>
        <v>=18.53*100000000</v>
      </c>
      <c r="BM2029" s="16">
        <f t="shared" si="991"/>
        <v>0.94333513221802479</v>
      </c>
      <c r="BN2029" s="1">
        <f>18.53*100000000</f>
        <v>1853000000</v>
      </c>
    </row>
    <row r="2030" spans="1:66">
      <c r="A2030" s="17">
        <v>509</v>
      </c>
      <c r="B2030">
        <v>603996</v>
      </c>
      <c r="C2030" t="s">
        <v>31</v>
      </c>
      <c r="D2030" s="7" t="s">
        <v>17767</v>
      </c>
      <c r="E2030" s="7" t="str">
        <f t="shared" si="975"/>
        <v>=80.42*10000</v>
      </c>
      <c r="F2030" s="1">
        <f>80.42*10000</f>
        <v>804200</v>
      </c>
      <c r="G2030" s="8">
        <f t="shared" si="977"/>
        <v>2.8258801141769743</v>
      </c>
      <c r="H2030" s="7" t="s">
        <v>17768</v>
      </c>
      <c r="I2030" s="6" t="str">
        <f t="shared" si="961"/>
        <v>=21.02*10000</v>
      </c>
      <c r="J2030" s="1">
        <f>21.02*10000</f>
        <v>210200</v>
      </c>
      <c r="K2030" s="10">
        <f t="shared" si="978"/>
        <v>0.75166666666666671</v>
      </c>
      <c r="L2030" s="7" t="s">
        <v>17769</v>
      </c>
      <c r="M2030" s="6" t="str">
        <f t="shared" si="962"/>
        <v>=12.00*10000</v>
      </c>
      <c r="N2030" s="1">
        <f>12*10000</f>
        <v>120000</v>
      </c>
      <c r="O2030" s="8">
        <f t="shared" si="979"/>
        <v>-0.47368421052631576</v>
      </c>
      <c r="P2030" s="7" t="s">
        <v>17770</v>
      </c>
      <c r="Q2030" s="6" t="str">
        <f t="shared" si="963"/>
        <v>=22.80*10000</v>
      </c>
      <c r="R2030" s="11">
        <f>22.8*10000</f>
        <v>228000</v>
      </c>
      <c r="S2030" s="8">
        <f t="shared" si="980"/>
        <v>-0.99826879271070612</v>
      </c>
      <c r="T2030" s="6" t="s">
        <v>4310</v>
      </c>
      <c r="U2030" s="6" t="str">
        <f t="shared" si="964"/>
        <v>=1.317*100000000</v>
      </c>
      <c r="V2030" s="1">
        <f>1.317*100000000</f>
        <v>131700000</v>
      </c>
      <c r="W2030" s="8">
        <f t="shared" si="981"/>
        <v>7.2475570032573294E-2</v>
      </c>
      <c r="X2030" s="6" t="s">
        <v>15486</v>
      </c>
      <c r="Y2030" s="6" t="str">
        <f t="shared" si="965"/>
        <v>=1.228*100000000</v>
      </c>
      <c r="Z2030" s="1">
        <f>1.228*100000000</f>
        <v>122800000</v>
      </c>
      <c r="AA2030" s="8">
        <f t="shared" si="982"/>
        <v>0.15089034676663543</v>
      </c>
      <c r="AB2030" s="6" t="s">
        <v>1937</v>
      </c>
      <c r="AC2030" s="6" t="str">
        <f t="shared" si="966"/>
        <v>=1.067*100000000</v>
      </c>
      <c r="AD2030" s="1">
        <f>1.067*100000000</f>
        <v>106700000</v>
      </c>
      <c r="AE2030" s="8">
        <f t="shared" si="983"/>
        <v>1.8986688399891334</v>
      </c>
      <c r="AF2030" s="7" t="s">
        <v>17771</v>
      </c>
      <c r="AG2030" s="6" t="str">
        <f t="shared" si="967"/>
        <v>=3681*10000</v>
      </c>
      <c r="AH2030" s="1">
        <f>3681*10000</f>
        <v>36810000</v>
      </c>
      <c r="AI2030" s="8">
        <f t="shared" si="984"/>
        <v>-0.92639472105578891</v>
      </c>
      <c r="AJ2030" s="6" t="s">
        <v>16283</v>
      </c>
      <c r="AK2030" s="6" t="str">
        <f t="shared" si="968"/>
        <v>=5.001*100000000</v>
      </c>
      <c r="AL2030" s="1">
        <f>5.001*100000000</f>
        <v>500100000.00000006</v>
      </c>
      <c r="AM2030" s="8">
        <f t="shared" si="985"/>
        <v>6.6425120772948057E-3</v>
      </c>
      <c r="AN2030" s="6" t="s">
        <v>17772</v>
      </c>
      <c r="AO2030" s="6" t="str">
        <f t="shared" si="969"/>
        <v>=4.968*100000000</v>
      </c>
      <c r="AP2030" s="1">
        <f>4.968*100000000</f>
        <v>496800000</v>
      </c>
      <c r="AQ2030" s="8">
        <f t="shared" si="986"/>
        <v>2.5386996904024767E-2</v>
      </c>
      <c r="AR2030" s="6" t="s">
        <v>17773</v>
      </c>
      <c r="AS2030" s="6" t="str">
        <f t="shared" si="970"/>
        <v>=4.845*100000000</v>
      </c>
      <c r="AT2030" s="1">
        <f>4.845*100000000</f>
        <v>484500000</v>
      </c>
      <c r="AU2030" s="8">
        <f t="shared" si="987"/>
        <v>0.33471074380165289</v>
      </c>
      <c r="AV2030" s="6" t="s">
        <v>6217</v>
      </c>
      <c r="AW2030" s="6" t="str">
        <f t="shared" si="971"/>
        <v>=3.630*100000000</v>
      </c>
      <c r="AX2030" s="1">
        <f>3.63*100000000</f>
        <v>363000000</v>
      </c>
      <c r="AY2030" s="10">
        <f t="shared" si="988"/>
        <v>-0.94607042044272771</v>
      </c>
      <c r="AZ2030" s="6" t="s">
        <v>17774</v>
      </c>
      <c r="BA2030" s="6" t="str">
        <f t="shared" si="972"/>
        <v>=67.31*100000000</v>
      </c>
      <c r="BB2030" s="1">
        <f>67.31*100000000</f>
        <v>6731000000</v>
      </c>
      <c r="BC2030" s="8">
        <f t="shared" si="989"/>
        <v>0.18087719298245614</v>
      </c>
      <c r="BD2030" s="6" t="s">
        <v>17775</v>
      </c>
      <c r="BE2030" s="6" t="str">
        <f t="shared" si="973"/>
        <v>=57.00*100000000</v>
      </c>
      <c r="BF2030" s="1">
        <f>57*100000000</f>
        <v>5700000000</v>
      </c>
      <c r="BG2030" s="8">
        <f t="shared" si="990"/>
        <v>0.50554675118858949</v>
      </c>
      <c r="BH2030" s="6" t="s">
        <v>6702</v>
      </c>
      <c r="BI2030" s="6" t="str">
        <f t="shared" si="974"/>
        <v>=37.86*100000000</v>
      </c>
      <c r="BJ2030" s="1">
        <f>37.86*100000000</f>
        <v>3786000000</v>
      </c>
      <c r="BK2030" s="6" t="s">
        <v>12128</v>
      </c>
      <c r="BL2030" s="1" t="str">
        <f t="shared" si="976"/>
        <v>=17.34*100000000</v>
      </c>
      <c r="BM2030" s="16">
        <f t="shared" si="991"/>
        <v>1.1833910034602075</v>
      </c>
      <c r="BN2030" s="1">
        <f>17.34*100000000</f>
        <v>1734000000</v>
      </c>
    </row>
    <row r="2031" spans="1:66">
      <c r="A2031" s="18"/>
      <c r="B2031">
        <v>603996</v>
      </c>
      <c r="C2031" t="s">
        <v>48</v>
      </c>
      <c r="D2031" s="6">
        <f>-4.068*100000000</f>
        <v>-406799999.99999994</v>
      </c>
      <c r="E2031" s="7" t="str">
        <f t="shared" si="975"/>
        <v>=-406800000</v>
      </c>
      <c r="F2031" s="1">
        <f>-406800000</f>
        <v>-406800000</v>
      </c>
      <c r="G2031" s="8">
        <f t="shared" si="977"/>
        <v>0.26374650512581549</v>
      </c>
      <c r="H2031" s="6">
        <f>-3.219*100000000</f>
        <v>-321900000</v>
      </c>
      <c r="I2031" s="6" t="str">
        <f t="shared" si="961"/>
        <v>=-321900000</v>
      </c>
      <c r="J2031" s="1">
        <f>-321900000</f>
        <v>-321900000</v>
      </c>
      <c r="K2031" s="10">
        <f t="shared" si="978"/>
        <v>0.73718294657312466</v>
      </c>
      <c r="L2031" s="6">
        <f>-1.853*100000000</f>
        <v>-185300000</v>
      </c>
      <c r="M2031" s="6" t="str">
        <f t="shared" si="962"/>
        <v>=-185300000</v>
      </c>
      <c r="N2031" s="1">
        <f>-185300000</f>
        <v>-185300000</v>
      </c>
      <c r="O2031" s="8">
        <f t="shared" si="979"/>
        <v>1.5604532264750588</v>
      </c>
      <c r="P2031" s="7">
        <f>-7237*10000</f>
        <v>-72370000</v>
      </c>
      <c r="Q2031" s="6" t="str">
        <f t="shared" si="963"/>
        <v>=-72370000</v>
      </c>
      <c r="R2031" s="11">
        <f>-72370000</f>
        <v>-72370000</v>
      </c>
      <c r="S2031" s="8">
        <f t="shared" si="980"/>
        <v>-0.94332811276429129</v>
      </c>
      <c r="T2031" s="6">
        <f>-12.77*100000000</f>
        <v>-1277000000</v>
      </c>
      <c r="U2031" s="6" t="str">
        <f t="shared" si="964"/>
        <v>=-1277000000</v>
      </c>
      <c r="V2031" s="1">
        <f>-1277000000</f>
        <v>-1277000000</v>
      </c>
      <c r="W2031" s="8">
        <f t="shared" si="981"/>
        <v>3.1759319816873774</v>
      </c>
      <c r="X2031" s="6">
        <f>-3.058*100000000</f>
        <v>-305800000</v>
      </c>
      <c r="Y2031" s="6" t="str">
        <f t="shared" si="965"/>
        <v>=-305800000</v>
      </c>
      <c r="Z2031" s="1">
        <f>-305800000</f>
        <v>-305800000</v>
      </c>
      <c r="AA2031" s="8">
        <f t="shared" si="982"/>
        <v>0.74942791762013727</v>
      </c>
      <c r="AB2031" s="6">
        <f>-1.748*100000000</f>
        <v>-174800000</v>
      </c>
      <c r="AC2031" s="6" t="str">
        <f t="shared" si="966"/>
        <v>=-174800000</v>
      </c>
      <c r="AD2031" s="1">
        <f>-174800000</f>
        <v>-174800000</v>
      </c>
      <c r="AE2031" s="8">
        <f t="shared" si="983"/>
        <v>3.0009155413138018</v>
      </c>
      <c r="AF2031" s="7">
        <f>-4369*10000</f>
        <v>-43690000</v>
      </c>
      <c r="AG2031" s="6" t="str">
        <f t="shared" si="967"/>
        <v>=-43690000</v>
      </c>
      <c r="AH2031" s="1">
        <f>-43690000</f>
        <v>-43690000</v>
      </c>
      <c r="AI2031" s="8">
        <f t="shared" si="984"/>
        <v>-0.97842469135802468</v>
      </c>
      <c r="AJ2031" s="6">
        <f>-20.25*100000000</f>
        <v>-2025000000</v>
      </c>
      <c r="AK2031" s="6" t="str">
        <f t="shared" si="968"/>
        <v>=-2025000000</v>
      </c>
      <c r="AL2031" s="1">
        <f>-2025000000</f>
        <v>-2025000000</v>
      </c>
      <c r="AM2031" s="8">
        <f t="shared" si="985"/>
        <v>6.922535211267606</v>
      </c>
      <c r="AN2031" s="6">
        <f>-2.556*100000000</f>
        <v>-255600000</v>
      </c>
      <c r="AO2031" s="6" t="str">
        <f t="shared" si="969"/>
        <v>=-255600000</v>
      </c>
      <c r="AP2031" s="1">
        <f>-255600000</f>
        <v>-255600000</v>
      </c>
      <c r="AQ2031" s="8">
        <f t="shared" si="986"/>
        <v>1.0173638516179953</v>
      </c>
      <c r="AR2031" s="6">
        <f>-1.267*100000000</f>
        <v>-126699999.99999999</v>
      </c>
      <c r="AS2031" s="6" t="str">
        <f t="shared" si="970"/>
        <v>=-126700000</v>
      </c>
      <c r="AT2031" s="1">
        <f>-126700000</f>
        <v>-126700000</v>
      </c>
      <c r="AU2031" s="8">
        <f t="shared" si="987"/>
        <v>2.1053921568627452</v>
      </c>
      <c r="AV2031" s="7">
        <f>-4080*10000</f>
        <v>-40800000</v>
      </c>
      <c r="AW2031" s="6" t="str">
        <f t="shared" si="971"/>
        <v>=-40800000</v>
      </c>
      <c r="AX2031" s="1">
        <f>-40800000</f>
        <v>-40800000</v>
      </c>
      <c r="AY2031" s="10">
        <f t="shared" si="988"/>
        <v>-0.56288836511677742</v>
      </c>
      <c r="AZ2031" s="7">
        <f>-9334*10000</f>
        <v>-93340000</v>
      </c>
      <c r="BA2031" s="6" t="str">
        <f t="shared" si="972"/>
        <v>=-93340000</v>
      </c>
      <c r="BB2031" s="1">
        <f>-93340000</f>
        <v>-93340000</v>
      </c>
      <c r="BC2031" s="8">
        <f t="shared" si="989"/>
        <v>-1.9142017629774732</v>
      </c>
      <c r="BD2031" s="6" t="s">
        <v>4430</v>
      </c>
      <c r="BE2031" s="6" t="str">
        <f t="shared" si="973"/>
        <v>=1.021*100000000</v>
      </c>
      <c r="BF2031" s="1">
        <f>1.021*100000000</f>
        <v>102099999.99999999</v>
      </c>
      <c r="BG2031" s="8">
        <f t="shared" si="990"/>
        <v>1.9381294964028772</v>
      </c>
      <c r="BH2031" s="7" t="s">
        <v>17776</v>
      </c>
      <c r="BI2031" s="6" t="str">
        <f t="shared" si="974"/>
        <v>=3475*10000</v>
      </c>
      <c r="BJ2031" s="1">
        <f>3475*10000</f>
        <v>34750000</v>
      </c>
      <c r="BK2031" s="7" t="s">
        <v>17777</v>
      </c>
      <c r="BL2031" s="1" t="str">
        <f t="shared" si="976"/>
        <v>=1814*10000</v>
      </c>
      <c r="BM2031" s="16">
        <f t="shared" si="991"/>
        <v>0.91565600882028664</v>
      </c>
      <c r="BN2031" s="1">
        <f>1814*10000</f>
        <v>18140000</v>
      </c>
    </row>
    <row r="2032" spans="1:66">
      <c r="A2032" s="18"/>
      <c r="B2032">
        <v>603996</v>
      </c>
      <c r="C2032" t="s">
        <v>58</v>
      </c>
      <c r="D2032" s="6">
        <f>-4.291*100000000</f>
        <v>-429100000.00000006</v>
      </c>
      <c r="E2032" s="7" t="str">
        <f t="shared" si="975"/>
        <v>=-429100000</v>
      </c>
      <c r="F2032" s="1">
        <f>-429100000</f>
        <v>-429100000</v>
      </c>
      <c r="G2032" s="8">
        <f t="shared" si="977"/>
        <v>0.37487984620314002</v>
      </c>
      <c r="H2032" s="6">
        <f>-3.121*100000000</f>
        <v>-312100000</v>
      </c>
      <c r="I2032" s="6" t="str">
        <f t="shared" si="961"/>
        <v>=-312100000</v>
      </c>
      <c r="J2032" s="1">
        <f>-312100000</f>
        <v>-312100000</v>
      </c>
      <c r="K2032" s="10">
        <f t="shared" si="978"/>
        <v>0.68429573664328114</v>
      </c>
      <c r="L2032" s="6">
        <f>-1.853*100000000</f>
        <v>-185300000</v>
      </c>
      <c r="M2032" s="6" t="str">
        <f t="shared" si="962"/>
        <v>=-185300000</v>
      </c>
      <c r="N2032" s="1">
        <f>-185300000</f>
        <v>-185300000</v>
      </c>
      <c r="O2032" s="8">
        <f t="shared" si="979"/>
        <v>1.5608070757324488</v>
      </c>
      <c r="P2032" s="7">
        <f>-7236*10000</f>
        <v>-72360000</v>
      </c>
      <c r="Q2032" s="6" t="str">
        <f t="shared" si="963"/>
        <v>=-72360000</v>
      </c>
      <c r="R2032" s="11">
        <f>-72360000</f>
        <v>-72360000</v>
      </c>
      <c r="S2032" s="8">
        <f t="shared" si="980"/>
        <v>-0.94459418070444101</v>
      </c>
      <c r="T2032" s="6">
        <f>-13.06*100000000</f>
        <v>-1306000000</v>
      </c>
      <c r="U2032" s="6" t="str">
        <f t="shared" si="964"/>
        <v>=-1306000000</v>
      </c>
      <c r="V2032" s="1">
        <f>-1306000000</f>
        <v>-1306000000</v>
      </c>
      <c r="W2032" s="8">
        <f t="shared" si="981"/>
        <v>2.3452868852459017</v>
      </c>
      <c r="X2032" s="6">
        <f>-3.904*100000000</f>
        <v>-390400000</v>
      </c>
      <c r="Y2032" s="6" t="str">
        <f t="shared" si="965"/>
        <v>=-390400000</v>
      </c>
      <c r="Z2032" s="1">
        <f>-390400000</f>
        <v>-390400000</v>
      </c>
      <c r="AA2032" s="8">
        <f t="shared" si="982"/>
        <v>0.50211619853789924</v>
      </c>
      <c r="AB2032" s="6">
        <f>-2.599*100000000</f>
        <v>-259900000.00000003</v>
      </c>
      <c r="AC2032" s="6" t="str">
        <f t="shared" si="966"/>
        <v>=-259900000</v>
      </c>
      <c r="AD2032" s="1">
        <f>-259900000</f>
        <v>-259900000</v>
      </c>
      <c r="AE2032" s="8">
        <f t="shared" si="983"/>
        <v>4.9432883603933231</v>
      </c>
      <c r="AF2032" s="7">
        <f>-4373*10000</f>
        <v>-43730000</v>
      </c>
      <c r="AG2032" s="6" t="str">
        <f t="shared" si="967"/>
        <v>=-43730000</v>
      </c>
      <c r="AH2032" s="1">
        <f>-43730000</f>
        <v>-43730000</v>
      </c>
      <c r="AI2032" s="8">
        <f t="shared" si="984"/>
        <v>-0.97840493827160491</v>
      </c>
      <c r="AJ2032" s="6">
        <f>-20.25*100000000</f>
        <v>-2025000000</v>
      </c>
      <c r="AK2032" s="6" t="str">
        <f t="shared" si="968"/>
        <v>=-2025000000</v>
      </c>
      <c r="AL2032" s="1">
        <f>-2025000000</f>
        <v>-2025000000</v>
      </c>
      <c r="AM2032" s="8">
        <f t="shared" si="985"/>
        <v>7.5732430143945813</v>
      </c>
      <c r="AN2032" s="6">
        <f>-2.362*100000000</f>
        <v>-236200000</v>
      </c>
      <c r="AO2032" s="6" t="str">
        <f t="shared" si="969"/>
        <v>=-236200000</v>
      </c>
      <c r="AP2032" s="1">
        <f>-236200000</f>
        <v>-236200000</v>
      </c>
      <c r="AQ2032" s="8">
        <f t="shared" si="986"/>
        <v>0.86424625098658248</v>
      </c>
      <c r="AR2032" s="6">
        <f>-1.267*100000000</f>
        <v>-126699999.99999999</v>
      </c>
      <c r="AS2032" s="6" t="str">
        <f t="shared" si="970"/>
        <v>=-126700000</v>
      </c>
      <c r="AT2032" s="1">
        <f>-126700000</f>
        <v>-126700000</v>
      </c>
      <c r="AU2032" s="8">
        <f t="shared" si="987"/>
        <v>2.1268509378084897</v>
      </c>
      <c r="AV2032" s="7">
        <f>-4052*10000</f>
        <v>-40520000</v>
      </c>
      <c r="AW2032" s="6" t="str">
        <f t="shared" si="971"/>
        <v>=-40520000</v>
      </c>
      <c r="AX2032" s="1">
        <f>-40520000</f>
        <v>-40520000</v>
      </c>
      <c r="AY2032" s="10">
        <f t="shared" si="988"/>
        <v>-0.52982130424692508</v>
      </c>
      <c r="AZ2032" s="7">
        <f>-8618*10000</f>
        <v>-86180000</v>
      </c>
      <c r="BA2032" s="6" t="str">
        <f t="shared" si="972"/>
        <v>=-86180000</v>
      </c>
      <c r="BB2032" s="1">
        <f>-86180000</f>
        <v>-86180000</v>
      </c>
      <c r="BC2032" s="8">
        <f t="shared" si="989"/>
        <v>-1.8246889952153109</v>
      </c>
      <c r="BD2032" s="6" t="s">
        <v>9299</v>
      </c>
      <c r="BE2032" s="6" t="str">
        <f t="shared" si="973"/>
        <v>=1.045*100000000</v>
      </c>
      <c r="BF2032" s="1">
        <f>1.045*100000000</f>
        <v>104500000</v>
      </c>
      <c r="BG2032" s="8">
        <f t="shared" si="990"/>
        <v>1.9116745611590973</v>
      </c>
      <c r="BH2032" s="7" t="s">
        <v>10803</v>
      </c>
      <c r="BI2032" s="6" t="str">
        <f t="shared" si="974"/>
        <v>=3589*10000</v>
      </c>
      <c r="BJ2032" s="1">
        <f>3589*10000</f>
        <v>35890000</v>
      </c>
      <c r="BK2032" s="7" t="s">
        <v>6827</v>
      </c>
      <c r="BL2032" s="1" t="str">
        <f t="shared" si="976"/>
        <v>=1824*10000</v>
      </c>
      <c r="BM2032" s="16">
        <f t="shared" si="991"/>
        <v>0.96765350877192979</v>
      </c>
      <c r="BN2032" s="1">
        <f>1824*10000</f>
        <v>18240000</v>
      </c>
    </row>
    <row r="2033" spans="1:66">
      <c r="A2033" s="19"/>
      <c r="B2033">
        <v>603996</v>
      </c>
      <c r="C2033" t="s">
        <v>68</v>
      </c>
      <c r="D2033" s="6">
        <f>-4.291*100000000</f>
        <v>-429100000.00000006</v>
      </c>
      <c r="E2033" s="7" t="str">
        <f t="shared" si="975"/>
        <v>=-429100000</v>
      </c>
      <c r="F2033" s="1">
        <f>-429100000</f>
        <v>-429100000</v>
      </c>
      <c r="G2033" s="8">
        <f t="shared" si="977"/>
        <v>0.37487984620314002</v>
      </c>
      <c r="H2033" s="6">
        <f>-3.121*100000000</f>
        <v>-312100000</v>
      </c>
      <c r="I2033" s="6" t="str">
        <f t="shared" si="961"/>
        <v>=-312100000</v>
      </c>
      <c r="J2033" s="1">
        <f>-312100000</f>
        <v>-312100000</v>
      </c>
      <c r="K2033" s="10">
        <f t="shared" si="978"/>
        <v>0.68429573664328114</v>
      </c>
      <c r="L2033" s="6">
        <f>-1.853*100000000</f>
        <v>-185300000</v>
      </c>
      <c r="M2033" s="6" t="str">
        <f t="shared" si="962"/>
        <v>=-185300000</v>
      </c>
      <c r="N2033" s="1">
        <f>-185300000</f>
        <v>-185300000</v>
      </c>
      <c r="O2033" s="8">
        <f t="shared" si="979"/>
        <v>1.5608070757324488</v>
      </c>
      <c r="P2033" s="7">
        <f>-7236*10000</f>
        <v>-72360000</v>
      </c>
      <c r="Q2033" s="6" t="str">
        <f t="shared" si="963"/>
        <v>=-72360000</v>
      </c>
      <c r="R2033" s="11">
        <f>-72360000</f>
        <v>-72360000</v>
      </c>
      <c r="S2033" s="8">
        <f t="shared" si="980"/>
        <v>-0.94459418070444101</v>
      </c>
      <c r="T2033" s="6">
        <f>-13.06*100000000</f>
        <v>-1306000000</v>
      </c>
      <c r="U2033" s="6" t="str">
        <f t="shared" si="964"/>
        <v>=-1306000000</v>
      </c>
      <c r="V2033" s="1">
        <f>-1306000000</f>
        <v>-1306000000</v>
      </c>
      <c r="W2033" s="8">
        <f t="shared" si="981"/>
        <v>2.3452868852459017</v>
      </c>
      <c r="X2033" s="6">
        <f>-3.904*100000000</f>
        <v>-390400000</v>
      </c>
      <c r="Y2033" s="6" t="str">
        <f t="shared" si="965"/>
        <v>=-390400000</v>
      </c>
      <c r="Z2033" s="1">
        <f>-390400000</f>
        <v>-390400000</v>
      </c>
      <c r="AA2033" s="8">
        <f t="shared" si="982"/>
        <v>0.50211619853789924</v>
      </c>
      <c r="AB2033" s="6">
        <f>-2.599*100000000</f>
        <v>-259900000.00000003</v>
      </c>
      <c r="AC2033" s="6" t="str">
        <f t="shared" si="966"/>
        <v>=-259900000</v>
      </c>
      <c r="AD2033" s="1">
        <f>-259900000</f>
        <v>-259900000</v>
      </c>
      <c r="AE2033" s="8">
        <f t="shared" si="983"/>
        <v>4.9432883603933231</v>
      </c>
      <c r="AF2033" s="7">
        <f>-4373*10000</f>
        <v>-43730000</v>
      </c>
      <c r="AG2033" s="6" t="str">
        <f t="shared" si="967"/>
        <v>=-43730000</v>
      </c>
      <c r="AH2033" s="1">
        <f>-43730000</f>
        <v>-43730000</v>
      </c>
      <c r="AI2033" s="8">
        <f t="shared" si="984"/>
        <v>-0.9787408847836655</v>
      </c>
      <c r="AJ2033" s="6">
        <f>-20.57*100000000</f>
        <v>-2057000000</v>
      </c>
      <c r="AK2033" s="6" t="str">
        <f t="shared" si="968"/>
        <v>=-2057000000</v>
      </c>
      <c r="AL2033" s="1">
        <f>-2057000000</f>
        <v>-2057000000</v>
      </c>
      <c r="AM2033" s="8">
        <f t="shared" si="985"/>
        <v>9.2287419194430633</v>
      </c>
      <c r="AN2033" s="6">
        <f>-2.011*100000000</f>
        <v>-201100000</v>
      </c>
      <c r="AO2033" s="6" t="str">
        <f t="shared" si="969"/>
        <v>=-201100000</v>
      </c>
      <c r="AP2033" s="1">
        <f>-201100000</f>
        <v>-201100000</v>
      </c>
      <c r="AQ2033" s="8">
        <f t="shared" si="986"/>
        <v>0.84834558823529416</v>
      </c>
      <c r="AR2033" s="6">
        <f>-1.088*100000000</f>
        <v>-108800000.00000001</v>
      </c>
      <c r="AS2033" s="6" t="str">
        <f t="shared" si="970"/>
        <v>=-108800000</v>
      </c>
      <c r="AT2033" s="1">
        <f>-108800000</f>
        <v>-108800000</v>
      </c>
      <c r="AU2033" s="8">
        <f t="shared" si="987"/>
        <v>1.1118012422360248</v>
      </c>
      <c r="AV2033" s="7">
        <f>-5152*10000</f>
        <v>-51520000</v>
      </c>
      <c r="AW2033" s="6" t="str">
        <f t="shared" si="971"/>
        <v>=-51520000</v>
      </c>
      <c r="AX2033" s="1">
        <f>-51520000</f>
        <v>-51520000</v>
      </c>
      <c r="AY2033" s="10">
        <f t="shared" si="988"/>
        <v>-0.34344335414808208</v>
      </c>
      <c r="AZ2033" s="7">
        <f>-7847*10000</f>
        <v>-78470000</v>
      </c>
      <c r="BA2033" s="6" t="str">
        <f t="shared" si="972"/>
        <v>=-78470000</v>
      </c>
      <c r="BB2033" s="1">
        <f>-78470000</f>
        <v>-78470000</v>
      </c>
      <c r="BC2033" s="8">
        <f t="shared" si="989"/>
        <v>-1.8787234042553191</v>
      </c>
      <c r="BD2033" s="7" t="s">
        <v>17778</v>
      </c>
      <c r="BE2033" s="6" t="str">
        <f t="shared" si="973"/>
        <v>=8930*10000</v>
      </c>
      <c r="BF2033" s="1">
        <f>8930*10000</f>
        <v>89300000</v>
      </c>
      <c r="BG2033" s="8">
        <f t="shared" si="990"/>
        <v>2.4639255236617532</v>
      </c>
      <c r="BH2033" s="7" t="s">
        <v>6538</v>
      </c>
      <c r="BI2033" s="6" t="str">
        <f t="shared" si="974"/>
        <v>=2578*10000</v>
      </c>
      <c r="BJ2033" s="1">
        <f>2578*10000</f>
        <v>25780000</v>
      </c>
      <c r="BK2033" s="7" t="s">
        <v>10351</v>
      </c>
      <c r="BL2033" s="1" t="str">
        <f t="shared" si="976"/>
        <v>=1349*10000</v>
      </c>
      <c r="BM2033" s="16">
        <f t="shared" si="991"/>
        <v>0.91104521868050403</v>
      </c>
      <c r="BN2033" s="1">
        <f>1349*10000</f>
        <v>13490000</v>
      </c>
    </row>
    <row r="2034" spans="1:66">
      <c r="A2034" s="17">
        <v>510</v>
      </c>
      <c r="B2034">
        <v>603997</v>
      </c>
      <c r="C2034" t="s">
        <v>31</v>
      </c>
      <c r="D2034" s="6" t="s">
        <v>17779</v>
      </c>
      <c r="E2034" s="7" t="str">
        <f t="shared" si="975"/>
        <v>=168.3*100000000</v>
      </c>
      <c r="F2034" s="1">
        <f>168.3*100000000</f>
        <v>16830000000.000002</v>
      </c>
      <c r="G2034" s="8">
        <f t="shared" si="977"/>
        <v>0.34532374100719437</v>
      </c>
      <c r="H2034" s="6" t="s">
        <v>1491</v>
      </c>
      <c r="I2034" s="6" t="str">
        <f t="shared" si="961"/>
        <v>=125.1*100000000</v>
      </c>
      <c r="J2034" s="1">
        <f>125.1*100000000</f>
        <v>12510000000</v>
      </c>
      <c r="K2034" s="10">
        <f t="shared" si="978"/>
        <v>0.43397524071526822</v>
      </c>
      <c r="L2034" s="6" t="s">
        <v>17780</v>
      </c>
      <c r="M2034" s="6" t="str">
        <f t="shared" si="962"/>
        <v>=87.24*100000000</v>
      </c>
      <c r="N2034" s="1">
        <f>87.24*100000000</f>
        <v>8724000000</v>
      </c>
      <c r="O2034" s="8">
        <f t="shared" si="979"/>
        <v>0.92455327597617476</v>
      </c>
      <c r="P2034" s="6" t="s">
        <v>17781</v>
      </c>
      <c r="Q2034" s="6" t="str">
        <f t="shared" si="963"/>
        <v>=45.33*100000000</v>
      </c>
      <c r="R2034" s="11">
        <f>45.33*100000000</f>
        <v>4533000000</v>
      </c>
      <c r="S2034" s="8">
        <f t="shared" si="980"/>
        <v>-0.7118245390972664</v>
      </c>
      <c r="T2034" s="6" t="s">
        <v>17782</v>
      </c>
      <c r="U2034" s="6" t="str">
        <f t="shared" si="964"/>
        <v>=157.3*100000000</v>
      </c>
      <c r="V2034" s="1">
        <f>157.3*100000000</f>
        <v>15730000000.000002</v>
      </c>
      <c r="W2034" s="8">
        <f t="shared" si="981"/>
        <v>0.43130118289353975</v>
      </c>
      <c r="X2034" s="6" t="s">
        <v>17783</v>
      </c>
      <c r="Y2034" s="6" t="str">
        <f t="shared" si="965"/>
        <v>=109.9*100000000</v>
      </c>
      <c r="Z2034" s="1">
        <f>109.9*100000000</f>
        <v>10990000000</v>
      </c>
      <c r="AA2034" s="8">
        <f t="shared" si="982"/>
        <v>0.64742917103882502</v>
      </c>
      <c r="AB2034" s="6" t="s">
        <v>15887</v>
      </c>
      <c r="AC2034" s="6" t="str">
        <f t="shared" si="966"/>
        <v>=66.71*100000000</v>
      </c>
      <c r="AD2034" s="1">
        <f>66.71*100000000</f>
        <v>6670999999.999999</v>
      </c>
      <c r="AE2034" s="8">
        <f t="shared" si="983"/>
        <v>0.68502147006819858</v>
      </c>
      <c r="AF2034" s="6" t="s">
        <v>12132</v>
      </c>
      <c r="AG2034" s="6" t="str">
        <f t="shared" si="967"/>
        <v>=39.59*100000000</v>
      </c>
      <c r="AH2034" s="1">
        <f>39.59*100000000</f>
        <v>3959000000.0000005</v>
      </c>
      <c r="AI2034" s="8">
        <f t="shared" si="984"/>
        <v>-0.7800555555555555</v>
      </c>
      <c r="AJ2034" s="6" t="s">
        <v>7340</v>
      </c>
      <c r="AK2034" s="6" t="str">
        <f t="shared" si="968"/>
        <v>=180.0*100000000</v>
      </c>
      <c r="AL2034" s="1">
        <f>180*100000000</f>
        <v>18000000000</v>
      </c>
      <c r="AM2034" s="8">
        <f t="shared" si="985"/>
        <v>0.3323464100666173</v>
      </c>
      <c r="AN2034" s="6" t="s">
        <v>7337</v>
      </c>
      <c r="AO2034" s="6" t="str">
        <f t="shared" si="969"/>
        <v>=135.1*100000000</v>
      </c>
      <c r="AP2034" s="1">
        <f>135.1*100000000</f>
        <v>13510000000</v>
      </c>
      <c r="AQ2034" s="8">
        <f t="shared" si="986"/>
        <v>0.48477854709308715</v>
      </c>
      <c r="AR2034" s="6" t="s">
        <v>17784</v>
      </c>
      <c r="AS2034" s="6" t="str">
        <f t="shared" si="970"/>
        <v>=90.99*100000000</v>
      </c>
      <c r="AT2034" s="1">
        <f>90.99*100000000</f>
        <v>9099000000</v>
      </c>
      <c r="AU2034" s="8">
        <f t="shared" si="987"/>
        <v>0.96862829943747297</v>
      </c>
      <c r="AV2034" s="6" t="s">
        <v>17785</v>
      </c>
      <c r="AW2034" s="6" t="str">
        <f t="shared" si="971"/>
        <v>=46.22*100000000</v>
      </c>
      <c r="AX2034" s="1">
        <f>46.22*100000000</f>
        <v>4622000000</v>
      </c>
      <c r="AY2034" s="10">
        <f t="shared" si="988"/>
        <v>-0.36528426256522922</v>
      </c>
      <c r="AZ2034" s="6" t="s">
        <v>12279</v>
      </c>
      <c r="BA2034" s="6" t="str">
        <f t="shared" si="972"/>
        <v>=72.82*100000000</v>
      </c>
      <c r="BB2034" s="1">
        <f>72.82*100000000</f>
        <v>7281999999.999999</v>
      </c>
      <c r="BC2034" s="8">
        <f t="shared" si="989"/>
        <v>3.6589891234804854</v>
      </c>
      <c r="BD2034" s="6" t="s">
        <v>3144</v>
      </c>
      <c r="BE2034" s="6" t="str">
        <f t="shared" si="973"/>
        <v>=15.63*100000000</v>
      </c>
      <c r="BF2034" s="1">
        <f>15.63*100000000</f>
        <v>1563000000</v>
      </c>
      <c r="BG2034" s="8">
        <f t="shared" si="990"/>
        <v>0.47452830188679246</v>
      </c>
      <c r="BH2034" s="6" t="s">
        <v>927</v>
      </c>
      <c r="BI2034" s="6" t="str">
        <f t="shared" si="974"/>
        <v>=10.60*100000000</v>
      </c>
      <c r="BJ2034" s="1">
        <f>10.6*100000000</f>
        <v>1060000000</v>
      </c>
      <c r="BK2034" s="6" t="s">
        <v>17786</v>
      </c>
      <c r="BL2034" s="1" t="str">
        <f t="shared" si="976"/>
        <v>=5.091*100000000</v>
      </c>
      <c r="BM2034" s="16">
        <f t="shared" si="991"/>
        <v>1.0821056766843449</v>
      </c>
      <c r="BN2034" s="1">
        <f>5.091*100000000</f>
        <v>509100000</v>
      </c>
    </row>
    <row r="2035" spans="1:66">
      <c r="A2035" s="18"/>
      <c r="B2035">
        <v>603997</v>
      </c>
      <c r="C2035" t="s">
        <v>48</v>
      </c>
      <c r="D2035" s="6" t="s">
        <v>17787</v>
      </c>
      <c r="E2035" s="7" t="str">
        <f t="shared" si="975"/>
        <v>=1.708*100000000</v>
      </c>
      <c r="F2035" s="1">
        <f>1.708*100000000</f>
        <v>170800000</v>
      </c>
      <c r="G2035" s="8">
        <f t="shared" si="977"/>
        <v>-0.10995310057321521</v>
      </c>
      <c r="H2035" s="6" t="s">
        <v>4609</v>
      </c>
      <c r="I2035" s="6" t="str">
        <f t="shared" si="961"/>
        <v>=1.919*100000000</v>
      </c>
      <c r="J2035" s="1">
        <f>1.919*100000000</f>
        <v>191900000</v>
      </c>
      <c r="K2035" s="10">
        <f t="shared" si="978"/>
        <v>-0.19471254720939993</v>
      </c>
      <c r="L2035" s="6" t="s">
        <v>10515</v>
      </c>
      <c r="M2035" s="6" t="str">
        <f t="shared" si="962"/>
        <v>=2.383*100000000</v>
      </c>
      <c r="N2035" s="1">
        <f>2.383*100000000</f>
        <v>238300000</v>
      </c>
      <c r="O2035" s="8">
        <f t="shared" si="979"/>
        <v>0.35551763367463024</v>
      </c>
      <c r="P2035" s="6" t="s">
        <v>6293</v>
      </c>
      <c r="Q2035" s="6" t="str">
        <f t="shared" si="963"/>
        <v>=1.758*100000000</v>
      </c>
      <c r="R2035" s="11">
        <f>1.758*100000000</f>
        <v>175800000</v>
      </c>
      <c r="S2035" s="8">
        <f t="shared" si="980"/>
        <v>-1.5304767652383826</v>
      </c>
      <c r="T2035" s="6">
        <f>-3.314*100000000</f>
        <v>-331400000</v>
      </c>
      <c r="U2035" s="6" t="str">
        <f t="shared" si="964"/>
        <v>=-331400000</v>
      </c>
      <c r="V2035" s="1">
        <f>-331400000</f>
        <v>-331400000</v>
      </c>
      <c r="W2035" s="8">
        <f t="shared" si="981"/>
        <v>-0.20009654839488294</v>
      </c>
      <c r="X2035" s="6">
        <f>-4.143*100000000</f>
        <v>-414300000</v>
      </c>
      <c r="Y2035" s="6" t="str">
        <f t="shared" si="965"/>
        <v>=-414300000</v>
      </c>
      <c r="Z2035" s="1">
        <f>-414300000</f>
        <v>-414300000</v>
      </c>
      <c r="AA2035" s="8">
        <f t="shared" si="982"/>
        <v>-0.13849033063006863</v>
      </c>
      <c r="AB2035" s="6">
        <f>-4.809*100000000</f>
        <v>-480900000</v>
      </c>
      <c r="AC2035" s="6" t="str">
        <f t="shared" si="966"/>
        <v>=-480900000</v>
      </c>
      <c r="AD2035" s="1">
        <f>-480900000</f>
        <v>-480900000</v>
      </c>
      <c r="AE2035" s="8">
        <f t="shared" si="983"/>
        <v>4.2328618063112078</v>
      </c>
      <c r="AF2035" s="7">
        <f>-9190*10000</f>
        <v>-91900000</v>
      </c>
      <c r="AG2035" s="6" t="str">
        <f t="shared" si="967"/>
        <v>=-91900000</v>
      </c>
      <c r="AH2035" s="1">
        <f>-91900000</f>
        <v>-91900000</v>
      </c>
      <c r="AI2035" s="8">
        <f t="shared" si="984"/>
        <v>-1.1765949269792468</v>
      </c>
      <c r="AJ2035" s="6" t="s">
        <v>17788</v>
      </c>
      <c r="AK2035" s="6" t="str">
        <f t="shared" si="968"/>
        <v>=5.204*100000000</v>
      </c>
      <c r="AL2035" s="1">
        <f>5.204*100000000</f>
        <v>520400000</v>
      </c>
      <c r="AM2035" s="8">
        <f t="shared" si="985"/>
        <v>0.30099999999999999</v>
      </c>
      <c r="AN2035" s="6" t="s">
        <v>5533</v>
      </c>
      <c r="AO2035" s="6" t="str">
        <f t="shared" si="969"/>
        <v>=4.000*100000000</v>
      </c>
      <c r="AP2035" s="1">
        <f>4*100000000</f>
        <v>400000000</v>
      </c>
      <c r="AQ2035" s="8">
        <f t="shared" si="986"/>
        <v>0.17336462305661485</v>
      </c>
      <c r="AR2035" s="6" t="s">
        <v>17789</v>
      </c>
      <c r="AS2035" s="6" t="str">
        <f t="shared" si="970"/>
        <v>=3.409*100000000</v>
      </c>
      <c r="AT2035" s="1">
        <f>3.409*100000000</f>
        <v>340900000</v>
      </c>
      <c r="AU2035" s="8">
        <f t="shared" si="987"/>
        <v>1.7425583266291229</v>
      </c>
      <c r="AV2035" s="6" t="s">
        <v>11387</v>
      </c>
      <c r="AW2035" s="6" t="str">
        <f t="shared" si="971"/>
        <v>=1.243*100000000</v>
      </c>
      <c r="AX2035" s="1">
        <f>1.243*100000000</f>
        <v>124300000.00000001</v>
      </c>
      <c r="AY2035" s="10">
        <f t="shared" si="988"/>
        <v>-0.32187670485542819</v>
      </c>
      <c r="AZ2035" s="6" t="s">
        <v>5432</v>
      </c>
      <c r="BA2035" s="6" t="str">
        <f t="shared" si="972"/>
        <v>=1.833*100000000</v>
      </c>
      <c r="BB2035" s="1">
        <f>1.833*100000000</f>
        <v>183300000</v>
      </c>
      <c r="BC2035" s="8">
        <f t="shared" si="989"/>
        <v>-0.3865461847389558</v>
      </c>
      <c r="BD2035" s="6" t="s">
        <v>1289</v>
      </c>
      <c r="BE2035" s="6" t="str">
        <f t="shared" si="973"/>
        <v>=2.988*100000000</v>
      </c>
      <c r="BF2035" s="1">
        <f>2.988*100000000</f>
        <v>298800000</v>
      </c>
      <c r="BG2035" s="8">
        <f t="shared" si="990"/>
        <v>0.58346581875993642</v>
      </c>
      <c r="BH2035" s="6" t="s">
        <v>15408</v>
      </c>
      <c r="BI2035" s="6" t="str">
        <f t="shared" si="974"/>
        <v>=1.887*100000000</v>
      </c>
      <c r="BJ2035" s="1">
        <f>1.887*100000000</f>
        <v>188700000</v>
      </c>
      <c r="BK2035" s="7" t="s">
        <v>17790</v>
      </c>
      <c r="BL2035" s="1" t="str">
        <f t="shared" si="976"/>
        <v>=9877*10000</v>
      </c>
      <c r="BM2035" s="16">
        <f t="shared" si="991"/>
        <v>0.91049913941480209</v>
      </c>
      <c r="BN2035" s="1">
        <f>9877*10000</f>
        <v>98770000</v>
      </c>
    </row>
    <row r="2036" spans="1:66">
      <c r="A2036" s="18"/>
      <c r="B2036">
        <v>603997</v>
      </c>
      <c r="C2036" t="s">
        <v>58</v>
      </c>
      <c r="D2036" s="6" t="s">
        <v>15082</v>
      </c>
      <c r="E2036" s="7" t="str">
        <f t="shared" si="975"/>
        <v>=1.934*100000000</v>
      </c>
      <c r="F2036" s="1">
        <f>1.934*100000000</f>
        <v>193400000</v>
      </c>
      <c r="G2036" s="8">
        <f t="shared" si="977"/>
        <v>-0.16888697894284485</v>
      </c>
      <c r="H2036" s="6" t="s">
        <v>17791</v>
      </c>
      <c r="I2036" s="6" t="str">
        <f t="shared" si="961"/>
        <v>=2.327*100000000</v>
      </c>
      <c r="J2036" s="1">
        <f>2.327*100000000</f>
        <v>232700000</v>
      </c>
      <c r="K2036" s="10">
        <f t="shared" si="978"/>
        <v>-0.13814814814814816</v>
      </c>
      <c r="L2036" s="6" t="s">
        <v>13441</v>
      </c>
      <c r="M2036" s="6" t="str">
        <f t="shared" si="962"/>
        <v>=2.700*100000000</v>
      </c>
      <c r="N2036" s="1">
        <f>2.7*100000000</f>
        <v>270000000</v>
      </c>
      <c r="O2036" s="8">
        <f t="shared" si="979"/>
        <v>0.52801358234295415</v>
      </c>
      <c r="P2036" s="6" t="s">
        <v>15753</v>
      </c>
      <c r="Q2036" s="6" t="str">
        <f t="shared" si="963"/>
        <v>=1.767*100000000</v>
      </c>
      <c r="R2036" s="11">
        <f>1.767*100000000</f>
        <v>176700000</v>
      </c>
      <c r="S2036" s="8">
        <f t="shared" si="980"/>
        <v>-1.5230905861456483</v>
      </c>
      <c r="T2036" s="6">
        <f>-3.378*100000000</f>
        <v>-337800000</v>
      </c>
      <c r="U2036" s="6" t="str">
        <f t="shared" si="964"/>
        <v>=-337800000</v>
      </c>
      <c r="V2036" s="1">
        <f>-337800000</f>
        <v>-337800000</v>
      </c>
      <c r="W2036" s="8">
        <f t="shared" si="981"/>
        <v>-0.17989803350327749</v>
      </c>
      <c r="X2036" s="6">
        <f>-4.119*100000000</f>
        <v>-411900000</v>
      </c>
      <c r="Y2036" s="6" t="str">
        <f t="shared" si="965"/>
        <v>=-411900000</v>
      </c>
      <c r="Z2036" s="1">
        <f>-411900000</f>
        <v>-411900000</v>
      </c>
      <c r="AA2036" s="8">
        <f t="shared" si="982"/>
        <v>-0.14258950874271439</v>
      </c>
      <c r="AB2036" s="6">
        <f>-4.804*100000000</f>
        <v>-480400000</v>
      </c>
      <c r="AC2036" s="6" t="str">
        <f t="shared" si="966"/>
        <v>=-480400000</v>
      </c>
      <c r="AD2036" s="1">
        <f>-480400000</f>
        <v>-480400000</v>
      </c>
      <c r="AE2036" s="8">
        <f t="shared" si="983"/>
        <v>4.2872551177635927</v>
      </c>
      <c r="AF2036" s="7">
        <f>-9086*10000</f>
        <v>-90860000</v>
      </c>
      <c r="AG2036" s="6" t="str">
        <f t="shared" si="967"/>
        <v>=-90860000</v>
      </c>
      <c r="AH2036" s="1">
        <f>-90860000</f>
        <v>-90860000</v>
      </c>
      <c r="AI2036" s="8">
        <f t="shared" si="984"/>
        <v>-1.1692622950819671</v>
      </c>
      <c r="AJ2036" s="6" t="s">
        <v>17792</v>
      </c>
      <c r="AK2036" s="6" t="str">
        <f t="shared" si="968"/>
        <v>=5.368*100000000</v>
      </c>
      <c r="AL2036" s="1">
        <f>5.368*100000000</f>
        <v>536800000.00000006</v>
      </c>
      <c r="AM2036" s="8">
        <f t="shared" si="985"/>
        <v>0.34132933533233401</v>
      </c>
      <c r="AN2036" s="6" t="s">
        <v>7502</v>
      </c>
      <c r="AO2036" s="6" t="str">
        <f t="shared" si="969"/>
        <v>=4.002*100000000</v>
      </c>
      <c r="AP2036" s="1">
        <f>4.002*100000000</f>
        <v>400200000</v>
      </c>
      <c r="AQ2036" s="8">
        <f t="shared" si="986"/>
        <v>0.17360703812316716</v>
      </c>
      <c r="AR2036" s="6" t="s">
        <v>11973</v>
      </c>
      <c r="AS2036" s="6" t="str">
        <f t="shared" si="970"/>
        <v>=3.410*100000000</v>
      </c>
      <c r="AT2036" s="1">
        <f>3.41*100000000</f>
        <v>341000000</v>
      </c>
      <c r="AU2036" s="8">
        <f t="shared" si="987"/>
        <v>1.7301841473178541</v>
      </c>
      <c r="AV2036" s="6" t="s">
        <v>8073</v>
      </c>
      <c r="AW2036" s="6" t="str">
        <f t="shared" si="971"/>
        <v>=1.249*100000000</v>
      </c>
      <c r="AX2036" s="1">
        <f>1.249*100000000</f>
        <v>124900000.00000001</v>
      </c>
      <c r="AY2036" s="10">
        <f t="shared" si="988"/>
        <v>-0.31971677559912848</v>
      </c>
      <c r="AZ2036" s="6" t="s">
        <v>2297</v>
      </c>
      <c r="BA2036" s="6" t="str">
        <f t="shared" si="972"/>
        <v>=1.836*100000000</v>
      </c>
      <c r="BB2036" s="1">
        <f>1.836*100000000</f>
        <v>183600000</v>
      </c>
      <c r="BC2036" s="8">
        <f t="shared" si="989"/>
        <v>-0.38285714285714284</v>
      </c>
      <c r="BD2036" s="6" t="s">
        <v>13163</v>
      </c>
      <c r="BE2036" s="6" t="str">
        <f t="shared" si="973"/>
        <v>=2.975*100000000</v>
      </c>
      <c r="BF2036" s="1">
        <f>2.975*100000000</f>
        <v>297500000</v>
      </c>
      <c r="BG2036" s="8">
        <f t="shared" si="990"/>
        <v>0.58497602557272244</v>
      </c>
      <c r="BH2036" s="6" t="s">
        <v>1563</v>
      </c>
      <c r="BI2036" s="6" t="str">
        <f t="shared" si="974"/>
        <v>=1.877*100000000</v>
      </c>
      <c r="BJ2036" s="1">
        <f>1.877*100000000</f>
        <v>187700000</v>
      </c>
      <c r="BK2036" s="7" t="s">
        <v>17793</v>
      </c>
      <c r="BL2036" s="1" t="str">
        <f t="shared" si="976"/>
        <v>=9886*10000</v>
      </c>
      <c r="BM2036" s="16">
        <f t="shared" si="991"/>
        <v>0.89864454784543801</v>
      </c>
      <c r="BN2036" s="1">
        <f>9886*10000</f>
        <v>98860000</v>
      </c>
    </row>
    <row r="2037" spans="1:66">
      <c r="A2037" s="19"/>
      <c r="B2037">
        <v>603997</v>
      </c>
      <c r="C2037" t="s">
        <v>68</v>
      </c>
      <c r="D2037" s="6" t="s">
        <v>2102</v>
      </c>
      <c r="E2037" s="7" t="str">
        <f t="shared" si="975"/>
        <v>=1.258*100000000</v>
      </c>
      <c r="F2037" s="1">
        <f>1.258*100000000</f>
        <v>125800000</v>
      </c>
      <c r="G2037" s="8">
        <f t="shared" si="977"/>
        <v>-0.28684807256235828</v>
      </c>
      <c r="H2037" s="6" t="s">
        <v>3472</v>
      </c>
      <c r="I2037" s="6" t="str">
        <f t="shared" si="961"/>
        <v>=1.764*100000000</v>
      </c>
      <c r="J2037" s="1">
        <f>1.764*100000000</f>
        <v>176400000</v>
      </c>
      <c r="K2037" s="10">
        <f t="shared" si="978"/>
        <v>-0.14782608695652161</v>
      </c>
      <c r="L2037" s="6" t="s">
        <v>7597</v>
      </c>
      <c r="M2037" s="6" t="str">
        <f t="shared" si="962"/>
        <v>=2.070*100000000</v>
      </c>
      <c r="N2037" s="1">
        <f>2.07*100000000</f>
        <v>206999999.99999997</v>
      </c>
      <c r="O2037" s="8">
        <f t="shared" si="979"/>
        <v>0.48068669527896973</v>
      </c>
      <c r="P2037" s="6" t="s">
        <v>108</v>
      </c>
      <c r="Q2037" s="6" t="str">
        <f t="shared" si="963"/>
        <v>=1.398*100000000</v>
      </c>
      <c r="R2037" s="11">
        <f>1.398*100000000</f>
        <v>139800000</v>
      </c>
      <c r="S2037" s="8">
        <f t="shared" si="980"/>
        <v>-1.4105726872246696</v>
      </c>
      <c r="T2037" s="6">
        <f>-3.405*100000000</f>
        <v>-340500000</v>
      </c>
      <c r="U2037" s="6" t="str">
        <f t="shared" si="964"/>
        <v>=-340500000</v>
      </c>
      <c r="V2037" s="1">
        <f>-340500000</f>
        <v>-340500000</v>
      </c>
      <c r="W2037" s="8">
        <f t="shared" si="981"/>
        <v>-5.2851182197496523E-2</v>
      </c>
      <c r="X2037" s="6">
        <f>-3.595*100000000</f>
        <v>-359500000</v>
      </c>
      <c r="Y2037" s="6" t="str">
        <f t="shared" si="965"/>
        <v>=-359500000</v>
      </c>
      <c r="Z2037" s="1">
        <f>-359500000</f>
        <v>-359500000</v>
      </c>
      <c r="AA2037" s="8">
        <f t="shared" si="982"/>
        <v>-0.14668882031806313</v>
      </c>
      <c r="AB2037" s="6">
        <f>-4.213*100000000</f>
        <v>-421300000</v>
      </c>
      <c r="AC2037" s="6" t="str">
        <f t="shared" si="966"/>
        <v>=-421300000</v>
      </c>
      <c r="AD2037" s="1">
        <f>-421300000</f>
        <v>-421300000</v>
      </c>
      <c r="AE2037" s="8">
        <f t="shared" si="983"/>
        <v>5.8873630864803008</v>
      </c>
      <c r="AF2037" s="7">
        <f>-6117*10000</f>
        <v>-61170000</v>
      </c>
      <c r="AG2037" s="6" t="str">
        <f t="shared" si="967"/>
        <v>=-61170000</v>
      </c>
      <c r="AH2037" s="1">
        <f>-61170000</f>
        <v>-61170000</v>
      </c>
      <c r="AI2037" s="8">
        <f t="shared" si="984"/>
        <v>-1.1691180536356096</v>
      </c>
      <c r="AJ2037" s="6" t="s">
        <v>17794</v>
      </c>
      <c r="AK2037" s="6" t="str">
        <f t="shared" si="968"/>
        <v>=3.617*100000000</v>
      </c>
      <c r="AL2037" s="1">
        <f>3.617*100000000</f>
        <v>361700000</v>
      </c>
      <c r="AM2037" s="8">
        <f t="shared" si="985"/>
        <v>0.35164424514200282</v>
      </c>
      <c r="AN2037" s="6" t="s">
        <v>17795</v>
      </c>
      <c r="AO2037" s="6" t="str">
        <f t="shared" si="969"/>
        <v>=2.676*100000000</v>
      </c>
      <c r="AP2037" s="1">
        <f>2.676*100000000</f>
        <v>267600000.00000003</v>
      </c>
      <c r="AQ2037" s="8">
        <f t="shared" si="986"/>
        <v>0.17060367454068254</v>
      </c>
      <c r="AR2037" s="6" t="s">
        <v>15814</v>
      </c>
      <c r="AS2037" s="6" t="str">
        <f t="shared" si="970"/>
        <v>=2.286*100000000</v>
      </c>
      <c r="AT2037" s="1">
        <f>2.286*100000000</f>
        <v>228600000</v>
      </c>
      <c r="AU2037" s="8">
        <f t="shared" si="987"/>
        <v>2.0887717875962708</v>
      </c>
      <c r="AV2037" s="7" t="s">
        <v>17796</v>
      </c>
      <c r="AW2037" s="6" t="str">
        <f t="shared" si="971"/>
        <v>=7401*10000</v>
      </c>
      <c r="AX2037" s="1">
        <f>7401*10000</f>
        <v>74010000</v>
      </c>
      <c r="AY2037" s="10">
        <f t="shared" si="988"/>
        <v>-0.43330781010719754</v>
      </c>
      <c r="AZ2037" s="6" t="s">
        <v>15607</v>
      </c>
      <c r="BA2037" s="6" t="str">
        <f t="shared" si="972"/>
        <v>=1.306*100000000</v>
      </c>
      <c r="BB2037" s="1">
        <f>1.306*100000000</f>
        <v>130600000</v>
      </c>
      <c r="BC2037" s="8">
        <f t="shared" si="989"/>
        <v>-0.46693877551020413</v>
      </c>
      <c r="BD2037" s="6" t="s">
        <v>17797</v>
      </c>
      <c r="BE2037" s="6" t="str">
        <f t="shared" si="973"/>
        <v>=2.450*100000000</v>
      </c>
      <c r="BF2037" s="1">
        <f>2.45*100000000</f>
        <v>245000000.00000003</v>
      </c>
      <c r="BG2037" s="8">
        <f t="shared" si="990"/>
        <v>0.5919428200129957</v>
      </c>
      <c r="BH2037" s="6" t="s">
        <v>10029</v>
      </c>
      <c r="BI2037" s="6" t="str">
        <f t="shared" si="974"/>
        <v>=1.539*100000000</v>
      </c>
      <c r="BJ2037" s="1">
        <f>1.539*100000000</f>
        <v>153900000</v>
      </c>
      <c r="BK2037" s="7" t="s">
        <v>17798</v>
      </c>
      <c r="BL2037" s="1" t="str">
        <f t="shared" si="976"/>
        <v>=7989*10000</v>
      </c>
      <c r="BM2037" s="16">
        <f t="shared" si="991"/>
        <v>0.92639879834772809</v>
      </c>
      <c r="BN2037" s="1">
        <f>7989*10000</f>
        <v>79890000</v>
      </c>
    </row>
  </sheetData>
  <mergeCells count="509">
    <mergeCell ref="A2018:A2021"/>
    <mergeCell ref="A2022:A2025"/>
    <mergeCell ref="A2026:A2029"/>
    <mergeCell ref="A2030:A2033"/>
    <mergeCell ref="A2034:A2037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938:A941"/>
    <mergeCell ref="A942:A945"/>
    <mergeCell ref="A946:A949"/>
    <mergeCell ref="A950:A953"/>
    <mergeCell ref="A954:A957"/>
    <mergeCell ref="A958:A961"/>
    <mergeCell ref="A962:A965"/>
    <mergeCell ref="A966:A969"/>
    <mergeCell ref="A970:A973"/>
    <mergeCell ref="A902:A905"/>
    <mergeCell ref="A906:A909"/>
    <mergeCell ref="A910:A913"/>
    <mergeCell ref="A914:A917"/>
    <mergeCell ref="A918:A921"/>
    <mergeCell ref="A922:A925"/>
    <mergeCell ref="A926:A929"/>
    <mergeCell ref="A930:A933"/>
    <mergeCell ref="A934:A937"/>
    <mergeCell ref="A866:A869"/>
    <mergeCell ref="A870:A873"/>
    <mergeCell ref="A874:A877"/>
    <mergeCell ref="A878:A881"/>
    <mergeCell ref="A882:A885"/>
    <mergeCell ref="A886:A889"/>
    <mergeCell ref="A890:A893"/>
    <mergeCell ref="A894:A897"/>
    <mergeCell ref="A898:A901"/>
    <mergeCell ref="A830:A833"/>
    <mergeCell ref="A834:A837"/>
    <mergeCell ref="A838:A841"/>
    <mergeCell ref="A842:A845"/>
    <mergeCell ref="A846:A849"/>
    <mergeCell ref="A850:A853"/>
    <mergeCell ref="A854:A857"/>
    <mergeCell ref="A858:A861"/>
    <mergeCell ref="A862:A865"/>
    <mergeCell ref="A794:A797"/>
    <mergeCell ref="A798:A801"/>
    <mergeCell ref="A802:A805"/>
    <mergeCell ref="A806:A809"/>
    <mergeCell ref="A810:A813"/>
    <mergeCell ref="A814:A817"/>
    <mergeCell ref="A818:A821"/>
    <mergeCell ref="A822:A825"/>
    <mergeCell ref="A826:A829"/>
    <mergeCell ref="A758:A761"/>
    <mergeCell ref="A762:A765"/>
    <mergeCell ref="A766:A769"/>
    <mergeCell ref="A770:A773"/>
    <mergeCell ref="A774:A777"/>
    <mergeCell ref="A778:A781"/>
    <mergeCell ref="A782:A785"/>
    <mergeCell ref="A786:A789"/>
    <mergeCell ref="A790:A793"/>
    <mergeCell ref="A722:A725"/>
    <mergeCell ref="A726:A729"/>
    <mergeCell ref="A730:A733"/>
    <mergeCell ref="A734:A737"/>
    <mergeCell ref="A738:A741"/>
    <mergeCell ref="A742:A745"/>
    <mergeCell ref="A746:A749"/>
    <mergeCell ref="A750:A753"/>
    <mergeCell ref="A754:A757"/>
    <mergeCell ref="A686:A689"/>
    <mergeCell ref="A690:A693"/>
    <mergeCell ref="A694:A697"/>
    <mergeCell ref="A698:A701"/>
    <mergeCell ref="A702:A705"/>
    <mergeCell ref="A706:A709"/>
    <mergeCell ref="A710:A713"/>
    <mergeCell ref="A714:A717"/>
    <mergeCell ref="A718:A721"/>
    <mergeCell ref="A650:A653"/>
    <mergeCell ref="A654:A657"/>
    <mergeCell ref="A658:A661"/>
    <mergeCell ref="A662:A665"/>
    <mergeCell ref="A666:A669"/>
    <mergeCell ref="A670:A673"/>
    <mergeCell ref="A674:A677"/>
    <mergeCell ref="A678:A681"/>
    <mergeCell ref="A682:A685"/>
    <mergeCell ref="A614:A617"/>
    <mergeCell ref="A618:A621"/>
    <mergeCell ref="A622:A625"/>
    <mergeCell ref="A626:A629"/>
    <mergeCell ref="A630:A633"/>
    <mergeCell ref="A634:A637"/>
    <mergeCell ref="A638:A641"/>
    <mergeCell ref="A642:A645"/>
    <mergeCell ref="A646:A649"/>
    <mergeCell ref="A578:A581"/>
    <mergeCell ref="A582:A585"/>
    <mergeCell ref="A586:A589"/>
    <mergeCell ref="A590:A593"/>
    <mergeCell ref="A594:A597"/>
    <mergeCell ref="A598:A601"/>
    <mergeCell ref="A602:A605"/>
    <mergeCell ref="A606:A609"/>
    <mergeCell ref="A610:A613"/>
    <mergeCell ref="A542:A545"/>
    <mergeCell ref="A546:A549"/>
    <mergeCell ref="A550:A553"/>
    <mergeCell ref="A554:A557"/>
    <mergeCell ref="A558:A561"/>
    <mergeCell ref="A562:A565"/>
    <mergeCell ref="A566:A569"/>
    <mergeCell ref="A570:A573"/>
    <mergeCell ref="A574:A577"/>
    <mergeCell ref="A506:A509"/>
    <mergeCell ref="A510:A513"/>
    <mergeCell ref="A514:A517"/>
    <mergeCell ref="A518:A521"/>
    <mergeCell ref="A522:A525"/>
    <mergeCell ref="A526:A529"/>
    <mergeCell ref="A530:A533"/>
    <mergeCell ref="A534:A537"/>
    <mergeCell ref="A538:A541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5"/>
    <mergeCell ref="A434:A437"/>
    <mergeCell ref="A438:A441"/>
    <mergeCell ref="A442:A445"/>
    <mergeCell ref="A446:A449"/>
    <mergeCell ref="A450:A453"/>
    <mergeCell ref="A454:A457"/>
    <mergeCell ref="A458:A461"/>
    <mergeCell ref="A462:A465"/>
    <mergeCell ref="A466:A469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362:A365"/>
    <mergeCell ref="A366:A369"/>
    <mergeCell ref="A370:A373"/>
    <mergeCell ref="A374:A377"/>
    <mergeCell ref="A378:A381"/>
    <mergeCell ref="A382:A385"/>
    <mergeCell ref="A386:A389"/>
    <mergeCell ref="A390:A393"/>
    <mergeCell ref="A394:A397"/>
    <mergeCell ref="A326:A329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290:A293"/>
    <mergeCell ref="A294:A297"/>
    <mergeCell ref="A298:A301"/>
    <mergeCell ref="A302:A305"/>
    <mergeCell ref="A306:A309"/>
    <mergeCell ref="A310:A313"/>
    <mergeCell ref="A314:A317"/>
    <mergeCell ref="A318:A321"/>
    <mergeCell ref="A322:A325"/>
    <mergeCell ref="A254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50:A253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2:A5"/>
    <mergeCell ref="A6:A9"/>
    <mergeCell ref="A10:A13"/>
    <mergeCell ref="A14:A17"/>
    <mergeCell ref="A18:A21"/>
    <mergeCell ref="A22:A25"/>
    <mergeCell ref="A26:A29"/>
    <mergeCell ref="A30:A33"/>
    <mergeCell ref="A34:A37"/>
  </mergeCells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2022-04-14T10:32:00Z</dcterms:created>
  <dcterms:modified xsi:type="dcterms:W3CDTF">2022-04-18T08:00:24Z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4803F5DCA87C473DBA384E6301B38EB8</vt:lpwstr>
  </property>
</Properties>
</file>